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uposlc.sharepoint.com/sites/EquipedeRI/Shared Documents/Analises/Releases 2024/2T24/Atualização dados site de RI/"/>
    </mc:Choice>
  </mc:AlternateContent>
  <xr:revisionPtr revIDLastSave="383" documentId="8_{CBE011BE-65F1-4AA3-ADA4-69E0BDBE27C8}" xr6:coauthVersionLast="47" xr6:coauthVersionMax="47" xr10:uidLastSave="{7EEB5C51-578C-451B-9037-4DD5EE9F1187}"/>
  <bookViews>
    <workbookView xWindow="28690" yWindow="-110" windowWidth="29020" windowHeight="15700" tabRatio="891" xr2:uid="{00000000-000D-0000-FFFF-FFFF00000000}"/>
  </bookViews>
  <sheets>
    <sheet name="Capa" sheetId="1" r:id="rId1"/>
    <sheet name="Datas" sheetId="2" r:id="rId2"/>
    <sheet name="Balanço Patrimonial Ativo" sheetId="4" r:id="rId3"/>
    <sheet name="Balanço Patrimonial Passivo" sheetId="5" r:id="rId4"/>
    <sheet name="DRE" sheetId="6" r:id="rId5"/>
    <sheet name="DVA" sheetId="8" r:id="rId6"/>
    <sheet name="EBITDA" sheetId="9" r:id="rId7"/>
    <sheet name="DFC" sheetId="20" r:id="rId8"/>
    <sheet name="Outras Informações" sheetId="19" r:id="rId9"/>
  </sheets>
  <externalReferences>
    <externalReference r:id="rId10"/>
    <externalReference r:id="rId11"/>
    <externalReference r:id="rId12"/>
  </externalReferences>
  <definedNames>
    <definedName name="_xlnm._FilterDatabase" localSheetId="3" hidden="1">'Balanço Patrimonial Passivo'!$A$1:$R$86</definedName>
    <definedName name="AdicoesLR">[1]Dados!$L$25:$L$43</definedName>
    <definedName name="AjNegativosRTT">[1]Dados!$L$16:$L$21</definedName>
    <definedName name="AjPositivosRTT">[1]Dados!$L$5:$L$13</definedName>
    <definedName name="Ano" localSheetId="7">[2]Datas!$AQ$2:$AQ$9</definedName>
    <definedName name="Ano">Datas!$AQ$2:$AQ$12</definedName>
    <definedName name="_xlnm.Print_Area" localSheetId="0">Capa!$A$1:$O$36</definedName>
    <definedName name="Dia" localSheetId="7">[2]Datas!$AO$2:$AO$32</definedName>
    <definedName name="Dia">Datas!$AO$2:$AO$32</definedName>
    <definedName name="Empresas">[1]Dados!$Q$4:$Q$15</definedName>
    <definedName name="ExclusoesLR">[1]Dados!$L$46:$L$64</definedName>
    <definedName name="Mês" localSheetId="7">[2]Datas!$AP$2:$AP$13</definedName>
    <definedName name="Mês">Datas!$AP$2:$AP$13</definedName>
    <definedName name="ReconImp">[1]Dados!$L$67:$L$79</definedName>
    <definedName name="Z_123C4F1C_4895_46DD_B59E_C96253E6CB23_.wvu.PrintArea" localSheetId="0" hidden="1">Capa!$A$1:$O$36</definedName>
    <definedName name="Z_123C4F1C_4895_46DD_B59E_C96253E6CB23_.wvu.Rows" localSheetId="6" hidden="1">EBITDA!#REF!,EBITDA!#REF!</definedName>
    <definedName name="Z_2F2F03EC_AF42_4C78_9418_7B0DEBF08052_.wvu.Cols" localSheetId="5" hidden="1">DVA!$H:$T</definedName>
    <definedName name="Z_2F2F03EC_AF42_4C78_9418_7B0DEBF08052_.wvu.PrintArea" localSheetId="0" hidden="1">Capa!$A$1:$O$36</definedName>
    <definedName name="Z_2F2F03EC_AF42_4C78_9418_7B0DEBF08052_.wvu.Rows" localSheetId="6" hidden="1">EBITDA!#REF!,EBITDA!#REF!</definedName>
    <definedName name="Z_87BBC8EC_E3DC_4681_ADCF_155BFED637D3_.wvu.Cols" localSheetId="2" hidden="1">'Balanço Patrimonial Ativo'!#REF!</definedName>
    <definedName name="Z_87BBC8EC_E3DC_4681_ADCF_155BFED637D3_.wvu.Cols" localSheetId="3" hidden="1">'Balanço Patrimonial Passivo'!$S:$U</definedName>
    <definedName name="Z_87BBC8EC_E3DC_4681_ADCF_155BFED637D3_.wvu.PrintArea" localSheetId="0" hidden="1">Capa!$A$1:$O$36</definedName>
    <definedName name="Z_87BBC8EC_E3DC_4681_ADCF_155BFED637D3_.wvu.Rows" localSheetId="6" hidden="1">EBITDA!#REF!,EBITDA!#REF!</definedName>
  </definedNames>
  <calcPr calcId="191028"/>
  <customWorkbookViews>
    <customWorkbookView name="juliana.giambastiani - Modo de exibição pessoal" guid="{123C4F1C-4895-46DD-B59E-C96253E6CB23}" mergeInterval="0" personalView="1" maximized="1" windowWidth="1276" windowHeight="603" tabRatio="855" activeSheetId="4"/>
    <customWorkbookView name="sabrina.deichel - Modo de exibição pessoal" guid="{87BBC8EC-E3DC-4681-ADCF-155BFED637D3}" mergeInterval="0" personalView="1" maximized="1" windowWidth="1020" windowHeight="576" tabRatio="855" activeSheetId="6"/>
    <customWorkbookView name="aline.silva - Modo de exibição pessoal" guid="{541190A4-AA4E-4E6C-B49E-AED913B3B1F4}" mergeInterval="0" personalView="1" maximized="1" windowWidth="1362" windowHeight="603" tabRatio="855" activeSheetId="8"/>
    <customWorkbookView name="Angela Pedron - SLC AGrícola - Modo de exibição pessoal" guid="{2F2F03EC-AF42-4C78-9418-7B0DEBF08052}" mergeInterval="0" personalView="1" maximized="1" xWindow="1" yWindow="1" windowWidth="1280" windowHeight="524" tabRatio="85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E17" i="19" l="1"/>
  <c r="DE16" i="19"/>
  <c r="DE9" i="19"/>
  <c r="DE10" i="19"/>
  <c r="DE11" i="19"/>
  <c r="DE12" i="19"/>
  <c r="DE13" i="19"/>
  <c r="DE8" i="19"/>
  <c r="DF8" i="20" l="1"/>
  <c r="DF9" i="20"/>
  <c r="DF10" i="20"/>
  <c r="DF11" i="20"/>
  <c r="DF12" i="20"/>
  <c r="DF13" i="20"/>
  <c r="DF14" i="20"/>
  <c r="DF15" i="20"/>
  <c r="DF16" i="20"/>
  <c r="DF17" i="20"/>
  <c r="DF18" i="20"/>
  <c r="DF19" i="20"/>
  <c r="DF7" i="20"/>
  <c r="DE7" i="20"/>
  <c r="DE16" i="20"/>
  <c r="DE19" i="20"/>
  <c r="DE27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7" i="9"/>
  <c r="DD7" i="9"/>
  <c r="DK9" i="8"/>
  <c r="DK10" i="8"/>
  <c r="DK11" i="8"/>
  <c r="DK12" i="8"/>
  <c r="DK13" i="8"/>
  <c r="DK14" i="8"/>
  <c r="DK15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28" i="8"/>
  <c r="DK29" i="8"/>
  <c r="DK30" i="8"/>
  <c r="DK31" i="8"/>
  <c r="DK32" i="8"/>
  <c r="DK33" i="8"/>
  <c r="DK34" i="8"/>
  <c r="DK35" i="8"/>
  <c r="DK36" i="8"/>
  <c r="DK37" i="8"/>
  <c r="DK38" i="8"/>
  <c r="DK39" i="8"/>
  <c r="DK40" i="8"/>
  <c r="DK41" i="8"/>
  <c r="DK42" i="8"/>
  <c r="DK43" i="8"/>
  <c r="DK44" i="8"/>
  <c r="DK45" i="8"/>
  <c r="DK46" i="8"/>
  <c r="DK47" i="8"/>
  <c r="DK48" i="8"/>
  <c r="DK49" i="8"/>
  <c r="DK50" i="8"/>
  <c r="DK51" i="8"/>
  <c r="DK8" i="8"/>
  <c r="DE12" i="20" l="1"/>
  <c r="DD9" i="9" l="1"/>
  <c r="DD15" i="9" s="1"/>
  <c r="DD18" i="9" s="1"/>
  <c r="DD27" i="9" s="1"/>
  <c r="DJ46" i="8"/>
  <c r="DJ42" i="8"/>
  <c r="DJ38" i="8"/>
  <c r="DJ33" i="8"/>
  <c r="DJ27" i="8"/>
  <c r="DJ23" i="8"/>
  <c r="DJ19" i="8"/>
  <c r="DJ15" i="8"/>
  <c r="DJ8" i="8"/>
  <c r="DK96" i="6"/>
  <c r="DK95" i="6"/>
  <c r="DK10" i="6"/>
  <c r="DK11" i="6"/>
  <c r="DK12" i="6"/>
  <c r="DK13" i="6"/>
  <c r="DK14" i="6"/>
  <c r="DK15" i="6"/>
  <c r="DK16" i="6"/>
  <c r="DK17" i="6"/>
  <c r="DK19" i="6"/>
  <c r="DK20" i="6"/>
  <c r="DK21" i="6"/>
  <c r="DK22" i="6"/>
  <c r="DK23" i="6"/>
  <c r="DK24" i="6"/>
  <c r="DK25" i="6"/>
  <c r="DK27" i="6"/>
  <c r="DK28" i="6"/>
  <c r="DK29" i="6"/>
  <c r="DK30" i="6"/>
  <c r="DK33" i="6"/>
  <c r="DK34" i="6"/>
  <c r="DK35" i="6"/>
  <c r="DK36" i="6"/>
  <c r="DK37" i="6"/>
  <c r="DK38" i="6"/>
  <c r="DK39" i="6"/>
  <c r="DK41" i="6"/>
  <c r="DK42" i="6"/>
  <c r="DK43" i="6"/>
  <c r="DK44" i="6"/>
  <c r="DK45" i="6"/>
  <c r="DK46" i="6"/>
  <c r="DK47" i="6"/>
  <c r="DK51" i="6"/>
  <c r="DK52" i="6"/>
  <c r="DK53" i="6"/>
  <c r="DK54" i="6"/>
  <c r="DK55" i="6"/>
  <c r="DK56" i="6"/>
  <c r="DK57" i="6"/>
  <c r="DK60" i="6"/>
  <c r="DK61" i="6"/>
  <c r="DK62" i="6"/>
  <c r="DK63" i="6"/>
  <c r="DK64" i="6"/>
  <c r="DK65" i="6"/>
  <c r="DK66" i="6"/>
  <c r="DK67" i="6"/>
  <c r="DK68" i="6"/>
  <c r="DK69" i="6"/>
  <c r="DK70" i="6"/>
  <c r="DK71" i="6"/>
  <c r="DK72" i="6"/>
  <c r="DK73" i="6"/>
  <c r="DK74" i="6"/>
  <c r="DK75" i="6"/>
  <c r="DK76" i="6"/>
  <c r="DJ80" i="6"/>
  <c r="DJ81" i="6"/>
  <c r="DJ82" i="6"/>
  <c r="DJ83" i="6"/>
  <c r="DJ84" i="6"/>
  <c r="DJ86" i="6"/>
  <c r="DJ87" i="6"/>
  <c r="DJ88" i="6"/>
  <c r="DJ89" i="6"/>
  <c r="DJ90" i="6"/>
  <c r="DJ91" i="6"/>
  <c r="DJ92" i="6"/>
  <c r="DK79" i="6"/>
  <c r="DJ79" i="6" s="1"/>
  <c r="DK85" i="6"/>
  <c r="DJ85" i="6" s="1"/>
  <c r="DJ32" i="8" l="1"/>
  <c r="DJ22" i="8"/>
  <c r="DJ26" i="8" s="1"/>
  <c r="DJ31" i="8" s="1"/>
  <c r="DK94" i="6"/>
  <c r="DK78" i="6"/>
  <c r="DJ52" i="8" l="1"/>
  <c r="DJ78" i="6"/>
  <c r="DJ50" i="6"/>
  <c r="DK50" i="6" s="1"/>
  <c r="DJ40" i="6"/>
  <c r="DK40" i="6" s="1"/>
  <c r="DJ32" i="6"/>
  <c r="DK32" i="6" s="1"/>
  <c r="DJ26" i="6"/>
  <c r="DK26" i="6" s="1"/>
  <c r="DJ18" i="6"/>
  <c r="DK18" i="6" s="1"/>
  <c r="DJ9" i="6"/>
  <c r="DK9" i="6" l="1"/>
  <c r="DE28" i="9" s="1"/>
  <c r="DD28" i="9"/>
  <c r="DJ31" i="6"/>
  <c r="DK31" i="6" s="1"/>
  <c r="DJ8" i="6"/>
  <c r="DJ59" i="6"/>
  <c r="DJ94" i="6"/>
  <c r="BR8" i="5"/>
  <c r="BQ42" i="5"/>
  <c r="BQ40" i="5" s="1"/>
  <c r="BQ39" i="5" s="1"/>
  <c r="BQ10" i="5"/>
  <c r="BQ13" i="5"/>
  <c r="BQ17" i="5"/>
  <c r="BQ16" i="5" s="1"/>
  <c r="BQ23" i="5"/>
  <c r="BQ22" i="5" s="1"/>
  <c r="BQ28" i="5"/>
  <c r="BQ26" i="5" s="1"/>
  <c r="BQ49" i="5"/>
  <c r="BQ48" i="5" s="1"/>
  <c r="BQ53" i="5"/>
  <c r="BQ52" i="5" s="1"/>
  <c r="BQ61" i="5"/>
  <c r="BQ60" i="5" s="1"/>
  <c r="BQ67" i="5"/>
  <c r="BQ75" i="5"/>
  <c r="BQ65" i="5" s="1"/>
  <c r="BR79" i="4"/>
  <c r="BR56" i="4"/>
  <c r="BR55" i="4" s="1"/>
  <c r="BR42" i="4"/>
  <c r="BR37" i="4"/>
  <c r="BR22" i="4"/>
  <c r="BR86" i="4"/>
  <c r="BR82" i="4"/>
  <c r="BR76" i="4"/>
  <c r="BR68" i="4"/>
  <c r="BR65" i="4" s="1"/>
  <c r="BR60" i="4"/>
  <c r="BR49" i="4"/>
  <c r="BR32" i="4"/>
  <c r="BR31" i="4"/>
  <c r="BR30" i="4" s="1"/>
  <c r="BR23" i="4"/>
  <c r="BR20" i="4"/>
  <c r="BR17" i="4"/>
  <c r="BR14" i="4"/>
  <c r="BR13" i="4" s="1"/>
  <c r="BR10" i="4"/>
  <c r="DC18" i="9"/>
  <c r="BV17" i="9"/>
  <c r="BX17" i="9"/>
  <c r="BZ17" i="9" s="1"/>
  <c r="CC17" i="9"/>
  <c r="CE17" i="9"/>
  <c r="CG17" i="9"/>
  <c r="CJ17" i="9"/>
  <c r="CL17" i="9"/>
  <c r="CN17" i="9"/>
  <c r="CQ17" i="9"/>
  <c r="CS17" i="9" s="1"/>
  <c r="CU17" i="9" s="1"/>
  <c r="CX17" i="9"/>
  <c r="CZ17" i="9"/>
  <c r="DA17" i="9" s="1"/>
  <c r="CX13" i="19"/>
  <c r="CZ13" i="19" s="1"/>
  <c r="DB13" i="19" s="1"/>
  <c r="DB12" i="19"/>
  <c r="CZ12" i="19"/>
  <c r="CX12" i="19"/>
  <c r="CZ11" i="19"/>
  <c r="DB11" i="19" s="1"/>
  <c r="CX11" i="19"/>
  <c r="CX10" i="19"/>
  <c r="CZ10" i="19" s="1"/>
  <c r="DB10" i="19" s="1"/>
  <c r="CX9" i="19"/>
  <c r="CZ9" i="19" s="1"/>
  <c r="DB9" i="19" s="1"/>
  <c r="DF17" i="6"/>
  <c r="DH17" i="6" s="1"/>
  <c r="DD17" i="6"/>
  <c r="DD16" i="6"/>
  <c r="DF16" i="6" s="1"/>
  <c r="DH16" i="6" s="1"/>
  <c r="DD15" i="6"/>
  <c r="DF15" i="6" s="1"/>
  <c r="DH15" i="6" s="1"/>
  <c r="DH14" i="6"/>
  <c r="DF14" i="6"/>
  <c r="DD13" i="6"/>
  <c r="DF13" i="6" s="1"/>
  <c r="DH13" i="6" s="1"/>
  <c r="DD12" i="6"/>
  <c r="DF12" i="6" s="1"/>
  <c r="DH12" i="6" s="1"/>
  <c r="DH11" i="6"/>
  <c r="DF11" i="6"/>
  <c r="DD11" i="6"/>
  <c r="DF10" i="6"/>
  <c r="DH10" i="6" s="1"/>
  <c r="DD10" i="6"/>
  <c r="DC16" i="19"/>
  <c r="DC8" i="19"/>
  <c r="DD16" i="20"/>
  <c r="DD19" i="20" s="1"/>
  <c r="DD7" i="20"/>
  <c r="DD12" i="20" s="1"/>
  <c r="DC21" i="9"/>
  <c r="DC20" i="9"/>
  <c r="DC19" i="9"/>
  <c r="DC16" i="9"/>
  <c r="DC14" i="9"/>
  <c r="DC13" i="9"/>
  <c r="DC12" i="9"/>
  <c r="DC11" i="9"/>
  <c r="DC10" i="9"/>
  <c r="DC8" i="9"/>
  <c r="DC7" i="9"/>
  <c r="DI46" i="8"/>
  <c r="DI42" i="8"/>
  <c r="DI32" i="8" s="1"/>
  <c r="DI38" i="8"/>
  <c r="DI33" i="8"/>
  <c r="DI27" i="8"/>
  <c r="DI23" i="8"/>
  <c r="DI20" i="8"/>
  <c r="DI19" i="8"/>
  <c r="DI17" i="8"/>
  <c r="DI15" i="8" s="1"/>
  <c r="DI22" i="8" s="1"/>
  <c r="DI26" i="8" s="1"/>
  <c r="DI31" i="8" s="1"/>
  <c r="DI8" i="8"/>
  <c r="DI94" i="6"/>
  <c r="DI85" i="6"/>
  <c r="DI79" i="6"/>
  <c r="DI78" i="6" s="1"/>
  <c r="DI75" i="6"/>
  <c r="DI59" i="6"/>
  <c r="DI58" i="6"/>
  <c r="DI49" i="6" s="1"/>
  <c r="DI50" i="6"/>
  <c r="DI40" i="6"/>
  <c r="DI32" i="6"/>
  <c r="DI31" i="6"/>
  <c r="DI26" i="6"/>
  <c r="DI18" i="6"/>
  <c r="DI9" i="6"/>
  <c r="BP75" i="5"/>
  <c r="BP67" i="5"/>
  <c r="BP65" i="5" s="1"/>
  <c r="BP61" i="5"/>
  <c r="BP60" i="5"/>
  <c r="BP58" i="5"/>
  <c r="BP53" i="5"/>
  <c r="BP52" i="5"/>
  <c r="BP49" i="5"/>
  <c r="BP48" i="5" s="1"/>
  <c r="BP47" i="5" s="1"/>
  <c r="BP42" i="5"/>
  <c r="BP40" i="5"/>
  <c r="BP39" i="5"/>
  <c r="BP28" i="5"/>
  <c r="BP26" i="5" s="1"/>
  <c r="BP23" i="5"/>
  <c r="BP22" i="5"/>
  <c r="BP17" i="5"/>
  <c r="BP16" i="5" s="1"/>
  <c r="BP9" i="5" s="1"/>
  <c r="BP8" i="5" s="1"/>
  <c r="BP13" i="5"/>
  <c r="BP10" i="5"/>
  <c r="BP6" i="5"/>
  <c r="BQ86" i="4"/>
  <c r="BQ82" i="4"/>
  <c r="BQ79" i="4"/>
  <c r="BQ76" i="4"/>
  <c r="BQ68" i="4"/>
  <c r="BQ65" i="4" s="1"/>
  <c r="BQ60" i="4"/>
  <c r="BQ56" i="4"/>
  <c r="BQ55" i="4"/>
  <c r="BQ49" i="4"/>
  <c r="BQ42" i="4"/>
  <c r="BQ41" i="4"/>
  <c r="BQ35" i="4"/>
  <c r="BQ32" i="4"/>
  <c r="BQ31" i="4"/>
  <c r="BQ30" i="4" s="1"/>
  <c r="BQ23" i="4"/>
  <c r="BQ22" i="4"/>
  <c r="BQ20" i="4" s="1"/>
  <c r="BQ17" i="4"/>
  <c r="BQ14" i="4"/>
  <c r="BQ13" i="4" s="1"/>
  <c r="BQ10" i="4"/>
  <c r="DK59" i="6" l="1"/>
  <c r="DJ58" i="6"/>
  <c r="DK58" i="6" s="1"/>
  <c r="DK8" i="6"/>
  <c r="DJ48" i="6"/>
  <c r="DK48" i="6" s="1"/>
  <c r="BQ9" i="5"/>
  <c r="BQ47" i="5"/>
  <c r="BR64" i="4"/>
  <c r="BR63" i="4" s="1"/>
  <c r="BR41" i="4"/>
  <c r="BR19" i="4"/>
  <c r="BQ64" i="4"/>
  <c r="BQ63" i="4" s="1"/>
  <c r="BQ19" i="4"/>
  <c r="BQ9" i="4" s="1"/>
  <c r="BQ8" i="4" s="1"/>
  <c r="BQ92" i="4" s="1"/>
  <c r="DC9" i="9"/>
  <c r="DC15" i="9"/>
  <c r="DI8" i="6"/>
  <c r="DI48" i="6" s="1"/>
  <c r="DI77" i="6" s="1"/>
  <c r="DI52" i="8"/>
  <c r="DI93" i="6" l="1"/>
  <c r="DI97" i="6" s="1"/>
  <c r="DJ49" i="6"/>
  <c r="BQ8" i="5"/>
  <c r="BR9" i="4"/>
  <c r="BR8" i="4" s="1"/>
  <c r="DA15" i="8"/>
  <c r="DA22" i="8" s="1"/>
  <c r="CW8" i="6"/>
  <c r="CY8" i="6"/>
  <c r="DA26" i="9"/>
  <c r="DA23" i="9"/>
  <c r="DK49" i="6" l="1"/>
  <c r="DJ77" i="6"/>
  <c r="BR92" i="4"/>
  <c r="DA12" i="9"/>
  <c r="DB14" i="9"/>
  <c r="DA16" i="9"/>
  <c r="DB16" i="9"/>
  <c r="DB11" i="20"/>
  <c r="DB13" i="20"/>
  <c r="DB12" i="20"/>
  <c r="DC12" i="20"/>
  <c r="DB17" i="20"/>
  <c r="DB16" i="20"/>
  <c r="DC16" i="20"/>
  <c r="DC19" i="20" s="1"/>
  <c r="DB18" i="20"/>
  <c r="DB10" i="20"/>
  <c r="DB9" i="20"/>
  <c r="DB7" i="20" s="1"/>
  <c r="DC7" i="20"/>
  <c r="DB8" i="20"/>
  <c r="DG32" i="6"/>
  <c r="CX50" i="6"/>
  <c r="CX9" i="6"/>
  <c r="CW13" i="6"/>
  <c r="CW11" i="6"/>
  <c r="CV9" i="6"/>
  <c r="DD17" i="8"/>
  <c r="DC45" i="8"/>
  <c r="DB17" i="8"/>
  <c r="DA17" i="8"/>
  <c r="DJ93" i="6" l="1"/>
  <c r="DJ97" i="6" s="1"/>
  <c r="DK77" i="6"/>
  <c r="DK93" i="6" s="1"/>
  <c r="DK97" i="6" s="1"/>
  <c r="DB19" i="20"/>
  <c r="CY17" i="8"/>
  <c r="CZ13" i="8"/>
  <c r="CX13" i="8"/>
  <c r="CW17" i="8"/>
  <c r="DG13" i="8" l="1"/>
  <c r="DG8" i="8" s="1"/>
  <c r="DE13" i="8"/>
  <c r="DD20" i="8"/>
  <c r="DC8" i="8"/>
  <c r="DG18" i="8"/>
  <c r="DD8" i="8"/>
  <c r="DB20" i="8"/>
  <c r="DB8" i="8"/>
  <c r="CQ13" i="19"/>
  <c r="CQ10" i="19"/>
  <c r="CQ12" i="19"/>
  <c r="CQ11" i="19"/>
  <c r="CQ9" i="19"/>
  <c r="DD30" i="6" l="1"/>
  <c r="DF30" i="6" s="1"/>
  <c r="DH30" i="6" s="1"/>
  <c r="DD29" i="6"/>
  <c r="DF29" i="6" s="1"/>
  <c r="DH29" i="6" s="1"/>
  <c r="DD28" i="6"/>
  <c r="DF28" i="6" s="1"/>
  <c r="DH28" i="6" s="1"/>
  <c r="DD27" i="6"/>
  <c r="DF27" i="6" s="1"/>
  <c r="DH27" i="6" s="1"/>
  <c r="DC57" i="6"/>
  <c r="DD56" i="6"/>
  <c r="DF56" i="6" s="1"/>
  <c r="CW56" i="6"/>
  <c r="CY56" i="6" s="1"/>
  <c r="DA56" i="6" s="1"/>
  <c r="CW28" i="6"/>
  <c r="CW29" i="6"/>
  <c r="CY29" i="6" s="1"/>
  <c r="DA29" i="6" s="1"/>
  <c r="CW30" i="6"/>
  <c r="CY30" i="6" s="1"/>
  <c r="DA30" i="6" s="1"/>
  <c r="CW27" i="6"/>
  <c r="CY27" i="6" s="1"/>
  <c r="DA27" i="6" s="1"/>
  <c r="CV26" i="6"/>
  <c r="CX26" i="6"/>
  <c r="CZ26" i="6"/>
  <c r="CU26" i="6"/>
  <c r="DB26" i="6"/>
  <c r="DC26" i="6"/>
  <c r="DE26" i="6"/>
  <c r="DG26" i="6"/>
  <c r="DF26" i="6" l="1"/>
  <c r="DD26" i="6"/>
  <c r="CW26" i="6"/>
  <c r="CY28" i="6"/>
  <c r="DA28" i="6" s="1"/>
  <c r="CY26" i="6" l="1"/>
  <c r="DB8" i="19" l="1"/>
  <c r="CU8" i="8" l="1"/>
  <c r="CV8" i="8"/>
  <c r="CW8" i="8"/>
  <c r="CX8" i="8"/>
  <c r="CY8" i="8"/>
  <c r="CZ8" i="8"/>
  <c r="DA8" i="8"/>
  <c r="DH8" i="8"/>
  <c r="DG14" i="8"/>
  <c r="DG50" i="8"/>
  <c r="DG49" i="8"/>
  <c r="DG48" i="8"/>
  <c r="DG47" i="8"/>
  <c r="DH46" i="8"/>
  <c r="DG45" i="8"/>
  <c r="DG44" i="8"/>
  <c r="DG43" i="8"/>
  <c r="DH42" i="8"/>
  <c r="DG41" i="8"/>
  <c r="DG40" i="8"/>
  <c r="DG39" i="8"/>
  <c r="DH38" i="8"/>
  <c r="DG37" i="8"/>
  <c r="DG36" i="8"/>
  <c r="DG35" i="8"/>
  <c r="DG34" i="8"/>
  <c r="DH33" i="8"/>
  <c r="DG30" i="8"/>
  <c r="DG29" i="8"/>
  <c r="DH27" i="8"/>
  <c r="DG25" i="8"/>
  <c r="DG24" i="8"/>
  <c r="DH23" i="8"/>
  <c r="DG21" i="8"/>
  <c r="DG20" i="8"/>
  <c r="DH19" i="8"/>
  <c r="DH15" i="8" s="1"/>
  <c r="DH22" i="8" s="1"/>
  <c r="DG17" i="8"/>
  <c r="DG16" i="8"/>
  <c r="DG12" i="8"/>
  <c r="DG11" i="8"/>
  <c r="DG10" i="8"/>
  <c r="DG9" i="8"/>
  <c r="DG27" i="8" l="1"/>
  <c r="DG23" i="8"/>
  <c r="DG33" i="8"/>
  <c r="DG42" i="8"/>
  <c r="DG46" i="8"/>
  <c r="DG38" i="8"/>
  <c r="DH32" i="8"/>
  <c r="DH26" i="8"/>
  <c r="DH31" i="8" s="1"/>
  <c r="BO42" i="5"/>
  <c r="BO40" i="5" s="1"/>
  <c r="BO39" i="5" s="1"/>
  <c r="BO75" i="5"/>
  <c r="BO67" i="5"/>
  <c r="BO61" i="5"/>
  <c r="BO60" i="5" s="1"/>
  <c r="BO58" i="5"/>
  <c r="BO53" i="5"/>
  <c r="BO52" i="5" s="1"/>
  <c r="BO49" i="5"/>
  <c r="BO48" i="5" s="1"/>
  <c r="BO28" i="5"/>
  <c r="BO26" i="5" s="1"/>
  <c r="BO23" i="5"/>
  <c r="BO22" i="5" s="1"/>
  <c r="BO17" i="5"/>
  <c r="BO16" i="5" s="1"/>
  <c r="BO13" i="5"/>
  <c r="BO10" i="5"/>
  <c r="BO6" i="5"/>
  <c r="DG32" i="8" l="1"/>
  <c r="DH52" i="8"/>
  <c r="BO65" i="5"/>
  <c r="BO47" i="5"/>
  <c r="BO9" i="5"/>
  <c r="BL79" i="4"/>
  <c r="BP42" i="4"/>
  <c r="BP41" i="4" s="1"/>
  <c r="BP32" i="4"/>
  <c r="BP35" i="4"/>
  <c r="BP23" i="4"/>
  <c r="BP22" i="4"/>
  <c r="BP20" i="4" s="1"/>
  <c r="BP86" i="4"/>
  <c r="BP82" i="4"/>
  <c r="BP79" i="4"/>
  <c r="BP76" i="4"/>
  <c r="BP68" i="4"/>
  <c r="BP65" i="4" s="1"/>
  <c r="BP60" i="4"/>
  <c r="BP56" i="4"/>
  <c r="BP55" i="4" s="1"/>
  <c r="BP49" i="4"/>
  <c r="BP31" i="4"/>
  <c r="BP30" i="4" s="1"/>
  <c r="BP17" i="4"/>
  <c r="BP14" i="4"/>
  <c r="BP10" i="4"/>
  <c r="DB17" i="19"/>
  <c r="DB16" i="19" s="1"/>
  <c r="DA16" i="19"/>
  <c r="DA8" i="19"/>
  <c r="BO8" i="5" l="1"/>
  <c r="BP64" i="4"/>
  <c r="BP63" i="4" s="1"/>
  <c r="BP13" i="4"/>
  <c r="BP19" i="4"/>
  <c r="DG90" i="6"/>
  <c r="DH75" i="6"/>
  <c r="DB13" i="9" s="1"/>
  <c r="BP9" i="4" l="1"/>
  <c r="BP8" i="4" s="1"/>
  <c r="BP92" i="4" s="1"/>
  <c r="DE75" i="6"/>
  <c r="DG59" i="6"/>
  <c r="DG50" i="6"/>
  <c r="DA10" i="9" s="1"/>
  <c r="CZ50" i="6"/>
  <c r="DA26" i="6"/>
  <c r="DH26" i="6"/>
  <c r="DG94" i="6"/>
  <c r="DG92" i="6"/>
  <c r="DG91" i="6"/>
  <c r="DG89" i="6"/>
  <c r="DG88" i="6"/>
  <c r="DG87" i="6"/>
  <c r="DG86" i="6"/>
  <c r="DH85" i="6"/>
  <c r="DG84" i="6"/>
  <c r="DG83" i="6"/>
  <c r="DG82" i="6"/>
  <c r="DG81" i="6"/>
  <c r="DG80" i="6"/>
  <c r="DH79" i="6"/>
  <c r="DG40" i="6"/>
  <c r="DA20" i="9" s="1"/>
  <c r="DG18" i="6"/>
  <c r="DA19" i="9" s="1"/>
  <c r="DG9" i="6"/>
  <c r="DG58" i="6" l="1"/>
  <c r="DA11" i="9"/>
  <c r="DG8" i="6"/>
  <c r="DA7" i="9" s="1"/>
  <c r="DG85" i="6"/>
  <c r="DH78" i="6"/>
  <c r="DG79" i="6"/>
  <c r="DG31" i="6"/>
  <c r="DG48" i="6" l="1"/>
  <c r="DA8" i="9"/>
  <c r="DA9" i="9" s="1"/>
  <c r="DG78" i="6"/>
  <c r="CV32" i="6" l="1"/>
  <c r="DA13" i="20" l="1"/>
  <c r="CZ9" i="20"/>
  <c r="DF8" i="8" l="1"/>
  <c r="DE34" i="8"/>
  <c r="CW7" i="20"/>
  <c r="CZ17" i="19"/>
  <c r="CZ16" i="19" s="1"/>
  <c r="CY16" i="19"/>
  <c r="CY8" i="19"/>
  <c r="CJ23" i="9"/>
  <c r="CN23" i="9"/>
  <c r="CQ23" i="9"/>
  <c r="CS23" i="9" s="1"/>
  <c r="CU23" i="9" s="1"/>
  <c r="CX23" i="9"/>
  <c r="CZ22" i="9" l="1"/>
  <c r="DA22" i="9" s="1"/>
  <c r="CX22" i="9"/>
  <c r="CW22" i="9" s="1"/>
  <c r="CY22" i="9" l="1"/>
  <c r="CZ11" i="20" l="1"/>
  <c r="CZ10" i="20"/>
  <c r="CZ8" i="20"/>
  <c r="CZ7" i="20" l="1"/>
  <c r="DA16" i="20"/>
  <c r="CZ14" i="20"/>
  <c r="CZ13" i="20"/>
  <c r="CZ16" i="20"/>
  <c r="DA7" i="20"/>
  <c r="DA12" i="20" s="1"/>
  <c r="CZ16" i="9"/>
  <c r="CY16" i="9"/>
  <c r="CY14" i="9"/>
  <c r="CY12" i="9"/>
  <c r="DF46" i="8"/>
  <c r="DF19" i="8"/>
  <c r="DE14" i="8"/>
  <c r="DE50" i="8"/>
  <c r="DE49" i="8"/>
  <c r="DE47" i="8"/>
  <c r="DE45" i="8"/>
  <c r="DE44" i="8"/>
  <c r="DE43" i="8"/>
  <c r="DF42" i="8"/>
  <c r="DE41" i="8"/>
  <c r="DE40" i="8"/>
  <c r="DE39" i="8"/>
  <c r="DF38" i="8"/>
  <c r="DE37" i="8"/>
  <c r="DE36" i="8"/>
  <c r="DE35" i="8"/>
  <c r="DF33" i="8"/>
  <c r="DE30" i="8"/>
  <c r="DE29" i="8"/>
  <c r="DF27" i="8"/>
  <c r="DE27" i="8"/>
  <c r="DE25" i="8"/>
  <c r="DE24" i="8"/>
  <c r="DE23" i="8" s="1"/>
  <c r="DF23" i="8"/>
  <c r="DE21" i="8"/>
  <c r="DE18" i="8"/>
  <c r="DE17" i="8"/>
  <c r="DE16" i="8"/>
  <c r="DE12" i="8"/>
  <c r="DE11" i="8"/>
  <c r="DE10" i="8"/>
  <c r="DE9" i="8"/>
  <c r="DE8" i="8" s="1"/>
  <c r="DG19" i="8" l="1"/>
  <c r="DF15" i="8"/>
  <c r="DE33" i="8"/>
  <c r="CZ19" i="20"/>
  <c r="CZ12" i="20"/>
  <c r="DA19" i="20"/>
  <c r="DE46" i="8"/>
  <c r="DE42" i="8"/>
  <c r="DE38" i="8"/>
  <c r="DF32" i="8"/>
  <c r="DE32" i="8" l="1"/>
  <c r="DG15" i="8"/>
  <c r="DF22" i="8"/>
  <c r="DF26" i="8" s="1"/>
  <c r="DF31" i="8" s="1"/>
  <c r="DF52" i="8" s="1"/>
  <c r="DG22" i="8" l="1"/>
  <c r="DG26" i="8" s="1"/>
  <c r="DE59" i="6"/>
  <c r="CY11" i="9" s="1"/>
  <c r="CY13" i="9"/>
  <c r="DE50" i="6"/>
  <c r="CY10" i="9" s="1"/>
  <c r="DE9" i="6"/>
  <c r="DG31" i="8" l="1"/>
  <c r="DE94" i="6"/>
  <c r="DE92" i="6"/>
  <c r="DE91" i="6"/>
  <c r="DE88" i="6"/>
  <c r="DE87" i="6"/>
  <c r="DE86" i="6"/>
  <c r="DF85" i="6"/>
  <c r="DE84" i="6"/>
  <c r="DE83" i="6"/>
  <c r="DE82" i="6"/>
  <c r="DE81" i="6"/>
  <c r="DE80" i="6"/>
  <c r="DF79" i="6"/>
  <c r="DE58" i="6"/>
  <c r="DE40" i="6"/>
  <c r="CY20" i="9" s="1"/>
  <c r="DE32" i="6"/>
  <c r="DE18" i="6"/>
  <c r="CY19" i="9" s="1"/>
  <c r="BN42" i="5"/>
  <c r="BN75" i="5"/>
  <c r="BN67" i="5"/>
  <c r="BN61" i="5"/>
  <c r="BN60" i="5"/>
  <c r="BN58" i="5"/>
  <c r="BN53" i="5"/>
  <c r="BN52" i="5" s="1"/>
  <c r="BN49" i="5"/>
  <c r="BN48" i="5" s="1"/>
  <c r="BN40" i="5"/>
  <c r="BN39" i="5" s="1"/>
  <c r="BN28" i="5"/>
  <c r="BN26" i="5" s="1"/>
  <c r="BN23" i="5"/>
  <c r="BN22" i="5" s="1"/>
  <c r="BN17" i="5"/>
  <c r="BN16" i="5" s="1"/>
  <c r="BN13" i="5"/>
  <c r="BN10" i="5"/>
  <c r="BN6" i="5"/>
  <c r="BO69" i="4"/>
  <c r="BO68" i="4" s="1"/>
  <c r="BO65" i="4" s="1"/>
  <c r="BL56" i="4"/>
  <c r="BO56" i="4"/>
  <c r="BO55" i="4" s="1"/>
  <c r="BO23" i="4"/>
  <c r="BO35" i="4"/>
  <c r="BO86" i="4"/>
  <c r="BO82" i="4"/>
  <c r="BO79" i="4"/>
  <c r="BO76" i="4"/>
  <c r="BO60" i="4"/>
  <c r="BO49" i="4"/>
  <c r="BO42" i="4"/>
  <c r="BO32" i="4"/>
  <c r="BO31" i="4" s="1"/>
  <c r="BO30" i="4" s="1"/>
  <c r="BO20" i="4"/>
  <c r="BO17" i="4"/>
  <c r="BO14" i="4"/>
  <c r="BO10" i="4"/>
  <c r="BO19" i="4" l="1"/>
  <c r="DE8" i="6"/>
  <c r="DG52" i="8"/>
  <c r="BO13" i="4"/>
  <c r="BO64" i="4"/>
  <c r="BO63" i="4" s="1"/>
  <c r="DF78" i="6"/>
  <c r="DE79" i="6"/>
  <c r="DE31" i="6"/>
  <c r="DE49" i="6"/>
  <c r="BN65" i="5"/>
  <c r="BN47" i="5"/>
  <c r="BN9" i="5"/>
  <c r="BO41" i="4"/>
  <c r="BO9" i="4" l="1"/>
  <c r="DE48" i="6"/>
  <c r="DE77" i="6" s="1"/>
  <c r="CY7" i="9"/>
  <c r="CY8" i="9"/>
  <c r="BN8" i="5"/>
  <c r="BO8" i="4"/>
  <c r="BO92" i="4" s="1"/>
  <c r="BM67" i="5"/>
  <c r="BM49" i="5"/>
  <c r="BM53" i="5"/>
  <c r="BM52" i="5" s="1"/>
  <c r="CY9" i="9" l="1"/>
  <c r="CY15" i="9" s="1"/>
  <c r="CY18" i="9" s="1"/>
  <c r="CW99" i="6"/>
  <c r="CW98" i="6"/>
  <c r="BM39" i="5"/>
  <c r="CY16" i="20" l="1"/>
  <c r="CX11" i="20"/>
  <c r="CX10" i="20"/>
  <c r="CW12" i="20"/>
  <c r="CY12" i="20"/>
  <c r="CQ11" i="20"/>
  <c r="DC47" i="8" l="1"/>
  <c r="CY23" i="9"/>
  <c r="CX13" i="20"/>
  <c r="DD96" i="6"/>
  <c r="DF96" i="6" s="1"/>
  <c r="DH96" i="6" s="1"/>
  <c r="BM26" i="5"/>
  <c r="BM42" i="5"/>
  <c r="BM23" i="5" l="1"/>
  <c r="BM22" i="5" s="1"/>
  <c r="BK10" i="5"/>
  <c r="CX14" i="20"/>
  <c r="CX16" i="9"/>
  <c r="CY46" i="8"/>
  <c r="DA46" i="8"/>
  <c r="DB46" i="8"/>
  <c r="DC50" i="8"/>
  <c r="DC49" i="8"/>
  <c r="DC46" i="8" s="1"/>
  <c r="CY42" i="8"/>
  <c r="DA42" i="8"/>
  <c r="DA32" i="8" s="1"/>
  <c r="DB42" i="8"/>
  <c r="DC44" i="8"/>
  <c r="DC42" i="8" s="1"/>
  <c r="DC43" i="8"/>
  <c r="CY38" i="8"/>
  <c r="DA38" i="8"/>
  <c r="DB38" i="8"/>
  <c r="DC41" i="8"/>
  <c r="DC38" i="8" s="1"/>
  <c r="DC40" i="8"/>
  <c r="DC39" i="8"/>
  <c r="CY27" i="8"/>
  <c r="DA27" i="8"/>
  <c r="DB27" i="8"/>
  <c r="DC27" i="8"/>
  <c r="CY33" i="8"/>
  <c r="DA33" i="8"/>
  <c r="DB33" i="8"/>
  <c r="DC37" i="8"/>
  <c r="DC36" i="8"/>
  <c r="DC35" i="8"/>
  <c r="DC34" i="8"/>
  <c r="DC33" i="8" s="1"/>
  <c r="CY23" i="8"/>
  <c r="DA23" i="8"/>
  <c r="DB23" i="8"/>
  <c r="DC30" i="8"/>
  <c r="DC29" i="8"/>
  <c r="DC25" i="8"/>
  <c r="DC24" i="8"/>
  <c r="DC23" i="8" s="1"/>
  <c r="DC21" i="8"/>
  <c r="DC18" i="8"/>
  <c r="DC17" i="8"/>
  <c r="DC16" i="8"/>
  <c r="DC14" i="8"/>
  <c r="DC9" i="8"/>
  <c r="DD89" i="6"/>
  <c r="DC92" i="6"/>
  <c r="DC91" i="6"/>
  <c r="DC87" i="6"/>
  <c r="DC86" i="6"/>
  <c r="DC84" i="6"/>
  <c r="DC83" i="6"/>
  <c r="DC82" i="6"/>
  <c r="DC81" i="6"/>
  <c r="DC80" i="6"/>
  <c r="CV80" i="6"/>
  <c r="DC75" i="6"/>
  <c r="DD75" i="6" s="1"/>
  <c r="DC69" i="6"/>
  <c r="DC59" i="6" s="1"/>
  <c r="DC58" i="6" s="1"/>
  <c r="BL69" i="4"/>
  <c r="BN69" i="4"/>
  <c r="BN68" i="4" s="1"/>
  <c r="BN65" i="4" s="1"/>
  <c r="BM56" i="4"/>
  <c r="BN56" i="4"/>
  <c r="BN55" i="4" s="1"/>
  <c r="BN35" i="4"/>
  <c r="BN32" i="4"/>
  <c r="BL20" i="4"/>
  <c r="CX15" i="19"/>
  <c r="CW15" i="19"/>
  <c r="CX17" i="19"/>
  <c r="CX16" i="19" s="1"/>
  <c r="CW16" i="19"/>
  <c r="CW8" i="19"/>
  <c r="CX8" i="20"/>
  <c r="CX7" i="20" s="1"/>
  <c r="CY17" i="20"/>
  <c r="CY19" i="20" s="1"/>
  <c r="CX9" i="20"/>
  <c r="CX24" i="9"/>
  <c r="CZ24" i="9" s="1"/>
  <c r="CW14" i="9"/>
  <c r="CW26" i="9" s="1"/>
  <c r="CX26" i="9" s="1"/>
  <c r="CY26" i="9" s="1"/>
  <c r="CY27" i="9" s="1"/>
  <c r="CW12" i="9"/>
  <c r="DD46" i="8"/>
  <c r="DD42" i="8"/>
  <c r="DD38" i="8"/>
  <c r="DD33" i="8"/>
  <c r="DD27" i="8"/>
  <c r="DD23" i="8"/>
  <c r="BM75" i="5"/>
  <c r="BM61" i="5"/>
  <c r="BM60" i="5"/>
  <c r="BM58" i="5"/>
  <c r="BM48" i="5"/>
  <c r="BM40" i="5"/>
  <c r="BM28" i="5"/>
  <c r="BM17" i="5"/>
  <c r="BM16" i="5" s="1"/>
  <c r="BM13" i="5"/>
  <c r="BM10" i="5"/>
  <c r="BM6" i="5"/>
  <c r="BN20" i="4"/>
  <c r="BN86" i="4"/>
  <c r="BN82" i="4"/>
  <c r="BN79" i="4"/>
  <c r="BN76" i="4"/>
  <c r="BN60" i="4"/>
  <c r="BN49" i="4"/>
  <c r="BN42" i="4"/>
  <c r="BN23" i="4"/>
  <c r="BN17" i="4"/>
  <c r="BN14" i="4"/>
  <c r="BN13" i="4" s="1"/>
  <c r="BN10" i="4"/>
  <c r="DD99" i="6"/>
  <c r="DF99" i="6" s="1"/>
  <c r="DH99" i="6" s="1"/>
  <c r="DD98" i="6"/>
  <c r="DF98" i="6" s="1"/>
  <c r="DH98" i="6" s="1"/>
  <c r="DD95" i="6"/>
  <c r="DF95" i="6" s="1"/>
  <c r="DD79" i="6"/>
  <c r="DD76" i="6"/>
  <c r="DD74" i="6"/>
  <c r="DF74" i="6" s="1"/>
  <c r="DD73" i="6"/>
  <c r="DF73" i="6" s="1"/>
  <c r="DH73" i="6" s="1"/>
  <c r="DD72" i="6"/>
  <c r="DF72" i="6" s="1"/>
  <c r="DH72" i="6" s="1"/>
  <c r="DD71" i="6"/>
  <c r="DF71" i="6" s="1"/>
  <c r="DH71" i="6" s="1"/>
  <c r="DD70" i="6"/>
  <c r="DF70" i="6" s="1"/>
  <c r="DH70" i="6" s="1"/>
  <c r="DD68" i="6"/>
  <c r="DF68" i="6" s="1"/>
  <c r="DH68" i="6" s="1"/>
  <c r="DD67" i="6"/>
  <c r="DF67" i="6" s="1"/>
  <c r="DH67" i="6" s="1"/>
  <c r="DD66" i="6"/>
  <c r="DF66" i="6" s="1"/>
  <c r="DH66" i="6" s="1"/>
  <c r="DD65" i="6"/>
  <c r="DF65" i="6" s="1"/>
  <c r="DH65" i="6" s="1"/>
  <c r="DD64" i="6"/>
  <c r="DF64" i="6" s="1"/>
  <c r="DH64" i="6" s="1"/>
  <c r="DD63" i="6"/>
  <c r="DF63" i="6" s="1"/>
  <c r="DH63" i="6" s="1"/>
  <c r="DD62" i="6"/>
  <c r="DF62" i="6" s="1"/>
  <c r="DH62" i="6" s="1"/>
  <c r="DD61" i="6"/>
  <c r="DF61" i="6" s="1"/>
  <c r="DH61" i="6" s="1"/>
  <c r="DD60" i="6"/>
  <c r="DD57" i="6"/>
  <c r="DF57" i="6" s="1"/>
  <c r="DD55" i="6"/>
  <c r="DF55" i="6" s="1"/>
  <c r="DH55" i="6" s="1"/>
  <c r="DD54" i="6"/>
  <c r="DF54" i="6" s="1"/>
  <c r="DH54" i="6" s="1"/>
  <c r="DD53" i="6"/>
  <c r="DF53" i="6" s="1"/>
  <c r="DH53" i="6" s="1"/>
  <c r="DD52" i="6"/>
  <c r="DF52" i="6" s="1"/>
  <c r="DH52" i="6" s="1"/>
  <c r="DD51" i="6"/>
  <c r="DF51" i="6" s="1"/>
  <c r="DH51" i="6" s="1"/>
  <c r="DD47" i="6"/>
  <c r="DF47" i="6" s="1"/>
  <c r="DH47" i="6" s="1"/>
  <c r="DD46" i="6"/>
  <c r="DF46" i="6" s="1"/>
  <c r="DH46" i="6" s="1"/>
  <c r="DD44" i="6"/>
  <c r="DF44" i="6" s="1"/>
  <c r="DH44" i="6" s="1"/>
  <c r="DD43" i="6"/>
  <c r="DF43" i="6" s="1"/>
  <c r="DH43" i="6" s="1"/>
  <c r="DD42" i="6"/>
  <c r="DF42" i="6" s="1"/>
  <c r="DH42" i="6" s="1"/>
  <c r="DD41" i="6"/>
  <c r="DD39" i="6"/>
  <c r="DF39" i="6" s="1"/>
  <c r="DH39" i="6" s="1"/>
  <c r="DD38" i="6"/>
  <c r="DF38" i="6" s="1"/>
  <c r="DH38" i="6" s="1"/>
  <c r="DD37" i="6"/>
  <c r="DF37" i="6" s="1"/>
  <c r="DH37" i="6" s="1"/>
  <c r="DD36" i="6"/>
  <c r="DF36" i="6" s="1"/>
  <c r="DH36" i="6" s="1"/>
  <c r="DD35" i="6"/>
  <c r="DF35" i="6" s="1"/>
  <c r="DH35" i="6" s="1"/>
  <c r="DD34" i="6"/>
  <c r="DF34" i="6" s="1"/>
  <c r="DH34" i="6" s="1"/>
  <c r="DD33" i="6"/>
  <c r="DF33" i="6" s="1"/>
  <c r="DH33" i="6" s="1"/>
  <c r="DD25" i="6"/>
  <c r="DF25" i="6" s="1"/>
  <c r="DH25" i="6" s="1"/>
  <c r="DD24" i="6"/>
  <c r="DF24" i="6" s="1"/>
  <c r="DH24" i="6" s="1"/>
  <c r="DD23" i="6"/>
  <c r="DF23" i="6" s="1"/>
  <c r="DH23" i="6" s="1"/>
  <c r="DD22" i="6"/>
  <c r="DF22" i="6" s="1"/>
  <c r="DH22" i="6" s="1"/>
  <c r="DD21" i="6"/>
  <c r="DF21" i="6" s="1"/>
  <c r="DH21" i="6" s="1"/>
  <c r="DD20" i="6"/>
  <c r="DF20" i="6" s="1"/>
  <c r="DH20" i="6" s="1"/>
  <c r="DD19" i="6"/>
  <c r="DF19" i="6" s="1"/>
  <c r="DH19" i="6" s="1"/>
  <c r="DC40" i="6"/>
  <c r="CW20" i="9" s="1"/>
  <c r="DC94" i="6"/>
  <c r="DC50" i="6"/>
  <c r="CW10" i="9" s="1"/>
  <c r="DC32" i="6"/>
  <c r="DC18" i="6"/>
  <c r="CW19" i="9" s="1"/>
  <c r="DC9" i="6"/>
  <c r="CV16" i="9"/>
  <c r="BN31" i="4" l="1"/>
  <c r="BN30" i="4" s="1"/>
  <c r="DD32" i="8"/>
  <c r="DB32" i="8"/>
  <c r="CY32" i="8"/>
  <c r="DH9" i="6"/>
  <c r="DC8" i="6"/>
  <c r="DC79" i="6"/>
  <c r="CZ8" i="19"/>
  <c r="DC32" i="8"/>
  <c r="CW16" i="9"/>
  <c r="DD69" i="6"/>
  <c r="DF69" i="6" s="1"/>
  <c r="DH69" i="6" s="1"/>
  <c r="DH32" i="6"/>
  <c r="DH18" i="6"/>
  <c r="DH74" i="6"/>
  <c r="DB12" i="9" s="1"/>
  <c r="CZ12" i="9"/>
  <c r="DF94" i="6"/>
  <c r="DH95" i="6"/>
  <c r="DH94" i="6" s="1"/>
  <c r="DF9" i="6"/>
  <c r="CX16" i="20"/>
  <c r="CY28" i="9"/>
  <c r="DF41" i="6"/>
  <c r="DD40" i="6"/>
  <c r="CX13" i="9"/>
  <c r="DF75" i="6"/>
  <c r="DG75" i="6" s="1"/>
  <c r="DA13" i="9" s="1"/>
  <c r="DE89" i="6"/>
  <c r="DD85" i="6"/>
  <c r="DD78" i="6" s="1"/>
  <c r="DF32" i="6"/>
  <c r="CX12" i="9"/>
  <c r="DC89" i="6"/>
  <c r="DC85" i="6" s="1"/>
  <c r="DC78" i="6" s="1"/>
  <c r="CX14" i="9"/>
  <c r="DF76" i="6"/>
  <c r="DG76" i="6" s="1"/>
  <c r="DA14" i="9" s="1"/>
  <c r="DF18" i="6"/>
  <c r="DF60" i="6"/>
  <c r="CX12" i="20"/>
  <c r="CX8" i="19"/>
  <c r="CX19" i="20"/>
  <c r="DD94" i="6"/>
  <c r="CW13" i="9"/>
  <c r="CW11" i="9"/>
  <c r="DD32" i="6"/>
  <c r="DD18" i="6"/>
  <c r="DD9" i="6"/>
  <c r="DD8" i="6" s="1"/>
  <c r="BM65" i="5"/>
  <c r="BM47" i="5"/>
  <c r="BM9" i="5"/>
  <c r="BN64" i="4"/>
  <c r="BN63" i="4" s="1"/>
  <c r="BN41" i="4"/>
  <c r="BN19" i="4"/>
  <c r="DC49" i="6"/>
  <c r="DC31" i="6"/>
  <c r="DA15" i="9" l="1"/>
  <c r="DC48" i="6"/>
  <c r="DF8" i="6"/>
  <c r="CZ7" i="9" s="1"/>
  <c r="DH8" i="6"/>
  <c r="DB7" i="9" s="1"/>
  <c r="DG49" i="6"/>
  <c r="DG77" i="6" s="1"/>
  <c r="DG93" i="6" s="1"/>
  <c r="DG97" i="6" s="1"/>
  <c r="DD59" i="6"/>
  <c r="DD58" i="6" s="1"/>
  <c r="CW7" i="9"/>
  <c r="DC77" i="6"/>
  <c r="DC93" i="6" s="1"/>
  <c r="CZ14" i="9"/>
  <c r="DE85" i="6"/>
  <c r="DE78" i="6" s="1"/>
  <c r="DE93" i="6" s="1"/>
  <c r="DE97" i="6" s="1"/>
  <c r="CZ13" i="9"/>
  <c r="DF59" i="6"/>
  <c r="DH60" i="6"/>
  <c r="DH59" i="6" s="1"/>
  <c r="DF40" i="6"/>
  <c r="DF31" i="6" s="1"/>
  <c r="DH41" i="6"/>
  <c r="DH40" i="6" s="1"/>
  <c r="DH31" i="6" s="1"/>
  <c r="DB8" i="9" s="1"/>
  <c r="CW8" i="9"/>
  <c r="DD31" i="6"/>
  <c r="DD48" i="6" s="1"/>
  <c r="CX11" i="9"/>
  <c r="CX7" i="9"/>
  <c r="BN9" i="4"/>
  <c r="BM8" i="5"/>
  <c r="CV16" i="19"/>
  <c r="CV8" i="19"/>
  <c r="CW16" i="20"/>
  <c r="CW19" i="20" s="1"/>
  <c r="CP7" i="20"/>
  <c r="CP12" i="20" s="1"/>
  <c r="CV12" i="9"/>
  <c r="CV13" i="9"/>
  <c r="CV14" i="9"/>
  <c r="DB19" i="8"/>
  <c r="DB85" i="6"/>
  <c r="DB59" i="6"/>
  <c r="DB58" i="6" s="1"/>
  <c r="DB40" i="6"/>
  <c r="CV20" i="9" s="1"/>
  <c r="CX20" i="9" s="1"/>
  <c r="CZ20" i="9" s="1"/>
  <c r="DB20" i="9" s="1"/>
  <c r="DB94" i="6"/>
  <c r="DB79" i="6"/>
  <c r="DB50" i="6"/>
  <c r="DD50" i="6" s="1"/>
  <c r="DB32" i="6"/>
  <c r="DB18" i="6"/>
  <c r="CV19" i="9" s="1"/>
  <c r="CX19" i="9" s="1"/>
  <c r="CZ19" i="9" s="1"/>
  <c r="DB19" i="9" s="1"/>
  <c r="DB9" i="6"/>
  <c r="BL42" i="5"/>
  <c r="BL40" i="5" s="1"/>
  <c r="BL39" i="5" s="1"/>
  <c r="BL28" i="5"/>
  <c r="BL26" i="5" s="1"/>
  <c r="BL75" i="5"/>
  <c r="BL67" i="5"/>
  <c r="BL61" i="5"/>
  <c r="BL60" i="5" s="1"/>
  <c r="BL58" i="5"/>
  <c r="BL53" i="5"/>
  <c r="BL52" i="5" s="1"/>
  <c r="BL49" i="5"/>
  <c r="BL48" i="5" s="1"/>
  <c r="BL23" i="5"/>
  <c r="BL22" i="5" s="1"/>
  <c r="BL17" i="5"/>
  <c r="BL16" i="5" s="1"/>
  <c r="BL13" i="5"/>
  <c r="BL10" i="5"/>
  <c r="BL6" i="5"/>
  <c r="DA18" i="9" l="1"/>
  <c r="DA27" i="9" s="1"/>
  <c r="DA28" i="9" s="1"/>
  <c r="DH58" i="6"/>
  <c r="DB11" i="9"/>
  <c r="DB9" i="9"/>
  <c r="DB8" i="6"/>
  <c r="DH48" i="6"/>
  <c r="CZ8" i="9"/>
  <c r="CZ9" i="9" s="1"/>
  <c r="DF48" i="6"/>
  <c r="CW9" i="9"/>
  <c r="CW15" i="9" s="1"/>
  <c r="DB15" i="8"/>
  <c r="DB22" i="8" s="1"/>
  <c r="DB26" i="8" s="1"/>
  <c r="DB31" i="8" s="1"/>
  <c r="DB52" i="8" s="1"/>
  <c r="DF58" i="6"/>
  <c r="CZ11" i="9"/>
  <c r="CX8" i="9"/>
  <c r="CX9" i="9" s="1"/>
  <c r="CV11" i="9"/>
  <c r="CX10" i="9"/>
  <c r="DF50" i="6"/>
  <c r="DH50" i="6" s="1"/>
  <c r="DB10" i="9" s="1"/>
  <c r="DD49" i="6"/>
  <c r="CV10" i="9"/>
  <c r="DC97" i="6"/>
  <c r="BN8" i="4"/>
  <c r="BN92" i="4" s="1"/>
  <c r="DB78" i="6"/>
  <c r="DB49" i="6"/>
  <c r="DB31" i="6"/>
  <c r="BL65" i="5"/>
  <c r="BL47" i="5"/>
  <c r="BL9" i="5"/>
  <c r="BH49" i="4"/>
  <c r="CW18" i="9" l="1"/>
  <c r="CW27" i="9" s="1"/>
  <c r="CW28" i="9" s="1"/>
  <c r="DB15" i="9"/>
  <c r="CV8" i="9"/>
  <c r="DB48" i="6"/>
  <c r="CV7" i="9"/>
  <c r="CV9" i="9" s="1"/>
  <c r="CV15" i="9" s="1"/>
  <c r="CV18" i="9" s="1"/>
  <c r="CX15" i="9"/>
  <c r="DF49" i="6"/>
  <c r="DF77" i="6" s="1"/>
  <c r="DF93" i="6" s="1"/>
  <c r="DF97" i="6" s="1"/>
  <c r="CZ10" i="9"/>
  <c r="CZ15" i="9" s="1"/>
  <c r="DB77" i="6"/>
  <c r="BL8" i="5"/>
  <c r="BM68" i="4"/>
  <c r="CX18" i="9" l="1"/>
  <c r="CX27" i="9" s="1"/>
  <c r="CX28" i="9" s="1"/>
  <c r="CZ18" i="9"/>
  <c r="CZ27" i="9" s="1"/>
  <c r="CZ28" i="9" s="1"/>
  <c r="DB18" i="9"/>
  <c r="DB27" i="9" s="1"/>
  <c r="DB28" i="9" s="1"/>
  <c r="DH49" i="6"/>
  <c r="DH77" i="6" s="1"/>
  <c r="DH93" i="6" s="1"/>
  <c r="DH97" i="6" s="1"/>
  <c r="CV27" i="9"/>
  <c r="CV28" i="9" s="1"/>
  <c r="DD77" i="6"/>
  <c r="DD93" i="6" s="1"/>
  <c r="DD97" i="6" s="1"/>
  <c r="DB93" i="6"/>
  <c r="DB97" i="6" s="1"/>
  <c r="BM60" i="4"/>
  <c r="BM42" i="4"/>
  <c r="BM35" i="4"/>
  <c r="BM20" i="4"/>
  <c r="BM82" i="4"/>
  <c r="BM79" i="4"/>
  <c r="BM76" i="4"/>
  <c r="BM65" i="4"/>
  <c r="BM55" i="4"/>
  <c r="BM49" i="4"/>
  <c r="BM32" i="4"/>
  <c r="BM23" i="4"/>
  <c r="BM17" i="4"/>
  <c r="BM14" i="4"/>
  <c r="BM10" i="4"/>
  <c r="CU17" i="19"/>
  <c r="CU16" i="19" s="1"/>
  <c r="CT16" i="19"/>
  <c r="CN17" i="19"/>
  <c r="CN16" i="19"/>
  <c r="CT8" i="19"/>
  <c r="BM19" i="4" l="1"/>
  <c r="BM31" i="4"/>
  <c r="BM30" i="4" s="1"/>
  <c r="BM13" i="4"/>
  <c r="BM64" i="4"/>
  <c r="BM41" i="4"/>
  <c r="BM9" i="4" s="1"/>
  <c r="CU13" i="20" l="1"/>
  <c r="CU8" i="20"/>
  <c r="CV7" i="20"/>
  <c r="CV12" i="20" s="1"/>
  <c r="CV16" i="20"/>
  <c r="CU14" i="20"/>
  <c r="CU11" i="20"/>
  <c r="CU10" i="20"/>
  <c r="CU9" i="20"/>
  <c r="CU7" i="20" s="1"/>
  <c r="CU16" i="9"/>
  <c r="CU14" i="9"/>
  <c r="CU12" i="9"/>
  <c r="DA19" i="8"/>
  <c r="DA26" i="8" s="1"/>
  <c r="DA31" i="8" s="1"/>
  <c r="DA52" i="8" s="1"/>
  <c r="CZ9" i="8"/>
  <c r="CZ50" i="8"/>
  <c r="CZ49" i="8"/>
  <c r="CZ48" i="8"/>
  <c r="CZ47" i="8"/>
  <c r="CZ45" i="8"/>
  <c r="CZ44" i="8"/>
  <c r="CZ43" i="8"/>
  <c r="CZ41" i="8"/>
  <c r="CZ40" i="8"/>
  <c r="CZ39" i="8"/>
  <c r="CZ38" i="8" s="1"/>
  <c r="CZ37" i="8"/>
  <c r="CZ36" i="8"/>
  <c r="CZ35" i="8"/>
  <c r="CZ34" i="8"/>
  <c r="CZ30" i="8"/>
  <c r="CZ29" i="8"/>
  <c r="CZ25" i="8"/>
  <c r="CZ24" i="8"/>
  <c r="CZ21" i="8"/>
  <c r="CZ20" i="8"/>
  <c r="CZ18" i="8"/>
  <c r="CZ17" i="8"/>
  <c r="CZ16" i="8"/>
  <c r="CZ12" i="8"/>
  <c r="CZ11" i="8"/>
  <c r="CZ10" i="8"/>
  <c r="DA75" i="6"/>
  <c r="CT10" i="9"/>
  <c r="CZ80" i="6"/>
  <c r="CZ9" i="6"/>
  <c r="CZ59" i="6"/>
  <c r="CT11" i="9" s="1"/>
  <c r="CZ92" i="6"/>
  <c r="CZ91" i="6"/>
  <c r="CZ89" i="6"/>
  <c r="CZ88" i="6"/>
  <c r="CZ87" i="6"/>
  <c r="CZ86" i="6"/>
  <c r="DA85" i="6"/>
  <c r="CZ84" i="6"/>
  <c r="CZ83" i="6"/>
  <c r="CZ82" i="6"/>
  <c r="CZ81" i="6"/>
  <c r="DA79" i="6"/>
  <c r="CZ40" i="6"/>
  <c r="CZ32" i="6"/>
  <c r="CZ18" i="6"/>
  <c r="CX17" i="8"/>
  <c r="CW12" i="6"/>
  <c r="CW10" i="6"/>
  <c r="BK42" i="5"/>
  <c r="BK40" i="5"/>
  <c r="BK39" i="5" s="1"/>
  <c r="BG26" i="5"/>
  <c r="BK75" i="5"/>
  <c r="BK67" i="5"/>
  <c r="BK61" i="5"/>
  <c r="BK60" i="5" s="1"/>
  <c r="BK58" i="5"/>
  <c r="BK53" i="5"/>
  <c r="BK52" i="5" s="1"/>
  <c r="BK49" i="5"/>
  <c r="BK48" i="5" s="1"/>
  <c r="BK28" i="5"/>
  <c r="BK26" i="5" s="1"/>
  <c r="BK23" i="5"/>
  <c r="BK22" i="5" s="1"/>
  <c r="BK17" i="5"/>
  <c r="BK16" i="5" s="1"/>
  <c r="BK13" i="5"/>
  <c r="BK6" i="5"/>
  <c r="BL68" i="4"/>
  <c r="BL65" i="4" s="1"/>
  <c r="BH76" i="4"/>
  <c r="BL35" i="4"/>
  <c r="BH32" i="4"/>
  <c r="BL82" i="4"/>
  <c r="BL76" i="4"/>
  <c r="BL60" i="4"/>
  <c r="BL55" i="4"/>
  <c r="BL49" i="4"/>
  <c r="BL42" i="4"/>
  <c r="BL32" i="4"/>
  <c r="BL23" i="4"/>
  <c r="BL19" i="4" s="1"/>
  <c r="BL17" i="4"/>
  <c r="BL14" i="4"/>
  <c r="BL13" i="4" s="1"/>
  <c r="BL10" i="4"/>
  <c r="CS17" i="19"/>
  <c r="CS16" i="19" s="1"/>
  <c r="CS9" i="19"/>
  <c r="CU9" i="19" s="1"/>
  <c r="CS12" i="19"/>
  <c r="CU12" i="19" s="1"/>
  <c r="CR8" i="19"/>
  <c r="CS14" i="20"/>
  <c r="CS13" i="20"/>
  <c r="CS11" i="20"/>
  <c r="CS10" i="20"/>
  <c r="CS9" i="20"/>
  <c r="CS8" i="20"/>
  <c r="CR12" i="9"/>
  <c r="CR14" i="9"/>
  <c r="CS16" i="9"/>
  <c r="CX9" i="8"/>
  <c r="CX50" i="8"/>
  <c r="CX49" i="8"/>
  <c r="CX47" i="8"/>
  <c r="CX45" i="8"/>
  <c r="CX44" i="8"/>
  <c r="CX43" i="8"/>
  <c r="CX42" i="8" s="1"/>
  <c r="CX41" i="8"/>
  <c r="CX40" i="8"/>
  <c r="CX39" i="8"/>
  <c r="CX38" i="8" s="1"/>
  <c r="CX37" i="8"/>
  <c r="CX36" i="8"/>
  <c r="CX35" i="8"/>
  <c r="CX34" i="8"/>
  <c r="CX30" i="8"/>
  <c r="CX29" i="8"/>
  <c r="CX25" i="8"/>
  <c r="CX24" i="8"/>
  <c r="CX21" i="8"/>
  <c r="CX20" i="8"/>
  <c r="CY19" i="8"/>
  <c r="CY15" i="8" s="1"/>
  <c r="CY22" i="8" s="1"/>
  <c r="CY26" i="8" s="1"/>
  <c r="CY31" i="8" s="1"/>
  <c r="CY52" i="8" s="1"/>
  <c r="CX18" i="8"/>
  <c r="CX16" i="8"/>
  <c r="CX12" i="8"/>
  <c r="CX11" i="8"/>
  <c r="CX10" i="8"/>
  <c r="CX59" i="6"/>
  <c r="CX58" i="6" s="1"/>
  <c r="CX75" i="6"/>
  <c r="CR13" i="9" s="1"/>
  <c r="CR10" i="9"/>
  <c r="CX40" i="6"/>
  <c r="CX32" i="6"/>
  <c r="CX94" i="6"/>
  <c r="CX92" i="6"/>
  <c r="CX91" i="6"/>
  <c r="CX89" i="6"/>
  <c r="CX88" i="6"/>
  <c r="CX87" i="6"/>
  <c r="CX86" i="6"/>
  <c r="CY85" i="6"/>
  <c r="CX84" i="6"/>
  <c r="CX83" i="6"/>
  <c r="CX82" i="6"/>
  <c r="CX81" i="6"/>
  <c r="CX80" i="6"/>
  <c r="CY79" i="6"/>
  <c r="CX21" i="6"/>
  <c r="BJ67" i="5"/>
  <c r="BJ42" i="5"/>
  <c r="BJ40" i="5"/>
  <c r="BJ39" i="5" s="1"/>
  <c r="BJ75" i="5"/>
  <c r="BJ61" i="5"/>
  <c r="BJ60" i="5" s="1"/>
  <c r="BJ58" i="5"/>
  <c r="BJ53" i="5"/>
  <c r="BJ52" i="5" s="1"/>
  <c r="BJ49" i="5"/>
  <c r="BJ48" i="5" s="1"/>
  <c r="BJ28" i="5"/>
  <c r="BJ26" i="5" s="1"/>
  <c r="BJ23" i="5"/>
  <c r="BJ22" i="5"/>
  <c r="BJ17" i="5"/>
  <c r="BJ16" i="5" s="1"/>
  <c r="BJ13" i="5"/>
  <c r="BJ10" i="5"/>
  <c r="BJ6" i="5"/>
  <c r="BK68" i="4"/>
  <c r="BK65" i="4" s="1"/>
  <c r="BK35" i="4"/>
  <c r="BK86" i="4"/>
  <c r="BK82" i="4"/>
  <c r="BK79" i="4"/>
  <c r="BK76" i="4"/>
  <c r="BK60" i="4"/>
  <c r="BK56" i="4"/>
  <c r="BK55" i="4" s="1"/>
  <c r="BK49" i="4"/>
  <c r="BK42" i="4"/>
  <c r="BK32" i="4"/>
  <c r="BK23" i="4"/>
  <c r="BK20" i="4"/>
  <c r="BK17" i="4"/>
  <c r="BK14" i="4"/>
  <c r="BK13" i="4" s="1"/>
  <c r="BK10" i="4"/>
  <c r="BL64" i="4" l="1"/>
  <c r="BL31" i="4"/>
  <c r="CX85" i="6"/>
  <c r="CZ42" i="8"/>
  <c r="CZ8" i="6"/>
  <c r="CT16" i="9"/>
  <c r="CZ23" i="8"/>
  <c r="CX27" i="8"/>
  <c r="CZ27" i="8"/>
  <c r="CX33" i="8"/>
  <c r="CZ33" i="8"/>
  <c r="CR16" i="9"/>
  <c r="CX23" i="8"/>
  <c r="CX46" i="8"/>
  <c r="CZ46" i="8"/>
  <c r="CS16" i="20"/>
  <c r="CS19" i="20" s="1"/>
  <c r="CU13" i="9"/>
  <c r="BL41" i="4"/>
  <c r="CU16" i="20"/>
  <c r="CU19" i="20" s="1"/>
  <c r="CU12" i="20"/>
  <c r="CZ19" i="8"/>
  <c r="CZ15" i="8" s="1"/>
  <c r="DA78" i="6"/>
  <c r="CZ85" i="6"/>
  <c r="CR11" i="9"/>
  <c r="CZ79" i="6"/>
  <c r="CZ31" i="6"/>
  <c r="BK65" i="5"/>
  <c r="BK47" i="5"/>
  <c r="BK9" i="5"/>
  <c r="BK31" i="4"/>
  <c r="BK30" i="4" s="1"/>
  <c r="BL30" i="4"/>
  <c r="CR16" i="19"/>
  <c r="CS7" i="20"/>
  <c r="CS12" i="20" s="1"/>
  <c r="CT16" i="20"/>
  <c r="CT7" i="20"/>
  <c r="CT12" i="20" s="1"/>
  <c r="CX49" i="6"/>
  <c r="CX18" i="6"/>
  <c r="CX31" i="6"/>
  <c r="CY78" i="6"/>
  <c r="CX79" i="6"/>
  <c r="BJ65" i="5"/>
  <c r="BJ9" i="5"/>
  <c r="BJ47" i="5"/>
  <c r="BK41" i="4"/>
  <c r="BK64" i="4"/>
  <c r="BK63" i="4" s="1"/>
  <c r="BK19" i="4"/>
  <c r="CW73" i="6"/>
  <c r="CY73" i="6" s="1"/>
  <c r="DA73" i="6" s="1"/>
  <c r="CW67" i="6"/>
  <c r="CY67" i="6" s="1"/>
  <c r="DA67" i="6" s="1"/>
  <c r="CW66" i="6"/>
  <c r="CY66" i="6" s="1"/>
  <c r="DA66" i="6" s="1"/>
  <c r="CW65" i="6"/>
  <c r="CY65" i="6" s="1"/>
  <c r="DA65" i="6" s="1"/>
  <c r="CW62" i="6"/>
  <c r="CY62" i="6" s="1"/>
  <c r="DA62" i="6" s="1"/>
  <c r="CV60" i="6"/>
  <c r="CW60" i="6" s="1"/>
  <c r="CX8" i="6" l="1"/>
  <c r="CX48" i="6" s="1"/>
  <c r="CX77" i="6" s="1"/>
  <c r="CT8" i="9"/>
  <c r="CZ48" i="6"/>
  <c r="CR8" i="9"/>
  <c r="CZ32" i="8"/>
  <c r="CX32" i="8"/>
  <c r="CZ22" i="8"/>
  <c r="CZ26" i="8" s="1"/>
  <c r="CZ31" i="8" s="1"/>
  <c r="CT7" i="9"/>
  <c r="BK9" i="4"/>
  <c r="BK8" i="4" s="1"/>
  <c r="BK92" i="4" s="1"/>
  <c r="BL9" i="4"/>
  <c r="CZ78" i="6"/>
  <c r="BK8" i="5"/>
  <c r="CV59" i="6"/>
  <c r="CY60" i="6"/>
  <c r="DA60" i="6" s="1"/>
  <c r="CX78" i="6"/>
  <c r="BJ8" i="5"/>
  <c r="CP16" i="19"/>
  <c r="CO16" i="19"/>
  <c r="CS13" i="19"/>
  <c r="CU13" i="19" s="1"/>
  <c r="CS11" i="19"/>
  <c r="CU11" i="19" s="1"/>
  <c r="CP8" i="19"/>
  <c r="CQ17" i="19"/>
  <c r="CQ16" i="19" s="1"/>
  <c r="CQ8" i="19" l="1"/>
  <c r="CS10" i="19"/>
  <c r="CR7" i="9"/>
  <c r="CR9" i="9" s="1"/>
  <c r="CR15" i="9" s="1"/>
  <c r="CT9" i="9"/>
  <c r="CZ52" i="8"/>
  <c r="CX93" i="6"/>
  <c r="CX97" i="6" s="1"/>
  <c r="CR16" i="20"/>
  <c r="CQ10" i="20"/>
  <c r="CQ9" i="20"/>
  <c r="CQ8" i="20"/>
  <c r="CR18" i="20"/>
  <c r="CT18" i="20" s="1"/>
  <c r="CV18" i="20" s="1"/>
  <c r="CV19" i="20" s="1"/>
  <c r="CR17" i="20"/>
  <c r="CT17" i="20" s="1"/>
  <c r="CT19" i="20" s="1"/>
  <c r="CQ14" i="20"/>
  <c r="CQ13" i="20"/>
  <c r="CR7" i="20"/>
  <c r="CR12" i="20" s="1"/>
  <c r="CQ22" i="9"/>
  <c r="CS22" i="9" s="1"/>
  <c r="CU22" i="9" s="1"/>
  <c r="CQ24" i="9"/>
  <c r="CS24" i="9" s="1"/>
  <c r="CU24" i="9" s="1"/>
  <c r="CP14" i="9"/>
  <c r="CP26" i="9" s="1"/>
  <c r="CR18" i="9" l="1"/>
  <c r="CR27" i="9" s="1"/>
  <c r="CR28" i="9" s="1"/>
  <c r="CU10" i="19"/>
  <c r="CS8" i="19"/>
  <c r="CR19" i="20"/>
  <c r="CQ7" i="20"/>
  <c r="CQ12" i="20" s="1"/>
  <c r="CQ16" i="20"/>
  <c r="CQ19" i="20" s="1"/>
  <c r="CU8" i="19" l="1"/>
  <c r="CY10" i="6"/>
  <c r="CQ16" i="9"/>
  <c r="CP12" i="9"/>
  <c r="CP11" i="9"/>
  <c r="CV50" i="8" l="1"/>
  <c r="CV49" i="8"/>
  <c r="CV47" i="8"/>
  <c r="CW46" i="8"/>
  <c r="CV45" i="8"/>
  <c r="CV44" i="8"/>
  <c r="CV43" i="8"/>
  <c r="CW42" i="8"/>
  <c r="CV41" i="8"/>
  <c r="CV40" i="8"/>
  <c r="CV39" i="8"/>
  <c r="CW38" i="8"/>
  <c r="CV37" i="8"/>
  <c r="CV36" i="8"/>
  <c r="CV35" i="8"/>
  <c r="CV34" i="8"/>
  <c r="CW33" i="8"/>
  <c r="CV30" i="8"/>
  <c r="CV29" i="8"/>
  <c r="CW27" i="8"/>
  <c r="CV25" i="8"/>
  <c r="CV24" i="8"/>
  <c r="CP16" i="9" s="1"/>
  <c r="CW23" i="8"/>
  <c r="CV21" i="8"/>
  <c r="CV20" i="8"/>
  <c r="CW19" i="8"/>
  <c r="CV18" i="8"/>
  <c r="CV16" i="8"/>
  <c r="CV12" i="8"/>
  <c r="CV11" i="8"/>
  <c r="CV10" i="8"/>
  <c r="CV9" i="8"/>
  <c r="CV19" i="8" l="1"/>
  <c r="CV15" i="8" s="1"/>
  <c r="CX19" i="8"/>
  <c r="CX15" i="8" s="1"/>
  <c r="CX22" i="8" s="1"/>
  <c r="CX26" i="8" s="1"/>
  <c r="CX31" i="8" s="1"/>
  <c r="CX52" i="8" s="1"/>
  <c r="CV23" i="8"/>
  <c r="CW15" i="8"/>
  <c r="CW22" i="8" s="1"/>
  <c r="CW26" i="8" s="1"/>
  <c r="CW31" i="8" s="1"/>
  <c r="CV46" i="8"/>
  <c r="CV42" i="8"/>
  <c r="CV38" i="8"/>
  <c r="CW32" i="8"/>
  <c r="CV33" i="8"/>
  <c r="CV27" i="8"/>
  <c r="CV89" i="6"/>
  <c r="CV87" i="6"/>
  <c r="CV86" i="6"/>
  <c r="CV92" i="6"/>
  <c r="CV91" i="6"/>
  <c r="CV84" i="6"/>
  <c r="CV83" i="6"/>
  <c r="CV82" i="6"/>
  <c r="CV81" i="6"/>
  <c r="CU59" i="6"/>
  <c r="CU58" i="6" s="1"/>
  <c r="CV58" i="6"/>
  <c r="CW76" i="6"/>
  <c r="CV75" i="6"/>
  <c r="BI42" i="5"/>
  <c r="BH28" i="5"/>
  <c r="BH26" i="5" s="1"/>
  <c r="BG28" i="5"/>
  <c r="BI26" i="5"/>
  <c r="BI28" i="5"/>
  <c r="CY13" i="6"/>
  <c r="DA13" i="6" s="1"/>
  <c r="CY11" i="6"/>
  <c r="CW15" i="6"/>
  <c r="CY15" i="6" s="1"/>
  <c r="DA15" i="6" s="1"/>
  <c r="CY99" i="6"/>
  <c r="CZ99" i="6" s="1"/>
  <c r="CY98" i="6"/>
  <c r="CZ98" i="6" s="1"/>
  <c r="CW96" i="6"/>
  <c r="CY96" i="6" s="1"/>
  <c r="CZ96" i="6" s="1"/>
  <c r="CW95" i="6"/>
  <c r="CY95" i="6" s="1"/>
  <c r="CZ95" i="6" s="1"/>
  <c r="CW85" i="6"/>
  <c r="CW79" i="6"/>
  <c r="CW74" i="6"/>
  <c r="CW72" i="6"/>
  <c r="CY72" i="6" s="1"/>
  <c r="DA72" i="6" s="1"/>
  <c r="CW71" i="6"/>
  <c r="CY71" i="6" s="1"/>
  <c r="DA71" i="6" s="1"/>
  <c r="CW70" i="6"/>
  <c r="CY70" i="6" s="1"/>
  <c r="DA70" i="6" s="1"/>
  <c r="CW69" i="6"/>
  <c r="CY69" i="6" s="1"/>
  <c r="DA69" i="6" s="1"/>
  <c r="CW68" i="6"/>
  <c r="CY68" i="6" s="1"/>
  <c r="DA68" i="6" s="1"/>
  <c r="CW64" i="6"/>
  <c r="CY64" i="6" s="1"/>
  <c r="DA64" i="6" s="1"/>
  <c r="CW63" i="6"/>
  <c r="CY63" i="6" s="1"/>
  <c r="DA63" i="6" s="1"/>
  <c r="CW61" i="6"/>
  <c r="CW57" i="6"/>
  <c r="CY57" i="6" s="1"/>
  <c r="DA57" i="6" s="1"/>
  <c r="CW55" i="6"/>
  <c r="CY55" i="6" s="1"/>
  <c r="DA55" i="6" s="1"/>
  <c r="CW54" i="6"/>
  <c r="CY54" i="6" s="1"/>
  <c r="DA54" i="6" s="1"/>
  <c r="CW53" i="6"/>
  <c r="CY53" i="6" s="1"/>
  <c r="DA53" i="6" s="1"/>
  <c r="CW52" i="6"/>
  <c r="CY52" i="6" s="1"/>
  <c r="DA52" i="6" s="1"/>
  <c r="CW51" i="6"/>
  <c r="CY51" i="6" s="1"/>
  <c r="DA51" i="6" s="1"/>
  <c r="CW47" i="6"/>
  <c r="CY47" i="6" s="1"/>
  <c r="DA47" i="6" s="1"/>
  <c r="CW46" i="6"/>
  <c r="CY46" i="6" s="1"/>
  <c r="DA46" i="6" s="1"/>
  <c r="CW44" i="6"/>
  <c r="CY44" i="6" s="1"/>
  <c r="DA44" i="6" s="1"/>
  <c r="CW43" i="6"/>
  <c r="CY43" i="6" s="1"/>
  <c r="DA43" i="6" s="1"/>
  <c r="CW42" i="6"/>
  <c r="CY42" i="6" s="1"/>
  <c r="DA42" i="6" s="1"/>
  <c r="CW41" i="6"/>
  <c r="CY41" i="6" s="1"/>
  <c r="DA41" i="6" s="1"/>
  <c r="CW39" i="6"/>
  <c r="CY39" i="6" s="1"/>
  <c r="DA39" i="6" s="1"/>
  <c r="CW38" i="6"/>
  <c r="CW37" i="6"/>
  <c r="CY37" i="6" s="1"/>
  <c r="DA37" i="6" s="1"/>
  <c r="CW36" i="6"/>
  <c r="CY36" i="6" s="1"/>
  <c r="DA36" i="6" s="1"/>
  <c r="CW35" i="6"/>
  <c r="CW34" i="6"/>
  <c r="CY34" i="6" s="1"/>
  <c r="DA34" i="6" s="1"/>
  <c r="CW33" i="6"/>
  <c r="CW25" i="6"/>
  <c r="CY25" i="6" s="1"/>
  <c r="DA25" i="6" s="1"/>
  <c r="CW24" i="6"/>
  <c r="CY24" i="6" s="1"/>
  <c r="DA24" i="6" s="1"/>
  <c r="CW23" i="6"/>
  <c r="CY23" i="6" s="1"/>
  <c r="DA23" i="6" s="1"/>
  <c r="CW22" i="6"/>
  <c r="CY22" i="6" s="1"/>
  <c r="DA22" i="6" s="1"/>
  <c r="CW21" i="6"/>
  <c r="CY21" i="6" s="1"/>
  <c r="DA21" i="6" s="1"/>
  <c r="CW20" i="6"/>
  <c r="CY20" i="6" s="1"/>
  <c r="DA20" i="6" s="1"/>
  <c r="CW19" i="6"/>
  <c r="CY19" i="6" s="1"/>
  <c r="DA19" i="6" s="1"/>
  <c r="CW17" i="6"/>
  <c r="CY17" i="6" s="1"/>
  <c r="DA17" i="6" s="1"/>
  <c r="CW16" i="6"/>
  <c r="CY16" i="6" s="1"/>
  <c r="DA16" i="6" s="1"/>
  <c r="CY12" i="6"/>
  <c r="DA12" i="6" s="1"/>
  <c r="CV94" i="6"/>
  <c r="CV50" i="6"/>
  <c r="CV40" i="6"/>
  <c r="CP20" i="9" s="1"/>
  <c r="CV18" i="6"/>
  <c r="CY9" i="6" l="1"/>
  <c r="CY35" i="6"/>
  <c r="CW32" i="6"/>
  <c r="DA11" i="6"/>
  <c r="CW52" i="8"/>
  <c r="CP19" i="9"/>
  <c r="CV8" i="6"/>
  <c r="CZ94" i="6"/>
  <c r="CY38" i="6"/>
  <c r="DA38" i="6" s="1"/>
  <c r="CY33" i="6"/>
  <c r="DA33" i="6" s="1"/>
  <c r="CW78" i="6"/>
  <c r="CV22" i="8"/>
  <c r="CV26" i="8" s="1"/>
  <c r="CV31" i="8" s="1"/>
  <c r="CP13" i="9"/>
  <c r="CY40" i="6"/>
  <c r="DA40" i="6"/>
  <c r="DA94" i="6"/>
  <c r="CY94" i="6"/>
  <c r="CY61" i="6"/>
  <c r="CW59" i="6"/>
  <c r="CW58" i="6" s="1"/>
  <c r="CY74" i="6"/>
  <c r="CZ74" i="6" s="1"/>
  <c r="CT12" i="9" s="1"/>
  <c r="CQ12" i="9"/>
  <c r="CY76" i="6"/>
  <c r="CZ76" i="6" s="1"/>
  <c r="CT14" i="9" s="1"/>
  <c r="CQ14" i="9"/>
  <c r="CV79" i="6"/>
  <c r="CP10" i="9"/>
  <c r="CY18" i="6"/>
  <c r="CV32" i="8"/>
  <c r="CV85" i="6"/>
  <c r="CW94" i="6"/>
  <c r="CV49" i="6"/>
  <c r="CW40" i="6"/>
  <c r="CW18" i="6"/>
  <c r="BG9" i="5"/>
  <c r="BG8" i="5" s="1"/>
  <c r="BH9" i="5"/>
  <c r="CW9" i="6"/>
  <c r="CV31" i="6"/>
  <c r="DA9" i="6" l="1"/>
  <c r="DA32" i="6"/>
  <c r="DA31" i="6" s="1"/>
  <c r="CV52" i="8"/>
  <c r="CQ7" i="9"/>
  <c r="DA8" i="6"/>
  <c r="CU7" i="9" s="1"/>
  <c r="CP8" i="9"/>
  <c r="CV48" i="6"/>
  <c r="CV77" i="6" s="1"/>
  <c r="CY32" i="6"/>
  <c r="CY31" i="6" s="1"/>
  <c r="CP7" i="9"/>
  <c r="DA61" i="6"/>
  <c r="DA59" i="6" s="1"/>
  <c r="CU11" i="9" s="1"/>
  <c r="CY59" i="6"/>
  <c r="CS11" i="9" s="1"/>
  <c r="CS7" i="9"/>
  <c r="CS14" i="9"/>
  <c r="CS12" i="9"/>
  <c r="CV78" i="6"/>
  <c r="CW31" i="6"/>
  <c r="CQ11" i="9"/>
  <c r="CY48" i="6" l="1"/>
  <c r="CP9" i="9"/>
  <c r="CP15" i="9" s="1"/>
  <c r="DA48" i="6"/>
  <c r="CQ8" i="9"/>
  <c r="CQ9" i="9" s="1"/>
  <c r="CW48" i="6"/>
  <c r="CU8" i="9"/>
  <c r="CU9" i="9" s="1"/>
  <c r="CY58" i="6"/>
  <c r="CS8" i="9"/>
  <c r="CS9" i="9" s="1"/>
  <c r="CV93" i="6"/>
  <c r="CV97" i="6" s="1"/>
  <c r="CP18" i="9" l="1"/>
  <c r="CP27" i="9" s="1"/>
  <c r="CP28" i="9" s="1"/>
  <c r="BI75" i="5"/>
  <c r="BI67" i="5"/>
  <c r="BI65" i="5" s="1"/>
  <c r="BI61" i="5"/>
  <c r="BI60" i="5" s="1"/>
  <c r="BI58" i="5"/>
  <c r="BI53" i="5"/>
  <c r="BI52" i="5" s="1"/>
  <c r="BI49" i="5"/>
  <c r="BI48" i="5" s="1"/>
  <c r="BI40" i="5"/>
  <c r="BI39" i="5" s="1"/>
  <c r="BI9" i="5" s="1"/>
  <c r="BI23" i="5"/>
  <c r="BI22" i="5" s="1"/>
  <c r="BI17" i="5"/>
  <c r="BI16" i="5" s="1"/>
  <c r="BI13" i="5"/>
  <c r="BI10" i="5"/>
  <c r="BI6" i="5"/>
  <c r="BI47" i="5" l="1"/>
  <c r="BH83" i="4"/>
  <c r="BJ83" i="4"/>
  <c r="BJ82" i="4" s="1"/>
  <c r="BJ35" i="4"/>
  <c r="BJ86" i="4"/>
  <c r="BJ79" i="4"/>
  <c r="BJ76" i="4"/>
  <c r="BJ68" i="4"/>
  <c r="BJ65" i="4" s="1"/>
  <c r="BJ60" i="4"/>
  <c r="BJ56" i="4"/>
  <c r="BJ55" i="4" s="1"/>
  <c r="BJ49" i="4"/>
  <c r="BJ42" i="4"/>
  <c r="BJ32" i="4"/>
  <c r="BJ23" i="4"/>
  <c r="BJ20" i="4"/>
  <c r="BJ17" i="4"/>
  <c r="BJ14" i="4"/>
  <c r="BJ10" i="4"/>
  <c r="CO8" i="19"/>
  <c r="CP16" i="20"/>
  <c r="CP19" i="20" s="1"/>
  <c r="CL14" i="9"/>
  <c r="CL26" i="9" s="1"/>
  <c r="CN26" i="9" s="1"/>
  <c r="CO14" i="9"/>
  <c r="CO26" i="9" s="1"/>
  <c r="CQ26" i="9" s="1"/>
  <c r="CS26" i="9" s="1"/>
  <c r="CU26" i="9" s="1"/>
  <c r="CO16" i="9"/>
  <c r="CO12" i="9"/>
  <c r="CO11" i="9"/>
  <c r="CU42" i="8"/>
  <c r="CU46" i="8"/>
  <c r="CU15" i="8"/>
  <c r="CU38" i="8"/>
  <c r="CU33" i="8"/>
  <c r="CU27" i="8"/>
  <c r="CU23" i="8"/>
  <c r="BJ13" i="4" l="1"/>
  <c r="BJ31" i="4"/>
  <c r="BJ30" i="4" s="1"/>
  <c r="BI8" i="5"/>
  <c r="BJ41" i="4"/>
  <c r="BJ64" i="4"/>
  <c r="BJ63" i="4" s="1"/>
  <c r="BJ19" i="4"/>
  <c r="CU22" i="8"/>
  <c r="CU26" i="8" s="1"/>
  <c r="CU31" i="8" s="1"/>
  <c r="CU52" i="8" s="1"/>
  <c r="CU32" i="8"/>
  <c r="BJ9" i="4" l="1"/>
  <c r="BJ8" i="4" s="1"/>
  <c r="BJ92" i="4" s="1"/>
  <c r="CU94" i="6"/>
  <c r="CU75" i="6"/>
  <c r="CW75" i="6" s="1"/>
  <c r="CO13" i="9" l="1"/>
  <c r="CU9" i="6"/>
  <c r="CU85" i="6"/>
  <c r="CU79" i="6"/>
  <c r="CU50" i="6"/>
  <c r="CU40" i="6"/>
  <c r="CO20" i="9" s="1"/>
  <c r="CU32" i="6"/>
  <c r="CU18" i="6"/>
  <c r="CO19" i="9" s="1"/>
  <c r="BH42" i="5"/>
  <c r="BH40" i="5" s="1"/>
  <c r="BH39" i="5" s="1"/>
  <c r="BH75" i="5"/>
  <c r="BH67" i="5"/>
  <c r="BH61" i="5"/>
  <c r="BH60" i="5" s="1"/>
  <c r="BH58" i="5"/>
  <c r="BH53" i="5"/>
  <c r="BH52" i="5" s="1"/>
  <c r="BH49" i="5"/>
  <c r="BH48" i="5" s="1"/>
  <c r="BH23" i="5"/>
  <c r="BH22" i="5" s="1"/>
  <c r="BH17" i="5"/>
  <c r="BH16" i="5" s="1"/>
  <c r="BH13" i="5"/>
  <c r="BH10" i="5"/>
  <c r="BH6" i="5"/>
  <c r="CU8" i="6" l="1"/>
  <c r="CO7" i="9" s="1"/>
  <c r="CQ19" i="9"/>
  <c r="CS19" i="9" s="1"/>
  <c r="CU19" i="9" s="1"/>
  <c r="CQ20" i="9"/>
  <c r="CS20" i="9" s="1"/>
  <c r="CU20" i="9" s="1"/>
  <c r="CW50" i="6"/>
  <c r="CY50" i="6" s="1"/>
  <c r="DA50" i="6" s="1"/>
  <c r="CO10" i="9"/>
  <c r="CU49" i="6"/>
  <c r="CY75" i="6"/>
  <c r="CZ75" i="6" s="1"/>
  <c r="CT13" i="9" s="1"/>
  <c r="CT15" i="9" s="1"/>
  <c r="CT18" i="9" s="1"/>
  <c r="CQ13" i="9"/>
  <c r="CU78" i="6"/>
  <c r="CU31" i="6"/>
  <c r="BH65" i="5"/>
  <c r="BH47" i="5"/>
  <c r="CU48" i="6" l="1"/>
  <c r="CU77" i="6" s="1"/>
  <c r="CW77" i="6" s="1"/>
  <c r="CO8" i="9"/>
  <c r="CO9" i="9" s="1"/>
  <c r="CO15" i="9" s="1"/>
  <c r="CO18" i="9" s="1"/>
  <c r="CT27" i="9"/>
  <c r="CT28" i="9" s="1"/>
  <c r="CS10" i="9"/>
  <c r="CU10" i="9"/>
  <c r="CU15" i="9" s="1"/>
  <c r="CU18" i="9" s="1"/>
  <c r="CY49" i="6"/>
  <c r="CY77" i="6" s="1"/>
  <c r="CY93" i="6" s="1"/>
  <c r="CY97" i="6" s="1"/>
  <c r="CS13" i="9"/>
  <c r="CW49" i="6"/>
  <c r="CQ10" i="9"/>
  <c r="CQ15" i="9" s="1"/>
  <c r="CQ18" i="9" s="1"/>
  <c r="BH8" i="5"/>
  <c r="CQ27" i="9" l="1"/>
  <c r="CQ28" i="9" s="1"/>
  <c r="CU27" i="9"/>
  <c r="CU28" i="9" s="1"/>
  <c r="CO27" i="9"/>
  <c r="CO28" i="9" s="1"/>
  <c r="CS15" i="9"/>
  <c r="CS18" i="9" s="1"/>
  <c r="CW93" i="6"/>
  <c r="CW97" i="6" s="1"/>
  <c r="CU93" i="6"/>
  <c r="CU97" i="6" s="1"/>
  <c r="BI79" i="4"/>
  <c r="BI35" i="4"/>
  <c r="BI86" i="4"/>
  <c r="BI82" i="4"/>
  <c r="BI76" i="4"/>
  <c r="BI68" i="4"/>
  <c r="BI65" i="4" s="1"/>
  <c r="BI60" i="4"/>
  <c r="BI56" i="4"/>
  <c r="BI55" i="4" s="1"/>
  <c r="BI49" i="4"/>
  <c r="BI42" i="4"/>
  <c r="BI32" i="4"/>
  <c r="BI23" i="4"/>
  <c r="BI20" i="4"/>
  <c r="BI17" i="4"/>
  <c r="BI14" i="4"/>
  <c r="BI10" i="4"/>
  <c r="BI13" i="4" l="1"/>
  <c r="BI31" i="4"/>
  <c r="BI64" i="4"/>
  <c r="BI63" i="4" s="1"/>
  <c r="BI41" i="4"/>
  <c r="BI30" i="4"/>
  <c r="BI19" i="4"/>
  <c r="AF99" i="6"/>
  <c r="AF98" i="6"/>
  <c r="BG99" i="6"/>
  <c r="BI99" i="6" s="1"/>
  <c r="CS27" i="9" l="1"/>
  <c r="CS28" i="9" s="1"/>
  <c r="BI9" i="4"/>
  <c r="BI8" i="4" s="1"/>
  <c r="BI92" i="4" s="1"/>
  <c r="CO46" i="6"/>
  <c r="CT14" i="6"/>
  <c r="CT17" i="6"/>
  <c r="CN22" i="9"/>
  <c r="CJ22" i="9"/>
  <c r="CO24" i="6"/>
  <c r="CP24" i="6" s="1"/>
  <c r="CS9" i="6" l="1"/>
  <c r="CQ75" i="6"/>
  <c r="CQ40" i="6"/>
  <c r="CQ9" i="6"/>
  <c r="CM11" i="20"/>
  <c r="CN11" i="20" s="1"/>
  <c r="CM9" i="20"/>
  <c r="CM7" i="20" s="1"/>
  <c r="CN8" i="20"/>
  <c r="BJ14" i="20"/>
  <c r="CJ14" i="20"/>
  <c r="CL14" i="20"/>
  <c r="CO21" i="6"/>
  <c r="CQ21" i="6"/>
  <c r="CO22" i="6"/>
  <c r="CQ22" i="6"/>
  <c r="CO25" i="6"/>
  <c r="CQ25" i="6"/>
  <c r="CQ24" i="6"/>
  <c r="CR24" i="6" s="1"/>
  <c r="CT24" i="6" s="1"/>
  <c r="CO38" i="6"/>
  <c r="CP38" i="6" s="1"/>
  <c r="CO39" i="6"/>
  <c r="CP39" i="6" s="1"/>
  <c r="CQ39" i="6"/>
  <c r="CQ38" i="6"/>
  <c r="CO70" i="6"/>
  <c r="CO60" i="6"/>
  <c r="CS50" i="6"/>
  <c r="CO57" i="6"/>
  <c r="CO51" i="6"/>
  <c r="CO47" i="6"/>
  <c r="CP46" i="6"/>
  <c r="CR46" i="6" s="1"/>
  <c r="CR15" i="6"/>
  <c r="CT15" i="6" s="1"/>
  <c r="CG10" i="20"/>
  <c r="CG9" i="20"/>
  <c r="CL9" i="20" l="1"/>
  <c r="CO18" i="6"/>
  <c r="CQ32" i="6"/>
  <c r="CR39" i="6"/>
  <c r="CT39" i="6" s="1"/>
  <c r="CR38" i="6"/>
  <c r="CT38" i="6" s="1"/>
  <c r="CT46" i="6"/>
  <c r="CN9" i="20"/>
  <c r="CN13" i="19" l="1"/>
  <c r="CN9" i="19"/>
  <c r="CN12" i="19"/>
  <c r="CN11" i="19"/>
  <c r="CN10" i="19"/>
  <c r="CM8" i="19"/>
  <c r="CM16" i="20"/>
  <c r="CG8" i="20"/>
  <c r="CG7" i="20" s="1"/>
  <c r="CH13" i="20"/>
  <c r="CN8" i="19" l="1"/>
  <c r="CM10" i="9" l="1"/>
  <c r="CT8" i="8"/>
  <c r="CS50" i="8"/>
  <c r="CS49" i="8"/>
  <c r="CS48" i="8"/>
  <c r="CS47" i="8"/>
  <c r="CT46" i="8"/>
  <c r="CS45" i="8"/>
  <c r="CS44" i="8"/>
  <c r="CS43" i="8"/>
  <c r="CT42" i="8"/>
  <c r="CS41" i="8"/>
  <c r="CS40" i="8"/>
  <c r="CS39" i="8"/>
  <c r="CT38" i="8"/>
  <c r="CS37" i="8"/>
  <c r="CS36" i="8"/>
  <c r="CS35" i="8"/>
  <c r="CS34" i="8"/>
  <c r="CT33" i="8"/>
  <c r="CS30" i="8"/>
  <c r="CS29" i="8"/>
  <c r="CT27" i="8"/>
  <c r="CS25" i="8"/>
  <c r="CS24" i="8"/>
  <c r="CM16" i="9" s="1"/>
  <c r="CT23" i="8"/>
  <c r="CS21" i="8"/>
  <c r="CS20" i="8"/>
  <c r="CT19" i="8"/>
  <c r="CT15" i="8" s="1"/>
  <c r="CS18" i="8"/>
  <c r="CS17" i="8"/>
  <c r="CS16" i="8"/>
  <c r="CS12" i="8"/>
  <c r="CS11" i="8"/>
  <c r="CS10" i="8"/>
  <c r="CS9" i="8"/>
  <c r="CQ9" i="8"/>
  <c r="BG75" i="5"/>
  <c r="BG42" i="5"/>
  <c r="BG40" i="5" s="1"/>
  <c r="BG39" i="5" s="1"/>
  <c r="BG67" i="5"/>
  <c r="BG61" i="5"/>
  <c r="BG60" i="5" s="1"/>
  <c r="BG58" i="5"/>
  <c r="BG53" i="5"/>
  <c r="BG52" i="5" s="1"/>
  <c r="BG49" i="5"/>
  <c r="BG48" i="5" s="1"/>
  <c r="BG23" i="5"/>
  <c r="BG22" i="5" s="1"/>
  <c r="BG17" i="5"/>
  <c r="BG16" i="5" s="1"/>
  <c r="BG13" i="5"/>
  <c r="BG10" i="5"/>
  <c r="BG6" i="5"/>
  <c r="BH35" i="4"/>
  <c r="BH31" i="4" s="1"/>
  <c r="BH30" i="4" s="1"/>
  <c r="BH20" i="4"/>
  <c r="BH86" i="4"/>
  <c r="BH82" i="4"/>
  <c r="BH79" i="4"/>
  <c r="BH68" i="4"/>
  <c r="BH65" i="4" s="1"/>
  <c r="BH60" i="4"/>
  <c r="BH56" i="4"/>
  <c r="BH55" i="4" s="1"/>
  <c r="BH42" i="4"/>
  <c r="BH23" i="4"/>
  <c r="BH17" i="4"/>
  <c r="BH14" i="4"/>
  <c r="BH10" i="4"/>
  <c r="CS59" i="6"/>
  <c r="CM11" i="9" s="1"/>
  <c r="CS92" i="6"/>
  <c r="CS91" i="6"/>
  <c r="CS89" i="6"/>
  <c r="CS88" i="6"/>
  <c r="CS87" i="6"/>
  <c r="CS86" i="6"/>
  <c r="CS81" i="6"/>
  <c r="CS82" i="6"/>
  <c r="CS83" i="6"/>
  <c r="CS84" i="6"/>
  <c r="CS80" i="6"/>
  <c r="CT75" i="6"/>
  <c r="CT45" i="6"/>
  <c r="CS33" i="8" l="1"/>
  <c r="CS27" i="8"/>
  <c r="BG65" i="5"/>
  <c r="CT32" i="8"/>
  <c r="CT22" i="8"/>
  <c r="CT26" i="8" s="1"/>
  <c r="CT31" i="8" s="1"/>
  <c r="CS46" i="8"/>
  <c r="CS42" i="8"/>
  <c r="CS38" i="8"/>
  <c r="CS23" i="8"/>
  <c r="CS8" i="8"/>
  <c r="BG47" i="5"/>
  <c r="BH13" i="4"/>
  <c r="BH19" i="4"/>
  <c r="BH64" i="4"/>
  <c r="BH63" i="4" s="1"/>
  <c r="BH41" i="4"/>
  <c r="CT94" i="6"/>
  <c r="CS85" i="6"/>
  <c r="CS79" i="6"/>
  <c r="CS40" i="6"/>
  <c r="CM20" i="9" s="1"/>
  <c r="CS32" i="6"/>
  <c r="CK16" i="19"/>
  <c r="CL16" i="19"/>
  <c r="CL13" i="19"/>
  <c r="CL12" i="19"/>
  <c r="CL11" i="19"/>
  <c r="CL10" i="19"/>
  <c r="CL9" i="19"/>
  <c r="CK8" i="19"/>
  <c r="CL13" i="20"/>
  <c r="CL11" i="20"/>
  <c r="CL10" i="20"/>
  <c r="CL8" i="20"/>
  <c r="BH9" i="4" l="1"/>
  <c r="BH8" i="4" s="1"/>
  <c r="BH92" i="4" s="1"/>
  <c r="CM12" i="20"/>
  <c r="CT52" i="8"/>
  <c r="CS32" i="8"/>
  <c r="CS31" i="6"/>
  <c r="CM8" i="9" s="1"/>
  <c r="CS18" i="6"/>
  <c r="CM19" i="9" s="1"/>
  <c r="CS78" i="6"/>
  <c r="CT79" i="6"/>
  <c r="CT85" i="6"/>
  <c r="CL8" i="19"/>
  <c r="CL16" i="20"/>
  <c r="CL19" i="20" s="1"/>
  <c r="CL7" i="20"/>
  <c r="CL12" i="20" s="1"/>
  <c r="CT78" i="6" l="1"/>
  <c r="CK26" i="9"/>
  <c r="CL25" i="9"/>
  <c r="CN25" i="9" s="1"/>
  <c r="CL24" i="9"/>
  <c r="CN24" i="9" s="1"/>
  <c r="CK12" i="9"/>
  <c r="CK13" i="9"/>
  <c r="CJ16" i="9"/>
  <c r="CL16" i="9"/>
  <c r="CN16" i="9" s="1"/>
  <c r="CK20" i="9"/>
  <c r="CR19" i="8" l="1"/>
  <c r="CQ50" i="8"/>
  <c r="CQ49" i="8"/>
  <c r="CQ47" i="8"/>
  <c r="CR46" i="8"/>
  <c r="CQ45" i="8"/>
  <c r="CQ44" i="8"/>
  <c r="CQ43" i="8"/>
  <c r="CR42" i="8"/>
  <c r="CQ41" i="8"/>
  <c r="CQ40" i="8"/>
  <c r="CQ39" i="8"/>
  <c r="CR38" i="8"/>
  <c r="CQ37" i="8"/>
  <c r="CQ36" i="8"/>
  <c r="CQ35" i="8"/>
  <c r="CQ34" i="8"/>
  <c r="CR33" i="8"/>
  <c r="CQ30" i="8"/>
  <c r="CQ29" i="8"/>
  <c r="CR27" i="8"/>
  <c r="CQ25" i="8"/>
  <c r="CQ24" i="8"/>
  <c r="CK16" i="9" s="1"/>
  <c r="CR23" i="8"/>
  <c r="CQ21" i="8"/>
  <c r="CQ20" i="8"/>
  <c r="CQ18" i="8"/>
  <c r="CQ17" i="8"/>
  <c r="CQ16" i="8"/>
  <c r="CQ12" i="8"/>
  <c r="CQ11" i="8"/>
  <c r="CQ10" i="8"/>
  <c r="CR8" i="8"/>
  <c r="CQ27" i="8" l="1"/>
  <c r="CQ46" i="8"/>
  <c r="CS19" i="8"/>
  <c r="CS15" i="8" s="1"/>
  <c r="CS22" i="8" s="1"/>
  <c r="CS26" i="8" s="1"/>
  <c r="CS31" i="8" s="1"/>
  <c r="CS52" i="8" s="1"/>
  <c r="CQ42" i="8"/>
  <c r="CQ38" i="8"/>
  <c r="CR32" i="8"/>
  <c r="CQ33" i="8"/>
  <c r="CQ32" i="8" s="1"/>
  <c r="CQ23" i="8"/>
  <c r="CR15" i="8"/>
  <c r="CR22" i="8" s="1"/>
  <c r="CR26" i="8" s="1"/>
  <c r="CR31" i="8" s="1"/>
  <c r="CQ8" i="8"/>
  <c r="CQ84" i="6"/>
  <c r="CQ83" i="6"/>
  <c r="CQ82" i="6"/>
  <c r="CQ81" i="6"/>
  <c r="CQ80" i="6"/>
  <c r="CQ89" i="6"/>
  <c r="CQ92" i="6"/>
  <c r="CQ91" i="6"/>
  <c r="CQ88" i="6"/>
  <c r="CQ87" i="6"/>
  <c r="CQ86" i="6"/>
  <c r="CR76" i="6"/>
  <c r="CS76" i="6" s="1"/>
  <c r="CQ94" i="6"/>
  <c r="CR85" i="6"/>
  <c r="CR79" i="6"/>
  <c r="CQ59" i="6"/>
  <c r="CQ50" i="6"/>
  <c r="CQ18" i="6"/>
  <c r="CK19" i="9" s="1"/>
  <c r="CK11" i="9" l="1"/>
  <c r="CQ58" i="6"/>
  <c r="CQ49" i="6" s="1"/>
  <c r="CK10" i="9"/>
  <c r="CR52" i="8"/>
  <c r="CR78" i="6"/>
  <c r="CQ85" i="6"/>
  <c r="CQ79" i="6"/>
  <c r="CQ31" i="6"/>
  <c r="CK8" i="9" s="1"/>
  <c r="CQ8" i="6"/>
  <c r="BE67" i="5"/>
  <c r="BF67" i="5"/>
  <c r="BF42" i="5"/>
  <c r="BF75" i="5"/>
  <c r="BF61" i="5"/>
  <c r="BF60" i="5" s="1"/>
  <c r="BF58" i="5"/>
  <c r="BF53" i="5"/>
  <c r="BF52" i="5" s="1"/>
  <c r="BF49" i="5"/>
  <c r="BF48" i="5" s="1"/>
  <c r="BF40" i="5"/>
  <c r="BF39" i="5" s="1"/>
  <c r="BF28" i="5"/>
  <c r="BF26" i="5" s="1"/>
  <c r="BF23" i="5"/>
  <c r="BF22" i="5"/>
  <c r="BF17" i="5"/>
  <c r="BF16" i="5" s="1"/>
  <c r="BF13" i="5"/>
  <c r="BF10" i="5"/>
  <c r="BF6" i="5"/>
  <c r="CQ48" i="6" l="1"/>
  <c r="CQ77" i="6" s="1"/>
  <c r="CK7" i="9"/>
  <c r="CK9" i="9" s="1"/>
  <c r="CK15" i="9" s="1"/>
  <c r="CK18" i="9" s="1"/>
  <c r="CQ78" i="6"/>
  <c r="BF65" i="5"/>
  <c r="BF9" i="5"/>
  <c r="BF47" i="5"/>
  <c r="BG79" i="4"/>
  <c r="BF86" i="4"/>
  <c r="BG35" i="4"/>
  <c r="BG20" i="4"/>
  <c r="BG82" i="4"/>
  <c r="BG76" i="4"/>
  <c r="BG68" i="4"/>
  <c r="BG65" i="4" s="1"/>
  <c r="BG60" i="4"/>
  <c r="BG56" i="4"/>
  <c r="BG55" i="4" s="1"/>
  <c r="BG49" i="4"/>
  <c r="BG42" i="4"/>
  <c r="BG32" i="4"/>
  <c r="BG23" i="4"/>
  <c r="BG17" i="4"/>
  <c r="BG14" i="4"/>
  <c r="BG10" i="4"/>
  <c r="N68" i="5"/>
  <c r="N67" i="5" s="1"/>
  <c r="M68" i="5"/>
  <c r="M67" i="5" s="1"/>
  <c r="BE75" i="5"/>
  <c r="BD75" i="5"/>
  <c r="BC75" i="5"/>
  <c r="BB75" i="5"/>
  <c r="BB65" i="5" s="1"/>
  <c r="BA75" i="5"/>
  <c r="AZ75" i="5"/>
  <c r="AY75" i="5"/>
  <c r="AX75" i="5"/>
  <c r="AX65" i="5" s="1"/>
  <c r="AW75" i="5"/>
  <c r="AV75" i="5"/>
  <c r="AU75" i="5"/>
  <c r="AU65" i="5" s="1"/>
  <c r="AT75" i="5"/>
  <c r="AT65" i="5" s="1"/>
  <c r="AS75" i="5"/>
  <c r="AR75" i="5"/>
  <c r="AQ75" i="5"/>
  <c r="AP75" i="5"/>
  <c r="AP65" i="5" s="1"/>
  <c r="AO75" i="5"/>
  <c r="AN75" i="5"/>
  <c r="AM75" i="5"/>
  <c r="AL75" i="5"/>
  <c r="AL65" i="5" s="1"/>
  <c r="AK75" i="5"/>
  <c r="AJ75" i="5"/>
  <c r="AI75" i="5"/>
  <c r="AH75" i="5"/>
  <c r="AH65" i="5" s="1"/>
  <c r="AG75" i="5"/>
  <c r="AF75" i="5"/>
  <c r="AE75" i="5"/>
  <c r="AE65" i="5" s="1"/>
  <c r="AD75" i="5"/>
  <c r="AD65" i="5" s="1"/>
  <c r="AC75" i="5"/>
  <c r="AB75" i="5"/>
  <c r="AA75" i="5"/>
  <c r="Z75" i="5"/>
  <c r="Z65" i="5" s="1"/>
  <c r="Y75" i="5"/>
  <c r="X75" i="5"/>
  <c r="W75" i="5"/>
  <c r="V75" i="5"/>
  <c r="V65" i="5" s="1"/>
  <c r="U75" i="5"/>
  <c r="T75" i="5"/>
  <c r="S75" i="5"/>
  <c r="R75" i="5"/>
  <c r="R65" i="5" s="1"/>
  <c r="Q75" i="5"/>
  <c r="P75" i="5"/>
  <c r="O75" i="5"/>
  <c r="N75" i="5"/>
  <c r="M75" i="5"/>
  <c r="L75" i="5"/>
  <c r="K75" i="5"/>
  <c r="J75" i="5"/>
  <c r="I75" i="5"/>
  <c r="H75" i="5"/>
  <c r="K70" i="5"/>
  <c r="J70" i="5"/>
  <c r="I70" i="5"/>
  <c r="H70" i="5"/>
  <c r="L68" i="5"/>
  <c r="L67" i="5" s="1"/>
  <c r="L65" i="5" s="1"/>
  <c r="K68" i="5"/>
  <c r="J68" i="5"/>
  <c r="I68" i="5"/>
  <c r="I67" i="5" s="1"/>
  <c r="I65" i="5" s="1"/>
  <c r="H68" i="5"/>
  <c r="H67" i="5"/>
  <c r="H65" i="5" s="1"/>
  <c r="BE65" i="5"/>
  <c r="BD65" i="5"/>
  <c r="BC65" i="5"/>
  <c r="BA65" i="5"/>
  <c r="AZ65" i="5"/>
  <c r="AY65" i="5"/>
  <c r="AW65" i="5"/>
  <c r="AV65" i="5"/>
  <c r="AS65" i="5"/>
  <c r="AR65" i="5"/>
  <c r="AQ65" i="5"/>
  <c r="AO65" i="5"/>
  <c r="AN65" i="5"/>
  <c r="AM65" i="5"/>
  <c r="AK65" i="5"/>
  <c r="AJ65" i="5"/>
  <c r="AI65" i="5"/>
  <c r="AG65" i="5"/>
  <c r="AF65" i="5"/>
  <c r="AC65" i="5"/>
  <c r="AB65" i="5"/>
  <c r="AA65" i="5"/>
  <c r="Y65" i="5"/>
  <c r="X65" i="5"/>
  <c r="W65" i="5"/>
  <c r="U65" i="5"/>
  <c r="T65" i="5"/>
  <c r="S65" i="5"/>
  <c r="Q65" i="5"/>
  <c r="P65" i="5"/>
  <c r="O65" i="5"/>
  <c r="BE61" i="5"/>
  <c r="BE60" i="5" s="1"/>
  <c r="BD61" i="5"/>
  <c r="BD60" i="5" s="1"/>
  <c r="BC61" i="5"/>
  <c r="BB61" i="5"/>
  <c r="BA61" i="5"/>
  <c r="BA60" i="5" s="1"/>
  <c r="AZ61" i="5"/>
  <c r="AZ60" i="5" s="1"/>
  <c r="AY61" i="5"/>
  <c r="AY60" i="5" s="1"/>
  <c r="AX61" i="5"/>
  <c r="AW61" i="5"/>
  <c r="AW60" i="5" s="1"/>
  <c r="AV61" i="5"/>
  <c r="AV60" i="5" s="1"/>
  <c r="AU61" i="5"/>
  <c r="AT61" i="5"/>
  <c r="AT60" i="5" s="1"/>
  <c r="AS61" i="5"/>
  <c r="AS60" i="5" s="1"/>
  <c r="AR61" i="5"/>
  <c r="AR60" i="5" s="1"/>
  <c r="AQ61" i="5"/>
  <c r="AQ60" i="5" s="1"/>
  <c r="AP61" i="5"/>
  <c r="AO61" i="5"/>
  <c r="AO60" i="5" s="1"/>
  <c r="AN61" i="5"/>
  <c r="AN60" i="5" s="1"/>
  <c r="AM61" i="5"/>
  <c r="AL61" i="5"/>
  <c r="AL60" i="5" s="1"/>
  <c r="AL47" i="5" s="1"/>
  <c r="AK61" i="5"/>
  <c r="AK60" i="5" s="1"/>
  <c r="AJ61" i="5"/>
  <c r="AJ60" i="5" s="1"/>
  <c r="AI61" i="5"/>
  <c r="AI60" i="5" s="1"/>
  <c r="AH61" i="5"/>
  <c r="AH60" i="5" s="1"/>
  <c r="AG61" i="5"/>
  <c r="AG60" i="5" s="1"/>
  <c r="AF61" i="5"/>
  <c r="AF60" i="5" s="1"/>
  <c r="AE61" i="5"/>
  <c r="AD61" i="5"/>
  <c r="AD60" i="5" s="1"/>
  <c r="AC61" i="5"/>
  <c r="AC60" i="5" s="1"/>
  <c r="AB61" i="5"/>
  <c r="AB60" i="5" s="1"/>
  <c r="AA61" i="5"/>
  <c r="AA60" i="5" s="1"/>
  <c r="Z61" i="5"/>
  <c r="Z60" i="5" s="1"/>
  <c r="Y61" i="5"/>
  <c r="Y60" i="5" s="1"/>
  <c r="X61" i="5"/>
  <c r="X60" i="5" s="1"/>
  <c r="W61" i="5"/>
  <c r="V61" i="5"/>
  <c r="U61" i="5"/>
  <c r="U60" i="5" s="1"/>
  <c r="T61" i="5"/>
  <c r="T60" i="5" s="1"/>
  <c r="S61" i="5"/>
  <c r="S60" i="5" s="1"/>
  <c r="R61" i="5"/>
  <c r="R60" i="5" s="1"/>
  <c r="Q61" i="5"/>
  <c r="Q60" i="5" s="1"/>
  <c r="P61" i="5"/>
  <c r="P60" i="5" s="1"/>
  <c r="O61" i="5"/>
  <c r="N61" i="5"/>
  <c r="N60" i="5" s="1"/>
  <c r="M61" i="5"/>
  <c r="M60" i="5" s="1"/>
  <c r="L61" i="5"/>
  <c r="L60" i="5" s="1"/>
  <c r="K61" i="5"/>
  <c r="K60" i="5" s="1"/>
  <c r="J61" i="5"/>
  <c r="I61" i="5"/>
  <c r="I60" i="5" s="1"/>
  <c r="H61" i="5"/>
  <c r="H60" i="5" s="1"/>
  <c r="BC60" i="5"/>
  <c r="BB60" i="5"/>
  <c r="AX60" i="5"/>
  <c r="AU60" i="5"/>
  <c r="AP60" i="5"/>
  <c r="AM60" i="5"/>
  <c r="AE60" i="5"/>
  <c r="W60" i="5"/>
  <c r="V60" i="5"/>
  <c r="O60" i="5"/>
  <c r="J60" i="5"/>
  <c r="O59" i="5"/>
  <c r="O58" i="5" s="1"/>
  <c r="J59" i="5"/>
  <c r="J58" i="5" s="1"/>
  <c r="I59" i="5"/>
  <c r="H59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N58" i="5"/>
  <c r="M58" i="5"/>
  <c r="L58" i="5"/>
  <c r="K58" i="5"/>
  <c r="I58" i="5"/>
  <c r="H58" i="5"/>
  <c r="J56" i="5"/>
  <c r="J53" i="5" s="1"/>
  <c r="J52" i="5" s="1"/>
  <c r="I56" i="5"/>
  <c r="H56" i="5"/>
  <c r="H53" i="5" s="1"/>
  <c r="H52" i="5" s="1"/>
  <c r="BE53" i="5"/>
  <c r="BE52" i="5" s="1"/>
  <c r="BD53" i="5"/>
  <c r="BC53" i="5"/>
  <c r="BB53" i="5"/>
  <c r="BB52" i="5" s="1"/>
  <c r="BA53" i="5"/>
  <c r="BA52" i="5" s="1"/>
  <c r="AZ53" i="5"/>
  <c r="AZ52" i="5" s="1"/>
  <c r="AY53" i="5"/>
  <c r="AX53" i="5"/>
  <c r="AX52" i="5" s="1"/>
  <c r="AW53" i="5"/>
  <c r="AW52" i="5" s="1"/>
  <c r="AV53" i="5"/>
  <c r="AV52" i="5" s="1"/>
  <c r="AU53" i="5"/>
  <c r="AT53" i="5"/>
  <c r="AT52" i="5" s="1"/>
  <c r="AS53" i="5"/>
  <c r="AS52" i="5" s="1"/>
  <c r="AR53" i="5"/>
  <c r="AR52" i="5" s="1"/>
  <c r="AQ53" i="5"/>
  <c r="AP53" i="5"/>
  <c r="AP52" i="5" s="1"/>
  <c r="AO53" i="5"/>
  <c r="AO52" i="5" s="1"/>
  <c r="AN53" i="5"/>
  <c r="AN52" i="5" s="1"/>
  <c r="AM53" i="5"/>
  <c r="AM52" i="5" s="1"/>
  <c r="AL53" i="5"/>
  <c r="AL52" i="5" s="1"/>
  <c r="AK53" i="5"/>
  <c r="AK52" i="5" s="1"/>
  <c r="AJ53" i="5"/>
  <c r="AJ52" i="5" s="1"/>
  <c r="AI53" i="5"/>
  <c r="AH53" i="5"/>
  <c r="AH52" i="5" s="1"/>
  <c r="AG53" i="5"/>
  <c r="AG52" i="5" s="1"/>
  <c r="AF53" i="5"/>
  <c r="AE53" i="5"/>
  <c r="AD53" i="5"/>
  <c r="AD52" i="5" s="1"/>
  <c r="AC53" i="5"/>
  <c r="AC52" i="5" s="1"/>
  <c r="AB53" i="5"/>
  <c r="AB52" i="5" s="1"/>
  <c r="AA53" i="5"/>
  <c r="AA52" i="5" s="1"/>
  <c r="Z53" i="5"/>
  <c r="Z52" i="5" s="1"/>
  <c r="Y53" i="5"/>
  <c r="Y52" i="5" s="1"/>
  <c r="X53" i="5"/>
  <c r="W53" i="5"/>
  <c r="V53" i="5"/>
  <c r="V52" i="5" s="1"/>
  <c r="U53" i="5"/>
  <c r="U52" i="5" s="1"/>
  <c r="T53" i="5"/>
  <c r="T52" i="5" s="1"/>
  <c r="S53" i="5"/>
  <c r="R53" i="5"/>
  <c r="R52" i="5" s="1"/>
  <c r="Q53" i="5"/>
  <c r="Q52" i="5" s="1"/>
  <c r="P53" i="5"/>
  <c r="P52" i="5" s="1"/>
  <c r="O53" i="5"/>
  <c r="N53" i="5"/>
  <c r="N52" i="5" s="1"/>
  <c r="M53" i="5"/>
  <c r="M52" i="5" s="1"/>
  <c r="L53" i="5"/>
  <c r="L52" i="5" s="1"/>
  <c r="K53" i="5"/>
  <c r="I53" i="5"/>
  <c r="I52" i="5" s="1"/>
  <c r="BD52" i="5"/>
  <c r="BC52" i="5"/>
  <c r="AY52" i="5"/>
  <c r="AU52" i="5"/>
  <c r="AQ52" i="5"/>
  <c r="AI52" i="5"/>
  <c r="AF52" i="5"/>
  <c r="AE52" i="5"/>
  <c r="X52" i="5"/>
  <c r="W52" i="5"/>
  <c r="S52" i="5"/>
  <c r="O52" i="5"/>
  <c r="K52" i="5"/>
  <c r="BE49" i="5"/>
  <c r="BE48" i="5" s="1"/>
  <c r="BD49" i="5"/>
  <c r="BC49" i="5"/>
  <c r="BC48" i="5" s="1"/>
  <c r="BB49" i="5"/>
  <c r="BB48" i="5" s="1"/>
  <c r="BB47" i="5" s="1"/>
  <c r="BA49" i="5"/>
  <c r="BA48" i="5" s="1"/>
  <c r="AZ49" i="5"/>
  <c r="AY49" i="5"/>
  <c r="AY48" i="5" s="1"/>
  <c r="AY47" i="5" s="1"/>
  <c r="AX49" i="5"/>
  <c r="AX48" i="5" s="1"/>
  <c r="AW49" i="5"/>
  <c r="AW48" i="5" s="1"/>
  <c r="AV49" i="5"/>
  <c r="AU49" i="5"/>
  <c r="AT49" i="5"/>
  <c r="AT48" i="5" s="1"/>
  <c r="AS49" i="5"/>
  <c r="AS48" i="5" s="1"/>
  <c r="AR49" i="5"/>
  <c r="AQ49" i="5"/>
  <c r="AQ48" i="5" s="1"/>
  <c r="AQ47" i="5" s="1"/>
  <c r="AP49" i="5"/>
  <c r="AP48" i="5" s="1"/>
  <c r="AO49" i="5"/>
  <c r="AO48" i="5" s="1"/>
  <c r="AN49" i="5"/>
  <c r="AM49" i="5"/>
  <c r="AM48" i="5" s="1"/>
  <c r="AL49" i="5"/>
  <c r="AL48" i="5" s="1"/>
  <c r="AK49" i="5"/>
  <c r="AK48" i="5" s="1"/>
  <c r="AJ49" i="5"/>
  <c r="AI49" i="5"/>
  <c r="AI48" i="5" s="1"/>
  <c r="AI47" i="5" s="1"/>
  <c r="AH49" i="5"/>
  <c r="AH48" i="5" s="1"/>
  <c r="AG49" i="5"/>
  <c r="AG48" i="5" s="1"/>
  <c r="AF49" i="5"/>
  <c r="AE49" i="5"/>
  <c r="AE48" i="5" s="1"/>
  <c r="AD49" i="5"/>
  <c r="AD48" i="5" s="1"/>
  <c r="AD47" i="5" s="1"/>
  <c r="AC49" i="5"/>
  <c r="AC48" i="5" s="1"/>
  <c r="AB49" i="5"/>
  <c r="AA49" i="5"/>
  <c r="AA48" i="5" s="1"/>
  <c r="Z49" i="5"/>
  <c r="Z48" i="5" s="1"/>
  <c r="Y49" i="5"/>
  <c r="Y48" i="5" s="1"/>
  <c r="X49" i="5"/>
  <c r="W49" i="5"/>
  <c r="W48" i="5" s="1"/>
  <c r="V49" i="5"/>
  <c r="V48" i="5" s="1"/>
  <c r="U49" i="5"/>
  <c r="U48" i="5" s="1"/>
  <c r="T49" i="5"/>
  <c r="T48" i="5" s="1"/>
  <c r="S49" i="5"/>
  <c r="S48" i="5" s="1"/>
  <c r="S47" i="5" s="1"/>
  <c r="R49" i="5"/>
  <c r="R48" i="5" s="1"/>
  <c r="Q49" i="5"/>
  <c r="Q48" i="5" s="1"/>
  <c r="P49" i="5"/>
  <c r="O49" i="5"/>
  <c r="N49" i="5"/>
  <c r="N48" i="5" s="1"/>
  <c r="N47" i="5" s="1"/>
  <c r="M49" i="5"/>
  <c r="M48" i="5" s="1"/>
  <c r="L49" i="5"/>
  <c r="K49" i="5"/>
  <c r="K48" i="5" s="1"/>
  <c r="K47" i="5" s="1"/>
  <c r="J49" i="5"/>
  <c r="J48" i="5" s="1"/>
  <c r="I49" i="5"/>
  <c r="I48" i="5" s="1"/>
  <c r="H49" i="5"/>
  <c r="H48" i="5" s="1"/>
  <c r="BD48" i="5"/>
  <c r="AZ48" i="5"/>
  <c r="AV48" i="5"/>
  <c r="AU48" i="5"/>
  <c r="AR48" i="5"/>
  <c r="AN48" i="5"/>
  <c r="AJ48" i="5"/>
  <c r="AF48" i="5"/>
  <c r="AB48" i="5"/>
  <c r="X48" i="5"/>
  <c r="P48" i="5"/>
  <c r="O48" i="5"/>
  <c r="L48" i="5"/>
  <c r="BA47" i="5"/>
  <c r="BE42" i="5"/>
  <c r="BE40" i="5" s="1"/>
  <c r="BE39" i="5" s="1"/>
  <c r="BD42" i="5"/>
  <c r="BD40" i="5" s="1"/>
  <c r="BD39" i="5" s="1"/>
  <c r="BC42" i="5"/>
  <c r="BB42" i="5"/>
  <c r="BB40" i="5" s="1"/>
  <c r="BB39" i="5" s="1"/>
  <c r="BA42" i="5"/>
  <c r="BA40" i="5" s="1"/>
  <c r="BA39" i="5" s="1"/>
  <c r="AZ42" i="5"/>
  <c r="AZ40" i="5" s="1"/>
  <c r="AY42" i="5"/>
  <c r="AY40" i="5" s="1"/>
  <c r="AY39" i="5" s="1"/>
  <c r="AX42" i="5"/>
  <c r="AW42" i="5"/>
  <c r="AW40" i="5" s="1"/>
  <c r="AW39" i="5" s="1"/>
  <c r="AW9" i="5" s="1"/>
  <c r="AV42" i="5"/>
  <c r="AV40" i="5" s="1"/>
  <c r="AV39" i="5" s="1"/>
  <c r="AU42" i="5"/>
  <c r="AU40" i="5" s="1"/>
  <c r="AU39" i="5" s="1"/>
  <c r="AT42" i="5"/>
  <c r="AT40" i="5" s="1"/>
  <c r="AT39" i="5" s="1"/>
  <c r="AS42" i="5"/>
  <c r="AS40" i="5" s="1"/>
  <c r="AS39" i="5" s="1"/>
  <c r="AR42" i="5"/>
  <c r="AR40" i="5" s="1"/>
  <c r="AR39" i="5" s="1"/>
  <c r="AQ42" i="5"/>
  <c r="AQ40" i="5" s="1"/>
  <c r="AQ39" i="5" s="1"/>
  <c r="AP42" i="5"/>
  <c r="AP40" i="5" s="1"/>
  <c r="AP39" i="5" s="1"/>
  <c r="AO42" i="5"/>
  <c r="AO40" i="5" s="1"/>
  <c r="AO39" i="5" s="1"/>
  <c r="AN42" i="5"/>
  <c r="AN40" i="5" s="1"/>
  <c r="AN39" i="5" s="1"/>
  <c r="AM42" i="5"/>
  <c r="AM40" i="5" s="1"/>
  <c r="AM39" i="5" s="1"/>
  <c r="AL42" i="5"/>
  <c r="AK42" i="5"/>
  <c r="AK40" i="5" s="1"/>
  <c r="AK39" i="5" s="1"/>
  <c r="AJ42" i="5"/>
  <c r="AJ40" i="5" s="1"/>
  <c r="AJ39" i="5" s="1"/>
  <c r="AC42" i="5"/>
  <c r="AC40" i="5" s="1"/>
  <c r="AC39" i="5" s="1"/>
  <c r="AB42" i="5"/>
  <c r="AB40" i="5" s="1"/>
  <c r="AB39" i="5" s="1"/>
  <c r="AA42" i="5"/>
  <c r="AA40" i="5" s="1"/>
  <c r="AA39" i="5" s="1"/>
  <c r="Z42" i="5"/>
  <c r="Z40" i="5" s="1"/>
  <c r="Z39" i="5" s="1"/>
  <c r="V42" i="5"/>
  <c r="V40" i="5" s="1"/>
  <c r="V39" i="5" s="1"/>
  <c r="BC40" i="5"/>
  <c r="BC39" i="5" s="1"/>
  <c r="AX40" i="5"/>
  <c r="AX39" i="5" s="1"/>
  <c r="AL40" i="5"/>
  <c r="AL39" i="5" s="1"/>
  <c r="AI40" i="5"/>
  <c r="AI39" i="5" s="1"/>
  <c r="AH40" i="5"/>
  <c r="AH39" i="5" s="1"/>
  <c r="AG40" i="5"/>
  <c r="AG39" i="5" s="1"/>
  <c r="AF40" i="5"/>
  <c r="AE40" i="5"/>
  <c r="AE39" i="5" s="1"/>
  <c r="AD40" i="5"/>
  <c r="AD39" i="5" s="1"/>
  <c r="Y40" i="5"/>
  <c r="Y39" i="5" s="1"/>
  <c r="Y9" i="5" s="1"/>
  <c r="X40" i="5"/>
  <c r="W40" i="5"/>
  <c r="W39" i="5" s="1"/>
  <c r="U40" i="5"/>
  <c r="U39" i="5" s="1"/>
  <c r="T40" i="5"/>
  <c r="T39" i="5" s="1"/>
  <c r="S40" i="5"/>
  <c r="S39" i="5" s="1"/>
  <c r="R40" i="5"/>
  <c r="R39" i="5" s="1"/>
  <c r="Q40" i="5"/>
  <c r="Q39" i="5" s="1"/>
  <c r="P40" i="5"/>
  <c r="O40" i="5"/>
  <c r="O39" i="5" s="1"/>
  <c r="N40" i="5"/>
  <c r="N39" i="5" s="1"/>
  <c r="M40" i="5"/>
  <c r="L40" i="5"/>
  <c r="L39" i="5" s="1"/>
  <c r="K40" i="5"/>
  <c r="K39" i="5" s="1"/>
  <c r="J40" i="5"/>
  <c r="J39" i="5" s="1"/>
  <c r="I40" i="5"/>
  <c r="I39" i="5" s="1"/>
  <c r="H40" i="5"/>
  <c r="AZ39" i="5"/>
  <c r="AF39" i="5"/>
  <c r="X39" i="5"/>
  <c r="P39" i="5"/>
  <c r="M39" i="5"/>
  <c r="H39" i="5"/>
  <c r="Z36" i="5"/>
  <c r="Z28" i="5" s="1"/>
  <c r="Z26" i="5" s="1"/>
  <c r="V36" i="5"/>
  <c r="U36" i="5"/>
  <c r="U28" i="5" s="1"/>
  <c r="U26" i="5" s="1"/>
  <c r="M36" i="5"/>
  <c r="L36" i="5"/>
  <c r="L28" i="5" s="1"/>
  <c r="L26" i="5" s="1"/>
  <c r="J36" i="5"/>
  <c r="J28" i="5" s="1"/>
  <c r="J26" i="5" s="1"/>
  <c r="I36" i="5"/>
  <c r="I28" i="5" s="1"/>
  <c r="I26" i="5" s="1"/>
  <c r="BE28" i="5"/>
  <c r="BE26" i="5" s="1"/>
  <c r="BD28" i="5"/>
  <c r="BD26" i="5" s="1"/>
  <c r="BC28" i="5"/>
  <c r="BB28" i="5"/>
  <c r="BB26" i="5" s="1"/>
  <c r="BA28" i="5"/>
  <c r="BA26" i="5" s="1"/>
  <c r="AZ28" i="5"/>
  <c r="AZ26" i="5" s="1"/>
  <c r="AY28" i="5"/>
  <c r="AY26" i="5" s="1"/>
  <c r="AX28" i="5"/>
  <c r="AX26" i="5" s="1"/>
  <c r="AW28" i="5"/>
  <c r="AW26" i="5" s="1"/>
  <c r="AV28" i="5"/>
  <c r="AV26" i="5" s="1"/>
  <c r="AU28" i="5"/>
  <c r="AU26" i="5" s="1"/>
  <c r="AT28" i="5"/>
  <c r="AT26" i="5" s="1"/>
  <c r="AS28" i="5"/>
  <c r="AS26" i="5" s="1"/>
  <c r="AR28" i="5"/>
  <c r="AR26" i="5" s="1"/>
  <c r="AQ28" i="5"/>
  <c r="AQ26" i="5" s="1"/>
  <c r="AP28" i="5"/>
  <c r="AP26" i="5" s="1"/>
  <c r="AO28" i="5"/>
  <c r="AO26" i="5" s="1"/>
  <c r="AN28" i="5"/>
  <c r="AN26" i="5" s="1"/>
  <c r="AM28" i="5"/>
  <c r="AL28" i="5"/>
  <c r="AL26" i="5" s="1"/>
  <c r="AK28" i="5"/>
  <c r="AK26" i="5" s="1"/>
  <c r="AJ28" i="5"/>
  <c r="AJ26" i="5" s="1"/>
  <c r="AI28" i="5"/>
  <c r="AI26" i="5" s="1"/>
  <c r="AH28" i="5"/>
  <c r="AG28" i="5"/>
  <c r="AG26" i="5" s="1"/>
  <c r="AF28" i="5"/>
  <c r="AE28" i="5"/>
  <c r="AD28" i="5"/>
  <c r="AC28" i="5"/>
  <c r="AC26" i="5" s="1"/>
  <c r="AB28" i="5"/>
  <c r="AB26" i="5" s="1"/>
  <c r="AA28" i="5"/>
  <c r="AA26" i="5" s="1"/>
  <c r="Y28" i="5"/>
  <c r="Y26" i="5" s="1"/>
  <c r="X28" i="5"/>
  <c r="X26" i="5" s="1"/>
  <c r="W28" i="5"/>
  <c r="V28" i="5"/>
  <c r="V26" i="5" s="1"/>
  <c r="T28" i="5"/>
  <c r="S28" i="5"/>
  <c r="S26" i="5" s="1"/>
  <c r="R28" i="5"/>
  <c r="Q28" i="5"/>
  <c r="Q26" i="5" s="1"/>
  <c r="Q9" i="5" s="1"/>
  <c r="P28" i="5"/>
  <c r="O28" i="5"/>
  <c r="O26" i="5" s="1"/>
  <c r="N28" i="5"/>
  <c r="M28" i="5"/>
  <c r="M26" i="5" s="1"/>
  <c r="K28" i="5"/>
  <c r="H28" i="5"/>
  <c r="BC26" i="5"/>
  <c r="AM26" i="5"/>
  <c r="AH26" i="5"/>
  <c r="AF26" i="5"/>
  <c r="AE26" i="5"/>
  <c r="AD26" i="5"/>
  <c r="W26" i="5"/>
  <c r="T26" i="5"/>
  <c r="R26" i="5"/>
  <c r="P26" i="5"/>
  <c r="N26" i="5"/>
  <c r="K26" i="5"/>
  <c r="H26" i="5"/>
  <c r="BE23" i="5"/>
  <c r="BE22" i="5" s="1"/>
  <c r="BD23" i="5"/>
  <c r="BD22" i="5" s="1"/>
  <c r="BC23" i="5"/>
  <c r="BB23" i="5"/>
  <c r="BA23" i="5"/>
  <c r="BA22" i="5" s="1"/>
  <c r="AZ23" i="5"/>
  <c r="AZ22" i="5" s="1"/>
  <c r="AY23" i="5"/>
  <c r="AX23" i="5"/>
  <c r="AW23" i="5"/>
  <c r="AW22" i="5" s="1"/>
  <c r="AV23" i="5"/>
  <c r="AV22" i="5" s="1"/>
  <c r="AU23" i="5"/>
  <c r="AT23" i="5"/>
  <c r="AS23" i="5"/>
  <c r="AS22" i="5" s="1"/>
  <c r="AR23" i="5"/>
  <c r="AR22" i="5" s="1"/>
  <c r="AQ23" i="5"/>
  <c r="AP23" i="5"/>
  <c r="AO23" i="5"/>
  <c r="AO22" i="5" s="1"/>
  <c r="AN23" i="5"/>
  <c r="AN22" i="5" s="1"/>
  <c r="AM23" i="5"/>
  <c r="AL23" i="5"/>
  <c r="AK23" i="5"/>
  <c r="AK22" i="5" s="1"/>
  <c r="AJ23" i="5"/>
  <c r="AJ22" i="5" s="1"/>
  <c r="AI23" i="5"/>
  <c r="AH23" i="5"/>
  <c r="AH22" i="5" s="1"/>
  <c r="AG23" i="5"/>
  <c r="AG22" i="5" s="1"/>
  <c r="AF23" i="5"/>
  <c r="AF22" i="5" s="1"/>
  <c r="AE23" i="5"/>
  <c r="AD23" i="5"/>
  <c r="AC23" i="5"/>
  <c r="AC22" i="5" s="1"/>
  <c r="AB23" i="5"/>
  <c r="AB22" i="5" s="1"/>
  <c r="AA23" i="5"/>
  <c r="Z23" i="5"/>
  <c r="Y23" i="5"/>
  <c r="Y22" i="5" s="1"/>
  <c r="X23" i="5"/>
  <c r="X22" i="5" s="1"/>
  <c r="W23" i="5"/>
  <c r="V23" i="5"/>
  <c r="U23" i="5"/>
  <c r="U22" i="5" s="1"/>
  <c r="T23" i="5"/>
  <c r="T22" i="5" s="1"/>
  <c r="S23" i="5"/>
  <c r="R23" i="5"/>
  <c r="Q23" i="5"/>
  <c r="Q22" i="5" s="1"/>
  <c r="P23" i="5"/>
  <c r="P22" i="5" s="1"/>
  <c r="O23" i="5"/>
  <c r="N23" i="5"/>
  <c r="M23" i="5"/>
  <c r="M22" i="5" s="1"/>
  <c r="L23" i="5"/>
  <c r="L22" i="5" s="1"/>
  <c r="K23" i="5"/>
  <c r="J23" i="5"/>
  <c r="I23" i="5"/>
  <c r="I22" i="5" s="1"/>
  <c r="H23" i="5"/>
  <c r="H22" i="5" s="1"/>
  <c r="BC22" i="5"/>
  <c r="BB22" i="5"/>
  <c r="AY22" i="5"/>
  <c r="AX22" i="5"/>
  <c r="AU22" i="5"/>
  <c r="AT22" i="5"/>
  <c r="AQ22" i="5"/>
  <c r="AP22" i="5"/>
  <c r="AM22" i="5"/>
  <c r="AL22" i="5"/>
  <c r="AI22" i="5"/>
  <c r="AE22" i="5"/>
  <c r="AD22" i="5"/>
  <c r="AA22" i="5"/>
  <c r="Z22" i="5"/>
  <c r="W22" i="5"/>
  <c r="V22" i="5"/>
  <c r="S22" i="5"/>
  <c r="R22" i="5"/>
  <c r="O22" i="5"/>
  <c r="N22" i="5"/>
  <c r="K22" i="5"/>
  <c r="J22" i="5"/>
  <c r="BE17" i="5"/>
  <c r="BE16" i="5" s="1"/>
  <c r="BD17" i="5"/>
  <c r="BD16" i="5" s="1"/>
  <c r="BC17" i="5"/>
  <c r="BB17" i="5"/>
  <c r="BA17" i="5"/>
  <c r="BA16" i="5" s="1"/>
  <c r="AZ17" i="5"/>
  <c r="AZ16" i="5" s="1"/>
  <c r="AY17" i="5"/>
  <c r="AY16" i="5" s="1"/>
  <c r="AX17" i="5"/>
  <c r="AX16" i="5" s="1"/>
  <c r="AW17" i="5"/>
  <c r="AW16" i="5" s="1"/>
  <c r="AV17" i="5"/>
  <c r="AV16" i="5" s="1"/>
  <c r="AU17" i="5"/>
  <c r="AU16" i="5" s="1"/>
  <c r="AT17" i="5"/>
  <c r="AT16" i="5" s="1"/>
  <c r="AS17" i="5"/>
  <c r="AS16" i="5" s="1"/>
  <c r="AR17" i="5"/>
  <c r="AR16" i="5" s="1"/>
  <c r="AQ17" i="5"/>
  <c r="AQ16" i="5" s="1"/>
  <c r="AP17" i="5"/>
  <c r="AP16" i="5" s="1"/>
  <c r="AO17" i="5"/>
  <c r="AO16" i="5" s="1"/>
  <c r="AN17" i="5"/>
  <c r="AN16" i="5" s="1"/>
  <c r="AM17" i="5"/>
  <c r="AL17" i="5"/>
  <c r="AK17" i="5"/>
  <c r="AK16" i="5" s="1"/>
  <c r="AJ17" i="5"/>
  <c r="AJ16" i="5" s="1"/>
  <c r="AI17" i="5"/>
  <c r="AI16" i="5" s="1"/>
  <c r="AH17" i="5"/>
  <c r="AH16" i="5" s="1"/>
  <c r="AG17" i="5"/>
  <c r="AG16" i="5" s="1"/>
  <c r="AF17" i="5"/>
  <c r="AF16" i="5" s="1"/>
  <c r="AE17" i="5"/>
  <c r="AE16" i="5" s="1"/>
  <c r="AD17" i="5"/>
  <c r="AD16" i="5" s="1"/>
  <c r="AC17" i="5"/>
  <c r="AC16" i="5" s="1"/>
  <c r="AB17" i="5"/>
  <c r="AB16" i="5" s="1"/>
  <c r="AA17" i="5"/>
  <c r="AA16" i="5" s="1"/>
  <c r="Z17" i="5"/>
  <c r="Z16" i="5" s="1"/>
  <c r="Y17" i="5"/>
  <c r="Y16" i="5" s="1"/>
  <c r="X17" i="5"/>
  <c r="X16" i="5" s="1"/>
  <c r="W17" i="5"/>
  <c r="V17" i="5"/>
  <c r="U17" i="5"/>
  <c r="U16" i="5" s="1"/>
  <c r="T17" i="5"/>
  <c r="T16" i="5" s="1"/>
  <c r="S17" i="5"/>
  <c r="S16" i="5" s="1"/>
  <c r="R17" i="5"/>
  <c r="R16" i="5" s="1"/>
  <c r="Q17" i="5"/>
  <c r="Q16" i="5" s="1"/>
  <c r="P17" i="5"/>
  <c r="P16" i="5" s="1"/>
  <c r="O17" i="5"/>
  <c r="O16" i="5" s="1"/>
  <c r="N17" i="5"/>
  <c r="N16" i="5" s="1"/>
  <c r="M17" i="5"/>
  <c r="M16" i="5" s="1"/>
  <c r="L17" i="5"/>
  <c r="L16" i="5" s="1"/>
  <c r="K17" i="5"/>
  <c r="K16" i="5" s="1"/>
  <c r="J17" i="5"/>
  <c r="J16" i="5" s="1"/>
  <c r="I17" i="5"/>
  <c r="I16" i="5" s="1"/>
  <c r="H17" i="5"/>
  <c r="H16" i="5" s="1"/>
  <c r="BC16" i="5"/>
  <c r="BB16" i="5"/>
  <c r="AM16" i="5"/>
  <c r="AL16" i="5"/>
  <c r="W16" i="5"/>
  <c r="V16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F9" i="5" s="1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P9" i="5" s="1"/>
  <c r="O13" i="5"/>
  <c r="N13" i="5"/>
  <c r="M13" i="5"/>
  <c r="L13" i="5"/>
  <c r="K13" i="5"/>
  <c r="J13" i="5"/>
  <c r="I13" i="5"/>
  <c r="I9" i="5" s="1"/>
  <c r="H13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BE86" i="4"/>
  <c r="BF82" i="4"/>
  <c r="BE82" i="4"/>
  <c r="BF79" i="4"/>
  <c r="BE79" i="4"/>
  <c r="BF76" i="4"/>
  <c r="BE76" i="4"/>
  <c r="BF68" i="4"/>
  <c r="BF65" i="4" s="1"/>
  <c r="BE68" i="4"/>
  <c r="BE65" i="4" s="1"/>
  <c r="BF60" i="4"/>
  <c r="BE60" i="4"/>
  <c r="BF56" i="4"/>
  <c r="BF55" i="4" s="1"/>
  <c r="BE56" i="4"/>
  <c r="BE55" i="4" s="1"/>
  <c r="BF49" i="4"/>
  <c r="BE49" i="4"/>
  <c r="BF42" i="4"/>
  <c r="BE42" i="4"/>
  <c r="BF35" i="4"/>
  <c r="BE35" i="4"/>
  <c r="BF32" i="4"/>
  <c r="BE32" i="4"/>
  <c r="BF23" i="4"/>
  <c r="BE23" i="4"/>
  <c r="BF20" i="4"/>
  <c r="BE20" i="4"/>
  <c r="BF17" i="4"/>
  <c r="BE17" i="4"/>
  <c r="BF14" i="4"/>
  <c r="BE14" i="4"/>
  <c r="BF10" i="4"/>
  <c r="BE10" i="4"/>
  <c r="CP99" i="6"/>
  <c r="CR99" i="6" s="1"/>
  <c r="CS99" i="6" s="1"/>
  <c r="CP98" i="6"/>
  <c r="CR98" i="6" s="1"/>
  <c r="CS98" i="6" s="1"/>
  <c r="CP96" i="6"/>
  <c r="CR96" i="6" s="1"/>
  <c r="CS96" i="6" s="1"/>
  <c r="CP95" i="6"/>
  <c r="CO94" i="6"/>
  <c r="CO92" i="6"/>
  <c r="CO91" i="6"/>
  <c r="CO87" i="6"/>
  <c r="CO86" i="6"/>
  <c r="CP85" i="6"/>
  <c r="CO84" i="6"/>
  <c r="CO83" i="6"/>
  <c r="CO82" i="6"/>
  <c r="CO81" i="6"/>
  <c r="CO80" i="6"/>
  <c r="CP79" i="6"/>
  <c r="CO75" i="6"/>
  <c r="CP74" i="6"/>
  <c r="CP73" i="6"/>
  <c r="CR73" i="6" s="1"/>
  <c r="CT73" i="6" s="1"/>
  <c r="CP72" i="6"/>
  <c r="CR72" i="6" s="1"/>
  <c r="CT72" i="6" s="1"/>
  <c r="CP71" i="6"/>
  <c r="CR71" i="6" s="1"/>
  <c r="CT71" i="6" s="1"/>
  <c r="CP70" i="6"/>
  <c r="CR70" i="6" s="1"/>
  <c r="CT70" i="6" s="1"/>
  <c r="CP69" i="6"/>
  <c r="CR69" i="6" s="1"/>
  <c r="CT69" i="6" s="1"/>
  <c r="CP68" i="6"/>
  <c r="CR68" i="6" s="1"/>
  <c r="CT68" i="6" s="1"/>
  <c r="CP67" i="6"/>
  <c r="CR67" i="6" s="1"/>
  <c r="CT67" i="6" s="1"/>
  <c r="CP66" i="6"/>
  <c r="CR66" i="6" s="1"/>
  <c r="CT66" i="6" s="1"/>
  <c r="CP65" i="6"/>
  <c r="CR65" i="6" s="1"/>
  <c r="CT65" i="6" s="1"/>
  <c r="CP64" i="6"/>
  <c r="CR64" i="6" s="1"/>
  <c r="CT64" i="6" s="1"/>
  <c r="CP63" i="6"/>
  <c r="CR63" i="6" s="1"/>
  <c r="CT63" i="6" s="1"/>
  <c r="CP62" i="6"/>
  <c r="CR62" i="6" s="1"/>
  <c r="CT62" i="6" s="1"/>
  <c r="CP61" i="6"/>
  <c r="CR61" i="6" s="1"/>
  <c r="CT61" i="6" s="1"/>
  <c r="CP60" i="6"/>
  <c r="CO59" i="6"/>
  <c r="CO58" i="6" s="1"/>
  <c r="CP57" i="6"/>
  <c r="CR57" i="6" s="1"/>
  <c r="CT57" i="6" s="1"/>
  <c r="CP55" i="6"/>
  <c r="CR55" i="6" s="1"/>
  <c r="CT55" i="6" s="1"/>
  <c r="CP54" i="6"/>
  <c r="CR54" i="6" s="1"/>
  <c r="CT54" i="6" s="1"/>
  <c r="CP53" i="6"/>
  <c r="CR53" i="6" s="1"/>
  <c r="CT53" i="6" s="1"/>
  <c r="CP52" i="6"/>
  <c r="CR52" i="6" s="1"/>
  <c r="CT52" i="6" s="1"/>
  <c r="CP51" i="6"/>
  <c r="CR51" i="6" s="1"/>
  <c r="CT51" i="6" s="1"/>
  <c r="CO50" i="6"/>
  <c r="CP44" i="6"/>
  <c r="CR44" i="6" s="1"/>
  <c r="CT44" i="6" s="1"/>
  <c r="CP43" i="6"/>
  <c r="CR43" i="6" s="1"/>
  <c r="CT43" i="6" s="1"/>
  <c r="CP42" i="6"/>
  <c r="CR42" i="6" s="1"/>
  <c r="CT42" i="6" s="1"/>
  <c r="CP41" i="6"/>
  <c r="CO40" i="6"/>
  <c r="CP37" i="6"/>
  <c r="CR37" i="6" s="1"/>
  <c r="CT37" i="6" s="1"/>
  <c r="CP36" i="6"/>
  <c r="CR36" i="6" s="1"/>
  <c r="CT36" i="6" s="1"/>
  <c r="CP35" i="6"/>
  <c r="CR35" i="6" s="1"/>
  <c r="CT35" i="6" s="1"/>
  <c r="CP34" i="6"/>
  <c r="CP33" i="6"/>
  <c r="CR33" i="6" s="1"/>
  <c r="CT33" i="6" s="1"/>
  <c r="CO32" i="6"/>
  <c r="CP25" i="6"/>
  <c r="CR25" i="6" s="1"/>
  <c r="CT25" i="6" s="1"/>
  <c r="CP23" i="6"/>
  <c r="CR23" i="6" s="1"/>
  <c r="CT23" i="6" s="1"/>
  <c r="CP22" i="6"/>
  <c r="CR22" i="6" s="1"/>
  <c r="CT22" i="6" s="1"/>
  <c r="CP21" i="6"/>
  <c r="CR21" i="6" s="1"/>
  <c r="CT21" i="6" s="1"/>
  <c r="CP20" i="6"/>
  <c r="CR20" i="6" s="1"/>
  <c r="CT20" i="6" s="1"/>
  <c r="CP19" i="6"/>
  <c r="CP17" i="6"/>
  <c r="CS8" i="6" s="1"/>
  <c r="CP16" i="6"/>
  <c r="CR16" i="6" s="1"/>
  <c r="CT16" i="6" s="1"/>
  <c r="CP13" i="6"/>
  <c r="CR13" i="6" s="1"/>
  <c r="CT13" i="6" s="1"/>
  <c r="CP12" i="6"/>
  <c r="CR12" i="6" s="1"/>
  <c r="CT12" i="6" s="1"/>
  <c r="CP11" i="6"/>
  <c r="CR11" i="6" s="1"/>
  <c r="CT11" i="6" s="1"/>
  <c r="CP10" i="6"/>
  <c r="CO9" i="6"/>
  <c r="CO8" i="6" s="1"/>
  <c r="BE64" i="4" l="1"/>
  <c r="CR74" i="6"/>
  <c r="CJ12" i="9"/>
  <c r="CP18" i="6"/>
  <c r="CJ19" i="9" s="1"/>
  <c r="CO49" i="6"/>
  <c r="CT50" i="6"/>
  <c r="CQ93" i="6"/>
  <c r="CQ97" i="6" s="1"/>
  <c r="BE63" i="4"/>
  <c r="BF19" i="4"/>
  <c r="BF41" i="4"/>
  <c r="BF31" i="4"/>
  <c r="BF30" i="4" s="1"/>
  <c r="BE13" i="4"/>
  <c r="N9" i="5"/>
  <c r="AD9" i="5"/>
  <c r="AD8" i="5" s="1"/>
  <c r="W9" i="5"/>
  <c r="AE9" i="5"/>
  <c r="AC9" i="5"/>
  <c r="AO9" i="5"/>
  <c r="AO8" i="5" s="1"/>
  <c r="AN9" i="5"/>
  <c r="AV9" i="5"/>
  <c r="BD9" i="5"/>
  <c r="V47" i="5"/>
  <c r="V8" i="5" s="1"/>
  <c r="AT47" i="5"/>
  <c r="M65" i="5"/>
  <c r="V9" i="5"/>
  <c r="H9" i="5"/>
  <c r="X9" i="5"/>
  <c r="BE9" i="5"/>
  <c r="AA47" i="5"/>
  <c r="AG9" i="5"/>
  <c r="AG8" i="5" s="1"/>
  <c r="I47" i="5"/>
  <c r="M47" i="5"/>
  <c r="Q47" i="5"/>
  <c r="U47" i="5"/>
  <c r="Y47" i="5"/>
  <c r="Y8" i="5" s="1"/>
  <c r="AC47" i="5"/>
  <c r="AG47" i="5"/>
  <c r="AK47" i="5"/>
  <c r="AO47" i="5"/>
  <c r="AS47" i="5"/>
  <c r="AW47" i="5"/>
  <c r="AW8" i="5" s="1"/>
  <c r="BE47" i="5"/>
  <c r="CS48" i="6"/>
  <c r="CM7" i="9"/>
  <c r="BE41" i="4"/>
  <c r="BG41" i="4"/>
  <c r="BG64" i="4"/>
  <c r="CK27" i="9"/>
  <c r="CK28" i="9" s="1"/>
  <c r="CO79" i="6"/>
  <c r="CP94" i="6"/>
  <c r="CR95" i="6"/>
  <c r="CP9" i="6"/>
  <c r="CR10" i="6"/>
  <c r="CP59" i="6"/>
  <c r="CR60" i="6"/>
  <c r="CP78" i="6"/>
  <c r="CO85" i="6"/>
  <c r="CR19" i="6"/>
  <c r="CR34" i="6"/>
  <c r="CT34" i="6" s="1"/>
  <c r="CT32" i="6" s="1"/>
  <c r="CO31" i="6"/>
  <c r="CO48" i="6" s="1"/>
  <c r="CR41" i="6"/>
  <c r="O9" i="5"/>
  <c r="S9" i="5"/>
  <c r="S8" i="5" s="1"/>
  <c r="AA9" i="5"/>
  <c r="AA8" i="5" s="1"/>
  <c r="AM9" i="5"/>
  <c r="AQ9" i="5"/>
  <c r="AQ8" i="5" s="1"/>
  <c r="AU9" i="5"/>
  <c r="AY9" i="5"/>
  <c r="AY8" i="5" s="1"/>
  <c r="BC9" i="5"/>
  <c r="M9" i="5"/>
  <c r="U9" i="5"/>
  <c r="U8" i="5" s="1"/>
  <c r="AC8" i="5"/>
  <c r="AK9" i="5"/>
  <c r="AS9" i="5"/>
  <c r="AS8" i="5" s="1"/>
  <c r="BA9" i="5"/>
  <c r="BA8" i="5" s="1"/>
  <c r="K67" i="5"/>
  <c r="K65" i="5" s="1"/>
  <c r="J9" i="5"/>
  <c r="Z9" i="5"/>
  <c r="AP9" i="5"/>
  <c r="AT9" i="5"/>
  <c r="AT8" i="5" s="1"/>
  <c r="AX9" i="5"/>
  <c r="BB9" i="5"/>
  <c r="BB8" i="5" s="1"/>
  <c r="L9" i="5"/>
  <c r="T9" i="5"/>
  <c r="AZ9" i="5"/>
  <c r="T47" i="5"/>
  <c r="AJ47" i="5"/>
  <c r="AZ47" i="5"/>
  <c r="K9" i="5"/>
  <c r="K8" i="5" s="1"/>
  <c r="Q8" i="5"/>
  <c r="R47" i="5"/>
  <c r="Z47" i="5"/>
  <c r="AH47" i="5"/>
  <c r="AP47" i="5"/>
  <c r="AX47" i="5"/>
  <c r="R9" i="5"/>
  <c r="R8" i="5" s="1"/>
  <c r="AB9" i="5"/>
  <c r="AR9" i="5"/>
  <c r="AR8" i="5" s="1"/>
  <c r="L47" i="5"/>
  <c r="AB47" i="5"/>
  <c r="AR47" i="5"/>
  <c r="AI9" i="5"/>
  <c r="AI8" i="5" s="1"/>
  <c r="BF8" i="5"/>
  <c r="BG13" i="4"/>
  <c r="BF13" i="4"/>
  <c r="BE19" i="4"/>
  <c r="BF64" i="4"/>
  <c r="BF63" i="4" s="1"/>
  <c r="BG19" i="4"/>
  <c r="BE31" i="4"/>
  <c r="BE30" i="4" s="1"/>
  <c r="BG31" i="4"/>
  <c r="BG30" i="4" s="1"/>
  <c r="L8" i="5"/>
  <c r="N8" i="5"/>
  <c r="M8" i="5"/>
  <c r="AJ9" i="5"/>
  <c r="AJ8" i="5" s="1"/>
  <c r="J47" i="5"/>
  <c r="N65" i="5"/>
  <c r="I8" i="5"/>
  <c r="AH9" i="5"/>
  <c r="AH8" i="5" s="1"/>
  <c r="AL9" i="5"/>
  <c r="AL8" i="5" s="1"/>
  <c r="O47" i="5"/>
  <c r="O8" i="5" s="1"/>
  <c r="W47" i="5"/>
  <c r="W8" i="5" s="1"/>
  <c r="AE47" i="5"/>
  <c r="AM47" i="5"/>
  <c r="AU47" i="5"/>
  <c r="BC47" i="5"/>
  <c r="J67" i="5"/>
  <c r="J65" i="5" s="1"/>
  <c r="H47" i="5"/>
  <c r="H8" i="5" s="1"/>
  <c r="P47" i="5"/>
  <c r="P8" i="5" s="1"/>
  <c r="X47" i="5"/>
  <c r="X8" i="5" s="1"/>
  <c r="AF47" i="5"/>
  <c r="AF8" i="5" s="1"/>
  <c r="AN47" i="5"/>
  <c r="AN8" i="5" s="1"/>
  <c r="AV47" i="5"/>
  <c r="AV8" i="5" s="1"/>
  <c r="BD47" i="5"/>
  <c r="BD8" i="5" s="1"/>
  <c r="BF9" i="4" l="1"/>
  <c r="BF8" i="4" s="1"/>
  <c r="BF92" i="4" s="1"/>
  <c r="CO77" i="6"/>
  <c r="CO78" i="6"/>
  <c r="CT41" i="6"/>
  <c r="CT10" i="6"/>
  <c r="CT9" i="6" s="1"/>
  <c r="CR9" i="6"/>
  <c r="CR94" i="6"/>
  <c r="CS95" i="6"/>
  <c r="CS94" i="6" s="1"/>
  <c r="CT19" i="6"/>
  <c r="CT18" i="6" s="1"/>
  <c r="CR18" i="6"/>
  <c r="CT60" i="6"/>
  <c r="CT59" i="6" s="1"/>
  <c r="CT58" i="6" s="1"/>
  <c r="CT49" i="6" s="1"/>
  <c r="CR59" i="6"/>
  <c r="CR58" i="6" s="1"/>
  <c r="CS74" i="6"/>
  <c r="CL12" i="9"/>
  <c r="BE9" i="4"/>
  <c r="BE8" i="4" s="1"/>
  <c r="BE92" i="4" s="1"/>
  <c r="BG9" i="4"/>
  <c r="AE8" i="5"/>
  <c r="T8" i="5"/>
  <c r="AK8" i="5"/>
  <c r="BC8" i="5"/>
  <c r="BE8" i="5"/>
  <c r="AU8" i="5"/>
  <c r="CL19" i="9"/>
  <c r="CN19" i="9" s="1"/>
  <c r="CP58" i="6"/>
  <c r="CJ11" i="9"/>
  <c r="CM9" i="9"/>
  <c r="CP8" i="6"/>
  <c r="CJ7" i="9" s="1"/>
  <c r="AP8" i="5"/>
  <c r="Z8" i="5"/>
  <c r="AM8" i="5"/>
  <c r="AB8" i="5"/>
  <c r="AZ8" i="5"/>
  <c r="AX8" i="5"/>
  <c r="J8" i="5"/>
  <c r="CO93" i="6"/>
  <c r="CO97" i="6" s="1"/>
  <c r="CR8" i="6" l="1"/>
  <c r="CL7" i="9" s="1"/>
  <c r="CN7" i="9" s="1"/>
  <c r="CT8" i="6"/>
  <c r="CM12" i="9"/>
  <c r="CN12" i="9" s="1"/>
  <c r="CS58" i="6"/>
  <c r="CL11" i="9"/>
  <c r="CN11" i="9" s="1"/>
  <c r="CC13" i="19"/>
  <c r="CC8" i="19" s="1"/>
  <c r="CJ13" i="19"/>
  <c r="CJ12" i="19"/>
  <c r="CJ11" i="19"/>
  <c r="CJ10" i="19"/>
  <c r="CJ9" i="19"/>
  <c r="CJ8" i="19" s="1"/>
  <c r="CI8" i="19"/>
  <c r="CK18" i="20"/>
  <c r="CM18" i="20" s="1"/>
  <c r="CK17" i="20"/>
  <c r="CM17" i="20" s="1"/>
  <c r="CM19" i="20" s="1"/>
  <c r="CJ13" i="20"/>
  <c r="CK7" i="20"/>
  <c r="CK12" i="20" s="1"/>
  <c r="CJ11" i="20"/>
  <c r="CJ10" i="20"/>
  <c r="CJ9" i="20"/>
  <c r="CJ8" i="20"/>
  <c r="CK16" i="20"/>
  <c r="CI20" i="9"/>
  <c r="CI19" i="9"/>
  <c r="CI13" i="9"/>
  <c r="CI12" i="9"/>
  <c r="CI11" i="9"/>
  <c r="CI10" i="9"/>
  <c r="CI8" i="9"/>
  <c r="CI7" i="9"/>
  <c r="CP19" i="8"/>
  <c r="CP8" i="8"/>
  <c r="CO45" i="8"/>
  <c r="CO50" i="8"/>
  <c r="CO49" i="8"/>
  <c r="CO47" i="8"/>
  <c r="CP46" i="8"/>
  <c r="CO44" i="8"/>
  <c r="CO43" i="8"/>
  <c r="CP42" i="8"/>
  <c r="CO41" i="8"/>
  <c r="CO40" i="8"/>
  <c r="CO39" i="8"/>
  <c r="CP38" i="8"/>
  <c r="CO37" i="8"/>
  <c r="CO36" i="8"/>
  <c r="CO35" i="8"/>
  <c r="CO34" i="8"/>
  <c r="CP33" i="8"/>
  <c r="CO30" i="8"/>
  <c r="CO29" i="8"/>
  <c r="CP27" i="8"/>
  <c r="CO25" i="8"/>
  <c r="CO24" i="8"/>
  <c r="CI16" i="9" s="1"/>
  <c r="CP23" i="8"/>
  <c r="CO21" i="8"/>
  <c r="CO20" i="8"/>
  <c r="CO18" i="8"/>
  <c r="CO17" i="8"/>
  <c r="CO16" i="8"/>
  <c r="CO12" i="8"/>
  <c r="CO11" i="8"/>
  <c r="CO10" i="8"/>
  <c r="CO9" i="8"/>
  <c r="CK19" i="20" l="1"/>
  <c r="CO46" i="8"/>
  <c r="CO19" i="8"/>
  <c r="CO15" i="8" s="1"/>
  <c r="CQ19" i="8"/>
  <c r="CQ15" i="8" s="1"/>
  <c r="CQ22" i="8" s="1"/>
  <c r="CQ26" i="8" s="1"/>
  <c r="CQ31" i="8" s="1"/>
  <c r="CQ52" i="8" s="1"/>
  <c r="CI9" i="9"/>
  <c r="CJ16" i="20"/>
  <c r="CJ19" i="20" s="1"/>
  <c r="CJ7" i="20"/>
  <c r="CJ12" i="20" s="1"/>
  <c r="CI15" i="9"/>
  <c r="CO42" i="8"/>
  <c r="CO38" i="8"/>
  <c r="CP32" i="8"/>
  <c r="CO33" i="8"/>
  <c r="CO27" i="8"/>
  <c r="CO23" i="8"/>
  <c r="CP15" i="8"/>
  <c r="CP22" i="8" s="1"/>
  <c r="CP26" i="8" s="1"/>
  <c r="CP31" i="8" s="1"/>
  <c r="CP52" i="8" s="1"/>
  <c r="CO8" i="8"/>
  <c r="CI18" i="9" l="1"/>
  <c r="CI27" i="9" s="1"/>
  <c r="CI28" i="9" s="1"/>
  <c r="CO32" i="8"/>
  <c r="CO22" i="8"/>
  <c r="CO26" i="8" s="1"/>
  <c r="CO31" i="8" s="1"/>
  <c r="CO52" i="8" s="1"/>
  <c r="CN47" i="6" l="1"/>
  <c r="CP47" i="6" s="1"/>
  <c r="CR32" i="6" l="1"/>
  <c r="CP32" i="6"/>
  <c r="CR47" i="6"/>
  <c r="CP40" i="6"/>
  <c r="BE6" i="5"/>
  <c r="BD42" i="4"/>
  <c r="BB33" i="4"/>
  <c r="BB32" i="4" s="1"/>
  <c r="CH8" i="19"/>
  <c r="CI16" i="20"/>
  <c r="CI19" i="20" s="1"/>
  <c r="CI7" i="20"/>
  <c r="CI12" i="20" s="1"/>
  <c r="CH16" i="9"/>
  <c r="CH12" i="9"/>
  <c r="CN46" i="8"/>
  <c r="CN42" i="8"/>
  <c r="CN38" i="8"/>
  <c r="CN33" i="8"/>
  <c r="CN27" i="8"/>
  <c r="CN23" i="8"/>
  <c r="CN15" i="8"/>
  <c r="CN8" i="8"/>
  <c r="CN75" i="6"/>
  <c r="CP75" i="6" s="1"/>
  <c r="CN59" i="6"/>
  <c r="CN50" i="6"/>
  <c r="CN40" i="6"/>
  <c r="CH20" i="9" s="1"/>
  <c r="CN94" i="6"/>
  <c r="CN85" i="6"/>
  <c r="CN79" i="6"/>
  <c r="CN32" i="6"/>
  <c r="CN18" i="6"/>
  <c r="CH19" i="9" s="1"/>
  <c r="CN9" i="6"/>
  <c r="BD6" i="5"/>
  <c r="BG16" i="20"/>
  <c r="BG19" i="20" s="1"/>
  <c r="BI16" i="20"/>
  <c r="BI19" i="20" s="1"/>
  <c r="BK16" i="20"/>
  <c r="BK19" i="20" s="1"/>
  <c r="BM16" i="20"/>
  <c r="BM19" i="20" s="1"/>
  <c r="BN16" i="20"/>
  <c r="BN19" i="20" s="1"/>
  <c r="BP16" i="20"/>
  <c r="BP19" i="20" s="1"/>
  <c r="BR16" i="20"/>
  <c r="BR19" i="20" s="1"/>
  <c r="BT16" i="20"/>
  <c r="BT19" i="20" s="1"/>
  <c r="BU16" i="20"/>
  <c r="BU19" i="20" s="1"/>
  <c r="BW16" i="20"/>
  <c r="BW19" i="20" s="1"/>
  <c r="BY16" i="20"/>
  <c r="BY19" i="20" s="1"/>
  <c r="CA16" i="20"/>
  <c r="CA19" i="20" s="1"/>
  <c r="CB16" i="20"/>
  <c r="CB19" i="20" s="1"/>
  <c r="CD16" i="20"/>
  <c r="CD19" i="20" s="1"/>
  <c r="CF16" i="20"/>
  <c r="CF19" i="20" s="1"/>
  <c r="CH16" i="20"/>
  <c r="CH19" i="20" s="1"/>
  <c r="B8" i="19"/>
  <c r="J8" i="19"/>
  <c r="Z8" i="19"/>
  <c r="AD8" i="19"/>
  <c r="AL8" i="19"/>
  <c r="AP8" i="19"/>
  <c r="AT8" i="19"/>
  <c r="BB8" i="19"/>
  <c r="BF8" i="19"/>
  <c r="BR8" i="19"/>
  <c r="CD8" i="19"/>
  <c r="BV12" i="19"/>
  <c r="BX12" i="19" s="1"/>
  <c r="BV11" i="19"/>
  <c r="BX11" i="19"/>
  <c r="BV10" i="19"/>
  <c r="BX10" i="19" s="1"/>
  <c r="BV9" i="19"/>
  <c r="BX9" i="19" s="1"/>
  <c r="BX8" i="19" s="1"/>
  <c r="BO12" i="19"/>
  <c r="BQ12" i="19" s="1"/>
  <c r="BO11" i="19"/>
  <c r="BQ11" i="19"/>
  <c r="BO10" i="19"/>
  <c r="BQ10" i="19" s="1"/>
  <c r="BO9" i="19"/>
  <c r="BQ9" i="19"/>
  <c r="BH12" i="19"/>
  <c r="BJ12" i="19" s="1"/>
  <c r="BH11" i="19"/>
  <c r="BJ11" i="19"/>
  <c r="BH10" i="19"/>
  <c r="BJ10" i="19" s="1"/>
  <c r="BH9" i="19"/>
  <c r="BJ9" i="19" s="1"/>
  <c r="BJ8" i="19" s="1"/>
  <c r="BA12" i="19"/>
  <c r="BC12" i="19" s="1"/>
  <c r="BA11" i="19"/>
  <c r="BC11" i="19"/>
  <c r="BA10" i="19"/>
  <c r="BC10" i="19" s="1"/>
  <c r="BA9" i="19"/>
  <c r="CC12" i="19"/>
  <c r="CE12" i="19"/>
  <c r="CG12" i="19" s="1"/>
  <c r="CC11" i="19"/>
  <c r="CE11" i="19"/>
  <c r="CG11" i="19"/>
  <c r="CC10" i="19"/>
  <c r="CE10" i="19" s="1"/>
  <c r="CE8" i="19" s="1"/>
  <c r="CC9" i="19"/>
  <c r="CE9" i="19"/>
  <c r="CG9" i="19" s="1"/>
  <c r="CF8" i="19"/>
  <c r="CG13" i="20"/>
  <c r="CG11" i="20"/>
  <c r="CG12" i="20" s="1"/>
  <c r="CG16" i="20"/>
  <c r="CG19" i="20" s="1"/>
  <c r="CH7" i="20"/>
  <c r="CH12" i="20" s="1"/>
  <c r="CH14" i="20" s="1"/>
  <c r="CO13" i="20" s="1"/>
  <c r="CE9" i="20"/>
  <c r="CL48" i="8"/>
  <c r="CF15" i="8"/>
  <c r="CM19" i="8"/>
  <c r="CM15" i="8" s="1"/>
  <c r="CL9" i="8"/>
  <c r="CL50" i="8"/>
  <c r="CL49" i="8"/>
  <c r="CL47" i="8"/>
  <c r="CM46" i="8"/>
  <c r="CL45" i="8"/>
  <c r="CL44" i="8"/>
  <c r="CL43" i="8"/>
  <c r="CM42" i="8"/>
  <c r="CL41" i="8"/>
  <c r="CL40" i="8"/>
  <c r="CL39" i="8"/>
  <c r="CL38" i="8" s="1"/>
  <c r="CM38" i="8"/>
  <c r="CL37" i="8"/>
  <c r="CL36" i="8"/>
  <c r="CL35" i="8"/>
  <c r="CL34" i="8"/>
  <c r="CM33" i="8"/>
  <c r="CL30" i="8"/>
  <c r="CL29" i="8"/>
  <c r="CL27" i="8" s="1"/>
  <c r="CM27" i="8"/>
  <c r="CL25" i="8"/>
  <c r="CL24" i="8"/>
  <c r="CF16" i="9" s="1"/>
  <c r="CM23" i="8"/>
  <c r="CL21" i="8"/>
  <c r="CL20" i="8"/>
  <c r="CL19" i="8"/>
  <c r="CL18" i="8"/>
  <c r="CL17" i="8"/>
  <c r="CL16" i="8"/>
  <c r="CL12" i="8"/>
  <c r="CL8" i="8" s="1"/>
  <c r="CL11" i="8"/>
  <c r="CL10" i="8"/>
  <c r="CM8" i="8"/>
  <c r="CG43" i="6"/>
  <c r="CG47" i="6"/>
  <c r="CL39" i="6"/>
  <c r="CL36" i="6"/>
  <c r="CL35" i="6"/>
  <c r="CL34" i="6"/>
  <c r="CC10" i="6"/>
  <c r="CC9" i="6" s="1"/>
  <c r="CL82" i="6"/>
  <c r="CL59" i="6"/>
  <c r="CF11" i="9" s="1"/>
  <c r="CL50" i="6"/>
  <c r="CF10" i="9" s="1"/>
  <c r="CL40" i="6"/>
  <c r="CF20" i="9" s="1"/>
  <c r="CL18" i="6"/>
  <c r="CF19" i="9" s="1"/>
  <c r="CL9" i="6"/>
  <c r="BC6" i="5"/>
  <c r="AZ68" i="4"/>
  <c r="AZ65" i="4" s="1"/>
  <c r="AZ76" i="4"/>
  <c r="AZ79" i="4"/>
  <c r="AZ82" i="4"/>
  <c r="AZ86" i="4"/>
  <c r="BD86" i="4"/>
  <c r="BD82" i="4"/>
  <c r="BD79" i="4"/>
  <c r="AY76" i="4"/>
  <c r="BD49" i="4"/>
  <c r="AZ49" i="4"/>
  <c r="BD35" i="4"/>
  <c r="AZ32" i="4"/>
  <c r="BD32" i="4"/>
  <c r="BD23" i="4"/>
  <c r="BD20" i="4"/>
  <c r="BD76" i="4"/>
  <c r="BD68" i="4"/>
  <c r="BD65" i="4" s="1"/>
  <c r="BD60" i="4"/>
  <c r="BD56" i="4"/>
  <c r="BD55" i="4" s="1"/>
  <c r="BD17" i="4"/>
  <c r="BD14" i="4"/>
  <c r="BD10" i="4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T12" i="9"/>
  <c r="BB13" i="9"/>
  <c r="BI12" i="9"/>
  <c r="CD12" i="9"/>
  <c r="CB12" i="9"/>
  <c r="CA12" i="9"/>
  <c r="BW12" i="9"/>
  <c r="BU12" i="9"/>
  <c r="BP12" i="9"/>
  <c r="BN12" i="9"/>
  <c r="BM12" i="9"/>
  <c r="BG12" i="9"/>
  <c r="BF12" i="9"/>
  <c r="BB12" i="9"/>
  <c r="CC25" i="9"/>
  <c r="CE25" i="9" s="1"/>
  <c r="CG25" i="9" s="1"/>
  <c r="CC24" i="9"/>
  <c r="CE24" i="9" s="1"/>
  <c r="CG24" i="9" s="1"/>
  <c r="CC23" i="9"/>
  <c r="CE23" i="9" s="1"/>
  <c r="CG23" i="9" s="1"/>
  <c r="CC22" i="9"/>
  <c r="CE22" i="9" s="1"/>
  <c r="CG22" i="9" s="1"/>
  <c r="BV25" i="9"/>
  <c r="BX25" i="9" s="1"/>
  <c r="BZ25" i="9" s="1"/>
  <c r="BV24" i="9"/>
  <c r="BX24" i="9" s="1"/>
  <c r="BZ24" i="9" s="1"/>
  <c r="BV23" i="9"/>
  <c r="BX23" i="9" s="1"/>
  <c r="BZ23" i="9" s="1"/>
  <c r="BV22" i="9"/>
  <c r="BX22" i="9" s="1"/>
  <c r="BZ22" i="9" s="1"/>
  <c r="BO25" i="9"/>
  <c r="BQ25" i="9" s="1"/>
  <c r="BS25" i="9" s="1"/>
  <c r="BO24" i="9"/>
  <c r="BQ24" i="9" s="1"/>
  <c r="BS24" i="9" s="1"/>
  <c r="BO23" i="9"/>
  <c r="BQ23" i="9" s="1"/>
  <c r="BS23" i="9" s="1"/>
  <c r="BO22" i="9"/>
  <c r="BQ22" i="9" s="1"/>
  <c r="BS22" i="9" s="1"/>
  <c r="BH25" i="9"/>
  <c r="BJ25" i="9" s="1"/>
  <c r="BL25" i="9" s="1"/>
  <c r="BH24" i="9"/>
  <c r="BJ24" i="9" s="1"/>
  <c r="BL24" i="9" s="1"/>
  <c r="BH23" i="9"/>
  <c r="BJ23" i="9" s="1"/>
  <c r="BL23" i="9" s="1"/>
  <c r="BH22" i="9"/>
  <c r="BJ22" i="9" s="1"/>
  <c r="BL22" i="9" s="1"/>
  <c r="BA24" i="9"/>
  <c r="BC24" i="9" s="1"/>
  <c r="BE24" i="9" s="1"/>
  <c r="BA25" i="9"/>
  <c r="BC25" i="9" s="1"/>
  <c r="BE25" i="9" s="1"/>
  <c r="AT12" i="9"/>
  <c r="AT13" i="9"/>
  <c r="AT16" i="9"/>
  <c r="AZ12" i="9"/>
  <c r="AZ13" i="9"/>
  <c r="AY12" i="9"/>
  <c r="AY13" i="9"/>
  <c r="AY16" i="9"/>
  <c r="AJ56" i="4"/>
  <c r="AJ55" i="4" s="1"/>
  <c r="AK56" i="4"/>
  <c r="AK55" i="4" s="1"/>
  <c r="AL56" i="4"/>
  <c r="AL55" i="4" s="1"/>
  <c r="AM56" i="4"/>
  <c r="AM55" i="4" s="1"/>
  <c r="AN56" i="4"/>
  <c r="AN55" i="4" s="1"/>
  <c r="AO56" i="4"/>
  <c r="AO55" i="4" s="1"/>
  <c r="AP56" i="4"/>
  <c r="AP55" i="4" s="1"/>
  <c r="AQ56" i="4"/>
  <c r="AQ55" i="4" s="1"/>
  <c r="AR56" i="4"/>
  <c r="AR55" i="4" s="1"/>
  <c r="AS56" i="4"/>
  <c r="AT56" i="4"/>
  <c r="AU56" i="4"/>
  <c r="AU55" i="4" s="1"/>
  <c r="AV56" i="4"/>
  <c r="AV55" i="4" s="1"/>
  <c r="AW56" i="4"/>
  <c r="AW55" i="4" s="1"/>
  <c r="AX56" i="4"/>
  <c r="AX55" i="4" s="1"/>
  <c r="AY56" i="4"/>
  <c r="AY55" i="4" s="1"/>
  <c r="AZ56" i="4"/>
  <c r="AZ55" i="4" s="1"/>
  <c r="BA56" i="4"/>
  <c r="BA55" i="4" s="1"/>
  <c r="BB56" i="4"/>
  <c r="BB55" i="4" s="1"/>
  <c r="BC56" i="4"/>
  <c r="BC55" i="4" s="1"/>
  <c r="Z56" i="4"/>
  <c r="Z55" i="4" s="1"/>
  <c r="AA56" i="4"/>
  <c r="AA55" i="4" s="1"/>
  <c r="AB56" i="4"/>
  <c r="AB55" i="4" s="1"/>
  <c r="AC56" i="4"/>
  <c r="AC55" i="4" s="1"/>
  <c r="AD56" i="4"/>
  <c r="AD55" i="4" s="1"/>
  <c r="AE56" i="4"/>
  <c r="AE55" i="4" s="1"/>
  <c r="AF56" i="4"/>
  <c r="AF55" i="4" s="1"/>
  <c r="AG56" i="4"/>
  <c r="AG55" i="4" s="1"/>
  <c r="AH56" i="4"/>
  <c r="AH55" i="4" s="1"/>
  <c r="AI56" i="4"/>
  <c r="AI55" i="4" s="1"/>
  <c r="Y56" i="4"/>
  <c r="Y55" i="4" s="1"/>
  <c r="J56" i="4"/>
  <c r="J55" i="4" s="1"/>
  <c r="L56" i="4"/>
  <c r="L55" i="4" s="1"/>
  <c r="BB42" i="4"/>
  <c r="AK20" i="4"/>
  <c r="CI99" i="6"/>
  <c r="CK99" i="6" s="1"/>
  <c r="CL99" i="6" s="1"/>
  <c r="CM99" i="6" s="1"/>
  <c r="CB99" i="6"/>
  <c r="CD99" i="6" s="1"/>
  <c r="CE99" i="6" s="1"/>
  <c r="BU99" i="6"/>
  <c r="BW99" i="6" s="1"/>
  <c r="BX99" i="6" s="1"/>
  <c r="BN99" i="6"/>
  <c r="BP99" i="6" s="1"/>
  <c r="BQ99" i="6" s="1"/>
  <c r="BR99" i="6" s="1"/>
  <c r="BJ99" i="6"/>
  <c r="CI98" i="6"/>
  <c r="CK98" i="6" s="1"/>
  <c r="CL98" i="6" s="1"/>
  <c r="CM98" i="6" s="1"/>
  <c r="CB98" i="6"/>
  <c r="CD98" i="6" s="1"/>
  <c r="CE98" i="6" s="1"/>
  <c r="BU98" i="6"/>
  <c r="BW98" i="6" s="1"/>
  <c r="BX98" i="6" s="1"/>
  <c r="BN98" i="6"/>
  <c r="BP98" i="6" s="1"/>
  <c r="BQ98" i="6" s="1"/>
  <c r="BR98" i="6" s="1"/>
  <c r="BG98" i="6"/>
  <c r="CI96" i="6"/>
  <c r="CK96" i="6" s="1"/>
  <c r="CL96" i="6" s="1"/>
  <c r="CM96" i="6" s="1"/>
  <c r="CC96" i="6"/>
  <c r="CC94" i="6" s="1"/>
  <c r="CB96" i="6"/>
  <c r="BU96" i="6"/>
  <c r="BW96" i="6" s="1"/>
  <c r="BN96" i="6"/>
  <c r="BG96" i="6"/>
  <c r="CI95" i="6"/>
  <c r="CK95" i="6" s="1"/>
  <c r="CL95" i="6" s="1"/>
  <c r="CB95" i="6"/>
  <c r="CD95" i="6" s="1"/>
  <c r="CE95" i="6" s="1"/>
  <c r="CF95" i="6" s="1"/>
  <c r="BU95" i="6"/>
  <c r="BW95" i="6" s="1"/>
  <c r="BX95" i="6" s="1"/>
  <c r="BY95" i="6" s="1"/>
  <c r="BO95" i="6"/>
  <c r="BN95" i="6"/>
  <c r="BG95" i="6"/>
  <c r="CJ94" i="6"/>
  <c r="CH94" i="6"/>
  <c r="CG94" i="6"/>
  <c r="CA94" i="6"/>
  <c r="BZ94" i="6"/>
  <c r="BV94" i="6"/>
  <c r="BT94" i="6"/>
  <c r="BS94" i="6"/>
  <c r="BM94" i="6"/>
  <c r="BL94" i="6"/>
  <c r="BH94" i="6"/>
  <c r="CH92" i="6"/>
  <c r="CI92" i="6" s="1"/>
  <c r="CJ92" i="6" s="1"/>
  <c r="CK92" i="6" s="1"/>
  <c r="CL92" i="6" s="1"/>
  <c r="CM92" i="6" s="1"/>
  <c r="CA92" i="6"/>
  <c r="CB92" i="6" s="1"/>
  <c r="CC92" i="6" s="1"/>
  <c r="CD92" i="6" s="1"/>
  <c r="CE92" i="6" s="1"/>
  <c r="CF92" i="6" s="1"/>
  <c r="BT92" i="6"/>
  <c r="BU92" i="6" s="1"/>
  <c r="BV92" i="6" s="1"/>
  <c r="BW92" i="6" s="1"/>
  <c r="BX92" i="6" s="1"/>
  <c r="BY92" i="6" s="1"/>
  <c r="BM92" i="6"/>
  <c r="BN92" i="6" s="1"/>
  <c r="BO92" i="6" s="1"/>
  <c r="BP92" i="6" s="1"/>
  <c r="BQ92" i="6" s="1"/>
  <c r="BR92" i="6" s="1"/>
  <c r="CH91" i="6"/>
  <c r="CI91" i="6" s="1"/>
  <c r="CJ91" i="6" s="1"/>
  <c r="CK91" i="6" s="1"/>
  <c r="CL91" i="6" s="1"/>
  <c r="CM91" i="6" s="1"/>
  <c r="CA91" i="6"/>
  <c r="CB91" i="6" s="1"/>
  <c r="CC91" i="6" s="1"/>
  <c r="CD91" i="6" s="1"/>
  <c r="CE91" i="6" s="1"/>
  <c r="CF91" i="6" s="1"/>
  <c r="BT91" i="6"/>
  <c r="BU91" i="6" s="1"/>
  <c r="BV91" i="6" s="1"/>
  <c r="BM91" i="6"/>
  <c r="BN91" i="6" s="1"/>
  <c r="BO91" i="6" s="1"/>
  <c r="BP91" i="6" s="1"/>
  <c r="BQ91" i="6" s="1"/>
  <c r="BR91" i="6" s="1"/>
  <c r="BT88" i="6"/>
  <c r="BU88" i="6" s="1"/>
  <c r="BW88" i="6" s="1"/>
  <c r="BY88" i="6" s="1"/>
  <c r="BM88" i="6"/>
  <c r="BN88" i="6" s="1"/>
  <c r="BO88" i="6" s="1"/>
  <c r="BP88" i="6" s="1"/>
  <c r="BQ88" i="6" s="1"/>
  <c r="BR88" i="6" s="1"/>
  <c r="CG87" i="6"/>
  <c r="CH87" i="6" s="1"/>
  <c r="CI87" i="6" s="1"/>
  <c r="CJ87" i="6" s="1"/>
  <c r="CK87" i="6" s="1"/>
  <c r="CL87" i="6" s="1"/>
  <c r="CM87" i="6" s="1"/>
  <c r="CA87" i="6"/>
  <c r="CB87" i="6" s="1"/>
  <c r="CC87" i="6" s="1"/>
  <c r="CD87" i="6" s="1"/>
  <c r="CE87" i="6" s="1"/>
  <c r="CF87" i="6" s="1"/>
  <c r="BT87" i="6"/>
  <c r="BU87" i="6" s="1"/>
  <c r="BV87" i="6" s="1"/>
  <c r="BW87" i="6" s="1"/>
  <c r="BX87" i="6" s="1"/>
  <c r="BY87" i="6" s="1"/>
  <c r="BM87" i="6"/>
  <c r="BN87" i="6" s="1"/>
  <c r="BO87" i="6" s="1"/>
  <c r="CG86" i="6"/>
  <c r="CA86" i="6"/>
  <c r="BT86" i="6"/>
  <c r="BM86" i="6"/>
  <c r="BN86" i="6" s="1"/>
  <c r="BO86" i="6" s="1"/>
  <c r="BP86" i="6" s="1"/>
  <c r="BQ86" i="6" s="1"/>
  <c r="BR86" i="6" s="1"/>
  <c r="BZ85" i="6"/>
  <c r="BS85" i="6"/>
  <c r="BL85" i="6"/>
  <c r="CH84" i="6"/>
  <c r="CI84" i="6" s="1"/>
  <c r="CJ84" i="6" s="1"/>
  <c r="CK84" i="6" s="1"/>
  <c r="CL84" i="6" s="1"/>
  <c r="CM84" i="6" s="1"/>
  <c r="CA84" i="6"/>
  <c r="CB84" i="6" s="1"/>
  <c r="CC84" i="6" s="1"/>
  <c r="CD84" i="6" s="1"/>
  <c r="CE84" i="6" s="1"/>
  <c r="CF84" i="6" s="1"/>
  <c r="BT84" i="6"/>
  <c r="BM84" i="6"/>
  <c r="BN84" i="6" s="1"/>
  <c r="CH83" i="6"/>
  <c r="CI83" i="6" s="1"/>
  <c r="CJ83" i="6" s="1"/>
  <c r="CK83" i="6" s="1"/>
  <c r="CL83" i="6" s="1"/>
  <c r="CM83" i="6" s="1"/>
  <c r="CA83" i="6"/>
  <c r="CB83" i="6" s="1"/>
  <c r="CC83" i="6" s="1"/>
  <c r="CD83" i="6" s="1"/>
  <c r="CE83" i="6" s="1"/>
  <c r="CF83" i="6" s="1"/>
  <c r="BT83" i="6"/>
  <c r="BU83" i="6" s="1"/>
  <c r="BV83" i="6" s="1"/>
  <c r="BW83" i="6" s="1"/>
  <c r="BX83" i="6" s="1"/>
  <c r="BY83" i="6" s="1"/>
  <c r="BM83" i="6"/>
  <c r="BN83" i="6" s="1"/>
  <c r="BO83" i="6" s="1"/>
  <c r="BP83" i="6" s="1"/>
  <c r="BQ83" i="6" s="1"/>
  <c r="BR83" i="6" s="1"/>
  <c r="CI82" i="6"/>
  <c r="CK82" i="6" s="1"/>
  <c r="CE82" i="6"/>
  <c r="CB82" i="6"/>
  <c r="CD82" i="6" s="1"/>
  <c r="BU82" i="6"/>
  <c r="BW82" i="6" s="1"/>
  <c r="BY82" i="6" s="1"/>
  <c r="BM82" i="6"/>
  <c r="BN82" i="6" s="1"/>
  <c r="BO82" i="6" s="1"/>
  <c r="BP82" i="6" s="1"/>
  <c r="BQ82" i="6" s="1"/>
  <c r="BR82" i="6" s="1"/>
  <c r="CH81" i="6"/>
  <c r="CI81" i="6" s="1"/>
  <c r="CJ81" i="6" s="1"/>
  <c r="CK81" i="6" s="1"/>
  <c r="CL81" i="6" s="1"/>
  <c r="CM81" i="6" s="1"/>
  <c r="CA81" i="6"/>
  <c r="CB81" i="6" s="1"/>
  <c r="CC81" i="6" s="1"/>
  <c r="CD81" i="6" s="1"/>
  <c r="CE81" i="6" s="1"/>
  <c r="CF81" i="6" s="1"/>
  <c r="BT81" i="6"/>
  <c r="BU81" i="6" s="1"/>
  <c r="BM81" i="6"/>
  <c r="BN81" i="6" s="1"/>
  <c r="BO81" i="6" s="1"/>
  <c r="BP81" i="6" s="1"/>
  <c r="BQ81" i="6" s="1"/>
  <c r="BR81" i="6" s="1"/>
  <c r="CG80" i="6"/>
  <c r="CG79" i="6" s="1"/>
  <c r="CA80" i="6"/>
  <c r="BT80" i="6"/>
  <c r="BU80" i="6" s="1"/>
  <c r="BV80" i="6" s="1"/>
  <c r="BM80" i="6"/>
  <c r="BN80" i="6" s="1"/>
  <c r="BO80" i="6" s="1"/>
  <c r="BP80" i="6" s="1"/>
  <c r="BZ79" i="6"/>
  <c r="BS79" i="6"/>
  <c r="BL79" i="6"/>
  <c r="CJ75" i="6"/>
  <c r="CH75" i="6"/>
  <c r="CG75" i="6"/>
  <c r="CC75" i="6"/>
  <c r="CA75" i="6"/>
  <c r="BZ75" i="6"/>
  <c r="BT13" i="9" s="1"/>
  <c r="BV75" i="6"/>
  <c r="BT75" i="6"/>
  <c r="BU75" i="6" s="1"/>
  <c r="BS75" i="6"/>
  <c r="BM13" i="9" s="1"/>
  <c r="BO75" i="6"/>
  <c r="BI13" i="9" s="1"/>
  <c r="BM75" i="6"/>
  <c r="BL75" i="6"/>
  <c r="BF13" i="9" s="1"/>
  <c r="BG75" i="6"/>
  <c r="BI75" i="6" s="1"/>
  <c r="BJ75" i="6" s="1"/>
  <c r="CI74" i="6"/>
  <c r="CK74" i="6" s="1"/>
  <c r="CL74" i="6" s="1"/>
  <c r="CM74" i="6" s="1"/>
  <c r="CB74" i="6"/>
  <c r="CD74" i="6" s="1"/>
  <c r="CE74" i="6" s="1"/>
  <c r="BU74" i="6"/>
  <c r="BW74" i="6" s="1"/>
  <c r="BX74" i="6" s="1"/>
  <c r="BR12" i="9" s="1"/>
  <c r="BN74" i="6"/>
  <c r="BP74" i="6" s="1"/>
  <c r="BQ74" i="6" s="1"/>
  <c r="BR74" i="6" s="1"/>
  <c r="BG74" i="6"/>
  <c r="BI74" i="6" s="1"/>
  <c r="BJ74" i="6" s="1"/>
  <c r="BK74" i="6" s="1"/>
  <c r="CI73" i="6"/>
  <c r="CK73" i="6" s="1"/>
  <c r="CB73" i="6"/>
  <c r="CD73" i="6" s="1"/>
  <c r="CE73" i="6" s="1"/>
  <c r="CF73" i="6" s="1"/>
  <c r="BU73" i="6"/>
  <c r="BW73" i="6" s="1"/>
  <c r="BX73" i="6" s="1"/>
  <c r="BY73" i="6" s="1"/>
  <c r="BN73" i="6"/>
  <c r="BP73" i="6" s="1"/>
  <c r="BR73" i="6" s="1"/>
  <c r="BG73" i="6"/>
  <c r="BI73" i="6" s="1"/>
  <c r="BK73" i="6" s="1"/>
  <c r="CI72" i="6"/>
  <c r="CK72" i="6" s="1"/>
  <c r="CM72" i="6" s="1"/>
  <c r="CB72" i="6"/>
  <c r="CD72" i="6" s="1"/>
  <c r="CE72" i="6" s="1"/>
  <c r="CF72" i="6" s="1"/>
  <c r="BU72" i="6"/>
  <c r="BW72" i="6" s="1"/>
  <c r="BX72" i="6" s="1"/>
  <c r="BY72" i="6" s="1"/>
  <c r="BN72" i="6"/>
  <c r="BP72" i="6" s="1"/>
  <c r="BR72" i="6" s="1"/>
  <c r="BG72" i="6"/>
  <c r="BI72" i="6" s="1"/>
  <c r="BK72" i="6" s="1"/>
  <c r="CI71" i="6"/>
  <c r="CK71" i="6" s="1"/>
  <c r="CB71" i="6"/>
  <c r="CD71" i="6" s="1"/>
  <c r="CE71" i="6" s="1"/>
  <c r="CF71" i="6" s="1"/>
  <c r="BU71" i="6"/>
  <c r="BW71" i="6" s="1"/>
  <c r="BX71" i="6" s="1"/>
  <c r="BY71" i="6" s="1"/>
  <c r="BN71" i="6"/>
  <c r="BP71" i="6" s="1"/>
  <c r="BR71" i="6" s="1"/>
  <c r="BG71" i="6"/>
  <c r="BI71" i="6" s="1"/>
  <c r="BK71" i="6" s="1"/>
  <c r="CI70" i="6"/>
  <c r="CK70" i="6" s="1"/>
  <c r="CB70" i="6"/>
  <c r="CD70" i="6" s="1"/>
  <c r="CE70" i="6" s="1"/>
  <c r="CF70" i="6" s="1"/>
  <c r="BU70" i="6"/>
  <c r="BW70" i="6" s="1"/>
  <c r="BX70" i="6" s="1"/>
  <c r="BY70" i="6" s="1"/>
  <c r="BN70" i="6"/>
  <c r="BP70" i="6" s="1"/>
  <c r="BR70" i="6" s="1"/>
  <c r="BG70" i="6"/>
  <c r="BI70" i="6" s="1"/>
  <c r="BK70" i="6" s="1"/>
  <c r="CI69" i="6"/>
  <c r="CK69" i="6" s="1"/>
  <c r="CB69" i="6"/>
  <c r="CD69" i="6" s="1"/>
  <c r="CE69" i="6" s="1"/>
  <c r="CF69" i="6" s="1"/>
  <c r="BU69" i="6"/>
  <c r="BW69" i="6" s="1"/>
  <c r="BX69" i="6" s="1"/>
  <c r="BY69" i="6" s="1"/>
  <c r="BN69" i="6"/>
  <c r="BP69" i="6" s="1"/>
  <c r="BR69" i="6" s="1"/>
  <c r="BG69" i="6"/>
  <c r="BI69" i="6" s="1"/>
  <c r="BK69" i="6" s="1"/>
  <c r="CI68" i="6"/>
  <c r="CK68" i="6" s="1"/>
  <c r="CM68" i="6" s="1"/>
  <c r="CB68" i="6"/>
  <c r="BU68" i="6"/>
  <c r="BW68" i="6" s="1"/>
  <c r="BX68" i="6" s="1"/>
  <c r="BY68" i="6" s="1"/>
  <c r="BN68" i="6"/>
  <c r="BP68" i="6" s="1"/>
  <c r="BR68" i="6" s="1"/>
  <c r="BG68" i="6"/>
  <c r="BI68" i="6" s="1"/>
  <c r="BK68" i="6" s="1"/>
  <c r="CI67" i="6"/>
  <c r="CB67" i="6"/>
  <c r="CD67" i="6" s="1"/>
  <c r="CE67" i="6" s="1"/>
  <c r="CF67" i="6" s="1"/>
  <c r="BU67" i="6"/>
  <c r="BW67" i="6" s="1"/>
  <c r="BX67" i="6" s="1"/>
  <c r="BY67" i="6" s="1"/>
  <c r="BN67" i="6"/>
  <c r="BP67" i="6" s="1"/>
  <c r="BR67" i="6" s="1"/>
  <c r="BG67" i="6"/>
  <c r="BI67" i="6" s="1"/>
  <c r="BK67" i="6" s="1"/>
  <c r="CI66" i="6"/>
  <c r="CK66" i="6" s="1"/>
  <c r="CM66" i="6" s="1"/>
  <c r="CB66" i="6"/>
  <c r="CD66" i="6" s="1"/>
  <c r="CE66" i="6" s="1"/>
  <c r="CF66" i="6" s="1"/>
  <c r="BU66" i="6"/>
  <c r="BW66" i="6" s="1"/>
  <c r="BX66" i="6" s="1"/>
  <c r="BY66" i="6" s="1"/>
  <c r="BN66" i="6"/>
  <c r="BG66" i="6"/>
  <c r="BI66" i="6" s="1"/>
  <c r="BK66" i="6" s="1"/>
  <c r="CI65" i="6"/>
  <c r="CK65" i="6" s="1"/>
  <c r="CM65" i="6" s="1"/>
  <c r="CB65" i="6"/>
  <c r="CD65" i="6" s="1"/>
  <c r="CE65" i="6" s="1"/>
  <c r="CF65" i="6" s="1"/>
  <c r="BU65" i="6"/>
  <c r="BW65" i="6" s="1"/>
  <c r="BX65" i="6" s="1"/>
  <c r="BY65" i="6" s="1"/>
  <c r="BN65" i="6"/>
  <c r="BP65" i="6" s="1"/>
  <c r="BR65" i="6" s="1"/>
  <c r="BG65" i="6"/>
  <c r="BI65" i="6" s="1"/>
  <c r="BK65" i="6" s="1"/>
  <c r="CI64" i="6"/>
  <c r="CK64" i="6" s="1"/>
  <c r="CM64" i="6" s="1"/>
  <c r="CB64" i="6"/>
  <c r="CD64" i="6" s="1"/>
  <c r="CE64" i="6" s="1"/>
  <c r="CF64" i="6" s="1"/>
  <c r="BU64" i="6"/>
  <c r="BW64" i="6" s="1"/>
  <c r="BX64" i="6" s="1"/>
  <c r="BY64" i="6" s="1"/>
  <c r="BN64" i="6"/>
  <c r="BP64" i="6" s="1"/>
  <c r="BR64" i="6" s="1"/>
  <c r="BG64" i="6"/>
  <c r="BI64" i="6" s="1"/>
  <c r="BK64" i="6" s="1"/>
  <c r="CI63" i="6"/>
  <c r="CK63" i="6" s="1"/>
  <c r="CM63" i="6" s="1"/>
  <c r="CB63" i="6"/>
  <c r="CD63" i="6" s="1"/>
  <c r="CE63" i="6" s="1"/>
  <c r="CF63" i="6" s="1"/>
  <c r="BU63" i="6"/>
  <c r="BW63" i="6" s="1"/>
  <c r="BX63" i="6" s="1"/>
  <c r="BY63" i="6" s="1"/>
  <c r="BN63" i="6"/>
  <c r="BP63" i="6" s="1"/>
  <c r="BR63" i="6" s="1"/>
  <c r="BG63" i="6"/>
  <c r="BI63" i="6" s="1"/>
  <c r="BK63" i="6" s="1"/>
  <c r="CI62" i="6"/>
  <c r="CK62" i="6" s="1"/>
  <c r="CM62" i="6" s="1"/>
  <c r="CB62" i="6"/>
  <c r="BU62" i="6"/>
  <c r="BW62" i="6" s="1"/>
  <c r="BX62" i="6" s="1"/>
  <c r="BY62" i="6" s="1"/>
  <c r="BN62" i="6"/>
  <c r="BP62" i="6" s="1"/>
  <c r="BR62" i="6" s="1"/>
  <c r="BG62" i="6"/>
  <c r="BI62" i="6" s="1"/>
  <c r="CI61" i="6"/>
  <c r="CK61" i="6" s="1"/>
  <c r="CB61" i="6"/>
  <c r="CD61" i="6" s="1"/>
  <c r="CE61" i="6" s="1"/>
  <c r="CF61" i="6" s="1"/>
  <c r="BU61" i="6"/>
  <c r="BW61" i="6" s="1"/>
  <c r="BX61" i="6" s="1"/>
  <c r="BY61" i="6" s="1"/>
  <c r="BO61" i="6"/>
  <c r="BO59" i="6" s="1"/>
  <c r="BI11" i="9" s="1"/>
  <c r="BN61" i="6"/>
  <c r="BG61" i="6"/>
  <c r="BI61" i="6" s="1"/>
  <c r="BK61" i="6" s="1"/>
  <c r="CJ60" i="6"/>
  <c r="CJ59" i="6" s="1"/>
  <c r="CJ58" i="6" s="1"/>
  <c r="CI60" i="6"/>
  <c r="CB60" i="6"/>
  <c r="CD60" i="6" s="1"/>
  <c r="CE60" i="6" s="1"/>
  <c r="CF60" i="6" s="1"/>
  <c r="BV60" i="6"/>
  <c r="BV59" i="6" s="1"/>
  <c r="BT60" i="6"/>
  <c r="BT59" i="6" s="1"/>
  <c r="BT58" i="6" s="1"/>
  <c r="BN60" i="6"/>
  <c r="BP60" i="6" s="1"/>
  <c r="BR60" i="6" s="1"/>
  <c r="BG60" i="6"/>
  <c r="CH59" i="6"/>
  <c r="CH58" i="6" s="1"/>
  <c r="CG59" i="6"/>
  <c r="CG58" i="6" s="1"/>
  <c r="CC59" i="6"/>
  <c r="CC58" i="6" s="1"/>
  <c r="CA59" i="6"/>
  <c r="CA58" i="6" s="1"/>
  <c r="BZ59" i="6"/>
  <c r="BZ58" i="6" s="1"/>
  <c r="BS59" i="6"/>
  <c r="BQ59" i="6"/>
  <c r="BK11" i="9" s="1"/>
  <c r="BM59" i="6"/>
  <c r="BL59" i="6"/>
  <c r="BJ59" i="6"/>
  <c r="BD11" i="9" s="1"/>
  <c r="BH59" i="6"/>
  <c r="BH58" i="6" s="1"/>
  <c r="CI57" i="6"/>
  <c r="CK57" i="6" s="1"/>
  <c r="CM57" i="6" s="1"/>
  <c r="CB57" i="6"/>
  <c r="CD57" i="6" s="1"/>
  <c r="CE57" i="6" s="1"/>
  <c r="CF57" i="6" s="1"/>
  <c r="BU57" i="6"/>
  <c r="BW57" i="6" s="1"/>
  <c r="BN57" i="6"/>
  <c r="BP57" i="6" s="1"/>
  <c r="BR57" i="6" s="1"/>
  <c r="BG57" i="6"/>
  <c r="BI57" i="6" s="1"/>
  <c r="BK57" i="6" s="1"/>
  <c r="CI55" i="6"/>
  <c r="CK55" i="6" s="1"/>
  <c r="CM55" i="6" s="1"/>
  <c r="CB55" i="6"/>
  <c r="CD55" i="6" s="1"/>
  <c r="BU55" i="6"/>
  <c r="BW55" i="6" s="1"/>
  <c r="BX55" i="6" s="1"/>
  <c r="BY55" i="6" s="1"/>
  <c r="BN55" i="6"/>
  <c r="BP55" i="6" s="1"/>
  <c r="BR55" i="6" s="1"/>
  <c r="BG55" i="6"/>
  <c r="BI55" i="6" s="1"/>
  <c r="BK55" i="6" s="1"/>
  <c r="CI54" i="6"/>
  <c r="CK54" i="6" s="1"/>
  <c r="CM54" i="6" s="1"/>
  <c r="CB54" i="6"/>
  <c r="CD54" i="6" s="1"/>
  <c r="CE54" i="6" s="1"/>
  <c r="CF54" i="6" s="1"/>
  <c r="BU54" i="6"/>
  <c r="BW54" i="6" s="1"/>
  <c r="BX54" i="6" s="1"/>
  <c r="BY54" i="6" s="1"/>
  <c r="BN54" i="6"/>
  <c r="BP54" i="6" s="1"/>
  <c r="BR54" i="6" s="1"/>
  <c r="BG54" i="6"/>
  <c r="BI54" i="6" s="1"/>
  <c r="BK54" i="6" s="1"/>
  <c r="CI53" i="6"/>
  <c r="CK53" i="6" s="1"/>
  <c r="CM53" i="6" s="1"/>
  <c r="CB53" i="6"/>
  <c r="CD53" i="6" s="1"/>
  <c r="CE53" i="6" s="1"/>
  <c r="CF53" i="6" s="1"/>
  <c r="BU53" i="6"/>
  <c r="BW53" i="6" s="1"/>
  <c r="BX53" i="6" s="1"/>
  <c r="BY53" i="6" s="1"/>
  <c r="BN53" i="6"/>
  <c r="BP53" i="6" s="1"/>
  <c r="BR53" i="6" s="1"/>
  <c r="BG53" i="6"/>
  <c r="BI53" i="6" s="1"/>
  <c r="BK53" i="6" s="1"/>
  <c r="CI52" i="6"/>
  <c r="CK52" i="6" s="1"/>
  <c r="CB52" i="6"/>
  <c r="CD52" i="6" s="1"/>
  <c r="CE52" i="6" s="1"/>
  <c r="CF52" i="6" s="1"/>
  <c r="BU52" i="6"/>
  <c r="BW52" i="6" s="1"/>
  <c r="BX52" i="6" s="1"/>
  <c r="BN52" i="6"/>
  <c r="BP52" i="6" s="1"/>
  <c r="BG52" i="6"/>
  <c r="BI52" i="6" s="1"/>
  <c r="CI51" i="6"/>
  <c r="CK51" i="6" s="1"/>
  <c r="CB51" i="6"/>
  <c r="CD51" i="6" s="1"/>
  <c r="BU51" i="6"/>
  <c r="BW51" i="6" s="1"/>
  <c r="BX51" i="6" s="1"/>
  <c r="BY51" i="6" s="1"/>
  <c r="BN51" i="6"/>
  <c r="BP51" i="6" s="1"/>
  <c r="BG51" i="6"/>
  <c r="BI51" i="6" s="1"/>
  <c r="BK51" i="6" s="1"/>
  <c r="CJ50" i="6"/>
  <c r="CJ49" i="6" s="1"/>
  <c r="CH50" i="6"/>
  <c r="CB10" i="9" s="1"/>
  <c r="CG50" i="6"/>
  <c r="CA10" i="9" s="1"/>
  <c r="CC50" i="6"/>
  <c r="BW10" i="9" s="1"/>
  <c r="CA50" i="6"/>
  <c r="BZ50" i="6"/>
  <c r="BV50" i="6"/>
  <c r="BT50" i="6"/>
  <c r="BN10" i="9" s="1"/>
  <c r="BS50" i="6"/>
  <c r="BM10" i="9" s="1"/>
  <c r="BQ50" i="6"/>
  <c r="BK10" i="9" s="1"/>
  <c r="BO50" i="6"/>
  <c r="BI10" i="9" s="1"/>
  <c r="BM50" i="6"/>
  <c r="BG10" i="9" s="1"/>
  <c r="BL50" i="6"/>
  <c r="BJ50" i="6"/>
  <c r="BD10" i="9" s="1"/>
  <c r="BH50" i="6"/>
  <c r="CK47" i="6"/>
  <c r="CM47" i="6" s="1"/>
  <c r="CB47" i="6"/>
  <c r="CD47" i="6" s="1"/>
  <c r="CE47" i="6" s="1"/>
  <c r="CF47" i="6" s="1"/>
  <c r="BU47" i="6"/>
  <c r="BW47" i="6" s="1"/>
  <c r="BX47" i="6" s="1"/>
  <c r="BY47" i="6" s="1"/>
  <c r="BN47" i="6"/>
  <c r="BP47" i="6" s="1"/>
  <c r="BR47" i="6" s="1"/>
  <c r="BG47" i="6"/>
  <c r="BI47" i="6" s="1"/>
  <c r="BK47" i="6" s="1"/>
  <c r="CK45" i="6"/>
  <c r="CM45" i="6" s="1"/>
  <c r="CB45" i="6"/>
  <c r="CD45" i="6" s="1"/>
  <c r="CF45" i="6" s="1"/>
  <c r="BU45" i="6"/>
  <c r="BN45" i="6"/>
  <c r="BP45" i="6" s="1"/>
  <c r="BR45" i="6" s="1"/>
  <c r="BG45" i="6"/>
  <c r="BI45" i="6" s="1"/>
  <c r="BK45" i="6" s="1"/>
  <c r="CK44" i="6"/>
  <c r="CM44" i="6" s="1"/>
  <c r="CB44" i="6"/>
  <c r="CD44" i="6" s="1"/>
  <c r="CE44" i="6" s="1"/>
  <c r="CF44" i="6" s="1"/>
  <c r="BU44" i="6"/>
  <c r="BW44" i="6" s="1"/>
  <c r="BN44" i="6"/>
  <c r="BP44" i="6" s="1"/>
  <c r="BR44" i="6" s="1"/>
  <c r="BG44" i="6"/>
  <c r="BI44" i="6" s="1"/>
  <c r="BK44" i="6" s="1"/>
  <c r="CK43" i="6"/>
  <c r="CM43" i="6" s="1"/>
  <c r="CB43" i="6"/>
  <c r="CD43" i="6" s="1"/>
  <c r="CE43" i="6" s="1"/>
  <c r="CF43" i="6" s="1"/>
  <c r="BU43" i="6"/>
  <c r="BW43" i="6" s="1"/>
  <c r="BX43" i="6" s="1"/>
  <c r="BY43" i="6" s="1"/>
  <c r="BN43" i="6"/>
  <c r="BP43" i="6" s="1"/>
  <c r="BR43" i="6" s="1"/>
  <c r="BG43" i="6"/>
  <c r="BI43" i="6" s="1"/>
  <c r="BK43" i="6" s="1"/>
  <c r="CK42" i="6"/>
  <c r="CM42" i="6" s="1"/>
  <c r="CB42" i="6"/>
  <c r="CD42" i="6" s="1"/>
  <c r="CE42" i="6" s="1"/>
  <c r="CF42" i="6" s="1"/>
  <c r="BU42" i="6"/>
  <c r="BW42" i="6" s="1"/>
  <c r="BX42" i="6" s="1"/>
  <c r="BY42" i="6" s="1"/>
  <c r="BN42" i="6"/>
  <c r="BP42" i="6" s="1"/>
  <c r="BR42" i="6" s="1"/>
  <c r="BG42" i="6"/>
  <c r="CJ41" i="6"/>
  <c r="CB41" i="6"/>
  <c r="CD41" i="6" s="1"/>
  <c r="BU41" i="6"/>
  <c r="BW41" i="6" s="1"/>
  <c r="BX41" i="6" s="1"/>
  <c r="BY41" i="6" s="1"/>
  <c r="BN41" i="6"/>
  <c r="BP41" i="6" s="1"/>
  <c r="BR41" i="6" s="1"/>
  <c r="BG41" i="6"/>
  <c r="BI41" i="6" s="1"/>
  <c r="CH40" i="6"/>
  <c r="CB20" i="9" s="1"/>
  <c r="CC40" i="6"/>
  <c r="BW20" i="9" s="1"/>
  <c r="CA40" i="6"/>
  <c r="BZ40" i="6"/>
  <c r="BT20" i="9" s="1"/>
  <c r="BV40" i="6"/>
  <c r="BP20" i="9" s="1"/>
  <c r="BT40" i="6"/>
  <c r="BN20" i="9" s="1"/>
  <c r="BS40" i="6"/>
  <c r="BM20" i="9" s="1"/>
  <c r="BQ40" i="6"/>
  <c r="BK20" i="9" s="1"/>
  <c r="BO40" i="6"/>
  <c r="BI20" i="9" s="1"/>
  <c r="BM40" i="6"/>
  <c r="BG20" i="9" s="1"/>
  <c r="BL40" i="6"/>
  <c r="BF20" i="9" s="1"/>
  <c r="BJ40" i="6"/>
  <c r="BD20" i="9" s="1"/>
  <c r="BH40" i="6"/>
  <c r="BB20" i="9" s="1"/>
  <c r="CI39" i="6"/>
  <c r="CK39" i="6" s="1"/>
  <c r="CB39" i="6"/>
  <c r="CD39" i="6" s="1"/>
  <c r="CE39" i="6" s="1"/>
  <c r="CF39" i="6" s="1"/>
  <c r="BU39" i="6"/>
  <c r="BN39" i="6"/>
  <c r="BG39" i="6"/>
  <c r="BI39" i="6" s="1"/>
  <c r="BK39" i="6" s="1"/>
  <c r="CI37" i="6"/>
  <c r="CK37" i="6" s="1"/>
  <c r="CB37" i="6"/>
  <c r="CD37" i="6" s="1"/>
  <c r="BU37" i="6"/>
  <c r="BW37" i="6" s="1"/>
  <c r="BN37" i="6"/>
  <c r="BP37" i="6" s="1"/>
  <c r="BG37" i="6"/>
  <c r="BI37" i="6" s="1"/>
  <c r="CI36" i="6"/>
  <c r="CK36" i="6" s="1"/>
  <c r="CB36" i="6"/>
  <c r="CD36" i="6" s="1"/>
  <c r="CE36" i="6" s="1"/>
  <c r="CF36" i="6" s="1"/>
  <c r="BV36" i="6"/>
  <c r="BU36" i="6"/>
  <c r="BN36" i="6"/>
  <c r="BP36" i="6" s="1"/>
  <c r="BR36" i="6" s="1"/>
  <c r="BG36" i="6"/>
  <c r="BI36" i="6" s="1"/>
  <c r="BK36" i="6" s="1"/>
  <c r="CI35" i="6"/>
  <c r="CK35" i="6" s="1"/>
  <c r="CB35" i="6"/>
  <c r="CD35" i="6" s="1"/>
  <c r="CE35" i="6" s="1"/>
  <c r="CF35" i="6" s="1"/>
  <c r="BV35" i="6"/>
  <c r="BU35" i="6"/>
  <c r="BN35" i="6"/>
  <c r="BP35" i="6" s="1"/>
  <c r="BR35" i="6" s="1"/>
  <c r="BG35" i="6"/>
  <c r="BI35" i="6" s="1"/>
  <c r="BK35" i="6" s="1"/>
  <c r="CI34" i="6"/>
  <c r="CK34" i="6" s="1"/>
  <c r="CB34" i="6"/>
  <c r="BV34" i="6"/>
  <c r="BU34" i="6"/>
  <c r="BN34" i="6"/>
  <c r="BP34" i="6" s="1"/>
  <c r="BR34" i="6" s="1"/>
  <c r="BG34" i="6"/>
  <c r="BI34" i="6" s="1"/>
  <c r="BK34" i="6" s="1"/>
  <c r="CI33" i="6"/>
  <c r="CB33" i="6"/>
  <c r="CD33" i="6" s="1"/>
  <c r="CE33" i="6" s="1"/>
  <c r="CF33" i="6" s="1"/>
  <c r="BV33" i="6"/>
  <c r="BU33" i="6"/>
  <c r="BN33" i="6"/>
  <c r="BP33" i="6" s="1"/>
  <c r="BR33" i="6" s="1"/>
  <c r="BG33" i="6"/>
  <c r="BI33" i="6" s="1"/>
  <c r="CJ32" i="6"/>
  <c r="CH32" i="6"/>
  <c r="CG32" i="6"/>
  <c r="CG31" i="6" s="1"/>
  <c r="CA8" i="9" s="1"/>
  <c r="CC32" i="6"/>
  <c r="CA32" i="6"/>
  <c r="BZ32" i="6"/>
  <c r="BT32" i="6"/>
  <c r="BT31" i="6" s="1"/>
  <c r="BN8" i="9" s="1"/>
  <c r="BS32" i="6"/>
  <c r="BQ32" i="6"/>
  <c r="BQ31" i="6" s="1"/>
  <c r="BK8" i="9" s="1"/>
  <c r="BO32" i="6"/>
  <c r="BM32" i="6"/>
  <c r="BL32" i="6"/>
  <c r="BJ32" i="6"/>
  <c r="BJ31" i="6" s="1"/>
  <c r="BD8" i="9" s="1"/>
  <c r="BH32" i="6"/>
  <c r="BH31" i="6" s="1"/>
  <c r="BB8" i="9" s="1"/>
  <c r="CK25" i="6"/>
  <c r="CB25" i="6"/>
  <c r="CD25" i="6" s="1"/>
  <c r="CE25" i="6" s="1"/>
  <c r="CF25" i="6" s="1"/>
  <c r="BU25" i="6"/>
  <c r="BW25" i="6" s="1"/>
  <c r="BX25" i="6" s="1"/>
  <c r="BY25" i="6" s="1"/>
  <c r="BN25" i="6"/>
  <c r="BG25" i="6"/>
  <c r="BI25" i="6" s="1"/>
  <c r="BK25" i="6" s="1"/>
  <c r="CI23" i="6"/>
  <c r="CK23" i="6" s="1"/>
  <c r="CB23" i="6"/>
  <c r="CD23" i="6" s="1"/>
  <c r="BU23" i="6"/>
  <c r="BW23" i="6" s="1"/>
  <c r="BN23" i="6"/>
  <c r="BP23" i="6" s="1"/>
  <c r="BG23" i="6"/>
  <c r="BI23" i="6" s="1"/>
  <c r="CI22" i="6"/>
  <c r="CK22" i="6" s="1"/>
  <c r="CB22" i="6"/>
  <c r="CD22" i="6" s="1"/>
  <c r="CE22" i="6" s="1"/>
  <c r="CF22" i="6" s="1"/>
  <c r="BU22" i="6"/>
  <c r="BW22" i="6" s="1"/>
  <c r="BX22" i="6" s="1"/>
  <c r="BY22" i="6" s="1"/>
  <c r="BN22" i="6"/>
  <c r="BP22" i="6" s="1"/>
  <c r="BR22" i="6" s="1"/>
  <c r="BG22" i="6"/>
  <c r="CK21" i="6"/>
  <c r="CB21" i="6"/>
  <c r="CD21" i="6" s="1"/>
  <c r="CE21" i="6" s="1"/>
  <c r="CF21" i="6" s="1"/>
  <c r="BU21" i="6"/>
  <c r="BW21" i="6" s="1"/>
  <c r="BX21" i="6" s="1"/>
  <c r="BY21" i="6" s="1"/>
  <c r="BN21" i="6"/>
  <c r="BP21" i="6" s="1"/>
  <c r="BR21" i="6" s="1"/>
  <c r="BG21" i="6"/>
  <c r="BI21" i="6" s="1"/>
  <c r="BK21" i="6" s="1"/>
  <c r="CI20" i="6"/>
  <c r="CK20" i="6" s="1"/>
  <c r="CB20" i="6"/>
  <c r="CD20" i="6" s="1"/>
  <c r="CE20" i="6" s="1"/>
  <c r="CF20" i="6" s="1"/>
  <c r="BU20" i="6"/>
  <c r="BW20" i="6" s="1"/>
  <c r="BN20" i="6"/>
  <c r="BP20" i="6" s="1"/>
  <c r="BR20" i="6" s="1"/>
  <c r="BG20" i="6"/>
  <c r="BI20" i="6" s="1"/>
  <c r="BK20" i="6" s="1"/>
  <c r="CJ19" i="6"/>
  <c r="CI19" i="6"/>
  <c r="CC19" i="6"/>
  <c r="CC18" i="6" s="1"/>
  <c r="BW19" i="9" s="1"/>
  <c r="CB19" i="6"/>
  <c r="BU19" i="6"/>
  <c r="BN19" i="6"/>
  <c r="BP19" i="6" s="1"/>
  <c r="BR19" i="6" s="1"/>
  <c r="BG19" i="6"/>
  <c r="BI19" i="6" s="1"/>
  <c r="BK19" i="6" s="1"/>
  <c r="CH18" i="6"/>
  <c r="CB19" i="9" s="1"/>
  <c r="CG18" i="6"/>
  <c r="CA19" i="9" s="1"/>
  <c r="CA18" i="6"/>
  <c r="BZ18" i="6"/>
  <c r="BT19" i="9" s="1"/>
  <c r="BV18" i="6"/>
  <c r="BT18" i="6"/>
  <c r="BN19" i="9" s="1"/>
  <c r="BS18" i="6"/>
  <c r="BQ18" i="6"/>
  <c r="BK19" i="9" s="1"/>
  <c r="BO18" i="6"/>
  <c r="BM18" i="6"/>
  <c r="BG19" i="9" s="1"/>
  <c r="BL18" i="6"/>
  <c r="BJ18" i="6"/>
  <c r="BD19" i="9" s="1"/>
  <c r="BH18" i="6"/>
  <c r="CI17" i="6"/>
  <c r="CK17" i="6" s="1"/>
  <c r="CB17" i="6"/>
  <c r="CD17" i="6" s="1"/>
  <c r="CE17" i="6" s="1"/>
  <c r="CF17" i="6" s="1"/>
  <c r="BU17" i="6"/>
  <c r="BW17" i="6" s="1"/>
  <c r="BX17" i="6" s="1"/>
  <c r="BY17" i="6" s="1"/>
  <c r="BN17" i="6"/>
  <c r="BP17" i="6" s="1"/>
  <c r="BR17" i="6" s="1"/>
  <c r="BG17" i="6"/>
  <c r="BI17" i="6" s="1"/>
  <c r="BK17" i="6" s="1"/>
  <c r="CI16" i="6"/>
  <c r="CK16" i="6" s="1"/>
  <c r="CB16" i="6"/>
  <c r="CD16" i="6" s="1"/>
  <c r="CE16" i="6" s="1"/>
  <c r="CF16" i="6" s="1"/>
  <c r="BU16" i="6"/>
  <c r="BW16" i="6" s="1"/>
  <c r="BN16" i="6"/>
  <c r="BP16" i="6" s="1"/>
  <c r="BR16" i="6" s="1"/>
  <c r="BG16" i="6"/>
  <c r="BI16" i="6" s="1"/>
  <c r="BK16" i="6" s="1"/>
  <c r="CK14" i="6"/>
  <c r="CI13" i="6"/>
  <c r="CK13" i="6" s="1"/>
  <c r="CB13" i="6"/>
  <c r="CD13" i="6" s="1"/>
  <c r="CE13" i="6" s="1"/>
  <c r="CF13" i="6" s="1"/>
  <c r="BU13" i="6"/>
  <c r="BW13" i="6" s="1"/>
  <c r="BX13" i="6" s="1"/>
  <c r="BY13" i="6" s="1"/>
  <c r="BN13" i="6"/>
  <c r="BP13" i="6" s="1"/>
  <c r="BR13" i="6" s="1"/>
  <c r="BG13" i="6"/>
  <c r="BI13" i="6" s="1"/>
  <c r="BK13" i="6" s="1"/>
  <c r="CI12" i="6"/>
  <c r="CK12" i="6" s="1"/>
  <c r="CM12" i="6" s="1"/>
  <c r="CM9" i="6" s="1"/>
  <c r="CB12" i="6"/>
  <c r="CD12" i="6" s="1"/>
  <c r="CE12" i="6" s="1"/>
  <c r="CF12" i="6" s="1"/>
  <c r="BU12" i="6"/>
  <c r="BW12" i="6" s="1"/>
  <c r="BX12" i="6" s="1"/>
  <c r="BY12" i="6" s="1"/>
  <c r="BN12" i="6"/>
  <c r="BP12" i="6" s="1"/>
  <c r="BR12" i="6" s="1"/>
  <c r="BG12" i="6"/>
  <c r="CI11" i="6"/>
  <c r="CB11" i="6"/>
  <c r="CD11" i="6" s="1"/>
  <c r="CE11" i="6" s="1"/>
  <c r="CF11" i="6" s="1"/>
  <c r="BU11" i="6"/>
  <c r="BW11" i="6" s="1"/>
  <c r="BX11" i="6" s="1"/>
  <c r="BY11" i="6" s="1"/>
  <c r="BN11" i="6"/>
  <c r="BP11" i="6" s="1"/>
  <c r="BR11" i="6" s="1"/>
  <c r="BG11" i="6"/>
  <c r="BI11" i="6" s="1"/>
  <c r="BK11" i="6" s="1"/>
  <c r="CI10" i="6"/>
  <c r="CK10" i="6" s="1"/>
  <c r="CB10" i="6"/>
  <c r="BU10" i="6"/>
  <c r="BW10" i="6" s="1"/>
  <c r="BX10" i="6" s="1"/>
  <c r="BY10" i="6" s="1"/>
  <c r="BN10" i="6"/>
  <c r="BP10" i="6" s="1"/>
  <c r="BR10" i="6" s="1"/>
  <c r="BG10" i="6"/>
  <c r="CJ9" i="6"/>
  <c r="CH9" i="6"/>
  <c r="CG9" i="6"/>
  <c r="CA9" i="6"/>
  <c r="BZ9" i="6"/>
  <c r="BV9" i="6"/>
  <c r="BV8" i="6" s="1"/>
  <c r="BP7" i="9" s="1"/>
  <c r="BT9" i="6"/>
  <c r="BS9" i="6"/>
  <c r="BQ9" i="6"/>
  <c r="BO9" i="6"/>
  <c r="BM9" i="6"/>
  <c r="BL9" i="6"/>
  <c r="BJ9" i="6"/>
  <c r="BH9" i="6"/>
  <c r="BH8" i="6" s="1"/>
  <c r="BB7" i="9" s="1"/>
  <c r="BF94" i="6"/>
  <c r="BF92" i="6"/>
  <c r="BG92" i="6" s="1"/>
  <c r="BH92" i="6" s="1"/>
  <c r="BI92" i="6" s="1"/>
  <c r="BJ92" i="6" s="1"/>
  <c r="BK92" i="6" s="1"/>
  <c r="BF91" i="6"/>
  <c r="BG91" i="6" s="1"/>
  <c r="BH91" i="6" s="1"/>
  <c r="BI91" i="6" s="1"/>
  <c r="BJ91" i="6" s="1"/>
  <c r="BK91" i="6" s="1"/>
  <c r="BF88" i="6"/>
  <c r="BG88" i="6" s="1"/>
  <c r="BF87" i="6"/>
  <c r="BG87" i="6" s="1"/>
  <c r="BH87" i="6" s="1"/>
  <c r="BI87" i="6" s="1"/>
  <c r="BJ87" i="6" s="1"/>
  <c r="BK87" i="6" s="1"/>
  <c r="BF86" i="6"/>
  <c r="BG86" i="6" s="1"/>
  <c r="BH86" i="6" s="1"/>
  <c r="BI86" i="6" s="1"/>
  <c r="BJ86" i="6" s="1"/>
  <c r="BF84" i="6"/>
  <c r="BG84" i="6" s="1"/>
  <c r="BH84" i="6" s="1"/>
  <c r="BI84" i="6" s="1"/>
  <c r="BJ84" i="6" s="1"/>
  <c r="BK84" i="6" s="1"/>
  <c r="BF83" i="6"/>
  <c r="BG83" i="6" s="1"/>
  <c r="BH83" i="6" s="1"/>
  <c r="BI83" i="6" s="1"/>
  <c r="BJ83" i="6" s="1"/>
  <c r="BK83" i="6" s="1"/>
  <c r="BF82" i="6"/>
  <c r="BF81" i="6"/>
  <c r="BF80" i="6"/>
  <c r="BG80" i="6" s="1"/>
  <c r="BH80" i="6" s="1"/>
  <c r="BF59" i="6"/>
  <c r="BF58" i="6" s="1"/>
  <c r="BF50" i="6"/>
  <c r="AZ10" i="9" s="1"/>
  <c r="BF40" i="6"/>
  <c r="AZ20" i="9" s="1"/>
  <c r="BF32" i="6"/>
  <c r="BF18" i="6"/>
  <c r="AZ19" i="9" s="1"/>
  <c r="BC25" i="6"/>
  <c r="BA25" i="6"/>
  <c r="AY25" i="6"/>
  <c r="AW25" i="6"/>
  <c r="AL25" i="6"/>
  <c r="AN25" i="6" s="1"/>
  <c r="AH25" i="6"/>
  <c r="AF25" i="6"/>
  <c r="AD25" i="6"/>
  <c r="X25" i="6"/>
  <c r="Z25" i="6" s="1"/>
  <c r="AA25" i="6" s="1"/>
  <c r="Q25" i="6"/>
  <c r="S25" i="6" s="1"/>
  <c r="T25" i="6" s="1"/>
  <c r="J25" i="6"/>
  <c r="L25" i="6" s="1"/>
  <c r="N25" i="6" s="1"/>
  <c r="BC23" i="6"/>
  <c r="BA23" i="6"/>
  <c r="AY23" i="6"/>
  <c r="AW23" i="6"/>
  <c r="AL23" i="6"/>
  <c r="AN23" i="6" s="1"/>
  <c r="AP23" i="6" s="1"/>
  <c r="AH23" i="6"/>
  <c r="AF23" i="6"/>
  <c r="AD23" i="6"/>
  <c r="X23" i="6"/>
  <c r="Z23" i="6" s="1"/>
  <c r="AA23" i="6" s="1"/>
  <c r="Q23" i="6"/>
  <c r="S23" i="6" s="1"/>
  <c r="T23" i="6" s="1"/>
  <c r="J23" i="6"/>
  <c r="L23" i="6" s="1"/>
  <c r="N23" i="6" s="1"/>
  <c r="BC22" i="6"/>
  <c r="BA22" i="6"/>
  <c r="AY22" i="6"/>
  <c r="AW22" i="6"/>
  <c r="AL22" i="6"/>
  <c r="AN22" i="6" s="1"/>
  <c r="AP22" i="6" s="1"/>
  <c r="AH22" i="6"/>
  <c r="AF22" i="6"/>
  <c r="AD22" i="6"/>
  <c r="X22" i="6"/>
  <c r="Z22" i="6" s="1"/>
  <c r="AA22" i="6" s="1"/>
  <c r="Q22" i="6"/>
  <c r="S22" i="6" s="1"/>
  <c r="T22" i="6" s="1"/>
  <c r="J22" i="6"/>
  <c r="L22" i="6" s="1"/>
  <c r="N22" i="6" s="1"/>
  <c r="BC21" i="6"/>
  <c r="BA21" i="6"/>
  <c r="AY21" i="6"/>
  <c r="AW21" i="6"/>
  <c r="AL21" i="6"/>
  <c r="AN21" i="6" s="1"/>
  <c r="AP21" i="6" s="1"/>
  <c r="AH21" i="6"/>
  <c r="AF21" i="6"/>
  <c r="AD21" i="6"/>
  <c r="X21" i="6"/>
  <c r="Z21" i="6" s="1"/>
  <c r="AA21" i="6" s="1"/>
  <c r="Q21" i="6"/>
  <c r="S21" i="6" s="1"/>
  <c r="T21" i="6" s="1"/>
  <c r="J21" i="6"/>
  <c r="L21" i="6" s="1"/>
  <c r="N21" i="6" s="1"/>
  <c r="BC20" i="6"/>
  <c r="BA20" i="6"/>
  <c r="AY20" i="6"/>
  <c r="AW20" i="6"/>
  <c r="AL20" i="6"/>
  <c r="AN20" i="6" s="1"/>
  <c r="AH20" i="6"/>
  <c r="AF20" i="6"/>
  <c r="AD20" i="6"/>
  <c r="X20" i="6"/>
  <c r="Z20" i="6" s="1"/>
  <c r="AA20" i="6" s="1"/>
  <c r="Q20" i="6"/>
  <c r="S20" i="6" s="1"/>
  <c r="T20" i="6" s="1"/>
  <c r="J20" i="6"/>
  <c r="L20" i="6" s="1"/>
  <c r="N20" i="6" s="1"/>
  <c r="BC19" i="6"/>
  <c r="BA19" i="6"/>
  <c r="AY19" i="6"/>
  <c r="AW19" i="6"/>
  <c r="AL19" i="6"/>
  <c r="AN19" i="6" s="1"/>
  <c r="AP19" i="6" s="1"/>
  <c r="AH19" i="6"/>
  <c r="AF19" i="6"/>
  <c r="AD19" i="6"/>
  <c r="X19" i="6"/>
  <c r="Z19" i="6" s="1"/>
  <c r="AA19" i="6" s="1"/>
  <c r="Q19" i="6"/>
  <c r="S19" i="6" s="1"/>
  <c r="T19" i="6" s="1"/>
  <c r="J19" i="6"/>
  <c r="L19" i="6" s="1"/>
  <c r="N19" i="6" s="1"/>
  <c r="BE18" i="6"/>
  <c r="BD18" i="6"/>
  <c r="AX19" i="9" s="1"/>
  <c r="BB18" i="6"/>
  <c r="AZ18" i="6"/>
  <c r="AX18" i="6"/>
  <c r="AR19" i="9" s="1"/>
  <c r="AV18" i="6"/>
  <c r="AP19" i="9" s="1"/>
  <c r="AU18" i="6"/>
  <c r="AO19" i="9" s="1"/>
  <c r="AT18" i="6"/>
  <c r="AN19" i="9" s="1"/>
  <c r="AS18" i="6"/>
  <c r="AR18" i="6"/>
  <c r="AL19" i="9" s="1"/>
  <c r="AQ18" i="6"/>
  <c r="AK19" i="9" s="1"/>
  <c r="AO18" i="6"/>
  <c r="AI19" i="9" s="1"/>
  <c r="AM18" i="6"/>
  <c r="AG19" i="9" s="1"/>
  <c r="AK18" i="6"/>
  <c r="AE19" i="9" s="1"/>
  <c r="AJ18" i="6"/>
  <c r="AD19" i="9" s="1"/>
  <c r="AC18" i="6"/>
  <c r="AB18" i="6"/>
  <c r="Y18" i="6"/>
  <c r="W18" i="6"/>
  <c r="V18" i="6"/>
  <c r="U18" i="6"/>
  <c r="R18" i="6"/>
  <c r="P18" i="6"/>
  <c r="O18" i="6"/>
  <c r="M18" i="6"/>
  <c r="K18" i="6"/>
  <c r="I18" i="6"/>
  <c r="H18" i="6"/>
  <c r="AZ17" i="6"/>
  <c r="BB17" i="6" s="1"/>
  <c r="BD17" i="6" s="1"/>
  <c r="AS17" i="6"/>
  <c r="AU17" i="6" s="1"/>
  <c r="AW17" i="6" s="1"/>
  <c r="AO17" i="6"/>
  <c r="AL17" i="6"/>
  <c r="AN17" i="6" s="1"/>
  <c r="AE17" i="6"/>
  <c r="AG17" i="6" s="1"/>
  <c r="AI17" i="6" s="1"/>
  <c r="X17" i="6"/>
  <c r="Z17" i="6" s="1"/>
  <c r="AB17" i="6" s="1"/>
  <c r="Q17" i="6"/>
  <c r="S17" i="6" s="1"/>
  <c r="U17" i="6" s="1"/>
  <c r="J17" i="6"/>
  <c r="L17" i="6" s="1"/>
  <c r="N17" i="6" s="1"/>
  <c r="AZ16" i="6"/>
  <c r="BB16" i="6" s="1"/>
  <c r="BD16" i="6" s="1"/>
  <c r="AT16" i="6"/>
  <c r="AT9" i="6" s="1"/>
  <c r="AT8" i="6" s="1"/>
  <c r="AN7" i="9" s="1"/>
  <c r="AS16" i="6"/>
  <c r="AL16" i="6"/>
  <c r="AN16" i="6" s="1"/>
  <c r="AP16" i="6" s="1"/>
  <c r="AE16" i="6"/>
  <c r="AG16" i="6" s="1"/>
  <c r="AI16" i="6" s="1"/>
  <c r="X16" i="6"/>
  <c r="Z16" i="6" s="1"/>
  <c r="AB16" i="6" s="1"/>
  <c r="Q16" i="6"/>
  <c r="S16" i="6" s="1"/>
  <c r="U16" i="6" s="1"/>
  <c r="J16" i="6"/>
  <c r="L16" i="6" s="1"/>
  <c r="N16" i="6" s="1"/>
  <c r="AZ14" i="6"/>
  <c r="BB14" i="6" s="1"/>
  <c r="BD14" i="6" s="1"/>
  <c r="AS14" i="6"/>
  <c r="AU14" i="6" s="1"/>
  <c r="AW14" i="6" s="1"/>
  <c r="AL14" i="6"/>
  <c r="AN14" i="6" s="1"/>
  <c r="AP14" i="6" s="1"/>
  <c r="AE14" i="6"/>
  <c r="X14" i="6"/>
  <c r="Z14" i="6" s="1"/>
  <c r="AB14" i="6" s="1"/>
  <c r="Q14" i="6"/>
  <c r="S14" i="6" s="1"/>
  <c r="U14" i="6" s="1"/>
  <c r="J14" i="6"/>
  <c r="L14" i="6" s="1"/>
  <c r="N14" i="6" s="1"/>
  <c r="AZ13" i="6"/>
  <c r="BB13" i="6" s="1"/>
  <c r="BD13" i="6" s="1"/>
  <c r="AS13" i="6"/>
  <c r="AU13" i="6" s="1"/>
  <c r="AW13" i="6" s="1"/>
  <c r="AL13" i="6"/>
  <c r="AN13" i="6" s="1"/>
  <c r="AP13" i="6" s="1"/>
  <c r="AE13" i="6"/>
  <c r="AG13" i="6" s="1"/>
  <c r="AI13" i="6" s="1"/>
  <c r="X13" i="6"/>
  <c r="Z13" i="6" s="1"/>
  <c r="AB13" i="6" s="1"/>
  <c r="Q13" i="6"/>
  <c r="S13" i="6" s="1"/>
  <c r="U13" i="6" s="1"/>
  <c r="J13" i="6"/>
  <c r="L13" i="6" s="1"/>
  <c r="N13" i="6" s="1"/>
  <c r="AZ12" i="6"/>
  <c r="BB12" i="6" s="1"/>
  <c r="BD12" i="6" s="1"/>
  <c r="AS12" i="6"/>
  <c r="AL12" i="6"/>
  <c r="AN12" i="6" s="1"/>
  <c r="AP12" i="6" s="1"/>
  <c r="AE12" i="6"/>
  <c r="AG12" i="6" s="1"/>
  <c r="AI12" i="6" s="1"/>
  <c r="AA12" i="6"/>
  <c r="AA9" i="6" s="1"/>
  <c r="X12" i="6"/>
  <c r="Z12" i="6" s="1"/>
  <c r="Q12" i="6"/>
  <c r="J12" i="6"/>
  <c r="L12" i="6" s="1"/>
  <c r="N12" i="6" s="1"/>
  <c r="AZ11" i="6"/>
  <c r="AS11" i="6"/>
  <c r="AU11" i="6" s="1"/>
  <c r="AL11" i="6"/>
  <c r="AN11" i="6" s="1"/>
  <c r="AE11" i="6"/>
  <c r="AG11" i="6" s="1"/>
  <c r="AI11" i="6" s="1"/>
  <c r="X11" i="6"/>
  <c r="Z11" i="6" s="1"/>
  <c r="AB11" i="6" s="1"/>
  <c r="Q11" i="6"/>
  <c r="S11" i="6" s="1"/>
  <c r="U11" i="6" s="1"/>
  <c r="J11" i="6"/>
  <c r="L11" i="6" s="1"/>
  <c r="N11" i="6" s="1"/>
  <c r="AZ10" i="6"/>
  <c r="AS10" i="6"/>
  <c r="AU10" i="6" s="1"/>
  <c r="AW10" i="6" s="1"/>
  <c r="AL10" i="6"/>
  <c r="AN10" i="6" s="1"/>
  <c r="AP10" i="6" s="1"/>
  <c r="AE10" i="6"/>
  <c r="X10" i="6"/>
  <c r="Z10" i="6" s="1"/>
  <c r="AB10" i="6" s="1"/>
  <c r="Q10" i="6"/>
  <c r="S10" i="6" s="1"/>
  <c r="U10" i="6" s="1"/>
  <c r="J10" i="6"/>
  <c r="AY8" i="19"/>
  <c r="AZ8" i="19"/>
  <c r="BD8" i="19"/>
  <c r="BE8" i="19"/>
  <c r="BG8" i="19"/>
  <c r="BI8" i="19"/>
  <c r="BK8" i="19"/>
  <c r="BL8" i="19"/>
  <c r="BM8" i="19"/>
  <c r="BN8" i="19"/>
  <c r="BP8" i="19"/>
  <c r="BS8" i="19"/>
  <c r="BT8" i="19"/>
  <c r="BU8" i="19"/>
  <c r="BW8" i="19"/>
  <c r="BY8" i="19"/>
  <c r="BZ8" i="19"/>
  <c r="CA8" i="19"/>
  <c r="CB8" i="19"/>
  <c r="BX14" i="20"/>
  <c r="BX13" i="20"/>
  <c r="CE10" i="20"/>
  <c r="CE8" i="20"/>
  <c r="CE14" i="20"/>
  <c r="CE13" i="20"/>
  <c r="CE11" i="20"/>
  <c r="BQ13" i="20"/>
  <c r="BJ13" i="20"/>
  <c r="BJ11" i="20"/>
  <c r="BJ10" i="20"/>
  <c r="BJ9" i="20"/>
  <c r="BJ8" i="20"/>
  <c r="CC14" i="20"/>
  <c r="CC13" i="20"/>
  <c r="CC11" i="20"/>
  <c r="CC10" i="20"/>
  <c r="CC9" i="20"/>
  <c r="CC8" i="20"/>
  <c r="CC7" i="20" s="1"/>
  <c r="BZ14" i="20"/>
  <c r="BZ13" i="20"/>
  <c r="BZ11" i="20"/>
  <c r="BZ10" i="20"/>
  <c r="BZ9" i="20"/>
  <c r="BZ8" i="20"/>
  <c r="BX11" i="20"/>
  <c r="BX10" i="20"/>
  <c r="BX9" i="20"/>
  <c r="BX8" i="20"/>
  <c r="BV14" i="20"/>
  <c r="BV13" i="20"/>
  <c r="BV11" i="20"/>
  <c r="BV10" i="20"/>
  <c r="BV9" i="20"/>
  <c r="BV8" i="20"/>
  <c r="BS14" i="20"/>
  <c r="BS13" i="20"/>
  <c r="BS11" i="20"/>
  <c r="BS10" i="20"/>
  <c r="BS9" i="20"/>
  <c r="BS8" i="20"/>
  <c r="BQ14" i="20"/>
  <c r="BQ11" i="20"/>
  <c r="BQ10" i="20"/>
  <c r="BQ9" i="20"/>
  <c r="BQ8" i="20"/>
  <c r="BO14" i="20"/>
  <c r="BO13" i="20"/>
  <c r="BO11" i="20"/>
  <c r="BO10" i="20"/>
  <c r="BO9" i="20"/>
  <c r="BO8" i="20"/>
  <c r="BL14" i="20"/>
  <c r="BL13" i="20"/>
  <c r="BL11" i="20"/>
  <c r="BL10" i="20"/>
  <c r="BL9" i="20"/>
  <c r="BL8" i="20"/>
  <c r="BH14" i="20"/>
  <c r="BH13" i="20"/>
  <c r="BH11" i="20"/>
  <c r="BH10" i="20"/>
  <c r="BH9" i="20"/>
  <c r="BH8" i="20"/>
  <c r="BE14" i="20"/>
  <c r="BE13" i="20"/>
  <c r="BE11" i="20"/>
  <c r="BE10" i="20"/>
  <c r="BE9" i="20"/>
  <c r="BE8" i="20"/>
  <c r="BC14" i="20"/>
  <c r="BC13" i="20"/>
  <c r="BC11" i="20"/>
  <c r="BC10" i="20"/>
  <c r="BC9" i="20"/>
  <c r="BC8" i="20"/>
  <c r="BA14" i="20"/>
  <c r="BA13" i="20"/>
  <c r="BA8" i="20"/>
  <c r="BA9" i="20"/>
  <c r="BA10" i="20"/>
  <c r="BA11" i="20"/>
  <c r="AU14" i="20"/>
  <c r="AV13" i="20" s="1"/>
  <c r="BA23" i="9"/>
  <c r="BC23" i="9" s="1"/>
  <c r="BE23" i="9" s="1"/>
  <c r="BA22" i="9"/>
  <c r="BC22" i="9" s="1"/>
  <c r="BE22" i="9" s="1"/>
  <c r="CJ50" i="8"/>
  <c r="CJ49" i="8"/>
  <c r="CJ47" i="8"/>
  <c r="CJ45" i="8"/>
  <c r="CJ42" i="8" s="1"/>
  <c r="CJ44" i="8"/>
  <c r="CJ43" i="8"/>
  <c r="CJ41" i="8"/>
  <c r="CJ40" i="8"/>
  <c r="CJ39" i="8"/>
  <c r="CJ37" i="8"/>
  <c r="CJ36" i="8"/>
  <c r="CJ35" i="8"/>
  <c r="CJ33" i="8" s="1"/>
  <c r="CJ34" i="8"/>
  <c r="CJ30" i="8"/>
  <c r="CJ29" i="8"/>
  <c r="CJ25" i="8"/>
  <c r="CJ24" i="8"/>
  <c r="CJ23" i="8" s="1"/>
  <c r="CJ21" i="8"/>
  <c r="CJ20" i="8"/>
  <c r="CJ19" i="8"/>
  <c r="CJ18" i="8"/>
  <c r="CJ17" i="8"/>
  <c r="CJ16" i="8"/>
  <c r="CJ12" i="8"/>
  <c r="CJ11" i="8"/>
  <c r="CJ10" i="8"/>
  <c r="CJ9" i="8"/>
  <c r="CH50" i="8"/>
  <c r="CH49" i="8"/>
  <c r="CH47" i="8"/>
  <c r="CH45" i="8"/>
  <c r="CH44" i="8"/>
  <c r="CH43" i="8"/>
  <c r="CH41" i="8"/>
  <c r="CH40" i="8"/>
  <c r="CH39" i="8"/>
  <c r="CH37" i="8"/>
  <c r="CH36" i="8"/>
  <c r="CH35" i="8"/>
  <c r="CH34" i="8"/>
  <c r="CH30" i="8"/>
  <c r="CH29" i="8"/>
  <c r="CH25" i="8"/>
  <c r="CH24" i="8"/>
  <c r="CB16" i="9" s="1"/>
  <c r="CH21" i="8"/>
  <c r="CH20" i="8"/>
  <c r="CH19" i="8"/>
  <c r="CH18" i="8"/>
  <c r="CH17" i="8"/>
  <c r="CH16" i="8"/>
  <c r="CH12" i="8"/>
  <c r="CH11" i="8"/>
  <c r="CH10" i="8"/>
  <c r="CH9" i="8"/>
  <c r="CE50" i="8"/>
  <c r="CE49" i="8"/>
  <c r="CE47" i="8"/>
  <c r="CE46" i="8" s="1"/>
  <c r="CE45" i="8"/>
  <c r="CE44" i="8"/>
  <c r="CE43" i="8"/>
  <c r="CE41" i="8"/>
  <c r="CE40" i="8"/>
  <c r="CE39" i="8"/>
  <c r="CE37" i="8"/>
  <c r="CE36" i="8"/>
  <c r="CE35" i="8"/>
  <c r="CE34" i="8"/>
  <c r="CE30" i="8"/>
  <c r="CE29" i="8"/>
  <c r="CE25" i="8"/>
  <c r="CE24" i="8"/>
  <c r="CE21" i="8"/>
  <c r="CE20" i="8"/>
  <c r="CE19" i="8"/>
  <c r="CE18" i="8"/>
  <c r="CE17" i="8"/>
  <c r="CE16" i="8"/>
  <c r="CE12" i="8"/>
  <c r="CE11" i="8"/>
  <c r="CE10" i="8"/>
  <c r="CE9" i="8"/>
  <c r="CC50" i="8"/>
  <c r="CC49" i="8"/>
  <c r="CC47" i="8"/>
  <c r="CC45" i="8"/>
  <c r="CC44" i="8"/>
  <c r="CC43" i="8"/>
  <c r="CC41" i="8"/>
  <c r="CC40" i="8"/>
  <c r="CC39" i="8"/>
  <c r="CC37" i="8"/>
  <c r="CC36" i="8"/>
  <c r="CC35" i="8"/>
  <c r="CC34" i="8"/>
  <c r="CC30" i="8"/>
  <c r="CC29" i="8"/>
  <c r="CC27" i="8" s="1"/>
  <c r="CC25" i="8"/>
  <c r="CC24" i="8"/>
  <c r="BW16" i="9" s="1"/>
  <c r="CC21" i="8"/>
  <c r="CC20" i="8"/>
  <c r="CC19" i="8"/>
  <c r="CC18" i="8"/>
  <c r="CC17" i="8"/>
  <c r="CC16" i="8"/>
  <c r="CC15" i="8" s="1"/>
  <c r="CC12" i="8"/>
  <c r="CC11" i="8"/>
  <c r="CC10" i="8"/>
  <c r="CC9" i="8"/>
  <c r="CA50" i="8"/>
  <c r="CA49" i="8"/>
  <c r="CA47" i="8"/>
  <c r="CA45" i="8"/>
  <c r="CA44" i="8"/>
  <c r="CA43" i="8"/>
  <c r="CA42" i="8" s="1"/>
  <c r="CA41" i="8"/>
  <c r="CA40" i="8"/>
  <c r="CA38" i="8" s="1"/>
  <c r="CA39" i="8"/>
  <c r="CA37" i="8"/>
  <c r="CA36" i="8"/>
  <c r="CA35" i="8"/>
  <c r="CA33" i="8" s="1"/>
  <c r="CA34" i="8"/>
  <c r="CA30" i="8"/>
  <c r="CA29" i="8"/>
  <c r="CA25" i="8"/>
  <c r="CA23" i="8" s="1"/>
  <c r="CA24" i="8"/>
  <c r="CA21" i="8"/>
  <c r="CA20" i="8"/>
  <c r="CA19" i="8"/>
  <c r="CA18" i="8"/>
  <c r="CA17" i="8"/>
  <c r="CA16" i="8"/>
  <c r="CA15" i="8" s="1"/>
  <c r="CA12" i="8"/>
  <c r="CA8" i="8" s="1"/>
  <c r="CA11" i="8"/>
  <c r="CA10" i="8"/>
  <c r="CA9" i="8"/>
  <c r="BX50" i="8"/>
  <c r="BX49" i="8"/>
  <c r="BX47" i="8"/>
  <c r="BX45" i="8"/>
  <c r="BX44" i="8"/>
  <c r="BX42" i="8" s="1"/>
  <c r="BX43" i="8"/>
  <c r="BX41" i="8"/>
  <c r="BX40" i="8"/>
  <c r="BX39" i="8"/>
  <c r="BX37" i="8"/>
  <c r="BX36" i="8"/>
  <c r="BX35" i="8"/>
  <c r="BX34" i="8"/>
  <c r="BX30" i="8"/>
  <c r="BX29" i="8"/>
  <c r="BX25" i="8"/>
  <c r="BX24" i="8"/>
  <c r="BR16" i="9" s="1"/>
  <c r="BX21" i="8"/>
  <c r="BX20" i="8"/>
  <c r="BX19" i="8"/>
  <c r="BX18" i="8"/>
  <c r="BX15" i="8" s="1"/>
  <c r="BX17" i="8"/>
  <c r="BX16" i="8"/>
  <c r="BX12" i="8"/>
  <c r="BX11" i="8"/>
  <c r="BX10" i="8"/>
  <c r="BX9" i="8"/>
  <c r="BX8" i="8" s="1"/>
  <c r="BV50" i="8"/>
  <c r="BV49" i="8"/>
  <c r="BV46" i="8" s="1"/>
  <c r="BV47" i="8"/>
  <c r="BV45" i="8"/>
  <c r="BV44" i="8"/>
  <c r="BV43" i="8"/>
  <c r="BV42" i="8" s="1"/>
  <c r="BV41" i="8"/>
  <c r="BV40" i="8"/>
  <c r="BV39" i="8"/>
  <c r="BV37" i="8"/>
  <c r="BV36" i="8"/>
  <c r="BV35" i="8"/>
  <c r="BV34" i="8"/>
  <c r="BV30" i="8"/>
  <c r="BV27" i="8" s="1"/>
  <c r="BV29" i="8"/>
  <c r="BV25" i="8"/>
  <c r="BV24" i="8"/>
  <c r="BP16" i="9" s="1"/>
  <c r="BV21" i="8"/>
  <c r="BV20" i="8"/>
  <c r="BV19" i="8"/>
  <c r="BV18" i="8"/>
  <c r="BV17" i="8"/>
  <c r="BV16" i="8"/>
  <c r="BV12" i="8"/>
  <c r="BV11" i="8"/>
  <c r="BV10" i="8"/>
  <c r="BV9" i="8"/>
  <c r="BT50" i="8"/>
  <c r="BT49" i="8"/>
  <c r="BT47" i="8"/>
  <c r="BT45" i="8"/>
  <c r="BT44" i="8"/>
  <c r="BT43" i="8"/>
  <c r="BT41" i="8"/>
  <c r="BT40" i="8"/>
  <c r="BT39" i="8"/>
  <c r="BT37" i="8"/>
  <c r="BT36" i="8"/>
  <c r="BT35" i="8"/>
  <c r="BT34" i="8"/>
  <c r="BT30" i="8"/>
  <c r="BT29" i="8"/>
  <c r="BT27" i="8" s="1"/>
  <c r="BT25" i="8"/>
  <c r="BT24" i="8"/>
  <c r="BT21" i="8"/>
  <c r="BT20" i="8"/>
  <c r="BT19" i="8"/>
  <c r="BT18" i="8"/>
  <c r="BT17" i="8"/>
  <c r="BT16" i="8"/>
  <c r="BT12" i="8"/>
  <c r="BT11" i="8"/>
  <c r="BT10" i="8"/>
  <c r="BT9" i="8"/>
  <c r="BS8" i="8"/>
  <c r="BS15" i="8"/>
  <c r="BS22" i="8" s="1"/>
  <c r="BS23" i="8"/>
  <c r="BS27" i="8"/>
  <c r="BS33" i="8"/>
  <c r="BS38" i="8"/>
  <c r="BS42" i="8"/>
  <c r="BS46" i="8"/>
  <c r="BQ50" i="8"/>
  <c r="BQ49" i="8"/>
  <c r="BQ47" i="8"/>
  <c r="BQ45" i="8"/>
  <c r="BQ44" i="8"/>
  <c r="BQ43" i="8"/>
  <c r="BQ41" i="8"/>
  <c r="BQ40" i="8"/>
  <c r="BQ38" i="8" s="1"/>
  <c r="BQ39" i="8"/>
  <c r="BQ37" i="8"/>
  <c r="BQ36" i="8"/>
  <c r="BQ35" i="8"/>
  <c r="BQ34" i="8"/>
  <c r="BQ30" i="8"/>
  <c r="BQ29" i="8"/>
  <c r="BQ25" i="8"/>
  <c r="BQ24" i="8"/>
  <c r="BQ21" i="8"/>
  <c r="BQ20" i="8"/>
  <c r="BQ19" i="8"/>
  <c r="BQ18" i="8"/>
  <c r="BQ17" i="8"/>
  <c r="BQ16" i="8"/>
  <c r="BQ12" i="8"/>
  <c r="BQ11" i="8"/>
  <c r="BQ10" i="8"/>
  <c r="BQ9" i="8"/>
  <c r="BO50" i="8"/>
  <c r="BO49" i="8"/>
  <c r="BO47" i="8"/>
  <c r="BO45" i="8"/>
  <c r="BO44" i="8"/>
  <c r="BO43" i="8"/>
  <c r="BO41" i="8"/>
  <c r="BO40" i="8"/>
  <c r="BO39" i="8"/>
  <c r="BO37" i="8"/>
  <c r="BO36" i="8"/>
  <c r="BO35" i="8"/>
  <c r="BO34" i="8"/>
  <c r="BO30" i="8"/>
  <c r="BO29" i="8"/>
  <c r="BO27" i="8" s="1"/>
  <c r="BO25" i="8"/>
  <c r="BO24" i="8"/>
  <c r="BI16" i="9" s="1"/>
  <c r="BO21" i="8"/>
  <c r="BO20" i="8"/>
  <c r="BO19" i="8"/>
  <c r="BO18" i="8"/>
  <c r="BO17" i="8"/>
  <c r="BO16" i="8"/>
  <c r="BO12" i="8"/>
  <c r="BO11" i="8"/>
  <c r="BO10" i="8"/>
  <c r="BO9" i="8"/>
  <c r="BM50" i="8"/>
  <c r="BM49" i="8"/>
  <c r="BM46" i="8" s="1"/>
  <c r="BM47" i="8"/>
  <c r="BM45" i="8"/>
  <c r="BM44" i="8"/>
  <c r="BM43" i="8"/>
  <c r="BM41" i="8"/>
  <c r="BM40" i="8"/>
  <c r="BM38" i="8" s="1"/>
  <c r="BM39" i="8"/>
  <c r="BM37" i="8"/>
  <c r="BM36" i="8"/>
  <c r="BM35" i="8"/>
  <c r="BM34" i="8"/>
  <c r="BM30" i="8"/>
  <c r="BM27" i="8" s="1"/>
  <c r="BM29" i="8"/>
  <c r="BM25" i="8"/>
  <c r="BM24" i="8"/>
  <c r="BM21" i="8"/>
  <c r="BM20" i="8"/>
  <c r="BM19" i="8"/>
  <c r="BM18" i="8"/>
  <c r="BM17" i="8"/>
  <c r="BM16" i="8"/>
  <c r="BM12" i="8"/>
  <c r="BM11" i="8"/>
  <c r="BM10" i="8"/>
  <c r="BM9" i="8"/>
  <c r="BJ50" i="8"/>
  <c r="BJ49" i="8"/>
  <c r="BJ47" i="8"/>
  <c r="BJ45" i="8"/>
  <c r="BJ44" i="8"/>
  <c r="BJ43" i="8"/>
  <c r="BJ41" i="8"/>
  <c r="BJ40" i="8"/>
  <c r="BJ39" i="8"/>
  <c r="BJ37" i="8"/>
  <c r="BJ36" i="8"/>
  <c r="BJ35" i="8"/>
  <c r="BJ34" i="8"/>
  <c r="BJ30" i="8"/>
  <c r="BJ29" i="8"/>
  <c r="BJ25" i="8"/>
  <c r="BJ24" i="8"/>
  <c r="BJ23" i="8" s="1"/>
  <c r="BJ21" i="8"/>
  <c r="BJ20" i="8"/>
  <c r="BJ19" i="8"/>
  <c r="BJ18" i="8"/>
  <c r="BJ17" i="8"/>
  <c r="BJ16" i="8"/>
  <c r="BJ15" i="8" s="1"/>
  <c r="BJ12" i="8"/>
  <c r="BJ11" i="8"/>
  <c r="BJ10" i="8"/>
  <c r="BJ9" i="8"/>
  <c r="BF36" i="8"/>
  <c r="BG36" i="8" s="1"/>
  <c r="BH36" i="8" s="1"/>
  <c r="BF34" i="8"/>
  <c r="BG34" i="8" s="1"/>
  <c r="BF50" i="8"/>
  <c r="BG50" i="8" s="1"/>
  <c r="BH50" i="8" s="1"/>
  <c r="BF49" i="8"/>
  <c r="BF46" i="8" s="1"/>
  <c r="BF43" i="8"/>
  <c r="BG43" i="8" s="1"/>
  <c r="BH43" i="8" s="1"/>
  <c r="BF44" i="8"/>
  <c r="BG44" i="8" s="1"/>
  <c r="BF41" i="8"/>
  <c r="BG41" i="8" s="1"/>
  <c r="BH41" i="8" s="1"/>
  <c r="BF40" i="8"/>
  <c r="BG40" i="8" s="1"/>
  <c r="BH40" i="8" s="1"/>
  <c r="BF39" i="8"/>
  <c r="BF35" i="8"/>
  <c r="BF30" i="8"/>
  <c r="BG30" i="8" s="1"/>
  <c r="BH30" i="8" s="1"/>
  <c r="BF29" i="8"/>
  <c r="BG29" i="8" s="1"/>
  <c r="BF24" i="8"/>
  <c r="BG24" i="8" s="1"/>
  <c r="BF21" i="8"/>
  <c r="BG21" i="8" s="1"/>
  <c r="BH21" i="8" s="1"/>
  <c r="BF20" i="8"/>
  <c r="BG20" i="8" s="1"/>
  <c r="BH20" i="8" s="1"/>
  <c r="BF19" i="8"/>
  <c r="BF18" i="8"/>
  <c r="BG18" i="8" s="1"/>
  <c r="BH18" i="8" s="1"/>
  <c r="BF17" i="8"/>
  <c r="BG17" i="8" s="1"/>
  <c r="BF16" i="8"/>
  <c r="BG16" i="8" s="1"/>
  <c r="BF10" i="8"/>
  <c r="BG10" i="8" s="1"/>
  <c r="BH10" i="8" s="1"/>
  <c r="BF12" i="8"/>
  <c r="BG12" i="8" s="1"/>
  <c r="BH12" i="8" s="1"/>
  <c r="BF11" i="8"/>
  <c r="BG11" i="8" s="1"/>
  <c r="BG47" i="8"/>
  <c r="BH47" i="8" s="1"/>
  <c r="BG45" i="8"/>
  <c r="BH45" i="8" s="1"/>
  <c r="BG37" i="8"/>
  <c r="BH37" i="8" s="1"/>
  <c r="BG28" i="8"/>
  <c r="BG25" i="8"/>
  <c r="BH25" i="8" s="1"/>
  <c r="BF9" i="8"/>
  <c r="BG9" i="8" s="1"/>
  <c r="BH9" i="8" s="1"/>
  <c r="AY65" i="6"/>
  <c r="BE59" i="6"/>
  <c r="BE58" i="6" s="1"/>
  <c r="BE50" i="6"/>
  <c r="AY10" i="9" s="1"/>
  <c r="AX9" i="6"/>
  <c r="AX35" i="4"/>
  <c r="AW35" i="4"/>
  <c r="AV35" i="4"/>
  <c r="AU35" i="4"/>
  <c r="AT35" i="4"/>
  <c r="AS35" i="4"/>
  <c r="AR35" i="4"/>
  <c r="AQ35" i="4"/>
  <c r="AP35" i="4"/>
  <c r="BC35" i="4"/>
  <c r="BC33" i="4"/>
  <c r="BC32" i="4" s="1"/>
  <c r="BB35" i="4"/>
  <c r="BA35" i="4"/>
  <c r="AY35" i="4"/>
  <c r="AZ35" i="4"/>
  <c r="AT43" i="4"/>
  <c r="AT42" i="4" s="1"/>
  <c r="AU42" i="4"/>
  <c r="AV42" i="4"/>
  <c r="AW42" i="4"/>
  <c r="AX42" i="4"/>
  <c r="AY42" i="4"/>
  <c r="AZ42" i="4"/>
  <c r="AZ41" i="4" s="1"/>
  <c r="BA42" i="4"/>
  <c r="BC42" i="4"/>
  <c r="AT49" i="4"/>
  <c r="AR20" i="4"/>
  <c r="AQ20" i="4"/>
  <c r="AO35" i="4"/>
  <c r="AN35" i="4"/>
  <c r="AM35" i="4"/>
  <c r="AM2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AL60" i="4"/>
  <c r="AK60" i="4"/>
  <c r="AT55" i="4"/>
  <c r="AL35" i="4"/>
  <c r="AL31" i="4" s="1"/>
  <c r="AL30" i="4" s="1"/>
  <c r="AL32" i="4"/>
  <c r="AM32" i="4"/>
  <c r="AN32" i="4"/>
  <c r="AN31" i="4" s="1"/>
  <c r="AN30" i="4" s="1"/>
  <c r="AO32" i="4"/>
  <c r="AO31" i="4" s="1"/>
  <c r="AO30" i="4" s="1"/>
  <c r="AP32" i="4"/>
  <c r="AP31" i="4" s="1"/>
  <c r="AP30" i="4" s="1"/>
  <c r="AQ32" i="4"/>
  <c r="AR32" i="4"/>
  <c r="AS32" i="4"/>
  <c r="AT32" i="4"/>
  <c r="AU32" i="4"/>
  <c r="AV32" i="4"/>
  <c r="AW32" i="4"/>
  <c r="AX32" i="4"/>
  <c r="AY32" i="4"/>
  <c r="BA32" i="4"/>
  <c r="AK32" i="4"/>
  <c r="AJ32" i="4"/>
  <c r="AJ31" i="4" s="1"/>
  <c r="AJ30" i="4" s="1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BA79" i="4"/>
  <c r="BB79" i="4"/>
  <c r="BC79" i="4"/>
  <c r="AJ79" i="4"/>
  <c r="AK35" i="4"/>
  <c r="AG49" i="4"/>
  <c r="AK49" i="4"/>
  <c r="AG68" i="4"/>
  <c r="AG65" i="4" s="1"/>
  <c r="AK23" i="4"/>
  <c r="AH23" i="4"/>
  <c r="AG23" i="4"/>
  <c r="AG20" i="4"/>
  <c r="AG32" i="4"/>
  <c r="AG31" i="4" s="1"/>
  <c r="AG30" i="4" s="1"/>
  <c r="BB7" i="20"/>
  <c r="BB12" i="20" s="1"/>
  <c r="BD7" i="20"/>
  <c r="BD12" i="20" s="1"/>
  <c r="BF7" i="20"/>
  <c r="BF12" i="20" s="1"/>
  <c r="BG7" i="20"/>
  <c r="BG12" i="20" s="1"/>
  <c r="BI7" i="20"/>
  <c r="BI12" i="20" s="1"/>
  <c r="BK7" i="20"/>
  <c r="BK12" i="20" s="1"/>
  <c r="BM7" i="20"/>
  <c r="BM12" i="20" s="1"/>
  <c r="BN7" i="20"/>
  <c r="BN12" i="20" s="1"/>
  <c r="BP7" i="20"/>
  <c r="BP12" i="20" s="1"/>
  <c r="BR7" i="20"/>
  <c r="BR12" i="20" s="1"/>
  <c r="BT7" i="20"/>
  <c r="BT12" i="20" s="1"/>
  <c r="BU7" i="20"/>
  <c r="BU12" i="20" s="1"/>
  <c r="BW7" i="20"/>
  <c r="BW12" i="20" s="1"/>
  <c r="BY7" i="20"/>
  <c r="BY12" i="20" s="1"/>
  <c r="CA7" i="20"/>
  <c r="CA12" i="20" s="1"/>
  <c r="CB7" i="20"/>
  <c r="CB12" i="20"/>
  <c r="CD7" i="20"/>
  <c r="CD12" i="20" s="1"/>
  <c r="CF7" i="20"/>
  <c r="CF12" i="20" s="1"/>
  <c r="AS14" i="20"/>
  <c r="AW7" i="20"/>
  <c r="AZ7" i="20"/>
  <c r="AZ12" i="20" s="1"/>
  <c r="BF16" i="9"/>
  <c r="BM16" i="9"/>
  <c r="BT16" i="9"/>
  <c r="BU16" i="9"/>
  <c r="CA16" i="9"/>
  <c r="BI8" i="8"/>
  <c r="BK8" i="8"/>
  <c r="BK22" i="8" s="1"/>
  <c r="BK26" i="8" s="1"/>
  <c r="BK31" i="8" s="1"/>
  <c r="BK52" i="8" s="1"/>
  <c r="BL8" i="8"/>
  <c r="BN8" i="8"/>
  <c r="BP8" i="8"/>
  <c r="BR8" i="8"/>
  <c r="BU8" i="8"/>
  <c r="BW8" i="8"/>
  <c r="BY8" i="8"/>
  <c r="BZ8" i="8"/>
  <c r="BZ22" i="8" s="1"/>
  <c r="BZ26" i="8" s="1"/>
  <c r="BZ31" i="8" s="1"/>
  <c r="BZ52" i="8" s="1"/>
  <c r="CB8" i="8"/>
  <c r="CD8" i="8"/>
  <c r="CF8" i="8"/>
  <c r="CG8" i="8"/>
  <c r="CI8" i="8"/>
  <c r="CK8" i="8"/>
  <c r="BI15" i="8"/>
  <c r="BK15" i="8"/>
  <c r="BL15" i="8"/>
  <c r="BN15" i="8"/>
  <c r="BP15" i="8"/>
  <c r="BR15" i="8"/>
  <c r="BU15" i="8"/>
  <c r="BW15" i="8"/>
  <c r="BY15" i="8"/>
  <c r="BZ15" i="8"/>
  <c r="CB15" i="8"/>
  <c r="CD15" i="8"/>
  <c r="CG15" i="8"/>
  <c r="CI15" i="8"/>
  <c r="CK15" i="8"/>
  <c r="BI23" i="8"/>
  <c r="BK23" i="8"/>
  <c r="BL23" i="8"/>
  <c r="BN23" i="8"/>
  <c r="BP23" i="8"/>
  <c r="BR23" i="8"/>
  <c r="BU23" i="8"/>
  <c r="BW23" i="8"/>
  <c r="BY23" i="8"/>
  <c r="BZ23" i="8"/>
  <c r="CB23" i="8"/>
  <c r="CD23" i="8"/>
  <c r="CF23" i="8"/>
  <c r="CG23" i="8"/>
  <c r="CI23" i="8"/>
  <c r="CK23" i="8"/>
  <c r="BI27" i="8"/>
  <c r="BK27" i="8"/>
  <c r="BL27" i="8"/>
  <c r="BN27" i="8"/>
  <c r="BP27" i="8"/>
  <c r="BR27" i="8"/>
  <c r="BU27" i="8"/>
  <c r="BW27" i="8"/>
  <c r="BY27" i="8"/>
  <c r="BZ27" i="8"/>
  <c r="CB27" i="8"/>
  <c r="CD27" i="8"/>
  <c r="CF27" i="8"/>
  <c r="CG27" i="8"/>
  <c r="CI27" i="8"/>
  <c r="CK27" i="8"/>
  <c r="BI33" i="8"/>
  <c r="BK33" i="8"/>
  <c r="BL33" i="8"/>
  <c r="BN33" i="8"/>
  <c r="BN32" i="8" s="1"/>
  <c r="BP33" i="8"/>
  <c r="BR33" i="8"/>
  <c r="BU33" i="8"/>
  <c r="BW33" i="8"/>
  <c r="BY33" i="8"/>
  <c r="BZ33" i="8"/>
  <c r="CB33" i="8"/>
  <c r="CD33" i="8"/>
  <c r="CD32" i="8" s="1"/>
  <c r="CF33" i="8"/>
  <c r="CG33" i="8"/>
  <c r="CI33" i="8"/>
  <c r="CK33" i="8"/>
  <c r="BI38" i="8"/>
  <c r="BK38" i="8"/>
  <c r="BL38" i="8"/>
  <c r="BN38" i="8"/>
  <c r="BP38" i="8"/>
  <c r="BR38" i="8"/>
  <c r="BU38" i="8"/>
  <c r="BW38" i="8"/>
  <c r="BY38" i="8"/>
  <c r="BZ38" i="8"/>
  <c r="CB38" i="8"/>
  <c r="CD38" i="8"/>
  <c r="CF38" i="8"/>
  <c r="CG38" i="8"/>
  <c r="CI38" i="8"/>
  <c r="CK38" i="8"/>
  <c r="BI42" i="8"/>
  <c r="BK42" i="8"/>
  <c r="BL42" i="8"/>
  <c r="BN42" i="8"/>
  <c r="BP42" i="8"/>
  <c r="BR42" i="8"/>
  <c r="BU42" i="8"/>
  <c r="BW42" i="8"/>
  <c r="BY42" i="8"/>
  <c r="BZ42" i="8"/>
  <c r="CB42" i="8"/>
  <c r="CD42" i="8"/>
  <c r="CF42" i="8"/>
  <c r="CG42" i="8"/>
  <c r="CI42" i="8"/>
  <c r="CK42" i="8"/>
  <c r="BI46" i="8"/>
  <c r="BK46" i="8"/>
  <c r="BL46" i="8"/>
  <c r="BN46" i="8"/>
  <c r="BP46" i="8"/>
  <c r="BR46" i="8"/>
  <c r="BU46" i="8"/>
  <c r="BW46" i="8"/>
  <c r="BY46" i="8"/>
  <c r="BZ46" i="8"/>
  <c r="CB46" i="8"/>
  <c r="CD46" i="8"/>
  <c r="CF46" i="8"/>
  <c r="CG46" i="8"/>
  <c r="CI46" i="8"/>
  <c r="CK46" i="8"/>
  <c r="BD19" i="8"/>
  <c r="BD15" i="8" s="1"/>
  <c r="BC16" i="8"/>
  <c r="BD23" i="8"/>
  <c r="BE15" i="8"/>
  <c r="BE46" i="8"/>
  <c r="BE42" i="8"/>
  <c r="BE38" i="8"/>
  <c r="BE33" i="8"/>
  <c r="BE27" i="8"/>
  <c r="BE23" i="8"/>
  <c r="BE8" i="8"/>
  <c r="BE79" i="6"/>
  <c r="BE94" i="6"/>
  <c r="BE85" i="6"/>
  <c r="BE40" i="6"/>
  <c r="BE32" i="6"/>
  <c r="BE9" i="6"/>
  <c r="BE8" i="6" s="1"/>
  <c r="AY7" i="9" s="1"/>
  <c r="AK86" i="4"/>
  <c r="AL20" i="4"/>
  <c r="AN20" i="4"/>
  <c r="AO20" i="4"/>
  <c r="AP20" i="4"/>
  <c r="AS20" i="4"/>
  <c r="AT20" i="4"/>
  <c r="AU20" i="4"/>
  <c r="AV20" i="4"/>
  <c r="AW20" i="4"/>
  <c r="AX20" i="4"/>
  <c r="AY20" i="4"/>
  <c r="AZ20" i="4"/>
  <c r="BA20" i="4"/>
  <c r="BB20" i="4"/>
  <c r="BC20" i="4"/>
  <c r="BC86" i="4"/>
  <c r="BB86" i="4"/>
  <c r="BA86" i="4"/>
  <c r="BC82" i="4"/>
  <c r="BB82" i="4"/>
  <c r="BA82" i="4"/>
  <c r="BC76" i="4"/>
  <c r="BB76" i="4"/>
  <c r="BA76" i="4"/>
  <c r="BC68" i="4"/>
  <c r="BC65" i="4" s="1"/>
  <c r="BB68" i="4"/>
  <c r="BB65" i="4" s="1"/>
  <c r="BA68" i="4"/>
  <c r="BA65" i="4" s="1"/>
  <c r="BC49" i="4"/>
  <c r="BB49" i="4"/>
  <c r="BB41" i="4" s="1"/>
  <c r="BA49" i="4"/>
  <c r="BC23" i="4"/>
  <c r="BB23" i="4"/>
  <c r="BA23" i="4"/>
  <c r="BC17" i="4"/>
  <c r="BB17" i="4"/>
  <c r="BA17" i="4"/>
  <c r="BC14" i="4"/>
  <c r="BB14" i="4"/>
  <c r="BB13" i="4" s="1"/>
  <c r="BA14" i="4"/>
  <c r="BC10" i="4"/>
  <c r="BB10" i="4"/>
  <c r="BA10" i="4"/>
  <c r="AY86" i="4"/>
  <c r="AX86" i="4"/>
  <c r="AW86" i="4"/>
  <c r="AY82" i="4"/>
  <c r="AX82" i="4"/>
  <c r="AW82" i="4"/>
  <c r="AX76" i="4"/>
  <c r="AW76" i="4"/>
  <c r="AY68" i="4"/>
  <c r="AY65" i="4" s="1"/>
  <c r="AX68" i="4"/>
  <c r="AX65" i="4" s="1"/>
  <c r="AW68" i="4"/>
  <c r="AW65" i="4" s="1"/>
  <c r="AY49" i="4"/>
  <c r="AX49" i="4"/>
  <c r="AX41" i="4" s="1"/>
  <c r="AW49" i="4"/>
  <c r="AZ23" i="4"/>
  <c r="AY23" i="4"/>
  <c r="AY19" i="4" s="1"/>
  <c r="AX23" i="4"/>
  <c r="AW23" i="4"/>
  <c r="AZ17" i="4"/>
  <c r="AY17" i="4"/>
  <c r="AX17" i="4"/>
  <c r="AW17" i="4"/>
  <c r="AZ14" i="4"/>
  <c r="AY14" i="4"/>
  <c r="AX14" i="4"/>
  <c r="AW14" i="4"/>
  <c r="AZ10" i="4"/>
  <c r="AY10" i="4"/>
  <c r="AX10" i="4"/>
  <c r="AW10" i="4"/>
  <c r="AV86" i="4"/>
  <c r="AU86" i="4"/>
  <c r="AT86" i="4"/>
  <c r="AS86" i="4"/>
  <c r="AV82" i="4"/>
  <c r="AU82" i="4"/>
  <c r="AT82" i="4"/>
  <c r="AS82" i="4"/>
  <c r="AV76" i="4"/>
  <c r="AU76" i="4"/>
  <c r="AT76" i="4"/>
  <c r="AS76" i="4"/>
  <c r="AV68" i="4"/>
  <c r="AV65" i="4" s="1"/>
  <c r="AU68" i="4"/>
  <c r="AU65" i="4" s="1"/>
  <c r="AT68" i="4"/>
  <c r="AT65" i="4" s="1"/>
  <c r="AS68" i="4"/>
  <c r="AS65" i="4" s="1"/>
  <c r="AS55" i="4"/>
  <c r="AV49" i="4"/>
  <c r="AU49" i="4"/>
  <c r="AS49" i="4"/>
  <c r="AS42" i="4"/>
  <c r="AV23" i="4"/>
  <c r="AU23" i="4"/>
  <c r="AU19" i="4" s="1"/>
  <c r="AT23" i="4"/>
  <c r="AS23" i="4"/>
  <c r="AV17" i="4"/>
  <c r="AU17" i="4"/>
  <c r="AT17" i="4"/>
  <c r="AS17" i="4"/>
  <c r="AV14" i="4"/>
  <c r="AU14" i="4"/>
  <c r="AT14" i="4"/>
  <c r="AS14" i="4"/>
  <c r="AV10" i="4"/>
  <c r="AU10" i="4"/>
  <c r="AT10" i="4"/>
  <c r="AS10" i="4"/>
  <c r="AR86" i="4"/>
  <c r="AQ86" i="4"/>
  <c r="AP86" i="4"/>
  <c r="AO86" i="4"/>
  <c r="AR82" i="4"/>
  <c r="AQ82" i="4"/>
  <c r="AP82" i="4"/>
  <c r="AO82" i="4"/>
  <c r="AR76" i="4"/>
  <c r="AQ76" i="4"/>
  <c r="AP76" i="4"/>
  <c r="AO76" i="4"/>
  <c r="AR68" i="4"/>
  <c r="AR65" i="4" s="1"/>
  <c r="AQ68" i="4"/>
  <c r="AQ65" i="4" s="1"/>
  <c r="AP68" i="4"/>
  <c r="AP65" i="4" s="1"/>
  <c r="AP64" i="4" s="1"/>
  <c r="AO68" i="4"/>
  <c r="AO65" i="4" s="1"/>
  <c r="AR49" i="4"/>
  <c r="AQ49" i="4"/>
  <c r="AP49" i="4"/>
  <c r="AO49" i="4"/>
  <c r="AR42" i="4"/>
  <c r="AQ42" i="4"/>
  <c r="AP42" i="4"/>
  <c r="AP41" i="4" s="1"/>
  <c r="AO42" i="4"/>
  <c r="AR23" i="4"/>
  <c r="AQ23" i="4"/>
  <c r="AP23" i="4"/>
  <c r="AO23" i="4"/>
  <c r="AR17" i="4"/>
  <c r="AQ17" i="4"/>
  <c r="AP17" i="4"/>
  <c r="AO17" i="4"/>
  <c r="AR14" i="4"/>
  <c r="AQ14" i="4"/>
  <c r="AP14" i="4"/>
  <c r="AO14" i="4"/>
  <c r="AR10" i="4"/>
  <c r="AQ10" i="4"/>
  <c r="AP10" i="4"/>
  <c r="AO10" i="4"/>
  <c r="AN86" i="4"/>
  <c r="AM86" i="4"/>
  <c r="AL86" i="4"/>
  <c r="AN82" i="4"/>
  <c r="AM82" i="4"/>
  <c r="AL82" i="4"/>
  <c r="AK82" i="4"/>
  <c r="AN76" i="4"/>
  <c r="AM76" i="4"/>
  <c r="AL76" i="4"/>
  <c r="AK76" i="4"/>
  <c r="AN68" i="4"/>
  <c r="AN65" i="4" s="1"/>
  <c r="AM68" i="4"/>
  <c r="AM65" i="4" s="1"/>
  <c r="AL68" i="4"/>
  <c r="AL65" i="4" s="1"/>
  <c r="AK68" i="4"/>
  <c r="AK65" i="4" s="1"/>
  <c r="AN49" i="4"/>
  <c r="AM49" i="4"/>
  <c r="AL49" i="4"/>
  <c r="AN42" i="4"/>
  <c r="AM42" i="4"/>
  <c r="AL42" i="4"/>
  <c r="AK42" i="4"/>
  <c r="AK41" i="4" s="1"/>
  <c r="AN23" i="4"/>
  <c r="AM23" i="4"/>
  <c r="AL23" i="4"/>
  <c r="AN17" i="4"/>
  <c r="AM17" i="4"/>
  <c r="AL17" i="4"/>
  <c r="AK17" i="4"/>
  <c r="AN14" i="4"/>
  <c r="AM14" i="4"/>
  <c r="AL14" i="4"/>
  <c r="AK14" i="4"/>
  <c r="AN10" i="4"/>
  <c r="AM10" i="4"/>
  <c r="AL10" i="4"/>
  <c r="AK10" i="4"/>
  <c r="AY7" i="20"/>
  <c r="BC45" i="8"/>
  <c r="AX14" i="20"/>
  <c r="AY14" i="20" s="1"/>
  <c r="BC69" i="6"/>
  <c r="AW21" i="19"/>
  <c r="AW8" i="19"/>
  <c r="AX21" i="19"/>
  <c r="AX16" i="9"/>
  <c r="AX13" i="9"/>
  <c r="AX12" i="9"/>
  <c r="BC51" i="8"/>
  <c r="BC50" i="8"/>
  <c r="BC49" i="8"/>
  <c r="BC47" i="8"/>
  <c r="BC44" i="8"/>
  <c r="BC43" i="8"/>
  <c r="BC41" i="8"/>
  <c r="BC40" i="8"/>
  <c r="BC39" i="8"/>
  <c r="BC37" i="8"/>
  <c r="BC36" i="8"/>
  <c r="BC35" i="8"/>
  <c r="BC34" i="8"/>
  <c r="BC30" i="8"/>
  <c r="BC29" i="8"/>
  <c r="BC28" i="8"/>
  <c r="BC25" i="8"/>
  <c r="BC24" i="8"/>
  <c r="AW16" i="9" s="1"/>
  <c r="BC21" i="8"/>
  <c r="BC20" i="8"/>
  <c r="BC18" i="8"/>
  <c r="BC17" i="8"/>
  <c r="BC12" i="8"/>
  <c r="BC11" i="8"/>
  <c r="BC10" i="8"/>
  <c r="BC9" i="8"/>
  <c r="BD46" i="8"/>
  <c r="BD42" i="8"/>
  <c r="BD38" i="8"/>
  <c r="BC38" i="8" s="1"/>
  <c r="BD33" i="8"/>
  <c r="BD27" i="8"/>
  <c r="BD8" i="8"/>
  <c r="BC99" i="6"/>
  <c r="BC98" i="6"/>
  <c r="BC96" i="6"/>
  <c r="BC95" i="6"/>
  <c r="BC92" i="6"/>
  <c r="BC91" i="6"/>
  <c r="BC88" i="6"/>
  <c r="BC87" i="6"/>
  <c r="BC86" i="6"/>
  <c r="BC84" i="6"/>
  <c r="BC83" i="6"/>
  <c r="BC82" i="6"/>
  <c r="BC81" i="6"/>
  <c r="BC80" i="6"/>
  <c r="BC75" i="6"/>
  <c r="AW13" i="9" s="1"/>
  <c r="BC74" i="6"/>
  <c r="AW12" i="9" s="1"/>
  <c r="BC72" i="6"/>
  <c r="BC71" i="6"/>
  <c r="BC70" i="6"/>
  <c r="BC68" i="6"/>
  <c r="BC67" i="6"/>
  <c r="BC66" i="6"/>
  <c r="BC65" i="6"/>
  <c r="BC64" i="6"/>
  <c r="BC63" i="6"/>
  <c r="BC62" i="6"/>
  <c r="BC61" i="6"/>
  <c r="BC60" i="6"/>
  <c r="BC57" i="6"/>
  <c r="BC55" i="6"/>
  <c r="BC54" i="6"/>
  <c r="BC53" i="6"/>
  <c r="BC52" i="6"/>
  <c r="BC51" i="6"/>
  <c r="BC47" i="6"/>
  <c r="BC45" i="6"/>
  <c r="BC44" i="6"/>
  <c r="BC43" i="6"/>
  <c r="BC42" i="6"/>
  <c r="BC41" i="6"/>
  <c r="BC39" i="6"/>
  <c r="BC37" i="6"/>
  <c r="BC36" i="6"/>
  <c r="BC35" i="6"/>
  <c r="BC34" i="6"/>
  <c r="BC33" i="6"/>
  <c r="BD94" i="6"/>
  <c r="BD85" i="6"/>
  <c r="BD79" i="6"/>
  <c r="BD50" i="6"/>
  <c r="AX10" i="9" s="1"/>
  <c r="BD40" i="6"/>
  <c r="AX20" i="9" s="1"/>
  <c r="BD32" i="6"/>
  <c r="AJ86" i="4"/>
  <c r="AJ82" i="4"/>
  <c r="AJ76" i="4"/>
  <c r="AJ68" i="4"/>
  <c r="AJ65" i="4" s="1"/>
  <c r="AJ60" i="4"/>
  <c r="AJ49" i="4"/>
  <c r="AJ42" i="4"/>
  <c r="AJ23" i="4"/>
  <c r="AJ20" i="4"/>
  <c r="AJ17" i="4"/>
  <c r="AJ14" i="4"/>
  <c r="AJ10" i="4"/>
  <c r="AU8" i="19"/>
  <c r="AV12" i="19"/>
  <c r="AX12" i="19" s="1"/>
  <c r="AV11" i="19"/>
  <c r="AX11" i="19" s="1"/>
  <c r="AV10" i="19"/>
  <c r="AX10" i="19"/>
  <c r="AX8" i="19" s="1"/>
  <c r="AV9" i="19"/>
  <c r="AX9" i="19" s="1"/>
  <c r="AV21" i="19"/>
  <c r="AV14" i="20"/>
  <c r="AW14" i="20" s="1"/>
  <c r="AX13" i="20" s="1"/>
  <c r="AV10" i="20"/>
  <c r="AV9" i="20"/>
  <c r="AV8" i="20"/>
  <c r="AV11" i="20"/>
  <c r="BA34" i="8"/>
  <c r="BA18" i="8"/>
  <c r="BA51" i="8"/>
  <c r="BA50" i="8"/>
  <c r="BA49" i="8"/>
  <c r="BA47" i="8"/>
  <c r="BA45" i="8"/>
  <c r="BA44" i="8"/>
  <c r="BA43" i="8"/>
  <c r="BA41" i="8"/>
  <c r="BA40" i="8"/>
  <c r="BA39" i="8"/>
  <c r="BA37" i="8"/>
  <c r="BA36" i="8"/>
  <c r="BA35" i="8"/>
  <c r="BA30" i="8"/>
  <c r="BA29" i="8"/>
  <c r="BA28" i="8"/>
  <c r="BA25" i="8"/>
  <c r="BA24" i="8"/>
  <c r="AU16" i="9" s="1"/>
  <c r="BA21" i="8"/>
  <c r="BA20" i="8"/>
  <c r="BA17" i="8"/>
  <c r="BA16" i="8"/>
  <c r="BA12" i="8"/>
  <c r="BA11" i="8"/>
  <c r="BA10" i="8"/>
  <c r="BA9" i="8"/>
  <c r="BA99" i="6"/>
  <c r="BA98" i="6"/>
  <c r="BA96" i="6"/>
  <c r="BA95" i="6"/>
  <c r="BA92" i="6"/>
  <c r="BA91" i="6"/>
  <c r="BA88" i="6"/>
  <c r="BA87" i="6"/>
  <c r="BA86" i="6"/>
  <c r="BA84" i="6"/>
  <c r="BA83" i="6"/>
  <c r="BA82" i="6"/>
  <c r="BA81" i="6"/>
  <c r="BA80" i="6"/>
  <c r="BA75" i="6"/>
  <c r="AU13" i="9" s="1"/>
  <c r="BA74" i="6"/>
  <c r="AU12" i="9" s="1"/>
  <c r="BA73" i="6"/>
  <c r="BA72" i="6"/>
  <c r="BA71" i="6"/>
  <c r="BA70" i="6"/>
  <c r="BA69" i="6"/>
  <c r="BA68" i="6"/>
  <c r="BA67" i="6"/>
  <c r="BA66" i="6"/>
  <c r="BA65" i="6"/>
  <c r="BA64" i="6"/>
  <c r="BA63" i="6"/>
  <c r="BA62" i="6"/>
  <c r="BA61" i="6"/>
  <c r="BA60" i="6"/>
  <c r="BA57" i="6"/>
  <c r="BA55" i="6"/>
  <c r="BA54" i="6"/>
  <c r="BA53" i="6"/>
  <c r="BA52" i="6"/>
  <c r="BA51" i="6"/>
  <c r="BA47" i="6"/>
  <c r="BA45" i="6"/>
  <c r="BA44" i="6"/>
  <c r="BA43" i="6"/>
  <c r="BA42" i="6"/>
  <c r="BA41" i="6"/>
  <c r="BA39" i="6"/>
  <c r="BA37" i="6"/>
  <c r="BA36" i="6"/>
  <c r="BA35" i="6"/>
  <c r="BA34" i="6"/>
  <c r="BA33" i="6"/>
  <c r="AI60" i="4"/>
  <c r="AI79" i="4"/>
  <c r="BB33" i="8"/>
  <c r="BB8" i="8"/>
  <c r="BB46" i="8"/>
  <c r="BB42" i="8"/>
  <c r="BC42" i="8" s="1"/>
  <c r="BB27" i="8"/>
  <c r="BB23" i="8"/>
  <c r="AV13" i="9"/>
  <c r="AV12" i="9"/>
  <c r="AI68" i="4"/>
  <c r="AI65" i="4" s="1"/>
  <c r="AI32" i="4"/>
  <c r="AI31" i="4" s="1"/>
  <c r="AI30" i="4" s="1"/>
  <c r="AI49" i="4"/>
  <c r="AI42" i="4"/>
  <c r="AI23" i="4"/>
  <c r="AU21" i="19"/>
  <c r="AI86" i="4"/>
  <c r="AI82" i="4"/>
  <c r="AI76" i="4"/>
  <c r="AI20" i="4"/>
  <c r="AI17" i="4"/>
  <c r="AI14" i="4"/>
  <c r="AS11" i="19"/>
  <c r="AS10" i="19"/>
  <c r="AS9" i="19"/>
  <c r="AY51" i="8"/>
  <c r="AY37" i="8"/>
  <c r="AY28" i="8"/>
  <c r="AY25" i="8"/>
  <c r="AY73" i="6"/>
  <c r="AY72" i="6"/>
  <c r="AT12" i="20"/>
  <c r="AT10" i="20"/>
  <c r="AT9" i="20"/>
  <c r="AT8" i="20"/>
  <c r="AT14" i="20"/>
  <c r="AY50" i="8"/>
  <c r="AY49" i="8"/>
  <c r="AY47" i="8"/>
  <c r="AY45" i="8"/>
  <c r="AY44" i="8"/>
  <c r="AY43" i="8"/>
  <c r="AY41" i="8"/>
  <c r="AY40" i="8"/>
  <c r="AY39" i="8"/>
  <c r="AY36" i="8"/>
  <c r="AY35" i="8"/>
  <c r="AY34" i="8"/>
  <c r="AY30" i="8"/>
  <c r="AY29" i="8"/>
  <c r="AY24" i="8"/>
  <c r="AY21" i="8"/>
  <c r="AY20" i="8"/>
  <c r="AY18" i="8"/>
  <c r="AY16" i="8"/>
  <c r="AY12" i="8"/>
  <c r="AY11" i="8"/>
  <c r="AY10" i="8"/>
  <c r="AY9" i="8"/>
  <c r="AY99" i="6"/>
  <c r="AY98" i="6"/>
  <c r="AY96" i="6"/>
  <c r="AY95" i="6"/>
  <c r="AY92" i="6"/>
  <c r="AY91" i="6"/>
  <c r="AY88" i="6"/>
  <c r="AY87" i="6"/>
  <c r="AY86" i="6"/>
  <c r="AY84" i="6"/>
  <c r="AY83" i="6"/>
  <c r="AY82" i="6"/>
  <c r="AY81" i="6"/>
  <c r="AY80" i="6"/>
  <c r="AY75" i="6"/>
  <c r="AS13" i="9" s="1"/>
  <c r="AY71" i="6"/>
  <c r="AY70" i="6"/>
  <c r="AY68" i="6"/>
  <c r="AY67" i="6"/>
  <c r="AY66" i="6"/>
  <c r="AY64" i="6"/>
  <c r="AY63" i="6"/>
  <c r="AY62" i="6"/>
  <c r="AY61" i="6"/>
  <c r="AY60" i="6"/>
  <c r="AY57" i="6"/>
  <c r="AY55" i="6"/>
  <c r="AY54" i="6"/>
  <c r="AY53" i="6"/>
  <c r="AY52" i="6"/>
  <c r="AY51" i="6"/>
  <c r="AY47" i="6"/>
  <c r="AY45" i="6"/>
  <c r="AY44" i="6"/>
  <c r="AY43" i="6"/>
  <c r="AY42" i="6"/>
  <c r="AY41" i="6"/>
  <c r="AY39" i="6"/>
  <c r="AY37" i="6"/>
  <c r="AY36" i="6"/>
  <c r="AY35" i="6"/>
  <c r="AY34" i="6"/>
  <c r="AY33" i="6"/>
  <c r="AR21" i="19"/>
  <c r="AR8" i="19"/>
  <c r="AS7" i="20"/>
  <c r="AX46" i="8"/>
  <c r="AX42" i="8"/>
  <c r="AX38" i="8"/>
  <c r="AX33" i="8"/>
  <c r="AX27" i="8"/>
  <c r="AY27" i="8" s="1"/>
  <c r="AX23" i="8"/>
  <c r="AX19" i="8"/>
  <c r="AX15" i="8" s="1"/>
  <c r="AX8" i="8"/>
  <c r="AX94" i="6"/>
  <c r="AX85" i="6"/>
  <c r="AX79" i="6"/>
  <c r="AX59" i="6"/>
  <c r="AX50" i="6"/>
  <c r="AR10" i="9" s="1"/>
  <c r="AX40" i="6"/>
  <c r="AR20" i="9" s="1"/>
  <c r="AX32" i="6"/>
  <c r="AG86" i="4"/>
  <c r="AG82" i="4"/>
  <c r="AG76" i="4"/>
  <c r="AG42" i="4"/>
  <c r="AG17" i="4"/>
  <c r="AG14" i="4"/>
  <c r="AG10" i="4"/>
  <c r="AT21" i="19"/>
  <c r="AS21" i="19"/>
  <c r="AU7" i="20"/>
  <c r="AZ46" i="8"/>
  <c r="AZ42" i="8"/>
  <c r="AZ38" i="8"/>
  <c r="AY38" i="8" s="1"/>
  <c r="AZ33" i="8"/>
  <c r="AZ32" i="8" s="1"/>
  <c r="AZ27" i="8"/>
  <c r="AZ23" i="8"/>
  <c r="AY23" i="8" s="1"/>
  <c r="AZ19" i="8"/>
  <c r="AZ15" i="8" s="1"/>
  <c r="AZ22" i="8" s="1"/>
  <c r="AZ8" i="8"/>
  <c r="AZ94" i="6"/>
  <c r="AZ85" i="6"/>
  <c r="AZ79" i="6"/>
  <c r="AZ59" i="6"/>
  <c r="AZ50" i="6"/>
  <c r="AT10" i="9" s="1"/>
  <c r="AZ40" i="6"/>
  <c r="AT20" i="9" s="1"/>
  <c r="AZ32" i="6"/>
  <c r="AH86" i="4"/>
  <c r="AH76" i="4"/>
  <c r="AH17" i="4"/>
  <c r="AH14" i="4"/>
  <c r="AH10" i="4"/>
  <c r="AR16" i="9"/>
  <c r="AR12" i="9"/>
  <c r="AR13" i="9"/>
  <c r="AM21" i="19"/>
  <c r="AM12" i="19"/>
  <c r="AO12" i="19" s="1"/>
  <c r="AM11" i="19"/>
  <c r="AO11" i="19" s="1"/>
  <c r="AQ11" i="19" s="1"/>
  <c r="AM10" i="19"/>
  <c r="AO10" i="19"/>
  <c r="AQ10" i="19" s="1"/>
  <c r="AM9" i="19"/>
  <c r="AO9" i="19" s="1"/>
  <c r="AQ9" i="19" s="1"/>
  <c r="AO21" i="19"/>
  <c r="AQ21" i="19"/>
  <c r="AW18" i="8"/>
  <c r="AW47" i="8"/>
  <c r="AW44" i="8"/>
  <c r="AW43" i="8"/>
  <c r="AW42" i="8" s="1"/>
  <c r="AW17" i="8"/>
  <c r="AW16" i="8"/>
  <c r="AW12" i="8"/>
  <c r="AW11" i="8"/>
  <c r="AW10" i="8"/>
  <c r="AW9" i="8"/>
  <c r="AW50" i="8"/>
  <c r="AW49" i="8"/>
  <c r="AW46" i="8" s="1"/>
  <c r="AW41" i="8"/>
  <c r="AW38" i="8" s="1"/>
  <c r="AW40" i="8"/>
  <c r="AW39" i="8"/>
  <c r="AW37" i="8"/>
  <c r="AW36" i="8"/>
  <c r="AW35" i="8"/>
  <c r="AW34" i="8"/>
  <c r="AW30" i="8"/>
  <c r="AW29" i="8"/>
  <c r="AW28" i="8"/>
  <c r="AW25" i="8"/>
  <c r="AW24" i="8"/>
  <c r="AW23" i="8" s="1"/>
  <c r="AW21" i="8"/>
  <c r="AW20" i="8"/>
  <c r="AQ7" i="20"/>
  <c r="AQ12" i="20" s="1"/>
  <c r="AW99" i="6"/>
  <c r="AW98" i="6"/>
  <c r="AW96" i="6"/>
  <c r="AW95" i="6"/>
  <c r="AW92" i="6"/>
  <c r="AW91" i="6"/>
  <c r="AW88" i="6"/>
  <c r="AW87" i="6"/>
  <c r="AW86" i="6"/>
  <c r="AW84" i="6"/>
  <c r="AW83" i="6"/>
  <c r="AW82" i="6"/>
  <c r="AW81" i="6"/>
  <c r="AW80" i="6"/>
  <c r="AW75" i="6"/>
  <c r="AQ13" i="9" s="1"/>
  <c r="AW74" i="6"/>
  <c r="AQ12" i="9" s="1"/>
  <c r="AW68" i="6"/>
  <c r="AW67" i="6"/>
  <c r="AW66" i="6"/>
  <c r="AW65" i="6"/>
  <c r="AW64" i="6"/>
  <c r="AW63" i="6"/>
  <c r="AW62" i="6"/>
  <c r="AW61" i="6"/>
  <c r="AW60" i="6"/>
  <c r="AW57" i="6"/>
  <c r="AW55" i="6"/>
  <c r="AW54" i="6"/>
  <c r="AW53" i="6"/>
  <c r="AW52" i="6"/>
  <c r="AW51" i="6"/>
  <c r="AW47" i="6"/>
  <c r="AW45" i="6"/>
  <c r="AW44" i="6"/>
  <c r="AW43" i="6"/>
  <c r="AW42" i="6"/>
  <c r="AW41" i="6"/>
  <c r="AW39" i="6"/>
  <c r="AW37" i="6"/>
  <c r="AW36" i="6"/>
  <c r="AW35" i="6"/>
  <c r="AW34" i="6"/>
  <c r="AW33" i="6"/>
  <c r="AP16" i="9"/>
  <c r="AP13" i="9"/>
  <c r="AP12" i="9"/>
  <c r="AW73" i="6"/>
  <c r="AW72" i="6"/>
  <c r="AW69" i="6"/>
  <c r="AQ14" i="20"/>
  <c r="AR14" i="20" s="1"/>
  <c r="AS13" i="20" s="1"/>
  <c r="AU13" i="20" s="1"/>
  <c r="AW13" i="20" s="1"/>
  <c r="AY13" i="20" s="1"/>
  <c r="AW45" i="8"/>
  <c r="AV33" i="8"/>
  <c r="AV23" i="8"/>
  <c r="AV79" i="6"/>
  <c r="AV9" i="6"/>
  <c r="AV94" i="6"/>
  <c r="AW71" i="6"/>
  <c r="AW70" i="6"/>
  <c r="AV59" i="6"/>
  <c r="AP11" i="9" s="1"/>
  <c r="AV40" i="6"/>
  <c r="AF68" i="4"/>
  <c r="AF65" i="4" s="1"/>
  <c r="AF32" i="4"/>
  <c r="AF31" i="4" s="1"/>
  <c r="AF30" i="4" s="1"/>
  <c r="AF82" i="4"/>
  <c r="AF49" i="4"/>
  <c r="AF20" i="4"/>
  <c r="AP21" i="19"/>
  <c r="AV46" i="8"/>
  <c r="AV38" i="8"/>
  <c r="AV27" i="8"/>
  <c r="AV19" i="8"/>
  <c r="AV15" i="8" s="1"/>
  <c r="AV8" i="8"/>
  <c r="AV85" i="6"/>
  <c r="AV50" i="6"/>
  <c r="AP10" i="9" s="1"/>
  <c r="AV32" i="6"/>
  <c r="AF86" i="4"/>
  <c r="AF76" i="4"/>
  <c r="AF42" i="4"/>
  <c r="AF23" i="4"/>
  <c r="AF17" i="4"/>
  <c r="AF14" i="4"/>
  <c r="AF13" i="4" s="1"/>
  <c r="AF10" i="4"/>
  <c r="AN16" i="9"/>
  <c r="AM16" i="9"/>
  <c r="AL16" i="9"/>
  <c r="AU94" i="6"/>
  <c r="AU85" i="6"/>
  <c r="AU79" i="6"/>
  <c r="AU59" i="6"/>
  <c r="AU58" i="6" s="1"/>
  <c r="AU50" i="6"/>
  <c r="AO10" i="9" s="1"/>
  <c r="AU32" i="6"/>
  <c r="AS94" i="6"/>
  <c r="AS85" i="6"/>
  <c r="AS79" i="6"/>
  <c r="AS59" i="6"/>
  <c r="AS52" i="6"/>
  <c r="AS50" i="6" s="1"/>
  <c r="AM10" i="9" s="1"/>
  <c r="AS40" i="6"/>
  <c r="AM20" i="9" s="1"/>
  <c r="AS32" i="6"/>
  <c r="AM19" i="9"/>
  <c r="AT46" i="8"/>
  <c r="AT42" i="8"/>
  <c r="AT38" i="8"/>
  <c r="AT32" i="8" s="1"/>
  <c r="AT33" i="8"/>
  <c r="AT27" i="8"/>
  <c r="AT23" i="8"/>
  <c r="AT15" i="8"/>
  <c r="AT8" i="8"/>
  <c r="AU40" i="6"/>
  <c r="AR15" i="8"/>
  <c r="AR8" i="8"/>
  <c r="AR22" i="8" s="1"/>
  <c r="AR26" i="8" s="1"/>
  <c r="AR46" i="8"/>
  <c r="AR42" i="8"/>
  <c r="AR38" i="8"/>
  <c r="AR33" i="8"/>
  <c r="AR27" i="8"/>
  <c r="AR23" i="8"/>
  <c r="AN21" i="19"/>
  <c r="AN8" i="19"/>
  <c r="AM14" i="20"/>
  <c r="AN14" i="20" s="1"/>
  <c r="AO13" i="20" s="1"/>
  <c r="AO7" i="20"/>
  <c r="AO12" i="20" s="1"/>
  <c r="AN11" i="20"/>
  <c r="AP11" i="20" s="1"/>
  <c r="AR11" i="20" s="1"/>
  <c r="AN10" i="20"/>
  <c r="AP10" i="20" s="1"/>
  <c r="AR10" i="20" s="1"/>
  <c r="AN9" i="20"/>
  <c r="AP9" i="20" s="1"/>
  <c r="AR9" i="20" s="1"/>
  <c r="AN8" i="20"/>
  <c r="AN7" i="20" s="1"/>
  <c r="AM13" i="9"/>
  <c r="AM12" i="9"/>
  <c r="AU46" i="8"/>
  <c r="AU42" i="8"/>
  <c r="AU32" i="8" s="1"/>
  <c r="AU33" i="8"/>
  <c r="AO16" i="9"/>
  <c r="AU8" i="8"/>
  <c r="AU38" i="8"/>
  <c r="AU27" i="8"/>
  <c r="AN13" i="9"/>
  <c r="AN12" i="9"/>
  <c r="AT94" i="6"/>
  <c r="AT85" i="6"/>
  <c r="AT79" i="6"/>
  <c r="AT59" i="6"/>
  <c r="AN11" i="9" s="1"/>
  <c r="AT50" i="6"/>
  <c r="AN10" i="9" s="1"/>
  <c r="AT40" i="6"/>
  <c r="AN20" i="9" s="1"/>
  <c r="AT32" i="6"/>
  <c r="AE86" i="4"/>
  <c r="AE82" i="4"/>
  <c r="AE76" i="4"/>
  <c r="AE68" i="4"/>
  <c r="AE65" i="4" s="1"/>
  <c r="AE49" i="4"/>
  <c r="AE42" i="4"/>
  <c r="AE32" i="4"/>
  <c r="AE31" i="4" s="1"/>
  <c r="AE30" i="4" s="1"/>
  <c r="AE23" i="4"/>
  <c r="AE20" i="4"/>
  <c r="AE17" i="4"/>
  <c r="AE14" i="4"/>
  <c r="AS19" i="8"/>
  <c r="AS15" i="8" s="1"/>
  <c r="AR59" i="6"/>
  <c r="AL11" i="9" s="1"/>
  <c r="AL21" i="19"/>
  <c r="AM7" i="20"/>
  <c r="AM12" i="20" s="1"/>
  <c r="AL13" i="9"/>
  <c r="AL12" i="9"/>
  <c r="AS46" i="8"/>
  <c r="AS42" i="8"/>
  <c r="AS38" i="8"/>
  <c r="AS33" i="8"/>
  <c r="AS32" i="8" s="1"/>
  <c r="AS27" i="8"/>
  <c r="AS23" i="8"/>
  <c r="AS8" i="8"/>
  <c r="AR94" i="6"/>
  <c r="AR85" i="6"/>
  <c r="AR79" i="6"/>
  <c r="AR50" i="6"/>
  <c r="AL10" i="9" s="1"/>
  <c r="AR40" i="6"/>
  <c r="AR32" i="6"/>
  <c r="AR9" i="6"/>
  <c r="AD86" i="4"/>
  <c r="AD82" i="4"/>
  <c r="AD76" i="4"/>
  <c r="AD68" i="4"/>
  <c r="AD65" i="4" s="1"/>
  <c r="AD49" i="4"/>
  <c r="AD42" i="4"/>
  <c r="AD41" i="4" s="1"/>
  <c r="AD32" i="4"/>
  <c r="AD31" i="4" s="1"/>
  <c r="AD30" i="4" s="1"/>
  <c r="AD23" i="4"/>
  <c r="AD20" i="4"/>
  <c r="AD17" i="4"/>
  <c r="AD14" i="4"/>
  <c r="AD10" i="4"/>
  <c r="AK21" i="19"/>
  <c r="AK8" i="19"/>
  <c r="AL14" i="20"/>
  <c r="AM13" i="20" s="1"/>
  <c r="AL7" i="20"/>
  <c r="AL12" i="20" s="1"/>
  <c r="AK16" i="9"/>
  <c r="AK13" i="9"/>
  <c r="AK12" i="9"/>
  <c r="AQ19" i="8"/>
  <c r="AQ15" i="8" s="1"/>
  <c r="AQ10" i="8"/>
  <c r="AQ8" i="8" s="1"/>
  <c r="AQ46" i="8"/>
  <c r="AQ42" i="8"/>
  <c r="AQ38" i="8"/>
  <c r="AQ27" i="8"/>
  <c r="AQ59" i="6"/>
  <c r="AQ58" i="6" s="1"/>
  <c r="AQ94" i="6"/>
  <c r="AQ85" i="6"/>
  <c r="AQ79" i="6"/>
  <c r="AQ50" i="6"/>
  <c r="AK10" i="9" s="1"/>
  <c r="AQ40" i="6"/>
  <c r="AK20" i="9" s="1"/>
  <c r="AQ32" i="6"/>
  <c r="AQ9" i="6"/>
  <c r="AC86" i="4"/>
  <c r="AC82" i="4"/>
  <c r="AC76" i="4"/>
  <c r="AC68" i="4"/>
  <c r="AC65" i="4" s="1"/>
  <c r="AC49" i="4"/>
  <c r="AC42" i="4"/>
  <c r="AC32" i="4"/>
  <c r="AC31" i="4" s="1"/>
  <c r="AC30" i="4" s="1"/>
  <c r="AC23" i="4"/>
  <c r="AC20" i="4"/>
  <c r="AC17" i="4"/>
  <c r="AC14" i="4"/>
  <c r="AC10" i="4"/>
  <c r="AJ21" i="19"/>
  <c r="AI21" i="19"/>
  <c r="AI8" i="19"/>
  <c r="AJ14" i="20"/>
  <c r="AK14" i="20" s="1"/>
  <c r="AL13" i="20" s="1"/>
  <c r="AN13" i="20" s="1"/>
  <c r="AP13" i="20" s="1"/>
  <c r="AR13" i="20" s="1"/>
  <c r="AJ11" i="20"/>
  <c r="AJ10" i="20"/>
  <c r="AJ9" i="20"/>
  <c r="AJ8" i="20"/>
  <c r="AI12" i="9"/>
  <c r="AO24" i="8"/>
  <c r="AI16" i="9" s="1"/>
  <c r="AO50" i="8"/>
  <c r="AO49" i="8"/>
  <c r="AO44" i="8"/>
  <c r="AO43" i="8"/>
  <c r="AO41" i="8"/>
  <c r="AO40" i="8"/>
  <c r="AO39" i="8"/>
  <c r="AO38" i="8" s="1"/>
  <c r="AO36" i="8"/>
  <c r="AO35" i="8"/>
  <c r="AO34" i="8"/>
  <c r="AO30" i="8"/>
  <c r="AO29" i="8"/>
  <c r="AO21" i="8"/>
  <c r="AO20" i="8"/>
  <c r="AO18" i="8"/>
  <c r="AO17" i="8"/>
  <c r="AO16" i="8"/>
  <c r="AO12" i="8"/>
  <c r="AO11" i="8"/>
  <c r="AO10" i="8"/>
  <c r="AO9" i="8"/>
  <c r="AB37" i="4"/>
  <c r="AB86" i="4"/>
  <c r="AB82" i="4"/>
  <c r="AB76" i="4"/>
  <c r="AB68" i="4"/>
  <c r="AB65" i="4" s="1"/>
  <c r="AB49" i="4"/>
  <c r="AB42" i="4"/>
  <c r="AB32" i="4"/>
  <c r="AB23" i="4"/>
  <c r="AB20" i="4"/>
  <c r="AB17" i="4"/>
  <c r="AB14" i="4"/>
  <c r="AB10" i="4"/>
  <c r="AO99" i="6"/>
  <c r="AO98" i="6"/>
  <c r="AO75" i="6"/>
  <c r="AO96" i="6"/>
  <c r="AO95" i="6"/>
  <c r="AO92" i="6"/>
  <c r="AO91" i="6"/>
  <c r="AO88" i="6"/>
  <c r="AO87" i="6"/>
  <c r="AO86" i="6"/>
  <c r="AO84" i="6"/>
  <c r="AO83" i="6"/>
  <c r="AO82" i="6"/>
  <c r="AO81" i="6"/>
  <c r="AO80" i="6"/>
  <c r="AO50" i="6"/>
  <c r="AO32" i="6"/>
  <c r="AO59" i="6"/>
  <c r="AI11" i="9" s="1"/>
  <c r="AO40" i="6"/>
  <c r="AI20" i="9" s="1"/>
  <c r="AH73" i="6"/>
  <c r="AH72" i="6"/>
  <c r="AH60" i="6"/>
  <c r="AH74" i="6"/>
  <c r="AH10" i="20"/>
  <c r="AI10" i="20" s="1"/>
  <c r="AH9" i="20"/>
  <c r="AI9" i="20" s="1"/>
  <c r="AK9" i="20" s="1"/>
  <c r="AH8" i="20"/>
  <c r="AI8" i="20" s="1"/>
  <c r="AI11" i="20"/>
  <c r="AH14" i="20"/>
  <c r="AI14" i="20" s="1"/>
  <c r="AJ13" i="20" s="1"/>
  <c r="AM46" i="8"/>
  <c r="AM44" i="8"/>
  <c r="AM43" i="8"/>
  <c r="AM40" i="8"/>
  <c r="AM38" i="8" s="1"/>
  <c r="AM39" i="8"/>
  <c r="AM36" i="8"/>
  <c r="AM35" i="8"/>
  <c r="AM34" i="8"/>
  <c r="AM30" i="8"/>
  <c r="AM29" i="8"/>
  <c r="AM24" i="8"/>
  <c r="AM21" i="8"/>
  <c r="AM20" i="8"/>
  <c r="AM18" i="8"/>
  <c r="AM17" i="8"/>
  <c r="AM16" i="8"/>
  <c r="AM12" i="8"/>
  <c r="AM11" i="8"/>
  <c r="AM10" i="8"/>
  <c r="AM9" i="8"/>
  <c r="AM40" i="6"/>
  <c r="AG20" i="9" s="1"/>
  <c r="AA47" i="4"/>
  <c r="AA42" i="4" s="1"/>
  <c r="AA23" i="4"/>
  <c r="AA86" i="4"/>
  <c r="AA82" i="4"/>
  <c r="AA76" i="4"/>
  <c r="AA68" i="4"/>
  <c r="AA65" i="4" s="1"/>
  <c r="AA49" i="4"/>
  <c r="AA32" i="4"/>
  <c r="AA31" i="4" s="1"/>
  <c r="AA30" i="4" s="1"/>
  <c r="AA20" i="4"/>
  <c r="AA17" i="4"/>
  <c r="AA14" i="4"/>
  <c r="AA10" i="4"/>
  <c r="Y78" i="6"/>
  <c r="AG75" i="6"/>
  <c r="AA13" i="9" s="1"/>
  <c r="Z13" i="9" s="1"/>
  <c r="AD74" i="6"/>
  <c r="AC74" i="6"/>
  <c r="AC60" i="6"/>
  <c r="AC59" i="6" s="1"/>
  <c r="AF74" i="6"/>
  <c r="AG40" i="6"/>
  <c r="AA20" i="9" s="1"/>
  <c r="Z20" i="9" s="1"/>
  <c r="AK50" i="8"/>
  <c r="AL50" i="8" s="1"/>
  <c r="AN50" i="8" s="1"/>
  <c r="AK49" i="8"/>
  <c r="AK46" i="8" s="1"/>
  <c r="AK44" i="8"/>
  <c r="AK43" i="8"/>
  <c r="AK40" i="8"/>
  <c r="AK39" i="8"/>
  <c r="AL39" i="8" s="1"/>
  <c r="AN39" i="8" s="1"/>
  <c r="AK36" i="8"/>
  <c r="AK35" i="8"/>
  <c r="AL35" i="8" s="1"/>
  <c r="AN35" i="8" s="1"/>
  <c r="AK34" i="8"/>
  <c r="AK30" i="8"/>
  <c r="AL30" i="8" s="1"/>
  <c r="AK29" i="8"/>
  <c r="AK24" i="8"/>
  <c r="AK21" i="8"/>
  <c r="AL21" i="8" s="1"/>
  <c r="AK20" i="8"/>
  <c r="AL20" i="8" s="1"/>
  <c r="AN20" i="8" s="1"/>
  <c r="AP20" i="8" s="1"/>
  <c r="AK18" i="8"/>
  <c r="AL18" i="8" s="1"/>
  <c r="AN18" i="8" s="1"/>
  <c r="AP18" i="8" s="1"/>
  <c r="AK17" i="8"/>
  <c r="AL17" i="8" s="1"/>
  <c r="AK16" i="8"/>
  <c r="AL16" i="8" s="1"/>
  <c r="AK12" i="8"/>
  <c r="AL12" i="8" s="1"/>
  <c r="AK11" i="8"/>
  <c r="AL11" i="8"/>
  <c r="AN11" i="8" s="1"/>
  <c r="AP11" i="8" s="1"/>
  <c r="AK10" i="8"/>
  <c r="AL10" i="8" s="1"/>
  <c r="AK9" i="8"/>
  <c r="AL9" i="8" s="1"/>
  <c r="AL47" i="8"/>
  <c r="AN47" i="8" s="1"/>
  <c r="AP47" i="8" s="1"/>
  <c r="AL28" i="8"/>
  <c r="AG13" i="9"/>
  <c r="AM99" i="6"/>
  <c r="AM98" i="6"/>
  <c r="AG12" i="9"/>
  <c r="AL96" i="6"/>
  <c r="AN96" i="6" s="1"/>
  <c r="AL95" i="6"/>
  <c r="AN95" i="6" s="1"/>
  <c r="AL92" i="6"/>
  <c r="AN92" i="6" s="1"/>
  <c r="AL91" i="6"/>
  <c r="AN91" i="6" s="1"/>
  <c r="AL88" i="6"/>
  <c r="AN88" i="6" s="1"/>
  <c r="AL87" i="6"/>
  <c r="AN87" i="6" s="1"/>
  <c r="AL86" i="6"/>
  <c r="AN86" i="6" s="1"/>
  <c r="AL84" i="6"/>
  <c r="AN84" i="6" s="1"/>
  <c r="AL83" i="6"/>
  <c r="AL82" i="6"/>
  <c r="AN82" i="6" s="1"/>
  <c r="AL81" i="6"/>
  <c r="AN81" i="6" s="1"/>
  <c r="AL80" i="6"/>
  <c r="AL74" i="6"/>
  <c r="AL73" i="6"/>
  <c r="AN73" i="6" s="1"/>
  <c r="AP73" i="6" s="1"/>
  <c r="AL72" i="6"/>
  <c r="AN72" i="6" s="1"/>
  <c r="AP72" i="6" s="1"/>
  <c r="AL71" i="6"/>
  <c r="AN71" i="6" s="1"/>
  <c r="AP71" i="6" s="1"/>
  <c r="AL70" i="6"/>
  <c r="AN70" i="6" s="1"/>
  <c r="AP70" i="6" s="1"/>
  <c r="AL69" i="6"/>
  <c r="AN69" i="6" s="1"/>
  <c r="AP69" i="6" s="1"/>
  <c r="AL68" i="6"/>
  <c r="AN68" i="6" s="1"/>
  <c r="AP68" i="6" s="1"/>
  <c r="AL67" i="6"/>
  <c r="AN67" i="6" s="1"/>
  <c r="AP67" i="6" s="1"/>
  <c r="AL66" i="6"/>
  <c r="AN66" i="6" s="1"/>
  <c r="AP66" i="6" s="1"/>
  <c r="AL65" i="6"/>
  <c r="AN65" i="6" s="1"/>
  <c r="AP65" i="6" s="1"/>
  <c r="AL64" i="6"/>
  <c r="AN64" i="6" s="1"/>
  <c r="AP64" i="6" s="1"/>
  <c r="AL63" i="6"/>
  <c r="AL62" i="6"/>
  <c r="AN62" i="6" s="1"/>
  <c r="AP62" i="6" s="1"/>
  <c r="AL61" i="6"/>
  <c r="AN61" i="6" s="1"/>
  <c r="AP61" i="6" s="1"/>
  <c r="AL60" i="6"/>
  <c r="AN60" i="6" s="1"/>
  <c r="AP60" i="6" s="1"/>
  <c r="AL57" i="6"/>
  <c r="AN57" i="6" s="1"/>
  <c r="AP57" i="6" s="1"/>
  <c r="AL55" i="6"/>
  <c r="AN55" i="6" s="1"/>
  <c r="AP55" i="6" s="1"/>
  <c r="AL54" i="6"/>
  <c r="AN54" i="6" s="1"/>
  <c r="AP54" i="6" s="1"/>
  <c r="AL53" i="6"/>
  <c r="AN53" i="6" s="1"/>
  <c r="AP53" i="6" s="1"/>
  <c r="AL51" i="6"/>
  <c r="AN51" i="6" s="1"/>
  <c r="AP51" i="6" s="1"/>
  <c r="AL47" i="6"/>
  <c r="AN47" i="6" s="1"/>
  <c r="AP47" i="6" s="1"/>
  <c r="AL45" i="6"/>
  <c r="AN45" i="6" s="1"/>
  <c r="AP45" i="6" s="1"/>
  <c r="AL44" i="6"/>
  <c r="AL43" i="6"/>
  <c r="AN43" i="6" s="1"/>
  <c r="AP43" i="6" s="1"/>
  <c r="AL42" i="6"/>
  <c r="AN42" i="6" s="1"/>
  <c r="AP42" i="6" s="1"/>
  <c r="AL41" i="6"/>
  <c r="AN41" i="6" s="1"/>
  <c r="AP41" i="6" s="1"/>
  <c r="AL39" i="6"/>
  <c r="AN39" i="6" s="1"/>
  <c r="AP39" i="6" s="1"/>
  <c r="AL37" i="6"/>
  <c r="AN37" i="6" s="1"/>
  <c r="AP37" i="6" s="1"/>
  <c r="AL36" i="6"/>
  <c r="AN36" i="6" s="1"/>
  <c r="AP36" i="6" s="1"/>
  <c r="AL35" i="6"/>
  <c r="AN35" i="6" s="1"/>
  <c r="AP35" i="6" s="1"/>
  <c r="AL34" i="6"/>
  <c r="AN34" i="6" s="1"/>
  <c r="AP34" i="6" s="1"/>
  <c r="AL33" i="6"/>
  <c r="AN33" i="6" s="1"/>
  <c r="AP33" i="6" s="1"/>
  <c r="AM59" i="6"/>
  <c r="AH21" i="19"/>
  <c r="AG21" i="19"/>
  <c r="AG8" i="19"/>
  <c r="AA75" i="6"/>
  <c r="AB74" i="6"/>
  <c r="S75" i="6"/>
  <c r="AF12" i="19"/>
  <c r="AH12" i="19" s="1"/>
  <c r="AJ12" i="19" s="1"/>
  <c r="AF11" i="19"/>
  <c r="AH11" i="19" s="1"/>
  <c r="AJ11" i="19" s="1"/>
  <c r="AF10" i="19"/>
  <c r="AH10" i="19" s="1"/>
  <c r="AJ10" i="19" s="1"/>
  <c r="AF9" i="19"/>
  <c r="AH9" i="19" s="1"/>
  <c r="AF21" i="19"/>
  <c r="AE21" i="19"/>
  <c r="AE8" i="19"/>
  <c r="AF10" i="20"/>
  <c r="AF8" i="20"/>
  <c r="AF11" i="20"/>
  <c r="AF9" i="20"/>
  <c r="AG7" i="20"/>
  <c r="AG12" i="20" s="1"/>
  <c r="AA73" i="6"/>
  <c r="AA59" i="6" s="1"/>
  <c r="AA58" i="6" s="1"/>
  <c r="AJ75" i="6"/>
  <c r="AD13" i="9" s="1"/>
  <c r="AE13" i="9"/>
  <c r="AC75" i="6"/>
  <c r="AD75" i="6" s="1"/>
  <c r="V75" i="6"/>
  <c r="X75" i="6" s="1"/>
  <c r="Z75" i="6" s="1"/>
  <c r="AJ59" i="6"/>
  <c r="AD11" i="9" s="1"/>
  <c r="AF59" i="6"/>
  <c r="AD59" i="6"/>
  <c r="W59" i="6"/>
  <c r="W58" i="6" s="1"/>
  <c r="V59" i="6"/>
  <c r="V58" i="6" s="1"/>
  <c r="T59" i="6"/>
  <c r="T58" i="6" s="1"/>
  <c r="R59" i="6"/>
  <c r="R58" i="6" s="1"/>
  <c r="M59" i="6"/>
  <c r="M58" i="6" s="1"/>
  <c r="K59" i="6"/>
  <c r="K58" i="6" s="1"/>
  <c r="I59" i="6"/>
  <c r="I58" i="6" s="1"/>
  <c r="H59" i="6"/>
  <c r="H58" i="6" s="1"/>
  <c r="AE73" i="6"/>
  <c r="AG73" i="6" s="1"/>
  <c r="X73" i="6"/>
  <c r="Z73" i="6" s="1"/>
  <c r="Q73" i="6"/>
  <c r="S73" i="6" s="1"/>
  <c r="U73" i="6" s="1"/>
  <c r="J73" i="6"/>
  <c r="L73" i="6" s="1"/>
  <c r="N73" i="6" s="1"/>
  <c r="AE72" i="6"/>
  <c r="AG72" i="6" s="1"/>
  <c r="X72" i="6"/>
  <c r="Z72" i="6" s="1"/>
  <c r="AB72" i="6" s="1"/>
  <c r="Q72" i="6"/>
  <c r="S72" i="6" s="1"/>
  <c r="U72" i="6" s="1"/>
  <c r="J72" i="6"/>
  <c r="L72" i="6" s="1"/>
  <c r="N72" i="6" s="1"/>
  <c r="AE71" i="6"/>
  <c r="AG71" i="6" s="1"/>
  <c r="AI71" i="6" s="1"/>
  <c r="X71" i="6"/>
  <c r="Z71" i="6" s="1"/>
  <c r="AB71" i="6" s="1"/>
  <c r="Q71" i="6"/>
  <c r="S71" i="6" s="1"/>
  <c r="U71" i="6" s="1"/>
  <c r="J71" i="6"/>
  <c r="L71" i="6" s="1"/>
  <c r="N71" i="6" s="1"/>
  <c r="AE70" i="6"/>
  <c r="AG70" i="6" s="1"/>
  <c r="AI70" i="6" s="1"/>
  <c r="X70" i="6"/>
  <c r="Z70" i="6" s="1"/>
  <c r="AB70" i="6" s="1"/>
  <c r="Q70" i="6"/>
  <c r="S70" i="6" s="1"/>
  <c r="U70" i="6" s="1"/>
  <c r="J70" i="6"/>
  <c r="L70" i="6" s="1"/>
  <c r="N70" i="6" s="1"/>
  <c r="AE69" i="6"/>
  <c r="AG69" i="6" s="1"/>
  <c r="AI69" i="6" s="1"/>
  <c r="X69" i="6"/>
  <c r="Z69" i="6" s="1"/>
  <c r="AB69" i="6" s="1"/>
  <c r="Q69" i="6"/>
  <c r="S69" i="6" s="1"/>
  <c r="U69" i="6" s="1"/>
  <c r="J69" i="6"/>
  <c r="L69" i="6" s="1"/>
  <c r="N69" i="6" s="1"/>
  <c r="AE68" i="6"/>
  <c r="AG68" i="6" s="1"/>
  <c r="AI68" i="6" s="1"/>
  <c r="X68" i="6"/>
  <c r="Z68" i="6" s="1"/>
  <c r="AB68" i="6" s="1"/>
  <c r="Q68" i="6"/>
  <c r="S68" i="6" s="1"/>
  <c r="U68" i="6" s="1"/>
  <c r="J68" i="6"/>
  <c r="AE67" i="6"/>
  <c r="AG67" i="6" s="1"/>
  <c r="AI67" i="6" s="1"/>
  <c r="X67" i="6"/>
  <c r="Z67" i="6" s="1"/>
  <c r="AB67" i="6" s="1"/>
  <c r="Q67" i="6"/>
  <c r="S67" i="6" s="1"/>
  <c r="U67" i="6" s="1"/>
  <c r="J67" i="6"/>
  <c r="L67" i="6" s="1"/>
  <c r="N67" i="6" s="1"/>
  <c r="AE66" i="6"/>
  <c r="AG66" i="6" s="1"/>
  <c r="AI66" i="6" s="1"/>
  <c r="X66" i="6"/>
  <c r="Z66" i="6" s="1"/>
  <c r="AB66" i="6" s="1"/>
  <c r="P66" i="6"/>
  <c r="P59" i="6" s="1"/>
  <c r="P58" i="6" s="1"/>
  <c r="O66" i="6"/>
  <c r="O59" i="6" s="1"/>
  <c r="O58" i="6" s="1"/>
  <c r="J66" i="6"/>
  <c r="L66" i="6" s="1"/>
  <c r="N66" i="6" s="1"/>
  <c r="AE65" i="6"/>
  <c r="AG65" i="6" s="1"/>
  <c r="AI65" i="6" s="1"/>
  <c r="X65" i="6"/>
  <c r="Z65" i="6" s="1"/>
  <c r="AB65" i="6" s="1"/>
  <c r="Q65" i="6"/>
  <c r="S65" i="6" s="1"/>
  <c r="U65" i="6" s="1"/>
  <c r="J65" i="6"/>
  <c r="L65" i="6" s="1"/>
  <c r="N65" i="6" s="1"/>
  <c r="AE64" i="6"/>
  <c r="AG64" i="6" s="1"/>
  <c r="AI64" i="6" s="1"/>
  <c r="X64" i="6"/>
  <c r="Z64" i="6" s="1"/>
  <c r="AB64" i="6" s="1"/>
  <c r="Q64" i="6"/>
  <c r="S64" i="6" s="1"/>
  <c r="U64" i="6" s="1"/>
  <c r="J64" i="6"/>
  <c r="L64" i="6" s="1"/>
  <c r="N64" i="6" s="1"/>
  <c r="AE63" i="6"/>
  <c r="AG63" i="6" s="1"/>
  <c r="AI63" i="6" s="1"/>
  <c r="X63" i="6"/>
  <c r="Q63" i="6"/>
  <c r="S63" i="6" s="1"/>
  <c r="U63" i="6" s="1"/>
  <c r="J63" i="6"/>
  <c r="L63" i="6" s="1"/>
  <c r="N63" i="6" s="1"/>
  <c r="AE62" i="6"/>
  <c r="AG62" i="6" s="1"/>
  <c r="AI62" i="6" s="1"/>
  <c r="X62" i="6"/>
  <c r="Z62" i="6" s="1"/>
  <c r="AB62" i="6" s="1"/>
  <c r="Q62" i="6"/>
  <c r="S62" i="6" s="1"/>
  <c r="U62" i="6" s="1"/>
  <c r="J62" i="6"/>
  <c r="L62" i="6" s="1"/>
  <c r="N62" i="6" s="1"/>
  <c r="AE61" i="6"/>
  <c r="AG61" i="6" s="1"/>
  <c r="AI61" i="6" s="1"/>
  <c r="X61" i="6"/>
  <c r="Z61" i="6" s="1"/>
  <c r="AB61" i="6" s="1"/>
  <c r="Q61" i="6"/>
  <c r="J61" i="6"/>
  <c r="L61" i="6" s="1"/>
  <c r="N61" i="6" s="1"/>
  <c r="AK59" i="6"/>
  <c r="AE11" i="9" s="1"/>
  <c r="Y60" i="6"/>
  <c r="Y59" i="6" s="1"/>
  <c r="Y58" i="6" s="1"/>
  <c r="X60" i="6"/>
  <c r="Q60" i="6"/>
  <c r="S60" i="6" s="1"/>
  <c r="U60" i="6" s="1"/>
  <c r="J60" i="6"/>
  <c r="L60" i="6" s="1"/>
  <c r="AK85" i="6"/>
  <c r="AK79" i="6"/>
  <c r="AE12" i="9"/>
  <c r="AM50" i="6"/>
  <c r="AG10" i="9" s="1"/>
  <c r="AK32" i="6"/>
  <c r="AK9" i="6"/>
  <c r="AJ9" i="6"/>
  <c r="AC9" i="6"/>
  <c r="AC8" i="6" s="1"/>
  <c r="Y9" i="6"/>
  <c r="W9" i="6"/>
  <c r="V9" i="6"/>
  <c r="R9" i="6"/>
  <c r="P9" i="6"/>
  <c r="P8" i="6" s="1"/>
  <c r="O9" i="6"/>
  <c r="O8" i="6" s="1"/>
  <c r="M9" i="6"/>
  <c r="K9" i="6"/>
  <c r="I9" i="6"/>
  <c r="I8" i="6" s="1"/>
  <c r="H9" i="6"/>
  <c r="AK40" i="6"/>
  <c r="AE20" i="9" s="1"/>
  <c r="Z68" i="4"/>
  <c r="Z65" i="4" s="1"/>
  <c r="Y68" i="4"/>
  <c r="Y65" i="4" s="1"/>
  <c r="Z86" i="4"/>
  <c r="Z82" i="4"/>
  <c r="Z76" i="4"/>
  <c r="Z42" i="4"/>
  <c r="Z17" i="4"/>
  <c r="Z14" i="4"/>
  <c r="Z10" i="4"/>
  <c r="J47" i="8"/>
  <c r="K47" i="8" s="1"/>
  <c r="M47" i="8"/>
  <c r="Q47" i="8"/>
  <c r="S47" i="8" s="1"/>
  <c r="X47" i="8"/>
  <c r="Z47" i="8" s="1"/>
  <c r="AB47" i="8" s="1"/>
  <c r="AD47" i="8"/>
  <c r="AF47" i="8"/>
  <c r="AH47" i="8"/>
  <c r="AJ19" i="8"/>
  <c r="AJ15" i="8" s="1"/>
  <c r="AI19" i="8"/>
  <c r="AI15" i="8" s="1"/>
  <c r="AG19" i="8"/>
  <c r="AG15" i="8" s="1"/>
  <c r="AE19" i="8"/>
  <c r="AE15" i="8" s="1"/>
  <c r="AC19" i="8"/>
  <c r="AC15" i="8" s="1"/>
  <c r="AA19" i="8"/>
  <c r="AA15" i="8" s="1"/>
  <c r="Y19" i="8"/>
  <c r="Y15" i="8" s="1"/>
  <c r="W19" i="8"/>
  <c r="W15" i="8" s="1"/>
  <c r="V19" i="8"/>
  <c r="V15" i="8" s="1"/>
  <c r="T19" i="8"/>
  <c r="T15" i="8" s="1"/>
  <c r="R19" i="8"/>
  <c r="R15" i="8"/>
  <c r="P19" i="8"/>
  <c r="P15" i="8" s="1"/>
  <c r="O19" i="8"/>
  <c r="O15" i="8"/>
  <c r="N19" i="8"/>
  <c r="N15" i="8" s="1"/>
  <c r="L19" i="8"/>
  <c r="L15" i="8" s="1"/>
  <c r="I19" i="8"/>
  <c r="I15" i="8" s="1"/>
  <c r="H19" i="8"/>
  <c r="H15" i="8" s="1"/>
  <c r="AJ99" i="6"/>
  <c r="AL99" i="6" s="1"/>
  <c r="AH99" i="6"/>
  <c r="AG99" i="6"/>
  <c r="R83" i="4"/>
  <c r="R82" i="4" s="1"/>
  <c r="Q83" i="4"/>
  <c r="Q82" i="4" s="1"/>
  <c r="O83" i="4"/>
  <c r="O82" i="4" s="1"/>
  <c r="N83" i="4"/>
  <c r="N82" i="4" s="1"/>
  <c r="M83" i="4"/>
  <c r="M82" i="4" s="1"/>
  <c r="L83" i="4"/>
  <c r="L82" i="4" s="1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R10" i="8"/>
  <c r="R8" i="8" s="1"/>
  <c r="R22" i="8" s="1"/>
  <c r="R26" i="8" s="1"/>
  <c r="R31" i="8" s="1"/>
  <c r="S73" i="4"/>
  <c r="S68" i="4" s="1"/>
  <c r="S65" i="4" s="1"/>
  <c r="K75" i="4"/>
  <c r="J73" i="4"/>
  <c r="J68" i="4" s="1"/>
  <c r="J65" i="4" s="1"/>
  <c r="K83" i="4"/>
  <c r="K82" i="4" s="1"/>
  <c r="K77" i="4"/>
  <c r="K76" i="4" s="1"/>
  <c r="K43" i="4"/>
  <c r="K42" i="4" s="1"/>
  <c r="K32" i="4"/>
  <c r="K31" i="4" s="1"/>
  <c r="K30" i="4" s="1"/>
  <c r="J83" i="4"/>
  <c r="J82" i="4" s="1"/>
  <c r="J77" i="4"/>
  <c r="J76" i="4" s="1"/>
  <c r="I83" i="4"/>
  <c r="I82" i="4" s="1"/>
  <c r="K7" i="5"/>
  <c r="K6" i="5"/>
  <c r="J7" i="5"/>
  <c r="J6" i="5"/>
  <c r="I7" i="5"/>
  <c r="I6" i="5"/>
  <c r="H7" i="5"/>
  <c r="H6" i="5"/>
  <c r="O10" i="4"/>
  <c r="N10" i="4"/>
  <c r="M10" i="4"/>
  <c r="L10" i="4"/>
  <c r="K10" i="4"/>
  <c r="J10" i="4"/>
  <c r="I10" i="4"/>
  <c r="W45" i="4"/>
  <c r="W42" i="4" s="1"/>
  <c r="AJ42" i="8"/>
  <c r="AJ38" i="8"/>
  <c r="AJ27" i="8"/>
  <c r="Y27" i="19"/>
  <c r="AA27" i="19"/>
  <c r="AC27" i="19" s="1"/>
  <c r="R27" i="19"/>
  <c r="T27" i="19" s="1"/>
  <c r="V27" i="19" s="1"/>
  <c r="K27" i="19"/>
  <c r="M27" i="19"/>
  <c r="O27" i="19" s="1"/>
  <c r="D27" i="19"/>
  <c r="F27" i="19" s="1"/>
  <c r="H27" i="19" s="1"/>
  <c r="Y26" i="19"/>
  <c r="AA26" i="19" s="1"/>
  <c r="AC26" i="19" s="1"/>
  <c r="R26" i="19"/>
  <c r="T26" i="19"/>
  <c r="V26" i="19" s="1"/>
  <c r="K26" i="19"/>
  <c r="M26" i="19"/>
  <c r="O26" i="19"/>
  <c r="D26" i="19"/>
  <c r="F26" i="19" s="1"/>
  <c r="H26" i="19" s="1"/>
  <c r="Y25" i="19"/>
  <c r="AA25" i="19"/>
  <c r="AC25" i="19" s="1"/>
  <c r="R25" i="19"/>
  <c r="T25" i="19" s="1"/>
  <c r="V25" i="19" s="1"/>
  <c r="K25" i="19"/>
  <c r="M25" i="19" s="1"/>
  <c r="D25" i="19"/>
  <c r="F25" i="19" s="1"/>
  <c r="H25" i="19"/>
  <c r="Y24" i="19"/>
  <c r="AA24" i="19" s="1"/>
  <c r="AC24" i="19" s="1"/>
  <c r="R24" i="19"/>
  <c r="T24" i="19"/>
  <c r="V24" i="19" s="1"/>
  <c r="K24" i="19"/>
  <c r="M24" i="19" s="1"/>
  <c r="O24" i="19" s="1"/>
  <c r="D24" i="19"/>
  <c r="F24" i="19" s="1"/>
  <c r="H24" i="19" s="1"/>
  <c r="Y23" i="19"/>
  <c r="AA23" i="19" s="1"/>
  <c r="R23" i="19"/>
  <c r="T23" i="19" s="1"/>
  <c r="K23" i="19"/>
  <c r="M23" i="19" s="1"/>
  <c r="O23" i="19"/>
  <c r="D23" i="19"/>
  <c r="F23" i="19" s="1"/>
  <c r="Y22" i="19"/>
  <c r="AA22" i="19"/>
  <c r="P22" i="19"/>
  <c r="R22" i="19" s="1"/>
  <c r="R21" i="19" s="1"/>
  <c r="K22" i="19"/>
  <c r="M22" i="19" s="1"/>
  <c r="O22" i="19" s="1"/>
  <c r="D22" i="19"/>
  <c r="F22" i="19" s="1"/>
  <c r="H22" i="19" s="1"/>
  <c r="AD21" i="19"/>
  <c r="AB21" i="19"/>
  <c r="Z21" i="19"/>
  <c r="X21" i="19"/>
  <c r="W21" i="19"/>
  <c r="U21" i="19"/>
  <c r="S21" i="19"/>
  <c r="Q21" i="19"/>
  <c r="N21" i="19"/>
  <c r="L21" i="19"/>
  <c r="J21" i="19"/>
  <c r="I21" i="19"/>
  <c r="G21" i="19"/>
  <c r="E21" i="19"/>
  <c r="C21" i="19"/>
  <c r="B21" i="19"/>
  <c r="AE7" i="20"/>
  <c r="AE12" i="20" s="1"/>
  <c r="AC13" i="20"/>
  <c r="X11" i="4"/>
  <c r="AC14" i="20" s="1"/>
  <c r="W10" i="4"/>
  <c r="AA14" i="20" s="1"/>
  <c r="AB14" i="20" s="1"/>
  <c r="V10" i="4"/>
  <c r="Y14" i="20" s="1"/>
  <c r="Z14" i="20" s="1"/>
  <c r="AA13" i="20" s="1"/>
  <c r="U10" i="4"/>
  <c r="X14" i="20" s="1"/>
  <c r="Y13" i="20" s="1"/>
  <c r="T11" i="4"/>
  <c r="T10" i="4" s="1"/>
  <c r="V14" i="20" s="1"/>
  <c r="W14" i="20" s="1"/>
  <c r="AD12" i="9"/>
  <c r="AJ52" i="6"/>
  <c r="AJ94" i="6"/>
  <c r="AJ79" i="6"/>
  <c r="AJ85" i="6"/>
  <c r="AJ40" i="6"/>
  <c r="AD20" i="9" s="1"/>
  <c r="AJ32" i="6"/>
  <c r="Y82" i="4"/>
  <c r="Y76" i="4"/>
  <c r="Y49" i="4"/>
  <c r="Y42" i="4"/>
  <c r="Y32" i="4"/>
  <c r="Y31" i="4" s="1"/>
  <c r="Y30" i="4" s="1"/>
  <c r="Y17" i="4"/>
  <c r="Y14" i="4"/>
  <c r="AC11" i="20"/>
  <c r="AC10" i="20"/>
  <c r="AC9" i="20"/>
  <c r="AC8" i="20"/>
  <c r="AD7" i="20"/>
  <c r="AD12" i="20" s="1"/>
  <c r="AA7" i="20"/>
  <c r="AA12" i="20" s="1"/>
  <c r="AB7" i="20"/>
  <c r="AB12" i="20" s="1"/>
  <c r="Z11" i="20"/>
  <c r="Z10" i="20"/>
  <c r="Z9" i="20"/>
  <c r="Z8" i="20"/>
  <c r="V13" i="20"/>
  <c r="T14" i="20"/>
  <c r="S14" i="20"/>
  <c r="T13" i="20" s="1"/>
  <c r="S13" i="20"/>
  <c r="W13" i="20" s="1"/>
  <c r="G13" i="20"/>
  <c r="E13" i="20"/>
  <c r="I13" i="20"/>
  <c r="Y7" i="20"/>
  <c r="Y12" i="20" s="1"/>
  <c r="X7" i="20"/>
  <c r="X12" i="20" s="1"/>
  <c r="W7" i="20"/>
  <c r="W12" i="20" s="1"/>
  <c r="V7" i="20"/>
  <c r="V12" i="20" s="1"/>
  <c r="U7" i="20"/>
  <c r="U12" i="20" s="1"/>
  <c r="T7" i="20"/>
  <c r="T12" i="20" s="1"/>
  <c r="S7" i="20"/>
  <c r="S12" i="20" s="1"/>
  <c r="R7" i="20"/>
  <c r="R12" i="20" s="1"/>
  <c r="Q7" i="20"/>
  <c r="Q12" i="20" s="1"/>
  <c r="P7" i="20"/>
  <c r="P12" i="20" s="1"/>
  <c r="O7" i="20"/>
  <c r="O12" i="20" s="1"/>
  <c r="N7" i="20"/>
  <c r="N12" i="20" s="1"/>
  <c r="M7" i="20"/>
  <c r="M12" i="20" s="1"/>
  <c r="L7" i="20"/>
  <c r="L12" i="20" s="1"/>
  <c r="K7" i="20"/>
  <c r="K12" i="20" s="1"/>
  <c r="J7" i="20"/>
  <c r="J12" i="20" s="1"/>
  <c r="I7" i="20"/>
  <c r="I12" i="20" s="1"/>
  <c r="H7" i="20"/>
  <c r="H12" i="20" s="1"/>
  <c r="G7" i="20"/>
  <c r="G12" i="20" s="1"/>
  <c r="F7" i="20"/>
  <c r="F12" i="20" s="1"/>
  <c r="E7" i="20"/>
  <c r="E12" i="20" s="1"/>
  <c r="D7" i="20"/>
  <c r="D12" i="20" s="1"/>
  <c r="C7" i="20"/>
  <c r="C12" i="20" s="1"/>
  <c r="P9" i="19"/>
  <c r="R9" i="19" s="1"/>
  <c r="K12" i="19"/>
  <c r="M12" i="19" s="1"/>
  <c r="O12" i="19" s="1"/>
  <c r="R12" i="19"/>
  <c r="T12" i="19" s="1"/>
  <c r="V12" i="19" s="1"/>
  <c r="Y12" i="19"/>
  <c r="AA12" i="19"/>
  <c r="AC12" i="19"/>
  <c r="K11" i="19"/>
  <c r="M11" i="19" s="1"/>
  <c r="O11" i="19" s="1"/>
  <c r="K10" i="19"/>
  <c r="M10" i="19"/>
  <c r="O10" i="19" s="1"/>
  <c r="R10" i="19"/>
  <c r="T10" i="19" s="1"/>
  <c r="V10" i="19" s="1"/>
  <c r="Y10" i="19"/>
  <c r="AA10" i="19"/>
  <c r="AC10" i="19"/>
  <c r="K9" i="19"/>
  <c r="M9" i="19" s="1"/>
  <c r="R11" i="19"/>
  <c r="T11" i="19"/>
  <c r="D12" i="19"/>
  <c r="F12" i="19" s="1"/>
  <c r="H12" i="19" s="1"/>
  <c r="D11" i="19"/>
  <c r="F11" i="19" s="1"/>
  <c r="H11" i="19" s="1"/>
  <c r="D10" i="19"/>
  <c r="F10" i="19" s="1"/>
  <c r="H10" i="19" s="1"/>
  <c r="D9" i="19"/>
  <c r="F9" i="19"/>
  <c r="AB8" i="19"/>
  <c r="W8" i="19"/>
  <c r="U8" i="19"/>
  <c r="S8" i="19"/>
  <c r="Q8" i="19"/>
  <c r="I8" i="19"/>
  <c r="G8" i="19"/>
  <c r="E8" i="19"/>
  <c r="C8" i="19"/>
  <c r="AC16" i="9"/>
  <c r="AG49" i="8"/>
  <c r="AF49" i="8" s="1"/>
  <c r="AI46" i="8"/>
  <c r="AF50" i="8"/>
  <c r="AH50" i="8"/>
  <c r="AH45" i="8"/>
  <c r="AH44" i="8"/>
  <c r="AH43" i="8"/>
  <c r="AI42" i="8"/>
  <c r="AH41" i="8"/>
  <c r="AH40" i="8"/>
  <c r="AH39" i="8"/>
  <c r="AI38" i="8"/>
  <c r="AH37" i="8"/>
  <c r="AH36" i="8"/>
  <c r="AH35" i="8"/>
  <c r="AH34" i="8"/>
  <c r="AI33" i="8"/>
  <c r="AH30" i="8"/>
  <c r="AH29" i="8"/>
  <c r="AH28" i="8"/>
  <c r="AI27" i="8"/>
  <c r="AH25" i="8"/>
  <c r="AH24" i="8"/>
  <c r="AI23" i="8"/>
  <c r="AH21" i="8"/>
  <c r="AH20" i="8"/>
  <c r="AH18" i="8"/>
  <c r="AH17" i="8"/>
  <c r="AH16" i="8"/>
  <c r="AH12" i="8"/>
  <c r="AH11" i="8"/>
  <c r="AH10" i="8"/>
  <c r="AH9" i="8"/>
  <c r="AI8" i="8"/>
  <c r="AH96" i="6"/>
  <c r="AH95" i="6"/>
  <c r="AH92" i="6"/>
  <c r="AH91" i="6"/>
  <c r="AH88" i="6"/>
  <c r="AH87" i="6"/>
  <c r="AH86" i="6"/>
  <c r="AH84" i="6"/>
  <c r="AH83" i="6"/>
  <c r="AH82" i="6"/>
  <c r="AH81" i="6"/>
  <c r="AH80" i="6"/>
  <c r="AH57" i="6"/>
  <c r="AH55" i="6"/>
  <c r="AH54" i="6"/>
  <c r="AH53" i="6"/>
  <c r="AH52" i="6"/>
  <c r="AH51" i="6"/>
  <c r="AH47" i="6"/>
  <c r="AH45" i="6"/>
  <c r="AH44" i="6"/>
  <c r="AH43" i="6"/>
  <c r="AH42" i="6"/>
  <c r="AH41" i="6"/>
  <c r="AH39" i="6"/>
  <c r="AH37" i="6"/>
  <c r="AH36" i="6"/>
  <c r="AH35" i="6"/>
  <c r="AH34" i="6"/>
  <c r="AH33" i="6"/>
  <c r="X73" i="4"/>
  <c r="X68" i="4" s="1"/>
  <c r="X65" i="4" s="1"/>
  <c r="W73" i="4"/>
  <c r="W68" i="4" s="1"/>
  <c r="W65" i="4" s="1"/>
  <c r="V73" i="4"/>
  <c r="V68" i="4" s="1"/>
  <c r="V65" i="4" s="1"/>
  <c r="U73" i="4"/>
  <c r="U68" i="4" s="1"/>
  <c r="U65" i="4" s="1"/>
  <c r="T73" i="4"/>
  <c r="T68" i="4" s="1"/>
  <c r="T65" i="4" s="1"/>
  <c r="R73" i="4"/>
  <c r="R68" i="4" s="1"/>
  <c r="R65" i="4" s="1"/>
  <c r="Q73" i="4"/>
  <c r="Q68" i="4" s="1"/>
  <c r="Q65" i="4" s="1"/>
  <c r="P73" i="4"/>
  <c r="P68" i="4" s="1"/>
  <c r="P65" i="4" s="1"/>
  <c r="O73" i="4"/>
  <c r="O68" i="4" s="1"/>
  <c r="O65" i="4" s="1"/>
  <c r="N73" i="4"/>
  <c r="N68" i="4" s="1"/>
  <c r="N65" i="4" s="1"/>
  <c r="M73" i="4"/>
  <c r="M68" i="4" s="1"/>
  <c r="M65" i="4" s="1"/>
  <c r="L73" i="4"/>
  <c r="L68" i="4" s="1"/>
  <c r="L65" i="4" s="1"/>
  <c r="K73" i="4"/>
  <c r="K68" i="4" s="1"/>
  <c r="K65" i="4" s="1"/>
  <c r="I73" i="4"/>
  <c r="I68" i="4" s="1"/>
  <c r="I65" i="4" s="1"/>
  <c r="X37" i="4"/>
  <c r="Y11" i="19"/>
  <c r="AA11" i="19" s="1"/>
  <c r="AC11" i="19" s="1"/>
  <c r="X82" i="4"/>
  <c r="X76" i="4"/>
  <c r="X56" i="4"/>
  <c r="X55" i="4" s="1"/>
  <c r="X49" i="4"/>
  <c r="X42" i="4"/>
  <c r="X32" i="4"/>
  <c r="X23" i="4"/>
  <c r="X20" i="4"/>
  <c r="X17" i="4"/>
  <c r="X14" i="4"/>
  <c r="AA16" i="9"/>
  <c r="Z16" i="9" s="1"/>
  <c r="X16" i="9"/>
  <c r="X13" i="9"/>
  <c r="X12" i="9"/>
  <c r="X11" i="9"/>
  <c r="X10" i="9"/>
  <c r="X8" i="9"/>
  <c r="AF45" i="8"/>
  <c r="AF44" i="8"/>
  <c r="AF42" i="8" s="1"/>
  <c r="AD49" i="8"/>
  <c r="AD45" i="8"/>
  <c r="AD44" i="8"/>
  <c r="AD43" i="8"/>
  <c r="AD41" i="8"/>
  <c r="AD40" i="8"/>
  <c r="AD39" i="8"/>
  <c r="AD37" i="8"/>
  <c r="AD36" i="8"/>
  <c r="AD35" i="8"/>
  <c r="AD34" i="8"/>
  <c r="AD30" i="8"/>
  <c r="AD29" i="8"/>
  <c r="AD27" i="8" s="1"/>
  <c r="AD28" i="8"/>
  <c r="AD24" i="8"/>
  <c r="AD21" i="8"/>
  <c r="AD20" i="8"/>
  <c r="AD19" i="8" s="1"/>
  <c r="AD18" i="8"/>
  <c r="AD17" i="8"/>
  <c r="AD16" i="8"/>
  <c r="AD12" i="8"/>
  <c r="AD11" i="8"/>
  <c r="AD10" i="8"/>
  <c r="AD9" i="8"/>
  <c r="AC80" i="6"/>
  <c r="AC79" i="6" s="1"/>
  <c r="AE57" i="6"/>
  <c r="AF55" i="6"/>
  <c r="AF96" i="6"/>
  <c r="AF95" i="6"/>
  <c r="AF92" i="6"/>
  <c r="AF91" i="6"/>
  <c r="AF88" i="6"/>
  <c r="AF87" i="6"/>
  <c r="AF86" i="6"/>
  <c r="AF84" i="6"/>
  <c r="AF83" i="6"/>
  <c r="AF82" i="6"/>
  <c r="AF81" i="6"/>
  <c r="AF80" i="6"/>
  <c r="AF54" i="6"/>
  <c r="AF53" i="6"/>
  <c r="AF52" i="6"/>
  <c r="AF51" i="6"/>
  <c r="AF47" i="6"/>
  <c r="AF45" i="6"/>
  <c r="AF43" i="6"/>
  <c r="AF42" i="6"/>
  <c r="AF41" i="6"/>
  <c r="AF37" i="6"/>
  <c r="AF36" i="6"/>
  <c r="AF35" i="6"/>
  <c r="AF34" i="6"/>
  <c r="AF33" i="6"/>
  <c r="AD96" i="6"/>
  <c r="AD95" i="6"/>
  <c r="AD92" i="6"/>
  <c r="AD91" i="6"/>
  <c r="AD88" i="6"/>
  <c r="AD87" i="6"/>
  <c r="AD86" i="6"/>
  <c r="AD84" i="6"/>
  <c r="AD83" i="6"/>
  <c r="AD82" i="6"/>
  <c r="AD81" i="6"/>
  <c r="AD54" i="6"/>
  <c r="AD53" i="6"/>
  <c r="AD52" i="6"/>
  <c r="AD51" i="6"/>
  <c r="AD47" i="6"/>
  <c r="AD45" i="6"/>
  <c r="AD44" i="6"/>
  <c r="AD43" i="6"/>
  <c r="AD42" i="6"/>
  <c r="AD41" i="6"/>
  <c r="AD39" i="6"/>
  <c r="AD37" i="6"/>
  <c r="AD36" i="6"/>
  <c r="AD35" i="6"/>
  <c r="AD34" i="6"/>
  <c r="AD33" i="6"/>
  <c r="W56" i="4"/>
  <c r="W55" i="4" s="1"/>
  <c r="W32" i="4"/>
  <c r="W31" i="4" s="1"/>
  <c r="W30" i="4" s="1"/>
  <c r="V32" i="4"/>
  <c r="V31" i="4" s="1"/>
  <c r="V30" i="4" s="1"/>
  <c r="W20" i="4"/>
  <c r="AF43" i="8"/>
  <c r="AF41" i="8"/>
  <c r="AF40" i="8"/>
  <c r="AF39" i="8"/>
  <c r="AF37" i="8"/>
  <c r="AF36" i="8"/>
  <c r="AF35" i="8"/>
  <c r="AF34" i="8"/>
  <c r="AF30" i="8"/>
  <c r="AF29" i="8"/>
  <c r="AF28" i="8"/>
  <c r="AF24" i="8"/>
  <c r="AF21" i="8"/>
  <c r="AF20" i="8"/>
  <c r="AF19" i="8" s="1"/>
  <c r="AF18" i="8"/>
  <c r="AF17" i="8"/>
  <c r="AF16" i="8"/>
  <c r="AF12" i="8"/>
  <c r="AF11" i="8"/>
  <c r="AF10" i="8"/>
  <c r="AG38" i="8"/>
  <c r="AG33" i="8"/>
  <c r="AG27" i="8"/>
  <c r="AG23" i="8"/>
  <c r="W82" i="4"/>
  <c r="W76" i="4"/>
  <c r="W49" i="4"/>
  <c r="W23" i="4"/>
  <c r="W17" i="4"/>
  <c r="W14" i="4"/>
  <c r="AE46" i="8"/>
  <c r="AE42" i="8"/>
  <c r="AE38" i="8"/>
  <c r="AE33" i="8"/>
  <c r="AE8" i="8"/>
  <c r="AE27" i="8"/>
  <c r="J32" i="4"/>
  <c r="J31" i="4" s="1"/>
  <c r="J30" i="4" s="1"/>
  <c r="I53" i="4"/>
  <c r="I50" i="4"/>
  <c r="I47" i="4"/>
  <c r="I42" i="4" s="1"/>
  <c r="I32" i="4"/>
  <c r="I31" i="4" s="1"/>
  <c r="I30" i="4" s="1"/>
  <c r="S33" i="4"/>
  <c r="R33" i="4"/>
  <c r="Q33" i="4"/>
  <c r="P33" i="4"/>
  <c r="O33" i="4"/>
  <c r="N33" i="4"/>
  <c r="M33" i="4"/>
  <c r="L33" i="4"/>
  <c r="M85" i="6"/>
  <c r="K85" i="6"/>
  <c r="J92" i="6"/>
  <c r="L92" i="6" s="1"/>
  <c r="N92" i="6" s="1"/>
  <c r="J91" i="6"/>
  <c r="L91" i="6" s="1"/>
  <c r="N91" i="6" s="1"/>
  <c r="J88" i="6"/>
  <c r="L88" i="6" s="1"/>
  <c r="N88" i="6" s="1"/>
  <c r="J87" i="6"/>
  <c r="L87" i="6" s="1"/>
  <c r="N87" i="6" s="1"/>
  <c r="J86" i="6"/>
  <c r="L86" i="6" s="1"/>
  <c r="I85" i="6"/>
  <c r="L31" i="4"/>
  <c r="L30" i="4" s="1"/>
  <c r="H85" i="6"/>
  <c r="H16" i="9"/>
  <c r="H13" i="9"/>
  <c r="H12" i="9"/>
  <c r="H11" i="9"/>
  <c r="H10" i="9"/>
  <c r="H8" i="9"/>
  <c r="H7" i="9"/>
  <c r="M79" i="6"/>
  <c r="M50" i="6"/>
  <c r="M49" i="6" s="1"/>
  <c r="I50" i="6"/>
  <c r="J33" i="6"/>
  <c r="L33" i="6" s="1"/>
  <c r="N33" i="6" s="1"/>
  <c r="J34" i="6"/>
  <c r="L34" i="6" s="1"/>
  <c r="N34" i="6" s="1"/>
  <c r="J35" i="6"/>
  <c r="L35" i="6" s="1"/>
  <c r="N35" i="6" s="1"/>
  <c r="J36" i="6"/>
  <c r="L36" i="6" s="1"/>
  <c r="N36" i="6" s="1"/>
  <c r="J37" i="6"/>
  <c r="L37" i="6" s="1"/>
  <c r="N37" i="6" s="1"/>
  <c r="J39" i="6"/>
  <c r="L39" i="6" s="1"/>
  <c r="N39" i="6" s="1"/>
  <c r="M32" i="6"/>
  <c r="J41" i="6"/>
  <c r="L41" i="6" s="1"/>
  <c r="N41" i="6" s="1"/>
  <c r="J42" i="6"/>
  <c r="L42" i="6" s="1"/>
  <c r="N42" i="6" s="1"/>
  <c r="J43" i="6"/>
  <c r="L43" i="6" s="1"/>
  <c r="N43" i="6" s="1"/>
  <c r="J44" i="6"/>
  <c r="L44" i="6" s="1"/>
  <c r="N44" i="6" s="1"/>
  <c r="J45" i="6"/>
  <c r="L45" i="6" s="1"/>
  <c r="N45" i="6" s="1"/>
  <c r="J47" i="6"/>
  <c r="L47" i="6" s="1"/>
  <c r="N47" i="6" s="1"/>
  <c r="M40" i="6"/>
  <c r="H50" i="6"/>
  <c r="K50" i="6"/>
  <c r="H79" i="6"/>
  <c r="I79" i="6"/>
  <c r="K79" i="6"/>
  <c r="J95" i="6"/>
  <c r="L95" i="6" s="1"/>
  <c r="N95" i="6" s="1"/>
  <c r="J96" i="6"/>
  <c r="L96" i="6" s="1"/>
  <c r="N96" i="6" s="1"/>
  <c r="M94" i="6"/>
  <c r="H32" i="6"/>
  <c r="H40" i="6"/>
  <c r="H94" i="6"/>
  <c r="I32" i="6"/>
  <c r="I40" i="6"/>
  <c r="I94" i="6"/>
  <c r="K56" i="4"/>
  <c r="K55" i="4" s="1"/>
  <c r="I56" i="4"/>
  <c r="I55" i="4" s="1"/>
  <c r="M12" i="8"/>
  <c r="AC46" i="8"/>
  <c r="AC42" i="8"/>
  <c r="AC38" i="8"/>
  <c r="AC33" i="8"/>
  <c r="AC8" i="8"/>
  <c r="AC23" i="8"/>
  <c r="AC27" i="8"/>
  <c r="W9" i="9"/>
  <c r="W15" i="9" s="1"/>
  <c r="W18" i="9" s="1"/>
  <c r="U56" i="4"/>
  <c r="U55" i="4" s="1"/>
  <c r="U32" i="4"/>
  <c r="U31" i="4" s="1"/>
  <c r="U30" i="4" s="1"/>
  <c r="T32" i="4"/>
  <c r="T31" i="4" s="1"/>
  <c r="T30" i="4" s="1"/>
  <c r="U20" i="4"/>
  <c r="U14" i="4"/>
  <c r="U17" i="4"/>
  <c r="U23" i="4"/>
  <c r="U42" i="4"/>
  <c r="U49" i="4"/>
  <c r="U76" i="4"/>
  <c r="U82" i="4"/>
  <c r="V82" i="4"/>
  <c r="V76" i="4"/>
  <c r="V56" i="4"/>
  <c r="V55" i="4" s="1"/>
  <c r="V49" i="4"/>
  <c r="V42" i="4"/>
  <c r="V23" i="4"/>
  <c r="V19" i="4" s="1"/>
  <c r="V17" i="4"/>
  <c r="V14" i="4"/>
  <c r="AC32" i="6"/>
  <c r="AC40" i="6"/>
  <c r="AC85" i="6"/>
  <c r="AC50" i="6"/>
  <c r="AC94" i="6"/>
  <c r="R92" i="6"/>
  <c r="R91" i="6"/>
  <c r="R88" i="6"/>
  <c r="R87" i="6"/>
  <c r="R86" i="6"/>
  <c r="P92" i="6"/>
  <c r="P91" i="6"/>
  <c r="P88" i="6"/>
  <c r="P87" i="6"/>
  <c r="P86" i="6"/>
  <c r="Q85" i="6"/>
  <c r="U85" i="6"/>
  <c r="U79" i="6"/>
  <c r="X92" i="6"/>
  <c r="Z92" i="6" s="1"/>
  <c r="AA92" i="6" s="1"/>
  <c r="X91" i="6"/>
  <c r="Z91" i="6" s="1"/>
  <c r="AA91" i="6" s="1"/>
  <c r="X88" i="6"/>
  <c r="Z88" i="6" s="1"/>
  <c r="AA88" i="6" s="1"/>
  <c r="X87" i="6"/>
  <c r="Z87" i="6" s="1"/>
  <c r="AA87" i="6" s="1"/>
  <c r="X86" i="6"/>
  <c r="Z86" i="6" s="1"/>
  <c r="AA86" i="6" s="1"/>
  <c r="X84" i="6"/>
  <c r="Z84" i="6" s="1"/>
  <c r="AA84" i="6" s="1"/>
  <c r="X83" i="6"/>
  <c r="Z83" i="6" s="1"/>
  <c r="AA83" i="6" s="1"/>
  <c r="X82" i="6"/>
  <c r="Z82" i="6" s="1"/>
  <c r="AA82" i="6" s="1"/>
  <c r="X81" i="6"/>
  <c r="Z81" i="6" s="1"/>
  <c r="AA81" i="6" s="1"/>
  <c r="X80" i="6"/>
  <c r="Z80" i="6" s="1"/>
  <c r="AA80" i="6" s="1"/>
  <c r="AB79" i="6"/>
  <c r="AB78" i="6" s="1"/>
  <c r="W85" i="6"/>
  <c r="W79" i="6"/>
  <c r="V85" i="6"/>
  <c r="V79" i="6"/>
  <c r="W50" i="6"/>
  <c r="Y50" i="6"/>
  <c r="AB50" i="6"/>
  <c r="V50" i="6"/>
  <c r="U50" i="6"/>
  <c r="R50" i="6"/>
  <c r="P50" i="6"/>
  <c r="R79" i="6"/>
  <c r="P79" i="6"/>
  <c r="O85" i="6"/>
  <c r="O79" i="6"/>
  <c r="O50" i="6"/>
  <c r="D16" i="9"/>
  <c r="F16" i="9" s="1"/>
  <c r="D8" i="9"/>
  <c r="F8" i="9" s="1"/>
  <c r="D7" i="9"/>
  <c r="F7" i="9" s="1"/>
  <c r="Q51" i="8"/>
  <c r="S51" i="8" s="1"/>
  <c r="U51" i="8" s="1"/>
  <c r="J51" i="8"/>
  <c r="M49" i="8"/>
  <c r="M46" i="8" s="1"/>
  <c r="M45" i="8"/>
  <c r="M44" i="8"/>
  <c r="M43" i="8"/>
  <c r="M41" i="8"/>
  <c r="M40" i="8"/>
  <c r="M39" i="8"/>
  <c r="M37" i="8"/>
  <c r="M36" i="8"/>
  <c r="M35" i="8"/>
  <c r="M34" i="8"/>
  <c r="M33" i="8" s="1"/>
  <c r="M30" i="8"/>
  <c r="M29" i="8"/>
  <c r="M28" i="8"/>
  <c r="M25" i="8"/>
  <c r="M24" i="8"/>
  <c r="M23" i="8" s="1"/>
  <c r="M21" i="8"/>
  <c r="M20" i="8"/>
  <c r="M18" i="8"/>
  <c r="M17" i="8"/>
  <c r="M16" i="8"/>
  <c r="M11" i="8"/>
  <c r="M10" i="8"/>
  <c r="M9" i="8"/>
  <c r="J49" i="8"/>
  <c r="K49" i="8" s="1"/>
  <c r="J45" i="8"/>
  <c r="K45" i="8" s="1"/>
  <c r="J43" i="8"/>
  <c r="J40" i="8"/>
  <c r="K40" i="8" s="1"/>
  <c r="J39" i="8"/>
  <c r="J24" i="8"/>
  <c r="K24" i="8" s="1"/>
  <c r="J21" i="8"/>
  <c r="J20" i="8"/>
  <c r="J19" i="8" s="1"/>
  <c r="J12" i="8"/>
  <c r="K12" i="8" s="1"/>
  <c r="J44" i="8"/>
  <c r="K44" i="8" s="1"/>
  <c r="J41" i="8"/>
  <c r="K41" i="8" s="1"/>
  <c r="J37" i="8"/>
  <c r="K37" i="8" s="1"/>
  <c r="J36" i="8"/>
  <c r="K36" i="8" s="1"/>
  <c r="J35" i="8"/>
  <c r="J34" i="8"/>
  <c r="K34" i="8" s="1"/>
  <c r="J30" i="8"/>
  <c r="K30" i="8" s="1"/>
  <c r="J29" i="8"/>
  <c r="J28" i="8"/>
  <c r="K28" i="8" s="1"/>
  <c r="J25" i="8"/>
  <c r="K25" i="8" s="1"/>
  <c r="K23" i="8" s="1"/>
  <c r="J18" i="8"/>
  <c r="J17" i="8"/>
  <c r="K17" i="8" s="1"/>
  <c r="J16" i="8"/>
  <c r="J11" i="8"/>
  <c r="J10" i="8"/>
  <c r="J9" i="8"/>
  <c r="X12" i="8"/>
  <c r="Z12" i="8" s="1"/>
  <c r="X11" i="8"/>
  <c r="Z11" i="8" s="1"/>
  <c r="AB11" i="8" s="1"/>
  <c r="X10" i="8"/>
  <c r="Z10" i="8" s="1"/>
  <c r="AB10" i="8" s="1"/>
  <c r="X9" i="8"/>
  <c r="X49" i="8"/>
  <c r="Z49" i="8" s="1"/>
  <c r="X45" i="8"/>
  <c r="Z45" i="8" s="1"/>
  <c r="AB45" i="8" s="1"/>
  <c r="X44" i="8"/>
  <c r="X43" i="8"/>
  <c r="Z43" i="8" s="1"/>
  <c r="AB43" i="8" s="1"/>
  <c r="X41" i="8"/>
  <c r="X38" i="8" s="1"/>
  <c r="X40" i="8"/>
  <c r="Z40" i="8" s="1"/>
  <c r="AB40" i="8" s="1"/>
  <c r="X39" i="8"/>
  <c r="X37" i="8"/>
  <c r="Z37" i="8" s="1"/>
  <c r="AB37" i="8" s="1"/>
  <c r="X36" i="8"/>
  <c r="Z36" i="8" s="1"/>
  <c r="AB36" i="8" s="1"/>
  <c r="X35" i="8"/>
  <c r="X34" i="8"/>
  <c r="Z34" i="8" s="1"/>
  <c r="X30" i="8"/>
  <c r="Z30" i="8" s="1"/>
  <c r="AB30" i="8" s="1"/>
  <c r="X29" i="8"/>
  <c r="Z29" i="8" s="1"/>
  <c r="X28" i="8"/>
  <c r="Z28" i="8" s="1"/>
  <c r="X25" i="8"/>
  <c r="X24" i="8"/>
  <c r="Z24" i="8" s="1"/>
  <c r="X21" i="8"/>
  <c r="Z21" i="8" s="1"/>
  <c r="AB21" i="8" s="1"/>
  <c r="X20" i="8"/>
  <c r="X18" i="8"/>
  <c r="Z18" i="8" s="1"/>
  <c r="AB18" i="8" s="1"/>
  <c r="X17" i="8"/>
  <c r="Z17" i="8" s="1"/>
  <c r="AB17" i="8" s="1"/>
  <c r="X16" i="8"/>
  <c r="Z16" i="8" s="1"/>
  <c r="AB16" i="8" s="1"/>
  <c r="Q9" i="8"/>
  <c r="Q49" i="8"/>
  <c r="Q46" i="8" s="1"/>
  <c r="Q45" i="8"/>
  <c r="S45" i="8" s="1"/>
  <c r="U45" i="8" s="1"/>
  <c r="Q44" i="8"/>
  <c r="S44" i="8" s="1"/>
  <c r="U44" i="8" s="1"/>
  <c r="Q43" i="8"/>
  <c r="S43" i="8" s="1"/>
  <c r="U43" i="8" s="1"/>
  <c r="Q41" i="8"/>
  <c r="S41" i="8" s="1"/>
  <c r="U41" i="8" s="1"/>
  <c r="Q40" i="8"/>
  <c r="S40" i="8" s="1"/>
  <c r="Q39" i="8"/>
  <c r="S39" i="8" s="1"/>
  <c r="U39" i="8" s="1"/>
  <c r="Q37" i="8"/>
  <c r="S37" i="8"/>
  <c r="U37" i="8" s="1"/>
  <c r="Q36" i="8"/>
  <c r="S36" i="8" s="1"/>
  <c r="U36" i="8" s="1"/>
  <c r="Q35" i="8"/>
  <c r="S35" i="8" s="1"/>
  <c r="U35" i="8" s="1"/>
  <c r="Q34" i="8"/>
  <c r="Q30" i="8"/>
  <c r="S30" i="8" s="1"/>
  <c r="U30" i="8" s="1"/>
  <c r="Q29" i="8"/>
  <c r="Q28" i="8"/>
  <c r="S28" i="8" s="1"/>
  <c r="Q25" i="8"/>
  <c r="S25" i="8" s="1"/>
  <c r="U25" i="8" s="1"/>
  <c r="Q24" i="8"/>
  <c r="Q21" i="8"/>
  <c r="S21" i="8" s="1"/>
  <c r="Q20" i="8"/>
  <c r="Q18" i="8"/>
  <c r="Q17" i="8"/>
  <c r="S17" i="8" s="1"/>
  <c r="U17" i="8" s="1"/>
  <c r="Q16" i="8"/>
  <c r="S16" i="8" s="1"/>
  <c r="U16" i="8" s="1"/>
  <c r="Q12" i="8"/>
  <c r="S12" i="8" s="1"/>
  <c r="U12" i="8" s="1"/>
  <c r="Q11" i="8"/>
  <c r="Q10" i="8"/>
  <c r="R16" i="9"/>
  <c r="T16" i="9" s="1"/>
  <c r="R13" i="9"/>
  <c r="T13" i="9" s="1"/>
  <c r="R12" i="9"/>
  <c r="T12" i="9" s="1"/>
  <c r="R11" i="9"/>
  <c r="T11" i="9" s="1"/>
  <c r="R10" i="9"/>
  <c r="T10" i="9" s="1"/>
  <c r="R8" i="9"/>
  <c r="T8" i="9" s="1"/>
  <c r="R7" i="9"/>
  <c r="T7" i="9" s="1"/>
  <c r="K16" i="9"/>
  <c r="M16" i="9" s="1"/>
  <c r="N16" i="9" s="1"/>
  <c r="K13" i="9"/>
  <c r="M13" i="9" s="1"/>
  <c r="N13" i="9" s="1"/>
  <c r="K12" i="9"/>
  <c r="M12" i="9" s="1"/>
  <c r="N12" i="9" s="1"/>
  <c r="K11" i="9"/>
  <c r="M11" i="9" s="1"/>
  <c r="N11" i="9" s="1"/>
  <c r="K10" i="9"/>
  <c r="M10" i="9" s="1"/>
  <c r="N10" i="9" s="1"/>
  <c r="K8" i="9"/>
  <c r="M8" i="9" s="1"/>
  <c r="N8" i="9" s="1"/>
  <c r="K7" i="9"/>
  <c r="D13" i="9"/>
  <c r="F13" i="9" s="1"/>
  <c r="D12" i="9"/>
  <c r="F12" i="9" s="1"/>
  <c r="D11" i="9"/>
  <c r="F11" i="9" s="1"/>
  <c r="D10" i="9"/>
  <c r="F10" i="9" s="1"/>
  <c r="V9" i="9"/>
  <c r="V15" i="9" s="1"/>
  <c r="V18" i="9" s="1"/>
  <c r="V27" i="9" s="1"/>
  <c r="V28" i="9" s="1"/>
  <c r="U9" i="9"/>
  <c r="U15" i="9" s="1"/>
  <c r="U18" i="9" s="1"/>
  <c r="S9" i="9"/>
  <c r="S15" i="9" s="1"/>
  <c r="S18" i="9" s="1"/>
  <c r="Q9" i="9"/>
  <c r="Q15" i="9" s="1"/>
  <c r="Q18" i="9" s="1"/>
  <c r="P9" i="9"/>
  <c r="P15" i="9" s="1"/>
  <c r="P18" i="9" s="1"/>
  <c r="O9" i="9"/>
  <c r="O15" i="9" s="1"/>
  <c r="O18" i="9" s="1"/>
  <c r="L9" i="9"/>
  <c r="L15" i="9" s="1"/>
  <c r="L18" i="9" s="1"/>
  <c r="J9" i="9"/>
  <c r="J15" i="9" s="1"/>
  <c r="J18" i="9" s="1"/>
  <c r="I9" i="9"/>
  <c r="I15" i="9" s="1"/>
  <c r="I18" i="9" s="1"/>
  <c r="G9" i="9"/>
  <c r="G15" i="9" s="1"/>
  <c r="G18" i="9" s="1"/>
  <c r="E9" i="9"/>
  <c r="E15" i="9" s="1"/>
  <c r="E18" i="9" s="1"/>
  <c r="C9" i="9"/>
  <c r="C15" i="9" s="1"/>
  <c r="C18" i="9" s="1"/>
  <c r="AA46" i="8"/>
  <c r="AA42" i="8"/>
  <c r="AA38" i="8"/>
  <c r="AA33" i="8"/>
  <c r="AA8" i="8"/>
  <c r="AA23" i="8"/>
  <c r="AA27" i="8"/>
  <c r="Y46" i="8"/>
  <c r="Y42" i="8"/>
  <c r="Y38" i="8"/>
  <c r="Y33" i="8"/>
  <c r="Y32" i="8" s="1"/>
  <c r="Y8" i="8"/>
  <c r="Y23" i="8"/>
  <c r="Y27" i="8"/>
  <c r="W46" i="8"/>
  <c r="W42" i="8"/>
  <c r="W38" i="8"/>
  <c r="W33" i="8"/>
  <c r="W8" i="8"/>
  <c r="W23" i="8"/>
  <c r="W27" i="8"/>
  <c r="V46" i="8"/>
  <c r="V42" i="8"/>
  <c r="V38" i="8"/>
  <c r="V33" i="8"/>
  <c r="V8" i="8"/>
  <c r="V23" i="8"/>
  <c r="V27" i="8"/>
  <c r="T46" i="8"/>
  <c r="T42" i="8"/>
  <c r="T38" i="8"/>
  <c r="T33" i="8"/>
  <c r="T8" i="8"/>
  <c r="T23" i="8"/>
  <c r="T27" i="8"/>
  <c r="R46" i="8"/>
  <c r="R42" i="8"/>
  <c r="R38" i="8"/>
  <c r="R33" i="8"/>
  <c r="R23" i="8"/>
  <c r="R27" i="8"/>
  <c r="P46" i="8"/>
  <c r="P42" i="8"/>
  <c r="P38" i="8"/>
  <c r="P33" i="8"/>
  <c r="P8" i="8"/>
  <c r="P22" i="8" s="1"/>
  <c r="P23" i="8"/>
  <c r="P27" i="8"/>
  <c r="O46" i="8"/>
  <c r="O42" i="8"/>
  <c r="O38" i="8"/>
  <c r="O33" i="8"/>
  <c r="O8" i="8"/>
  <c r="O23" i="8"/>
  <c r="O27" i="8"/>
  <c r="N46" i="8"/>
  <c r="N42" i="8"/>
  <c r="N38" i="8"/>
  <c r="N33" i="8"/>
  <c r="N8" i="8"/>
  <c r="N23" i="8"/>
  <c r="N27" i="8"/>
  <c r="L46" i="8"/>
  <c r="L42" i="8"/>
  <c r="L38" i="8"/>
  <c r="L33" i="8"/>
  <c r="L8" i="8"/>
  <c r="L23" i="8"/>
  <c r="L27" i="8"/>
  <c r="O23" i="4"/>
  <c r="X33" i="6"/>
  <c r="Z33" i="6" s="1"/>
  <c r="AA33" i="6" s="1"/>
  <c r="X34" i="6"/>
  <c r="Z34" i="6" s="1"/>
  <c r="AA34" i="6" s="1"/>
  <c r="X35" i="6"/>
  <c r="Z35" i="6" s="1"/>
  <c r="AA35" i="6" s="1"/>
  <c r="X36" i="6"/>
  <c r="Z36" i="6" s="1"/>
  <c r="AA36" i="6" s="1"/>
  <c r="X37" i="6"/>
  <c r="Z37" i="6" s="1"/>
  <c r="AA37" i="6" s="1"/>
  <c r="X39" i="6"/>
  <c r="Z39" i="6" s="1"/>
  <c r="AA39" i="6" s="1"/>
  <c r="X41" i="6"/>
  <c r="Z41" i="6" s="1"/>
  <c r="AA41" i="6" s="1"/>
  <c r="X42" i="6"/>
  <c r="Z42" i="6" s="1"/>
  <c r="AA42" i="6" s="1"/>
  <c r="X43" i="6"/>
  <c r="Z43" i="6" s="1"/>
  <c r="AA43" i="6" s="1"/>
  <c r="X44" i="6"/>
  <c r="Z44" i="6" s="1"/>
  <c r="AA44" i="6" s="1"/>
  <c r="X45" i="6"/>
  <c r="Z45" i="6" s="1"/>
  <c r="AA45" i="6" s="1"/>
  <c r="X47" i="6"/>
  <c r="Z47" i="6" s="1"/>
  <c r="AA47" i="6" s="1"/>
  <c r="X95" i="6"/>
  <c r="Z95" i="6" s="1"/>
  <c r="AA95" i="6" s="1"/>
  <c r="X96" i="6"/>
  <c r="Z96" i="6" s="1"/>
  <c r="AA96" i="6" s="1"/>
  <c r="Y32" i="6"/>
  <c r="Y40" i="6"/>
  <c r="Y94" i="6"/>
  <c r="W32" i="6"/>
  <c r="W40" i="6"/>
  <c r="W94" i="6"/>
  <c r="V32" i="6"/>
  <c r="V40" i="6"/>
  <c r="V94" i="6"/>
  <c r="Q33" i="6"/>
  <c r="S33" i="6" s="1"/>
  <c r="T33" i="6" s="1"/>
  <c r="Q34" i="6"/>
  <c r="S34" i="6" s="1"/>
  <c r="T34" i="6" s="1"/>
  <c r="Q35" i="6"/>
  <c r="S35" i="6" s="1"/>
  <c r="T35" i="6" s="1"/>
  <c r="Q36" i="6"/>
  <c r="S36" i="6" s="1"/>
  <c r="T36" i="6" s="1"/>
  <c r="Q37" i="6"/>
  <c r="S37" i="6" s="1"/>
  <c r="T37" i="6" s="1"/>
  <c r="Q39" i="6"/>
  <c r="S39" i="6" s="1"/>
  <c r="T39" i="6" s="1"/>
  <c r="Q41" i="6"/>
  <c r="S41" i="6" s="1"/>
  <c r="T41" i="6" s="1"/>
  <c r="Q42" i="6"/>
  <c r="S42" i="6" s="1"/>
  <c r="T42" i="6" s="1"/>
  <c r="Q43" i="6"/>
  <c r="S43" i="6" s="1"/>
  <c r="T43" i="6" s="1"/>
  <c r="Q44" i="6"/>
  <c r="S44" i="6" s="1"/>
  <c r="T44" i="6" s="1"/>
  <c r="Q45" i="6"/>
  <c r="S45" i="6" s="1"/>
  <c r="T45" i="6" s="1"/>
  <c r="Q47" i="6"/>
  <c r="S47" i="6" s="1"/>
  <c r="T47" i="6" s="1"/>
  <c r="X57" i="6"/>
  <c r="Z57" i="6" s="1"/>
  <c r="AA57" i="6" s="1"/>
  <c r="X54" i="6"/>
  <c r="Z54" i="6" s="1"/>
  <c r="AA54" i="6" s="1"/>
  <c r="X53" i="6"/>
  <c r="Z53" i="6" s="1"/>
  <c r="AA53" i="6" s="1"/>
  <c r="X52" i="6"/>
  <c r="Z52" i="6" s="1"/>
  <c r="AA52" i="6" s="1"/>
  <c r="X51" i="6"/>
  <c r="Z51" i="6" s="1"/>
  <c r="AA51" i="6" s="1"/>
  <c r="AB32" i="6"/>
  <c r="AB40" i="6"/>
  <c r="AB94" i="6"/>
  <c r="U94" i="6"/>
  <c r="U32" i="6"/>
  <c r="U40" i="6"/>
  <c r="Q96" i="6"/>
  <c r="S96" i="6" s="1"/>
  <c r="T96" i="6" s="1"/>
  <c r="Q95" i="6"/>
  <c r="S95" i="6" s="1"/>
  <c r="T95" i="6" s="1"/>
  <c r="T92" i="6"/>
  <c r="T91" i="6"/>
  <c r="T88" i="6"/>
  <c r="T87" i="6"/>
  <c r="T86" i="6"/>
  <c r="Q84" i="6"/>
  <c r="S84" i="6" s="1"/>
  <c r="T84" i="6" s="1"/>
  <c r="Q83" i="6"/>
  <c r="S83" i="6" s="1"/>
  <c r="T83" i="6" s="1"/>
  <c r="Q82" i="6"/>
  <c r="S82" i="6" s="1"/>
  <c r="T82" i="6" s="1"/>
  <c r="Q81" i="6"/>
  <c r="S81" i="6" s="1"/>
  <c r="T81" i="6" s="1"/>
  <c r="Q80" i="6"/>
  <c r="S80" i="6" s="1"/>
  <c r="T80" i="6" s="1"/>
  <c r="Q57" i="6"/>
  <c r="S57" i="6" s="1"/>
  <c r="T57" i="6" s="1"/>
  <c r="Q54" i="6"/>
  <c r="S54" i="6" s="1"/>
  <c r="T54" i="6" s="1"/>
  <c r="Q53" i="6"/>
  <c r="S53" i="6" s="1"/>
  <c r="T53" i="6" s="1"/>
  <c r="Q52" i="6"/>
  <c r="S52" i="6" s="1"/>
  <c r="T52" i="6" s="1"/>
  <c r="Q51" i="6"/>
  <c r="S51" i="6" s="1"/>
  <c r="T51" i="6" s="1"/>
  <c r="J84" i="6"/>
  <c r="L84" i="6" s="1"/>
  <c r="N84" i="6" s="1"/>
  <c r="J83" i="6"/>
  <c r="L83" i="6" s="1"/>
  <c r="N83" i="6" s="1"/>
  <c r="J82" i="6"/>
  <c r="L82" i="6" s="1"/>
  <c r="N82" i="6" s="1"/>
  <c r="J81" i="6"/>
  <c r="L81" i="6" s="1"/>
  <c r="N81" i="6" s="1"/>
  <c r="J80" i="6"/>
  <c r="L80" i="6" s="1"/>
  <c r="N80" i="6" s="1"/>
  <c r="J57" i="6"/>
  <c r="L57" i="6" s="1"/>
  <c r="N57" i="6" s="1"/>
  <c r="J54" i="6"/>
  <c r="L54" i="6" s="1"/>
  <c r="N54" i="6" s="1"/>
  <c r="J53" i="6"/>
  <c r="L53" i="6" s="1"/>
  <c r="N53" i="6" s="1"/>
  <c r="J52" i="6"/>
  <c r="L52" i="6" s="1"/>
  <c r="N52" i="6" s="1"/>
  <c r="J51" i="6"/>
  <c r="L51" i="6" s="1"/>
  <c r="N51" i="6" s="1"/>
  <c r="O17" i="4"/>
  <c r="O46" i="4"/>
  <c r="O45" i="4"/>
  <c r="O31" i="4"/>
  <c r="O30" i="4" s="1"/>
  <c r="N31" i="4"/>
  <c r="N30" i="4" s="1"/>
  <c r="K32" i="6"/>
  <c r="K40" i="6"/>
  <c r="K94" i="6"/>
  <c r="O32" i="6"/>
  <c r="O40" i="6"/>
  <c r="O94" i="6"/>
  <c r="P32" i="6"/>
  <c r="P40" i="6"/>
  <c r="P94" i="6"/>
  <c r="R32" i="6"/>
  <c r="R40" i="6"/>
  <c r="R94" i="6"/>
  <c r="T56" i="4"/>
  <c r="T55" i="4" s="1"/>
  <c r="S56" i="4"/>
  <c r="S55" i="4" s="1"/>
  <c r="R56" i="4"/>
  <c r="R55" i="4" s="1"/>
  <c r="Q56" i="4"/>
  <c r="Q55" i="4" s="1"/>
  <c r="P56" i="4"/>
  <c r="P55" i="4" s="1"/>
  <c r="T49" i="4"/>
  <c r="S49" i="4"/>
  <c r="R49" i="4"/>
  <c r="Q49" i="4"/>
  <c r="P49" i="4"/>
  <c r="O49" i="4"/>
  <c r="N49" i="4"/>
  <c r="M49" i="4"/>
  <c r="L49" i="4"/>
  <c r="K49" i="4"/>
  <c r="J49" i="4"/>
  <c r="T14" i="4"/>
  <c r="T17" i="4"/>
  <c r="T20" i="4"/>
  <c r="T23" i="4"/>
  <c r="T42" i="4"/>
  <c r="T76" i="4"/>
  <c r="T82" i="4"/>
  <c r="S10" i="4"/>
  <c r="S14" i="4"/>
  <c r="S17" i="4"/>
  <c r="S20" i="4"/>
  <c r="S23" i="4"/>
  <c r="S31" i="4"/>
  <c r="S30" i="4" s="1"/>
  <c r="S42" i="4"/>
  <c r="S76" i="4"/>
  <c r="S82" i="4"/>
  <c r="R10" i="4"/>
  <c r="R14" i="4"/>
  <c r="R17" i="4"/>
  <c r="R20" i="4"/>
  <c r="R23" i="4"/>
  <c r="R31" i="4"/>
  <c r="R30" i="4" s="1"/>
  <c r="R42" i="4"/>
  <c r="R76" i="4"/>
  <c r="Q10" i="4"/>
  <c r="Q14" i="4"/>
  <c r="Q17" i="4"/>
  <c r="Q20" i="4"/>
  <c r="Q23" i="4"/>
  <c r="Q19" i="4" s="1"/>
  <c r="Q31" i="4"/>
  <c r="Q30" i="4" s="1"/>
  <c r="Q42" i="4"/>
  <c r="Q76" i="4"/>
  <c r="P10" i="4"/>
  <c r="P14" i="4"/>
  <c r="P17" i="4"/>
  <c r="P20" i="4"/>
  <c r="P23" i="4"/>
  <c r="P31" i="4"/>
  <c r="P30" i="4" s="1"/>
  <c r="P42" i="4"/>
  <c r="P41" i="4" s="1"/>
  <c r="P76" i="4"/>
  <c r="P82" i="4"/>
  <c r="O14" i="4"/>
  <c r="O20" i="4"/>
  <c r="O76" i="4"/>
  <c r="N14" i="4"/>
  <c r="N17" i="4"/>
  <c r="N20" i="4"/>
  <c r="N23" i="4"/>
  <c r="N42" i="4"/>
  <c r="N76" i="4"/>
  <c r="M14" i="4"/>
  <c r="M17" i="4"/>
  <c r="M20" i="4"/>
  <c r="M23" i="4"/>
  <c r="M31" i="4"/>
  <c r="M30" i="4" s="1"/>
  <c r="M42" i="4"/>
  <c r="M76" i="4"/>
  <c r="L14" i="4"/>
  <c r="L17" i="4"/>
  <c r="L20" i="4"/>
  <c r="L23" i="4"/>
  <c r="L42" i="4"/>
  <c r="L76" i="4"/>
  <c r="K14" i="4"/>
  <c r="K17" i="4"/>
  <c r="K20" i="4"/>
  <c r="K23" i="4"/>
  <c r="J14" i="4"/>
  <c r="J17" i="4"/>
  <c r="J20" i="4"/>
  <c r="J23" i="4"/>
  <c r="J42" i="4"/>
  <c r="J41" i="4" s="1"/>
  <c r="I14" i="4"/>
  <c r="I17" i="4"/>
  <c r="I20" i="4"/>
  <c r="I23" i="4"/>
  <c r="I76" i="4"/>
  <c r="O56" i="4"/>
  <c r="O55" i="4" s="1"/>
  <c r="N56" i="4"/>
  <c r="N55" i="4" s="1"/>
  <c r="M56" i="4"/>
  <c r="M55" i="4" s="1"/>
  <c r="C6" i="2"/>
  <c r="H23" i="8"/>
  <c r="H33" i="8"/>
  <c r="I33" i="8"/>
  <c r="I23" i="8"/>
  <c r="H42" i="8"/>
  <c r="H8" i="8"/>
  <c r="H22" i="8" s="1"/>
  <c r="H26" i="8" s="1"/>
  <c r="H31" i="8" s="1"/>
  <c r="H27" i="8"/>
  <c r="H38" i="8"/>
  <c r="H46" i="8"/>
  <c r="I38" i="8"/>
  <c r="I8" i="8"/>
  <c r="I22" i="8" s="1"/>
  <c r="I42" i="8"/>
  <c r="B9" i="9"/>
  <c r="B15" i="9" s="1"/>
  <c r="B18" i="9" s="1"/>
  <c r="I46" i="8"/>
  <c r="I27" i="8"/>
  <c r="X46" i="8"/>
  <c r="AG8" i="8"/>
  <c r="AF9" i="8"/>
  <c r="AG42" i="8"/>
  <c r="AE23" i="8"/>
  <c r="AD25" i="8"/>
  <c r="AF25" i="8"/>
  <c r="Y9" i="9"/>
  <c r="Y15" i="9" s="1"/>
  <c r="Y18" i="9" s="1"/>
  <c r="Y27" i="9" s="1"/>
  <c r="X7" i="9"/>
  <c r="L8" i="19"/>
  <c r="N8" i="19"/>
  <c r="X8" i="19"/>
  <c r="Y9" i="19"/>
  <c r="Y20" i="4"/>
  <c r="Y23" i="4"/>
  <c r="AJ46" i="8"/>
  <c r="AJ8" i="8"/>
  <c r="AJ22" i="8" s="1"/>
  <c r="Y10" i="4"/>
  <c r="AE14" i="20"/>
  <c r="AF13" i="20" s="1"/>
  <c r="U21" i="8"/>
  <c r="S24" i="8"/>
  <c r="U24" i="8" s="1"/>
  <c r="U23" i="8" s="1"/>
  <c r="S18" i="8"/>
  <c r="U18" i="8" s="1"/>
  <c r="K16" i="8"/>
  <c r="AK50" i="6"/>
  <c r="AE10" i="9" s="1"/>
  <c r="Z23" i="4"/>
  <c r="Z32" i="4"/>
  <c r="Z31" i="4" s="1"/>
  <c r="Z30" i="4" s="1"/>
  <c r="Z20" i="4"/>
  <c r="Z49" i="4"/>
  <c r="AM32" i="6"/>
  <c r="AK94" i="6"/>
  <c r="AM79" i="6"/>
  <c r="AM85" i="6"/>
  <c r="AM94" i="6"/>
  <c r="AL41" i="8"/>
  <c r="AN41" i="8" s="1"/>
  <c r="AP41" i="8" s="1"/>
  <c r="AL43" i="8"/>
  <c r="AL45" i="8"/>
  <c r="AN45" i="8" s="1"/>
  <c r="AO45" i="8" s="1"/>
  <c r="AO42" i="8" s="1"/>
  <c r="AF14" i="20"/>
  <c r="AG14" i="20" s="1"/>
  <c r="AH13" i="20" s="1"/>
  <c r="AQ23" i="8"/>
  <c r="AJ25" i="8"/>
  <c r="AQ33" i="8"/>
  <c r="AJ37" i="8"/>
  <c r="AJ33" i="8" s="1"/>
  <c r="AE10" i="4"/>
  <c r="AO13" i="9"/>
  <c r="AO12" i="9"/>
  <c r="AN28" i="8"/>
  <c r="AU19" i="8"/>
  <c r="AU15" i="8" s="1"/>
  <c r="AU23" i="8"/>
  <c r="AO14" i="20"/>
  <c r="AP14" i="20" s="1"/>
  <c r="AQ13" i="20" s="1"/>
  <c r="AV42" i="8"/>
  <c r="AV32" i="8" s="1"/>
  <c r="AH32" i="4"/>
  <c r="AH31" i="4" s="1"/>
  <c r="AH30" i="4" s="1"/>
  <c r="AH42" i="4"/>
  <c r="AH49" i="4"/>
  <c r="AH20" i="4"/>
  <c r="AH68" i="4"/>
  <c r="AH65" i="4" s="1"/>
  <c r="AH82" i="4"/>
  <c r="BB94" i="6"/>
  <c r="BB85" i="6"/>
  <c r="BB50" i="6"/>
  <c r="BB40" i="6"/>
  <c r="BB32" i="6"/>
  <c r="BB79" i="6"/>
  <c r="AI10" i="4"/>
  <c r="BB59" i="6"/>
  <c r="BB58" i="6" s="1"/>
  <c r="BB38" i="8"/>
  <c r="BB19" i="8"/>
  <c r="AV16" i="9"/>
  <c r="AS12" i="19"/>
  <c r="AT11" i="20"/>
  <c r="AY17" i="8"/>
  <c r="AY74" i="6"/>
  <c r="AS12" i="9" s="1"/>
  <c r="AY69" i="6"/>
  <c r="BB15" i="8"/>
  <c r="BA27" i="8"/>
  <c r="AX9" i="20"/>
  <c r="AX11" i="20"/>
  <c r="AX10" i="20"/>
  <c r="BD59" i="6"/>
  <c r="AX8" i="20"/>
  <c r="BC73" i="6"/>
  <c r="Z20" i="8"/>
  <c r="AB20" i="8" s="1"/>
  <c r="AB19" i="8" s="1"/>
  <c r="Z41" i="8"/>
  <c r="AB41" i="8" s="1"/>
  <c r="AB28" i="8"/>
  <c r="AY64" i="4"/>
  <c r="AL41" i="4"/>
  <c r="K21" i="8"/>
  <c r="BG35" i="8"/>
  <c r="BG33" i="8" s="1"/>
  <c r="BF33" i="8"/>
  <c r="K11" i="8"/>
  <c r="AG46" i="8"/>
  <c r="AH49" i="8"/>
  <c r="Z35" i="8"/>
  <c r="AB35" i="8" s="1"/>
  <c r="AY42" i="8"/>
  <c r="BH16" i="8"/>
  <c r="BT23" i="8"/>
  <c r="BN16" i="9"/>
  <c r="CE23" i="8"/>
  <c r="BY16" i="9"/>
  <c r="AM33" i="8"/>
  <c r="CD22" i="8"/>
  <c r="CD26" i="8" s="1"/>
  <c r="CD31" i="8" s="1"/>
  <c r="CA46" i="8"/>
  <c r="CC42" i="8"/>
  <c r="BX38" i="8"/>
  <c r="BR22" i="8"/>
  <c r="BR26" i="8" s="1"/>
  <c r="BR31" i="8" s="1"/>
  <c r="BO42" i="8"/>
  <c r="BN22" i="8"/>
  <c r="BK32" i="8"/>
  <c r="CG32" i="8"/>
  <c r="CE38" i="8"/>
  <c r="BZ32" i="8"/>
  <c r="BX27" i="8"/>
  <c r="AH9" i="6"/>
  <c r="AO58" i="6"/>
  <c r="T9" i="6"/>
  <c r="AM9" i="6"/>
  <c r="AF9" i="6"/>
  <c r="AD9" i="6"/>
  <c r="AO9" i="6"/>
  <c r="AV19" i="9"/>
  <c r="CI40" i="6"/>
  <c r="BG82" i="6"/>
  <c r="BH82" i="6" s="1"/>
  <c r="BI82" i="6" s="1"/>
  <c r="BJ82" i="6" s="1"/>
  <c r="BK82" i="6" s="1"/>
  <c r="BI60" i="6"/>
  <c r="BK60" i="6" s="1"/>
  <c r="BU60" i="6"/>
  <c r="BI96" i="6"/>
  <c r="BJ96" i="6" s="1"/>
  <c r="BK96" i="6" s="1"/>
  <c r="BP66" i="6"/>
  <c r="BR66" i="6" s="1"/>
  <c r="CJ40" i="6"/>
  <c r="CD20" i="9" s="1"/>
  <c r="CE51" i="6"/>
  <c r="CF51" i="6" s="1"/>
  <c r="BU84" i="6"/>
  <c r="BV84" i="6" s="1"/>
  <c r="BW84" i="6" s="1"/>
  <c r="BX84" i="6" s="1"/>
  <c r="BY84" i="6" s="1"/>
  <c r="BB11" i="6"/>
  <c r="BD11" i="6" s="1"/>
  <c r="BA31" i="4"/>
  <c r="BA30" i="4" s="1"/>
  <c r="AD14" i="20"/>
  <c r="AE13" i="20" s="1"/>
  <c r="AG13" i="20" s="1"/>
  <c r="AI13" i="20" s="1"/>
  <c r="AK13" i="20" s="1"/>
  <c r="AT31" i="4"/>
  <c r="AT30" i="4" s="1"/>
  <c r="AK31" i="4"/>
  <c r="AK30" i="4" s="1"/>
  <c r="K10" i="8"/>
  <c r="S11" i="8"/>
  <c r="S49" i="8"/>
  <c r="U49" i="8" s="1"/>
  <c r="AL29" i="8"/>
  <c r="AN29" i="8" s="1"/>
  <c r="BQ23" i="8"/>
  <c r="BK16" i="9"/>
  <c r="BG39" i="8"/>
  <c r="Z9" i="8"/>
  <c r="AB9" i="8" s="1"/>
  <c r="AL24" i="8"/>
  <c r="AF16" i="9" s="1"/>
  <c r="AK23" i="8"/>
  <c r="AE16" i="9"/>
  <c r="BR32" i="8"/>
  <c r="BG49" i="8"/>
  <c r="AS16" i="9"/>
  <c r="BP25" i="6"/>
  <c r="BR25" i="6" s="1"/>
  <c r="BS58" i="6"/>
  <c r="BM11" i="9"/>
  <c r="CK41" i="6"/>
  <c r="BN11" i="9"/>
  <c r="BW13" i="9"/>
  <c r="CD11" i="9"/>
  <c r="AG14" i="6"/>
  <c r="AI14" i="6" s="1"/>
  <c r="BW39" i="6"/>
  <c r="BX39" i="6" s="1"/>
  <c r="BY39" i="6" s="1"/>
  <c r="AY19" i="9"/>
  <c r="AV58" i="6"/>
  <c r="Q18" i="6"/>
  <c r="CH80" i="6"/>
  <c r="BF19" i="9"/>
  <c r="BU19" i="9"/>
  <c r="BU10" i="9"/>
  <c r="BG11" i="9"/>
  <c r="CA20" i="9"/>
  <c r="BM58" i="6"/>
  <c r="CB13" i="9"/>
  <c r="BB19" i="9"/>
  <c r="BP19" i="9"/>
  <c r="BP10" i="9"/>
  <c r="BF10" i="9"/>
  <c r="CD13" i="9"/>
  <c r="BB10" i="9"/>
  <c r="CD10" i="9"/>
  <c r="BH49" i="8"/>
  <c r="U11" i="8"/>
  <c r="AL34" i="8"/>
  <c r="BG19" i="8"/>
  <c r="BH19" i="8" s="1"/>
  <c r="AO28" i="8"/>
  <c r="AO27" i="8" s="1"/>
  <c r="CK32" i="8"/>
  <c r="BH34" i="8"/>
  <c r="K35" i="8"/>
  <c r="K39" i="8"/>
  <c r="BW32" i="8"/>
  <c r="BG16" i="9"/>
  <c r="K18" i="8"/>
  <c r="BQ27" i="8"/>
  <c r="Q23" i="8"/>
  <c r="K29" i="8"/>
  <c r="CM95" i="6"/>
  <c r="AJ23" i="8"/>
  <c r="AL25" i="8"/>
  <c r="AL23" i="8" s="1"/>
  <c r="AB24" i="8"/>
  <c r="AY46" i="8"/>
  <c r="BJ42" i="8"/>
  <c r="BM23" i="8"/>
  <c r="P8" i="19"/>
  <c r="BP22" i="8"/>
  <c r="BP26" i="8" s="1"/>
  <c r="BP31" i="8" s="1"/>
  <c r="BI22" i="8"/>
  <c r="CF32" i="8"/>
  <c r="BP32" i="8"/>
  <c r="S34" i="8"/>
  <c r="U34" i="8" s="1"/>
  <c r="Q33" i="8"/>
  <c r="S9" i="8"/>
  <c r="U9" i="8" s="1"/>
  <c r="Z39" i="8"/>
  <c r="Z44" i="8"/>
  <c r="AB44" i="8" s="1"/>
  <c r="AK38" i="8"/>
  <c r="AL40" i="8"/>
  <c r="S20" i="8"/>
  <c r="U20" i="8" s="1"/>
  <c r="X23" i="8"/>
  <c r="Z25" i="8"/>
  <c r="Z23" i="8" s="1"/>
  <c r="BA8" i="8"/>
  <c r="BC8" i="8"/>
  <c r="CM18" i="6"/>
  <c r="AB39" i="8"/>
  <c r="AS8" i="19"/>
  <c r="BC9" i="19"/>
  <c r="K8" i="19"/>
  <c r="T22" i="19"/>
  <c r="BA8" i="19"/>
  <c r="BO8" i="19"/>
  <c r="BQ8" i="19"/>
  <c r="H9" i="19"/>
  <c r="V23" i="19"/>
  <c r="M8" i="19"/>
  <c r="O9" i="19"/>
  <c r="O8" i="19"/>
  <c r="H23" i="19"/>
  <c r="AC22" i="19"/>
  <c r="CN22" i="8"/>
  <c r="CN26" i="8" s="1"/>
  <c r="CN31" i="8" s="1"/>
  <c r="BP96" i="6"/>
  <c r="BQ96" i="6" s="1"/>
  <c r="BR96" i="6" s="1"/>
  <c r="CD62" i="6"/>
  <c r="CE62" i="6" s="1"/>
  <c r="CF62" i="6" s="1"/>
  <c r="BI10" i="6"/>
  <c r="BK10" i="6" s="1"/>
  <c r="CH86" i="6"/>
  <c r="CM82" i="6"/>
  <c r="BX16" i="6"/>
  <c r="BY16" i="6" s="1"/>
  <c r="S12" i="6"/>
  <c r="U12" i="6" s="1"/>
  <c r="AN80" i="6"/>
  <c r="AN63" i="6"/>
  <c r="AP63" i="6" s="1"/>
  <c r="L10" i="6"/>
  <c r="N10" i="6" s="1"/>
  <c r="BG81" i="6"/>
  <c r="BI80" i="6"/>
  <c r="BJ80" i="6" s="1"/>
  <c r="BK80" i="6" s="1"/>
  <c r="AP20" i="6"/>
  <c r="AY11" i="9"/>
  <c r="BR51" i="6"/>
  <c r="BY52" i="6"/>
  <c r="L41" i="4" l="1"/>
  <c r="AZ13" i="4"/>
  <c r="M19" i="4"/>
  <c r="AP63" i="4"/>
  <c r="R64" i="4"/>
  <c r="AO64" i="4"/>
  <c r="AN13" i="4"/>
  <c r="AQ13" i="4"/>
  <c r="AW13" i="4"/>
  <c r="BH12" i="9"/>
  <c r="BJ12" i="9" s="1"/>
  <c r="BE7" i="20"/>
  <c r="BJ7" i="20"/>
  <c r="BL8" i="6"/>
  <c r="BF7" i="9" s="1"/>
  <c r="BA40" i="6"/>
  <c r="AU20" i="9" s="1"/>
  <c r="AX8" i="6"/>
  <c r="AR7" i="9" s="1"/>
  <c r="BC85" i="6"/>
  <c r="K49" i="6"/>
  <c r="I78" i="6"/>
  <c r="AY40" i="6"/>
  <c r="AS20" i="9" s="1"/>
  <c r="H8" i="6"/>
  <c r="AK58" i="6"/>
  <c r="AK49" i="6" s="1"/>
  <c r="AJ58" i="6"/>
  <c r="BL78" i="6"/>
  <c r="BH44" i="8"/>
  <c r="BG42" i="8"/>
  <c r="CH23" i="8"/>
  <c r="BE22" i="8"/>
  <c r="BE26" i="8" s="1"/>
  <c r="BP52" i="8"/>
  <c r="Z19" i="8"/>
  <c r="S23" i="8"/>
  <c r="BF42" i="8"/>
  <c r="AD15" i="8"/>
  <c r="V22" i="8"/>
  <c r="V26" i="8" s="1"/>
  <c r="V31" i="8" s="1"/>
  <c r="CH46" i="8"/>
  <c r="CN32" i="8"/>
  <c r="BG46" i="8"/>
  <c r="BA42" i="8"/>
  <c r="AM27" i="8"/>
  <c r="CL46" i="8"/>
  <c r="CL32" i="8" s="1"/>
  <c r="AY33" i="8"/>
  <c r="AL37" i="8"/>
  <c r="AN37" i="8" s="1"/>
  <c r="I26" i="8"/>
  <c r="I31" i="8" s="1"/>
  <c r="AH27" i="8"/>
  <c r="BM33" i="8"/>
  <c r="BQ46" i="8"/>
  <c r="BS26" i="8"/>
  <c r="BS31" i="8" s="1"/>
  <c r="BS52" i="8" s="1"/>
  <c r="BT42" i="8"/>
  <c r="BV23" i="8"/>
  <c r="BV38" i="8"/>
  <c r="BX33" i="8"/>
  <c r="CA27" i="8"/>
  <c r="Y22" i="8"/>
  <c r="Y26" i="8" s="1"/>
  <c r="Y31" i="8" s="1"/>
  <c r="Y52" i="8" s="1"/>
  <c r="M8" i="8"/>
  <c r="AF46" i="8"/>
  <c r="BA46" i="8"/>
  <c r="BY32" i="8"/>
  <c r="BI32" i="8"/>
  <c r="CK22" i="8"/>
  <c r="CK26" i="8" s="1"/>
  <c r="CK31" i="8" s="1"/>
  <c r="BW22" i="8"/>
  <c r="BW26" i="8" s="1"/>
  <c r="BW31" i="8" s="1"/>
  <c r="P26" i="8"/>
  <c r="P31" i="8" s="1"/>
  <c r="AD8" i="8"/>
  <c r="BA38" i="8"/>
  <c r="AN34" i="8"/>
  <c r="AP34" i="8" s="1"/>
  <c r="BN26" i="8"/>
  <c r="BN31" i="8" s="1"/>
  <c r="BN52" i="8" s="1"/>
  <c r="AU22" i="8"/>
  <c r="AN12" i="8"/>
  <c r="AP12" i="8" s="1"/>
  <c r="AN30" i="8"/>
  <c r="AP30" i="8" s="1"/>
  <c r="AR31" i="8"/>
  <c r="AW8" i="8"/>
  <c r="AJ19" i="4"/>
  <c r="AG19" i="4"/>
  <c r="AH64" i="4"/>
  <c r="Z64" i="4"/>
  <c r="AR13" i="4"/>
  <c r="AC58" i="6"/>
  <c r="AI72" i="6"/>
  <c r="BG94" i="6"/>
  <c r="AE60" i="6"/>
  <c r="AG60" i="6" s="1"/>
  <c r="AI60" i="6" s="1"/>
  <c r="AQ78" i="6"/>
  <c r="V8" i="6"/>
  <c r="AI73" i="6"/>
  <c r="AP86" i="6"/>
  <c r="O78" i="6"/>
  <c r="AS31" i="6"/>
  <c r="AM8" i="9" s="1"/>
  <c r="Z60" i="6"/>
  <c r="AB60" i="6" s="1"/>
  <c r="AB12" i="6"/>
  <c r="AB9" i="6" s="1"/>
  <c r="AB8" i="6" s="1"/>
  <c r="BS78" i="6"/>
  <c r="AR78" i="6"/>
  <c r="BE78" i="6"/>
  <c r="BW34" i="6"/>
  <c r="BX34" i="6" s="1"/>
  <c r="BY34" i="6" s="1"/>
  <c r="AE74" i="6"/>
  <c r="AG74" i="6" s="1"/>
  <c r="BT11" i="9"/>
  <c r="BI95" i="6"/>
  <c r="BI94" i="6" s="1"/>
  <c r="AV8" i="6"/>
  <c r="AP7" i="9" s="1"/>
  <c r="AD80" i="6"/>
  <c r="AD79" i="6" s="1"/>
  <c r="BN13" i="9"/>
  <c r="BO13" i="9" s="1"/>
  <c r="BY74" i="6"/>
  <c r="AR58" i="6"/>
  <c r="AR49" i="6" s="1"/>
  <c r="BA79" i="6"/>
  <c r="BS8" i="6"/>
  <c r="BM7" i="9" s="1"/>
  <c r="BW33" i="6"/>
  <c r="BX33" i="6" s="1"/>
  <c r="BO10" i="9"/>
  <c r="BQ10" i="9" s="1"/>
  <c r="CB75" i="6"/>
  <c r="CD75" i="6" s="1"/>
  <c r="CE75" i="6" s="1"/>
  <c r="CF75" i="6" s="1"/>
  <c r="BP95" i="6"/>
  <c r="BP94" i="6" s="1"/>
  <c r="AV11" i="9"/>
  <c r="AM8" i="6"/>
  <c r="AG7" i="9" s="1"/>
  <c r="AK8" i="6"/>
  <c r="AK78" i="6"/>
  <c r="BO94" i="6"/>
  <c r="I31" i="6"/>
  <c r="I48" i="6" s="1"/>
  <c r="BQ8" i="6"/>
  <c r="BK7" i="9" s="1"/>
  <c r="BK9" i="9" s="1"/>
  <c r="AO11" i="9"/>
  <c r="H78" i="6"/>
  <c r="BT79" i="6"/>
  <c r="AP82" i="6"/>
  <c r="CG85" i="6"/>
  <c r="CG78" i="6" s="1"/>
  <c r="AV49" i="6"/>
  <c r="BO16" i="9"/>
  <c r="BQ16" i="9" s="1"/>
  <c r="BS16" i="9" s="1"/>
  <c r="F9" i="9"/>
  <c r="F15" i="9" s="1"/>
  <c r="F18" i="9" s="1"/>
  <c r="H9" i="9"/>
  <c r="H15" i="9" s="1"/>
  <c r="H18" i="9" s="1"/>
  <c r="BA10" i="9"/>
  <c r="BC10" i="9" s="1"/>
  <c r="BE10" i="9" s="1"/>
  <c r="BF49" i="6"/>
  <c r="BM19" i="9"/>
  <c r="BO19" i="9" s="1"/>
  <c r="BQ19" i="9" s="1"/>
  <c r="BC50" i="6"/>
  <c r="AW10" i="9" s="1"/>
  <c r="AX31" i="6"/>
  <c r="AR8" i="9" s="1"/>
  <c r="J32" i="6"/>
  <c r="L32" i="6" s="1"/>
  <c r="BJ58" i="6"/>
  <c r="BJ49" i="6" s="1"/>
  <c r="BN18" i="6"/>
  <c r="BU50" i="6"/>
  <c r="BS49" i="6"/>
  <c r="BF85" i="6"/>
  <c r="AW32" i="6"/>
  <c r="CM36" i="6"/>
  <c r="CB11" i="9"/>
  <c r="BU13" i="9"/>
  <c r="BV13" i="9" s="1"/>
  <c r="BX13" i="9" s="1"/>
  <c r="AQ8" i="6"/>
  <c r="AK7" i="9" s="1"/>
  <c r="AV20" i="9"/>
  <c r="T94" i="6"/>
  <c r="BG50" i="6"/>
  <c r="BT49" i="6"/>
  <c r="CA11" i="9"/>
  <c r="V31" i="6"/>
  <c r="AJ31" i="6"/>
  <c r="AD8" i="9" s="1"/>
  <c r="M8" i="6"/>
  <c r="BH24" i="8"/>
  <c r="BG23" i="8"/>
  <c r="AZ16" i="9"/>
  <c r="BA16" i="9" s="1"/>
  <c r="CC23" i="8"/>
  <c r="AU26" i="8"/>
  <c r="AU31" i="8" s="1"/>
  <c r="N22" i="8"/>
  <c r="AN10" i="8"/>
  <c r="AP10" i="8" s="1"/>
  <c r="AN24" i="8"/>
  <c r="AP24" i="8" s="1"/>
  <c r="AO46" i="8"/>
  <c r="CH27" i="8"/>
  <c r="CL23" i="8"/>
  <c r="CL33" i="8"/>
  <c r="CL42" i="8"/>
  <c r="K27" i="8"/>
  <c r="BF23" i="8"/>
  <c r="BF8" i="8"/>
  <c r="AF23" i="8"/>
  <c r="BM8" i="8"/>
  <c r="BO15" i="8"/>
  <c r="BO33" i="8"/>
  <c r="BQ8" i="8"/>
  <c r="BS32" i="8"/>
  <c r="BT8" i="8"/>
  <c r="BT22" i="8" s="1"/>
  <c r="BT26" i="8" s="1"/>
  <c r="BT31" i="8" s="1"/>
  <c r="BT33" i="8"/>
  <c r="BT46" i="8"/>
  <c r="BV15" i="8"/>
  <c r="BX46" i="8"/>
  <c r="BX32" i="8" s="1"/>
  <c r="CC38" i="8"/>
  <c r="CE8" i="8"/>
  <c r="AN40" i="8"/>
  <c r="AP40" i="8" s="1"/>
  <c r="BI26" i="8"/>
  <c r="BI31" i="8" s="1"/>
  <c r="BI52" i="8" s="1"/>
  <c r="J38" i="8"/>
  <c r="X8" i="8"/>
  <c r="BA15" i="8"/>
  <c r="BA19" i="8"/>
  <c r="K46" i="8"/>
  <c r="CG22" i="8"/>
  <c r="CF22" i="8"/>
  <c r="K38" i="8"/>
  <c r="BD16" i="9"/>
  <c r="AN9" i="8"/>
  <c r="AP9" i="8" s="1"/>
  <c r="AH8" i="8"/>
  <c r="AE22" i="8"/>
  <c r="AE26" i="8" s="1"/>
  <c r="AE31" i="8" s="1"/>
  <c r="AN21" i="8"/>
  <c r="CB22" i="8"/>
  <c r="CB26" i="8" s="1"/>
  <c r="CB31" i="8" s="1"/>
  <c r="BL22" i="8"/>
  <c r="BL26" i="8" s="1"/>
  <c r="BL31" i="8" s="1"/>
  <c r="AK8" i="8"/>
  <c r="T32" i="8"/>
  <c r="AC32" i="8"/>
  <c r="AF33" i="8"/>
  <c r="BA33" i="8"/>
  <c r="BC46" i="8"/>
  <c r="BE31" i="8"/>
  <c r="CB32" i="8"/>
  <c r="BL32" i="8"/>
  <c r="BH46" i="8"/>
  <c r="BJ46" i="8"/>
  <c r="BM42" i="8"/>
  <c r="BM32" i="8" s="1"/>
  <c r="BO8" i="8"/>
  <c r="BO22" i="8" s="1"/>
  <c r="BO38" i="8"/>
  <c r="BO46" i="8"/>
  <c r="BQ15" i="8"/>
  <c r="BQ33" i="8"/>
  <c r="BQ32" i="8" s="1"/>
  <c r="BQ42" i="8"/>
  <c r="BT15" i="8"/>
  <c r="BT38" i="8"/>
  <c r="BT32" i="8" s="1"/>
  <c r="BV8" i="8"/>
  <c r="BV22" i="8" s="1"/>
  <c r="BV26" i="8" s="1"/>
  <c r="BV31" i="8" s="1"/>
  <c r="BV33" i="8"/>
  <c r="CC8" i="8"/>
  <c r="CC46" i="8"/>
  <c r="CE42" i="8"/>
  <c r="AB25" i="8"/>
  <c r="AB23" i="8" s="1"/>
  <c r="J46" i="8"/>
  <c r="AO37" i="8"/>
  <c r="AP37" i="8" s="1"/>
  <c r="BX23" i="8"/>
  <c r="BB32" i="8"/>
  <c r="AD33" i="8"/>
  <c r="O22" i="8"/>
  <c r="O26" i="8" s="1"/>
  <c r="O31" i="8" s="1"/>
  <c r="AP21" i="8"/>
  <c r="AP50" i="8"/>
  <c r="AM42" i="8"/>
  <c r="AQ32" i="8"/>
  <c r="AX22" i="8"/>
  <c r="AY22" i="8" s="1"/>
  <c r="BC23" i="8"/>
  <c r="CH33" i="8"/>
  <c r="CH42" i="8"/>
  <c r="CL15" i="8"/>
  <c r="CL22" i="8" s="1"/>
  <c r="CM32" i="8"/>
  <c r="AF8" i="8"/>
  <c r="J23" i="8"/>
  <c r="AK33" i="8"/>
  <c r="AM8" i="8"/>
  <c r="BD22" i="8"/>
  <c r="BD26" i="8" s="1"/>
  <c r="BD31" i="8" s="1"/>
  <c r="CJ15" i="8"/>
  <c r="AK19" i="8"/>
  <c r="BH16" i="9"/>
  <c r="BJ16" i="9" s="1"/>
  <c r="BL16" i="9" s="1"/>
  <c r="AG16" i="9"/>
  <c r="AH16" i="9" s="1"/>
  <c r="AJ16" i="9" s="1"/>
  <c r="L32" i="8"/>
  <c r="M27" i="8"/>
  <c r="AA22" i="8"/>
  <c r="AA26" i="8" s="1"/>
  <c r="AA31" i="8" s="1"/>
  <c r="AK27" i="8"/>
  <c r="AO19" i="8"/>
  <c r="AO15" i="8" s="1"/>
  <c r="AT22" i="8"/>
  <c r="AT26" i="8" s="1"/>
  <c r="AT31" i="8" s="1"/>
  <c r="AT52" i="8" s="1"/>
  <c r="AS22" i="8"/>
  <c r="AS26" i="8" s="1"/>
  <c r="AS31" i="8" s="1"/>
  <c r="AS52" i="8" s="1"/>
  <c r="CI32" i="8"/>
  <c r="CI52" i="8" s="1"/>
  <c r="BU32" i="8"/>
  <c r="BU52" i="8" s="1"/>
  <c r="CI22" i="8"/>
  <c r="CI26" i="8" s="1"/>
  <c r="CI31" i="8" s="1"/>
  <c r="BU22" i="8"/>
  <c r="BU26" i="8" s="1"/>
  <c r="BU31" i="8" s="1"/>
  <c r="BX22" i="8"/>
  <c r="CA22" i="8"/>
  <c r="CA26" i="8" s="1"/>
  <c r="CC33" i="8"/>
  <c r="CC32" i="8" s="1"/>
  <c r="CE15" i="8"/>
  <c r="AM23" i="8"/>
  <c r="CN52" i="8"/>
  <c r="U19" i="8"/>
  <c r="U15" i="8" s="1"/>
  <c r="CD16" i="9"/>
  <c r="W32" i="8"/>
  <c r="J42" i="8"/>
  <c r="M42" i="8"/>
  <c r="BJ8" i="8"/>
  <c r="BJ22" i="8" s="1"/>
  <c r="BJ26" i="8" s="1"/>
  <c r="CD52" i="8"/>
  <c r="AL49" i="8"/>
  <c r="X27" i="8"/>
  <c r="V32" i="8"/>
  <c r="V52" i="8" s="1"/>
  <c r="AR32" i="8"/>
  <c r="AR52" i="8" s="1"/>
  <c r="BH42" i="8"/>
  <c r="BJ38" i="8"/>
  <c r="CJ8" i="8"/>
  <c r="CJ46" i="8"/>
  <c r="CM22" i="8"/>
  <c r="CM26" i="8" s="1"/>
  <c r="CM31" i="8" s="1"/>
  <c r="BC19" i="8"/>
  <c r="BC33" i="8"/>
  <c r="R32" i="8"/>
  <c r="R52" i="8" s="1"/>
  <c r="AM19" i="8"/>
  <c r="AY8" i="8"/>
  <c r="CH15" i="8"/>
  <c r="X41" i="4"/>
  <c r="J64" i="4"/>
  <c r="J63" i="4" s="1"/>
  <c r="AJ41" i="4"/>
  <c r="K19" i="4"/>
  <c r="L13" i="4"/>
  <c r="BC19" i="4"/>
  <c r="AJ64" i="4"/>
  <c r="T13" i="4"/>
  <c r="AV64" i="4"/>
  <c r="AV63" i="4" s="1"/>
  <c r="M41" i="4"/>
  <c r="AB41" i="4"/>
  <c r="AD13" i="4"/>
  <c r="AX64" i="4"/>
  <c r="BC41" i="4"/>
  <c r="X10" i="4"/>
  <c r="AD19" i="4"/>
  <c r="AD9" i="4" s="1"/>
  <c r="AL13" i="4"/>
  <c r="AM41" i="4"/>
  <c r="AX7" i="20"/>
  <c r="AO94" i="6"/>
  <c r="CA8" i="6"/>
  <c r="BU7" i="9" s="1"/>
  <c r="AZ9" i="6"/>
  <c r="AY9" i="6" s="1"/>
  <c r="CL8" i="6"/>
  <c r="CF7" i="9" s="1"/>
  <c r="X31" i="4"/>
  <c r="X30" i="4" s="1"/>
  <c r="AH13" i="4"/>
  <c r="AH41" i="4"/>
  <c r="AI13" i="4"/>
  <c r="AY63" i="4"/>
  <c r="AE19" i="4"/>
  <c r="AX63" i="4"/>
  <c r="BA13" i="4"/>
  <c r="AR31" i="4"/>
  <c r="AR30" i="4" s="1"/>
  <c r="AY31" i="4"/>
  <c r="AY30" i="4" s="1"/>
  <c r="AG13" i="4"/>
  <c r="U64" i="4"/>
  <c r="U63" i="4" s="1"/>
  <c r="S64" i="4"/>
  <c r="S63" i="4" s="1"/>
  <c r="AR41" i="4"/>
  <c r="AR64" i="4"/>
  <c r="AR63" i="4" s="1"/>
  <c r="AY13" i="4"/>
  <c r="BB64" i="4"/>
  <c r="BB63" i="4" s="1"/>
  <c r="AK13" i="4"/>
  <c r="AO13" i="4"/>
  <c r="AI41" i="4"/>
  <c r="AI9" i="4" s="1"/>
  <c r="AZ31" i="4"/>
  <c r="AZ30" i="4" s="1"/>
  <c r="AD13" i="20"/>
  <c r="X64" i="4"/>
  <c r="X63" i="4" s="1"/>
  <c r="AB31" i="4"/>
  <c r="AB30" i="4" s="1"/>
  <c r="AC64" i="4"/>
  <c r="AI19" i="4"/>
  <c r="Z46" i="8"/>
  <c r="AB49" i="8"/>
  <c r="AB46" i="8" s="1"/>
  <c r="U47" i="8"/>
  <c r="U46" i="8" s="1"/>
  <c r="S46" i="8"/>
  <c r="AP35" i="8"/>
  <c r="Z27" i="8"/>
  <c r="AB29" i="8"/>
  <c r="AB27" i="8" s="1"/>
  <c r="BG8" i="8"/>
  <c r="U40" i="8"/>
  <c r="S38" i="8"/>
  <c r="BH29" i="8"/>
  <c r="BH27" i="8" s="1"/>
  <c r="BG27" i="8"/>
  <c r="Z33" i="8"/>
  <c r="AB34" i="8"/>
  <c r="AB33" i="8" s="1"/>
  <c r="CM52" i="8"/>
  <c r="AB12" i="8"/>
  <c r="AB8" i="8" s="1"/>
  <c r="Z8" i="8"/>
  <c r="AQ22" i="8"/>
  <c r="AQ26" i="8" s="1"/>
  <c r="AQ31" i="8" s="1"/>
  <c r="AQ52" i="8" s="1"/>
  <c r="BH17" i="8"/>
  <c r="BG15" i="8"/>
  <c r="BF15" i="8"/>
  <c r="BF22" i="8" s="1"/>
  <c r="BF26" i="8" s="1"/>
  <c r="BH35" i="8"/>
  <c r="BH33" i="8" s="1"/>
  <c r="N32" i="8"/>
  <c r="W22" i="8"/>
  <c r="W26" i="8" s="1"/>
  <c r="W31" i="8" s="1"/>
  <c r="W52" i="8" s="1"/>
  <c r="M19" i="8"/>
  <c r="M15" i="8" s="1"/>
  <c r="M22" i="8" s="1"/>
  <c r="M26" i="8" s="1"/>
  <c r="M31" i="8" s="1"/>
  <c r="AD38" i="8"/>
  <c r="AH19" i="8"/>
  <c r="AH15" i="8" s="1"/>
  <c r="AH38" i="8"/>
  <c r="AW27" i="8"/>
  <c r="CG26" i="8"/>
  <c r="CG31" i="8" s="1"/>
  <c r="CG52" i="8" s="1"/>
  <c r="CJ27" i="8"/>
  <c r="S33" i="8"/>
  <c r="Z38" i="8"/>
  <c r="AY19" i="8"/>
  <c r="X42" i="8"/>
  <c r="AJ32" i="8"/>
  <c r="AF15" i="8"/>
  <c r="AF22" i="8" s="1"/>
  <c r="AF26" i="8" s="1"/>
  <c r="CF26" i="8"/>
  <c r="CF31" i="8" s="1"/>
  <c r="CF52" i="8" s="1"/>
  <c r="AB38" i="8"/>
  <c r="AZ26" i="8"/>
  <c r="AD22" i="8"/>
  <c r="AO8" i="8"/>
  <c r="BJ27" i="8"/>
  <c r="Z42" i="8"/>
  <c r="BA32" i="8"/>
  <c r="BH11" i="8"/>
  <c r="BH8" i="8" s="1"/>
  <c r="BA23" i="8"/>
  <c r="AL36" i="8"/>
  <c r="AN36" i="8" s="1"/>
  <c r="AP36" i="8" s="1"/>
  <c r="K20" i="8"/>
  <c r="K19" i="8" s="1"/>
  <c r="K15" i="8" s="1"/>
  <c r="AH46" i="8"/>
  <c r="AV22" i="8"/>
  <c r="AV26" i="8" s="1"/>
  <c r="AV31" i="8" s="1"/>
  <c r="AV52" i="8" s="1"/>
  <c r="BF38" i="8"/>
  <c r="BF32" i="8" s="1"/>
  <c r="CE22" i="8"/>
  <c r="CE26" i="8" s="1"/>
  <c r="AL38" i="8"/>
  <c r="Z15" i="8"/>
  <c r="AY15" i="8"/>
  <c r="K43" i="8"/>
  <c r="K42" i="8" s="1"/>
  <c r="AC22" i="8"/>
  <c r="AC26" i="8" s="1"/>
  <c r="AC31" i="8" s="1"/>
  <c r="AC52" i="8" s="1"/>
  <c r="AW33" i="8"/>
  <c r="AW32" i="8" s="1"/>
  <c r="AX32" i="8"/>
  <c r="AY32" i="8" s="1"/>
  <c r="BJ33" i="8"/>
  <c r="BJ32" i="8" s="1"/>
  <c r="AN38" i="8"/>
  <c r="Q38" i="8"/>
  <c r="J15" i="8"/>
  <c r="K33" i="8"/>
  <c r="BO23" i="8"/>
  <c r="I32" i="8"/>
  <c r="I52" i="8" s="1"/>
  <c r="N26" i="8"/>
  <c r="N31" i="8" s="1"/>
  <c r="N52" i="8" s="1"/>
  <c r="X33" i="8"/>
  <c r="AE32" i="8"/>
  <c r="AD23" i="8"/>
  <c r="AI32" i="8"/>
  <c r="BF27" i="8"/>
  <c r="BY22" i="8"/>
  <c r="BY26" i="8" s="1"/>
  <c r="BY31" i="8" s="1"/>
  <c r="BY52" i="8" s="1"/>
  <c r="AL27" i="8"/>
  <c r="AJ26" i="8"/>
  <c r="AJ31" i="8" s="1"/>
  <c r="H32" i="8"/>
  <c r="H52" i="8" s="1"/>
  <c r="J27" i="8"/>
  <c r="M38" i="8"/>
  <c r="BE32" i="8"/>
  <c r="BE52" i="8" s="1"/>
  <c r="CE27" i="8"/>
  <c r="CH8" i="8"/>
  <c r="CJ38" i="8"/>
  <c r="BV16" i="9"/>
  <c r="BX16" i="9" s="1"/>
  <c r="BZ16" i="9" s="1"/>
  <c r="BW35" i="6"/>
  <c r="BX35" i="6" s="1"/>
  <c r="BY35" i="6" s="1"/>
  <c r="AU78" i="6"/>
  <c r="AY18" i="6"/>
  <c r="AS19" i="9" s="1"/>
  <c r="AF18" i="6"/>
  <c r="AF8" i="6" s="1"/>
  <c r="N32" i="6"/>
  <c r="AP81" i="6"/>
  <c r="AP92" i="6"/>
  <c r="BM49" i="6"/>
  <c r="O13" i="4"/>
  <c r="M14" i="20" s="1"/>
  <c r="N14" i="20" s="1"/>
  <c r="O13" i="20" s="1"/>
  <c r="AV19" i="4"/>
  <c r="BB31" i="4"/>
  <c r="BB30" i="4" s="1"/>
  <c r="AN64" i="4"/>
  <c r="AN63" i="4" s="1"/>
  <c r="AQ64" i="4"/>
  <c r="AQ63" i="4" s="1"/>
  <c r="AX13" i="4"/>
  <c r="AZ19" i="4"/>
  <c r="AO63" i="4"/>
  <c r="BA64" i="4"/>
  <c r="BA63" i="4" s="1"/>
  <c r="AO19" i="4"/>
  <c r="BD19" i="4"/>
  <c r="T64" i="4"/>
  <c r="T63" i="4" s="1"/>
  <c r="W41" i="4"/>
  <c r="AM13" i="4"/>
  <c r="AN41" i="4"/>
  <c r="AK11" i="20"/>
  <c r="AC7" i="20"/>
  <c r="AC12" i="20" s="1"/>
  <c r="AT7" i="20"/>
  <c r="BZ7" i="20"/>
  <c r="CE16" i="20"/>
  <c r="CE19" i="20" s="1"/>
  <c r="BK75" i="6"/>
  <c r="BD13" i="9"/>
  <c r="J9" i="6"/>
  <c r="BD12" i="9"/>
  <c r="BP61" i="6"/>
  <c r="BR61" i="6" s="1"/>
  <c r="BR59" i="6" s="1"/>
  <c r="BR58" i="6" s="1"/>
  <c r="CK40" i="6"/>
  <c r="X79" i="6"/>
  <c r="Z79" i="6" s="1"/>
  <c r="AA79" i="6" s="1"/>
  <c r="BB10" i="6"/>
  <c r="BD10" i="6" s="1"/>
  <c r="BD9" i="6" s="1"/>
  <c r="BD8" i="6" s="1"/>
  <c r="BH19" i="9"/>
  <c r="CD96" i="6"/>
  <c r="CE96" i="6" s="1"/>
  <c r="BA85" i="6"/>
  <c r="BC40" i="6"/>
  <c r="AW20" i="9" s="1"/>
  <c r="X18" i="6"/>
  <c r="J58" i="6"/>
  <c r="L58" i="6" s="1"/>
  <c r="CA85" i="6"/>
  <c r="BO58" i="6"/>
  <c r="BO49" i="6" s="1"/>
  <c r="P85" i="6"/>
  <c r="P78" i="6" s="1"/>
  <c r="BQ58" i="6"/>
  <c r="BO8" i="6"/>
  <c r="BI7" i="9" s="1"/>
  <c r="BW75" i="6"/>
  <c r="BX75" i="6" s="1"/>
  <c r="BR13" i="9" s="1"/>
  <c r="J85" i="6"/>
  <c r="AQ31" i="6"/>
  <c r="AK8" i="9" s="1"/>
  <c r="M31" i="6"/>
  <c r="BK12" i="9"/>
  <c r="BB11" i="9"/>
  <c r="U78" i="6"/>
  <c r="AU31" i="6"/>
  <c r="AO8" i="9" s="1"/>
  <c r="AY85" i="6"/>
  <c r="BZ8" i="6"/>
  <c r="BT7" i="9" s="1"/>
  <c r="AW94" i="6"/>
  <c r="AI99" i="6"/>
  <c r="W8" i="6"/>
  <c r="CA49" i="6"/>
  <c r="BI19" i="9"/>
  <c r="AO20" i="9"/>
  <c r="AL75" i="6"/>
  <c r="CB86" i="6"/>
  <c r="W78" i="6"/>
  <c r="AH85" i="6"/>
  <c r="CH8" i="6"/>
  <c r="CB7" i="9" s="1"/>
  <c r="BI98" i="6"/>
  <c r="BJ98" i="6" s="1"/>
  <c r="BK98" i="6" s="1"/>
  <c r="CI50" i="6"/>
  <c r="AT58" i="6"/>
  <c r="AT49" i="6" s="1"/>
  <c r="X94" i="6"/>
  <c r="Z94" i="6" s="1"/>
  <c r="AO85" i="6"/>
  <c r="AT78" i="6"/>
  <c r="AD18" i="6"/>
  <c r="AD8" i="6" s="1"/>
  <c r="BV32" i="6"/>
  <c r="BV31" i="6" s="1"/>
  <c r="BP8" i="9" s="1"/>
  <c r="BP9" i="9" s="1"/>
  <c r="CM35" i="6"/>
  <c r="CL94" i="6"/>
  <c r="CM39" i="6"/>
  <c r="CH11" i="9"/>
  <c r="CN58" i="6"/>
  <c r="CN49" i="6" s="1"/>
  <c r="CH31" i="6"/>
  <c r="CB8" i="9" s="1"/>
  <c r="BU94" i="6"/>
  <c r="BP13" i="9"/>
  <c r="AI75" i="6"/>
  <c r="AC13" i="9" s="1"/>
  <c r="AB13" i="9" s="1"/>
  <c r="BC59" i="6"/>
  <c r="AW11" i="9" s="1"/>
  <c r="Y49" i="6"/>
  <c r="T18" i="6"/>
  <c r="T8" i="6" s="1"/>
  <c r="CR75" i="6"/>
  <c r="CS75" i="6" s="1"/>
  <c r="CJ13" i="9"/>
  <c r="AL9" i="6"/>
  <c r="J94" i="6"/>
  <c r="L94" i="6" s="1"/>
  <c r="Y8" i="6"/>
  <c r="BC18" i="6"/>
  <c r="AW19" i="9" s="1"/>
  <c r="CN31" i="6"/>
  <c r="CH8" i="9" s="1"/>
  <c r="BU11" i="9"/>
  <c r="CT47" i="6"/>
  <c r="CT40" i="6" s="1"/>
  <c r="CT31" i="6" s="1"/>
  <c r="CT48" i="6" s="1"/>
  <c r="CT77" i="6" s="1"/>
  <c r="CT93" i="6" s="1"/>
  <c r="CT97" i="6" s="1"/>
  <c r="CR40" i="6"/>
  <c r="CR31" i="6" s="1"/>
  <c r="AC31" i="6"/>
  <c r="AC48" i="6" s="1"/>
  <c r="BJ8" i="6"/>
  <c r="BM31" i="6"/>
  <c r="BG8" i="9" s="1"/>
  <c r="CC8" i="6"/>
  <c r="BW7" i="9" s="1"/>
  <c r="X32" i="6"/>
  <c r="Z32" i="6" s="1"/>
  <c r="AP87" i="6"/>
  <c r="BA94" i="6"/>
  <c r="AX78" i="6"/>
  <c r="CC10" i="9"/>
  <c r="CE10" i="9" s="1"/>
  <c r="CG10" i="9" s="1"/>
  <c r="BA12" i="9"/>
  <c r="BC12" i="9" s="1"/>
  <c r="CC12" i="9"/>
  <c r="CE12" i="9" s="1"/>
  <c r="AV31" i="4"/>
  <c r="AV30" i="4" s="1"/>
  <c r="AW31" i="4"/>
  <c r="AW30" i="4" s="1"/>
  <c r="AH19" i="4"/>
  <c r="S41" i="4"/>
  <c r="O64" i="4"/>
  <c r="O63" i="4" s="1"/>
  <c r="K41" i="4"/>
  <c r="AP13" i="4"/>
  <c r="AP19" i="4"/>
  <c r="AN19" i="4"/>
  <c r="AN9" i="4" s="1"/>
  <c r="BC31" i="4"/>
  <c r="BC30" i="4" s="1"/>
  <c r="AM64" i="4"/>
  <c r="AM63" i="4" s="1"/>
  <c r="AS64" i="4"/>
  <c r="AS63" i="4" s="1"/>
  <c r="AW41" i="4"/>
  <c r="V64" i="4"/>
  <c r="V63" i="4" s="1"/>
  <c r="AU41" i="4"/>
  <c r="J13" i="4"/>
  <c r="D14" i="20" s="1"/>
  <c r="E14" i="20" s="1"/>
  <c r="F13" i="20" s="1"/>
  <c r="L19" i="4"/>
  <c r="L9" i="4" s="1"/>
  <c r="T19" i="4"/>
  <c r="AV13" i="4"/>
  <c r="BD64" i="4"/>
  <c r="BD63" i="4" s="1"/>
  <c r="BD41" i="4"/>
  <c r="U41" i="4"/>
  <c r="AU64" i="4"/>
  <c r="AU63" i="4" s="1"/>
  <c r="AY41" i="4"/>
  <c r="AJ63" i="4"/>
  <c r="O42" i="4"/>
  <c r="O41" i="4" s="1"/>
  <c r="Y64" i="4"/>
  <c r="Y63" i="4" s="1"/>
  <c r="AE64" i="4"/>
  <c r="AE63" i="4" s="1"/>
  <c r="BB19" i="4"/>
  <c r="BB9" i="4" s="1"/>
  <c r="AT19" i="4"/>
  <c r="AQ31" i="4"/>
  <c r="AQ30" i="4" s="1"/>
  <c r="BK99" i="6"/>
  <c r="CJ20" i="9"/>
  <c r="CL20" i="9" s="1"/>
  <c r="CN20" i="9" s="1"/>
  <c r="CP31" i="6"/>
  <c r="CJ8" i="9" s="1"/>
  <c r="CJ9" i="9" s="1"/>
  <c r="Z7" i="20"/>
  <c r="Z12" i="20" s="1"/>
  <c r="AN12" i="20"/>
  <c r="AX12" i="20"/>
  <c r="AV7" i="20"/>
  <c r="AV12" i="20" s="1"/>
  <c r="BH7" i="20"/>
  <c r="BH12" i="20" s="1"/>
  <c r="AF7" i="20"/>
  <c r="AF12" i="20" s="1"/>
  <c r="BJ12" i="20"/>
  <c r="AJ7" i="20"/>
  <c r="AJ12" i="20" s="1"/>
  <c r="BV7" i="20"/>
  <c r="AH7" i="20"/>
  <c r="AH12" i="20" s="1"/>
  <c r="BA7" i="20"/>
  <c r="BA12" i="20" s="1"/>
  <c r="BC7" i="20"/>
  <c r="BC12" i="20" s="1"/>
  <c r="BE12" i="20"/>
  <c r="BH16" i="20"/>
  <c r="BH19" i="20" s="1"/>
  <c r="BO7" i="20"/>
  <c r="BO12" i="20" s="1"/>
  <c r="BX16" i="20"/>
  <c r="BX19" i="20" s="1"/>
  <c r="BZ12" i="20"/>
  <c r="CG14" i="20"/>
  <c r="AP8" i="20"/>
  <c r="BL7" i="20"/>
  <c r="BL12" i="20" s="1"/>
  <c r="AK8" i="20"/>
  <c r="AK7" i="20" s="1"/>
  <c r="CC12" i="20"/>
  <c r="CC16" i="20"/>
  <c r="CC19" i="20" s="1"/>
  <c r="CE7" i="20"/>
  <c r="CE12" i="20" s="1"/>
  <c r="BL16" i="20"/>
  <c r="BL19" i="20" s="1"/>
  <c r="BQ16" i="20"/>
  <c r="BQ19" i="20" s="1"/>
  <c r="BV12" i="20"/>
  <c r="AH63" i="4"/>
  <c r="I19" i="4"/>
  <c r="R19" i="4"/>
  <c r="U19" i="4"/>
  <c r="X19" i="4"/>
  <c r="AC63" i="4"/>
  <c r="AG41" i="4"/>
  <c r="AX19" i="4"/>
  <c r="BC64" i="4"/>
  <c r="BC63" i="4" s="1"/>
  <c r="AW19" i="4"/>
  <c r="AL19" i="4"/>
  <c r="AL9" i="4" s="1"/>
  <c r="AK19" i="4"/>
  <c r="AK9" i="4" s="1"/>
  <c r="AT41" i="4"/>
  <c r="AZ64" i="4"/>
  <c r="Z19" i="4"/>
  <c r="J19" i="4"/>
  <c r="O19" i="4"/>
  <c r="P13" i="4"/>
  <c r="R41" i="4"/>
  <c r="I64" i="4"/>
  <c r="I63" i="4" s="1"/>
  <c r="M64" i="4"/>
  <c r="M63" i="4" s="1"/>
  <c r="Q64" i="4"/>
  <c r="Q63" i="4" s="1"/>
  <c r="AA19" i="4"/>
  <c r="AA41" i="4"/>
  <c r="AF64" i="4"/>
  <c r="AF63" i="4" s="1"/>
  <c r="AI64" i="4"/>
  <c r="AI63" i="4" s="1"/>
  <c r="AQ19" i="4"/>
  <c r="AU31" i="4"/>
  <c r="AU30" i="4" s="1"/>
  <c r="K64" i="4"/>
  <c r="K63" i="4" s="1"/>
  <c r="Y19" i="4"/>
  <c r="I13" i="4"/>
  <c r="C14" i="20" s="1"/>
  <c r="D13" i="20" s="1"/>
  <c r="N13" i="4"/>
  <c r="K14" i="20" s="1"/>
  <c r="L14" i="20" s="1"/>
  <c r="M13" i="20" s="1"/>
  <c r="S13" i="4"/>
  <c r="V41" i="4"/>
  <c r="W13" i="4"/>
  <c r="AC13" i="4"/>
  <c r="AC41" i="4"/>
  <c r="AE13" i="4"/>
  <c r="AE41" i="4"/>
  <c r="AF41" i="4"/>
  <c r="AJ13" i="4"/>
  <c r="AJ9" i="4" s="1"/>
  <c r="AL64" i="4"/>
  <c r="AL63" i="4" s="1"/>
  <c r="AS41" i="4"/>
  <c r="AS31" i="4"/>
  <c r="AS30" i="4" s="1"/>
  <c r="AV41" i="4"/>
  <c r="BD13" i="4"/>
  <c r="O27" i="9"/>
  <c r="O28" i="9" s="1"/>
  <c r="R9" i="9"/>
  <c r="R15" i="9" s="1"/>
  <c r="R18" i="9" s="1"/>
  <c r="K9" i="9"/>
  <c r="K15" i="9" s="1"/>
  <c r="K18" i="9" s="1"/>
  <c r="AB16" i="9"/>
  <c r="CC16" i="9"/>
  <c r="BO12" i="9"/>
  <c r="BQ12" i="9" s="1"/>
  <c r="BS12" i="9" s="1"/>
  <c r="BH10" i="9"/>
  <c r="BJ10" i="9" s="1"/>
  <c r="BL10" i="9" s="1"/>
  <c r="AQ16" i="9"/>
  <c r="BV19" i="9"/>
  <c r="BX19" i="9" s="1"/>
  <c r="T9" i="9"/>
  <c r="T15" i="9" s="1"/>
  <c r="T18" i="9" s="1"/>
  <c r="CC19" i="9"/>
  <c r="X9" i="9"/>
  <c r="X15" i="9" s="1"/>
  <c r="X18" i="9" s="1"/>
  <c r="I27" i="9"/>
  <c r="I28" i="9" s="1"/>
  <c r="BA19" i="9"/>
  <c r="BC19" i="9" s="1"/>
  <c r="BE19" i="9" s="1"/>
  <c r="BW45" i="6"/>
  <c r="BY45" i="6" s="1"/>
  <c r="BU40" i="6"/>
  <c r="CB50" i="6"/>
  <c r="BT10" i="9"/>
  <c r="BV10" i="9" s="1"/>
  <c r="BX10" i="9" s="1"/>
  <c r="BR52" i="6"/>
  <c r="BR50" i="6" s="1"/>
  <c r="BP50" i="6"/>
  <c r="AC49" i="6"/>
  <c r="AD85" i="6"/>
  <c r="AE85" i="6" s="1"/>
  <c r="CK33" i="6"/>
  <c r="CM33" i="6" s="1"/>
  <c r="CI32" i="6"/>
  <c r="CI31" i="6" s="1"/>
  <c r="BU20" i="9"/>
  <c r="BV20" i="9" s="1"/>
  <c r="BX20" i="9" s="1"/>
  <c r="CA31" i="6"/>
  <c r="BI42" i="6"/>
  <c r="BK42" i="6" s="1"/>
  <c r="BG40" i="6"/>
  <c r="BW19" i="6"/>
  <c r="BX19" i="6" s="1"/>
  <c r="BY19" i="6" s="1"/>
  <c r="BU18" i="6"/>
  <c r="CJ18" i="6"/>
  <c r="CK19" i="6"/>
  <c r="CK18" i="6" s="1"/>
  <c r="BI22" i="6"/>
  <c r="BK22" i="6" s="1"/>
  <c r="BK18" i="6" s="1"/>
  <c r="BG18" i="6"/>
  <c r="BL58" i="6"/>
  <c r="BL49" i="6" s="1"/>
  <c r="BF11" i="9"/>
  <c r="BH11" i="9" s="1"/>
  <c r="BJ11" i="9" s="1"/>
  <c r="BL11" i="9" s="1"/>
  <c r="BZ49" i="6"/>
  <c r="CH49" i="6"/>
  <c r="BP11" i="9"/>
  <c r="BV58" i="6"/>
  <c r="BV49" i="6" s="1"/>
  <c r="BU86" i="6"/>
  <c r="BV86" i="6" s="1"/>
  <c r="BW86" i="6" s="1"/>
  <c r="BX86" i="6" s="1"/>
  <c r="BY86" i="6" s="1"/>
  <c r="BT85" i="6"/>
  <c r="BA50" i="6"/>
  <c r="AU10" i="9" s="1"/>
  <c r="BB49" i="6"/>
  <c r="AV10" i="9"/>
  <c r="W49" i="6"/>
  <c r="J50" i="6"/>
  <c r="L50" i="6" s="1"/>
  <c r="I49" i="6"/>
  <c r="AN74" i="6"/>
  <c r="AH12" i="9" s="1"/>
  <c r="AF12" i="9"/>
  <c r="AN83" i="6"/>
  <c r="AN79" i="6" s="1"/>
  <c r="AL79" i="6"/>
  <c r="AN94" i="6"/>
  <c r="AP96" i="6"/>
  <c r="AO79" i="6"/>
  <c r="AP80" i="6"/>
  <c r="AI13" i="9"/>
  <c r="AM11" i="9"/>
  <c r="AS58" i="6"/>
  <c r="AS49" i="6" s="1"/>
  <c r="BE31" i="6"/>
  <c r="AY8" i="9" s="1"/>
  <c r="AY9" i="9" s="1"/>
  <c r="AY15" i="9" s="1"/>
  <c r="AY18" i="9" s="1"/>
  <c r="AY20" i="9"/>
  <c r="BA20" i="9" s="1"/>
  <c r="BC20" i="9" s="1"/>
  <c r="BE20" i="9" s="1"/>
  <c r="AG10" i="6"/>
  <c r="AI10" i="6" s="1"/>
  <c r="AI9" i="6" s="1"/>
  <c r="AE9" i="6"/>
  <c r="Y28" i="9" s="1"/>
  <c r="AP11" i="6"/>
  <c r="AN9" i="6"/>
  <c r="BH88" i="6"/>
  <c r="BI88" i="6" s="1"/>
  <c r="BJ88" i="6" s="1"/>
  <c r="BK88" i="6" s="1"/>
  <c r="BG85" i="6"/>
  <c r="BM8" i="6"/>
  <c r="BG7" i="9" s="1"/>
  <c r="BH7" i="9" s="1"/>
  <c r="BT8" i="6"/>
  <c r="BN7" i="9" s="1"/>
  <c r="BN9" i="9" s="1"/>
  <c r="CG8" i="6"/>
  <c r="CA7" i="9" s="1"/>
  <c r="CK11" i="6"/>
  <c r="CK9" i="6" s="1"/>
  <c r="CI9" i="6"/>
  <c r="BX44" i="6"/>
  <c r="BY44" i="6" s="1"/>
  <c r="CF12" i="9"/>
  <c r="CL58" i="6"/>
  <c r="BN75" i="6"/>
  <c r="BP75" i="6" s="1"/>
  <c r="BQ75" i="6" s="1"/>
  <c r="BG13" i="9"/>
  <c r="BH13" i="9" s="1"/>
  <c r="BJ13" i="9" s="1"/>
  <c r="CA13" i="9"/>
  <c r="CC13" i="9" s="1"/>
  <c r="CE13" i="9" s="1"/>
  <c r="CG49" i="6"/>
  <c r="CB80" i="6"/>
  <c r="CB79" i="6" s="1"/>
  <c r="CA79" i="6"/>
  <c r="CA78" i="6" s="1"/>
  <c r="BV81" i="6"/>
  <c r="BW81" i="6" s="1"/>
  <c r="BX81" i="6" s="1"/>
  <c r="BY81" i="6" s="1"/>
  <c r="BU79" i="6"/>
  <c r="L9" i="6"/>
  <c r="CD10" i="6"/>
  <c r="CD9" i="6" s="1"/>
  <c r="CI94" i="6"/>
  <c r="CK94" i="6"/>
  <c r="BW60" i="6"/>
  <c r="BX60" i="6" s="1"/>
  <c r="BY60" i="6" s="1"/>
  <c r="BY59" i="6" s="1"/>
  <c r="BY58" i="6" s="1"/>
  <c r="N94" i="6"/>
  <c r="Q94" i="6"/>
  <c r="S94" i="6" s="1"/>
  <c r="K31" i="6"/>
  <c r="X40" i="6"/>
  <c r="Z40" i="6" s="1"/>
  <c r="R85" i="6"/>
  <c r="AC78" i="6"/>
  <c r="AD32" i="6"/>
  <c r="AE32" i="6" s="1"/>
  <c r="AD40" i="6"/>
  <c r="X20" i="9" s="1"/>
  <c r="AF40" i="6"/>
  <c r="AH40" i="6"/>
  <c r="AI40" i="6" s="1"/>
  <c r="AC20" i="9" s="1"/>
  <c r="AB20" i="9" s="1"/>
  <c r="CB18" i="6"/>
  <c r="BY9" i="6"/>
  <c r="CB94" i="6"/>
  <c r="Q79" i="6"/>
  <c r="P49" i="6"/>
  <c r="V78" i="6"/>
  <c r="AS78" i="6"/>
  <c r="AU49" i="6"/>
  <c r="AV78" i="6"/>
  <c r="AW79" i="6"/>
  <c r="AW85" i="6"/>
  <c r="BA32" i="6"/>
  <c r="AY79" i="6"/>
  <c r="BC94" i="6"/>
  <c r="CD40" i="6"/>
  <c r="BH49" i="6"/>
  <c r="CK60" i="6"/>
  <c r="AM78" i="6"/>
  <c r="R49" i="6"/>
  <c r="X58" i="6"/>
  <c r="Z58" i="6" s="1"/>
  <c r="AN99" i="6"/>
  <c r="AP99" i="6" s="1"/>
  <c r="AH59" i="6"/>
  <c r="AH58" i="6" s="1"/>
  <c r="AO49" i="6"/>
  <c r="AP88" i="6"/>
  <c r="AQ49" i="6"/>
  <c r="AR31" i="6"/>
  <c r="AL8" i="9" s="1"/>
  <c r="AT31" i="6"/>
  <c r="AN8" i="9" s="1"/>
  <c r="AN9" i="9" s="1"/>
  <c r="AN15" i="9" s="1"/>
  <c r="AN18" i="9" s="1"/>
  <c r="AN27" i="9" s="1"/>
  <c r="AN28" i="9" s="1"/>
  <c r="BS31" i="6"/>
  <c r="BM8" i="9" s="1"/>
  <c r="BO8" i="9" s="1"/>
  <c r="CC31" i="6"/>
  <c r="BW8" i="9" s="1"/>
  <c r="BG32" i="6"/>
  <c r="CF82" i="6"/>
  <c r="CN78" i="6"/>
  <c r="CI86" i="6"/>
  <c r="CH85" i="6"/>
  <c r="BK33" i="6"/>
  <c r="BK32" i="6" s="1"/>
  <c r="BI32" i="6"/>
  <c r="N9" i="6"/>
  <c r="S9" i="6"/>
  <c r="CL32" i="6"/>
  <c r="CL31" i="6" s="1"/>
  <c r="CF8" i="9" s="1"/>
  <c r="BO31" i="6"/>
  <c r="BN59" i="6"/>
  <c r="BN58" i="6" s="1"/>
  <c r="BP18" i="6"/>
  <c r="AL32" i="6"/>
  <c r="AL59" i="6"/>
  <c r="J79" i="6"/>
  <c r="BC79" i="6"/>
  <c r="Z9" i="6"/>
  <c r="AI10" i="9"/>
  <c r="BN9" i="6"/>
  <c r="BN8" i="6" s="1"/>
  <c r="BU9" i="6"/>
  <c r="CB9" i="6"/>
  <c r="AB73" i="6"/>
  <c r="BM79" i="6"/>
  <c r="CC20" i="9"/>
  <c r="CE20" i="9" s="1"/>
  <c r="CG20" i="9" s="1"/>
  <c r="AZ11" i="9"/>
  <c r="BA11" i="9" s="1"/>
  <c r="BB78" i="6"/>
  <c r="BO11" i="9"/>
  <c r="CE41" i="6"/>
  <c r="AM31" i="6"/>
  <c r="S27" i="9"/>
  <c r="S28" i="9" s="1"/>
  <c r="AJ8" i="6"/>
  <c r="AD58" i="6"/>
  <c r="BR18" i="6"/>
  <c r="U9" i="6"/>
  <c r="U8" i="6" s="1"/>
  <c r="CI18" i="6"/>
  <c r="AY32" i="6"/>
  <c r="P27" i="9"/>
  <c r="P28" i="9" s="1"/>
  <c r="Q9" i="6"/>
  <c r="Q8" i="6" s="1"/>
  <c r="BR9" i="6"/>
  <c r="AL94" i="6"/>
  <c r="X9" i="6"/>
  <c r="AZ31" i="6"/>
  <c r="CM8" i="6"/>
  <c r="AT19" i="9"/>
  <c r="BA18" i="6"/>
  <c r="AU19" i="9" s="1"/>
  <c r="CB40" i="6"/>
  <c r="R31" i="6"/>
  <c r="L27" i="9"/>
  <c r="L28" i="9" s="1"/>
  <c r="P31" i="6"/>
  <c r="P48" i="6" s="1"/>
  <c r="M78" i="6"/>
  <c r="AH94" i="6"/>
  <c r="Q66" i="6"/>
  <c r="S66" i="6" s="1"/>
  <c r="U66" i="6" s="1"/>
  <c r="AF58" i="6"/>
  <c r="AP84" i="6"/>
  <c r="AP91" i="6"/>
  <c r="AY50" i="6"/>
  <c r="AS10" i="9" s="1"/>
  <c r="AY94" i="6"/>
  <c r="AV31" i="6"/>
  <c r="AP8" i="9" s="1"/>
  <c r="AP20" i="9"/>
  <c r="AP59" i="6"/>
  <c r="AJ11" i="9" s="1"/>
  <c r="BG59" i="6"/>
  <c r="BG58" i="6" s="1"/>
  <c r="X85" i="6"/>
  <c r="BE49" i="6"/>
  <c r="BF79" i="6"/>
  <c r="AN85" i="6"/>
  <c r="AZ78" i="6"/>
  <c r="CD19" i="6"/>
  <c r="CE19" i="6" s="1"/>
  <c r="CF19" i="6" s="1"/>
  <c r="CF18" i="6" s="1"/>
  <c r="AL85" i="6"/>
  <c r="BM85" i="6"/>
  <c r="CM94" i="6"/>
  <c r="BW11" i="9"/>
  <c r="AK11" i="9"/>
  <c r="AL20" i="9"/>
  <c r="AO8" i="6"/>
  <c r="AI7" i="9" s="1"/>
  <c r="T32" i="6"/>
  <c r="W31" i="6"/>
  <c r="AK31" i="6"/>
  <c r="AE8" i="9" s="1"/>
  <c r="BZ78" i="6"/>
  <c r="BN94" i="6"/>
  <c r="BV12" i="9"/>
  <c r="BX12" i="9" s="1"/>
  <c r="U31" i="6"/>
  <c r="AB31" i="6"/>
  <c r="AJ78" i="6"/>
  <c r="K8" i="6"/>
  <c r="R8" i="6"/>
  <c r="AO31" i="6"/>
  <c r="AI8" i="9" s="1"/>
  <c r="BD31" i="6"/>
  <c r="AX8" i="9" s="1"/>
  <c r="AA18" i="6"/>
  <c r="BZ31" i="6"/>
  <c r="BU32" i="6"/>
  <c r="BW36" i="6"/>
  <c r="BX36" i="6" s="1"/>
  <c r="BY36" i="6" s="1"/>
  <c r="CC49" i="6"/>
  <c r="BA13" i="9"/>
  <c r="BC13" i="9" s="1"/>
  <c r="BQ80" i="6"/>
  <c r="Y31" i="6"/>
  <c r="BC32" i="6"/>
  <c r="BB31" i="6"/>
  <c r="N40" i="6"/>
  <c r="CF74" i="6"/>
  <c r="BY12" i="9"/>
  <c r="BO84" i="6"/>
  <c r="BP84" i="6" s="1"/>
  <c r="BQ84" i="6" s="1"/>
  <c r="BR84" i="6" s="1"/>
  <c r="BN79" i="6"/>
  <c r="AF57" i="6"/>
  <c r="AF50" i="6" s="1"/>
  <c r="AE50" i="6"/>
  <c r="AN32" i="6"/>
  <c r="BX9" i="6"/>
  <c r="Q58" i="6"/>
  <c r="S58" i="6" s="1"/>
  <c r="Q27" i="9"/>
  <c r="Q28" i="9" s="1"/>
  <c r="BR40" i="6"/>
  <c r="AA40" i="6"/>
  <c r="AA32" i="6"/>
  <c r="H31" i="6"/>
  <c r="H48" i="6" s="1"/>
  <c r="B27" i="9"/>
  <c r="B28" i="9" s="1"/>
  <c r="AL52" i="6"/>
  <c r="AJ50" i="6"/>
  <c r="CK67" i="6"/>
  <c r="CI59" i="6"/>
  <c r="CI58" i="6" s="1"/>
  <c r="CB59" i="6"/>
  <c r="CB58" i="6" s="1"/>
  <c r="CD68" i="6"/>
  <c r="CE68" i="6" s="1"/>
  <c r="CF68" i="6" s="1"/>
  <c r="CF59" i="6" s="1"/>
  <c r="S61" i="6"/>
  <c r="U61" i="6" s="1"/>
  <c r="BN85" i="6"/>
  <c r="BP40" i="6"/>
  <c r="O49" i="6"/>
  <c r="Q50" i="6"/>
  <c r="S50" i="6" s="1"/>
  <c r="T50" i="6" s="1"/>
  <c r="T49" i="6" s="1"/>
  <c r="X50" i="6"/>
  <c r="V49" i="6"/>
  <c r="AH79" i="6"/>
  <c r="AG11" i="9"/>
  <c r="AM58" i="6"/>
  <c r="AM49" i="6" s="1"/>
  <c r="AU12" i="6"/>
  <c r="AW12" i="6" s="1"/>
  <c r="AS9" i="6"/>
  <c r="AS8" i="6" s="1"/>
  <c r="C27" i="9"/>
  <c r="C28" i="9" s="1"/>
  <c r="J18" i="6"/>
  <c r="BI12" i="6"/>
  <c r="BG9" i="6"/>
  <c r="CD34" i="6"/>
  <c r="CB32" i="6"/>
  <c r="CK50" i="6"/>
  <c r="CM51" i="6"/>
  <c r="CM50" i="6" s="1"/>
  <c r="CE55" i="6"/>
  <c r="CF55" i="6" s="1"/>
  <c r="CF50" i="6" s="1"/>
  <c r="CD50" i="6"/>
  <c r="BX57" i="6"/>
  <c r="BW50" i="6"/>
  <c r="N50" i="6"/>
  <c r="AA50" i="6"/>
  <c r="AA49" i="6" s="1"/>
  <c r="T40" i="6"/>
  <c r="AA94" i="6"/>
  <c r="G27" i="9"/>
  <c r="G28" i="9" s="1"/>
  <c r="W27" i="9"/>
  <c r="W28" i="9" s="1"/>
  <c r="K78" i="6"/>
  <c r="AH32" i="6"/>
  <c r="AH50" i="6"/>
  <c r="CM40" i="6"/>
  <c r="CH13" i="9"/>
  <c r="N79" i="6"/>
  <c r="BW9" i="6"/>
  <c r="AP32" i="6"/>
  <c r="AD94" i="6"/>
  <c r="AE94" i="6" s="1"/>
  <c r="AF32" i="6"/>
  <c r="AF79" i="6"/>
  <c r="AF85" i="6"/>
  <c r="N18" i="6"/>
  <c r="AP95" i="6"/>
  <c r="AW50" i="6"/>
  <c r="AW18" i="6"/>
  <c r="AQ19" i="9" s="1"/>
  <c r="BH20" i="9"/>
  <c r="BJ20" i="9" s="1"/>
  <c r="BL20" i="9" s="1"/>
  <c r="BO20" i="9"/>
  <c r="BQ20" i="9" s="1"/>
  <c r="AH18" i="6"/>
  <c r="AH8" i="6" s="1"/>
  <c r="BL31" i="6"/>
  <c r="CH10" i="9"/>
  <c r="CP50" i="6"/>
  <c r="H49" i="6"/>
  <c r="AW59" i="6"/>
  <c r="BD78" i="6"/>
  <c r="AU16" i="6"/>
  <c r="AW16" i="6" s="1"/>
  <c r="Z13" i="20"/>
  <c r="AB13" i="20" s="1"/>
  <c r="X13" i="20"/>
  <c r="AG64" i="4"/>
  <c r="AG63" i="4" s="1"/>
  <c r="BA19" i="4"/>
  <c r="N41" i="4"/>
  <c r="Q13" i="4"/>
  <c r="S19" i="4"/>
  <c r="V13" i="4"/>
  <c r="X13" i="4"/>
  <c r="AC19" i="4"/>
  <c r="AK64" i="4"/>
  <c r="AK63" i="4" s="1"/>
  <c r="AT13" i="4"/>
  <c r="AX31" i="4"/>
  <c r="AX30" i="4" s="1"/>
  <c r="BD31" i="4"/>
  <c r="BD30" i="4" s="1"/>
  <c r="N64" i="4"/>
  <c r="N63" i="4" s="1"/>
  <c r="AA13" i="4"/>
  <c r="AB19" i="4"/>
  <c r="AR19" i="4"/>
  <c r="AT64" i="4"/>
  <c r="AT63" i="4" s="1"/>
  <c r="AM31" i="4"/>
  <c r="AM30" i="4" s="1"/>
  <c r="W19" i="4"/>
  <c r="R63" i="4"/>
  <c r="Z63" i="4"/>
  <c r="K13" i="4"/>
  <c r="F14" i="20" s="1"/>
  <c r="G14" i="20" s="1"/>
  <c r="H13" i="20" s="1"/>
  <c r="M13" i="4"/>
  <c r="J14" i="20" s="1"/>
  <c r="K13" i="20" s="1"/>
  <c r="N19" i="4"/>
  <c r="P19" i="4"/>
  <c r="P9" i="4" s="1"/>
  <c r="T41" i="4"/>
  <c r="U13" i="4"/>
  <c r="Y41" i="4"/>
  <c r="AA64" i="4"/>
  <c r="AA63" i="4" s="1"/>
  <c r="AF19" i="4"/>
  <c r="AO41" i="4"/>
  <c r="AS13" i="4"/>
  <c r="AW64" i="4"/>
  <c r="AW63" i="4" s="1"/>
  <c r="BC13" i="4"/>
  <c r="AM19" i="4"/>
  <c r="BA41" i="4"/>
  <c r="T9" i="19"/>
  <c r="V9" i="19" s="1"/>
  <c r="R8" i="19"/>
  <c r="AH8" i="19"/>
  <c r="AJ9" i="19"/>
  <c r="AJ8" i="19" s="1"/>
  <c r="F8" i="19"/>
  <c r="H21" i="19"/>
  <c r="D21" i="19"/>
  <c r="BV8" i="19"/>
  <c r="D8" i="19"/>
  <c r="BC8" i="19"/>
  <c r="AV8" i="19"/>
  <c r="CG10" i="19"/>
  <c r="CG8" i="19" s="1"/>
  <c r="BH8" i="19"/>
  <c r="AM8" i="19"/>
  <c r="K21" i="19"/>
  <c r="AF8" i="19"/>
  <c r="F21" i="19"/>
  <c r="CN8" i="6"/>
  <c r="CH7" i="9" s="1"/>
  <c r="AP29" i="8"/>
  <c r="AN27" i="8"/>
  <c r="BB9" i="9"/>
  <c r="AQ12" i="19"/>
  <c r="AQ8" i="19" s="1"/>
  <c r="AO8" i="19"/>
  <c r="AZ58" i="6"/>
  <c r="AY59" i="6"/>
  <c r="AS11" i="9" s="1"/>
  <c r="BH48" i="6"/>
  <c r="BP9" i="6"/>
  <c r="H8" i="19"/>
  <c r="V22" i="19"/>
  <c r="V21" i="19" s="1"/>
  <c r="T21" i="19"/>
  <c r="AI7" i="20"/>
  <c r="AI12" i="20" s="1"/>
  <c r="S19" i="8"/>
  <c r="S15" i="8" s="1"/>
  <c r="AN25" i="8"/>
  <c r="BH39" i="8"/>
  <c r="BH38" i="8" s="1"/>
  <c r="BG38" i="8"/>
  <c r="BG32" i="8" s="1"/>
  <c r="AA9" i="19"/>
  <c r="Y8" i="19"/>
  <c r="BX96" i="6"/>
  <c r="BW94" i="6"/>
  <c r="AE7" i="9"/>
  <c r="CM34" i="6"/>
  <c r="BG79" i="6"/>
  <c r="BH81" i="6"/>
  <c r="BN40" i="6"/>
  <c r="Y21" i="19"/>
  <c r="AT11" i="9"/>
  <c r="BW91" i="6"/>
  <c r="BX91" i="6" s="1"/>
  <c r="BP87" i="6"/>
  <c r="BQ87" i="6" s="1"/>
  <c r="BO85" i="6"/>
  <c r="AU52" i="8"/>
  <c r="S10" i="8"/>
  <c r="U10" i="8" s="1"/>
  <c r="U8" i="8" s="1"/>
  <c r="Q8" i="8"/>
  <c r="O25" i="19"/>
  <c r="M21" i="19"/>
  <c r="AX58" i="6"/>
  <c r="AX49" i="6" s="1"/>
  <c r="AR11" i="9"/>
  <c r="AP25" i="6"/>
  <c r="AP18" i="6" s="1"/>
  <c r="AJ19" i="9" s="1"/>
  <c r="AN18" i="6"/>
  <c r="BP39" i="6"/>
  <c r="BN32" i="6"/>
  <c r="BK52" i="6"/>
  <c r="BK50" i="6" s="1"/>
  <c r="BI50" i="6"/>
  <c r="AL18" i="6"/>
  <c r="AF19" i="9" s="1"/>
  <c r="AW11" i="6"/>
  <c r="N60" i="6"/>
  <c r="AP39" i="8"/>
  <c r="AP38" i="8" s="1"/>
  <c r="AN23" i="8"/>
  <c r="CH79" i="6"/>
  <c r="CI80" i="6"/>
  <c r="S18" i="6"/>
  <c r="U38" i="8"/>
  <c r="BH32" i="8"/>
  <c r="U33" i="8"/>
  <c r="U42" i="8"/>
  <c r="AB15" i="8"/>
  <c r="BK62" i="6"/>
  <c r="BK59" i="6" s="1"/>
  <c r="BK58" i="6" s="1"/>
  <c r="BI59" i="6"/>
  <c r="BI58" i="6" s="1"/>
  <c r="AN59" i="6"/>
  <c r="BU59" i="6"/>
  <c r="BU58" i="6" s="1"/>
  <c r="BX20" i="6"/>
  <c r="AW19" i="8"/>
  <c r="BW80" i="6"/>
  <c r="BW52" i="8"/>
  <c r="CA32" i="8"/>
  <c r="BA59" i="6"/>
  <c r="AU11" i="9" s="1"/>
  <c r="J27" i="9"/>
  <c r="J28" i="9" s="1"/>
  <c r="Q40" i="6"/>
  <c r="Q32" i="6"/>
  <c r="S32" i="6" s="1"/>
  <c r="O31" i="6"/>
  <c r="N86" i="6"/>
  <c r="N85" i="6" s="1"/>
  <c r="L85" i="6"/>
  <c r="AC23" i="19"/>
  <c r="AC21" i="19" s="1"/>
  <c r="AA21" i="19"/>
  <c r="AP8" i="8"/>
  <c r="AM15" i="8"/>
  <c r="AM22" i="8" s="1"/>
  <c r="AN16" i="8"/>
  <c r="O21" i="19"/>
  <c r="AP45" i="8"/>
  <c r="AB42" i="8"/>
  <c r="S42" i="8"/>
  <c r="BK41" i="6"/>
  <c r="BK86" i="6"/>
  <c r="CA31" i="8"/>
  <c r="CA52" i="8" s="1"/>
  <c r="BR52" i="8"/>
  <c r="BH15" i="8"/>
  <c r="BD58" i="6"/>
  <c r="AX11" i="9"/>
  <c r="BC15" i="8"/>
  <c r="BB22" i="8"/>
  <c r="AN43" i="8"/>
  <c r="O14" i="20"/>
  <c r="Q19" i="8"/>
  <c r="Q15" i="8" s="1"/>
  <c r="X19" i="8"/>
  <c r="X15" i="8" s="1"/>
  <c r="X22" i="8" s="1"/>
  <c r="X26" i="8" s="1"/>
  <c r="K9" i="8"/>
  <c r="K8" i="8" s="1"/>
  <c r="J8" i="8"/>
  <c r="J22" i="8" s="1"/>
  <c r="L64" i="4"/>
  <c r="L63" i="4" s="1"/>
  <c r="W64" i="4"/>
  <c r="W63" i="4" s="1"/>
  <c r="L68" i="6"/>
  <c r="N68" i="6" s="1"/>
  <c r="J59" i="6"/>
  <c r="AN17" i="8"/>
  <c r="AP17" i="8" s="1"/>
  <c r="AL44" i="8"/>
  <c r="AN44" i="8" s="1"/>
  <c r="AP44" i="8" s="1"/>
  <c r="AK42" i="8"/>
  <c r="CK52" i="8"/>
  <c r="AM32" i="8"/>
  <c r="E27" i="9"/>
  <c r="E28" i="9" s="1"/>
  <c r="S29" i="8"/>
  <c r="Q27" i="8"/>
  <c r="AG32" i="8"/>
  <c r="P64" i="4"/>
  <c r="P63" i="4" s="1"/>
  <c r="V11" i="19"/>
  <c r="V8" i="19" s="1"/>
  <c r="T8" i="19"/>
  <c r="Z63" i="6"/>
  <c r="X59" i="6"/>
  <c r="AN44" i="6"/>
  <c r="AL40" i="6"/>
  <c r="AF20" i="9" s="1"/>
  <c r="AP28" i="8"/>
  <c r="AP27" i="8" s="1"/>
  <c r="P32" i="8"/>
  <c r="P52" i="8" s="1"/>
  <c r="AH33" i="8"/>
  <c r="L79" i="6"/>
  <c r="P21" i="19"/>
  <c r="Q14" i="20"/>
  <c r="H14" i="20"/>
  <c r="I14" i="20" s="1"/>
  <c r="J13" i="20" s="1"/>
  <c r="AL8" i="8"/>
  <c r="D9" i="9"/>
  <c r="D15" i="9" s="1"/>
  <c r="D18" i="9" s="1"/>
  <c r="BV32" i="8"/>
  <c r="CC22" i="8"/>
  <c r="Q42" i="8"/>
  <c r="Q32" i="8" s="1"/>
  <c r="AG22" i="8"/>
  <c r="AG26" i="8" s="1"/>
  <c r="AG31" i="8" s="1"/>
  <c r="Q41" i="4"/>
  <c r="R13" i="4"/>
  <c r="O32" i="8"/>
  <c r="T22" i="8"/>
  <c r="T26" i="8" s="1"/>
  <c r="T31" i="8" s="1"/>
  <c r="T52" i="8" s="1"/>
  <c r="J40" i="6"/>
  <c r="I49" i="4"/>
  <c r="I41" i="4" s="1"/>
  <c r="AF38" i="8"/>
  <c r="AF94" i="6"/>
  <c r="AD42" i="8"/>
  <c r="AH23" i="8"/>
  <c r="AD64" i="4"/>
  <c r="AD63" i="4" s="1"/>
  <c r="L22" i="8"/>
  <c r="L26" i="8" s="1"/>
  <c r="L31" i="8" s="1"/>
  <c r="AA32" i="8"/>
  <c r="AA52" i="8" s="1"/>
  <c r="J33" i="8"/>
  <c r="J32" i="8" s="1"/>
  <c r="M32" i="8"/>
  <c r="AF27" i="8"/>
  <c r="AF31" i="8" s="1"/>
  <c r="AI22" i="8"/>
  <c r="AI26" i="8" s="1"/>
  <c r="AI31" i="8" s="1"/>
  <c r="AI52" i="8" s="1"/>
  <c r="AH42" i="8"/>
  <c r="Z41" i="4"/>
  <c r="AK10" i="20"/>
  <c r="AW15" i="8"/>
  <c r="M7" i="9"/>
  <c r="AD46" i="8"/>
  <c r="AB64" i="4"/>
  <c r="AB63" i="4" s="1"/>
  <c r="AR8" i="6"/>
  <c r="Y13" i="4"/>
  <c r="Z13" i="4"/>
  <c r="AB13" i="4"/>
  <c r="AW40" i="6"/>
  <c r="AS19" i="4"/>
  <c r="BC27" i="8"/>
  <c r="AQ41" i="4"/>
  <c r="AU13" i="4"/>
  <c r="BD32" i="8"/>
  <c r="CE33" i="8"/>
  <c r="BS16" i="20"/>
  <c r="BS19" i="20" s="1"/>
  <c r="BS7" i="20"/>
  <c r="BS12" i="20" s="1"/>
  <c r="AP17" i="6"/>
  <c r="CH38" i="8"/>
  <c r="BX7" i="20"/>
  <c r="BX12" i="20" s="1"/>
  <c r="BM15" i="8"/>
  <c r="BQ7" i="20"/>
  <c r="BQ12" i="20" s="1"/>
  <c r="BV16" i="20"/>
  <c r="BV19" i="20" s="1"/>
  <c r="BF31" i="6"/>
  <c r="AZ8" i="9" s="1"/>
  <c r="CJ31" i="6"/>
  <c r="CD8" i="9" s="1"/>
  <c r="CM59" i="6"/>
  <c r="CM58" i="6" s="1"/>
  <c r="BN50" i="6"/>
  <c r="BO16" i="20"/>
  <c r="BO19" i="20" s="1"/>
  <c r="BZ16" i="20"/>
  <c r="BZ19" i="20" s="1"/>
  <c r="BJ16" i="20"/>
  <c r="BJ19" i="20" s="1"/>
  <c r="AZ63" i="4"/>
  <c r="CI75" i="6"/>
  <c r="AZ9" i="4" l="1"/>
  <c r="AG9" i="4"/>
  <c r="AR9" i="9"/>
  <c r="CD94" i="6"/>
  <c r="AP9" i="6"/>
  <c r="V48" i="6"/>
  <c r="AP94" i="6"/>
  <c r="AE59" i="6"/>
  <c r="AE58" i="6" s="1"/>
  <c r="AG58" i="6" s="1"/>
  <c r="AI58" i="6" s="1"/>
  <c r="AI59" i="6"/>
  <c r="AC11" i="9" s="1"/>
  <c r="BI40" i="6"/>
  <c r="BI31" i="6" s="1"/>
  <c r="BY13" i="9"/>
  <c r="BZ13" i="9" s="1"/>
  <c r="AG59" i="6"/>
  <c r="AA11" i="9" s="1"/>
  <c r="Z11" i="9" s="1"/>
  <c r="AG52" i="8"/>
  <c r="AB22" i="8"/>
  <c r="AB26" i="8" s="1"/>
  <c r="AB31" i="8" s="1"/>
  <c r="CH22" i="8"/>
  <c r="CH26" i="8" s="1"/>
  <c r="CH31" i="8" s="1"/>
  <c r="AW22" i="8"/>
  <c r="AW26" i="8" s="1"/>
  <c r="AW31" i="8" s="1"/>
  <c r="AW52" i="8" s="1"/>
  <c r="AF32" i="8"/>
  <c r="AF52" i="8" s="1"/>
  <c r="CC26" i="8"/>
  <c r="CC31" i="8" s="1"/>
  <c r="CC52" i="8" s="1"/>
  <c r="AO33" i="8"/>
  <c r="AO32" i="8" s="1"/>
  <c r="AM26" i="8"/>
  <c r="AM31" i="8" s="1"/>
  <c r="AX26" i="8"/>
  <c r="AX31" i="8" s="1"/>
  <c r="BX26" i="8"/>
  <c r="BX31" i="8" s="1"/>
  <c r="BX52" i="8" s="1"/>
  <c r="AO22" i="8"/>
  <c r="CL26" i="8"/>
  <c r="CL31" i="8" s="1"/>
  <c r="CL52" i="8" s="1"/>
  <c r="BT52" i="8"/>
  <c r="BM22" i="8"/>
  <c r="BM26" i="8" s="1"/>
  <c r="BM31" i="8" s="1"/>
  <c r="BM52" i="8" s="1"/>
  <c r="CJ22" i="8"/>
  <c r="CJ26" i="8" s="1"/>
  <c r="CJ31" i="8" s="1"/>
  <c r="CJ52" i="8" s="1"/>
  <c r="CJ32" i="8"/>
  <c r="L52" i="8"/>
  <c r="AK32" i="8"/>
  <c r="J26" i="8"/>
  <c r="J31" i="8" s="1"/>
  <c r="AE52" i="8"/>
  <c r="Z22" i="8"/>
  <c r="Z26" i="8" s="1"/>
  <c r="Z31" i="8" s="1"/>
  <c r="AH22" i="8"/>
  <c r="BG22" i="8"/>
  <c r="BG26" i="8" s="1"/>
  <c r="BG31" i="8" s="1"/>
  <c r="BG52" i="8" s="1"/>
  <c r="S32" i="8"/>
  <c r="X32" i="8"/>
  <c r="W48" i="6"/>
  <c r="W77" i="6" s="1"/>
  <c r="W93" i="6" s="1"/>
  <c r="W97" i="6" s="1"/>
  <c r="W98" i="6" s="1"/>
  <c r="BB9" i="6"/>
  <c r="BA9" i="6" s="1"/>
  <c r="BA8" i="6" s="1"/>
  <c r="AU7" i="9" s="1"/>
  <c r="AH49" i="6"/>
  <c r="BJ95" i="6"/>
  <c r="BJ94" i="6" s="1"/>
  <c r="BG49" i="6"/>
  <c r="CK59" i="6"/>
  <c r="CK58" i="6" s="1"/>
  <c r="BX40" i="6"/>
  <c r="BR20" i="9" s="1"/>
  <c r="BS20" i="9" s="1"/>
  <c r="BG31" i="6"/>
  <c r="AT48" i="6"/>
  <c r="AT77" i="6" s="1"/>
  <c r="AT93" i="6" s="1"/>
  <c r="AT97" i="6" s="1"/>
  <c r="AB48" i="6"/>
  <c r="AO78" i="6"/>
  <c r="AX48" i="6"/>
  <c r="AX77" i="6" s="1"/>
  <c r="AX93" i="6" s="1"/>
  <c r="AX97" i="6" s="1"/>
  <c r="BQ95" i="6"/>
  <c r="BQ94" i="6" s="1"/>
  <c r="BU85" i="6"/>
  <c r="BU78" i="6" s="1"/>
  <c r="BK40" i="6"/>
  <c r="BK31" i="6" s="1"/>
  <c r="CC80" i="6"/>
  <c r="CC79" i="6" s="1"/>
  <c r="BU31" i="6"/>
  <c r="CI8" i="6"/>
  <c r="CI48" i="6" s="1"/>
  <c r="BT78" i="6"/>
  <c r="AP74" i="6"/>
  <c r="AJ12" i="9" s="1"/>
  <c r="BP59" i="6"/>
  <c r="BP58" i="6" s="1"/>
  <c r="BP49" i="6" s="1"/>
  <c r="BG78" i="6"/>
  <c r="BQ48" i="6"/>
  <c r="BV11" i="9"/>
  <c r="BX11" i="9" s="1"/>
  <c r="BT48" i="6"/>
  <c r="BT77" i="6" s="1"/>
  <c r="BJ7" i="9"/>
  <c r="BL7" i="9" s="1"/>
  <c r="AY78" i="6"/>
  <c r="AI74" i="6"/>
  <c r="AC12" i="9" s="1"/>
  <c r="AA12" i="9"/>
  <c r="Z12" i="9" s="1"/>
  <c r="Q31" i="6"/>
  <c r="S31" i="6" s="1"/>
  <c r="AG9" i="6"/>
  <c r="AY31" i="6"/>
  <c r="AS8" i="9" s="1"/>
  <c r="CB8" i="6"/>
  <c r="J48" i="6"/>
  <c r="BU8" i="6"/>
  <c r="CG12" i="9"/>
  <c r="K48" i="6"/>
  <c r="K77" i="6" s="1"/>
  <c r="K93" i="6" s="1"/>
  <c r="K97" i="6" s="1"/>
  <c r="K98" i="6" s="1"/>
  <c r="BV7" i="9"/>
  <c r="BX7" i="9" s="1"/>
  <c r="M48" i="6"/>
  <c r="M77" i="6" s="1"/>
  <c r="M93" i="6" s="1"/>
  <c r="M97" i="6" s="1"/>
  <c r="M98" i="6" s="1"/>
  <c r="AZ8" i="6"/>
  <c r="AZ48" i="6" s="1"/>
  <c r="AU9" i="6"/>
  <c r="AU8" i="6" s="1"/>
  <c r="AO7" i="9" s="1"/>
  <c r="AO9" i="9" s="1"/>
  <c r="AO15" i="9" s="1"/>
  <c r="AO18" i="9" s="1"/>
  <c r="AO27" i="9" s="1"/>
  <c r="AO28" i="9" s="1"/>
  <c r="BH77" i="6"/>
  <c r="AH78" i="6"/>
  <c r="BF78" i="6"/>
  <c r="BJ19" i="9"/>
  <c r="BL19" i="9" s="1"/>
  <c r="BE13" i="9"/>
  <c r="CC11" i="9"/>
  <c r="CE11" i="9" s="1"/>
  <c r="CG11" i="9" s="1"/>
  <c r="BQ11" i="9"/>
  <c r="AK9" i="9"/>
  <c r="AK15" i="9" s="1"/>
  <c r="AK18" i="9" s="1"/>
  <c r="AK27" i="9" s="1"/>
  <c r="AK28" i="9" s="1"/>
  <c r="CC48" i="6"/>
  <c r="CC77" i="6" s="1"/>
  <c r="Z18" i="6"/>
  <c r="Z8" i="6" s="1"/>
  <c r="BY75" i="6"/>
  <c r="CH9" i="9"/>
  <c r="CH15" i="9" s="1"/>
  <c r="X8" i="6"/>
  <c r="BU49" i="6"/>
  <c r="X31" i="6"/>
  <c r="Z31" i="6" s="1"/>
  <c r="BP8" i="6"/>
  <c r="Y48" i="6"/>
  <c r="Y77" i="6" s="1"/>
  <c r="Y93" i="6" s="1"/>
  <c r="Y97" i="6" s="1"/>
  <c r="Y98" i="6" s="1"/>
  <c r="V77" i="6"/>
  <c r="V93" i="6" s="1"/>
  <c r="AY8" i="6"/>
  <c r="AS7" i="9" s="1"/>
  <c r="AE40" i="6"/>
  <c r="BL52" i="8"/>
  <c r="AB32" i="8"/>
  <c r="CB52" i="8"/>
  <c r="BQ22" i="8"/>
  <c r="BQ26" i="8" s="1"/>
  <c r="BQ31" i="8" s="1"/>
  <c r="BQ52" i="8" s="1"/>
  <c r="AN8" i="8"/>
  <c r="BO32" i="8"/>
  <c r="CE16" i="9"/>
  <c r="CG16" i="9" s="1"/>
  <c r="AP33" i="8"/>
  <c r="CE32" i="8"/>
  <c r="BH23" i="8"/>
  <c r="BB16" i="9"/>
  <c r="BC16" i="9" s="1"/>
  <c r="BE16" i="9" s="1"/>
  <c r="BH22" i="8"/>
  <c r="AL46" i="8"/>
  <c r="AN49" i="8"/>
  <c r="BJ31" i="8"/>
  <c r="BJ52" i="8" s="1"/>
  <c r="O52" i="8"/>
  <c r="AH26" i="8"/>
  <c r="AH31" i="8" s="1"/>
  <c r="AL42" i="8"/>
  <c r="AD26" i="8"/>
  <c r="AD31" i="8" s="1"/>
  <c r="M52" i="8"/>
  <c r="U22" i="8"/>
  <c r="U26" i="8" s="1"/>
  <c r="CE31" i="8"/>
  <c r="CE52" i="8" s="1"/>
  <c r="CH32" i="8"/>
  <c r="CH52" i="8" s="1"/>
  <c r="AJ52" i="8"/>
  <c r="K22" i="8"/>
  <c r="K26" i="8" s="1"/>
  <c r="K31" i="8" s="1"/>
  <c r="X31" i="8"/>
  <c r="X52" i="8" s="1"/>
  <c r="AL19" i="8"/>
  <c r="AK15" i="8"/>
  <c r="AK22" i="8" s="1"/>
  <c r="AK26" i="8" s="1"/>
  <c r="AK31" i="8" s="1"/>
  <c r="AK52" i="8" s="1"/>
  <c r="AQ9" i="4"/>
  <c r="AQ8" i="4" s="1"/>
  <c r="AQ92" i="4" s="1"/>
  <c r="AR9" i="4"/>
  <c r="AR8" i="4" s="1"/>
  <c r="AR92" i="4" s="1"/>
  <c r="AH9" i="4"/>
  <c r="AH8" i="4" s="1"/>
  <c r="AH92" i="4" s="1"/>
  <c r="AO9" i="4"/>
  <c r="AO8" i="4" s="1"/>
  <c r="AO92" i="4" s="1"/>
  <c r="AY9" i="4"/>
  <c r="AY8" i="4" s="1"/>
  <c r="AY92" i="4" s="1"/>
  <c r="CK8" i="6"/>
  <c r="AQ48" i="6"/>
  <c r="AQ77" i="6" s="1"/>
  <c r="AQ93" i="6" s="1"/>
  <c r="AQ97" i="6" s="1"/>
  <c r="BE12" i="9"/>
  <c r="BP15" i="9"/>
  <c r="BP18" i="9" s="1"/>
  <c r="BP27" i="9" s="1"/>
  <c r="BP28" i="9" s="1"/>
  <c r="BQ13" i="9"/>
  <c r="BS13" i="9" s="1"/>
  <c r="AP9" i="9"/>
  <c r="AP15" i="9" s="1"/>
  <c r="AP18" i="9" s="1"/>
  <c r="AP27" i="9" s="1"/>
  <c r="AP28" i="9" s="1"/>
  <c r="O9" i="4"/>
  <c r="O8" i="4" s="1"/>
  <c r="O92" i="4" s="1"/>
  <c r="BC9" i="4"/>
  <c r="BC8" i="4" s="1"/>
  <c r="BC92" i="4" s="1"/>
  <c r="J9" i="4"/>
  <c r="J8" i="4" s="1"/>
  <c r="J92" i="4" s="1"/>
  <c r="AP9" i="4"/>
  <c r="AP8" i="4" s="1"/>
  <c r="AP92" i="4" s="1"/>
  <c r="U9" i="4"/>
  <c r="U8" i="4" s="1"/>
  <c r="U92" i="4" s="1"/>
  <c r="BB8" i="4"/>
  <c r="BB92" i="4" s="1"/>
  <c r="AX9" i="4"/>
  <c r="AX8" i="4" s="1"/>
  <c r="AX92" i="4" s="1"/>
  <c r="BO26" i="8"/>
  <c r="BO31" i="8" s="1"/>
  <c r="Q22" i="8"/>
  <c r="Q26" i="8" s="1"/>
  <c r="Q31" i="8" s="1"/>
  <c r="Q52" i="8" s="1"/>
  <c r="AL33" i="8"/>
  <c r="BF31" i="8"/>
  <c r="AN33" i="8"/>
  <c r="AD32" i="8"/>
  <c r="K32" i="8"/>
  <c r="AZ31" i="8"/>
  <c r="AY26" i="8"/>
  <c r="AX52" i="8"/>
  <c r="BF52" i="8"/>
  <c r="U32" i="8"/>
  <c r="Z32" i="8"/>
  <c r="BO79" i="6"/>
  <c r="BO78" i="6" s="1"/>
  <c r="L49" i="6"/>
  <c r="J31" i="6"/>
  <c r="L31" i="6" s="1"/>
  <c r="BA78" i="6"/>
  <c r="BC11" i="9"/>
  <c r="BE11" i="9" s="1"/>
  <c r="AR15" i="9"/>
  <c r="AR18" i="9" s="1"/>
  <c r="AR27" i="9" s="1"/>
  <c r="AR28" i="9" s="1"/>
  <c r="BL12" i="9"/>
  <c r="AN8" i="4"/>
  <c r="AN92" i="4" s="1"/>
  <c r="AF9" i="4"/>
  <c r="AF8" i="4" s="1"/>
  <c r="AF92" i="4" s="1"/>
  <c r="AD8" i="4"/>
  <c r="AD92" i="4" s="1"/>
  <c r="BD9" i="4"/>
  <c r="BD8" i="4" s="1"/>
  <c r="BD92" i="4" s="1"/>
  <c r="AV9" i="4"/>
  <c r="AV8" i="4" s="1"/>
  <c r="AV92" i="4" s="1"/>
  <c r="AJ8" i="4"/>
  <c r="AJ92" i="4" s="1"/>
  <c r="AL8" i="4"/>
  <c r="AL92" i="4" s="1"/>
  <c r="J78" i="6"/>
  <c r="BX59" i="6"/>
  <c r="BR11" i="9" s="1"/>
  <c r="BQ49" i="6"/>
  <c r="J49" i="6"/>
  <c r="BV79" i="6"/>
  <c r="BS48" i="6"/>
  <c r="BS77" i="6" s="1"/>
  <c r="BS93" i="6" s="1"/>
  <c r="BS97" i="6" s="1"/>
  <c r="R27" i="9"/>
  <c r="R28" i="9" s="1"/>
  <c r="AY27" i="9"/>
  <c r="AY28" i="9" s="1"/>
  <c r="BE48" i="6"/>
  <c r="BE77" i="6" s="1"/>
  <c r="BE93" i="6" s="1"/>
  <c r="BE97" i="6" s="1"/>
  <c r="AN78" i="6"/>
  <c r="CL48" i="6"/>
  <c r="AA8" i="6"/>
  <c r="BG9" i="9"/>
  <c r="BG15" i="9" s="1"/>
  <c r="AG32" i="6"/>
  <c r="AI32" i="6" s="1"/>
  <c r="BY40" i="6"/>
  <c r="CB31" i="6"/>
  <c r="BQ8" i="9"/>
  <c r="CF58" i="6"/>
  <c r="CF49" i="6" s="1"/>
  <c r="P77" i="6"/>
  <c r="P93" i="6" s="1"/>
  <c r="P97" i="6" s="1"/>
  <c r="P98" i="6" s="1"/>
  <c r="BW59" i="6"/>
  <c r="BW58" i="6" s="1"/>
  <c r="BW49" i="6" s="1"/>
  <c r="U27" i="9"/>
  <c r="U28" i="9" s="1"/>
  <c r="AD31" i="6"/>
  <c r="AE31" i="6" s="1"/>
  <c r="AT8" i="9"/>
  <c r="CK32" i="6"/>
  <c r="CK31" i="6" s="1"/>
  <c r="AP83" i="6"/>
  <c r="AP79" i="6" s="1"/>
  <c r="AW78" i="6"/>
  <c r="CE10" i="6"/>
  <c r="CE9" i="6" s="1"/>
  <c r="CL13" i="9"/>
  <c r="L78" i="6"/>
  <c r="AF31" i="6"/>
  <c r="AF48" i="6" s="1"/>
  <c r="AP85" i="6"/>
  <c r="BM48" i="6"/>
  <c r="BM77" i="6" s="1"/>
  <c r="AC77" i="6"/>
  <c r="AC93" i="6" s="1"/>
  <c r="AC97" i="6" s="1"/>
  <c r="AC98" i="6" s="1"/>
  <c r="BC78" i="6"/>
  <c r="X19" i="9"/>
  <c r="X27" i="9" s="1"/>
  <c r="X28" i="9" s="1"/>
  <c r="CD59" i="6"/>
  <c r="CD58" i="6" s="1"/>
  <c r="CD49" i="6" s="1"/>
  <c r="BK85" i="6"/>
  <c r="CE59" i="6"/>
  <c r="BY11" i="9" s="1"/>
  <c r="CH48" i="6"/>
  <c r="CH77" i="6" s="1"/>
  <c r="BP85" i="6"/>
  <c r="CM32" i="6"/>
  <c r="CM31" i="6" s="1"/>
  <c r="CM48" i="6" s="1"/>
  <c r="BV48" i="6"/>
  <c r="BV77" i="6" s="1"/>
  <c r="AE18" i="6"/>
  <c r="BD7" i="9"/>
  <c r="BD9" i="9" s="1"/>
  <c r="BD15" i="9" s="1"/>
  <c r="BD18" i="9" s="1"/>
  <c r="BD27" i="9" s="1"/>
  <c r="BD28" i="9" s="1"/>
  <c r="BJ48" i="6"/>
  <c r="BJ77" i="6" s="1"/>
  <c r="CB85" i="6"/>
  <c r="CB78" i="6" s="1"/>
  <c r="CC86" i="6"/>
  <c r="AF13" i="9"/>
  <c r="AN75" i="6"/>
  <c r="AV48" i="6"/>
  <c r="AV77" i="6" s="1"/>
  <c r="AV93" i="6" s="1"/>
  <c r="AV97" i="6" s="1"/>
  <c r="N31" i="6"/>
  <c r="CJ10" i="9"/>
  <c r="CJ15" i="9" s="1"/>
  <c r="CJ18" i="9" s="1"/>
  <c r="CR50" i="6"/>
  <c r="CR49" i="6" s="1"/>
  <c r="BW40" i="6"/>
  <c r="BA9" i="4"/>
  <c r="BA8" i="4" s="1"/>
  <c r="BA92" i="4" s="1"/>
  <c r="AW9" i="4"/>
  <c r="AW8" i="4" s="1"/>
  <c r="AW92" i="4" s="1"/>
  <c r="Y9" i="4"/>
  <c r="Y8" i="4" s="1"/>
  <c r="Y92" i="4" s="1"/>
  <c r="S9" i="4"/>
  <c r="S8" i="4" s="1"/>
  <c r="S92" i="4" s="1"/>
  <c r="AT9" i="4"/>
  <c r="AT8" i="4" s="1"/>
  <c r="AT92" i="4" s="1"/>
  <c r="Q9" i="4"/>
  <c r="Q8" i="4" s="1"/>
  <c r="Q92" i="4" s="1"/>
  <c r="AA9" i="4"/>
  <c r="AA8" i="4" s="1"/>
  <c r="AA92" i="4" s="1"/>
  <c r="X9" i="4"/>
  <c r="X8" i="4" s="1"/>
  <c r="X92" i="4" s="1"/>
  <c r="T9" i="4"/>
  <c r="T8" i="4" s="1"/>
  <c r="T92" i="4" s="1"/>
  <c r="V9" i="4"/>
  <c r="V8" i="4" s="1"/>
  <c r="V92" i="4" s="1"/>
  <c r="AE9" i="4"/>
  <c r="AE8" i="4" s="1"/>
  <c r="AE92" i="4" s="1"/>
  <c r="AG8" i="4"/>
  <c r="AG92" i="4" s="1"/>
  <c r="CP48" i="6"/>
  <c r="AK12" i="20"/>
  <c r="AR8" i="20"/>
  <c r="AR7" i="20" s="1"/>
  <c r="AR12" i="20" s="1"/>
  <c r="AP7" i="20"/>
  <c r="AP12" i="20" s="1"/>
  <c r="N9" i="4"/>
  <c r="N8" i="4" s="1"/>
  <c r="N92" i="4" s="1"/>
  <c r="AK8" i="4"/>
  <c r="AK92" i="4" s="1"/>
  <c r="AZ8" i="4"/>
  <c r="AZ92" i="4" s="1"/>
  <c r="AS9" i="4"/>
  <c r="AS8" i="4" s="1"/>
  <c r="AS92" i="4" s="1"/>
  <c r="AM9" i="4"/>
  <c r="AM8" i="4" s="1"/>
  <c r="AM92" i="4" s="1"/>
  <c r="AU9" i="4"/>
  <c r="AU8" i="4" s="1"/>
  <c r="AU92" i="4" s="1"/>
  <c r="I9" i="4"/>
  <c r="I8" i="4" s="1"/>
  <c r="I92" i="4" s="1"/>
  <c r="R9" i="4"/>
  <c r="R8" i="4" s="1"/>
  <c r="R92" i="4" s="1"/>
  <c r="M9" i="4"/>
  <c r="M8" i="4" s="1"/>
  <c r="M92" i="4" s="1"/>
  <c r="W9" i="4"/>
  <c r="W8" i="4" s="1"/>
  <c r="W92" i="4" s="1"/>
  <c r="AC9" i="4"/>
  <c r="AC8" i="4" s="1"/>
  <c r="AC92" i="4" s="1"/>
  <c r="AI8" i="4"/>
  <c r="AI92" i="4" s="1"/>
  <c r="CR48" i="6"/>
  <c r="CL8" i="9"/>
  <c r="BM9" i="9"/>
  <c r="BM15" i="9" s="1"/>
  <c r="BM18" i="9" s="1"/>
  <c r="BM27" i="9" s="1"/>
  <c r="BM28" i="9" s="1"/>
  <c r="AE9" i="9"/>
  <c r="AE15" i="9" s="1"/>
  <c r="AE18" i="9" s="1"/>
  <c r="AE27" i="9" s="1"/>
  <c r="AE28" i="9" s="1"/>
  <c r="BZ12" i="9"/>
  <c r="T27" i="9"/>
  <c r="T28" i="9" s="1"/>
  <c r="H27" i="9"/>
  <c r="H28" i="9" s="1"/>
  <c r="CE94" i="6"/>
  <c r="CF96" i="6"/>
  <c r="CF94" i="6" s="1"/>
  <c r="Q49" i="6"/>
  <c r="AW9" i="6"/>
  <c r="AW8" i="6" s="1"/>
  <c r="AQ7" i="9" s="1"/>
  <c r="BI18" i="6"/>
  <c r="AH31" i="6"/>
  <c r="AH48" i="6" s="1"/>
  <c r="CD18" i="6"/>
  <c r="CD8" i="6" s="1"/>
  <c r="R48" i="6"/>
  <c r="R77" i="6" s="1"/>
  <c r="S85" i="6"/>
  <c r="T85" i="6" s="1"/>
  <c r="R78" i="6"/>
  <c r="BR75" i="6"/>
  <c r="BR49" i="6" s="1"/>
  <c r="BK13" i="9"/>
  <c r="BL13" i="9" s="1"/>
  <c r="CG48" i="6"/>
  <c r="CG77" i="6" s="1"/>
  <c r="CG93" i="6" s="1"/>
  <c r="CG97" i="6" s="1"/>
  <c r="CE18" i="6"/>
  <c r="BY19" i="9" s="1"/>
  <c r="BZ19" i="9" s="1"/>
  <c r="BN31" i="6"/>
  <c r="BN48" i="6" s="1"/>
  <c r="BR8" i="6"/>
  <c r="Q78" i="6"/>
  <c r="S79" i="6"/>
  <c r="CJ8" i="6"/>
  <c r="CD7" i="9" s="1"/>
  <c r="CD9" i="9" s="1"/>
  <c r="CD19" i="9"/>
  <c r="CE19" i="9" s="1"/>
  <c r="CG19" i="9" s="1"/>
  <c r="N78" i="6"/>
  <c r="BW18" i="6"/>
  <c r="BW8" i="6" s="1"/>
  <c r="CI49" i="6"/>
  <c r="BJ85" i="6"/>
  <c r="BV85" i="6"/>
  <c r="AK48" i="6"/>
  <c r="AK77" i="6" s="1"/>
  <c r="AK93" i="6" s="1"/>
  <c r="AK97" i="6" s="1"/>
  <c r="BH85" i="6"/>
  <c r="BI85" i="6" s="1"/>
  <c r="CB49" i="6"/>
  <c r="AI9" i="9"/>
  <c r="AI15" i="9" s="1"/>
  <c r="AI18" i="9" s="1"/>
  <c r="AI27" i="9" s="1"/>
  <c r="AI28" i="9" s="1"/>
  <c r="AL78" i="6"/>
  <c r="U59" i="6"/>
  <c r="U58" i="6" s="1"/>
  <c r="U49" i="6" s="1"/>
  <c r="I77" i="6"/>
  <c r="I93" i="6" s="1"/>
  <c r="I97" i="6" s="1"/>
  <c r="I98" i="6" s="1"/>
  <c r="CA48" i="6"/>
  <c r="CA77" i="6" s="1"/>
  <c r="CA93" i="6" s="1"/>
  <c r="CA97" i="6" s="1"/>
  <c r="BU8" i="9"/>
  <c r="BU9" i="9" s="1"/>
  <c r="BU15" i="9" s="1"/>
  <c r="BU18" i="9" s="1"/>
  <c r="AO48" i="6"/>
  <c r="AO77" i="6" s="1"/>
  <c r="S59" i="6"/>
  <c r="AG85" i="6"/>
  <c r="AI85" i="6" s="1"/>
  <c r="S49" i="6"/>
  <c r="Q59" i="6"/>
  <c r="AD78" i="6"/>
  <c r="AE79" i="6"/>
  <c r="AF11" i="9"/>
  <c r="AL58" i="6"/>
  <c r="BI8" i="9"/>
  <c r="BI9" i="9" s="1"/>
  <c r="BI15" i="9" s="1"/>
  <c r="BI18" i="9" s="1"/>
  <c r="BI27" i="9" s="1"/>
  <c r="BI28" i="9" s="1"/>
  <c r="BO48" i="6"/>
  <c r="BO77" i="6" s="1"/>
  <c r="CI85" i="6"/>
  <c r="CJ86" i="6"/>
  <c r="BN49" i="6"/>
  <c r="BT8" i="9"/>
  <c r="BZ48" i="6"/>
  <c r="BZ77" i="6" s="1"/>
  <c r="BZ93" i="6" s="1"/>
  <c r="BZ97" i="6" s="1"/>
  <c r="AD7" i="9"/>
  <c r="AD9" i="9" s="1"/>
  <c r="AJ48" i="6"/>
  <c r="BM78" i="6"/>
  <c r="BW32" i="6"/>
  <c r="AX7" i="9"/>
  <c r="AX9" i="9" s="1"/>
  <c r="AX15" i="9" s="1"/>
  <c r="AX18" i="9" s="1"/>
  <c r="AX27" i="9" s="1"/>
  <c r="AX28" i="9" s="1"/>
  <c r="BD48" i="6"/>
  <c r="CH78" i="6"/>
  <c r="Z85" i="6"/>
  <c r="X78" i="6"/>
  <c r="U48" i="6"/>
  <c r="AG8" i="9"/>
  <c r="AG9" i="9" s="1"/>
  <c r="AG15" i="9" s="1"/>
  <c r="AG18" i="9" s="1"/>
  <c r="AG27" i="9" s="1"/>
  <c r="AG28" i="9" s="1"/>
  <c r="AM48" i="6"/>
  <c r="AM77" i="6" s="1"/>
  <c r="AM93" i="6" s="1"/>
  <c r="AM97" i="6" s="1"/>
  <c r="CF41" i="6"/>
  <c r="CF40" i="6" s="1"/>
  <c r="CE40" i="6"/>
  <c r="BY20" i="9" s="1"/>
  <c r="BZ20" i="9" s="1"/>
  <c r="AG50" i="6"/>
  <c r="AI50" i="6" s="1"/>
  <c r="AF49" i="6"/>
  <c r="AN52" i="6"/>
  <c r="AL50" i="6"/>
  <c r="BR80" i="6"/>
  <c r="BR79" i="6" s="1"/>
  <c r="BQ79" i="6"/>
  <c r="AW58" i="6"/>
  <c r="AW49" i="6" s="1"/>
  <c r="AQ11" i="9"/>
  <c r="CP49" i="6"/>
  <c r="AQ10" i="9"/>
  <c r="AF78" i="6"/>
  <c r="CE34" i="6"/>
  <c r="CD32" i="6"/>
  <c r="CD31" i="6" s="1"/>
  <c r="BN78" i="6"/>
  <c r="L18" i="6"/>
  <c r="BY33" i="6"/>
  <c r="BY32" i="6" s="1"/>
  <c r="BX32" i="6"/>
  <c r="AG94" i="6"/>
  <c r="AI94" i="6" s="1"/>
  <c r="BK49" i="6"/>
  <c r="BF9" i="6"/>
  <c r="BF8" i="6" s="1"/>
  <c r="BG8" i="6"/>
  <c r="AS48" i="6"/>
  <c r="AS77" i="6" s="1"/>
  <c r="AS93" i="6" s="1"/>
  <c r="AS97" i="6" s="1"/>
  <c r="AM7" i="9"/>
  <c r="AM9" i="9" s="1"/>
  <c r="AM15" i="9" s="1"/>
  <c r="AM18" i="9" s="1"/>
  <c r="AM27" i="9" s="1"/>
  <c r="AM28" i="9" s="1"/>
  <c r="X49" i="6"/>
  <c r="Z50" i="6"/>
  <c r="Z49" i="6" s="1"/>
  <c r="T31" i="6"/>
  <c r="T48" i="6" s="1"/>
  <c r="T77" i="6" s="1"/>
  <c r="BA31" i="6"/>
  <c r="AU8" i="9" s="1"/>
  <c r="BC31" i="6"/>
  <c r="AW8" i="9" s="1"/>
  <c r="AV8" i="9"/>
  <c r="N59" i="6"/>
  <c r="N58" i="6" s="1"/>
  <c r="N49" i="6" s="1"/>
  <c r="CK75" i="6"/>
  <c r="CL75" i="6" s="1"/>
  <c r="CF13" i="9" s="1"/>
  <c r="CG13" i="9" s="1"/>
  <c r="L59" i="6"/>
  <c r="BF8" i="9"/>
  <c r="BL48" i="6"/>
  <c r="BL77" i="6" s="1"/>
  <c r="BL93" i="6" s="1"/>
  <c r="BL97" i="6" s="1"/>
  <c r="BY57" i="6"/>
  <c r="BY50" i="6" s="1"/>
  <c r="BX50" i="6"/>
  <c r="BK12" i="6"/>
  <c r="BK9" i="6" s="1"/>
  <c r="BK8" i="6" s="1"/>
  <c r="BI9" i="6"/>
  <c r="J8" i="6"/>
  <c r="H77" i="6"/>
  <c r="AJ49" i="6"/>
  <c r="AD10" i="9"/>
  <c r="AA31" i="6"/>
  <c r="CE50" i="6"/>
  <c r="BY10" i="9" s="1"/>
  <c r="BZ10" i="9" s="1"/>
  <c r="AD50" i="6"/>
  <c r="AD49" i="6" s="1"/>
  <c r="N8" i="6"/>
  <c r="BP79" i="6"/>
  <c r="K9" i="4"/>
  <c r="K8" i="4" s="1"/>
  <c r="K92" i="4" s="1"/>
  <c r="P8" i="4"/>
  <c r="P92" i="4" s="1"/>
  <c r="AB9" i="4"/>
  <c r="AB8" i="4" s="1"/>
  <c r="AB92" i="4" s="1"/>
  <c r="Z9" i="4"/>
  <c r="Z8" i="4" s="1"/>
  <c r="Z92" i="4" s="1"/>
  <c r="CN48" i="6"/>
  <c r="CN77" i="6" s="1"/>
  <c r="L13" i="20"/>
  <c r="N13" i="20"/>
  <c r="AM52" i="8"/>
  <c r="CF9" i="9"/>
  <c r="BN15" i="9"/>
  <c r="AA8" i="19"/>
  <c r="AC9" i="19"/>
  <c r="AC8" i="19" s="1"/>
  <c r="BB15" i="9"/>
  <c r="BA8" i="9"/>
  <c r="BC8" i="9" s="1"/>
  <c r="BE8" i="9" s="1"/>
  <c r="AQ20" i="9"/>
  <c r="AW31" i="6"/>
  <c r="AQ8" i="9" s="1"/>
  <c r="M9" i="9"/>
  <c r="M15" i="9" s="1"/>
  <c r="M18" i="9" s="1"/>
  <c r="N7" i="9"/>
  <c r="N9" i="9" s="1"/>
  <c r="N15" i="9" s="1"/>
  <c r="N18" i="9" s="1"/>
  <c r="N27" i="9" s="1"/>
  <c r="N28" i="9" s="1"/>
  <c r="L40" i="6"/>
  <c r="U29" i="8"/>
  <c r="U27" i="8" s="1"/>
  <c r="S27" i="8"/>
  <c r="BD49" i="6"/>
  <c r="BC58" i="6"/>
  <c r="AU48" i="6"/>
  <c r="AU77" i="6" s="1"/>
  <c r="AU93" i="6" s="1"/>
  <c r="AU97" i="6" s="1"/>
  <c r="S8" i="8"/>
  <c r="S22" i="8" s="1"/>
  <c r="S26" i="8" s="1"/>
  <c r="BI81" i="6"/>
  <c r="BH79" i="6"/>
  <c r="AY58" i="6"/>
  <c r="BA58" i="6"/>
  <c r="AZ49" i="6"/>
  <c r="AR48" i="6"/>
  <c r="AR77" i="6" s="1"/>
  <c r="AR93" i="6" s="1"/>
  <c r="AR97" i="6" s="1"/>
  <c r="AL7" i="9"/>
  <c r="AL9" i="9" s="1"/>
  <c r="AL15" i="9" s="1"/>
  <c r="AL18" i="9" s="1"/>
  <c r="AL27" i="9" s="1"/>
  <c r="AL28" i="9" s="1"/>
  <c r="AH32" i="8"/>
  <c r="AH52" i="8" s="1"/>
  <c r="AN40" i="6"/>
  <c r="AP44" i="6"/>
  <c r="AP40" i="6" s="1"/>
  <c r="BY91" i="6"/>
  <c r="BY85" i="6" s="1"/>
  <c r="BX85" i="6"/>
  <c r="AB63" i="6"/>
  <c r="AB59" i="6" s="1"/>
  <c r="AB58" i="6" s="1"/>
  <c r="AB49" i="6" s="1"/>
  <c r="Z59" i="6"/>
  <c r="J52" i="8"/>
  <c r="BA22" i="8"/>
  <c r="BC22" i="8"/>
  <c r="BB26" i="8"/>
  <c r="L8" i="4"/>
  <c r="L92" i="4" s="1"/>
  <c r="BX80" i="6"/>
  <c r="BW79" i="6"/>
  <c r="AB52" i="8"/>
  <c r="BR39" i="6"/>
  <c r="BR32" i="6" s="1"/>
  <c r="BR31" i="6" s="1"/>
  <c r="BP32" i="6"/>
  <c r="BP31" i="6" s="1"/>
  <c r="BX94" i="6"/>
  <c r="BY96" i="6"/>
  <c r="BY94" i="6" s="1"/>
  <c r="AO25" i="8"/>
  <c r="AO23" i="8" s="1"/>
  <c r="AO26" i="8" s="1"/>
  <c r="AO31" i="8" s="1"/>
  <c r="AO52" i="8" s="1"/>
  <c r="BW9" i="9"/>
  <c r="O48" i="6"/>
  <c r="BC32" i="8"/>
  <c r="BD52" i="8"/>
  <c r="BY20" i="6"/>
  <c r="BY18" i="6" s="1"/>
  <c r="BY8" i="6" s="1"/>
  <c r="BX18" i="6"/>
  <c r="AH19" i="9"/>
  <c r="AN8" i="6"/>
  <c r="AP8" i="6"/>
  <c r="CA9" i="9"/>
  <c r="CA15" i="9" s="1"/>
  <c r="CC7" i="9"/>
  <c r="AP43" i="8"/>
  <c r="AP42" i="8" s="1"/>
  <c r="AN42" i="8"/>
  <c r="BV52" i="8"/>
  <c r="AP16" i="8"/>
  <c r="K27" i="9"/>
  <c r="K28" i="9" s="1"/>
  <c r="S40" i="6"/>
  <c r="AN58" i="6"/>
  <c r="AH11" i="9"/>
  <c r="CJ80" i="6"/>
  <c r="CI79" i="6"/>
  <c r="CC8" i="9"/>
  <c r="CE8" i="9" s="1"/>
  <c r="CG8" i="9" s="1"/>
  <c r="CB9" i="9"/>
  <c r="BO7" i="9"/>
  <c r="BQ7" i="9" s="1"/>
  <c r="BI49" i="6"/>
  <c r="AL8" i="6"/>
  <c r="BR87" i="6"/>
  <c r="BR85" i="6" s="1"/>
  <c r="BQ85" i="6"/>
  <c r="AL31" i="6"/>
  <c r="AF8" i="9" s="1"/>
  <c r="S8" i="6"/>
  <c r="CH18" i="9" l="1"/>
  <c r="CH27" i="9" s="1"/>
  <c r="CH28" i="9" s="1"/>
  <c r="CA18" i="9"/>
  <c r="CA27" i="9" s="1"/>
  <c r="CA28" i="9" s="1"/>
  <c r="AE49" i="6"/>
  <c r="AB11" i="9"/>
  <c r="X48" i="6"/>
  <c r="Z48" i="6" s="1"/>
  <c r="BX58" i="6"/>
  <c r="AH77" i="6"/>
  <c r="AH93" i="6" s="1"/>
  <c r="AH97" i="6" s="1"/>
  <c r="AH98" i="6" s="1"/>
  <c r="BB8" i="6"/>
  <c r="BB48" i="6" s="1"/>
  <c r="BB77" i="6" s="1"/>
  <c r="BB93" i="6" s="1"/>
  <c r="BC9" i="6"/>
  <c r="BC8" i="6" s="1"/>
  <c r="AW7" i="9" s="1"/>
  <c r="AW9" i="9" s="1"/>
  <c r="AW15" i="9" s="1"/>
  <c r="AW18" i="9" s="1"/>
  <c r="AW27" i="9" s="1"/>
  <c r="AW28" i="9" s="1"/>
  <c r="BK95" i="6"/>
  <c r="BK94" i="6" s="1"/>
  <c r="CK48" i="6"/>
  <c r="CK77" i="6" s="1"/>
  <c r="K52" i="8"/>
  <c r="BH26" i="8"/>
  <c r="BH31" i="8" s="1"/>
  <c r="BH52" i="8" s="1"/>
  <c r="Z52" i="8"/>
  <c r="AL32" i="8"/>
  <c r="BW85" i="6"/>
  <c r="BW78" i="6" s="1"/>
  <c r="BG48" i="6"/>
  <c r="BG77" i="6" s="1"/>
  <c r="BG93" i="6" s="1"/>
  <c r="BG97" i="6" s="1"/>
  <c r="BX31" i="6"/>
  <c r="BR8" i="9" s="1"/>
  <c r="BS8" i="9" s="1"/>
  <c r="BU48" i="6"/>
  <c r="BU77" i="6" s="1"/>
  <c r="BU93" i="6" s="1"/>
  <c r="BU97" i="6" s="1"/>
  <c r="AB77" i="6"/>
  <c r="AB93" i="6" s="1"/>
  <c r="AB97" i="6" s="1"/>
  <c r="AB98" i="6" s="1"/>
  <c r="BT93" i="6"/>
  <c r="BT97" i="6" s="1"/>
  <c r="X93" i="6"/>
  <c r="Z93" i="6" s="1"/>
  <c r="CD80" i="6"/>
  <c r="CE80" i="6" s="1"/>
  <c r="BQ77" i="6"/>
  <c r="AO93" i="6"/>
  <c r="AO97" i="6" s="1"/>
  <c r="BW31" i="6"/>
  <c r="BW48" i="6" s="1"/>
  <c r="BW77" i="6" s="1"/>
  <c r="BR95" i="6"/>
  <c r="BR94" i="6" s="1"/>
  <c r="BS11" i="9"/>
  <c r="AS9" i="9"/>
  <c r="AS15" i="9" s="1"/>
  <c r="AS18" i="9" s="1"/>
  <c r="AS27" i="9" s="1"/>
  <c r="AS28" i="9" s="1"/>
  <c r="AY48" i="6"/>
  <c r="AP58" i="6"/>
  <c r="L48" i="6"/>
  <c r="BK48" i="6"/>
  <c r="BK77" i="6" s="1"/>
  <c r="AB12" i="9"/>
  <c r="AF77" i="6"/>
  <c r="AF93" i="6" s="1"/>
  <c r="AF97" i="6" s="1"/>
  <c r="CB48" i="6"/>
  <c r="CB77" i="6" s="1"/>
  <c r="CB93" i="6" s="1"/>
  <c r="CB97" i="6" s="1"/>
  <c r="X77" i="6"/>
  <c r="Z77" i="6" s="1"/>
  <c r="BY49" i="6"/>
  <c r="AT7" i="9"/>
  <c r="AT9" i="9" s="1"/>
  <c r="AT15" i="9" s="1"/>
  <c r="AT18" i="9" s="1"/>
  <c r="AT27" i="9" s="1"/>
  <c r="AT28" i="9" s="1"/>
  <c r="CH93" i="6"/>
  <c r="CH97" i="6" s="1"/>
  <c r="BP48" i="6"/>
  <c r="BP77" i="6" s="1"/>
  <c r="BR48" i="6"/>
  <c r="BR77" i="6" s="1"/>
  <c r="V97" i="6"/>
  <c r="V98" i="6" s="1"/>
  <c r="BP78" i="6"/>
  <c r="AA48" i="6"/>
  <c r="AA77" i="6" s="1"/>
  <c r="BR78" i="6"/>
  <c r="BI8" i="6"/>
  <c r="BI48" i="6" s="1"/>
  <c r="BI77" i="6" s="1"/>
  <c r="BO52" i="8"/>
  <c r="AD52" i="8"/>
  <c r="AN19" i="8"/>
  <c r="AL15" i="8"/>
  <c r="AL22" i="8" s="1"/>
  <c r="AL26" i="8" s="1"/>
  <c r="AL31" i="8" s="1"/>
  <c r="AL52" i="8" s="1"/>
  <c r="AN46" i="8"/>
  <c r="AP49" i="8"/>
  <c r="AP46" i="8" s="1"/>
  <c r="AP32" i="8" s="1"/>
  <c r="AN32" i="8"/>
  <c r="U31" i="8"/>
  <c r="U52" i="8" s="1"/>
  <c r="AY31" i="8"/>
  <c r="AZ52" i="8"/>
  <c r="AU9" i="9"/>
  <c r="AU15" i="9" s="1"/>
  <c r="AU18" i="9" s="1"/>
  <c r="AU27" i="9" s="1"/>
  <c r="AU28" i="9" s="1"/>
  <c r="BN77" i="6"/>
  <c r="BN93" i="6" s="1"/>
  <c r="BN97" i="6" s="1"/>
  <c r="AJ77" i="6"/>
  <c r="AJ93" i="6" s="1"/>
  <c r="AJ97" i="6" s="1"/>
  <c r="AJ98" i="6" s="1"/>
  <c r="AL98" i="6" s="1"/>
  <c r="AN98" i="6" s="1"/>
  <c r="AP98" i="6" s="1"/>
  <c r="CL49" i="6"/>
  <c r="CL77" i="6" s="1"/>
  <c r="CE58" i="6"/>
  <c r="CE49" i="6" s="1"/>
  <c r="AP78" i="6"/>
  <c r="CR77" i="6"/>
  <c r="BY31" i="6"/>
  <c r="BY48" i="6" s="1"/>
  <c r="AG31" i="6"/>
  <c r="BK15" i="9"/>
  <c r="BK18" i="9" s="1"/>
  <c r="BK27" i="9" s="1"/>
  <c r="BK28" i="9" s="1"/>
  <c r="AD48" i="6"/>
  <c r="AD77" i="6" s="1"/>
  <c r="AD93" i="6" s="1"/>
  <c r="AA10" i="9"/>
  <c r="Z10" i="9" s="1"/>
  <c r="BO9" i="9"/>
  <c r="BQ9" i="9" s="1"/>
  <c r="N48" i="6"/>
  <c r="N77" i="6" s="1"/>
  <c r="N93" i="6" s="1"/>
  <c r="N97" i="6" s="1"/>
  <c r="N98" i="6" s="1"/>
  <c r="BV78" i="6"/>
  <c r="BV93" i="6" s="1"/>
  <c r="BV97" i="6" s="1"/>
  <c r="BM93" i="6"/>
  <c r="BM97" i="6" s="1"/>
  <c r="AG18" i="6"/>
  <c r="AE8" i="6"/>
  <c r="CF10" i="6"/>
  <c r="CF9" i="6" s="1"/>
  <c r="CF8" i="6" s="1"/>
  <c r="BQ78" i="6"/>
  <c r="CM75" i="6"/>
  <c r="CM49" i="6" s="1"/>
  <c r="CM77" i="6" s="1"/>
  <c r="AH13" i="9"/>
  <c r="AP75" i="6"/>
  <c r="AJ13" i="9" s="1"/>
  <c r="CM13" i="9"/>
  <c r="CS49" i="6"/>
  <c r="CS77" i="6" s="1"/>
  <c r="CS93" i="6" s="1"/>
  <c r="CS97" i="6" s="1"/>
  <c r="U77" i="6"/>
  <c r="U93" i="6" s="1"/>
  <c r="U97" i="6" s="1"/>
  <c r="U98" i="6" s="1"/>
  <c r="CD86" i="6"/>
  <c r="CE86" i="6" s="1"/>
  <c r="CC85" i="6"/>
  <c r="CD85" i="6" s="1"/>
  <c r="CJ27" i="9"/>
  <c r="CJ28" i="9" s="1"/>
  <c r="CL10" i="9"/>
  <c r="CN10" i="9" s="1"/>
  <c r="CL9" i="9"/>
  <c r="CN8" i="9"/>
  <c r="BZ11" i="9"/>
  <c r="D27" i="9"/>
  <c r="D28" i="9" s="1"/>
  <c r="BH78" i="6"/>
  <c r="BH93" i="6" s="1"/>
  <c r="BH97" i="6" s="1"/>
  <c r="T79" i="6"/>
  <c r="T78" i="6" s="1"/>
  <c r="T93" i="6" s="1"/>
  <c r="T97" i="6" s="1"/>
  <c r="T98" i="6" s="1"/>
  <c r="S78" i="6"/>
  <c r="BO93" i="6"/>
  <c r="BO97" i="6" s="1"/>
  <c r="CJ48" i="6"/>
  <c r="CJ77" i="6" s="1"/>
  <c r="CE7" i="9"/>
  <c r="CG7" i="9" s="1"/>
  <c r="AG49" i="6"/>
  <c r="CE8" i="6"/>
  <c r="BY7" i="9" s="1"/>
  <c r="BZ7" i="9" s="1"/>
  <c r="CD48" i="6"/>
  <c r="CD77" i="6" s="1"/>
  <c r="R93" i="6"/>
  <c r="R97" i="6" s="1"/>
  <c r="R98" i="6" s="1"/>
  <c r="CI78" i="6"/>
  <c r="CI93" i="6" s="1"/>
  <c r="CI97" i="6" s="1"/>
  <c r="CJ85" i="6"/>
  <c r="CK85" i="6" s="1"/>
  <c r="CK86" i="6"/>
  <c r="CL86" i="6" s="1"/>
  <c r="AD15" i="9"/>
  <c r="AD18" i="9" s="1"/>
  <c r="AD27" i="9" s="1"/>
  <c r="AD28" i="9" s="1"/>
  <c r="AA85" i="6"/>
  <c r="AA78" i="6" s="1"/>
  <c r="Z78" i="6"/>
  <c r="BT9" i="9"/>
  <c r="BV8" i="9"/>
  <c r="BX8" i="9" s="1"/>
  <c r="AW48" i="6"/>
  <c r="AW77" i="6" s="1"/>
  <c r="AW93" i="6" s="1"/>
  <c r="AW97" i="6" s="1"/>
  <c r="AE78" i="6"/>
  <c r="AG79" i="6"/>
  <c r="CF34" i="6"/>
  <c r="CF32" i="6" s="1"/>
  <c r="CF31" i="6" s="1"/>
  <c r="CE32" i="6"/>
  <c r="CE31" i="6" s="1"/>
  <c r="BY8" i="9" s="1"/>
  <c r="CN93" i="6"/>
  <c r="CN97" i="6" s="1"/>
  <c r="CP77" i="6"/>
  <c r="H93" i="6"/>
  <c r="J77" i="6"/>
  <c r="L77" i="6" s="1"/>
  <c r="AQ9" i="9"/>
  <c r="AQ15" i="9" s="1"/>
  <c r="AQ18" i="9" s="1"/>
  <c r="AQ27" i="9" s="1"/>
  <c r="AQ28" i="9" s="1"/>
  <c r="BR10" i="9"/>
  <c r="BS10" i="9" s="1"/>
  <c r="BX49" i="6"/>
  <c r="BF9" i="9"/>
  <c r="BH8" i="9"/>
  <c r="BJ8" i="9" s="1"/>
  <c r="BL8" i="9" s="1"/>
  <c r="F27" i="9"/>
  <c r="F28" i="9" s="1"/>
  <c r="L8" i="6"/>
  <c r="AF10" i="9"/>
  <c r="AL49" i="6"/>
  <c r="AZ7" i="9"/>
  <c r="BF48" i="6"/>
  <c r="BF77" i="6" s="1"/>
  <c r="BF93" i="6" s="1"/>
  <c r="BF97" i="6" s="1"/>
  <c r="AN50" i="6"/>
  <c r="AH10" i="9" s="1"/>
  <c r="AP52" i="6"/>
  <c r="AP50" i="6" s="1"/>
  <c r="BO15" i="9"/>
  <c r="BN18" i="9"/>
  <c r="BN27" i="9" s="1"/>
  <c r="BN28" i="9" s="1"/>
  <c r="CB15" i="9"/>
  <c r="CB18" i="9" s="1"/>
  <c r="CC9" i="9"/>
  <c r="CE9" i="9" s="1"/>
  <c r="CG9" i="9" s="1"/>
  <c r="AJ7" i="9"/>
  <c r="Q48" i="6"/>
  <c r="S48" i="6" s="1"/>
  <c r="O77" i="6"/>
  <c r="BW15" i="9"/>
  <c r="BW18" i="9" s="1"/>
  <c r="BY80" i="6"/>
  <c r="BY79" i="6" s="1"/>
  <c r="BY78" i="6" s="1"/>
  <c r="BX79" i="6"/>
  <c r="BX78" i="6" s="1"/>
  <c r="AJ20" i="9"/>
  <c r="AP31" i="6"/>
  <c r="AJ8" i="9" s="1"/>
  <c r="BJ81" i="6"/>
  <c r="BI79" i="6"/>
  <c r="BI78" i="6" s="1"/>
  <c r="M27" i="9"/>
  <c r="M28" i="9" s="1"/>
  <c r="CK80" i="6"/>
  <c r="CJ79" i="6"/>
  <c r="AH7" i="9"/>
  <c r="AP25" i="8"/>
  <c r="AP23" i="8" s="1"/>
  <c r="AH20" i="9"/>
  <c r="AN31" i="6"/>
  <c r="AH8" i="9" s="1"/>
  <c r="BG18" i="9"/>
  <c r="BG27" i="9" s="1"/>
  <c r="BG28" i="9" s="1"/>
  <c r="S31" i="8"/>
  <c r="S52" i="8" s="1"/>
  <c r="BB18" i="9"/>
  <c r="BB27" i="9" s="1"/>
  <c r="BB28" i="9" s="1"/>
  <c r="CF15" i="9"/>
  <c r="CF18" i="9" s="1"/>
  <c r="AF7" i="9"/>
  <c r="AF9" i="9" s="1"/>
  <c r="AL48" i="6"/>
  <c r="BR19" i="9"/>
  <c r="BS19" i="9" s="1"/>
  <c r="BX8" i="6"/>
  <c r="AI49" i="6"/>
  <c r="AC10" i="9"/>
  <c r="BC49" i="6"/>
  <c r="BD77" i="6"/>
  <c r="BU27" i="9"/>
  <c r="BU28" i="9" s="1"/>
  <c r="BB31" i="8"/>
  <c r="BC26" i="8"/>
  <c r="BA26" i="8"/>
  <c r="BA49" i="6"/>
  <c r="AY49" i="6"/>
  <c r="AZ77" i="6"/>
  <c r="CD15" i="9"/>
  <c r="CD18" i="9" s="1"/>
  <c r="BC48" i="6" l="1"/>
  <c r="AV7" i="9"/>
  <c r="AV9" i="9" s="1"/>
  <c r="AV15" i="9" s="1"/>
  <c r="AV18" i="9" s="1"/>
  <c r="AV27" i="9" s="1"/>
  <c r="AV28" i="9" s="1"/>
  <c r="BA48" i="6"/>
  <c r="BA77" i="6"/>
  <c r="BY77" i="6"/>
  <c r="BY93" i="6" s="1"/>
  <c r="BY97" i="6" s="1"/>
  <c r="CD79" i="6"/>
  <c r="CD78" i="6" s="1"/>
  <c r="CD93" i="6" s="1"/>
  <c r="CD97" i="6" s="1"/>
  <c r="BQ93" i="6"/>
  <c r="BQ97" i="6" s="1"/>
  <c r="AE48" i="6"/>
  <c r="AG48" i="6" s="1"/>
  <c r="BP93" i="6"/>
  <c r="BP97" i="6" s="1"/>
  <c r="AB10" i="9"/>
  <c r="BR93" i="6"/>
  <c r="BR97" i="6" s="1"/>
  <c r="CF48" i="6"/>
  <c r="CF77" i="6" s="1"/>
  <c r="AA93" i="6"/>
  <c r="AA97" i="6" s="1"/>
  <c r="AA98" i="6" s="1"/>
  <c r="X97" i="6"/>
  <c r="X98" i="6" s="1"/>
  <c r="AP19" i="8"/>
  <c r="AP15" i="8" s="1"/>
  <c r="AP22" i="8" s="1"/>
  <c r="AP26" i="8" s="1"/>
  <c r="AP31" i="8" s="1"/>
  <c r="AP52" i="8" s="1"/>
  <c r="AN15" i="8"/>
  <c r="AN22" i="8" s="1"/>
  <c r="AN26" i="8" s="1"/>
  <c r="AN31" i="8" s="1"/>
  <c r="AN52" i="8" s="1"/>
  <c r="BW93" i="6"/>
  <c r="BW97" i="6" s="1"/>
  <c r="AL77" i="6"/>
  <c r="AL93" i="6" s="1"/>
  <c r="AL97" i="6" s="1"/>
  <c r="AF15" i="9"/>
  <c r="AF18" i="9" s="1"/>
  <c r="AF27" i="9" s="1"/>
  <c r="AF28" i="9" s="1"/>
  <c r="AI31" i="6"/>
  <c r="AC8" i="9" s="1"/>
  <c r="AA8" i="9"/>
  <c r="Z8" i="9" s="1"/>
  <c r="BZ8" i="9"/>
  <c r="AA19" i="9"/>
  <c r="Z19" i="9" s="1"/>
  <c r="AG8" i="6"/>
  <c r="AA7" i="9" s="1"/>
  <c r="AI18" i="6"/>
  <c r="CE85" i="6"/>
  <c r="CF86" i="6"/>
  <c r="CF85" i="6" s="1"/>
  <c r="CC78" i="6"/>
  <c r="CC93" i="6" s="1"/>
  <c r="CC97" i="6" s="1"/>
  <c r="CL15" i="9"/>
  <c r="CL18" i="9" s="1"/>
  <c r="CN9" i="9"/>
  <c r="CN15" i="9" s="1"/>
  <c r="CN18" i="9" s="1"/>
  <c r="BI93" i="6"/>
  <c r="BI97" i="6" s="1"/>
  <c r="CJ78" i="6"/>
  <c r="CJ93" i="6" s="1"/>
  <c r="CJ97" i="6" s="1"/>
  <c r="BT15" i="9"/>
  <c r="BT18" i="9" s="1"/>
  <c r="BV9" i="9"/>
  <c r="BX9" i="9" s="1"/>
  <c r="AI79" i="6"/>
  <c r="AI78" i="6" s="1"/>
  <c r="AG78" i="6"/>
  <c r="CM86" i="6"/>
  <c r="CM85" i="6" s="1"/>
  <c r="CL85" i="6"/>
  <c r="AJ10" i="9"/>
  <c r="AP49" i="6"/>
  <c r="BF15" i="9"/>
  <c r="BH9" i="9"/>
  <c r="BJ9" i="9" s="1"/>
  <c r="BL9" i="9" s="1"/>
  <c r="BY9" i="9"/>
  <c r="BY15" i="9" s="1"/>
  <c r="BY18" i="9" s="1"/>
  <c r="CP93" i="6"/>
  <c r="CP97" i="6" s="1"/>
  <c r="CR93" i="6"/>
  <c r="CR97" i="6" s="1"/>
  <c r="BA7" i="9"/>
  <c r="BC7" i="9" s="1"/>
  <c r="BE7" i="9" s="1"/>
  <c r="AZ9" i="9"/>
  <c r="H97" i="6"/>
  <c r="J93" i="6"/>
  <c r="L93" i="6" s="1"/>
  <c r="CE48" i="6"/>
  <c r="CE77" i="6" s="1"/>
  <c r="AN49" i="6"/>
  <c r="BC31" i="8"/>
  <c r="BA31" i="8"/>
  <c r="BB52" i="8"/>
  <c r="CC15" i="9"/>
  <c r="CB27" i="9"/>
  <c r="CB28" i="9" s="1"/>
  <c r="BK81" i="6"/>
  <c r="BK79" i="6" s="1"/>
  <c r="BK78" i="6" s="1"/>
  <c r="BK93" i="6" s="1"/>
  <c r="BK97" i="6" s="1"/>
  <c r="BJ79" i="6"/>
  <c r="BJ78" i="6" s="1"/>
  <c r="BJ93" i="6" s="1"/>
  <c r="BJ97" i="6" s="1"/>
  <c r="AP48" i="6"/>
  <c r="CD27" i="9"/>
  <c r="CD28" i="9" s="1"/>
  <c r="AD97" i="6"/>
  <c r="AE93" i="6"/>
  <c r="AG93" i="6" s="1"/>
  <c r="AI93" i="6" s="1"/>
  <c r="CF27" i="9"/>
  <c r="CF28" i="9" s="1"/>
  <c r="Q77" i="6"/>
  <c r="S77" i="6" s="1"/>
  <c r="O93" i="6"/>
  <c r="AJ9" i="9"/>
  <c r="BO18" i="9"/>
  <c r="BO27" i="9" s="1"/>
  <c r="BO28" i="9" s="1"/>
  <c r="BQ15" i="9"/>
  <c r="BQ18" i="9" s="1"/>
  <c r="BQ27" i="9" s="1"/>
  <c r="BQ28" i="9" s="1"/>
  <c r="AH9" i="9"/>
  <c r="AH15" i="9" s="1"/>
  <c r="AH18" i="9" s="1"/>
  <c r="AH27" i="9" s="1"/>
  <c r="AH28" i="9" s="1"/>
  <c r="BW27" i="9"/>
  <c r="BW28" i="9" s="1"/>
  <c r="AY77" i="6"/>
  <c r="AZ93" i="6"/>
  <c r="BA93" i="6" s="1"/>
  <c r="BB97" i="6"/>
  <c r="BC77" i="6"/>
  <c r="BD93" i="6"/>
  <c r="BR7" i="9"/>
  <c r="BX48" i="6"/>
  <c r="BX77" i="6" s="1"/>
  <c r="BX93" i="6" s="1"/>
  <c r="BX97" i="6" s="1"/>
  <c r="AN48" i="6"/>
  <c r="CK79" i="6"/>
  <c r="CK78" i="6" s="1"/>
  <c r="CK93" i="6" s="1"/>
  <c r="CK97" i="6" s="1"/>
  <c r="CL80" i="6"/>
  <c r="CF80" i="6"/>
  <c r="CF79" i="6" s="1"/>
  <c r="CE79" i="6"/>
  <c r="CC18" i="9" l="1"/>
  <c r="CC27" i="9" s="1"/>
  <c r="CC28" i="9" s="1"/>
  <c r="AE77" i="6"/>
  <c r="Z97" i="6"/>
  <c r="Z98" i="6" s="1"/>
  <c r="CE78" i="6"/>
  <c r="CE93" i="6" s="1"/>
  <c r="CE97" i="6" s="1"/>
  <c r="CF78" i="6"/>
  <c r="CF93" i="6" s="1"/>
  <c r="CF97" i="6" s="1"/>
  <c r="AB8" i="9"/>
  <c r="BZ9" i="9"/>
  <c r="AC19" i="9"/>
  <c r="AB19" i="9" s="1"/>
  <c r="AI8" i="6"/>
  <c r="AC7" i="9" s="1"/>
  <c r="AN77" i="6"/>
  <c r="AN93" i="6" s="1"/>
  <c r="AN97" i="6" s="1"/>
  <c r="Z7" i="9"/>
  <c r="AA9" i="9"/>
  <c r="CL27" i="9"/>
  <c r="CL28" i="9" s="1"/>
  <c r="AJ15" i="9"/>
  <c r="AJ18" i="9" s="1"/>
  <c r="AJ27" i="9" s="1"/>
  <c r="AJ28" i="9" s="1"/>
  <c r="AP77" i="6"/>
  <c r="AP93" i="6" s="1"/>
  <c r="AP97" i="6" s="1"/>
  <c r="CE15" i="9"/>
  <c r="BT27" i="9"/>
  <c r="BT28" i="9" s="1"/>
  <c r="BV15" i="9"/>
  <c r="BV18" i="9" s="1"/>
  <c r="BF18" i="9"/>
  <c r="BF27" i="9" s="1"/>
  <c r="BF28" i="9" s="1"/>
  <c r="BH15" i="9"/>
  <c r="J97" i="6"/>
  <c r="H98" i="6"/>
  <c r="AZ15" i="9"/>
  <c r="BA9" i="9"/>
  <c r="BC9" i="9" s="1"/>
  <c r="BE9" i="9" s="1"/>
  <c r="AD99" i="6"/>
  <c r="AE97" i="6"/>
  <c r="AE98" i="6" s="1"/>
  <c r="BC93" i="6"/>
  <c r="BD97" i="6"/>
  <c r="BC97" i="6" s="1"/>
  <c r="AI48" i="6"/>
  <c r="AI77" i="6" s="1"/>
  <c r="AG77" i="6"/>
  <c r="AY93" i="6"/>
  <c r="AZ97" i="6"/>
  <c r="AY97" i="6" s="1"/>
  <c r="BY27" i="9"/>
  <c r="BY28" i="9" s="1"/>
  <c r="CL79" i="6"/>
  <c r="CL78" i="6" s="1"/>
  <c r="CL93" i="6" s="1"/>
  <c r="CL97" i="6" s="1"/>
  <c r="CM80" i="6"/>
  <c r="CM79" i="6" s="1"/>
  <c r="CM78" i="6" s="1"/>
  <c r="CM93" i="6" s="1"/>
  <c r="CM97" i="6" s="1"/>
  <c r="BS7" i="9"/>
  <c r="BR9" i="9"/>
  <c r="O97" i="6"/>
  <c r="Q93" i="6"/>
  <c r="S93" i="6" s="1"/>
  <c r="CE18" i="9" l="1"/>
  <c r="CE27" i="9" s="1"/>
  <c r="CE28" i="9" s="1"/>
  <c r="Z9" i="9"/>
  <c r="AA15" i="9"/>
  <c r="AB7" i="9"/>
  <c r="AC9" i="9"/>
  <c r="CG15" i="9"/>
  <c r="BV27" i="9"/>
  <c r="BV28" i="9" s="1"/>
  <c r="BX15" i="9"/>
  <c r="BX18" i="9" s="1"/>
  <c r="J98" i="6"/>
  <c r="L97" i="6"/>
  <c r="L98" i="6" s="1"/>
  <c r="BJ15" i="9"/>
  <c r="BH18" i="9"/>
  <c r="BH27" i="9" s="1"/>
  <c r="BH28" i="9" s="1"/>
  <c r="BA97" i="6"/>
  <c r="BA15" i="9"/>
  <c r="AZ18" i="9"/>
  <c r="AZ27" i="9" s="1"/>
  <c r="AZ28" i="9" s="1"/>
  <c r="Q97" i="6"/>
  <c r="O98" i="6"/>
  <c r="BR15" i="9"/>
  <c r="BS9" i="9"/>
  <c r="AG97" i="6"/>
  <c r="AI97" i="6" s="1"/>
  <c r="AI98" i="6" s="1"/>
  <c r="CG18" i="9" l="1"/>
  <c r="CG27" i="9" s="1"/>
  <c r="CG28" i="9" s="1"/>
  <c r="AB9" i="9"/>
  <c r="AC15" i="9"/>
  <c r="AA18" i="9"/>
  <c r="AA27" i="9" s="1"/>
  <c r="AA28" i="9" s="1"/>
  <c r="Z15" i="9"/>
  <c r="Z18" i="9" s="1"/>
  <c r="Z27" i="9" s="1"/>
  <c r="Z28" i="9" s="1"/>
  <c r="BX27" i="9"/>
  <c r="BX28" i="9" s="1"/>
  <c r="BZ15" i="9"/>
  <c r="BJ18" i="9"/>
  <c r="BJ27" i="9" s="1"/>
  <c r="BJ28" i="9" s="1"/>
  <c r="BL15" i="9"/>
  <c r="BL18" i="9" s="1"/>
  <c r="BL27" i="9" s="1"/>
  <c r="BL28" i="9" s="1"/>
  <c r="BA18" i="9"/>
  <c r="BA27" i="9" s="1"/>
  <c r="BA28" i="9" s="1"/>
  <c r="BC15" i="9"/>
  <c r="BS15" i="9"/>
  <c r="BS18" i="9" s="1"/>
  <c r="BS27" i="9" s="1"/>
  <c r="BS28" i="9" s="1"/>
  <c r="BR18" i="9"/>
  <c r="BR27" i="9" s="1"/>
  <c r="BR28" i="9" s="1"/>
  <c r="Q98" i="6"/>
  <c r="S97" i="6"/>
  <c r="S98" i="6" s="1"/>
  <c r="BG86" i="4"/>
  <c r="BG63" i="4" s="1"/>
  <c r="BG8" i="4" s="1"/>
  <c r="BG92" i="4" s="1"/>
  <c r="BZ18" i="9" l="1"/>
  <c r="BZ27" i="9" s="1"/>
  <c r="BZ28" i="9" s="1"/>
  <c r="AB15" i="9"/>
  <c r="AB18" i="9" s="1"/>
  <c r="AB27" i="9" s="1"/>
  <c r="AB28" i="9" s="1"/>
  <c r="AC18" i="9"/>
  <c r="AC27" i="9" s="1"/>
  <c r="AC28" i="9" s="1"/>
  <c r="BC18" i="9"/>
  <c r="BC27" i="9" s="1"/>
  <c r="BC28" i="9" s="1"/>
  <c r="BE15" i="9"/>
  <c r="BE18" i="9" s="1"/>
  <c r="BE27" i="9" s="1"/>
  <c r="BE28" i="9" s="1"/>
  <c r="CM15" i="9"/>
  <c r="CM18" i="9" s="1"/>
  <c r="CN10" i="20"/>
  <c r="CN16" i="20" s="1"/>
  <c r="CN19" i="20" s="1"/>
  <c r="CN7" i="20"/>
  <c r="CO7" i="20"/>
  <c r="CO12" i="20" s="1"/>
  <c r="CO14" i="20" s="1"/>
  <c r="CN14" i="20" s="1"/>
  <c r="CO16" i="20"/>
  <c r="CO19" i="20" s="1"/>
  <c r="CN27" i="9" l="1"/>
  <c r="CN28" i="9" s="1"/>
  <c r="CM27" i="9"/>
  <c r="CM28" i="9" s="1"/>
  <c r="CN12" i="20"/>
  <c r="AG98" i="6"/>
  <c r="CZ58" i="6"/>
  <c r="CZ49" i="6" s="1"/>
  <c r="DA58" i="6"/>
  <c r="DA49" i="6" s="1"/>
  <c r="BM86" i="4"/>
  <c r="BM63" i="4" s="1"/>
  <c r="BM8" i="4" s="1"/>
  <c r="BM92" i="4" s="1"/>
  <c r="BL86" i="4"/>
  <c r="BL63" i="4" s="1"/>
  <c r="BL8" i="4" s="1"/>
  <c r="BL92" i="4" s="1"/>
  <c r="DA77" i="6" l="1"/>
  <c r="DA93" i="6" s="1"/>
  <c r="DA97" i="6" s="1"/>
  <c r="CZ77" i="6"/>
  <c r="CZ93" i="6" s="1"/>
  <c r="CZ97" i="6" s="1"/>
  <c r="DC10" i="8"/>
  <c r="DC11" i="8"/>
  <c r="DC12" i="8"/>
  <c r="DC20" i="8"/>
  <c r="DE20" i="8"/>
  <c r="DD19" i="8"/>
  <c r="DC19" i="8" s="1"/>
  <c r="DC15" i="8" s="1"/>
  <c r="DC22" i="8" s="1"/>
  <c r="DC26" i="8" s="1"/>
  <c r="DC31" i="8" s="1"/>
  <c r="DC52" i="8" s="1"/>
  <c r="DD15" i="8"/>
  <c r="DD22" i="8" s="1"/>
  <c r="DD26" i="8" s="1"/>
  <c r="DD31" i="8" s="1"/>
  <c r="DD52" i="8" s="1"/>
  <c r="DE19" i="8" l="1"/>
  <c r="DE15" i="8" s="1"/>
  <c r="DE22" i="8" s="1"/>
  <c r="DE26" i="8" s="1"/>
  <c r="DE31" i="8" s="1"/>
  <c r="DE52" i="8" s="1"/>
  <c r="DC27" i="9"/>
  <c r="DC28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  <author>Júlia Fogaça - SLC Agrícola</author>
  </authors>
  <commentList>
    <comment ref="AJ42" authorId="0" shapeId="0" xr:uid="{40F902B6-92A3-4C91-896A-4A7A2E301D25}">
      <text>
        <r>
          <rPr>
            <sz val="9"/>
            <color indexed="81"/>
            <rFont val="Segoe UI"/>
            <family val="2"/>
          </rPr>
          <t xml:space="preserve">Somar Provisões Previdenciárias e Trabalhistas + Provisões para Contigencias Trabalhistas </t>
        </r>
      </text>
    </comment>
    <comment ref="G77" authorId="1" shapeId="0" xr:uid="{D19FFC87-F221-4E09-BD7A-2BCD361318A8}">
      <text>
        <r>
          <rPr>
            <b/>
            <sz val="9"/>
            <color indexed="81"/>
            <rFont val="Segoe UI"/>
            <family val="2"/>
          </rPr>
          <t>Júlia Fogaça - SLC Agrícola:</t>
        </r>
        <r>
          <rPr>
            <sz val="9"/>
            <color indexed="81"/>
            <rFont val="Segoe UI"/>
            <family val="2"/>
          </rPr>
          <t xml:space="preserve">
reserva para expansão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</authors>
  <commentList>
    <comment ref="C11" authorId="0" shapeId="0" xr:uid="{A9571D67-5172-43F4-A414-F58A72B71A24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12" authorId="0" shapeId="0" xr:uid="{738C5766-0873-4FAE-8EAE-2E1FA3C774AB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C20" authorId="0" shapeId="0" xr:uid="{C50905DA-0AF4-430C-ABF1-F13B097984A2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21" authorId="0" shapeId="0" xr:uid="{B52E7474-2311-4A7C-A5EF-67397E1B3429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C28" authorId="0" shapeId="0" xr:uid="{FCC17BFA-BC34-412D-8D12-AE9EDCCDC92A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29" authorId="0" shapeId="0" xr:uid="{180DBDB6-65BC-49D4-AF1A-FDDFA7EFFF3D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B34" authorId="0" shapeId="0" xr:uid="{B88A52C6-83AE-4E0F-B138-051491842A49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B35" authorId="0" shapeId="0" xr:uid="{7F410E00-4541-4273-A98B-6DD21AF2C2EC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C42" authorId="0" shapeId="0" xr:uid="{07D1147A-C1D6-4830-B8EB-893716A7A783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43" authorId="0" shapeId="0" xr:uid="{E321FDD3-36ED-4833-95FE-94C9DFDF68F9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tc={F650523D-FC45-4A18-8554-D239B746ABF6}</author>
    <author>tc={B67C05C4-E6E8-4107-B3BE-D1F8DD21AD9A}</author>
  </authors>
  <commentList>
    <comment ref="A7" authorId="0" shapeId="0" xr:uid="{F650523D-FC45-4A18-8554-D239B746ABF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Com Ativo Biológico
e VRL</t>
      </text>
    </comment>
    <comment ref="A8" authorId="1" shapeId="0" xr:uid="{B67C05C4-E6E8-4107-B3BE-D1F8DD21AD9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Com Ativo Biológico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</authors>
  <commentList>
    <comment ref="A10" authorId="0" shapeId="0" xr:uid="{F0F0C00A-B161-4B61-87EB-455FBF93B218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A11" authorId="0" shapeId="0" xr:uid="{C2984E3B-3545-4FDE-99CF-47589526BDBA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</commentList>
</comments>
</file>

<file path=xl/sharedStrings.xml><?xml version="1.0" encoding="utf-8"?>
<sst xmlns="http://schemas.openxmlformats.org/spreadsheetml/2006/main" count="1460" uniqueCount="438">
  <si>
    <t>DVA - Demonstração do Valor Adicionado</t>
  </si>
  <si>
    <t>Dia:</t>
  </si>
  <si>
    <t>Mês:</t>
  </si>
  <si>
    <t>Ano:</t>
  </si>
  <si>
    <t>Janeiro</t>
  </si>
  <si>
    <t>Março</t>
  </si>
  <si>
    <t>Fevereiro</t>
  </si>
  <si>
    <t>Abril</t>
  </si>
  <si>
    <t>Maio</t>
  </si>
  <si>
    <t>Junho</t>
  </si>
  <si>
    <t>Julho</t>
  </si>
  <si>
    <t>Legenda:</t>
  </si>
  <si>
    <t>Agosto</t>
  </si>
  <si>
    <t>Célula a informar valor</t>
  </si>
  <si>
    <t>Setembro</t>
  </si>
  <si>
    <t>Célula com fórmulas</t>
  </si>
  <si>
    <t>Outubro</t>
  </si>
  <si>
    <t>Novembro</t>
  </si>
  <si>
    <t>Dezembro</t>
  </si>
  <si>
    <t>DESCRIÇÃO DA CONTA</t>
  </si>
  <si>
    <t>BR GAAP</t>
  </si>
  <si>
    <t>IFRS</t>
  </si>
  <si>
    <t>01T09</t>
  </si>
  <si>
    <t>02T09</t>
  </si>
  <si>
    <t>03T09</t>
  </si>
  <si>
    <t>2009</t>
  </si>
  <si>
    <t>01T10</t>
  </si>
  <si>
    <t>02T10</t>
  </si>
  <si>
    <t>03T10</t>
  </si>
  <si>
    <t>2010</t>
  </si>
  <si>
    <t>01T11</t>
  </si>
  <si>
    <t>02T11</t>
  </si>
  <si>
    <t>03T11</t>
  </si>
  <si>
    <t>2011</t>
  </si>
  <si>
    <t>01T12</t>
  </si>
  <si>
    <t>02T12</t>
  </si>
  <si>
    <t>03T12</t>
  </si>
  <si>
    <t>2012</t>
  </si>
  <si>
    <t>01T13</t>
  </si>
  <si>
    <t>02T13</t>
  </si>
  <si>
    <t>03T13</t>
  </si>
  <si>
    <t>2013</t>
  </si>
  <si>
    <t>01T14</t>
  </si>
  <si>
    <t>02T14</t>
  </si>
  <si>
    <t>03T14</t>
  </si>
  <si>
    <t>2014</t>
  </si>
  <si>
    <t>01T15</t>
  </si>
  <si>
    <t>02T15</t>
  </si>
  <si>
    <t>03T15</t>
  </si>
  <si>
    <t>2015</t>
  </si>
  <si>
    <t>01T16</t>
  </si>
  <si>
    <t>02T16</t>
  </si>
  <si>
    <t>03T16</t>
  </si>
  <si>
    <t>2016</t>
  </si>
  <si>
    <t>01T17</t>
  </si>
  <si>
    <t>02T17</t>
  </si>
  <si>
    <t>03T17</t>
  </si>
  <si>
    <t>2017</t>
  </si>
  <si>
    <t>01T18</t>
  </si>
  <si>
    <t>02T18</t>
  </si>
  <si>
    <t>03T18</t>
  </si>
  <si>
    <t>2018</t>
  </si>
  <si>
    <t>01T19</t>
  </si>
  <si>
    <t>02T19</t>
  </si>
  <si>
    <t>03T19</t>
  </si>
  <si>
    <t>2019</t>
  </si>
  <si>
    <t>01T20</t>
  </si>
  <si>
    <t>02T20</t>
  </si>
  <si>
    <t>03T20</t>
  </si>
  <si>
    <t>01T21</t>
  </si>
  <si>
    <t>02T21</t>
  </si>
  <si>
    <t>03T21</t>
  </si>
  <si>
    <t>2021</t>
  </si>
  <si>
    <t>01T22</t>
  </si>
  <si>
    <t>ATIVO TOTAL</t>
  </si>
  <si>
    <t>Ativo circulante</t>
  </si>
  <si>
    <t>Caixa e Equivalentes de Caixa</t>
  </si>
  <si>
    <t>Caixa e equivalentes de caixa</t>
  </si>
  <si>
    <t>Aplicações financeiras de curto prazo</t>
  </si>
  <si>
    <t>Aplicações Financeiras</t>
  </si>
  <si>
    <t>Aplicações financeiras avaliadas a valor justo</t>
  </si>
  <si>
    <t>Títulos para negociação</t>
  </si>
  <si>
    <t>Títulos disponíveis para venda</t>
  </si>
  <si>
    <t>Aplicações financeiras avaliadas ao custo amortizado</t>
  </si>
  <si>
    <t>Títulos mantidos até ao vencimento</t>
  </si>
  <si>
    <t>Contas a Receber</t>
  </si>
  <si>
    <t>Clientes</t>
  </si>
  <si>
    <t>Clientes - Mercado Interno</t>
  </si>
  <si>
    <t>Clientes - Mercado Externo</t>
  </si>
  <si>
    <t>Outras contas a receber</t>
  </si>
  <si>
    <t>Adiantamento a Fornecedores</t>
  </si>
  <si>
    <t>Operações com derivativos</t>
  </si>
  <si>
    <t>Títulos e créditos a receber</t>
  </si>
  <si>
    <t>Outras Contas a receber</t>
  </si>
  <si>
    <t>Aplicações financeiras vinculadas</t>
  </si>
  <si>
    <t>Estoques</t>
  </si>
  <si>
    <t>Produtos Agrícolas</t>
  </si>
  <si>
    <t>Produtos Agrícolas - Custos incorridos</t>
  </si>
  <si>
    <t>Produtos Agrícolas - Ajuste Ativo Biológico</t>
  </si>
  <si>
    <t>Adiantamentos a fornecedores</t>
  </si>
  <si>
    <t>Outros estoques</t>
  </si>
  <si>
    <t>(-) Provisão para ajuste ao valor de mercado</t>
  </si>
  <si>
    <t>(-) Provisão para perda estoque</t>
  </si>
  <si>
    <t>(-) Provisão para ajuste ao valor realizável líquido</t>
  </si>
  <si>
    <t>Ativos Biológicos</t>
  </si>
  <si>
    <t>Custos Incorridos</t>
  </si>
  <si>
    <t>Algodão em Pluma</t>
  </si>
  <si>
    <t>Soja</t>
  </si>
  <si>
    <t>Milho</t>
  </si>
  <si>
    <t>Café</t>
  </si>
  <si>
    <t>Outras</t>
  </si>
  <si>
    <t>Rebanhos</t>
  </si>
  <si>
    <t>Ajuste Ativos Biológicos</t>
  </si>
  <si>
    <t>Títulos a Recuperar</t>
  </si>
  <si>
    <t>Tributos correntes a recuperar</t>
  </si>
  <si>
    <t>Impostos a Recuperar</t>
  </si>
  <si>
    <t>Despesas Antecipadas</t>
  </si>
  <si>
    <t>Outros Ativos Circulantes</t>
  </si>
  <si>
    <t>Ativos de Operações Descontinuadas</t>
  </si>
  <si>
    <t>Ativo Não Circulante</t>
  </si>
  <si>
    <t>Ativo Realizável a Longo Prazo</t>
  </si>
  <si>
    <t>Operações com Derivativos</t>
  </si>
  <si>
    <t>Adiantamento a fornecedores</t>
  </si>
  <si>
    <t>Títulos Diferidos</t>
  </si>
  <si>
    <t>Imposto de Renda e Constribuição Social Diferidos</t>
  </si>
  <si>
    <t>Investimentos</t>
  </si>
  <si>
    <t>Propriedades para Investimento</t>
  </si>
  <si>
    <t xml:space="preserve">Participações Societárias </t>
  </si>
  <si>
    <t>Imobilizado</t>
  </si>
  <si>
    <t>Imobilizado em Operação</t>
  </si>
  <si>
    <t>Direito de Uso em Arrendamento</t>
  </si>
  <si>
    <t>Imobilizado em Andamento</t>
  </si>
  <si>
    <t>Intangível</t>
  </si>
  <si>
    <t>Intangíveis</t>
  </si>
  <si>
    <t>2020</t>
  </si>
  <si>
    <t>1T22</t>
  </si>
  <si>
    <t>PASSIVO TOTAL</t>
  </si>
  <si>
    <t>Passivo Circulante</t>
  </si>
  <si>
    <t>Obrigações Sociais e trabalhistas</t>
  </si>
  <si>
    <t xml:space="preserve">Obrigações sociais     </t>
  </si>
  <si>
    <t>Obrigações trabalhistas</t>
  </si>
  <si>
    <t>Fornecedores</t>
  </si>
  <si>
    <t>Fornecedores Nacionais</t>
  </si>
  <si>
    <t>Fornecedores Estrangeiros</t>
  </si>
  <si>
    <t>Obrigações Fiscais</t>
  </si>
  <si>
    <t>Obrigações Fiscais Federais</t>
  </si>
  <si>
    <t>Imposto de Renda e Contribuição Social a Pagar</t>
  </si>
  <si>
    <t>Impostos, taxas e contribuições diversas</t>
  </si>
  <si>
    <t>Obrigações Fiscais Estaduais</t>
  </si>
  <si>
    <t>Obrigações Fiscais Municipais</t>
  </si>
  <si>
    <t>Empréstimos e Financiamentos</t>
  </si>
  <si>
    <t>Em Moeda Nacional</t>
  </si>
  <si>
    <t>Em Moeda Estrangeira</t>
  </si>
  <si>
    <t>Outras Obrigações</t>
  </si>
  <si>
    <t>Passivos com Partes Relacionadas</t>
  </si>
  <si>
    <t>Outros</t>
  </si>
  <si>
    <t>Dividendos e JCP a Pagar</t>
  </si>
  <si>
    <t>Dividendos a pagar</t>
  </si>
  <si>
    <t>Dividendo Mínimo Obrigatório a Pagar</t>
  </si>
  <si>
    <t>Títulos a pagar</t>
  </si>
  <si>
    <t>Adiantamento de Clientes</t>
  </si>
  <si>
    <t>Arrendamentos a pagar</t>
  </si>
  <si>
    <t>Outros débitos</t>
  </si>
  <si>
    <t>Passivo de Arrendamento de Terceiros</t>
  </si>
  <si>
    <t>Cessão de Crédito</t>
  </si>
  <si>
    <t>Provisões</t>
  </si>
  <si>
    <t xml:space="preserve">Provisões Fiscais, ambientais e Trabalhistas </t>
  </si>
  <si>
    <t>Provisões Fiscais</t>
  </si>
  <si>
    <t>Provisões Previdenciárias e Trabalhistas</t>
  </si>
  <si>
    <t>Provisões para Benefícios a Empregados</t>
  </si>
  <si>
    <t>Previsões Cíveis</t>
  </si>
  <si>
    <t>Provisões ambientais</t>
  </si>
  <si>
    <t>Outras provisões</t>
  </si>
  <si>
    <t>Passivo Não circulante</t>
  </si>
  <si>
    <t>Passivo de arrendamento terceiros</t>
  </si>
  <si>
    <t>Tributos Diferidos</t>
  </si>
  <si>
    <t>Imposto de Renda e Contribuição Social Diferidos</t>
  </si>
  <si>
    <t>Provisões Fiscias Previdenciárias Trabalhistas e Cíveis</t>
  </si>
  <si>
    <t>Patrimônio Líquido Consolidado</t>
  </si>
  <si>
    <t>Capital Social Realizado</t>
  </si>
  <si>
    <t>Reservas de Capital</t>
  </si>
  <si>
    <t>Ágio na emissão de Ações</t>
  </si>
  <si>
    <t>Ágio na emissão das Ações a integralizar</t>
  </si>
  <si>
    <t>Opções Outorgadas</t>
  </si>
  <si>
    <t>Plano de Opções</t>
  </si>
  <si>
    <t>Custo transação emissão de ações</t>
  </si>
  <si>
    <t>Ações em Tesouraria</t>
  </si>
  <si>
    <t>Reserva de Capital</t>
  </si>
  <si>
    <t>Reservas de Lucros</t>
  </si>
  <si>
    <t>Reserva Legal</t>
  </si>
  <si>
    <t>Reserva Estatutária</t>
  </si>
  <si>
    <t>Reserva de Retenção de Lucros</t>
  </si>
  <si>
    <t>Didivendo Adicional Proposto</t>
  </si>
  <si>
    <t xml:space="preserve">Reserva de Investimento Incentivada </t>
  </si>
  <si>
    <t>Reserva para Expansão</t>
  </si>
  <si>
    <t>Lucros / Prejuízos Acumulados</t>
  </si>
  <si>
    <t>Outros Resultados Abrangentes</t>
  </si>
  <si>
    <t>Participação dos Acionistas Não Controladores</t>
  </si>
  <si>
    <t>01S09</t>
  </si>
  <si>
    <t>09M09</t>
  </si>
  <si>
    <t>04T09</t>
  </si>
  <si>
    <t>01S10</t>
  </si>
  <si>
    <t>09M10</t>
  </si>
  <si>
    <t>04T10</t>
  </si>
  <si>
    <t>01S11</t>
  </si>
  <si>
    <t>09M11</t>
  </si>
  <si>
    <t>04T11</t>
  </si>
  <si>
    <t>01S12</t>
  </si>
  <si>
    <t>09M12</t>
  </si>
  <si>
    <t>04T12</t>
  </si>
  <si>
    <t>01S13</t>
  </si>
  <si>
    <t>9M13</t>
  </si>
  <si>
    <t>04T13</t>
  </si>
  <si>
    <t>1T14</t>
  </si>
  <si>
    <t>2T14</t>
  </si>
  <si>
    <t>1S14</t>
  </si>
  <si>
    <t>3T14</t>
  </si>
  <si>
    <t>9M14</t>
  </si>
  <si>
    <t>4T14</t>
  </si>
  <si>
    <t>1T15</t>
  </si>
  <si>
    <t>2T15</t>
  </si>
  <si>
    <t>1S15</t>
  </si>
  <si>
    <t>3T15</t>
  </si>
  <si>
    <t>9M15</t>
  </si>
  <si>
    <t>4T15</t>
  </si>
  <si>
    <t>1T16</t>
  </si>
  <si>
    <t>2T16</t>
  </si>
  <si>
    <t>1S16</t>
  </si>
  <si>
    <t>3T16</t>
  </si>
  <si>
    <t>9M16</t>
  </si>
  <si>
    <t>4T16</t>
  </si>
  <si>
    <t>1T17</t>
  </si>
  <si>
    <t>2T17</t>
  </si>
  <si>
    <t>1S17</t>
  </si>
  <si>
    <t>3T17</t>
  </si>
  <si>
    <t>9M17</t>
  </si>
  <si>
    <t>4T17</t>
  </si>
  <si>
    <t>1T18</t>
  </si>
  <si>
    <t>2T18</t>
  </si>
  <si>
    <t>1S18</t>
  </si>
  <si>
    <t>3T18</t>
  </si>
  <si>
    <t>9M18</t>
  </si>
  <si>
    <t>4T18</t>
  </si>
  <si>
    <t>1T19</t>
  </si>
  <si>
    <t>2T19</t>
  </si>
  <si>
    <t>1S19</t>
  </si>
  <si>
    <t>3T19</t>
  </si>
  <si>
    <t>9M19</t>
  </si>
  <si>
    <t>4T19</t>
  </si>
  <si>
    <t>1T20</t>
  </si>
  <si>
    <t>2T20</t>
  </si>
  <si>
    <t>1S20</t>
  </si>
  <si>
    <t>3T20</t>
  </si>
  <si>
    <t>9M20</t>
  </si>
  <si>
    <t>4T20</t>
  </si>
  <si>
    <t>1T21</t>
  </si>
  <si>
    <t>2T21</t>
  </si>
  <si>
    <t>1S21</t>
  </si>
  <si>
    <t>3T21</t>
  </si>
  <si>
    <t>9M21</t>
  </si>
  <si>
    <t>4T21</t>
  </si>
  <si>
    <t>Receita Líquida de Bens e/ou Serviços</t>
  </si>
  <si>
    <t>Receita de venda dos produtos (Líquida)</t>
  </si>
  <si>
    <t>Rebanho Bovino</t>
  </si>
  <si>
    <t>Resultado de Hedge</t>
  </si>
  <si>
    <t>Variação do Valor Justo dos Ativos Biológicos</t>
  </si>
  <si>
    <t xml:space="preserve">Café  </t>
  </si>
  <si>
    <t>CUSTOS DO BENS E /OU SERVIÇOS VENDIDOS (TOTAL)</t>
  </si>
  <si>
    <t xml:space="preserve">Custos do produtos </t>
  </si>
  <si>
    <t>Realização do Valor Justo dos Ativos Biológicos</t>
  </si>
  <si>
    <t>RESULTADO BRUTO</t>
  </si>
  <si>
    <t>DESPESAS / RECEITAS OPERACIONAIS</t>
  </si>
  <si>
    <t>Despesas com Vendas</t>
  </si>
  <si>
    <t>Fretes</t>
  </si>
  <si>
    <t>Armazenagem</t>
  </si>
  <si>
    <t>Comissões</t>
  </si>
  <si>
    <t>Classificação de Produtos</t>
  </si>
  <si>
    <t>Despesas com Exportação</t>
  </si>
  <si>
    <t>Despesas Gerais e Administrativas</t>
  </si>
  <si>
    <t>Gerais e Administrativas</t>
  </si>
  <si>
    <t>Despesas com Pessoal</t>
  </si>
  <si>
    <t>Participação nos resultados</t>
  </si>
  <si>
    <t>Honorários de terceiros</t>
  </si>
  <si>
    <t>Depreciações e amortizações</t>
  </si>
  <si>
    <t>Despesas com viagens</t>
  </si>
  <si>
    <t>Manutenção de software</t>
  </si>
  <si>
    <t>Propaganda, publicidade e comunicação</t>
  </si>
  <si>
    <t>Despesas de comunicação</t>
  </si>
  <si>
    <t>Aluguéis</t>
  </si>
  <si>
    <t>Contingências tributárias e trabalhistas</t>
  </si>
  <si>
    <t>Energia Elétrica</t>
  </si>
  <si>
    <t>Impostos e Taxas Diversas</t>
  </si>
  <si>
    <t>Contribuições e doações</t>
  </si>
  <si>
    <t>Honorários da Administração</t>
  </si>
  <si>
    <t>Outras Receitas (Despesas) Operacionais</t>
  </si>
  <si>
    <t>Mais Valia de Investimento</t>
  </si>
  <si>
    <t>RESULTADO ANTES DO RESULTADO FINANCEIRO E DOS TRIBUTOS</t>
  </si>
  <si>
    <t>RESULTADO FINANCEIRO</t>
  </si>
  <si>
    <t>Receitas Financeiras</t>
  </si>
  <si>
    <t>Receitas com aplicações financeiras</t>
  </si>
  <si>
    <t>Variação cambial ativa</t>
  </si>
  <si>
    <t>Variação monetária ativa</t>
  </si>
  <si>
    <t>Ganho com operações de derivativos</t>
  </si>
  <si>
    <t>Despesas Financeiras</t>
  </si>
  <si>
    <t>Juros passivos</t>
  </si>
  <si>
    <t>Variação cambial passiva</t>
  </si>
  <si>
    <t xml:space="preserve">Variação monetária </t>
  </si>
  <si>
    <t>AVP Passivo Arrendamento</t>
  </si>
  <si>
    <t>Perdas com operações de derivativos</t>
  </si>
  <si>
    <t>RESULTADO ANTES DOS TRIBUTOS S/O LUCRO</t>
  </si>
  <si>
    <t>IMPOSTO DE RENDA E CONTRIBUIÇÃO SOCIAL S/ O LUCRO</t>
  </si>
  <si>
    <t>Corrente</t>
  </si>
  <si>
    <t>Diferido</t>
  </si>
  <si>
    <t>RESULTADO LÍQUIDO DO PERÍODO</t>
  </si>
  <si>
    <t>09M13</t>
  </si>
  <si>
    <t>4T13</t>
  </si>
  <si>
    <t>Receitas</t>
  </si>
  <si>
    <t>Vendas de Mercadorias, Produtos e Serviços</t>
  </si>
  <si>
    <t>Outras Receitas</t>
  </si>
  <si>
    <t>Receitas refs.à Construção de Ativos Próprios</t>
  </si>
  <si>
    <t>Variação do valor justo dos ativos biológicos</t>
  </si>
  <si>
    <t>Insumos Adquiridos de Terceiros</t>
  </si>
  <si>
    <t>Custos Prods.,Mercs.e Servs.Vendidos</t>
  </si>
  <si>
    <t>Materiais, Energia,Servs., de Terceiros e Outros</t>
  </si>
  <si>
    <t>Perda/ Recuperação de Valores de Ativos</t>
  </si>
  <si>
    <t>Matérias-primas consumidas</t>
  </si>
  <si>
    <t>Ajuste do valor justo dos ativos biológicos</t>
  </si>
  <si>
    <t>Valor Adicionado Bruto</t>
  </si>
  <si>
    <t>Retenções</t>
  </si>
  <si>
    <t>Depreciação, Amortização e Exaustão</t>
  </si>
  <si>
    <t>Valor Adicionado Líquido Reduzido</t>
  </si>
  <si>
    <t>Valor Adicionado recebido em Transferência</t>
  </si>
  <si>
    <t>Resultado de Equivalência Patrimonial</t>
  </si>
  <si>
    <t>Valor Adicionado Total a Distribuir</t>
  </si>
  <si>
    <t>Distribuição do Valor Adicionado</t>
  </si>
  <si>
    <t>Pessoal</t>
  </si>
  <si>
    <t>Remuneração Direta</t>
  </si>
  <si>
    <t>Benefícios</t>
  </si>
  <si>
    <t>F.G.T.S.</t>
  </si>
  <si>
    <t>Impostos, Taxas e Contribuições</t>
  </si>
  <si>
    <t>Federais</t>
  </si>
  <si>
    <t>Estaduais</t>
  </si>
  <si>
    <t>Municipais</t>
  </si>
  <si>
    <t>Remuneração de Capitais de Terceiros</t>
  </si>
  <si>
    <t>Juros</t>
  </si>
  <si>
    <t>Remuneração de Capitais Próprios</t>
  </si>
  <si>
    <t>Dividendos</t>
  </si>
  <si>
    <t>Juros sobre capital próprio</t>
  </si>
  <si>
    <t>Lucros Retidos / Prejuízo do Período</t>
  </si>
  <si>
    <t>Part. Não Controladores nos Lucros Retidos</t>
  </si>
  <si>
    <t>DEMONSTRAÇÃO DO RESULTADO DO EXERCÍCIO CONSOLIDADA</t>
  </si>
  <si>
    <t>GRUPO SLC AGRÍCOLA</t>
  </si>
  <si>
    <t>Descrição da conta</t>
  </si>
  <si>
    <t>01S14</t>
  </si>
  <si>
    <t xml:space="preserve">Receita de vendas </t>
  </si>
  <si>
    <t>(-) Custo dos Produtos Vendidos</t>
  </si>
  <si>
    <t>Resultado Bruto</t>
  </si>
  <si>
    <t>(-) Despesas com vendas</t>
  </si>
  <si>
    <t>(-) Gerais e administrativas</t>
  </si>
  <si>
    <t>(-) Honorários da administração</t>
  </si>
  <si>
    <t>(-) Outras receitas operacionais</t>
  </si>
  <si>
    <t>(-) Mais Valia de Investimento</t>
  </si>
  <si>
    <t>(=) Resultado da Atividade</t>
  </si>
  <si>
    <t>(+) Depreciação e amortização</t>
  </si>
  <si>
    <t>EBITDA</t>
  </si>
  <si>
    <t>(+) Baixas no Ativo Imobilizado</t>
  </si>
  <si>
    <t>(+) Custo de venda de terras</t>
  </si>
  <si>
    <t>(+) Ajuste IFRS 16 | Lucro Retido</t>
  </si>
  <si>
    <t>EBITDA AJUSTADO</t>
  </si>
  <si>
    <t>Descrição da Conta</t>
  </si>
  <si>
    <t>09M14</t>
  </si>
  <si>
    <t>04T14</t>
  </si>
  <si>
    <t>Caixa Líquido das Atividades Operacionais</t>
  </si>
  <si>
    <t>Caixa Gerado nas Operações</t>
  </si>
  <si>
    <t>Variações nos Ativos e Passivos</t>
  </si>
  <si>
    <t>Caixa Líquido Atividades de Investimento</t>
  </si>
  <si>
    <t>Caixa Líquido Atividades de Financiamento</t>
  </si>
  <si>
    <t>Aumento (Redução) de Caixa Equivalentes</t>
  </si>
  <si>
    <t>Saldo inicial de Caixa e Equivalentes</t>
  </si>
  <si>
    <t>Saldo Final de Caixa e Equivalentes</t>
  </si>
  <si>
    <t>Caixa Livre Apresentado</t>
  </si>
  <si>
    <t>Var. Conta Aplic Financeiras</t>
  </si>
  <si>
    <t>Arrendamentos Pagos</t>
  </si>
  <si>
    <t>Caixa Livre Ajustado</t>
  </si>
  <si>
    <t>OUTRAS INFORMAÇÕES RELEVANTES</t>
  </si>
  <si>
    <t>Quantidades Faturadas (em toneladas)</t>
  </si>
  <si>
    <t>Quantidade faturada (ton)</t>
  </si>
  <si>
    <t>Algodão em pluma</t>
  </si>
  <si>
    <t>Caroço de algodão</t>
  </si>
  <si>
    <t>Quantidade faturada (cabeças)</t>
  </si>
  <si>
    <t>CAPEX</t>
  </si>
  <si>
    <t>Quantidade faturada</t>
  </si>
  <si>
    <t/>
  </si>
  <si>
    <t>02T22</t>
  </si>
  <si>
    <t>2T22</t>
  </si>
  <si>
    <t>1S22</t>
  </si>
  <si>
    <t>03T22</t>
  </si>
  <si>
    <t>Ativos não-correntes (outros)</t>
  </si>
  <si>
    <t>3T22</t>
  </si>
  <si>
    <t>9M22</t>
  </si>
  <si>
    <t>2022</t>
  </si>
  <si>
    <t xml:space="preserve">Sementes, adubos, fertilizantes e defensivos agrícolas + Embalagens e material de acondicionamento + Peças de reposição </t>
  </si>
  <si>
    <t>Tributos a Recuperar</t>
  </si>
  <si>
    <t>4T22</t>
  </si>
  <si>
    <t>01T23</t>
  </si>
  <si>
    <t>Créditos com partes relacionadas</t>
  </si>
  <si>
    <t>1T23</t>
  </si>
  <si>
    <t>2T23</t>
  </si>
  <si>
    <t>1S23</t>
  </si>
  <si>
    <t>02T23</t>
  </si>
  <si>
    <t>Imposto sobre a renda e contribuição social a recuperar</t>
  </si>
  <si>
    <t>Provisão de créditos de liquidação duvidosa</t>
  </si>
  <si>
    <t>Atribuído aos sócios da SLC Agrícola</t>
  </si>
  <si>
    <t>Atribuído aos sócios das Joint Ventures/Sociedades</t>
  </si>
  <si>
    <t>03T23</t>
  </si>
  <si>
    <t>3T23</t>
  </si>
  <si>
    <t>9M23</t>
  </si>
  <si>
    <t>AVP Títulos a Pagar</t>
  </si>
  <si>
    <t>Margem EBITDA AJUSTADO</t>
  </si>
  <si>
    <t>(+) Outras Transações Imobilizado</t>
  </si>
  <si>
    <t>Obs: Até 1T12, o ativo biológico era incorporado diretamente na receita e no custo</t>
  </si>
  <si>
    <t>Caroço de algodão (caroço + semente)</t>
  </si>
  <si>
    <t>Soja (comercial + semente)</t>
  </si>
  <si>
    <t>4T23</t>
  </si>
  <si>
    <t>2023</t>
  </si>
  <si>
    <t xml:space="preserve">Variação do Valor Realizável Líquido dos Produtos Agrícolas (VRLPA) </t>
  </si>
  <si>
    <t>Royalties</t>
  </si>
  <si>
    <t>Valor realizável líquido dos produtos agrícolas</t>
  </si>
  <si>
    <t>Depreciação de Direito de Uso</t>
  </si>
  <si>
    <t>(-) Variação do Valor Justo dos Ativos Biológicos</t>
  </si>
  <si>
    <t xml:space="preserve">(+) Realização do Valor Justo dos Ativos Biológicos </t>
  </si>
  <si>
    <t>(+) Variação do Valor Realizável Líquido (VRL) Prod. Agrícolas</t>
  </si>
  <si>
    <t>01T24</t>
  </si>
  <si>
    <t>1T24</t>
  </si>
  <si>
    <t>(+) Depreciação dos ativos de direitos de uso - IFRS 16</t>
  </si>
  <si>
    <t>02T24</t>
  </si>
  <si>
    <t>2T24</t>
  </si>
  <si>
    <t>1S24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</si>
</sst>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_-;\-* #,##0_-;_-* &quot;-&quot;??_-;_-@_-"/>
    <numFmt numFmtId="168" formatCode="_(* #,##0.00_);_(* \(#,##0.00\);_(* &quot;-&quot;_);_(@_)"/>
    <numFmt numFmtId="169" formatCode="0.0%"/>
    <numFmt numFmtId="170" formatCode="[$€]#,##0.00_);[Red]\([$€]#,##0.00\)"/>
    <numFmt numFmtId="171" formatCode="#,##0_ ;\-#,##0\ "/>
    <numFmt numFmtId="172" formatCode="0.000"/>
    <numFmt numFmtId="173" formatCode="_(&quot;R$ &quot;* #,##0.00_);_(&quot;R$ &quot;* \(#,##0.00\);_(&quot;R$ &quot;* &quot;-&quot;??_);_(@_)"/>
    <numFmt numFmtId="174" formatCode="_(&quot;R$ &quot;* #,##0.00_);_(&quot;R$ &quot;* \(#,##0.00\);_(&quot;R$ &quot;* \-??_);_(@_)"/>
  </numFmts>
  <fonts count="73" x14ac:knownFonts="1">
    <font>
      <sz val="10"/>
      <name val="Cambria"/>
    </font>
    <font>
      <sz val="11"/>
      <color theme="1"/>
      <name val="Calibri"/>
      <family val="2"/>
      <scheme val="minor"/>
    </font>
    <font>
      <sz val="10"/>
      <name val="Cambria"/>
      <family val="1"/>
    </font>
    <font>
      <sz val="8"/>
      <name val="Cambria"/>
      <family val="1"/>
    </font>
    <font>
      <b/>
      <sz val="8"/>
      <color indexed="9"/>
      <name val="Cambria"/>
      <family val="1"/>
    </font>
    <font>
      <sz val="10"/>
      <name val="Cambria"/>
      <family val="1"/>
    </font>
    <font>
      <b/>
      <sz val="14"/>
      <name val="Trebuchet MS"/>
      <family val="2"/>
    </font>
    <font>
      <b/>
      <sz val="24"/>
      <name val="Trebuchet MS"/>
      <family val="2"/>
    </font>
    <font>
      <sz val="8"/>
      <name val="Cambria"/>
      <family val="1"/>
    </font>
    <font>
      <sz val="11"/>
      <color indexed="8"/>
      <name val="Calibri"/>
      <family val="2"/>
    </font>
    <font>
      <sz val="10"/>
      <name val="MS Sans Serif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b/>
      <sz val="12"/>
      <name val="Arial"/>
      <family val="2"/>
    </font>
    <font>
      <sz val="10"/>
      <name val="Cambria"/>
      <family val="1"/>
    </font>
    <font>
      <sz val="8"/>
      <name val="Cambria"/>
      <family val="1"/>
    </font>
    <font>
      <sz val="12"/>
      <name val="Arial"/>
      <family val="2"/>
    </font>
    <font>
      <b/>
      <sz val="12"/>
      <color indexed="9"/>
      <name val="Cambria"/>
      <family val="1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mbria"/>
      <family val="2"/>
    </font>
    <font>
      <sz val="10"/>
      <name val="Arial"/>
      <family val="2"/>
    </font>
    <font>
      <sz val="11"/>
      <color indexed="9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0"/>
      <color indexed="8"/>
      <name val="Cambria"/>
      <family val="2"/>
    </font>
    <font>
      <sz val="9"/>
      <name val="Trebuchet MS"/>
      <family val="2"/>
    </font>
    <font>
      <u/>
      <sz val="11"/>
      <color theme="10"/>
      <name val="Calibri"/>
      <family val="2"/>
      <scheme val="minor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0"/>
      <name val="SimSun"/>
      <family val="2"/>
    </font>
    <font>
      <b/>
      <i/>
      <u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63">
    <fill>
      <patternFill patternType="none"/>
    </fill>
    <fill>
      <patternFill patternType="gray125"/>
    </fill>
    <fill>
      <patternFill patternType="solid">
        <fgColor indexed="5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</fills>
  <borders count="75">
    <border>
      <left/>
      <right/>
      <top/>
      <bottom/>
      <diagonal/>
    </border>
    <border>
      <left style="hair">
        <color indexed="17"/>
      </left>
      <right style="thin">
        <color indexed="57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7"/>
      </top>
      <bottom style="hair">
        <color indexed="17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 style="thin">
        <color indexed="17"/>
      </right>
      <top style="hair">
        <color indexed="17"/>
      </top>
      <bottom style="hair">
        <color indexed="17"/>
      </bottom>
      <diagonal/>
    </border>
    <border>
      <left/>
      <right/>
      <top/>
      <bottom style="thin">
        <color indexed="64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thin">
        <color indexed="17"/>
      </bottom>
      <diagonal/>
    </border>
    <border>
      <left style="thin">
        <color indexed="64"/>
      </left>
      <right/>
      <top style="thin">
        <color indexed="64"/>
      </top>
      <bottom style="hair">
        <color indexed="21"/>
      </bottom>
      <diagonal/>
    </border>
    <border>
      <left/>
      <right/>
      <top style="thin">
        <color indexed="64"/>
      </top>
      <bottom style="hair">
        <color indexed="21"/>
      </bottom>
      <diagonal/>
    </border>
    <border>
      <left style="thin">
        <color indexed="57"/>
      </left>
      <right style="hair">
        <color indexed="17"/>
      </right>
      <top/>
      <bottom style="hair">
        <color indexed="17"/>
      </bottom>
      <diagonal/>
    </border>
    <border>
      <left style="hair">
        <color indexed="17"/>
      </left>
      <right style="hair">
        <color indexed="17"/>
      </right>
      <top/>
      <bottom style="hair">
        <color indexed="17"/>
      </bottom>
      <diagonal/>
    </border>
    <border>
      <left style="hair">
        <color indexed="17"/>
      </left>
      <right style="hair">
        <color indexed="58"/>
      </right>
      <top/>
      <bottom style="hair">
        <color indexed="17"/>
      </bottom>
      <diagonal/>
    </border>
    <border>
      <left style="thin">
        <color indexed="64"/>
      </left>
      <right/>
      <top style="hair">
        <color indexed="21"/>
      </top>
      <bottom style="hair">
        <color indexed="21"/>
      </bottom>
      <diagonal/>
    </border>
    <border>
      <left/>
      <right/>
      <top style="hair">
        <color indexed="21"/>
      </top>
      <bottom style="hair">
        <color indexed="21"/>
      </bottom>
      <diagonal/>
    </border>
    <border>
      <left style="thin">
        <color indexed="57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21"/>
      </left>
      <right style="hair">
        <color indexed="58"/>
      </right>
      <top style="hair">
        <color indexed="21"/>
      </top>
      <bottom style="hair">
        <color indexed="21"/>
      </bottom>
      <diagonal/>
    </border>
    <border>
      <left style="thin">
        <color indexed="57"/>
      </left>
      <right style="hair">
        <color indexed="21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58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/>
      <diagonal/>
    </border>
    <border>
      <left style="thin">
        <color indexed="57"/>
      </left>
      <right style="hair">
        <color indexed="57"/>
      </right>
      <top style="hair">
        <color indexed="21"/>
      </top>
      <bottom style="hair">
        <color indexed="57"/>
      </bottom>
      <diagonal/>
    </border>
    <border>
      <left style="hair">
        <color indexed="57"/>
      </left>
      <right style="hair">
        <color indexed="57"/>
      </right>
      <top style="hair">
        <color indexed="21"/>
      </top>
      <bottom style="hair">
        <color indexed="57"/>
      </bottom>
      <diagonal/>
    </border>
    <border>
      <left style="hair">
        <color indexed="57"/>
      </left>
      <right style="hair">
        <color indexed="58"/>
      </right>
      <top style="hair">
        <color indexed="21"/>
      </top>
      <bottom style="hair">
        <color indexed="57"/>
      </bottom>
      <diagonal/>
    </border>
    <border>
      <left style="thin">
        <color indexed="57"/>
      </left>
      <right style="hair">
        <color indexed="57"/>
      </right>
      <top style="hair">
        <color indexed="57"/>
      </top>
      <bottom style="hair">
        <color indexed="57"/>
      </bottom>
      <diagonal/>
    </border>
    <border>
      <left style="hair">
        <color indexed="57"/>
      </left>
      <right style="hair">
        <color indexed="57"/>
      </right>
      <top style="hair">
        <color indexed="57"/>
      </top>
      <bottom style="hair">
        <color indexed="57"/>
      </bottom>
      <diagonal/>
    </border>
    <border>
      <left style="hair">
        <color indexed="57"/>
      </left>
      <right style="hair">
        <color indexed="58"/>
      </right>
      <top style="hair">
        <color indexed="57"/>
      </top>
      <bottom style="hair">
        <color indexed="57"/>
      </bottom>
      <diagonal/>
    </border>
    <border>
      <left style="thin">
        <color indexed="64"/>
      </left>
      <right/>
      <top style="hair">
        <color indexed="21"/>
      </top>
      <bottom/>
      <diagonal/>
    </border>
    <border>
      <left/>
      <right/>
      <top style="hair">
        <color indexed="21"/>
      </top>
      <bottom/>
      <diagonal/>
    </border>
    <border>
      <left style="thin">
        <color indexed="64"/>
      </left>
      <right/>
      <top style="hair">
        <color indexed="21"/>
      </top>
      <bottom style="thin">
        <color indexed="64"/>
      </bottom>
      <diagonal/>
    </border>
    <border>
      <left/>
      <right/>
      <top style="hair">
        <color indexed="21"/>
      </top>
      <bottom style="thin">
        <color indexed="64"/>
      </bottom>
      <diagonal/>
    </border>
    <border>
      <left style="thin">
        <color indexed="57"/>
      </left>
      <right style="hair">
        <color indexed="57"/>
      </right>
      <top style="hair">
        <color indexed="21"/>
      </top>
      <bottom style="thin">
        <color indexed="64"/>
      </bottom>
      <diagonal/>
    </border>
    <border>
      <left style="hair">
        <color indexed="57"/>
      </left>
      <right style="hair">
        <color indexed="57"/>
      </right>
      <top style="hair">
        <color indexed="21"/>
      </top>
      <bottom style="thin">
        <color indexed="64"/>
      </bottom>
      <diagonal/>
    </border>
    <border>
      <left style="hair">
        <color indexed="57"/>
      </left>
      <right style="hair">
        <color indexed="58"/>
      </right>
      <top style="hair">
        <color indexed="21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21"/>
      </bottom>
      <diagonal/>
    </border>
    <border>
      <left/>
      <right/>
      <top/>
      <bottom style="hair">
        <color indexed="21"/>
      </bottom>
      <diagonal/>
    </border>
    <border>
      <left/>
      <right/>
      <top style="hair">
        <color indexed="17"/>
      </top>
      <bottom style="thin">
        <color indexed="17"/>
      </bottom>
      <diagonal/>
    </border>
    <border>
      <left/>
      <right style="thin">
        <color indexed="17"/>
      </right>
      <top style="hair">
        <color indexed="17"/>
      </top>
      <bottom style="thin">
        <color indexed="17"/>
      </bottom>
      <diagonal/>
    </border>
    <border>
      <left/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 style="hair">
        <color indexed="17"/>
      </right>
      <top style="hair">
        <color indexed="17"/>
      </top>
      <bottom style="thin">
        <color indexed="17"/>
      </bottom>
      <diagonal/>
    </border>
    <border>
      <left/>
      <right/>
      <top/>
      <bottom style="medium">
        <color indexed="21"/>
      </bottom>
      <diagonal/>
    </border>
    <border>
      <left style="hair">
        <color indexed="21"/>
      </left>
      <right/>
      <top style="hair">
        <color indexed="21"/>
      </top>
      <bottom style="hair">
        <color indexed="21"/>
      </bottom>
      <diagonal/>
    </border>
    <border>
      <left/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/>
      <right style="thin">
        <color rgb="FF00B050"/>
      </right>
      <top style="thin">
        <color indexed="64"/>
      </top>
      <bottom/>
      <diagonal/>
    </border>
    <border>
      <left/>
      <right style="thin">
        <color rgb="FF00B050"/>
      </right>
      <top style="hair">
        <color indexed="17"/>
      </top>
      <bottom style="hair">
        <color indexed="17"/>
      </bottom>
      <diagonal/>
    </border>
    <border>
      <left style="thin">
        <color rgb="FF00B050"/>
      </left>
      <right style="thin">
        <color rgb="FF00B050"/>
      </right>
      <top style="thin">
        <color indexed="64"/>
      </top>
      <bottom style="hair">
        <color indexed="17"/>
      </bottom>
      <diagonal/>
    </border>
    <border>
      <left style="thin">
        <color rgb="FF00B050"/>
      </left>
      <right style="thin">
        <color rgb="FF00B050"/>
      </right>
      <top/>
      <bottom style="thin">
        <color indexed="64"/>
      </bottom>
      <diagonal/>
    </border>
    <border>
      <left style="thin">
        <color rgb="FF00B050"/>
      </left>
      <right style="thin">
        <color rgb="FF00B050"/>
      </right>
      <top/>
      <bottom style="hair">
        <color indexed="21"/>
      </bottom>
      <diagonal/>
    </border>
    <border>
      <left style="thin">
        <color rgb="FF00B050"/>
      </left>
      <right style="thin">
        <color rgb="FF00B050"/>
      </right>
      <top style="hair">
        <color indexed="21"/>
      </top>
      <bottom style="hair">
        <color indexed="21"/>
      </bottom>
      <diagonal/>
    </border>
    <border>
      <left style="thin">
        <color rgb="FF00B050"/>
      </left>
      <right style="thin">
        <color rgb="FF00B050"/>
      </right>
      <top style="hair">
        <color indexed="21"/>
      </top>
      <bottom style="thin">
        <color indexed="64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thin">
        <color rgb="FF00B050"/>
      </right>
      <top style="thin">
        <color indexed="17"/>
      </top>
      <bottom style="hair">
        <color indexed="17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397">
    <xf numFmtId="0" fontId="0" fillId="0" borderId="0"/>
    <xf numFmtId="170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0" borderId="0"/>
    <xf numFmtId="0" fontId="10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55" applyNumberFormat="0" applyFill="0" applyAlignment="0" applyProtection="0"/>
    <xf numFmtId="0" fontId="28" fillId="0" borderId="56" applyNumberFormat="0" applyFill="0" applyAlignment="0" applyProtection="0"/>
    <xf numFmtId="0" fontId="29" fillId="0" borderId="57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32" fillId="10" borderId="0" applyNumberFormat="0" applyBorder="0" applyAlignment="0" applyProtection="0"/>
    <xf numFmtId="0" fontId="33" fillId="11" borderId="58" applyNumberFormat="0" applyAlignment="0" applyProtection="0"/>
    <xf numFmtId="0" fontId="34" fillId="12" borderId="59" applyNumberFormat="0" applyAlignment="0" applyProtection="0"/>
    <xf numFmtId="0" fontId="35" fillId="12" borderId="58" applyNumberFormat="0" applyAlignment="0" applyProtection="0"/>
    <xf numFmtId="0" fontId="36" fillId="0" borderId="60" applyNumberFormat="0" applyFill="0" applyAlignment="0" applyProtection="0"/>
    <xf numFmtId="0" fontId="37" fillId="13" borderId="6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3" applyNumberFormat="0" applyFill="0" applyAlignment="0" applyProtection="0"/>
    <xf numFmtId="0" fontId="4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8" borderId="0" applyNumberFormat="0" applyBorder="0" applyAlignment="0" applyProtection="0"/>
    <xf numFmtId="0" fontId="56" fillId="40" borderId="0" applyNumberFormat="0" applyBorder="0" applyAlignment="0" applyProtection="0"/>
    <xf numFmtId="0" fontId="52" fillId="54" borderId="64" applyNumberFormat="0" applyAlignment="0" applyProtection="0"/>
    <xf numFmtId="0" fontId="53" fillId="46" borderId="65" applyNumberFormat="0" applyAlignment="0" applyProtection="0"/>
    <xf numFmtId="0" fontId="60" fillId="0" borderId="0" applyNumberFormat="0" applyFill="0" applyBorder="0" applyAlignment="0" applyProtection="0"/>
    <xf numFmtId="0" fontId="51" fillId="41" borderId="0" applyNumberFormat="0" applyBorder="0" applyAlignment="0" applyProtection="0"/>
    <xf numFmtId="0" fontId="46" fillId="0" borderId="67" applyNumberFormat="0" applyFill="0" applyAlignment="0" applyProtection="0"/>
    <xf numFmtId="0" fontId="47" fillId="0" borderId="68" applyNumberFormat="0" applyFill="0" applyAlignment="0" applyProtection="0"/>
    <xf numFmtId="0" fontId="48" fillId="0" borderId="69" applyNumberFormat="0" applyFill="0" applyAlignment="0" applyProtection="0"/>
    <xf numFmtId="0" fontId="48" fillId="0" borderId="0" applyNumberFormat="0" applyFill="0" applyBorder="0" applyAlignment="0" applyProtection="0"/>
    <xf numFmtId="0" fontId="55" fillId="44" borderId="64" applyNumberFormat="0" applyAlignment="0" applyProtection="0"/>
    <xf numFmtId="0" fontId="54" fillId="0" borderId="66" applyNumberFormat="0" applyFill="0" applyAlignment="0" applyProtection="0"/>
    <xf numFmtId="44" fontId="61" fillId="0" borderId="0" applyFont="0" applyFill="0" applyBorder="0" applyAlignment="0" applyProtection="0"/>
    <xf numFmtId="0" fontId="57" fillId="59" borderId="0" applyNumberFormat="0" applyBorder="0" applyAlignment="0" applyProtection="0"/>
    <xf numFmtId="0" fontId="43" fillId="0" borderId="0"/>
    <xf numFmtId="0" fontId="43" fillId="0" borderId="0"/>
    <xf numFmtId="0" fontId="2" fillId="0" borderId="0"/>
    <xf numFmtId="0" fontId="42" fillId="0" borderId="0"/>
    <xf numFmtId="0" fontId="1" fillId="0" borderId="0"/>
    <xf numFmtId="0" fontId="2" fillId="0" borderId="0"/>
    <xf numFmtId="0" fontId="49" fillId="60" borderId="70" applyNumberFormat="0" applyFont="0" applyAlignment="0" applyProtection="0"/>
    <xf numFmtId="0" fontId="58" fillId="54" borderId="71" applyNumberFormat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44" fillId="52" borderId="0" applyNumberFormat="0" applyBorder="0" applyAlignment="0" applyProtection="0"/>
    <xf numFmtId="0" fontId="44" fillId="47" borderId="0" applyNumberFormat="0" applyBorder="0" applyAlignment="0" applyProtection="0"/>
    <xf numFmtId="0" fontId="44" fillId="59" borderId="0" applyNumberFormat="0" applyBorder="0" applyAlignment="0" applyProtection="0"/>
    <xf numFmtId="0" fontId="44" fillId="54" borderId="0" applyNumberFormat="0" applyBorder="0" applyAlignment="0" applyProtection="0"/>
    <xf numFmtId="0" fontId="44" fillId="52" borderId="0" applyNumberFormat="0" applyBorder="0" applyAlignment="0" applyProtection="0"/>
    <xf numFmtId="0" fontId="44" fillId="44" borderId="0" applyNumberFormat="0" applyBorder="0" applyAlignment="0" applyProtection="0"/>
    <xf numFmtId="0" fontId="51" fillId="41" borderId="0" applyNumberFormat="0" applyBorder="0" applyAlignment="0" applyProtection="0"/>
    <xf numFmtId="0" fontId="52" fillId="61" borderId="64" applyNumberFormat="0" applyAlignment="0" applyProtection="0"/>
    <xf numFmtId="0" fontId="53" fillId="46" borderId="65" applyNumberFormat="0" applyAlignment="0" applyProtection="0"/>
    <xf numFmtId="0" fontId="54" fillId="0" borderId="66" applyNumberFormat="0" applyFill="0" applyAlignment="0" applyProtection="0"/>
    <xf numFmtId="0" fontId="44" fillId="52" borderId="0" applyNumberFormat="0" applyBorder="0" applyAlignment="0" applyProtection="0"/>
    <xf numFmtId="0" fontId="44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62" borderId="0" applyNumberFormat="0" applyBorder="0" applyAlignment="0" applyProtection="0"/>
    <xf numFmtId="0" fontId="44" fillId="52" borderId="0" applyNumberFormat="0" applyBorder="0" applyAlignment="0" applyProtection="0"/>
    <xf numFmtId="0" fontId="44" fillId="58" borderId="0" applyNumberFormat="0" applyBorder="0" applyAlignment="0" applyProtection="0"/>
    <xf numFmtId="0" fontId="55" fillId="44" borderId="64" applyNumberFormat="0" applyAlignment="0" applyProtection="0"/>
    <xf numFmtId="0" fontId="56" fillId="40" borderId="0" applyNumberFormat="0" applyBorder="0" applyAlignment="0" applyProtection="0"/>
    <xf numFmtId="173" fontId="43" fillId="0" borderId="0" applyFont="0" applyFill="0" applyBorder="0" applyAlignment="0" applyProtection="0"/>
    <xf numFmtId="0" fontId="57" fillId="59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8" fillId="61" borderId="71" applyNumberFormat="0" applyAlignment="0" applyProtection="0"/>
    <xf numFmtId="43" fontId="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72" applyNumberFormat="0" applyFill="0" applyAlignment="0" applyProtection="0"/>
    <xf numFmtId="0" fontId="66" fillId="0" borderId="68" applyNumberFormat="0" applyFill="0" applyAlignment="0" applyProtection="0"/>
    <xf numFmtId="0" fontId="67" fillId="0" borderId="73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74" applyNumberFormat="0" applyFill="0" applyAlignment="0" applyProtection="0"/>
    <xf numFmtId="0" fontId="1" fillId="0" borderId="0"/>
    <xf numFmtId="0" fontId="9" fillId="0" borderId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 applyNumberForma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69" fillId="0" borderId="0" applyNumberForma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9" fillId="0" borderId="0" applyNumberFormat="0" applyFill="0" applyBorder="0" applyProtection="0">
      <alignment horizontal="left"/>
    </xf>
    <xf numFmtId="0" fontId="43" fillId="0" borderId="0" applyNumberFormat="0" applyFill="0" applyBorder="0" applyProtection="0">
      <alignment horizontal="left"/>
    </xf>
    <xf numFmtId="0" fontId="43" fillId="0" borderId="0" applyNumberFormat="0" applyFill="0" applyBorder="0" applyProtection="0">
      <alignment horizontal="left"/>
    </xf>
    <xf numFmtId="174" fontId="43" fillId="0" borderId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61" fillId="0" borderId="0"/>
    <xf numFmtId="0" fontId="61" fillId="0" borderId="0"/>
    <xf numFmtId="0" fontId="6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9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6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30" fillId="8" borderId="0" applyNumberFormat="0" applyBorder="0" applyAlignment="0" applyProtection="0"/>
    <xf numFmtId="0" fontId="35" fillId="12" borderId="58" applyNumberFormat="0" applyAlignment="0" applyProtection="0"/>
    <xf numFmtId="0" fontId="37" fillId="13" borderId="61" applyNumberFormat="0" applyAlignment="0" applyProtection="0"/>
    <xf numFmtId="0" fontId="36" fillId="0" borderId="60" applyNumberFormat="0" applyFill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33" fillId="11" borderId="58" applyNumberFormat="0" applyAlignment="0" applyProtection="0"/>
    <xf numFmtId="0" fontId="31" fillId="9" borderId="0" applyNumberFormat="0" applyBorder="0" applyAlignment="0" applyProtection="0"/>
    <xf numFmtId="44" fontId="43" fillId="0" borderId="0" applyFont="0" applyFill="0" applyBorder="0" applyAlignment="0" applyProtection="0"/>
    <xf numFmtId="0" fontId="71" fillId="10" borderId="0" applyNumberFormat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9" fontId="1" fillId="0" borderId="0" applyFont="0" applyFill="0" applyBorder="0" applyAlignment="0" applyProtection="0"/>
    <xf numFmtId="0" fontId="1" fillId="14" borderId="62" applyNumberFormat="0" applyFont="0" applyAlignment="0" applyProtection="0"/>
    <xf numFmtId="0" fontId="34" fillId="12" borderId="59" applyNumberFormat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7" fillId="0" borderId="55" applyNumberFormat="0" applyFill="0" applyAlignment="0" applyProtection="0"/>
    <xf numFmtId="0" fontId="28" fillId="0" borderId="56" applyNumberFormat="0" applyFill="0" applyAlignment="0" applyProtection="0"/>
    <xf numFmtId="0" fontId="29" fillId="0" borderId="57" applyNumberFormat="0" applyFill="0" applyAlignment="0" applyProtection="0"/>
    <xf numFmtId="0" fontId="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0" fillId="0" borderId="63" applyNumberFormat="0" applyFill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173" fontId="43" fillId="0" borderId="0" applyFont="0" applyFill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2" fillId="61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1" fillId="0" borderId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1" fillId="0" borderId="0"/>
    <xf numFmtId="44" fontId="43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6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35" fillId="12" borderId="58" applyNumberFormat="0" applyAlignment="0" applyProtection="0"/>
    <xf numFmtId="0" fontId="33" fillId="11" borderId="58" applyNumberFormat="0" applyAlignment="0" applyProtection="0"/>
    <xf numFmtId="0" fontId="43" fillId="0" borderId="0"/>
    <xf numFmtId="9" fontId="1" fillId="0" borderId="0" applyFont="0" applyFill="0" applyBorder="0" applyAlignment="0" applyProtection="0"/>
    <xf numFmtId="0" fontId="1" fillId="14" borderId="62" applyNumberFormat="0" applyFont="0" applyAlignment="0" applyProtection="0"/>
    <xf numFmtId="0" fontId="34" fillId="12" borderId="59" applyNumberFormat="0" applyAlignment="0" applyProtection="0"/>
    <xf numFmtId="43" fontId="1" fillId="0" borderId="0" applyFont="0" applyFill="0" applyBorder="0" applyAlignment="0" applyProtection="0"/>
    <xf numFmtId="0" fontId="40" fillId="0" borderId="63" applyNumberFormat="0" applyFill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0" borderId="0"/>
    <xf numFmtId="0" fontId="43" fillId="60" borderId="70" applyNumberFormat="0" applyFont="0" applyAlignment="0" applyProtection="0"/>
    <xf numFmtId="173" fontId="43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2" fillId="61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61" borderId="64" applyNumberFormat="0" applyAlignment="0" applyProtection="0"/>
    <xf numFmtId="0" fontId="68" fillId="0" borderId="74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2" fillId="61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6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0" borderId="0"/>
    <xf numFmtId="173" fontId="43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9" fillId="61" borderId="0" applyNumberFormat="0" applyBorder="0" applyAlignment="0" applyProtection="0"/>
    <xf numFmtId="0" fontId="9" fillId="44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9" borderId="0" applyNumberFormat="0" applyBorder="0" applyAlignment="0" applyProtection="0"/>
    <xf numFmtId="0" fontId="9" fillId="54" borderId="0" applyNumberFormat="0" applyBorder="0" applyAlignment="0" applyProtection="0"/>
    <xf numFmtId="0" fontId="9" fillId="45" borderId="0" applyNumberFormat="0" applyBorder="0" applyAlignment="0" applyProtection="0"/>
    <xf numFmtId="0" fontId="9" fillId="44" borderId="0" applyNumberFormat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61" borderId="71" applyNumberFormat="0" applyAlignment="0" applyProtection="0"/>
    <xf numFmtId="0" fontId="52" fillId="61" borderId="64" applyNumberForma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5" fillId="44" borderId="64" applyNumberFormat="0" applyAlignment="0" applyProtection="0"/>
    <xf numFmtId="0" fontId="1" fillId="0" borderId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6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60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61" borderId="64" applyNumberFormat="0" applyAlignment="0" applyProtection="0"/>
    <xf numFmtId="0" fontId="68" fillId="0" borderId="74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55" fillId="44" borderId="64" applyNumberForma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5" fillId="44" borderId="64" applyNumberFormat="0" applyAlignment="0" applyProtection="0"/>
    <xf numFmtId="0" fontId="43" fillId="60" borderId="70" applyNumberFormat="0" applyFont="0" applyAlignment="0" applyProtection="0"/>
    <xf numFmtId="0" fontId="58" fillId="61" borderId="71" applyNumberForma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52" fillId="61" borderId="64" applyNumberForma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68" fillId="0" borderId="74" applyNumberFormat="0" applyFill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60" borderId="70" applyNumberFormat="0" applyFont="0" applyAlignment="0" applyProtection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1" fillId="14" borderId="6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/>
    <xf numFmtId="43" fontId="1" fillId="0" borderId="0" applyFont="0" applyFill="0" applyBorder="0" applyAlignment="0" applyProtection="0"/>
    <xf numFmtId="170" fontId="1" fillId="0" borderId="0"/>
    <xf numFmtId="43" fontId="1" fillId="0" borderId="0" applyFont="0" applyFill="0" applyBorder="0" applyAlignment="0" applyProtection="0"/>
    <xf numFmtId="170" fontId="43" fillId="0" borderId="0"/>
    <xf numFmtId="170" fontId="4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5">
    <xf numFmtId="0" fontId="0" fillId="0" borderId="0" xfId="0"/>
    <xf numFmtId="167" fontId="0" fillId="0" borderId="0" xfId="11" applyNumberFormat="1" applyFont="1" applyAlignment="1">
      <alignment horizontal="right"/>
    </xf>
    <xf numFmtId="0" fontId="0" fillId="0" borderId="0" xfId="0" applyAlignment="1">
      <alignment horizontal="right"/>
    </xf>
    <xf numFmtId="166" fontId="4" fillId="2" borderId="1" xfId="11" quotePrefix="1" applyNumberFormat="1" applyFont="1" applyFill="1" applyBorder="1" applyAlignment="1">
      <alignment horizontal="center" wrapText="1"/>
    </xf>
    <xf numFmtId="0" fontId="0" fillId="3" borderId="0" xfId="0" applyFill="1"/>
    <xf numFmtId="0" fontId="0" fillId="4" borderId="0" xfId="0" applyFill="1"/>
    <xf numFmtId="0" fontId="6" fillId="0" borderId="0" xfId="0" applyFont="1"/>
    <xf numFmtId="0" fontId="14" fillId="0" borderId="0" xfId="0" applyFont="1" applyAlignment="1">
      <alignment horizontal="left" indent="1"/>
    </xf>
    <xf numFmtId="0" fontId="11" fillId="0" borderId="0" xfId="0" applyFont="1"/>
    <xf numFmtId="167" fontId="11" fillId="0" borderId="0" xfId="11" applyNumberFormat="1" applyFont="1"/>
    <xf numFmtId="164" fontId="11" fillId="0" borderId="0" xfId="0" applyNumberFormat="1" applyFont="1"/>
    <xf numFmtId="166" fontId="12" fillId="2" borderId="2" xfId="11" applyNumberFormat="1" applyFont="1" applyFill="1" applyBorder="1" applyAlignment="1">
      <alignment horizontal="center" wrapText="1"/>
    </xf>
    <xf numFmtId="166" fontId="12" fillId="2" borderId="0" xfId="11" applyNumberFormat="1" applyFont="1" applyFill="1" applyBorder="1" applyAlignment="1">
      <alignment horizontal="left" wrapText="1"/>
    </xf>
    <xf numFmtId="166" fontId="12" fillId="2" borderId="0" xfId="11" applyNumberFormat="1" applyFont="1" applyFill="1" applyBorder="1" applyAlignment="1">
      <alignment horizontal="center" wrapText="1"/>
    </xf>
    <xf numFmtId="164" fontId="15" fillId="4" borderId="3" xfId="11" applyNumberFormat="1" applyFont="1" applyFill="1" applyBorder="1" applyAlignment="1"/>
    <xf numFmtId="164" fontId="15" fillId="4" borderId="4" xfId="11" applyNumberFormat="1" applyFont="1" applyFill="1" applyBorder="1" applyAlignment="1"/>
    <xf numFmtId="164" fontId="15" fillId="4" borderId="4" xfId="11" applyNumberFormat="1" applyFont="1" applyFill="1" applyBorder="1"/>
    <xf numFmtId="164" fontId="11" fillId="0" borderId="4" xfId="11" applyNumberFormat="1" applyFont="1" applyFill="1" applyBorder="1" applyAlignment="1"/>
    <xf numFmtId="164" fontId="11" fillId="0" borderId="4" xfId="11" applyNumberFormat="1" applyFont="1" applyFill="1" applyBorder="1" applyAlignment="1">
      <alignment horizontal="left"/>
    </xf>
    <xf numFmtId="164" fontId="11" fillId="0" borderId="4" xfId="11" applyNumberFormat="1" applyFont="1" applyFill="1" applyBorder="1"/>
    <xf numFmtId="164" fontId="11" fillId="0" borderId="4" xfId="0" applyNumberFormat="1" applyFont="1" applyBorder="1" applyAlignment="1">
      <alignment horizontal="left"/>
    </xf>
    <xf numFmtId="164" fontId="11" fillId="0" borderId="4" xfId="0" applyNumberFormat="1" applyFont="1" applyBorder="1"/>
    <xf numFmtId="164" fontId="15" fillId="4" borderId="4" xfId="0" applyNumberFormat="1" applyFont="1" applyFill="1" applyBorder="1"/>
    <xf numFmtId="164" fontId="11" fillId="4" borderId="4" xfId="11" applyNumberFormat="1" applyFont="1" applyFill="1" applyBorder="1" applyAlignment="1"/>
    <xf numFmtId="164" fontId="11" fillId="4" borderId="4" xfId="11" applyNumberFormat="1" applyFont="1" applyFill="1" applyBorder="1" applyAlignment="1">
      <alignment horizontal="left"/>
    </xf>
    <xf numFmtId="164" fontId="11" fillId="4" borderId="4" xfId="0" applyNumberFormat="1" applyFont="1" applyFill="1" applyBorder="1"/>
    <xf numFmtId="164" fontId="11" fillId="4" borderId="5" xfId="0" applyNumberFormat="1" applyFont="1" applyFill="1" applyBorder="1"/>
    <xf numFmtId="164" fontId="15" fillId="4" borderId="4" xfId="11" applyNumberFormat="1" applyFont="1" applyFill="1" applyBorder="1" applyAlignment="1">
      <alignment horizontal="left"/>
    </xf>
    <xf numFmtId="164" fontId="15" fillId="0" borderId="4" xfId="11" applyNumberFormat="1" applyFont="1" applyFill="1" applyBorder="1" applyAlignment="1"/>
    <xf numFmtId="164" fontId="15" fillId="0" borderId="4" xfId="11" applyNumberFormat="1" applyFont="1" applyFill="1" applyBorder="1" applyAlignment="1">
      <alignment horizontal="left"/>
    </xf>
    <xf numFmtId="164" fontId="15" fillId="0" borderId="4" xfId="11" applyNumberFormat="1" applyFont="1" applyFill="1" applyBorder="1"/>
    <xf numFmtId="164" fontId="15" fillId="0" borderId="4" xfId="0" applyNumberFormat="1" applyFont="1" applyBorder="1"/>
    <xf numFmtId="0" fontId="11" fillId="0" borderId="4" xfId="0" applyFont="1" applyBorder="1"/>
    <xf numFmtId="164" fontId="11" fillId="4" borderId="4" xfId="11" applyNumberFormat="1" applyFont="1" applyFill="1" applyBorder="1"/>
    <xf numFmtId="164" fontId="11" fillId="4" borderId="4" xfId="0" applyNumberFormat="1" applyFont="1" applyFill="1" applyBorder="1" applyAlignment="1">
      <alignment horizontal="left"/>
    </xf>
    <xf numFmtId="164" fontId="15" fillId="4" borderId="4" xfId="0" applyNumberFormat="1" applyFont="1" applyFill="1" applyBorder="1" applyAlignment="1">
      <alignment horizontal="left"/>
    </xf>
    <xf numFmtId="164" fontId="15" fillId="4" borderId="5" xfId="0" applyNumberFormat="1" applyFont="1" applyFill="1" applyBorder="1" applyAlignment="1">
      <alignment horizontal="left"/>
    </xf>
    <xf numFmtId="164" fontId="15" fillId="0" borderId="4" xfId="0" applyNumberFormat="1" applyFont="1" applyBorder="1" applyAlignment="1">
      <alignment horizontal="left"/>
    </xf>
    <xf numFmtId="0" fontId="11" fillId="0" borderId="4" xfId="0" applyFont="1" applyBorder="1" applyAlignment="1">
      <alignment horizontal="left" indent="1"/>
    </xf>
    <xf numFmtId="0" fontId="11" fillId="0" borderId="0" xfId="0" applyFont="1" applyAlignment="1">
      <alignment horizontal="left"/>
    </xf>
    <xf numFmtId="0" fontId="16" fillId="0" borderId="0" xfId="0" applyFont="1"/>
    <xf numFmtId="1" fontId="12" fillId="2" borderId="2" xfId="11" applyNumberFormat="1" applyFont="1" applyFill="1" applyBorder="1" applyAlignment="1">
      <alignment horizontal="center" wrapText="1"/>
    </xf>
    <xf numFmtId="1" fontId="12" fillId="2" borderId="6" xfId="11" applyNumberFormat="1" applyFont="1" applyFill="1" applyBorder="1" applyAlignment="1">
      <alignment horizontal="center" wrapText="1"/>
    </xf>
    <xf numFmtId="164" fontId="15" fillId="0" borderId="7" xfId="0" applyNumberFormat="1" applyFont="1" applyBorder="1" applyAlignment="1">
      <alignment horizontal="left"/>
    </xf>
    <xf numFmtId="164" fontId="15" fillId="0" borderId="7" xfId="0" applyNumberFormat="1" applyFont="1" applyBorder="1"/>
    <xf numFmtId="164" fontId="11" fillId="0" borderId="7" xfId="0" applyNumberFormat="1" applyFont="1" applyBorder="1" applyAlignment="1">
      <alignment horizontal="left"/>
    </xf>
    <xf numFmtId="164" fontId="12" fillId="5" borderId="7" xfId="0" applyNumberFormat="1" applyFont="1" applyFill="1" applyBorder="1"/>
    <xf numFmtId="164" fontId="12" fillId="2" borderId="7" xfId="0" applyNumberFormat="1" applyFont="1" applyFill="1" applyBorder="1"/>
    <xf numFmtId="169" fontId="12" fillId="2" borderId="8" xfId="6" applyNumberFormat="1" applyFont="1" applyFill="1" applyBorder="1"/>
    <xf numFmtId="0" fontId="15" fillId="4" borderId="9" xfId="0" applyFont="1" applyFill="1" applyBorder="1"/>
    <xf numFmtId="0" fontId="15" fillId="4" borderId="10" xfId="0" applyFont="1" applyFill="1" applyBorder="1"/>
    <xf numFmtId="9" fontId="15" fillId="4" borderId="10" xfId="6" applyFont="1" applyFill="1" applyBorder="1"/>
    <xf numFmtId="0" fontId="11" fillId="4" borderId="10" xfId="0" applyFont="1" applyFill="1" applyBorder="1"/>
    <xf numFmtId="164" fontId="15" fillId="4" borderId="11" xfId="0" applyNumberFormat="1" applyFont="1" applyFill="1" applyBorder="1" applyAlignment="1">
      <alignment horizontal="left"/>
    </xf>
    <xf numFmtId="164" fontId="15" fillId="4" borderId="12" xfId="0" applyNumberFormat="1" applyFont="1" applyFill="1" applyBorder="1" applyAlignment="1">
      <alignment horizontal="left"/>
    </xf>
    <xf numFmtId="164" fontId="15" fillId="4" borderId="13" xfId="0" applyNumberFormat="1" applyFont="1" applyFill="1" applyBorder="1" applyAlignment="1">
      <alignment horizontal="left"/>
    </xf>
    <xf numFmtId="0" fontId="15" fillId="6" borderId="14" xfId="0" applyFont="1" applyFill="1" applyBorder="1"/>
    <xf numFmtId="0" fontId="11" fillId="6" borderId="15" xfId="0" applyFont="1" applyFill="1" applyBorder="1"/>
    <xf numFmtId="9" fontId="11" fillId="6" borderId="15" xfId="6" applyFont="1" applyFill="1" applyBorder="1"/>
    <xf numFmtId="0" fontId="15" fillId="6" borderId="15" xfId="0" applyFont="1" applyFill="1" applyBorder="1"/>
    <xf numFmtId="164" fontId="11" fillId="0" borderId="16" xfId="0" applyNumberFormat="1" applyFont="1" applyBorder="1"/>
    <xf numFmtId="164" fontId="11" fillId="0" borderId="17" xfId="0" applyNumberFormat="1" applyFont="1" applyBorder="1"/>
    <xf numFmtId="164" fontId="11" fillId="0" borderId="18" xfId="0" applyNumberFormat="1" applyFont="1" applyBorder="1"/>
    <xf numFmtId="0" fontId="15" fillId="4" borderId="14" xfId="0" applyFont="1" applyFill="1" applyBorder="1"/>
    <xf numFmtId="0" fontId="15" fillId="4" borderId="15" xfId="0" applyFont="1" applyFill="1" applyBorder="1"/>
    <xf numFmtId="9" fontId="15" fillId="4" borderId="15" xfId="6" applyFont="1" applyFill="1" applyBorder="1"/>
    <xf numFmtId="0" fontId="11" fillId="4" borderId="15" xfId="0" applyFont="1" applyFill="1" applyBorder="1"/>
    <xf numFmtId="164" fontId="15" fillId="4" borderId="19" xfId="0" applyNumberFormat="1" applyFont="1" applyFill="1" applyBorder="1" applyAlignment="1">
      <alignment horizontal="left"/>
    </xf>
    <xf numFmtId="164" fontId="15" fillId="4" borderId="20" xfId="0" applyNumberFormat="1" applyFont="1" applyFill="1" applyBorder="1" applyAlignment="1">
      <alignment horizontal="left"/>
    </xf>
    <xf numFmtId="164" fontId="15" fillId="4" borderId="21" xfId="0" applyNumberFormat="1" applyFont="1" applyFill="1" applyBorder="1" applyAlignment="1">
      <alignment horizontal="left"/>
    </xf>
    <xf numFmtId="168" fontId="11" fillId="0" borderId="22" xfId="0" applyNumberFormat="1" applyFont="1" applyBorder="1"/>
    <xf numFmtId="164" fontId="15" fillId="4" borderId="23" xfId="0" applyNumberFormat="1" applyFont="1" applyFill="1" applyBorder="1" applyAlignment="1">
      <alignment horizontal="left"/>
    </xf>
    <xf numFmtId="164" fontId="15" fillId="4" borderId="24" xfId="0" applyNumberFormat="1" applyFont="1" applyFill="1" applyBorder="1" applyAlignment="1">
      <alignment horizontal="left"/>
    </xf>
    <xf numFmtId="164" fontId="15" fillId="4" borderId="25" xfId="0" applyNumberFormat="1" applyFont="1" applyFill="1" applyBorder="1" applyAlignment="1">
      <alignment horizontal="left"/>
    </xf>
    <xf numFmtId="164" fontId="15" fillId="4" borderId="26" xfId="0" applyNumberFormat="1" applyFont="1" applyFill="1" applyBorder="1" applyAlignment="1">
      <alignment horizontal="left"/>
    </xf>
    <xf numFmtId="164" fontId="15" fillId="4" borderId="27" xfId="0" applyNumberFormat="1" applyFont="1" applyFill="1" applyBorder="1" applyAlignment="1">
      <alignment horizontal="left"/>
    </xf>
    <xf numFmtId="164" fontId="15" fillId="4" borderId="28" xfId="0" applyNumberFormat="1" applyFont="1" applyFill="1" applyBorder="1" applyAlignment="1">
      <alignment horizontal="left"/>
    </xf>
    <xf numFmtId="168" fontId="11" fillId="0" borderId="17" xfId="0" applyNumberFormat="1" applyFont="1" applyBorder="1"/>
    <xf numFmtId="0" fontId="15" fillId="6" borderId="29" xfId="0" applyFont="1" applyFill="1" applyBorder="1"/>
    <xf numFmtId="0" fontId="11" fillId="6" borderId="30" xfId="0" applyFont="1" applyFill="1" applyBorder="1"/>
    <xf numFmtId="9" fontId="11" fillId="6" borderId="30" xfId="6" applyFont="1" applyFill="1" applyBorder="1"/>
    <xf numFmtId="0" fontId="15" fillId="6" borderId="30" xfId="0" applyFont="1" applyFill="1" applyBorder="1"/>
    <xf numFmtId="0" fontId="15" fillId="4" borderId="31" xfId="0" applyFont="1" applyFill="1" applyBorder="1"/>
    <xf numFmtId="0" fontId="15" fillId="4" borderId="32" xfId="0" applyFont="1" applyFill="1" applyBorder="1"/>
    <xf numFmtId="9" fontId="15" fillId="4" borderId="32" xfId="6" applyFont="1" applyFill="1" applyBorder="1"/>
    <xf numFmtId="0" fontId="11" fillId="4" borderId="32" xfId="0" applyFont="1" applyFill="1" applyBorder="1"/>
    <xf numFmtId="168" fontId="15" fillId="4" borderId="33" xfId="0" applyNumberFormat="1" applyFont="1" applyFill="1" applyBorder="1" applyAlignment="1">
      <alignment horizontal="left"/>
    </xf>
    <xf numFmtId="168" fontId="15" fillId="4" borderId="34" xfId="0" applyNumberFormat="1" applyFont="1" applyFill="1" applyBorder="1" applyAlignment="1">
      <alignment horizontal="left"/>
    </xf>
    <xf numFmtId="168" fontId="15" fillId="4" borderId="35" xfId="0" applyNumberFormat="1" applyFont="1" applyFill="1" applyBorder="1" applyAlignment="1">
      <alignment horizontal="left"/>
    </xf>
    <xf numFmtId="0" fontId="11" fillId="6" borderId="0" xfId="0" applyFont="1" applyFill="1"/>
    <xf numFmtId="0" fontId="15" fillId="6" borderId="0" xfId="0" applyFont="1" applyFill="1"/>
    <xf numFmtId="9" fontId="17" fillId="6" borderId="0" xfId="6" applyFont="1" applyFill="1" applyBorder="1"/>
    <xf numFmtId="171" fontId="11" fillId="0" borderId="0" xfId="0" applyNumberFormat="1" applyFont="1"/>
    <xf numFmtId="165" fontId="11" fillId="0" borderId="0" xfId="0" applyNumberFormat="1" applyFont="1"/>
    <xf numFmtId="165" fontId="11" fillId="0" borderId="0" xfId="0" applyNumberFormat="1" applyFont="1" applyAlignment="1">
      <alignment horizontal="left"/>
    </xf>
    <xf numFmtId="166" fontId="11" fillId="0" borderId="0" xfId="0" applyNumberFormat="1" applyFont="1"/>
    <xf numFmtId="168" fontId="11" fillId="0" borderId="0" xfId="0" applyNumberFormat="1" applyFont="1"/>
    <xf numFmtId="0" fontId="15" fillId="6" borderId="36" xfId="0" applyFont="1" applyFill="1" applyBorder="1"/>
    <xf numFmtId="0" fontId="11" fillId="6" borderId="37" xfId="0" applyFont="1" applyFill="1" applyBorder="1"/>
    <xf numFmtId="9" fontId="11" fillId="6" borderId="37" xfId="6" applyFont="1" applyFill="1" applyBorder="1"/>
    <xf numFmtId="0" fontId="15" fillId="6" borderId="37" xfId="0" applyFont="1" applyFill="1" applyBorder="1"/>
    <xf numFmtId="9" fontId="15" fillId="6" borderId="15" xfId="6" applyFont="1" applyFill="1" applyBorder="1"/>
    <xf numFmtId="9" fontId="11" fillId="0" borderId="15" xfId="6" applyFont="1" applyFill="1" applyBorder="1"/>
    <xf numFmtId="0" fontId="15" fillId="0" borderId="14" xfId="0" applyFont="1" applyBorder="1"/>
    <xf numFmtId="0" fontId="11" fillId="0" borderId="15" xfId="0" applyFont="1" applyBorder="1"/>
    <xf numFmtId="0" fontId="15" fillId="0" borderId="15" xfId="0" applyFont="1" applyBorder="1"/>
    <xf numFmtId="164" fontId="11" fillId="0" borderId="0" xfId="11" applyNumberFormat="1" applyFont="1"/>
    <xf numFmtId="164" fontId="11" fillId="0" borderId="5" xfId="11" applyNumberFormat="1" applyFont="1" applyFill="1" applyBorder="1"/>
    <xf numFmtId="43" fontId="15" fillId="4" borderId="4" xfId="11" applyFont="1" applyFill="1" applyBorder="1" applyAlignment="1">
      <alignment horizontal="left"/>
    </xf>
    <xf numFmtId="0" fontId="11" fillId="4" borderId="4" xfId="0" applyFont="1" applyFill="1" applyBorder="1"/>
    <xf numFmtId="0" fontId="15" fillId="4" borderId="4" xfId="0" applyFont="1" applyFill="1" applyBorder="1"/>
    <xf numFmtId="43" fontId="11" fillId="0" borderId="4" xfId="11" applyFont="1" applyFill="1" applyBorder="1" applyAlignment="1"/>
    <xf numFmtId="43" fontId="11" fillId="0" borderId="4" xfId="11" applyFont="1" applyFill="1" applyBorder="1" applyAlignment="1">
      <alignment horizontal="left"/>
    </xf>
    <xf numFmtId="43" fontId="11" fillId="4" borderId="4" xfId="11" applyFont="1" applyFill="1" applyBorder="1" applyAlignment="1">
      <alignment horizontal="left"/>
    </xf>
    <xf numFmtId="43" fontId="15" fillId="4" borderId="4" xfId="11" applyFont="1" applyFill="1" applyBorder="1"/>
    <xf numFmtId="49" fontId="15" fillId="4" borderId="4" xfId="0" applyNumberFormat="1" applyFont="1" applyFill="1" applyBorder="1" applyAlignment="1">
      <alignment horizontal="left"/>
    </xf>
    <xf numFmtId="43" fontId="15" fillId="0" borderId="4" xfId="11" applyFont="1" applyFill="1" applyBorder="1" applyAlignment="1">
      <alignment horizontal="left"/>
    </xf>
    <xf numFmtId="43" fontId="15" fillId="0" borderId="4" xfId="11" applyFont="1" applyFill="1" applyBorder="1"/>
    <xf numFmtId="49" fontId="15" fillId="0" borderId="4" xfId="0" applyNumberFormat="1" applyFont="1" applyBorder="1" applyAlignment="1">
      <alignment horizontal="left"/>
    </xf>
    <xf numFmtId="43" fontId="11" fillId="0" borderId="4" xfId="11" applyFont="1" applyFill="1" applyBorder="1"/>
    <xf numFmtId="49" fontId="11" fillId="0" borderId="4" xfId="0" applyNumberFormat="1" applyFont="1" applyBorder="1" applyAlignment="1">
      <alignment horizontal="left"/>
    </xf>
    <xf numFmtId="43" fontId="11" fillId="4" borderId="4" xfId="11" applyFont="1" applyFill="1" applyBorder="1"/>
    <xf numFmtId="164" fontId="15" fillId="4" borderId="5" xfId="11" applyNumberFormat="1" applyFont="1" applyFill="1" applyBorder="1" applyAlignment="1">
      <alignment horizontal="left"/>
    </xf>
    <xf numFmtId="43" fontId="15" fillId="4" borderId="38" xfId="11" applyFont="1" applyFill="1" applyBorder="1" applyAlignment="1">
      <alignment horizontal="left"/>
    </xf>
    <xf numFmtId="43" fontId="15" fillId="4" borderId="38" xfId="11" applyFont="1" applyFill="1" applyBorder="1"/>
    <xf numFmtId="49" fontId="15" fillId="4" borderId="38" xfId="0" applyNumberFormat="1" applyFont="1" applyFill="1" applyBorder="1" applyAlignment="1">
      <alignment horizontal="left"/>
    </xf>
    <xf numFmtId="164" fontId="15" fillId="4" borderId="39" xfId="11" applyNumberFormat="1" applyFont="1" applyFill="1" applyBorder="1" applyAlignment="1">
      <alignment horizontal="left"/>
    </xf>
    <xf numFmtId="43" fontId="11" fillId="0" borderId="0" xfId="0" applyNumberFormat="1" applyFont="1"/>
    <xf numFmtId="0" fontId="11" fillId="0" borderId="0" xfId="0" applyFont="1" applyAlignment="1">
      <alignment horizontal="center"/>
    </xf>
    <xf numFmtId="0" fontId="12" fillId="2" borderId="0" xfId="0" applyFont="1" applyFill="1"/>
    <xf numFmtId="166" fontId="15" fillId="0" borderId="3" xfId="11" applyNumberFormat="1" applyFont="1" applyFill="1" applyBorder="1" applyAlignment="1">
      <alignment horizontal="left" wrapText="1"/>
    </xf>
    <xf numFmtId="0" fontId="15" fillId="0" borderId="4" xfId="0" applyFont="1" applyBorder="1" applyAlignment="1">
      <alignment horizontal="left"/>
    </xf>
    <xf numFmtId="166" fontId="15" fillId="0" borderId="4" xfId="11" applyNumberFormat="1" applyFont="1" applyFill="1" applyBorder="1" applyAlignment="1">
      <alignment horizontal="left" wrapText="1"/>
    </xf>
    <xf numFmtId="0" fontId="12" fillId="5" borderId="40" xfId="0" applyFont="1" applyFill="1" applyBorder="1" applyAlignment="1">
      <alignment horizontal="left"/>
    </xf>
    <xf numFmtId="0" fontId="18" fillId="2" borderId="40" xfId="0" applyFont="1" applyFill="1" applyBorder="1" applyAlignment="1">
      <alignment horizontal="left"/>
    </xf>
    <xf numFmtId="0" fontId="12" fillId="2" borderId="41" xfId="0" applyFont="1" applyFill="1" applyBorder="1" applyAlignment="1">
      <alignment horizontal="left"/>
    </xf>
    <xf numFmtId="9" fontId="11" fillId="0" borderId="0" xfId="0" applyNumberFormat="1" applyFont="1"/>
    <xf numFmtId="0" fontId="15" fillId="0" borderId="0" xfId="0" applyFont="1"/>
    <xf numFmtId="0" fontId="13" fillId="4" borderId="0" xfId="0" applyFont="1" applyFill="1"/>
    <xf numFmtId="0" fontId="11" fillId="4" borderId="0" xfId="0" applyFont="1" applyFill="1"/>
    <xf numFmtId="164" fontId="14" fillId="0" borderId="0" xfId="0" applyNumberFormat="1" applyFont="1" applyAlignment="1">
      <alignment horizontal="right" wrapText="1"/>
    </xf>
    <xf numFmtId="0" fontId="14" fillId="0" borderId="42" xfId="0" applyFont="1" applyBorder="1" applyAlignment="1">
      <alignment horizontal="left" indent="1"/>
    </xf>
    <xf numFmtId="164" fontId="14" fillId="0" borderId="42" xfId="0" applyNumberFormat="1" applyFont="1" applyBorder="1" applyAlignment="1">
      <alignment horizontal="right" wrapText="1"/>
    </xf>
    <xf numFmtId="164" fontId="13" fillId="4" borderId="0" xfId="0" applyNumberFormat="1" applyFont="1" applyFill="1" applyAlignment="1">
      <alignment horizontal="right" wrapText="1"/>
    </xf>
    <xf numFmtId="0" fontId="19" fillId="4" borderId="0" xfId="0" applyFont="1" applyFill="1"/>
    <xf numFmtId="0" fontId="19" fillId="0" borderId="0" xfId="0" applyFont="1" applyAlignment="1">
      <alignment horizontal="center"/>
    </xf>
    <xf numFmtId="166" fontId="14" fillId="0" borderId="0" xfId="0" applyNumberFormat="1" applyFont="1"/>
    <xf numFmtId="0" fontId="23" fillId="0" borderId="0" xfId="0" applyFont="1" applyAlignment="1">
      <alignment horizontal="center"/>
    </xf>
    <xf numFmtId="0" fontId="12" fillId="2" borderId="43" xfId="0" applyFont="1" applyFill="1" applyBorder="1" applyAlignment="1">
      <alignment horizontal="center" wrapText="1"/>
    </xf>
    <xf numFmtId="0" fontId="12" fillId="2" borderId="44" xfId="0" applyFont="1" applyFill="1" applyBorder="1" applyAlignment="1">
      <alignment horizontal="center" wrapText="1"/>
    </xf>
    <xf numFmtId="166" fontId="12" fillId="2" borderId="0" xfId="10" applyNumberFormat="1" applyFont="1" applyFill="1" applyBorder="1" applyAlignment="1">
      <alignment horizontal="center" wrapText="1"/>
    </xf>
    <xf numFmtId="0" fontId="15" fillId="0" borderId="43" xfId="0" applyFont="1" applyBorder="1"/>
    <xf numFmtId="0" fontId="15" fillId="0" borderId="44" xfId="0" applyFont="1" applyBorder="1"/>
    <xf numFmtId="164" fontId="15" fillId="0" borderId="17" xfId="0" applyNumberFormat="1" applyFont="1" applyBorder="1"/>
    <xf numFmtId="0" fontId="11" fillId="0" borderId="43" xfId="0" applyFont="1" applyBorder="1" applyAlignment="1">
      <alignment horizontal="left" indent="1"/>
    </xf>
    <xf numFmtId="0" fontId="11" fillId="0" borderId="44" xfId="0" applyFont="1" applyBorder="1"/>
    <xf numFmtId="164" fontId="11" fillId="0" borderId="45" xfId="0" applyNumberFormat="1" applyFont="1" applyBorder="1"/>
    <xf numFmtId="164" fontId="15" fillId="0" borderId="45" xfId="0" applyNumberFormat="1" applyFont="1" applyBorder="1"/>
    <xf numFmtId="0" fontId="11" fillId="0" borderId="43" xfId="0" applyFont="1" applyBorder="1"/>
    <xf numFmtId="166" fontId="11" fillId="0" borderId="0" xfId="10" applyNumberFormat="1" applyFont="1" applyFill="1"/>
    <xf numFmtId="0" fontId="11" fillId="6" borderId="14" xfId="0" applyFont="1" applyFill="1" applyBorder="1"/>
    <xf numFmtId="0" fontId="11" fillId="6" borderId="15" xfId="0" applyFont="1" applyFill="1" applyBorder="1" applyAlignment="1">
      <alignment horizontal="left" indent="1"/>
    </xf>
    <xf numFmtId="167" fontId="11" fillId="0" borderId="0" xfId="8" applyNumberFormat="1" applyFont="1"/>
    <xf numFmtId="166" fontId="12" fillId="2" borderId="46" xfId="11" applyNumberFormat="1" applyFont="1" applyFill="1" applyBorder="1" applyAlignment="1">
      <alignment horizontal="center" wrapText="1"/>
    </xf>
    <xf numFmtId="164" fontId="11" fillId="0" borderId="47" xfId="0" applyNumberFormat="1" applyFont="1" applyBorder="1" applyAlignment="1">
      <alignment horizontal="left"/>
    </xf>
    <xf numFmtId="164" fontId="11" fillId="4" borderId="47" xfId="0" applyNumberFormat="1" applyFont="1" applyFill="1" applyBorder="1"/>
    <xf numFmtId="164" fontId="15" fillId="4" borderId="47" xfId="0" applyNumberFormat="1" applyFont="1" applyFill="1" applyBorder="1"/>
    <xf numFmtId="164" fontId="11" fillId="0" borderId="47" xfId="0" applyNumberFormat="1" applyFont="1" applyBorder="1"/>
    <xf numFmtId="164" fontId="15" fillId="0" borderId="47" xfId="0" applyNumberFormat="1" applyFont="1" applyBorder="1"/>
    <xf numFmtId="164" fontId="15" fillId="4" borderId="47" xfId="0" applyNumberFormat="1" applyFont="1" applyFill="1" applyBorder="1" applyAlignment="1">
      <alignment horizontal="left"/>
    </xf>
    <xf numFmtId="9" fontId="11" fillId="6" borderId="15" xfId="6" applyFont="1" applyFill="1" applyBorder="1" applyAlignment="1">
      <alignment horizontal="left" indent="1"/>
    </xf>
    <xf numFmtId="9" fontId="11" fillId="0" borderId="15" xfId="6" applyFont="1" applyFill="1" applyBorder="1" applyAlignment="1">
      <alignment horizontal="left" indent="1"/>
    </xf>
    <xf numFmtId="9" fontId="15" fillId="6" borderId="15" xfId="6" applyFont="1" applyFill="1" applyBorder="1" applyAlignment="1">
      <alignment horizontal="left" indent="1"/>
    </xf>
    <xf numFmtId="164" fontId="15" fillId="4" borderId="48" xfId="0" applyNumberFormat="1" applyFont="1" applyFill="1" applyBorder="1" applyAlignment="1">
      <alignment horizontal="left"/>
    </xf>
    <xf numFmtId="164" fontId="15" fillId="4" borderId="49" xfId="0" applyNumberFormat="1" applyFont="1" applyFill="1" applyBorder="1" applyAlignment="1">
      <alignment horizontal="left"/>
    </xf>
    <xf numFmtId="164" fontId="11" fillId="0" borderId="50" xfId="0" applyNumberFormat="1" applyFont="1" applyBorder="1"/>
    <xf numFmtId="164" fontId="15" fillId="4" borderId="50" xfId="0" applyNumberFormat="1" applyFont="1" applyFill="1" applyBorder="1" applyAlignment="1">
      <alignment horizontal="left"/>
    </xf>
    <xf numFmtId="164" fontId="11" fillId="0" borderId="50" xfId="0" applyNumberFormat="1" applyFont="1" applyBorder="1" applyAlignment="1">
      <alignment horizontal="left"/>
    </xf>
    <xf numFmtId="164" fontId="11" fillId="0" borderId="51" xfId="0" applyNumberFormat="1" applyFont="1" applyBorder="1" applyAlignment="1">
      <alignment horizontal="left"/>
    </xf>
    <xf numFmtId="164" fontId="15" fillId="0" borderId="50" xfId="0" applyNumberFormat="1" applyFont="1" applyBorder="1" applyAlignment="1">
      <alignment horizontal="left"/>
    </xf>
    <xf numFmtId="164" fontId="15" fillId="0" borderId="51" xfId="0" applyNumberFormat="1" applyFont="1" applyBorder="1" applyAlignment="1">
      <alignment horizontal="left"/>
    </xf>
    <xf numFmtId="164" fontId="15" fillId="4" borderId="52" xfId="0" applyNumberFormat="1" applyFont="1" applyFill="1" applyBorder="1" applyAlignment="1">
      <alignment horizontal="left"/>
    </xf>
    <xf numFmtId="164" fontId="11" fillId="0" borderId="51" xfId="0" applyNumberFormat="1" applyFont="1" applyBorder="1"/>
    <xf numFmtId="164" fontId="15" fillId="4" borderId="52" xfId="0" applyNumberFormat="1" applyFont="1" applyFill="1" applyBorder="1"/>
    <xf numFmtId="164" fontId="15" fillId="4" borderId="51" xfId="0" applyNumberFormat="1" applyFont="1" applyFill="1" applyBorder="1"/>
    <xf numFmtId="164" fontId="11" fillId="0" borderId="53" xfId="0" applyNumberFormat="1" applyFont="1" applyBorder="1"/>
    <xf numFmtId="0" fontId="22" fillId="0" borderId="0" xfId="0" applyFont="1" applyAlignment="1">
      <alignment horizontal="center"/>
    </xf>
    <xf numFmtId="0" fontId="11" fillId="0" borderId="0" xfId="0" quotePrefix="1" applyFont="1"/>
    <xf numFmtId="167" fontId="11" fillId="0" borderId="0" xfId="0" applyNumberFormat="1" applyFont="1"/>
    <xf numFmtId="166" fontId="12" fillId="2" borderId="0" xfId="11" quotePrefix="1" applyNumberFormat="1" applyFont="1" applyFill="1" applyBorder="1" applyAlignment="1">
      <alignment horizontal="center" wrapText="1"/>
    </xf>
    <xf numFmtId="166" fontId="12" fillId="2" borderId="0" xfId="10" quotePrefix="1" applyNumberFormat="1" applyFont="1" applyFill="1" applyBorder="1" applyAlignment="1">
      <alignment horizontal="center" wrapText="1"/>
    </xf>
    <xf numFmtId="166" fontId="12" fillId="2" borderId="46" xfId="8" applyNumberFormat="1" applyFont="1" applyFill="1" applyBorder="1" applyAlignment="1">
      <alignment horizontal="center" wrapText="1"/>
    </xf>
    <xf numFmtId="164" fontId="15" fillId="4" borderId="54" xfId="8" applyNumberFormat="1" applyFont="1" applyFill="1" applyBorder="1" applyAlignment="1"/>
    <xf numFmtId="164" fontId="15" fillId="4" borderId="47" xfId="8" applyNumberFormat="1" applyFont="1" applyFill="1" applyBorder="1" applyAlignment="1"/>
    <xf numFmtId="164" fontId="11" fillId="0" borderId="5" xfId="8" applyNumberFormat="1" applyFont="1" applyFill="1" applyBorder="1"/>
    <xf numFmtId="164" fontId="15" fillId="4" borderId="5" xfId="8" applyNumberFormat="1" applyFont="1" applyFill="1" applyBorder="1" applyAlignment="1">
      <alignment horizontal="left"/>
    </xf>
    <xf numFmtId="164" fontId="15" fillId="4" borderId="39" xfId="8" applyNumberFormat="1" applyFont="1" applyFill="1" applyBorder="1" applyAlignment="1">
      <alignment horizontal="left"/>
    </xf>
    <xf numFmtId="166" fontId="12" fillId="2" borderId="0" xfId="8" applyNumberFormat="1" applyFont="1" applyFill="1" applyBorder="1" applyAlignment="1">
      <alignment horizontal="center" wrapText="1"/>
    </xf>
    <xf numFmtId="166" fontId="12" fillId="2" borderId="0" xfId="8" quotePrefix="1" applyNumberFormat="1" applyFont="1" applyFill="1" applyBorder="1" applyAlignment="1">
      <alignment horizontal="center" wrapText="1"/>
    </xf>
    <xf numFmtId="1" fontId="12" fillId="2" borderId="6" xfId="11" quotePrefix="1" applyNumberFormat="1" applyFont="1" applyFill="1" applyBorder="1" applyAlignment="1">
      <alignment horizontal="center" wrapText="1"/>
    </xf>
    <xf numFmtId="3" fontId="11" fillId="0" borderId="0" xfId="0" applyNumberFormat="1" applyFont="1"/>
    <xf numFmtId="164" fontId="15" fillId="0" borderId="50" xfId="0" applyNumberFormat="1" applyFont="1" applyBorder="1"/>
    <xf numFmtId="10" fontId="11" fillId="0" borderId="0" xfId="6" applyNumberFormat="1" applyFont="1"/>
    <xf numFmtId="0" fontId="15" fillId="0" borderId="4" xfId="0" applyFont="1" applyBorder="1"/>
    <xf numFmtId="0" fontId="19" fillId="0" borderId="0" xfId="0" applyFont="1"/>
    <xf numFmtId="49" fontId="12" fillId="2" borderId="2" xfId="11" applyNumberFormat="1" applyFont="1" applyFill="1" applyBorder="1" applyAlignment="1">
      <alignment horizontal="center" wrapText="1"/>
    </xf>
    <xf numFmtId="164" fontId="15" fillId="0" borderId="5" xfId="11" applyNumberFormat="1" applyFont="1" applyFill="1" applyBorder="1"/>
    <xf numFmtId="49" fontId="12" fillId="2" borderId="0" xfId="8" applyNumberFormat="1" applyFont="1" applyFill="1" applyBorder="1" applyAlignment="1">
      <alignment horizontal="center" wrapText="1"/>
    </xf>
    <xf numFmtId="49" fontId="12" fillId="2" borderId="6" xfId="11" quotePrefix="1" applyNumberFormat="1" applyFont="1" applyFill="1" applyBorder="1" applyAlignment="1">
      <alignment horizontal="center" wrapText="1"/>
    </xf>
    <xf numFmtId="49" fontId="12" fillId="2" borderId="46" xfId="8" applyNumberFormat="1" applyFont="1" applyFill="1" applyBorder="1" applyAlignment="1">
      <alignment horizontal="center" wrapText="1"/>
    </xf>
    <xf numFmtId="164" fontId="11" fillId="0" borderId="5" xfId="0" applyNumberFormat="1" applyFont="1" applyBorder="1"/>
    <xf numFmtId="0" fontId="2" fillId="0" borderId="0" xfId="0" applyFont="1"/>
    <xf numFmtId="164" fontId="15" fillId="7" borderId="4" xfId="11" applyNumberFormat="1" applyFont="1" applyFill="1" applyBorder="1" applyAlignment="1"/>
    <xf numFmtId="164" fontId="15" fillId="7" borderId="4" xfId="11" applyNumberFormat="1" applyFont="1" applyFill="1" applyBorder="1" applyAlignment="1">
      <alignment horizontal="left"/>
    </xf>
    <xf numFmtId="164" fontId="15" fillId="7" borderId="4" xfId="11" applyNumberFormat="1" applyFont="1" applyFill="1" applyBorder="1"/>
    <xf numFmtId="164" fontId="15" fillId="7" borderId="4" xfId="0" applyNumberFormat="1" applyFont="1" applyFill="1" applyBorder="1"/>
    <xf numFmtId="164" fontId="11" fillId="7" borderId="47" xfId="0" applyNumberFormat="1" applyFont="1" applyFill="1" applyBorder="1" applyAlignment="1">
      <alignment horizontal="left"/>
    </xf>
    <xf numFmtId="3" fontId="2" fillId="0" borderId="0" xfId="0" applyNumberFormat="1" applyFont="1"/>
    <xf numFmtId="164" fontId="11" fillId="7" borderId="5" xfId="0" applyNumberFormat="1" applyFont="1" applyFill="1" applyBorder="1"/>
    <xf numFmtId="164" fontId="15" fillId="7" borderId="5" xfId="0" applyNumberFormat="1" applyFont="1" applyFill="1" applyBorder="1" applyAlignment="1">
      <alignment horizontal="left"/>
    </xf>
    <xf numFmtId="167" fontId="15" fillId="0" borderId="0" xfId="11" applyNumberFormat="1" applyFont="1"/>
    <xf numFmtId="172" fontId="11" fillId="0" borderId="0" xfId="0" applyNumberFormat="1" applyFont="1"/>
    <xf numFmtId="169" fontId="11" fillId="0" borderId="0" xfId="6" applyNumberFormat="1" applyFont="1"/>
    <xf numFmtId="43" fontId="11" fillId="0" borderId="0" xfId="11" applyFont="1"/>
    <xf numFmtId="43" fontId="15" fillId="0" borderId="0" xfId="11" applyFont="1"/>
    <xf numFmtId="1" fontId="12" fillId="2" borderId="0" xfId="11" applyNumberFormat="1" applyFont="1" applyFill="1" applyBorder="1" applyAlignment="1">
      <alignment horizontal="center" wrapText="1"/>
    </xf>
    <xf numFmtId="166" fontId="12" fillId="2" borderId="46" xfId="14" applyNumberFormat="1" applyFont="1" applyFill="1" applyBorder="1" applyAlignment="1">
      <alignment horizontal="center" wrapText="1"/>
    </xf>
    <xf numFmtId="164" fontId="15" fillId="4" borderId="54" xfId="14" applyNumberFormat="1" applyFont="1" applyFill="1" applyBorder="1" applyAlignment="1"/>
    <xf numFmtId="164" fontId="15" fillId="4" borderId="47" xfId="14" applyNumberFormat="1" applyFont="1" applyFill="1" applyBorder="1" applyAlignment="1"/>
    <xf numFmtId="164" fontId="15" fillId="7" borderId="47" xfId="0" applyNumberFormat="1" applyFont="1" applyFill="1" applyBorder="1" applyAlignment="1">
      <alignment horizontal="left"/>
    </xf>
    <xf numFmtId="49" fontId="12" fillId="2" borderId="46" xfId="14" applyNumberFormat="1" applyFont="1" applyFill="1" applyBorder="1" applyAlignment="1">
      <alignment horizontal="center" wrapText="1"/>
    </xf>
    <xf numFmtId="164" fontId="11" fillId="0" borderId="5" xfId="14" applyNumberFormat="1" applyFont="1" applyFill="1" applyBorder="1"/>
    <xf numFmtId="164" fontId="15" fillId="4" borderId="5" xfId="14" applyNumberFormat="1" applyFont="1" applyFill="1" applyBorder="1" applyAlignment="1">
      <alignment horizontal="left"/>
    </xf>
    <xf numFmtId="164" fontId="15" fillId="4" borderId="39" xfId="14" applyNumberFormat="1" applyFont="1" applyFill="1" applyBorder="1" applyAlignment="1">
      <alignment horizontal="left"/>
    </xf>
    <xf numFmtId="166" fontId="12" fillId="2" borderId="0" xfId="14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6" fontId="12" fillId="2" borderId="2" xfId="11" applyNumberFormat="1" applyFont="1" applyFill="1" applyBorder="1" applyAlignment="1">
      <alignment horizontal="left" wrapText="1"/>
    </xf>
    <xf numFmtId="166" fontId="12" fillId="2" borderId="0" xfId="11" applyNumberFormat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166" fontId="12" fillId="2" borderId="3" xfId="11" applyNumberFormat="1" applyFont="1" applyFill="1" applyBorder="1" applyAlignment="1">
      <alignment horizontal="left" wrapText="1"/>
    </xf>
    <xf numFmtId="166" fontId="12" fillId="2" borderId="4" xfId="11" applyNumberFormat="1" applyFont="1" applyFill="1" applyBorder="1" applyAlignment="1">
      <alignment horizontal="left" wrapText="1"/>
    </xf>
    <xf numFmtId="166" fontId="12" fillId="2" borderId="6" xfId="11" applyNumberFormat="1" applyFont="1" applyFill="1" applyBorder="1" applyAlignment="1">
      <alignment horizontal="left" wrapText="1"/>
    </xf>
  </cellXfs>
  <cellStyles count="51397">
    <cellStyle name="20% - Accent1" xfId="57" xr:uid="{6AA8BC6D-9BB0-432E-AE6E-18A0520C5292}"/>
    <cellStyle name="20% - Accent1 2" xfId="118" xr:uid="{592E532B-0948-4700-AC05-7E9EB89C031A}"/>
    <cellStyle name="20% - Accent2" xfId="58" xr:uid="{212D6E9A-A3CF-4B54-A65F-6EC16BB8662E}"/>
    <cellStyle name="20% - Accent2 2" xfId="119" xr:uid="{C243BB37-B28F-466E-ACD5-F2D2BC3DDDFD}"/>
    <cellStyle name="20% - Accent3" xfId="59" xr:uid="{E917CA9F-158F-4343-8DBC-9937BD37306B}"/>
    <cellStyle name="20% - Accent3 2" xfId="120" xr:uid="{F43A5741-5304-40B8-AD86-30A16C985CCB}"/>
    <cellStyle name="20% - Accent4" xfId="60" xr:uid="{F35A7C58-C7CB-4751-8013-C3A2D2C0C3C8}"/>
    <cellStyle name="20% - Accent4 2" xfId="121" xr:uid="{DD749058-8817-4840-B008-CF226023326B}"/>
    <cellStyle name="20% - Accent5" xfId="61" xr:uid="{322E59B6-BCEC-4671-BA34-9B0E8333D16C}"/>
    <cellStyle name="20% - Accent5 2" xfId="122" xr:uid="{3CDF31CA-8531-4CCF-96EE-68E3DD62ED5C}"/>
    <cellStyle name="20% - Accent6" xfId="62" xr:uid="{A808BC89-8349-40DE-9A62-5E884814B8BC}"/>
    <cellStyle name="20% - Accent6 2" xfId="123" xr:uid="{9FFCCC61-5459-4FA4-AA84-6CD14743C6D9}"/>
    <cellStyle name="20% - Ênfase1" xfId="34" builtinId="30" customBuiltin="1"/>
    <cellStyle name="20% - Ênfase1 10" xfId="350" xr:uid="{2CA7F2C6-4AC5-4145-B430-646E5FCEBB4F}"/>
    <cellStyle name="20% - Ênfase1 11" xfId="166" xr:uid="{FFE5E6EB-497C-4869-AFB6-7E68D68941AA}"/>
    <cellStyle name="20% - Ênfase1 2" xfId="289" xr:uid="{F07BFC50-745C-474B-8D39-7523D61498D9}"/>
    <cellStyle name="20% - Ênfase1 2 2" xfId="13128" xr:uid="{1289124A-11E9-44C2-9C2D-6278E8B60833}"/>
    <cellStyle name="20% - Ênfase1 2 3" xfId="13076" xr:uid="{B6CA2CCF-1C85-4000-A929-50182C47EB30}"/>
    <cellStyle name="20% - Ênfase1 2 3 2" xfId="38605" xr:uid="{E364B730-1F51-4A59-9A01-7F2FB01981FF}"/>
    <cellStyle name="20% - Ênfase1 2 4" xfId="25986" xr:uid="{B7391D3A-8984-44BE-BC4B-238EEC150835}"/>
    <cellStyle name="20% - Ênfase1 2 5" xfId="26030" xr:uid="{AC93AF78-396E-4A4F-B456-9F6C1DCDEB02}"/>
    <cellStyle name="20% - Ênfase1 2 6" xfId="388" xr:uid="{F7DC4291-51A3-4589-A200-86D365AFBC90}"/>
    <cellStyle name="20% - Ênfase1 3" xfId="372" xr:uid="{362B08A1-BC12-4F8D-AE1D-6FCF20AD8967}"/>
    <cellStyle name="20% - Ênfase1 4" xfId="413" xr:uid="{FC97A05B-E800-4E5F-A887-B9A10837D36E}"/>
    <cellStyle name="20% - Ênfase1 5" xfId="670" xr:uid="{74E366AE-ABB7-44FF-A533-8F8886E988AA}"/>
    <cellStyle name="20% - Ênfase1 6" xfId="3562" xr:uid="{88D10AE1-1BAC-42A6-8D0C-EF7396F2DFA6}"/>
    <cellStyle name="20% - Ênfase1 7" xfId="6716" xr:uid="{711410E8-6323-41C8-A7F4-D637B758E871}"/>
    <cellStyle name="20% - Ênfase1 8" xfId="13102" xr:uid="{3BA720A7-96DC-4E6A-8219-B4FFC69A1D04}"/>
    <cellStyle name="20% - Ênfase1 9" xfId="26005" xr:uid="{72C32F24-0E22-480A-847A-4FA7786AC468}"/>
    <cellStyle name="20% - Ênfase2" xfId="38" builtinId="34" customBuiltin="1"/>
    <cellStyle name="20% - Ênfase2 10" xfId="351" xr:uid="{274B6C13-D093-49F5-8AD5-B4E34930BA58}"/>
    <cellStyle name="20% - Ênfase2 11" xfId="167" xr:uid="{BF39952B-9CD5-4B01-BE07-295C577147BF}"/>
    <cellStyle name="20% - Ênfase2 2" xfId="290" xr:uid="{8BEB9674-3BDE-4CB6-9500-ED3234BAB382}"/>
    <cellStyle name="20% - Ênfase2 2 2" xfId="13129" xr:uid="{062335D0-7A41-41D5-9035-B8967CD68233}"/>
    <cellStyle name="20% - Ênfase2 2 3" xfId="13077" xr:uid="{098150AA-CB3C-4D9E-9ED5-99AA0CEF3025}"/>
    <cellStyle name="20% - Ênfase2 2 3 2" xfId="38606" xr:uid="{5F729381-AA16-41E8-953C-34000E02A0C9}"/>
    <cellStyle name="20% - Ênfase2 2 4" xfId="25987" xr:uid="{5A73D4EE-07CC-4D4B-957F-7FD3A8463203}"/>
    <cellStyle name="20% - Ênfase2 2 5" xfId="26031" xr:uid="{1740B475-8E24-4783-8948-26BE292B076F}"/>
    <cellStyle name="20% - Ênfase2 2 6" xfId="389" xr:uid="{8F6E438E-6DA9-4E33-8B08-07AB6D963E30}"/>
    <cellStyle name="20% - Ênfase2 3" xfId="373" xr:uid="{3E4C3FF1-961E-47A3-9D31-91903F70BCD3}"/>
    <cellStyle name="20% - Ênfase2 4" xfId="414" xr:uid="{C7D04242-E1F8-4248-810C-FF4FD181B368}"/>
    <cellStyle name="20% - Ênfase2 5" xfId="671" xr:uid="{A87221E8-A0FE-4684-8FB1-9920EC214D32}"/>
    <cellStyle name="20% - Ênfase2 6" xfId="3563" xr:uid="{7E03B148-BDBB-4984-8B50-8D6CF264C11E}"/>
    <cellStyle name="20% - Ênfase2 7" xfId="6717" xr:uid="{1674FA9D-00DF-4A6C-AB45-B2E8488E4EE3}"/>
    <cellStyle name="20% - Ênfase2 8" xfId="13103" xr:uid="{5FC90A64-396E-4311-BD60-B3643809DBF0}"/>
    <cellStyle name="20% - Ênfase2 9" xfId="26006" xr:uid="{BE755C0B-6FDB-4D1D-938F-8F8797FDF162}"/>
    <cellStyle name="20% - Ênfase3" xfId="42" builtinId="38" customBuiltin="1"/>
    <cellStyle name="20% - Ênfase3 10" xfId="352" xr:uid="{EFB4110D-A555-4233-B0C3-8997627B74F9}"/>
    <cellStyle name="20% - Ênfase3 11" xfId="168" xr:uid="{8022A579-A45D-4CFF-8AE1-3E3188FCD5D0}"/>
    <cellStyle name="20% - Ênfase3 2" xfId="291" xr:uid="{23C26E65-70A5-4C88-B7DF-AB4BBDDEB41F}"/>
    <cellStyle name="20% - Ênfase3 2 2" xfId="13130" xr:uid="{4C892F17-864C-4091-8452-D339F47BF01B}"/>
    <cellStyle name="20% - Ênfase3 2 3" xfId="13078" xr:uid="{9865EDD0-8AC4-4CFB-A4B9-ABB8EEA6A6F2}"/>
    <cellStyle name="20% - Ênfase3 2 3 2" xfId="38607" xr:uid="{1527148A-F8D0-472D-A610-645EBCA4C1A8}"/>
    <cellStyle name="20% - Ênfase3 2 4" xfId="25988" xr:uid="{EBCA9D41-075A-4CFD-A8FD-9D128D5D1BD3}"/>
    <cellStyle name="20% - Ênfase3 2 5" xfId="26032" xr:uid="{BB76DAD7-CE1D-4432-87DE-F252917F7965}"/>
    <cellStyle name="20% - Ênfase3 2 6" xfId="390" xr:uid="{977DCEE0-54C5-4B25-AD14-78EE0B7E97F6}"/>
    <cellStyle name="20% - Ênfase3 3" xfId="374" xr:uid="{FCB2E7D6-40BF-45CA-9FF5-3F3750824BD9}"/>
    <cellStyle name="20% - Ênfase3 4" xfId="415" xr:uid="{13AFCF23-4709-41FA-B864-5C772C22C0AA}"/>
    <cellStyle name="20% - Ênfase3 5" xfId="672" xr:uid="{33A357C0-8741-4EB2-B31E-00BE099B2BDE}"/>
    <cellStyle name="20% - Ênfase3 6" xfId="3564" xr:uid="{7D4BCB28-BD25-4B99-AB97-653E8A1B3065}"/>
    <cellStyle name="20% - Ênfase3 7" xfId="6718" xr:uid="{EE2768E8-EDEB-45BD-9C37-195D83671827}"/>
    <cellStyle name="20% - Ênfase3 8" xfId="13104" xr:uid="{62A05C8D-60D4-44D0-8D43-780188E1C33F}"/>
    <cellStyle name="20% - Ênfase3 9" xfId="26007" xr:uid="{2BBB1AD5-5765-4514-BA64-AB23090C9A1E}"/>
    <cellStyle name="20% - Ênfase4" xfId="46" builtinId="42" customBuiltin="1"/>
    <cellStyle name="20% - Ênfase4 10" xfId="353" xr:uid="{354A1502-91A5-48B2-B277-9DFDB7CB937D}"/>
    <cellStyle name="20% - Ênfase4 11" xfId="169" xr:uid="{52084DC7-B489-437A-AB87-2442FD42A85A}"/>
    <cellStyle name="20% - Ênfase4 2" xfId="292" xr:uid="{1E43E39C-D991-49CC-8AF8-14E6E6201CB1}"/>
    <cellStyle name="20% - Ênfase4 2 2" xfId="13131" xr:uid="{F3D1ABBE-2DFC-4C05-860B-4F740C323F51}"/>
    <cellStyle name="20% - Ênfase4 2 3" xfId="13079" xr:uid="{82E529CA-06DC-4E12-8E5D-82DA6AB629CE}"/>
    <cellStyle name="20% - Ênfase4 2 3 2" xfId="38608" xr:uid="{323CECA5-FDE7-4E45-908B-8E2979403CEF}"/>
    <cellStyle name="20% - Ênfase4 2 4" xfId="25989" xr:uid="{346DFF9B-8704-4468-B5BD-C102E39B9F99}"/>
    <cellStyle name="20% - Ênfase4 2 5" xfId="26033" xr:uid="{A64F1870-BCB1-4BB7-98C8-9F36598A2F0D}"/>
    <cellStyle name="20% - Ênfase4 2 6" xfId="391" xr:uid="{5D7EA9E8-A39A-4EBE-AC25-ED8A016B7F7C}"/>
    <cellStyle name="20% - Ênfase4 3" xfId="375" xr:uid="{24C93025-A735-4513-8176-55993F3B4824}"/>
    <cellStyle name="20% - Ênfase4 4" xfId="416" xr:uid="{3B7EA430-5F2F-490C-9D89-62D483A8C47D}"/>
    <cellStyle name="20% - Ênfase4 5" xfId="673" xr:uid="{8CECA4CF-F81F-4C75-B2D9-90837B92ADC0}"/>
    <cellStyle name="20% - Ênfase4 6" xfId="3565" xr:uid="{774D76C1-27AE-4D59-83E5-BCC7A6E3F9F9}"/>
    <cellStyle name="20% - Ênfase4 7" xfId="6719" xr:uid="{740B7540-C780-4B25-BFC7-CA7ECB40BB52}"/>
    <cellStyle name="20% - Ênfase4 8" xfId="13105" xr:uid="{F1069597-671B-47B7-AD13-ECD33C48837F}"/>
    <cellStyle name="20% - Ênfase4 9" xfId="26008" xr:uid="{58757322-4925-4C18-B553-8A5EBA13EAF3}"/>
    <cellStyle name="20% - Ênfase5" xfId="50" builtinId="46" customBuiltin="1"/>
    <cellStyle name="20% - Ênfase5 10" xfId="354" xr:uid="{D463ABFA-83A5-4241-8703-917C7EC0EF0F}"/>
    <cellStyle name="20% - Ênfase5 11" xfId="170" xr:uid="{D079FA0C-98A0-4083-AB5B-D10DF9E247C6}"/>
    <cellStyle name="20% - Ênfase5 2" xfId="293" xr:uid="{A7BD8061-72D8-46C1-AA87-A32BC95FE222}"/>
    <cellStyle name="20% - Ênfase5 2 2" xfId="13132" xr:uid="{A03DD180-075D-4C25-8336-853FF0CC25D5}"/>
    <cellStyle name="20% - Ênfase5 2 3" xfId="13080" xr:uid="{9A5F0796-77A5-4ACC-9672-30B2BC10048C}"/>
    <cellStyle name="20% - Ênfase5 2 3 2" xfId="38609" xr:uid="{22AE3F0C-EB39-4C6A-A9BA-7120AFA18E6D}"/>
    <cellStyle name="20% - Ênfase5 2 4" xfId="25990" xr:uid="{F13F5D51-9697-4760-8577-23C10C76C0DB}"/>
    <cellStyle name="20% - Ênfase5 2 5" xfId="26034" xr:uid="{9CBBD3D6-804E-4A8D-9CAF-D8C8FFD74E9C}"/>
    <cellStyle name="20% - Ênfase5 2 6" xfId="392" xr:uid="{1A3B00A8-95F2-447A-B65D-B89D363B92C3}"/>
    <cellStyle name="20% - Ênfase5 3" xfId="376" xr:uid="{8EED1A23-5BDE-412E-BADC-B33C45D22FD3}"/>
    <cellStyle name="20% - Ênfase5 4" xfId="417" xr:uid="{66DEAEAE-F66C-4266-B2E4-20FED856E5CC}"/>
    <cellStyle name="20% - Ênfase5 5" xfId="674" xr:uid="{C6CE57ED-8933-45E4-8C72-2D9568327F98}"/>
    <cellStyle name="20% - Ênfase5 6" xfId="3566" xr:uid="{8B08FBB8-74C5-4B19-90F9-819B9C8A158B}"/>
    <cellStyle name="20% - Ênfase5 7" xfId="6720" xr:uid="{87E08476-2C4A-469C-818F-497ADC4819A4}"/>
    <cellStyle name="20% - Ênfase5 8" xfId="13106" xr:uid="{27F3EB2C-E074-47EB-8624-7B1B2FAFA74E}"/>
    <cellStyle name="20% - Ênfase5 9" xfId="26009" xr:uid="{47ABC796-9A8C-4908-B395-347C03489357}"/>
    <cellStyle name="20% - Ênfase6" xfId="54" builtinId="50" customBuiltin="1"/>
    <cellStyle name="20% - Ênfase6 10" xfId="355" xr:uid="{D8B3046B-01BF-4274-9C11-DDEF64A73E97}"/>
    <cellStyle name="20% - Ênfase6 11" xfId="171" xr:uid="{4DFB208A-007D-4DCD-9F5F-1C452ED5B985}"/>
    <cellStyle name="20% - Ênfase6 2" xfId="294" xr:uid="{5E007710-5D2B-4D70-B1A5-355B479DD344}"/>
    <cellStyle name="20% - Ênfase6 2 2" xfId="13133" xr:uid="{897D9D11-0DB9-414D-A7C7-6E73CA791F20}"/>
    <cellStyle name="20% - Ênfase6 2 3" xfId="13081" xr:uid="{05BA95D0-20E8-42DC-A4E9-3A24499916B6}"/>
    <cellStyle name="20% - Ênfase6 2 3 2" xfId="38610" xr:uid="{165CB7E3-F518-4B87-8636-55815531A929}"/>
    <cellStyle name="20% - Ênfase6 2 4" xfId="25991" xr:uid="{6B9A0ABF-8125-4A8A-9A8B-7D0CF5DF3603}"/>
    <cellStyle name="20% - Ênfase6 2 5" xfId="26035" xr:uid="{C55BE650-944F-47AF-83D4-6AE24EB24A29}"/>
    <cellStyle name="20% - Ênfase6 2 6" xfId="393" xr:uid="{D8FF593E-B786-43AB-8A5B-F505724E74E3}"/>
    <cellStyle name="20% - Ênfase6 3" xfId="377" xr:uid="{D80297B0-B460-4239-9B02-371D35E03753}"/>
    <cellStyle name="20% - Ênfase6 4" xfId="418" xr:uid="{033C41D4-72FD-44B4-8BF0-34D7EE705937}"/>
    <cellStyle name="20% - Ênfase6 5" xfId="675" xr:uid="{0E22AECF-0358-489D-BE28-CCDC8A51910D}"/>
    <cellStyle name="20% - Ênfase6 6" xfId="3567" xr:uid="{17F6B398-55F2-4BF3-9CCC-1599E8907BE8}"/>
    <cellStyle name="20% - Ênfase6 7" xfId="6721" xr:uid="{B34539FA-883D-4DE8-85BD-D5D8332F0340}"/>
    <cellStyle name="20% - Ênfase6 8" xfId="13107" xr:uid="{CA829CD4-4C2A-4D99-B05B-467296EA246E}"/>
    <cellStyle name="20% - Ênfase6 9" xfId="26010" xr:uid="{52E6D596-BEF0-414B-A9E9-04CD69CA0CD6}"/>
    <cellStyle name="40% - Accent1" xfId="63" xr:uid="{62CF18E4-65FD-40F2-B46A-010AACAF4F98}"/>
    <cellStyle name="40% - Accent1 2" xfId="124" xr:uid="{0739A0CE-8643-42C7-BAA2-8D9AF1F0E78D}"/>
    <cellStyle name="40% - Accent2" xfId="64" xr:uid="{7AF6CC54-B008-40D8-84FA-F80345D5CDAD}"/>
    <cellStyle name="40% - Accent2 2" xfId="125" xr:uid="{01863E7D-5642-47A0-B32A-2B4FCF6E0F01}"/>
    <cellStyle name="40% - Accent3" xfId="65" xr:uid="{4797A637-F6C4-4B92-B236-235AD86A0C6F}"/>
    <cellStyle name="40% - Accent3 2" xfId="126" xr:uid="{BC941D0A-35B7-486D-9555-5BDF7ACEA3CE}"/>
    <cellStyle name="40% - Accent4" xfId="66" xr:uid="{443B1BD4-D6D3-4AB7-A251-31448E5E4600}"/>
    <cellStyle name="40% - Accent4 2" xfId="127" xr:uid="{5D0CB55B-E436-431D-BA25-55A6BE597036}"/>
    <cellStyle name="40% - Accent5" xfId="67" xr:uid="{33A7E51E-C298-44FC-AB18-1E199167A01E}"/>
    <cellStyle name="40% - Accent5 2" xfId="128" xr:uid="{49E8B454-09D3-49DC-BFCF-3E4D36EAD338}"/>
    <cellStyle name="40% - Accent6" xfId="68" xr:uid="{B8C92E39-7C8A-44C7-890F-201CE11965B4}"/>
    <cellStyle name="40% - Accent6 2" xfId="129" xr:uid="{46B92EF6-E503-46C4-9DC8-99459BC84B9C}"/>
    <cellStyle name="40% - Ênfase1" xfId="35" builtinId="31" customBuiltin="1"/>
    <cellStyle name="40% - Ênfase1 10" xfId="356" xr:uid="{BA6A6310-42D5-4385-8C4F-23C472D50068}"/>
    <cellStyle name="40% - Ênfase1 11" xfId="172" xr:uid="{8ADC51B6-7126-4415-8AAF-F1A89C2040EA}"/>
    <cellStyle name="40% - Ênfase1 2" xfId="295" xr:uid="{720B4B99-3274-4602-BDEC-51152903130B}"/>
    <cellStyle name="40% - Ênfase1 2 2" xfId="13134" xr:uid="{C500806D-3986-4FDA-B9FB-6B840D6480EC}"/>
    <cellStyle name="40% - Ênfase1 2 3" xfId="13082" xr:uid="{415DE2F3-B287-4ABD-AA75-799474663972}"/>
    <cellStyle name="40% - Ênfase1 2 3 2" xfId="38611" xr:uid="{78734341-46AB-4655-9A5B-EB48C47CAB09}"/>
    <cellStyle name="40% - Ênfase1 2 4" xfId="25992" xr:uid="{329449C6-BB2F-4A34-89A6-0287598FBED7}"/>
    <cellStyle name="40% - Ênfase1 2 5" xfId="26036" xr:uid="{0911CA46-AE29-410B-A1EC-F2C76EAE2398}"/>
    <cellStyle name="40% - Ênfase1 2 6" xfId="394" xr:uid="{01EF137D-16C8-4D2A-8FA7-0CFDFFBAE40A}"/>
    <cellStyle name="40% - Ênfase1 3" xfId="378" xr:uid="{17711C71-26F9-4C43-8FA6-602D4F61050E}"/>
    <cellStyle name="40% - Ênfase1 4" xfId="419" xr:uid="{2C29F831-E107-473F-A2BA-542BBF49D491}"/>
    <cellStyle name="40% - Ênfase1 5" xfId="676" xr:uid="{0C424FF3-64C3-4068-91E9-183D14A4A970}"/>
    <cellStyle name="40% - Ênfase1 6" xfId="3568" xr:uid="{FBCE3215-73EA-432A-85A7-3386E0E9E535}"/>
    <cellStyle name="40% - Ênfase1 7" xfId="6722" xr:uid="{964C190B-B234-4FCA-BB9F-51D1FE6A8106}"/>
    <cellStyle name="40% - Ênfase1 8" xfId="13108" xr:uid="{B297693E-A077-41F7-A2BE-4F718A0C6B11}"/>
    <cellStyle name="40% - Ênfase1 9" xfId="26011" xr:uid="{642F761E-DEBB-4B23-A842-F49DE664D0AF}"/>
    <cellStyle name="40% - Ênfase2" xfId="39" builtinId="35" customBuiltin="1"/>
    <cellStyle name="40% - Ênfase2 10" xfId="357" xr:uid="{B69E0F04-1AAC-48F6-8039-0398045AEAD0}"/>
    <cellStyle name="40% - Ênfase2 11" xfId="173" xr:uid="{649C9F74-CC66-49C5-A7F7-59E12E251931}"/>
    <cellStyle name="40% - Ênfase2 2" xfId="296" xr:uid="{17DA7C0C-42B3-4E74-BCFA-1C3232D682AE}"/>
    <cellStyle name="40% - Ênfase2 2 2" xfId="13135" xr:uid="{6544975A-F364-48E0-85B1-C876D9376679}"/>
    <cellStyle name="40% - Ênfase2 2 3" xfId="13083" xr:uid="{CEB87BD7-EDD8-4BCA-926F-987FDB296AEF}"/>
    <cellStyle name="40% - Ênfase2 2 3 2" xfId="38612" xr:uid="{E6861563-87F5-42A9-8121-51B2C42FD639}"/>
    <cellStyle name="40% - Ênfase2 2 4" xfId="25993" xr:uid="{88FC14C9-5160-416F-967F-3A32BDC72ABB}"/>
    <cellStyle name="40% - Ênfase2 2 5" xfId="26037" xr:uid="{1E0AF29A-D43A-42A0-BBC9-FCA20E9E5FDD}"/>
    <cellStyle name="40% - Ênfase2 2 6" xfId="395" xr:uid="{481CF311-1064-42D6-9B6E-F4EE915174F4}"/>
    <cellStyle name="40% - Ênfase2 3" xfId="379" xr:uid="{51EB1FB2-3A75-4BA4-A61A-F6E3036DB264}"/>
    <cellStyle name="40% - Ênfase2 4" xfId="420" xr:uid="{4D798822-B470-42F9-ACB4-F4FF7595EB41}"/>
    <cellStyle name="40% - Ênfase2 5" xfId="677" xr:uid="{5CAFE1D3-5ADC-41A3-A996-61C76F533106}"/>
    <cellStyle name="40% - Ênfase2 6" xfId="3569" xr:uid="{85F92314-CE68-4937-B1AB-B85A067CFF13}"/>
    <cellStyle name="40% - Ênfase2 7" xfId="6723" xr:uid="{68337116-D631-4EED-BCEA-67E3E894FA40}"/>
    <cellStyle name="40% - Ênfase2 8" xfId="13109" xr:uid="{69ED7D42-3AAD-458A-9297-45154165EDFE}"/>
    <cellStyle name="40% - Ênfase2 9" xfId="26012" xr:uid="{8953408A-CAC7-4BA0-B20E-2EF3CB592715}"/>
    <cellStyle name="40% - Ênfase3" xfId="43" builtinId="39" customBuiltin="1"/>
    <cellStyle name="40% - Ênfase3 10" xfId="358" xr:uid="{EEC25009-2273-42A9-94D2-23F848534EEC}"/>
    <cellStyle name="40% - Ênfase3 11" xfId="174" xr:uid="{651F309A-9EAB-4947-8CC4-A9D266AE49B4}"/>
    <cellStyle name="40% - Ênfase3 2" xfId="297" xr:uid="{F0E20301-1BD4-4CCE-A04D-F4AF5EA47FCD}"/>
    <cellStyle name="40% - Ênfase3 2 2" xfId="13136" xr:uid="{BA9D8FF8-30A0-4BE7-A3F6-6A5DEB6B7359}"/>
    <cellStyle name="40% - Ênfase3 2 3" xfId="13084" xr:uid="{39D18689-DB7C-469C-9C94-F1B9A19B5EBB}"/>
    <cellStyle name="40% - Ênfase3 2 3 2" xfId="38613" xr:uid="{E3233040-B15A-409F-82BE-B6F953DAD3BC}"/>
    <cellStyle name="40% - Ênfase3 2 4" xfId="25994" xr:uid="{6E2D7AF0-65A2-4EE0-BD6F-9986E49428E6}"/>
    <cellStyle name="40% - Ênfase3 2 5" xfId="26038" xr:uid="{99DBAC32-4433-4A08-8928-1CEF14DAB576}"/>
    <cellStyle name="40% - Ênfase3 2 6" xfId="396" xr:uid="{A4528F6E-22C7-436E-86F9-9EB19D71FBDC}"/>
    <cellStyle name="40% - Ênfase3 3" xfId="380" xr:uid="{97F8968B-DE30-4143-874C-7A88B9589597}"/>
    <cellStyle name="40% - Ênfase3 4" xfId="421" xr:uid="{18EB1B4C-31D1-4E72-921B-69BBFB93E333}"/>
    <cellStyle name="40% - Ênfase3 5" xfId="678" xr:uid="{BCCE74DC-A3AB-40A5-BA0C-69ED81110AB0}"/>
    <cellStyle name="40% - Ênfase3 6" xfId="3570" xr:uid="{6657BB6F-0DB1-4A1D-9C22-8051219B129A}"/>
    <cellStyle name="40% - Ênfase3 7" xfId="6724" xr:uid="{CA804E3E-C90B-462E-A833-32EA55A87085}"/>
    <cellStyle name="40% - Ênfase3 8" xfId="13110" xr:uid="{145F494B-D0F7-4CD5-9F8E-F04CFC58B85A}"/>
    <cellStyle name="40% - Ênfase3 9" xfId="26013" xr:uid="{C84A6DC9-7585-4AF3-8487-87F7438DAA3F}"/>
    <cellStyle name="40% - Ênfase4" xfId="47" builtinId="43" customBuiltin="1"/>
    <cellStyle name="40% - Ênfase4 10" xfId="359" xr:uid="{E38EEB90-DDA9-48FF-8D42-43FC7CE13F53}"/>
    <cellStyle name="40% - Ênfase4 11" xfId="175" xr:uid="{A04EDC65-5A48-4B93-BCA5-DBE1E3F3EBC0}"/>
    <cellStyle name="40% - Ênfase4 2" xfId="298" xr:uid="{FC9D9FF1-42FD-405D-B159-4C808D7F8EC7}"/>
    <cellStyle name="40% - Ênfase4 2 2" xfId="13137" xr:uid="{C238C434-1F85-4007-833E-67B7FD711CA0}"/>
    <cellStyle name="40% - Ênfase4 2 3" xfId="13085" xr:uid="{843C3FB2-5966-46E7-8120-961B7768A8A1}"/>
    <cellStyle name="40% - Ênfase4 2 3 2" xfId="38614" xr:uid="{96B774A6-3056-4178-95BA-679EFA3F5C59}"/>
    <cellStyle name="40% - Ênfase4 2 4" xfId="25995" xr:uid="{59E99146-2F76-474B-85FA-28F2074959B7}"/>
    <cellStyle name="40% - Ênfase4 2 5" xfId="26039" xr:uid="{0F734B24-DA50-43FC-9C69-2605E15B457E}"/>
    <cellStyle name="40% - Ênfase4 2 6" xfId="397" xr:uid="{67B0ADCD-1C6E-44A3-ABBA-A9A7AF032D95}"/>
    <cellStyle name="40% - Ênfase4 3" xfId="381" xr:uid="{A638691F-EF5F-4EFB-980A-DEB21ECE80C2}"/>
    <cellStyle name="40% - Ênfase4 4" xfId="422" xr:uid="{5FBF0DD4-9EEB-49C2-845A-000C26FDE602}"/>
    <cellStyle name="40% - Ênfase4 5" xfId="679" xr:uid="{7B5C9A88-1085-401B-9252-40285CB776D3}"/>
    <cellStyle name="40% - Ênfase4 6" xfId="3571" xr:uid="{92AC6AE1-6ACA-4662-B459-08392FD61596}"/>
    <cellStyle name="40% - Ênfase4 7" xfId="6725" xr:uid="{F98F7617-9E64-4E7F-806F-E10AD41F5B85}"/>
    <cellStyle name="40% - Ênfase4 8" xfId="13111" xr:uid="{0B55E612-93A8-4A9A-9BDD-77C3BF95DFAD}"/>
    <cellStyle name="40% - Ênfase4 9" xfId="26014" xr:uid="{6FEBBA57-3341-4569-9DBE-1CC0BEEFC97E}"/>
    <cellStyle name="40% - Ênfase5" xfId="51" builtinId="47" customBuiltin="1"/>
    <cellStyle name="40% - Ênfase5 10" xfId="360" xr:uid="{3D3044E4-5012-4C0F-A9BA-4DCBCEB83DF2}"/>
    <cellStyle name="40% - Ênfase5 11" xfId="176" xr:uid="{497C364A-86C9-430A-AB0C-DB4175D8C802}"/>
    <cellStyle name="40% - Ênfase5 2" xfId="299" xr:uid="{CDF3D7D7-C185-42A7-A382-1D53E35FC586}"/>
    <cellStyle name="40% - Ênfase5 2 2" xfId="13138" xr:uid="{9CF7180B-6025-4AD5-B07E-CC7C2E9A41B3}"/>
    <cellStyle name="40% - Ênfase5 2 3" xfId="13086" xr:uid="{4B4498ED-2D7B-433B-9EC6-E0022E6F2720}"/>
    <cellStyle name="40% - Ênfase5 2 3 2" xfId="38615" xr:uid="{245C281C-ECEA-45BA-82B7-651D56F1557F}"/>
    <cellStyle name="40% - Ênfase5 2 4" xfId="25996" xr:uid="{56DB1DBC-8E98-4B96-84F9-B43A21EC92D7}"/>
    <cellStyle name="40% - Ênfase5 2 5" xfId="26040" xr:uid="{E9446C86-DBEC-4A8B-BD7C-2C0E2F2B1EFA}"/>
    <cellStyle name="40% - Ênfase5 2 6" xfId="398" xr:uid="{900646A4-36A9-442B-8276-C2169031DD6C}"/>
    <cellStyle name="40% - Ênfase5 3" xfId="382" xr:uid="{4CD8943F-21CA-460C-B3CE-11489734570E}"/>
    <cellStyle name="40% - Ênfase5 4" xfId="423" xr:uid="{AA05DEB0-8F68-4D24-BC4D-5D9A55F755EB}"/>
    <cellStyle name="40% - Ênfase5 5" xfId="680" xr:uid="{2F25ED8C-87AA-476E-A21F-74DD93460FA6}"/>
    <cellStyle name="40% - Ênfase5 6" xfId="3572" xr:uid="{159CF641-6E0C-4636-B729-8F03FB444030}"/>
    <cellStyle name="40% - Ênfase5 7" xfId="6726" xr:uid="{793AE001-6671-42B3-985A-8CEA0C196BF5}"/>
    <cellStyle name="40% - Ênfase5 8" xfId="13112" xr:uid="{08AB903F-8C35-4552-BE1D-24414CFE6B63}"/>
    <cellStyle name="40% - Ênfase5 9" xfId="26015" xr:uid="{3EF17537-C5E2-426E-ADDF-92928A4C20C7}"/>
    <cellStyle name="40% - Ênfase6" xfId="55" builtinId="51" customBuiltin="1"/>
    <cellStyle name="40% - Ênfase6 10" xfId="361" xr:uid="{344AFD2F-F516-42AB-9BF1-C82AD9C7946B}"/>
    <cellStyle name="40% - Ênfase6 11" xfId="177" xr:uid="{1CFEE621-4E98-4D71-BE1F-2D464B215D45}"/>
    <cellStyle name="40% - Ênfase6 2" xfId="300" xr:uid="{8216716F-9B5A-4654-90EE-A4E71E97F574}"/>
    <cellStyle name="40% - Ênfase6 2 2" xfId="13139" xr:uid="{05490C8C-D216-45C0-853C-AD5AE494949E}"/>
    <cellStyle name="40% - Ênfase6 2 3" xfId="13087" xr:uid="{DB6B0FE0-28C8-43C8-ACD4-6F39487B7762}"/>
    <cellStyle name="40% - Ênfase6 2 3 2" xfId="38616" xr:uid="{33A2DF03-DDEF-4519-8D0D-F00883EA1F09}"/>
    <cellStyle name="40% - Ênfase6 2 4" xfId="25997" xr:uid="{93B0FEE5-7E10-48E7-9241-143B468ABA45}"/>
    <cellStyle name="40% - Ênfase6 2 5" xfId="26041" xr:uid="{A34675FE-0DF1-4360-AF1A-0FB7AEB236E6}"/>
    <cellStyle name="40% - Ênfase6 2 6" xfId="399" xr:uid="{BBE3E1DA-E224-455C-A047-B9D82B7DFD6D}"/>
    <cellStyle name="40% - Ênfase6 3" xfId="383" xr:uid="{1DA46E82-CC3C-4E9C-8038-5EC1EE658890}"/>
    <cellStyle name="40% - Ênfase6 4" xfId="424" xr:uid="{8A80FF5C-FA22-45C3-A2C6-666AD84B07C3}"/>
    <cellStyle name="40% - Ênfase6 5" xfId="681" xr:uid="{46589A06-C2CF-4C57-B39F-4702E2F082BB}"/>
    <cellStyle name="40% - Ênfase6 6" xfId="3573" xr:uid="{4D3DB419-5A23-4060-B7D3-CB8D3463EEB3}"/>
    <cellStyle name="40% - Ênfase6 7" xfId="6727" xr:uid="{B212B6E3-7E8B-44C0-8955-E4694239597B}"/>
    <cellStyle name="40% - Ênfase6 8" xfId="13113" xr:uid="{C563742F-511D-49A4-A035-E3E022E541C7}"/>
    <cellStyle name="40% - Ênfase6 9" xfId="26016" xr:uid="{C14113FD-C9EE-469D-AAED-195EF91DC4F7}"/>
    <cellStyle name="60% - Accent1" xfId="69" xr:uid="{DEA33F39-D807-4168-9DE8-7ED04FC3C8F0}"/>
    <cellStyle name="60% - Accent2" xfId="70" xr:uid="{2622E03C-F803-4D99-BE05-13A0B0F982F1}"/>
    <cellStyle name="60% - Accent3" xfId="71" xr:uid="{795605AF-886E-43B4-9904-DC95C69BE79B}"/>
    <cellStyle name="60% - Accent4" xfId="72" xr:uid="{F2871A8A-1E41-4A60-9DB3-ACF9B98D8982}"/>
    <cellStyle name="60% - Accent5" xfId="73" xr:uid="{D850F54D-C077-4168-B9B6-020EEBED242B}"/>
    <cellStyle name="60% - Accent6" xfId="74" xr:uid="{782B7CCB-AC87-487E-B1CF-F56FDC41A691}"/>
    <cellStyle name="60% - Ênfase1" xfId="36" builtinId="32" customBuiltin="1"/>
    <cellStyle name="60% - Ênfase1 2" xfId="301" xr:uid="{F952B3CF-CF14-48D1-BBA5-5B5E791D202C}"/>
    <cellStyle name="60% - Ênfase1 3" xfId="178" xr:uid="{AD3564D9-5313-48DE-9F94-59B919302448}"/>
    <cellStyle name="60% - Ênfase2" xfId="40" builtinId="36" customBuiltin="1"/>
    <cellStyle name="60% - Ênfase2 2" xfId="302" xr:uid="{44465983-61C8-4B25-84D8-D023BFA76CA0}"/>
    <cellStyle name="60% - Ênfase2 3" xfId="179" xr:uid="{481364D5-E6AB-42F4-BD0F-C8215ECD6B24}"/>
    <cellStyle name="60% - Ênfase3" xfId="44" builtinId="40" customBuiltin="1"/>
    <cellStyle name="60% - Ênfase3 2" xfId="303" xr:uid="{FC2B8DA7-4615-416D-BA1E-9281A8EE6380}"/>
    <cellStyle name="60% - Ênfase3 3" xfId="180" xr:uid="{34C2BB50-BA0E-444B-9B9D-5D230A1C7077}"/>
    <cellStyle name="60% - Ênfase4" xfId="48" builtinId="44" customBuiltin="1"/>
    <cellStyle name="60% - Ênfase4 2" xfId="304" xr:uid="{E5FF531C-CD91-4953-9F93-A15CB1D864EC}"/>
    <cellStyle name="60% - Ênfase4 3" xfId="181" xr:uid="{D8CA5EDD-51CC-42C6-BB7A-1B2BA44E8C69}"/>
    <cellStyle name="60% - Ênfase5" xfId="52" builtinId="48" customBuiltin="1"/>
    <cellStyle name="60% - Ênfase5 2" xfId="305" xr:uid="{767DC357-7E6A-47C8-A33A-64B98B161EE3}"/>
    <cellStyle name="60% - Ênfase5 3" xfId="182" xr:uid="{756F7830-3F49-4E29-AC36-FCD5A237C1EA}"/>
    <cellStyle name="60% - Ênfase6" xfId="56" builtinId="52" customBuiltin="1"/>
    <cellStyle name="60% - Ênfase6 2" xfId="306" xr:uid="{0027A99B-B27E-4B01-BCE9-FF492BA92D8F}"/>
    <cellStyle name="60% - Ênfase6 3" xfId="183" xr:uid="{F3EE8A91-25CF-4A03-8A1E-6AB51C2D5069}"/>
    <cellStyle name="Accent1" xfId="75" xr:uid="{53C805C9-8FB4-4BC5-ADD5-E53212278D7B}"/>
    <cellStyle name="Accent2" xfId="76" xr:uid="{FE540444-67E3-4272-B957-330D7DBC9238}"/>
    <cellStyle name="Accent3" xfId="77" xr:uid="{27C141D2-B46C-40D0-BB02-105F9BB12C9F}"/>
    <cellStyle name="Accent4" xfId="78" xr:uid="{70FA0E89-01B1-412E-8B11-28112A5800A5}"/>
    <cellStyle name="Accent5" xfId="79" xr:uid="{431C588D-C0C1-4609-BAF2-EA88FFDDA04F}"/>
    <cellStyle name="Accent6" xfId="80" xr:uid="{C174E19C-6B93-4639-8F80-1D304C4D9BB2}"/>
    <cellStyle name="Bad" xfId="81" xr:uid="{2B7D5809-3992-4935-A503-69A068443563}"/>
    <cellStyle name="Bom" xfId="22" builtinId="26" customBuiltin="1"/>
    <cellStyle name="Bom 2" xfId="307" xr:uid="{4124D87E-319D-49C6-B875-CC5DF1C3CADA}"/>
    <cellStyle name="Bom 3" xfId="184" xr:uid="{92701032-50F2-4E27-92B2-59EF30B1A313}"/>
    <cellStyle name="Calculation" xfId="82" xr:uid="{39EDE3D7-3B58-46FA-99A4-AF06586FB31F}"/>
    <cellStyle name="Cálculo" xfId="27" builtinId="22" customBuiltin="1"/>
    <cellStyle name="Cálculo 2" xfId="308" xr:uid="{D0EE7145-21B0-4DCA-BCF9-7A611AC93AD0}"/>
    <cellStyle name="Cálculo 2 2" xfId="25701" xr:uid="{3262BBE6-8091-4953-8E63-39ADB1284A60}"/>
    <cellStyle name="Cálculo 2 2 2" xfId="25896" xr:uid="{CBEA68DF-8AB2-4D7E-A530-1E284CBF9B42}"/>
    <cellStyle name="Cálculo 2 2 2 2" xfId="51313" xr:uid="{137455F3-7B47-4DCD-AA16-9E50A3781F0D}"/>
    <cellStyle name="Cálculo 2 2 3" xfId="25798" xr:uid="{7294A51C-2560-4F19-A2AC-2199C49102E1}"/>
    <cellStyle name="Cálculo 2 2 3 2" xfId="51238" xr:uid="{5B98A1C8-7135-4749-BF23-4F474D4D6060}"/>
    <cellStyle name="Cálculo 2 2 4" xfId="25880" xr:uid="{51D647CA-C163-4A7D-8CA2-89529BE4AFA3}"/>
    <cellStyle name="Cálculo 2 3" xfId="13088" xr:uid="{F188296C-3DB7-4ED2-BE89-77CF5BBC3D2B}"/>
    <cellStyle name="Cálculo 2 4" xfId="38591" xr:uid="{48B67AB2-DDE9-427C-AF60-98F7CFB9757E}"/>
    <cellStyle name="Cálculo 2 5" xfId="13023" xr:uid="{ECB961BC-517A-48D6-9EBE-BCACFAD74799}"/>
    <cellStyle name="Cálculo 3" xfId="13009" xr:uid="{7B5DC1B3-FDD4-4CD6-B064-C15462BE5DBF}"/>
    <cellStyle name="Cálculo 3 2" xfId="25691" xr:uid="{68E96750-5737-42B4-B10D-0658218CD74A}"/>
    <cellStyle name="Cálculo 3 2 2" xfId="13053" xr:uid="{3910089B-DCDC-47A8-8C35-7818BF178F73}"/>
    <cellStyle name="Cálculo 3 2 2 2" xfId="38596" xr:uid="{5F2BFA1B-EBFE-48DC-A272-3F1B9DA66B32}"/>
    <cellStyle name="Cálculo 3 2 3" xfId="25824" xr:uid="{1A80F748-0726-4595-B4F3-169237D135F0}"/>
    <cellStyle name="Cálculo 3 2 3 2" xfId="51260" xr:uid="{F1D88446-30A6-46CE-944B-B4864962DB6A}"/>
    <cellStyle name="Cálculo 3 2 4" xfId="25951" xr:uid="{26C62875-5864-46DF-A0A4-0E06ADD87E00}"/>
    <cellStyle name="Cálculo 3 3" xfId="25874" xr:uid="{E82D0870-439B-4E47-8EB3-5AF2F7E98770}"/>
    <cellStyle name="Cálculo 3 3 2" xfId="51301" xr:uid="{C66FE02E-1E79-4DFC-8391-94E177D41E93}"/>
    <cellStyle name="Cálculo 3 4" xfId="25931" xr:uid="{B2B12E59-D82B-4A76-9562-FB584E6A483E}"/>
    <cellStyle name="Cálculo 3 4 2" xfId="51340" xr:uid="{8957CECD-05F9-4DC9-97AE-1FD6525160F1}"/>
    <cellStyle name="Cálculo 3 5" xfId="25907" xr:uid="{538C165B-2F38-4839-9383-C93074AB4A1E}"/>
    <cellStyle name="Cálculo 4" xfId="13039" xr:uid="{0F1D4950-A9D4-4C7C-B4F0-113974205A9B}"/>
    <cellStyle name="Cálculo 4 2" xfId="25712" xr:uid="{25D35C1B-8073-4FD1-89F1-A9F84783AC1D}"/>
    <cellStyle name="Cálculo 4 2 2" xfId="25838" xr:uid="{5EFF42FD-EF35-4343-A4D6-11D9274A0D01}"/>
    <cellStyle name="Cálculo 4 2 2 2" xfId="51272" xr:uid="{F34879A1-5944-4139-85DF-069322EB3CE7}"/>
    <cellStyle name="Cálculo 4 2 3" xfId="25793" xr:uid="{FD44F85B-0F6F-4616-BE62-E136035455FC}"/>
    <cellStyle name="Cálculo 4 2 3 2" xfId="51235" xr:uid="{45DB8239-8B1E-407D-BE11-FCD268507231}"/>
    <cellStyle name="Cálculo 4 2 4" xfId="25968" xr:uid="{78E5FADD-2985-4FE3-A670-2141A91D2B45}"/>
    <cellStyle name="Cálculo 4 3" xfId="25805" xr:uid="{8E40D761-6A6E-489E-8DE6-C72DC10CE89C}"/>
    <cellStyle name="Cálculo 4 3 2" xfId="51245" xr:uid="{C44763DA-014F-4575-A241-47C6B07713F2}"/>
    <cellStyle name="Cálculo 4 4" xfId="25800" xr:uid="{54A6C452-352A-40C9-AEDE-6A4BC611F16B}"/>
    <cellStyle name="Cálculo 4 4 2" xfId="51240" xr:uid="{EC9E61A3-85FE-4671-A15B-965BA5E05348}"/>
    <cellStyle name="Cálculo 4 5" xfId="25770" xr:uid="{914B8B71-92F6-4E71-A0F3-B8ED9DB249CF}"/>
    <cellStyle name="Cálculo 5" xfId="13041" xr:uid="{C2D6255E-4FF6-4276-AD8F-23FE4D1D1DDD}"/>
    <cellStyle name="Cálculo 5 2" xfId="25928" xr:uid="{D07950E6-E9BC-40D4-8758-75CEDDC8CD6F}"/>
    <cellStyle name="Cálculo 5 2 2" xfId="51337" xr:uid="{75F45A37-BB8F-493E-B019-2A6BD4E90C46}"/>
    <cellStyle name="Cálculo 5 3" xfId="25752" xr:uid="{78978171-1985-456E-B0E9-B50722C1050F}"/>
    <cellStyle name="Cálculo 5 3 2" xfId="51205" xr:uid="{4907F40A-C941-4AD0-A239-F6C42AA97B2E}"/>
    <cellStyle name="Cálculo 5 4" xfId="25816" xr:uid="{24B26C87-AA9F-4BBD-B709-B9B08A9FA372}"/>
    <cellStyle name="Cálculo 6" xfId="25851" xr:uid="{A03FC58C-4062-4619-88E4-EE5F58548BF3}"/>
    <cellStyle name="Cálculo 6 2" xfId="51283" xr:uid="{BB18D004-D406-4708-B389-114CE4C7DB78}"/>
    <cellStyle name="Cálculo 7" xfId="25868" xr:uid="{CEFC3BBF-E5B3-4F33-83B6-9C1FC3CECAE7}"/>
    <cellStyle name="Cálculo 7 2" xfId="51295" xr:uid="{CF637959-B688-44E5-9B96-E072ED8AB697}"/>
    <cellStyle name="Cálculo 8" xfId="25792" xr:uid="{5B66C9E5-9C6A-4BF9-91AC-4DB27208CAAA}"/>
    <cellStyle name="Cálculo 9" xfId="185" xr:uid="{CC5BBC8A-5B14-4322-BF64-CDC5A3380A18}"/>
    <cellStyle name="Campo do Assistente de dados" xfId="230" xr:uid="{6BAE84F6-E2F3-49B5-94FC-102EF1C18462}"/>
    <cellStyle name="Campo do Assistente de dados 2" xfId="227" xr:uid="{C3F6E0F0-CADE-4751-8188-B26987F5929D}"/>
    <cellStyle name="Campo do Assistente de dados 3" xfId="238" xr:uid="{7719B6D9-C76C-4A70-9C60-CE076B518401}"/>
    <cellStyle name="Canto do Assistente de dados" xfId="239" xr:uid="{D8A4B076-45BF-4F69-937D-04EFACFF1466}"/>
    <cellStyle name="Canto do Assistente de dados 2" xfId="240" xr:uid="{31EA31E1-3CB0-4B0B-81F9-68FD4ACF735A}"/>
    <cellStyle name="Canto do Assistente de dados 3" xfId="241" xr:uid="{FE206BA2-57F5-45CD-8B26-348D98F971FF}"/>
    <cellStyle name="Categoria do Assistente de dados" xfId="242" xr:uid="{2B057389-99AE-4550-A6FC-FFB4BC1DD842}"/>
    <cellStyle name="Categoria do Assistente de dados 2" xfId="243" xr:uid="{6E0A369D-7D05-4252-B01D-78C7BF583CBF}"/>
    <cellStyle name="Categoria do Assistente de dados 3" xfId="244" xr:uid="{81339430-1B6E-42FC-BE91-197C186D1284}"/>
    <cellStyle name="Célula de Verificação" xfId="29" builtinId="23" customBuiltin="1"/>
    <cellStyle name="Célula de Verificação 2" xfId="309" xr:uid="{7C1180A1-FD5B-4AE5-A221-56B179938081}"/>
    <cellStyle name="Célula de Verificação 3" xfId="186" xr:uid="{CCC76EC9-73A6-4AF2-9A3D-5DE407A57D62}"/>
    <cellStyle name="Célula Vinculada" xfId="28" builtinId="24" customBuiltin="1"/>
    <cellStyle name="Célula Vinculada 2" xfId="310" xr:uid="{035349BC-1711-4079-8F42-5765A0328379}"/>
    <cellStyle name="Célula Vinculada 3" xfId="187" xr:uid="{A4943767-E8E9-4017-AD1F-27C88EE679D5}"/>
    <cellStyle name="Check Cell" xfId="83" xr:uid="{CB0635D6-5B95-4F6C-9423-C1A5B732930C}"/>
    <cellStyle name="Ênfase1" xfId="33" builtinId="29" customBuiltin="1"/>
    <cellStyle name="Ênfase1 2" xfId="311" xr:uid="{42D1457E-6612-4EA2-BDFD-CA6B8E2FAFD2}"/>
    <cellStyle name="Ênfase1 3" xfId="188" xr:uid="{678C744B-CAD4-422A-98EF-B66E7FE5B1A3}"/>
    <cellStyle name="Ênfase2" xfId="37" builtinId="33" customBuiltin="1"/>
    <cellStyle name="Ênfase2 2" xfId="312" xr:uid="{1AE8E91F-9C27-40C3-9292-772F15C4AEF0}"/>
    <cellStyle name="Ênfase2 3" xfId="189" xr:uid="{ADF96FEA-A884-497C-9E21-8806C12B9551}"/>
    <cellStyle name="Ênfase3" xfId="41" builtinId="37" customBuiltin="1"/>
    <cellStyle name="Ênfase3 2" xfId="313" xr:uid="{E22C1C06-7DDC-43BB-9DBF-F4DE8A6AE34E}"/>
    <cellStyle name="Ênfase3 3" xfId="190" xr:uid="{CF3F06F4-55E8-4881-ACB7-EC568E5F0840}"/>
    <cellStyle name="Ênfase4" xfId="45" builtinId="41" customBuiltin="1"/>
    <cellStyle name="Ênfase4 2" xfId="314" xr:uid="{F77B7FFA-C9D2-4F8D-A322-13FCE7E3B82F}"/>
    <cellStyle name="Ênfase4 3" xfId="191" xr:uid="{FA22748B-57FC-47B2-AD5F-919A624B3AD2}"/>
    <cellStyle name="Ênfase5" xfId="49" builtinId="45" customBuiltin="1"/>
    <cellStyle name="Ênfase5 2" xfId="315" xr:uid="{6DA18403-FBAD-44A6-B69A-8972D9A10DEC}"/>
    <cellStyle name="Ênfase5 3" xfId="192" xr:uid="{61CA0845-04EE-4CAE-AA3E-7FBD8FE748A5}"/>
    <cellStyle name="Ênfase6" xfId="53" builtinId="49" customBuiltin="1"/>
    <cellStyle name="Ênfase6 2" xfId="316" xr:uid="{AD968DFB-8DFD-4476-87F6-E767BBB07389}"/>
    <cellStyle name="Ênfase6 3" xfId="193" xr:uid="{E579E30C-B732-40AE-89AB-A4EC286A2FF4}"/>
    <cellStyle name="Entrada" xfId="25" builtinId="20" customBuiltin="1"/>
    <cellStyle name="Entrada 2" xfId="317" xr:uid="{164CC635-1FCD-4A8E-B463-A0834821236B}"/>
    <cellStyle name="Entrada 2 2" xfId="25710" xr:uid="{A16F9C28-3B56-497D-A707-32753A558AD1}"/>
    <cellStyle name="Entrada 2 2 2" xfId="25863" xr:uid="{1FE24123-64A5-40A8-8A0D-EBCC2B278C00}"/>
    <cellStyle name="Entrada 2 2 2 2" xfId="51292" xr:uid="{D37B413A-12C5-44D3-903E-70CB40E55576}"/>
    <cellStyle name="Entrada 2 2 3" xfId="25779" xr:uid="{86C75828-6AAE-4070-9468-6245E9E66503}"/>
    <cellStyle name="Entrada 2 2 3 2" xfId="51225" xr:uid="{1E253C57-1096-465D-9639-29D0E9668D9E}"/>
    <cellStyle name="Entrada 2 2 4" xfId="25891" xr:uid="{6C335810-5124-4C1A-BE82-0CECF77CBAEC}"/>
    <cellStyle name="Entrada 2 3" xfId="13089" xr:uid="{76328FD4-0372-430D-8E30-9BBEEE5ABE62}"/>
    <cellStyle name="Entrada 2 4" xfId="38593" xr:uid="{93638B8F-43F5-40AC-9D9D-73EEE0ECE689}"/>
    <cellStyle name="Entrada 2 5" xfId="13037" xr:uid="{1E5C8B9A-3DE6-4D68-8EAB-A171E5B80EF4}"/>
    <cellStyle name="Entrada 3" xfId="13008" xr:uid="{BB99DE7D-0241-49AC-93A6-AE9C776496FC}"/>
    <cellStyle name="Entrada 3 2" xfId="25690" xr:uid="{51DF75B5-7F7E-4BA6-9E36-1020F43B0A39}"/>
    <cellStyle name="Entrada 3 2 2" xfId="13051" xr:uid="{7DC778FD-4A35-4369-8D5B-630A00C39E71}"/>
    <cellStyle name="Entrada 3 2 2 2" xfId="38594" xr:uid="{71EAAFFB-34CF-48FC-861A-7681B425848D}"/>
    <cellStyle name="Entrada 3 2 3" xfId="25918" xr:uid="{92A4CDE6-DAC0-4EE7-B4E3-F10D61BFAECD}"/>
    <cellStyle name="Entrada 3 2 3 2" xfId="51329" xr:uid="{887664CD-DF1C-498E-A6CA-176E601C4789}"/>
    <cellStyle name="Entrada 3 2 4" xfId="25950" xr:uid="{57148B3B-F837-4782-A7BF-809C275BCA30}"/>
    <cellStyle name="Entrada 3 3" xfId="25796" xr:uid="{9B062F8F-28EE-43CE-BE1F-2018408FC38D}"/>
    <cellStyle name="Entrada 3 3 2" xfId="51237" xr:uid="{7FC9BD34-74AC-461E-9AB1-5BBC9B8D998B}"/>
    <cellStyle name="Entrada 3 4" xfId="25767" xr:uid="{8F380551-EC30-4B76-956F-AF22C97FC1BE}"/>
    <cellStyle name="Entrada 3 4 2" xfId="51214" xr:uid="{8B192008-FBF7-48F9-8AC8-082A0D51D96B}"/>
    <cellStyle name="Entrada 3 5" xfId="25935" xr:uid="{FBC24530-0B34-4741-BDA5-9FF3ABAEB62A}"/>
    <cellStyle name="Entrada 4" xfId="13036" xr:uid="{AD15D8B9-F853-4E8D-86E8-B693FBB36464}"/>
    <cellStyle name="Entrada 4 2" xfId="25709" xr:uid="{63C0A265-7418-4E8A-80B5-C45EA4BCE476}"/>
    <cellStyle name="Entrada 4 2 2" xfId="25731" xr:uid="{8EA93E6E-10B4-4190-AAAE-7E99126354C8}"/>
    <cellStyle name="Entrada 4 2 2 2" xfId="51190" xr:uid="{A38D15E1-DFD7-46BD-A0DD-AC89706240B1}"/>
    <cellStyle name="Entrada 4 2 3" xfId="25922" xr:uid="{4EE059F0-21B1-4831-ABA1-F4E6B1AFAF49}"/>
    <cellStyle name="Entrada 4 2 3 2" xfId="51333" xr:uid="{86F6F985-D4B7-436F-A41F-6434E3251A00}"/>
    <cellStyle name="Entrada 4 2 4" xfId="25966" xr:uid="{3F88B8B1-D957-4944-B513-6F59D45F1722}"/>
    <cellStyle name="Entrada 4 3" xfId="25757" xr:uid="{86FEA945-474E-4F4A-8F7A-BC15520C7721}"/>
    <cellStyle name="Entrada 4 3 2" xfId="51208" xr:uid="{B33D6CE8-C62F-4FE0-9117-67E1BEAD9622}"/>
    <cellStyle name="Entrada 4 4" xfId="25897" xr:uid="{F94839C1-A560-4779-9AFB-31CBE426F933}"/>
    <cellStyle name="Entrada 4 4 2" xfId="51314" xr:uid="{96241C22-2F73-46A6-8872-E18BE5E8B088}"/>
    <cellStyle name="Entrada 4 5" xfId="25893" xr:uid="{4C2D0C8D-959E-45A7-8752-2E2DD411B114}"/>
    <cellStyle name="Entrada 5" xfId="13012" xr:uid="{25802E85-BF46-41D5-B9C5-91C9ED4038DC}"/>
    <cellStyle name="Entrada 5 2" xfId="25773" xr:uid="{99EE81B4-BB5B-46AC-BA70-58A888791899}"/>
    <cellStyle name="Entrada 5 2 2" xfId="51219" xr:uid="{0E4FFC48-EF39-4299-98B5-71772B9EBAED}"/>
    <cellStyle name="Entrada 5 3" xfId="25748" xr:uid="{8818879F-BC36-468C-803C-51A558CE110C}"/>
    <cellStyle name="Entrada 5 3 2" xfId="51202" xr:uid="{8E10629B-603E-4E96-81C3-492E6AC92170}"/>
    <cellStyle name="Entrada 5 4" xfId="25940" xr:uid="{EAFED2A2-CD7F-404A-861B-554EADF1DB84}"/>
    <cellStyle name="Entrada 6" xfId="25904" xr:uid="{98873E4E-71E4-496A-A8CB-846691C3798E}"/>
    <cellStyle name="Entrada 6 2" xfId="51318" xr:uid="{774FAB9B-2BA8-4CA9-9F68-48E9388C41DD}"/>
    <cellStyle name="Entrada 7" xfId="25775" xr:uid="{EB133949-CBCD-4BFE-9FC4-E39254CD8580}"/>
    <cellStyle name="Entrada 7 2" xfId="51221" xr:uid="{C9731336-AAE2-4D14-8BDF-6F9882CD22CD}"/>
    <cellStyle name="Entrada 8" xfId="25811" xr:uid="{450CDD11-9952-4CC0-A3C8-1892D2B93DBB}"/>
    <cellStyle name="Entrada 9" xfId="194" xr:uid="{00EBF310-B8C5-464E-AC6C-A1F2200D6888}"/>
    <cellStyle name="Euro" xfId="1" xr:uid="{00000000-0005-0000-0000-000000000000}"/>
    <cellStyle name="Excel Built-in Normal" xfId="213" xr:uid="{E89D2E3E-2C0B-4F7C-9B19-3FCE23ADDE70}"/>
    <cellStyle name="Excel_BuiltIn_Currency 1" xfId="245" xr:uid="{37127DEF-9A7D-464D-AEE3-944A7DA875DD}"/>
    <cellStyle name="Explanatory Text" xfId="84" xr:uid="{352BB8DE-8A91-4857-8B71-5E44635F87A1}"/>
    <cellStyle name="Good" xfId="85" xr:uid="{CFB3ADA3-760D-4BE6-B5C4-E957F34ED328}"/>
    <cellStyle name="Heading 1" xfId="86" xr:uid="{4D0ABFD3-4D02-4B86-B46F-62DE6764A98E}"/>
    <cellStyle name="Heading 2" xfId="87" xr:uid="{E9D10CE9-F90B-4B7F-85CE-D57E582CEA5B}"/>
    <cellStyle name="Heading 3" xfId="88" xr:uid="{5D4B8659-E769-4C22-A49D-9100A44FA234}"/>
    <cellStyle name="Heading 4" xfId="89" xr:uid="{D8C3330D-51D0-45F5-8A38-82A9B7B129F3}"/>
    <cellStyle name="Hiperlink 2" xfId="162" xr:uid="{C9F74FEE-5A4B-4AAB-A0D6-164225A0DBDC}"/>
    <cellStyle name="Incorreto 2" xfId="318" xr:uid="{F5D306C8-F93A-4EA6-905B-5D86CD57FDE4}"/>
    <cellStyle name="Input" xfId="90" xr:uid="{77102A27-3982-4FA9-84B2-5E12D76D4FBA}"/>
    <cellStyle name="Linked Cell" xfId="91" xr:uid="{CD4CA470-19B0-402F-9312-5DEAC96A47BD}"/>
    <cellStyle name="Moeda 2" xfId="2" xr:uid="{00000000-0005-0000-0000-000001000000}"/>
    <cellStyle name="Moeda 2 10" xfId="214" xr:uid="{FB8389BD-3CDA-43D4-A16D-ACB40A0126EC}"/>
    <cellStyle name="Moeda 2 2" xfId="92" xr:uid="{F3843850-A811-4D1F-A83E-86444C7C8B53}"/>
    <cellStyle name="Moeda 2 2 2" xfId="246" xr:uid="{1E2871A9-CD1A-4949-8E27-D78F5D28423D}"/>
    <cellStyle name="Moeda 2 3" xfId="247" xr:uid="{93A7E8A4-0CD4-4477-8BB4-C2630723D3F4}"/>
    <cellStyle name="Moeda 2 4" xfId="248" xr:uid="{393B0ADA-FF75-4AB3-A2FB-9C4D0F361005}"/>
    <cellStyle name="Moeda 2 5" xfId="319" xr:uid="{54567D66-DBD6-4B88-AB08-D2B5E9052C36}"/>
    <cellStyle name="Moeda 2 6" xfId="13125" xr:uid="{7CDC14C1-13E4-4F7F-BC12-0347CF3277E7}"/>
    <cellStyle name="Moeda 2 7" xfId="13056" xr:uid="{F795B291-8FFB-4AFB-8E8D-1BB98056DFC5}"/>
    <cellStyle name="Moeda 2 8" xfId="26027" xr:uid="{0063C890-CA54-4B7D-A710-488E7120F9EB}"/>
    <cellStyle name="Moeda 2 9" xfId="384" xr:uid="{AAF97D93-03CA-4E38-B969-C6A7F3E097D1}"/>
    <cellStyle name="Moeda 3" xfId="3" xr:uid="{00000000-0005-0000-0000-000002000000}"/>
    <cellStyle name="Moeda 3 2" xfId="12" xr:uid="{741F3BB1-4BDA-40F3-BE79-2F857B48514D}"/>
    <cellStyle name="Moeda 3 2 2" xfId="249" xr:uid="{321CE497-A56E-47F7-A033-59AF6189EE86}"/>
    <cellStyle name="Moeda 3 2 3" xfId="216" xr:uid="{80843B9B-1671-4569-8391-0E356EEB599D}"/>
    <cellStyle name="Moeda 3 3" xfId="250" xr:uid="{56E7137E-4C54-40E0-8D3A-76B7D08DD14D}"/>
    <cellStyle name="Moeda 3 4" xfId="321" xr:uid="{2C0F31D1-35E0-43A8-8F5A-E0D5AB69A539}"/>
    <cellStyle name="Moeda 3 5" xfId="215" xr:uid="{5757ADF1-3B0F-4F23-909C-AFE410A3B043}"/>
    <cellStyle name="Moeda 4" xfId="217" xr:uid="{0F1E90A0-971A-4B34-954A-75009CE652FE}"/>
    <cellStyle name="Moeda 4 2" xfId="251" xr:uid="{65A88E53-9FFB-4952-8AE8-5725885F1675}"/>
    <cellStyle name="Moeda 5" xfId="252" xr:uid="{14258AF7-9DBA-4395-B32A-82B3536B35ED}"/>
    <cellStyle name="Moeda 6" xfId="196" xr:uid="{5791A317-FA0C-4FC9-95E9-AFD86568E45F}"/>
    <cellStyle name="Moeda 7" xfId="51383" xr:uid="{7E28FECB-AEEF-4A32-B5CA-93D8052359EA}"/>
    <cellStyle name="Neutra 2" xfId="320" xr:uid="{CD59913A-99F6-4E91-944C-0EA7A08FA19A}"/>
    <cellStyle name="Neutral" xfId="93" xr:uid="{BCBF0E0A-8AA5-4646-B674-9EB67A8CEF40}"/>
    <cellStyle name="Neutro" xfId="24" builtinId="28" customBuiltin="1"/>
    <cellStyle name="Neutro 2" xfId="197" xr:uid="{62280A0C-8D74-4A05-8D77-8EBE5B7C8938}"/>
    <cellStyle name="Normal" xfId="0" builtinId="0"/>
    <cellStyle name="Normal 10" xfId="141" xr:uid="{33E0732F-75C1-42CA-A20B-6C64BAE562BE}"/>
    <cellStyle name="Normal 10 2" xfId="13152" xr:uid="{E8AD5E89-FB52-47F4-B19B-4A16E6F19A80}"/>
    <cellStyle name="Normal 10 3" xfId="13068" xr:uid="{1C8D2898-4B41-4524-A911-BD8C3996ACAC}"/>
    <cellStyle name="Normal 10 3 2" xfId="38601" xr:uid="{5B372442-B0C7-4835-B69B-721CF7639830}"/>
    <cellStyle name="Normal 10 4" xfId="25982" xr:uid="{9BB8BCA3-08D8-4D15-BE82-A37F82BF886E}"/>
    <cellStyle name="Normal 10 5" xfId="26054" xr:uid="{FF0F0B0E-AD9F-4B79-A7FC-34126AFFE7C3}"/>
    <cellStyle name="Normal 10 6" xfId="412" xr:uid="{598F193B-806C-40F6-8A7D-7FE4D6A82C5D}"/>
    <cellStyle name="Normal 10 7" xfId="255" xr:uid="{2EED8C0E-C97A-45D7-8E9C-659BF153ADDE}"/>
    <cellStyle name="Normal 11" xfId="144" xr:uid="{A94FDED2-2456-4393-8A2C-7991E7489ABD}"/>
    <cellStyle name="Normal 11 10" xfId="1730" xr:uid="{F31F2475-2EC0-4AA0-BC0A-F23ED7551EF1}"/>
    <cellStyle name="Normal 11 10 2" xfId="4884" xr:uid="{59F0FC05-34B1-4A0A-8A9D-9ACA1DDBD423}"/>
    <cellStyle name="Normal 11 10 2 2" xfId="11177" xr:uid="{895E694E-8DCD-4FAB-9DF5-9369ED963300}"/>
    <cellStyle name="Normal 11 10 2 2 2" xfId="23859" xr:uid="{17CF3236-D04B-4889-B720-76919BC2E5AA}"/>
    <cellStyle name="Normal 11 10 2 2 2 2" xfId="49351" xr:uid="{1EA7DC9E-1BEC-47B7-AC91-8F1EE31E9D22}"/>
    <cellStyle name="Normal 11 10 2 2 3" xfId="36760" xr:uid="{58BC6803-7481-4F33-8519-6E467A8A4365}"/>
    <cellStyle name="Normal 11 10 2 3" xfId="17581" xr:uid="{DF1BC3F4-93DC-4A58-BAFF-221165182A74}"/>
    <cellStyle name="Normal 11 10 2 3 2" xfId="43073" xr:uid="{F7CD36F6-CD8F-4346-B6CF-C8A058CBED37}"/>
    <cellStyle name="Normal 11 10 2 4" xfId="30482" xr:uid="{D3D53740-F851-448D-A943-2BBA64C3303A}"/>
    <cellStyle name="Normal 11 10 3" xfId="8038" xr:uid="{152B75E5-BFB1-4EDD-B272-46680C98A453}"/>
    <cellStyle name="Normal 11 10 3 2" xfId="20720" xr:uid="{73F90512-4E40-4173-9912-E0008731CAD7}"/>
    <cellStyle name="Normal 11 10 3 2 2" xfId="46212" xr:uid="{CE765ACB-1B84-41FA-9594-BC453B8C05EE}"/>
    <cellStyle name="Normal 11 10 3 3" xfId="33621" xr:uid="{23FE8A86-5F60-4FAD-8F40-BBEE892529E2}"/>
    <cellStyle name="Normal 11 10 4" xfId="14442" xr:uid="{EA59A0ED-69A0-44D7-BB50-575F37E14A6C}"/>
    <cellStyle name="Normal 11 10 4 2" xfId="39934" xr:uid="{6714DBD4-8332-4A42-8DA3-6F3E916CB655}"/>
    <cellStyle name="Normal 11 10 5" xfId="27343" xr:uid="{C0E38AC4-210F-4885-9C9C-5A41219C9CD1}"/>
    <cellStyle name="Normal 11 11" xfId="1208" xr:uid="{33CB2CCD-246B-4A48-9FB8-562DF9C5E322}"/>
    <cellStyle name="Normal 11 11 2" xfId="4362" xr:uid="{30836486-E56E-441D-98BB-1DC49EF36FD1}"/>
    <cellStyle name="Normal 11 11 2 2" xfId="10655" xr:uid="{337DE7F9-8F5B-4C2C-9E15-1543001A0FCB}"/>
    <cellStyle name="Normal 11 11 2 2 2" xfId="23337" xr:uid="{2676D454-41C6-4BA4-915D-B7A9E64AE0FC}"/>
    <cellStyle name="Normal 11 11 2 2 2 2" xfId="48829" xr:uid="{1EBFA854-1F5A-4B8F-8AAC-3405B8E3C925}"/>
    <cellStyle name="Normal 11 11 2 2 3" xfId="36238" xr:uid="{AE43D6D9-67FB-4BC6-88E9-7F7DF3AF24ED}"/>
    <cellStyle name="Normal 11 11 2 3" xfId="17059" xr:uid="{8744A41F-A21D-4149-8D00-D6CAB25C02BD}"/>
    <cellStyle name="Normal 11 11 2 3 2" xfId="42551" xr:uid="{7BB2A675-68C5-4A6C-8B99-B06B0CC88E72}"/>
    <cellStyle name="Normal 11 11 2 4" xfId="29960" xr:uid="{17BA0788-D70E-42FA-BF5B-49B6912F6A54}"/>
    <cellStyle name="Normal 11 11 3" xfId="7516" xr:uid="{55205680-88D8-4E18-88C8-64645A1E14F3}"/>
    <cellStyle name="Normal 11 11 3 2" xfId="20198" xr:uid="{C5901B70-D81D-4BE3-9260-6DAD6879028C}"/>
    <cellStyle name="Normal 11 11 3 2 2" xfId="45690" xr:uid="{E1EF36A8-195E-47C4-94F6-DE5B19CE0288}"/>
    <cellStyle name="Normal 11 11 3 3" xfId="33099" xr:uid="{C90A0CDE-C4B7-4E41-A679-C4478E4DDC29}"/>
    <cellStyle name="Normal 11 11 4" xfId="13920" xr:uid="{186731BB-1911-4155-9A95-74CEEE2A369F}"/>
    <cellStyle name="Normal 11 11 4 2" xfId="39412" xr:uid="{146E3D3A-1467-4BC0-AEC1-FD1BBAE78C4D}"/>
    <cellStyle name="Normal 11 11 5" xfId="26821" xr:uid="{3FCBD287-176D-4E44-8E94-FBCB63127AA8}"/>
    <cellStyle name="Normal 11 12" xfId="2515" xr:uid="{C15AB4C7-EB2B-47EA-B267-32E34B6B7B78}"/>
    <cellStyle name="Normal 11 12 2" xfId="5669" xr:uid="{9E299FAC-4F18-42F4-A9C8-3B51F5E0933E}"/>
    <cellStyle name="Normal 11 12 2 2" xfId="11962" xr:uid="{3B13339C-F776-4B5D-B268-63E138EAF4A3}"/>
    <cellStyle name="Normal 11 12 2 2 2" xfId="24644" xr:uid="{31E1803C-2B51-47A5-ADC8-9AF9C342B250}"/>
    <cellStyle name="Normal 11 12 2 2 2 2" xfId="50136" xr:uid="{991252E0-5525-4AF8-ABB9-615C1E5E5BB7}"/>
    <cellStyle name="Normal 11 12 2 2 3" xfId="37545" xr:uid="{0CC56ADD-8CE1-4296-87DB-F4B33A45D78A}"/>
    <cellStyle name="Normal 11 12 2 3" xfId="18366" xr:uid="{0538A33E-A7AF-4E2E-A891-478B53C521A6}"/>
    <cellStyle name="Normal 11 12 2 3 2" xfId="43858" xr:uid="{328FA14D-495A-488C-A52E-F05F3CBF0E33}"/>
    <cellStyle name="Normal 11 12 2 4" xfId="31267" xr:uid="{F576BF20-F70C-4C2A-9246-2FEAFBB2B285}"/>
    <cellStyle name="Normal 11 12 3" xfId="8823" xr:uid="{CB3C0CE2-B0F4-4BA8-BB21-3F3DAB759229}"/>
    <cellStyle name="Normal 11 12 3 2" xfId="21505" xr:uid="{01E0C015-C1DA-47FF-897A-402211004AEE}"/>
    <cellStyle name="Normal 11 12 3 2 2" xfId="46997" xr:uid="{B46D6305-59EE-4628-9BF4-77036B30BFE1}"/>
    <cellStyle name="Normal 11 12 3 3" xfId="34406" xr:uid="{070D22CC-8E39-4689-A7F4-98C1C58A0BA0}"/>
    <cellStyle name="Normal 11 12 4" xfId="15227" xr:uid="{3241FF4F-5472-4EF4-A600-939F9D4DC0FA}"/>
    <cellStyle name="Normal 11 12 4 2" xfId="40719" xr:uid="{2B8BF59F-4E85-4353-92CC-F787E2F42B71}"/>
    <cellStyle name="Normal 11 12 5" xfId="28128" xr:uid="{6B176A0F-83F3-4751-B347-66E460F0A631}"/>
    <cellStyle name="Normal 11 13" xfId="3038" xr:uid="{A242E7A5-6680-4174-9975-3FF5B61C2D32}"/>
    <cellStyle name="Normal 11 13 2" xfId="6192" xr:uid="{C37EB44A-0EB9-4DE0-8491-F0A54973E132}"/>
    <cellStyle name="Normal 11 13 2 2" xfId="12485" xr:uid="{7051164E-C64E-4DA5-8F09-6B7BD8261986}"/>
    <cellStyle name="Normal 11 13 2 2 2" xfId="25167" xr:uid="{44474916-691F-4F4E-B7D9-C16AD6DF6201}"/>
    <cellStyle name="Normal 11 13 2 2 2 2" xfId="50659" xr:uid="{2DAB0B79-7918-4D64-BA4B-F4124B32448B}"/>
    <cellStyle name="Normal 11 13 2 2 3" xfId="38068" xr:uid="{93E4B1C4-8908-428A-AA75-A0E57FCF6B89}"/>
    <cellStyle name="Normal 11 13 2 3" xfId="18889" xr:uid="{CFF1A0A9-51CC-48A9-92A5-4CB3A5AA0EE6}"/>
    <cellStyle name="Normal 11 13 2 3 2" xfId="44381" xr:uid="{4E395D6C-EBD6-4146-ABE5-1615C379C2A2}"/>
    <cellStyle name="Normal 11 13 2 4" xfId="31790" xr:uid="{DEA172C8-A656-47B1-AB35-6453B4172B8B}"/>
    <cellStyle name="Normal 11 13 3" xfId="9346" xr:uid="{E5006C1D-8FC9-497E-84E6-F6FF67E6B61D}"/>
    <cellStyle name="Normal 11 13 3 2" xfId="22028" xr:uid="{4790DBA5-A3A3-4180-B815-0C181ABA10C2}"/>
    <cellStyle name="Normal 11 13 3 2 2" xfId="47520" xr:uid="{1C90E1C5-EC07-45BD-94F4-B86F81A4A557}"/>
    <cellStyle name="Normal 11 13 3 3" xfId="34929" xr:uid="{435FBAAE-65DD-48A5-822E-9E3F09E3D98F}"/>
    <cellStyle name="Normal 11 13 4" xfId="15750" xr:uid="{82D59081-E658-4C57-82CA-A75D83258E52}"/>
    <cellStyle name="Normal 11 13 4 2" xfId="41242" xr:uid="{F72E6D54-8E1B-4055-A4E4-115D304B6B4B}"/>
    <cellStyle name="Normal 11 13 5" xfId="28651" xr:uid="{D9BD1BA2-BB18-42FA-8A77-4D6F43C17522}"/>
    <cellStyle name="Normal 11 14" xfId="3577" xr:uid="{A13FEEEF-EBAC-4A31-ABAA-9D2EE8E6FF67}"/>
    <cellStyle name="Normal 11 14 2" xfId="9870" xr:uid="{2FE01598-3C1E-41A0-9E1C-E2F39588C1A5}"/>
    <cellStyle name="Normal 11 14 2 2" xfId="22552" xr:uid="{4D66AC91-4A19-4D3D-9BF0-115EB6B8C530}"/>
    <cellStyle name="Normal 11 14 2 2 2" xfId="48044" xr:uid="{D5D71F35-5603-4AE7-8F16-90E03FC958FB}"/>
    <cellStyle name="Normal 11 14 2 3" xfId="35453" xr:uid="{9ADB45A8-6CC3-4310-A9A7-1FD33ED1D3D5}"/>
    <cellStyle name="Normal 11 14 3" xfId="16274" xr:uid="{54BE36F2-7AE5-4BCD-B19B-B2E56537A74B}"/>
    <cellStyle name="Normal 11 14 3 2" xfId="41766" xr:uid="{31AE9E2A-8536-4191-9617-E0F26B30AC91}"/>
    <cellStyle name="Normal 11 14 4" xfId="29175" xr:uid="{D6A3EAEB-2796-4EC4-8B48-D059133F3135}"/>
    <cellStyle name="Normal 11 15" xfId="6731" xr:uid="{B2B927DE-F51A-42BF-917D-0B43BBF45C66}"/>
    <cellStyle name="Normal 11 15 2" xfId="19413" xr:uid="{6ECC21F9-EC28-475C-A8EA-0CD0CF01990A}"/>
    <cellStyle name="Normal 11 15 2 2" xfId="44905" xr:uid="{9F72E13B-4ECE-4FD3-8629-91AE714909A4}"/>
    <cellStyle name="Normal 11 15 3" xfId="32314" xr:uid="{23D63655-1871-4C7A-ADD0-0C41E6E4B83F}"/>
    <cellStyle name="Normal 11 16" xfId="13116" xr:uid="{94DF0681-492A-4B91-A09D-77330CC62E05}"/>
    <cellStyle name="Normal 11 16 2" xfId="38625" xr:uid="{0DF72EFB-46A5-4832-B043-F623037D1A31}"/>
    <cellStyle name="Normal 11 17" xfId="13075" xr:uid="{D414C946-DB0F-4866-A978-719089808EC0}"/>
    <cellStyle name="Normal 11 17 2" xfId="38604" xr:uid="{38976BB7-2D9A-42BF-A583-08FF2FD01457}"/>
    <cellStyle name="Normal 11 18" xfId="25985" xr:uid="{B8DBDD91-BFBD-48D9-87C2-3EAA2A4F5644}"/>
    <cellStyle name="Normal 11 19" xfId="26019" xr:uid="{CDE800F8-3B6B-4492-9E26-3A6D30C5A969}"/>
    <cellStyle name="Normal 11 2" xfId="402" xr:uid="{E7C4AE86-A738-44AF-9B22-178189C2DCED}"/>
    <cellStyle name="Normal 11 2 10" xfId="1217" xr:uid="{C606B660-0391-48A6-A7DF-3E2220365117}"/>
    <cellStyle name="Normal 11 2 10 2" xfId="4371" xr:uid="{AE26E283-BF48-4A25-A5AA-6AE164EF5068}"/>
    <cellStyle name="Normal 11 2 10 2 2" xfId="10664" xr:uid="{DC35E992-16A4-4560-BBB4-D1F82E10B661}"/>
    <cellStyle name="Normal 11 2 10 2 2 2" xfId="23346" xr:uid="{74BE8845-EDC0-42AB-A6EB-AAFC9385C3DE}"/>
    <cellStyle name="Normal 11 2 10 2 2 2 2" xfId="48838" xr:uid="{1AE6D42D-FD95-4DC4-9F93-D6979E26779E}"/>
    <cellStyle name="Normal 11 2 10 2 2 3" xfId="36247" xr:uid="{6A67FEE5-2CF5-4388-B803-B071DAE0CE73}"/>
    <cellStyle name="Normal 11 2 10 2 3" xfId="17068" xr:uid="{206C307C-FD01-41B5-919D-ECCE0ADDB388}"/>
    <cellStyle name="Normal 11 2 10 2 3 2" xfId="42560" xr:uid="{38D8574A-E141-4150-8AA8-D42D602F6875}"/>
    <cellStyle name="Normal 11 2 10 2 4" xfId="29969" xr:uid="{FB8BCCC7-78EC-47F5-ADF0-C353B61D7D81}"/>
    <cellStyle name="Normal 11 2 10 3" xfId="7525" xr:uid="{8F660E3E-0FDE-42B2-A8BD-A1D31D1D4777}"/>
    <cellStyle name="Normal 11 2 10 3 2" xfId="20207" xr:uid="{B7A0CC21-2EA0-472E-9F4E-2B8792B0B58F}"/>
    <cellStyle name="Normal 11 2 10 3 2 2" xfId="45699" xr:uid="{9D2049D3-1DD0-4527-A699-020C3D372050}"/>
    <cellStyle name="Normal 11 2 10 3 3" xfId="33108" xr:uid="{7592B4E7-B3A5-4EBB-BFE2-5BA96FDC08A7}"/>
    <cellStyle name="Normal 11 2 10 4" xfId="13929" xr:uid="{9C611621-A19F-4F8F-8534-564A5FD89952}"/>
    <cellStyle name="Normal 11 2 10 4 2" xfId="39421" xr:uid="{74F93328-F2BC-4012-934F-00E177484AF7}"/>
    <cellStyle name="Normal 11 2 10 5" xfId="26830" xr:uid="{6F6183CF-A4AE-45A4-BA7B-CEB67337A893}"/>
    <cellStyle name="Normal 11 2 11" xfId="2524" xr:uid="{7D90B0A2-B40E-4A0B-BA85-FA81C129F44D}"/>
    <cellStyle name="Normal 11 2 11 2" xfId="5678" xr:uid="{04A809E2-6CA3-40D9-809C-1544792DC18B}"/>
    <cellStyle name="Normal 11 2 11 2 2" xfId="11971" xr:uid="{B14A6A38-2D89-49C5-B2F0-94CC2B5FE0B9}"/>
    <cellStyle name="Normal 11 2 11 2 2 2" xfId="24653" xr:uid="{8BB7FA33-5089-4BF2-97D3-76C7C61F1323}"/>
    <cellStyle name="Normal 11 2 11 2 2 2 2" xfId="50145" xr:uid="{A881B09E-E7D8-4851-A77F-231E05736570}"/>
    <cellStyle name="Normal 11 2 11 2 2 3" xfId="37554" xr:uid="{3AAB4648-C41A-4BAB-BE7A-6795ED5FB7CF}"/>
    <cellStyle name="Normal 11 2 11 2 3" xfId="18375" xr:uid="{6F3F1F54-3FB1-4AAF-8C55-BA7598A8A350}"/>
    <cellStyle name="Normal 11 2 11 2 3 2" xfId="43867" xr:uid="{A31A4142-8A9D-4423-82B1-87E7842943C2}"/>
    <cellStyle name="Normal 11 2 11 2 4" xfId="31276" xr:uid="{507BB6D4-F919-4DF5-BEB0-B1002DF2FCD6}"/>
    <cellStyle name="Normal 11 2 11 3" xfId="8832" xr:uid="{7A56EC04-9A79-476C-A87B-AD94EBF02BDB}"/>
    <cellStyle name="Normal 11 2 11 3 2" xfId="21514" xr:uid="{D24F15BC-5BE7-423C-A72B-3B404422B557}"/>
    <cellStyle name="Normal 11 2 11 3 2 2" xfId="47006" xr:uid="{A1454575-4D9D-41FA-BC37-D1F41389DB7F}"/>
    <cellStyle name="Normal 11 2 11 3 3" xfId="34415" xr:uid="{D0FDDE4B-C3DD-4ACB-83CC-9FA72F777173}"/>
    <cellStyle name="Normal 11 2 11 4" xfId="15236" xr:uid="{1A59FFA3-2310-4EA7-8877-787B89E1A3A3}"/>
    <cellStyle name="Normal 11 2 11 4 2" xfId="40728" xr:uid="{B045AA5F-AE52-4C9D-A455-E1AEAFB43D87}"/>
    <cellStyle name="Normal 11 2 11 5" xfId="28137" xr:uid="{3F906CC4-ABCF-4B10-80AB-F701EC122FE5}"/>
    <cellStyle name="Normal 11 2 12" xfId="3047" xr:uid="{CC64706D-9BF8-4B9B-8E8F-04A2642F3BE9}"/>
    <cellStyle name="Normal 11 2 12 2" xfId="6201" xr:uid="{8B31902A-162B-4E58-90BB-8B3F8966279D}"/>
    <cellStyle name="Normal 11 2 12 2 2" xfId="12494" xr:uid="{549B2765-02E6-4107-AD3E-6FA6B39CC7B6}"/>
    <cellStyle name="Normal 11 2 12 2 2 2" xfId="25176" xr:uid="{82549A8B-1F9E-43E1-81D5-D66FCD4F46E3}"/>
    <cellStyle name="Normal 11 2 12 2 2 2 2" xfId="50668" xr:uid="{DCDF121E-5467-4126-9941-7CA1DD014022}"/>
    <cellStyle name="Normal 11 2 12 2 2 3" xfId="38077" xr:uid="{5B340B77-E191-4F2C-8114-C46FDFE6EF94}"/>
    <cellStyle name="Normal 11 2 12 2 3" xfId="18898" xr:uid="{65E9BDD8-DD2E-4F71-8F2C-D8C8EA4AFA61}"/>
    <cellStyle name="Normal 11 2 12 2 3 2" xfId="44390" xr:uid="{1974C0B3-3896-45B7-8A68-4391A5CBD8F2}"/>
    <cellStyle name="Normal 11 2 12 2 4" xfId="31799" xr:uid="{A9FE3EC3-E343-411B-82C9-F50F045658C5}"/>
    <cellStyle name="Normal 11 2 12 3" xfId="9355" xr:uid="{90DD99B4-01DA-422A-8972-0834E141E35D}"/>
    <cellStyle name="Normal 11 2 12 3 2" xfId="22037" xr:uid="{B57A1087-DEAE-42EF-80B9-1F88E1A50C76}"/>
    <cellStyle name="Normal 11 2 12 3 2 2" xfId="47529" xr:uid="{34B55550-A75C-438C-8C14-E1C5EEE0CDEB}"/>
    <cellStyle name="Normal 11 2 12 3 3" xfId="34938" xr:uid="{4ED3D1B3-2336-46CB-A898-0D8016A18617}"/>
    <cellStyle name="Normal 11 2 12 4" xfId="15759" xr:uid="{FF7E8AE9-76D0-4F04-A3BC-7B679CAFE632}"/>
    <cellStyle name="Normal 11 2 12 4 2" xfId="41251" xr:uid="{C4848A7F-BC5A-4AAA-8235-B908976F9F53}"/>
    <cellStyle name="Normal 11 2 12 5" xfId="28660" xr:uid="{58485340-29DA-48F1-AEB5-52EF144020F2}"/>
    <cellStyle name="Normal 11 2 13" xfId="3586" xr:uid="{65A9ACBF-D2D1-4C56-AA91-19393EAECB01}"/>
    <cellStyle name="Normal 11 2 13 2" xfId="9879" xr:uid="{85C91C94-4D0F-48A8-BB96-618D5FCFD7E4}"/>
    <cellStyle name="Normal 11 2 13 2 2" xfId="22561" xr:uid="{3A24CD92-445B-430D-B99B-75A53642E59F}"/>
    <cellStyle name="Normal 11 2 13 2 2 2" xfId="48053" xr:uid="{BEF14446-7CAF-4DB9-BA19-5C76892B9EB2}"/>
    <cellStyle name="Normal 11 2 13 2 3" xfId="35462" xr:uid="{339892BB-53C7-447F-A59B-548A1696D065}"/>
    <cellStyle name="Normal 11 2 13 3" xfId="16283" xr:uid="{E20CBFBC-70C2-4637-B6E0-07C2D6273712}"/>
    <cellStyle name="Normal 11 2 13 3 2" xfId="41775" xr:uid="{02C4040E-B461-4937-9334-AB81DD04D5D2}"/>
    <cellStyle name="Normal 11 2 13 4" xfId="29184" xr:uid="{367D6429-B25C-49D8-8EE5-3E5334FC7362}"/>
    <cellStyle name="Normal 11 2 14" xfId="6740" xr:uid="{A912D202-1616-446A-82F9-3A9F32103AAB}"/>
    <cellStyle name="Normal 11 2 14 2" xfId="19422" xr:uid="{45FBCAB6-10E7-4E1D-98AF-A237165F57EF}"/>
    <cellStyle name="Normal 11 2 14 2 2" xfId="44914" xr:uid="{1DA53734-A306-417D-9AAC-3A57704FD973}"/>
    <cellStyle name="Normal 11 2 14 3" xfId="32323" xr:uid="{92F7F473-32A8-40C7-8C39-86734A065710}"/>
    <cellStyle name="Normal 11 2 15" xfId="13142" xr:uid="{1F0EF999-ADF2-42D1-9390-48F1F86FB85F}"/>
    <cellStyle name="Normal 11 2 15 2" xfId="38635" xr:uid="{11BE5A20-6157-4CB6-95BF-6704AB1A9458}"/>
    <cellStyle name="Normal 11 2 16" xfId="26044" xr:uid="{192A9730-6B6E-4EC2-953D-D180259D1957}"/>
    <cellStyle name="Normal 11 2 2" xfId="437" xr:uid="{D532599C-95AC-4862-91B3-3F67B17FDA92}"/>
    <cellStyle name="Normal 11 2 2 10" xfId="3067" xr:uid="{E9017CE8-DDAD-449A-ADCE-32EF24380606}"/>
    <cellStyle name="Normal 11 2 2 10 2" xfId="6221" xr:uid="{9F528F67-B906-4802-81B8-4CB7BCF9405D}"/>
    <cellStyle name="Normal 11 2 2 10 2 2" xfId="12514" xr:uid="{1FFCA25E-7686-477B-8316-510CEC5000D9}"/>
    <cellStyle name="Normal 11 2 2 10 2 2 2" xfId="25196" xr:uid="{18124337-CCF3-4181-B81C-114417F28262}"/>
    <cellStyle name="Normal 11 2 2 10 2 2 2 2" xfId="50688" xr:uid="{EE5444AE-6D44-4F7B-A4AE-15E7AB2005E1}"/>
    <cellStyle name="Normal 11 2 2 10 2 2 3" xfId="38097" xr:uid="{439B1177-D889-4211-B1DC-E0C254801424}"/>
    <cellStyle name="Normal 11 2 2 10 2 3" xfId="18918" xr:uid="{42865F54-54F0-44C2-9091-07AC3040B201}"/>
    <cellStyle name="Normal 11 2 2 10 2 3 2" xfId="44410" xr:uid="{9DA1EB11-80B6-454F-B661-39C0D527220A}"/>
    <cellStyle name="Normal 11 2 2 10 2 4" xfId="31819" xr:uid="{9051122B-5DA3-43FC-B8D9-BED38817A1AA}"/>
    <cellStyle name="Normal 11 2 2 10 3" xfId="9375" xr:uid="{E4008ACC-4FEA-45E0-86E5-3D095A9B3AC0}"/>
    <cellStyle name="Normal 11 2 2 10 3 2" xfId="22057" xr:uid="{3D3D35CD-BA47-4FA8-9B79-61E30B8112D8}"/>
    <cellStyle name="Normal 11 2 2 10 3 2 2" xfId="47549" xr:uid="{F8721F2F-ABA0-4AB4-AE4D-646ADACFFB18}"/>
    <cellStyle name="Normal 11 2 2 10 3 3" xfId="34958" xr:uid="{96393415-2924-4902-B318-EBB14647C67A}"/>
    <cellStyle name="Normal 11 2 2 10 4" xfId="15779" xr:uid="{CB8D747A-EBBB-412D-B97F-E30EF29CA46E}"/>
    <cellStyle name="Normal 11 2 2 10 4 2" xfId="41271" xr:uid="{8E5C166B-2F1A-49D9-94A9-EE505BA158D4}"/>
    <cellStyle name="Normal 11 2 2 10 5" xfId="28680" xr:uid="{9F4186F7-E813-4F9E-AD2C-D0BA02F068CE}"/>
    <cellStyle name="Normal 11 2 2 11" xfId="3606" xr:uid="{3E4ADB34-3E6B-4CDA-BEA5-E7F8D53A348E}"/>
    <cellStyle name="Normal 11 2 2 11 2" xfId="9899" xr:uid="{FA5AF533-2F41-4A7B-B94A-499ED61E578D}"/>
    <cellStyle name="Normal 11 2 2 11 2 2" xfId="22581" xr:uid="{499878CE-8343-48FF-82D8-CB41E8142ECD}"/>
    <cellStyle name="Normal 11 2 2 11 2 2 2" xfId="48073" xr:uid="{5771B722-76C7-45B4-BDC3-CFF5555D881E}"/>
    <cellStyle name="Normal 11 2 2 11 2 3" xfId="35482" xr:uid="{BAC6987C-AF8C-4C6F-B106-D48D50384AE0}"/>
    <cellStyle name="Normal 11 2 2 11 3" xfId="16303" xr:uid="{C4D57F04-609C-4290-98CC-B7EB84497223}"/>
    <cellStyle name="Normal 11 2 2 11 3 2" xfId="41795" xr:uid="{E3B11C14-C627-4848-99FE-E844B000B611}"/>
    <cellStyle name="Normal 11 2 2 11 4" xfId="29204" xr:uid="{5D814E4D-FD61-4E5B-BED9-614363F4C098}"/>
    <cellStyle name="Normal 11 2 2 12" xfId="6760" xr:uid="{FBB32C0D-3702-4426-8B1E-432CAE82A61A}"/>
    <cellStyle name="Normal 11 2 2 12 2" xfId="19442" xr:uid="{4AA592DC-32EB-43A7-93D3-73ED7DCE448F}"/>
    <cellStyle name="Normal 11 2 2 12 2 2" xfId="44934" xr:uid="{65D76431-9DAC-4D89-8149-9619F6C25F97}"/>
    <cellStyle name="Normal 11 2 2 12 3" xfId="32343" xr:uid="{869B2A78-59A3-4A4F-B4D3-3C467BF83E48}"/>
    <cellStyle name="Normal 11 2 2 13" xfId="13164" xr:uid="{C90EAE42-4D30-4ADB-8B76-193ADC590F95}"/>
    <cellStyle name="Normal 11 2 2 13 2" xfId="38656" xr:uid="{A26D5F4B-0307-4743-A318-FD5B8A095446}"/>
    <cellStyle name="Normal 11 2 2 14" xfId="26065" xr:uid="{E6102F9A-A0FF-493C-A014-7E2D6534D3AA}"/>
    <cellStyle name="Normal 11 2 2 2" xfId="498" xr:uid="{1B01D421-5CEC-43DB-B90E-D3515F013A1A}"/>
    <cellStyle name="Normal 11 2 2 2 10" xfId="6821" xr:uid="{3C1DCEA9-8964-4351-B07F-46A3174BE354}"/>
    <cellStyle name="Normal 11 2 2 2 10 2" xfId="19503" xr:uid="{98E0BFB3-753E-4602-B420-3DCBF5A7C516}"/>
    <cellStyle name="Normal 11 2 2 2 10 2 2" xfId="44995" xr:uid="{4270D940-30F4-4200-A830-A67A3ECA50B5}"/>
    <cellStyle name="Normal 11 2 2 2 10 3" xfId="32404" xr:uid="{62241D04-193B-4C40-B0B4-BA5750D40F05}"/>
    <cellStyle name="Normal 11 2 2 2 11" xfId="13225" xr:uid="{6A96AFF4-781D-488E-80E0-E2DC8A639A15}"/>
    <cellStyle name="Normal 11 2 2 2 11 2" xfId="38717" xr:uid="{40116499-45EA-46E5-9163-C83341C57A0C}"/>
    <cellStyle name="Normal 11 2 2 2 12" xfId="26126" xr:uid="{9D920FD6-7734-42E7-B563-8A5092FA3442}"/>
    <cellStyle name="Normal 11 2 2 2 2" xfId="657" xr:uid="{E2F99A31-962E-4BAF-BF88-559B9413B5BD}"/>
    <cellStyle name="Normal 11 2 2 2 2 10" xfId="13384" xr:uid="{6B0A8B7E-2B97-4CE6-AF61-BDAF3E2B02DD}"/>
    <cellStyle name="Normal 11 2 2 2 2 10 2" xfId="38876" xr:uid="{A4CBFBFC-61A5-4FF5-9D9C-732EB7D848ED}"/>
    <cellStyle name="Normal 11 2 2 2 2 11" xfId="26285" xr:uid="{1B6C11DA-2B3A-4559-8022-CDFCFC7D56CA}"/>
    <cellStyle name="Normal 11 2 2 2 2 2" xfId="1194" xr:uid="{A84821E5-85A5-4709-AD3D-D533A28F0BEC}"/>
    <cellStyle name="Normal 11 2 2 2 2 2 2" xfId="2501" xr:uid="{2198E99C-4380-4F97-BB95-512DBC418B5D}"/>
    <cellStyle name="Normal 11 2 2 2 2 2 2 2" xfId="5655" xr:uid="{476BE57F-0005-41D2-BA88-F5406BFD7886}"/>
    <cellStyle name="Normal 11 2 2 2 2 2 2 2 2" xfId="11948" xr:uid="{BB8DDC20-A3D2-428A-A045-28B5E7E8A9E6}"/>
    <cellStyle name="Normal 11 2 2 2 2 2 2 2 2 2" xfId="24630" xr:uid="{152EBF7D-2B61-4886-9953-098CC5F48FF1}"/>
    <cellStyle name="Normal 11 2 2 2 2 2 2 2 2 2 2" xfId="50122" xr:uid="{659D4E8C-B39C-4BB3-A5CF-649AF7A1AC38}"/>
    <cellStyle name="Normal 11 2 2 2 2 2 2 2 2 3" xfId="37531" xr:uid="{47D698D5-1CF3-47B0-A373-BD7C27A09AA4}"/>
    <cellStyle name="Normal 11 2 2 2 2 2 2 2 3" xfId="18352" xr:uid="{B7C01A94-08C6-4B3B-B3E1-6ABC5EA573FF}"/>
    <cellStyle name="Normal 11 2 2 2 2 2 2 2 3 2" xfId="43844" xr:uid="{9C83C00C-EE7E-400D-A863-2A8C9DDC73CC}"/>
    <cellStyle name="Normal 11 2 2 2 2 2 2 2 4" xfId="31253" xr:uid="{7883F816-530B-44A1-B859-C2581815FB2B}"/>
    <cellStyle name="Normal 11 2 2 2 2 2 2 3" xfId="8809" xr:uid="{CED6DF06-3213-4AF0-AA88-AFE0E875D39B}"/>
    <cellStyle name="Normal 11 2 2 2 2 2 2 3 2" xfId="21491" xr:uid="{458E2640-5154-414C-AAF3-535D1620E07B}"/>
    <cellStyle name="Normal 11 2 2 2 2 2 2 3 2 2" xfId="46983" xr:uid="{37997DC1-4E05-46BA-8E56-E240C6FB1128}"/>
    <cellStyle name="Normal 11 2 2 2 2 2 2 3 3" xfId="34392" xr:uid="{3FD0F172-154D-4D30-BF9B-9F4E7F14072E}"/>
    <cellStyle name="Normal 11 2 2 2 2 2 2 4" xfId="15213" xr:uid="{8DEBB82B-5676-401C-AD4A-F0E9B90BEA4E}"/>
    <cellStyle name="Normal 11 2 2 2 2 2 2 4 2" xfId="40705" xr:uid="{E2F4B7E6-1220-4CB6-B65E-E7AF60937B5C}"/>
    <cellStyle name="Normal 11 2 2 2 2 2 2 5" xfId="28114" xr:uid="{A1257194-200F-4C5D-817F-927A66A75F02}"/>
    <cellStyle name="Normal 11 2 2 2 2 2 3" xfId="1718" xr:uid="{8E94AD12-38F6-46C5-A11C-3B94A67EC375}"/>
    <cellStyle name="Normal 11 2 2 2 2 2 3 2" xfId="4872" xr:uid="{5853E99C-1E69-4D1A-A500-AD32B8B40853}"/>
    <cellStyle name="Normal 11 2 2 2 2 2 3 2 2" xfId="11165" xr:uid="{0A39DFC4-CD3B-450D-822C-15A754306C56}"/>
    <cellStyle name="Normal 11 2 2 2 2 2 3 2 2 2" xfId="23847" xr:uid="{3EFC3669-EAE8-4F9F-85FD-1904C955461E}"/>
    <cellStyle name="Normal 11 2 2 2 2 2 3 2 2 2 2" xfId="49339" xr:uid="{847FB43F-8553-422C-B72D-5A3B1FCC76FC}"/>
    <cellStyle name="Normal 11 2 2 2 2 2 3 2 2 3" xfId="36748" xr:uid="{ADFB23C7-4505-4EEE-B950-91D4C4BE34EC}"/>
    <cellStyle name="Normal 11 2 2 2 2 2 3 2 3" xfId="17569" xr:uid="{8B62D900-255D-47B7-A140-5F1A8C6A54DF}"/>
    <cellStyle name="Normal 11 2 2 2 2 2 3 2 3 2" xfId="43061" xr:uid="{ED0C936B-62C2-4715-88DB-17399ECF06CC}"/>
    <cellStyle name="Normal 11 2 2 2 2 2 3 2 4" xfId="30470" xr:uid="{25D3446E-553A-4B12-9653-5117CA993292}"/>
    <cellStyle name="Normal 11 2 2 2 2 2 3 3" xfId="8026" xr:uid="{73ED778D-262F-49A9-8D6B-9A984A766D85}"/>
    <cellStyle name="Normal 11 2 2 2 2 2 3 3 2" xfId="20708" xr:uid="{9AC2C064-0F95-47DF-9A12-351FCC59339B}"/>
    <cellStyle name="Normal 11 2 2 2 2 2 3 3 2 2" xfId="46200" xr:uid="{D334248A-5ACE-4994-8995-978A2424EAD7}"/>
    <cellStyle name="Normal 11 2 2 2 2 2 3 3 3" xfId="33609" xr:uid="{3D77EEB1-B27B-4C45-B4DF-F8C319628864}"/>
    <cellStyle name="Normal 11 2 2 2 2 2 3 4" xfId="14430" xr:uid="{B80F631F-CF65-43C7-A684-2F0835B6F1E1}"/>
    <cellStyle name="Normal 11 2 2 2 2 2 3 4 2" xfId="39922" xr:uid="{3D1E26F7-4632-4DE0-AAE6-2555E1EA4112}"/>
    <cellStyle name="Normal 11 2 2 2 2 2 3 5" xfId="27331" xr:uid="{5E9A56E5-8565-4D9F-88A2-4B563A510A71}"/>
    <cellStyle name="Normal 11 2 2 2 2 2 4" xfId="3025" xr:uid="{984C487D-99DB-4C33-AC7D-34BCC7B04790}"/>
    <cellStyle name="Normal 11 2 2 2 2 2 4 2" xfId="6179" xr:uid="{B01A8109-59C7-462C-9B2A-7EFE5DC04ED2}"/>
    <cellStyle name="Normal 11 2 2 2 2 2 4 2 2" xfId="12472" xr:uid="{3A6A2748-4E88-402F-98C5-CA66838B3CD4}"/>
    <cellStyle name="Normal 11 2 2 2 2 2 4 2 2 2" xfId="25154" xr:uid="{BC2E1D55-B284-4D7B-A011-1B5BD2A2B32B}"/>
    <cellStyle name="Normal 11 2 2 2 2 2 4 2 2 2 2" xfId="50646" xr:uid="{68BDB9B2-AA5A-475B-A7B2-40B76E8B4661}"/>
    <cellStyle name="Normal 11 2 2 2 2 2 4 2 2 3" xfId="38055" xr:uid="{7730E87E-D03D-4C94-9ADA-8F2F554B2795}"/>
    <cellStyle name="Normal 11 2 2 2 2 2 4 2 3" xfId="18876" xr:uid="{9FAEE65C-D7EA-4BA9-AF5D-7CF74CFD8208}"/>
    <cellStyle name="Normal 11 2 2 2 2 2 4 2 3 2" xfId="44368" xr:uid="{5BD02F42-E603-4EE9-8460-9CF2734045FA}"/>
    <cellStyle name="Normal 11 2 2 2 2 2 4 2 4" xfId="31777" xr:uid="{F548D36B-CCE5-47C2-9BDE-BDC0FB58FA3C}"/>
    <cellStyle name="Normal 11 2 2 2 2 2 4 3" xfId="9333" xr:uid="{C118ED81-4226-4B7A-97E7-8ABA51E3E3D3}"/>
    <cellStyle name="Normal 11 2 2 2 2 2 4 3 2" xfId="22015" xr:uid="{BCC35F40-E776-4A1C-B40B-53FDCD7ED2A1}"/>
    <cellStyle name="Normal 11 2 2 2 2 2 4 3 2 2" xfId="47507" xr:uid="{D5EC374C-130B-43A1-A991-7342C3888033}"/>
    <cellStyle name="Normal 11 2 2 2 2 2 4 3 3" xfId="34916" xr:uid="{B5327275-8E28-478A-92C6-0F03D6864F2D}"/>
    <cellStyle name="Normal 11 2 2 2 2 2 4 4" xfId="15737" xr:uid="{2F744179-BD22-4318-864B-59C3B43FB53C}"/>
    <cellStyle name="Normal 11 2 2 2 2 2 4 4 2" xfId="41229" xr:uid="{8800E7D4-6E0B-4DF2-9960-7E9B20339D60}"/>
    <cellStyle name="Normal 11 2 2 2 2 2 4 5" xfId="28638" xr:uid="{C8B9F4E8-6040-4214-AA3D-220E3CC457E0}"/>
    <cellStyle name="Normal 11 2 2 2 2 2 5" xfId="3548" xr:uid="{02E447CA-C32B-40F4-822A-ACE8C9D17A3E}"/>
    <cellStyle name="Normal 11 2 2 2 2 2 5 2" xfId="6702" xr:uid="{BC811C66-0309-4333-A01F-BD3EC3535B85}"/>
    <cellStyle name="Normal 11 2 2 2 2 2 5 2 2" xfId="12995" xr:uid="{7A61081A-C2F3-4C65-9462-B4E210153CF7}"/>
    <cellStyle name="Normal 11 2 2 2 2 2 5 2 2 2" xfId="25677" xr:uid="{DB939275-C780-44CD-AC47-5BA5F5F3B46B}"/>
    <cellStyle name="Normal 11 2 2 2 2 2 5 2 2 2 2" xfId="51169" xr:uid="{1BD5AB56-B163-4B1D-9118-E735B8933ED0}"/>
    <cellStyle name="Normal 11 2 2 2 2 2 5 2 2 3" xfId="38578" xr:uid="{060C3CC8-8F6A-4D65-A954-D3FAB0DDF0A5}"/>
    <cellStyle name="Normal 11 2 2 2 2 2 5 2 3" xfId="19399" xr:uid="{0C00CA16-7D19-4196-ADC5-086FCD359C16}"/>
    <cellStyle name="Normal 11 2 2 2 2 2 5 2 3 2" xfId="44891" xr:uid="{5A60D9AC-E5D2-41DC-9CFB-D40DC06E0F31}"/>
    <cellStyle name="Normal 11 2 2 2 2 2 5 2 4" xfId="32300" xr:uid="{6C368E91-D267-416C-955A-BA7D659B950D}"/>
    <cellStyle name="Normal 11 2 2 2 2 2 5 3" xfId="9856" xr:uid="{65FF2128-FB96-4938-B233-FF1E2CD5C6FE}"/>
    <cellStyle name="Normal 11 2 2 2 2 2 5 3 2" xfId="22538" xr:uid="{3E27D78B-099A-4B4A-9A25-B6C57F02386F}"/>
    <cellStyle name="Normal 11 2 2 2 2 2 5 3 2 2" xfId="48030" xr:uid="{FA902814-6475-46B0-A6E0-5FCE0E97BDCA}"/>
    <cellStyle name="Normal 11 2 2 2 2 2 5 3 3" xfId="35439" xr:uid="{3F5E1623-83ED-4C00-9B50-F9B685E6453C}"/>
    <cellStyle name="Normal 11 2 2 2 2 2 5 4" xfId="16260" xr:uid="{B7FA0DBF-9809-4048-BC01-AEE2A75F95AC}"/>
    <cellStyle name="Normal 11 2 2 2 2 2 5 4 2" xfId="41752" xr:uid="{8A0DA5DD-3F36-43C9-B290-6A37A4354E35}"/>
    <cellStyle name="Normal 11 2 2 2 2 2 5 5" xfId="29161" xr:uid="{F80E3324-0504-488D-9067-C9EAFBC0F64F}"/>
    <cellStyle name="Normal 11 2 2 2 2 2 6" xfId="4348" xr:uid="{40FA65B8-78E6-44B9-AD63-BBDF6698DB97}"/>
    <cellStyle name="Normal 11 2 2 2 2 2 6 2" xfId="10641" xr:uid="{075EF374-CF5C-4C1C-96BA-D5A94E9135B6}"/>
    <cellStyle name="Normal 11 2 2 2 2 2 6 2 2" xfId="23323" xr:uid="{DF634EBC-9247-4555-9DF7-9E1F3E4EFF4B}"/>
    <cellStyle name="Normal 11 2 2 2 2 2 6 2 2 2" xfId="48815" xr:uid="{F6F5A4B8-8237-4321-8E1E-E149337C860E}"/>
    <cellStyle name="Normal 11 2 2 2 2 2 6 2 3" xfId="36224" xr:uid="{7A6452AE-118E-4B0D-8459-71EE4044F6B3}"/>
    <cellStyle name="Normal 11 2 2 2 2 2 6 3" xfId="17045" xr:uid="{041C0D28-05FC-4F71-B884-BB63A69FA3FE}"/>
    <cellStyle name="Normal 11 2 2 2 2 2 6 3 2" xfId="42537" xr:uid="{63A6FB50-C745-47BE-9E9B-6E708D69018A}"/>
    <cellStyle name="Normal 11 2 2 2 2 2 6 4" xfId="29946" xr:uid="{3937C1FB-E12A-4478-B314-15E6708E1F9F}"/>
    <cellStyle name="Normal 11 2 2 2 2 2 7" xfId="7502" xr:uid="{73A9FE30-76D9-4FA2-BD84-20657ED6EB2E}"/>
    <cellStyle name="Normal 11 2 2 2 2 2 7 2" xfId="20184" xr:uid="{C1288A39-5B1B-4A00-BD61-C4753EF2E718}"/>
    <cellStyle name="Normal 11 2 2 2 2 2 7 2 2" xfId="45676" xr:uid="{F10FF347-519D-455A-85C4-A63073B075C6}"/>
    <cellStyle name="Normal 11 2 2 2 2 2 7 3" xfId="33085" xr:uid="{25B3D329-6EB3-44A6-8272-AA0A68B8650F}"/>
    <cellStyle name="Normal 11 2 2 2 2 2 8" xfId="13906" xr:uid="{C503FEA0-07C5-425B-81A3-3626461AE04A}"/>
    <cellStyle name="Normal 11 2 2 2 2 2 8 2" xfId="39398" xr:uid="{C8C41A16-7772-4154-BEA3-875003357924}"/>
    <cellStyle name="Normal 11 2 2 2 2 2 9" xfId="26807" xr:uid="{69609E1D-A9CA-4488-8CDC-A27FC183438C}"/>
    <cellStyle name="Normal 11 2 2 2 2 3" xfId="934" xr:uid="{9264E692-716E-464B-A7EE-0F3245C10AC9}"/>
    <cellStyle name="Normal 11 2 2 2 2 3 2" xfId="2241" xr:uid="{3ECA6194-A44C-48C8-8783-43012ED1FB0A}"/>
    <cellStyle name="Normal 11 2 2 2 2 3 2 2" xfId="5395" xr:uid="{FDC59D27-6693-4B93-AC85-E629D2F4C5BA}"/>
    <cellStyle name="Normal 11 2 2 2 2 3 2 2 2" xfId="11688" xr:uid="{A2C4268B-C4AA-4363-B48B-3C0E4957D539}"/>
    <cellStyle name="Normal 11 2 2 2 2 3 2 2 2 2" xfId="24370" xr:uid="{A8F2AEE6-99E2-479D-A82F-D19A896D1249}"/>
    <cellStyle name="Normal 11 2 2 2 2 3 2 2 2 2 2" xfId="49862" xr:uid="{7A6FD071-332A-4A37-9B74-720DC6D05696}"/>
    <cellStyle name="Normal 11 2 2 2 2 3 2 2 2 3" xfId="37271" xr:uid="{4D581975-F0CC-4939-A409-02DBB1F5DD4B}"/>
    <cellStyle name="Normal 11 2 2 2 2 3 2 2 3" xfId="18092" xr:uid="{F2052327-0790-4F17-8698-96A368FA6049}"/>
    <cellStyle name="Normal 11 2 2 2 2 3 2 2 3 2" xfId="43584" xr:uid="{6AB0441E-73E5-4212-837C-D06E2A1933F6}"/>
    <cellStyle name="Normal 11 2 2 2 2 3 2 2 4" xfId="30993" xr:uid="{3E9808F4-9B17-48E4-92BA-8CC4FB702187}"/>
    <cellStyle name="Normal 11 2 2 2 2 3 2 3" xfId="8549" xr:uid="{5248080E-FCBC-43A0-B6F3-A82F17C6712D}"/>
    <cellStyle name="Normal 11 2 2 2 2 3 2 3 2" xfId="21231" xr:uid="{FBA085CD-3AD9-47E4-9885-5473C34AE43F}"/>
    <cellStyle name="Normal 11 2 2 2 2 3 2 3 2 2" xfId="46723" xr:uid="{A85AEB8E-4D99-4B91-8F78-AE4B5E1E255F}"/>
    <cellStyle name="Normal 11 2 2 2 2 3 2 3 3" xfId="34132" xr:uid="{B8901EB2-C472-41B9-B0B4-E9E99A651486}"/>
    <cellStyle name="Normal 11 2 2 2 2 3 2 4" xfId="14953" xr:uid="{8C1CE816-EEB0-4120-B402-4761CAC1A16C}"/>
    <cellStyle name="Normal 11 2 2 2 2 3 2 4 2" xfId="40445" xr:uid="{BA4D4193-287C-499F-A4A9-5F046347904D}"/>
    <cellStyle name="Normal 11 2 2 2 2 3 2 5" xfId="27854" xr:uid="{8EC8086C-268D-4077-8DA3-7146824F95E0}"/>
    <cellStyle name="Normal 11 2 2 2 2 3 3" xfId="4088" xr:uid="{1133C9C8-8498-46FF-B5A2-F1C6146F2906}"/>
    <cellStyle name="Normal 11 2 2 2 2 3 3 2" xfId="10381" xr:uid="{7D722F9C-87A4-40C0-9F4E-66EA2700E34D}"/>
    <cellStyle name="Normal 11 2 2 2 2 3 3 2 2" xfId="23063" xr:uid="{FB48B57C-30BF-4383-AA1D-65311F1CCF52}"/>
    <cellStyle name="Normal 11 2 2 2 2 3 3 2 2 2" xfId="48555" xr:uid="{A35074CE-8127-4762-B683-C8547F8370BA}"/>
    <cellStyle name="Normal 11 2 2 2 2 3 3 2 3" xfId="35964" xr:uid="{A40219AA-9F08-4D75-8865-E1FBFB025652}"/>
    <cellStyle name="Normal 11 2 2 2 2 3 3 3" xfId="16785" xr:uid="{AECA779D-E9B6-43CF-9A11-EA4116DFC28A}"/>
    <cellStyle name="Normal 11 2 2 2 2 3 3 3 2" xfId="42277" xr:uid="{8EC657FE-2E3B-4DB1-AF14-A0EFD4234FAB}"/>
    <cellStyle name="Normal 11 2 2 2 2 3 3 4" xfId="29686" xr:uid="{6238458C-4DDA-4E3C-942C-676188E14C46}"/>
    <cellStyle name="Normal 11 2 2 2 2 3 4" xfId="7242" xr:uid="{DF14F718-AAF2-495E-B2F2-01A774D5E535}"/>
    <cellStyle name="Normal 11 2 2 2 2 3 4 2" xfId="19924" xr:uid="{247049F2-2AD4-4215-BF20-1B4ACF3255F2}"/>
    <cellStyle name="Normal 11 2 2 2 2 3 4 2 2" xfId="45416" xr:uid="{C094CCD2-C997-4AC9-A344-22089AD23E11}"/>
    <cellStyle name="Normal 11 2 2 2 2 3 4 3" xfId="32825" xr:uid="{99987E88-22EB-40B7-AB83-DF8A4DE4BE47}"/>
    <cellStyle name="Normal 11 2 2 2 2 3 5" xfId="13646" xr:uid="{97D8518E-74F5-4BEB-844F-F0DA7F860B47}"/>
    <cellStyle name="Normal 11 2 2 2 2 3 5 2" xfId="39138" xr:uid="{BC3BB4C7-3E96-4742-9375-9F10E56B5450}"/>
    <cellStyle name="Normal 11 2 2 2 2 3 6" xfId="26547" xr:uid="{2BFC499F-7800-4BCF-A8A9-6791E02C38FF}"/>
    <cellStyle name="Normal 11 2 2 2 2 4" xfId="1979" xr:uid="{1953FB12-228A-4B00-9A8A-8F97DD51D1F9}"/>
    <cellStyle name="Normal 11 2 2 2 2 4 2" xfId="5133" xr:uid="{5F17C9C2-E252-493E-AF0C-BA9E7EBB8F2C}"/>
    <cellStyle name="Normal 11 2 2 2 2 4 2 2" xfId="11426" xr:uid="{01B8EA93-5497-49AA-81D6-1A948D085580}"/>
    <cellStyle name="Normal 11 2 2 2 2 4 2 2 2" xfId="24108" xr:uid="{4E095C6C-3894-472B-B904-9AE414D97232}"/>
    <cellStyle name="Normal 11 2 2 2 2 4 2 2 2 2" xfId="49600" xr:uid="{2572B4A1-5A47-4FE0-BD94-96EFD27C1719}"/>
    <cellStyle name="Normal 11 2 2 2 2 4 2 2 3" xfId="37009" xr:uid="{EB8BF91A-3774-4B65-9A90-8C0A772E11EF}"/>
    <cellStyle name="Normal 11 2 2 2 2 4 2 3" xfId="17830" xr:uid="{25608846-6F2B-4894-96DB-E77ECF8B4861}"/>
    <cellStyle name="Normal 11 2 2 2 2 4 2 3 2" xfId="43322" xr:uid="{4EC11F26-4692-408D-BDFB-232BEB916DED}"/>
    <cellStyle name="Normal 11 2 2 2 2 4 2 4" xfId="30731" xr:uid="{DAE1CF61-344C-40A7-9C15-6104A96B9360}"/>
    <cellStyle name="Normal 11 2 2 2 2 4 3" xfId="8287" xr:uid="{A28BDEF7-DDFF-4C43-A11D-312A8926A917}"/>
    <cellStyle name="Normal 11 2 2 2 2 4 3 2" xfId="20969" xr:uid="{4805BCEA-4BEE-4717-AFD9-E9797D1AFB1B}"/>
    <cellStyle name="Normal 11 2 2 2 2 4 3 2 2" xfId="46461" xr:uid="{20C11B61-058C-42C8-89B4-ABC8BFC557EA}"/>
    <cellStyle name="Normal 11 2 2 2 2 4 3 3" xfId="33870" xr:uid="{06F1468A-5D3E-4557-BD45-262D417462C9}"/>
    <cellStyle name="Normal 11 2 2 2 2 4 4" xfId="14691" xr:uid="{63913273-925A-47A2-BF4E-D34CD8DBE31E}"/>
    <cellStyle name="Normal 11 2 2 2 2 4 4 2" xfId="40183" xr:uid="{B9F8BB70-05CA-4274-8B1C-9794CCC8CB54}"/>
    <cellStyle name="Normal 11 2 2 2 2 4 5" xfId="27592" xr:uid="{0081C84E-5894-41FE-8BDB-139710ED5B2A}"/>
    <cellStyle name="Normal 11 2 2 2 2 5" xfId="1457" xr:uid="{1290DD9C-542E-4F1B-8253-C535464645FF}"/>
    <cellStyle name="Normal 11 2 2 2 2 5 2" xfId="4611" xr:uid="{01E654FE-7ECF-4EF7-B311-313AB85D813A}"/>
    <cellStyle name="Normal 11 2 2 2 2 5 2 2" xfId="10904" xr:uid="{64B67175-7CFB-4D69-8714-B3C6F3590FE5}"/>
    <cellStyle name="Normal 11 2 2 2 2 5 2 2 2" xfId="23586" xr:uid="{100308C1-C9A1-47B3-8780-D12F3E339908}"/>
    <cellStyle name="Normal 11 2 2 2 2 5 2 2 2 2" xfId="49078" xr:uid="{0207CF72-D4BB-461E-A085-AAF1A4C7BB8B}"/>
    <cellStyle name="Normal 11 2 2 2 2 5 2 2 3" xfId="36487" xr:uid="{2D6458C4-8D25-442B-826B-D7023F5B4D66}"/>
    <cellStyle name="Normal 11 2 2 2 2 5 2 3" xfId="17308" xr:uid="{74D1C8BA-6CD1-45DC-8428-488F3045EACB}"/>
    <cellStyle name="Normal 11 2 2 2 2 5 2 3 2" xfId="42800" xr:uid="{423F72DA-6654-46EA-AA0D-1EC9D589AB91}"/>
    <cellStyle name="Normal 11 2 2 2 2 5 2 4" xfId="30209" xr:uid="{01F28429-6921-4925-A753-469F4A5EF33A}"/>
    <cellStyle name="Normal 11 2 2 2 2 5 3" xfId="7765" xr:uid="{C55FAC60-EDC2-4F9C-BE0C-F02B09968094}"/>
    <cellStyle name="Normal 11 2 2 2 2 5 3 2" xfId="20447" xr:uid="{52B5F692-9E43-4A6F-A708-EB7908DFD71F}"/>
    <cellStyle name="Normal 11 2 2 2 2 5 3 2 2" xfId="45939" xr:uid="{B6AA9892-F2B1-4295-8907-1B1D89260BD5}"/>
    <cellStyle name="Normal 11 2 2 2 2 5 3 3" xfId="33348" xr:uid="{385E6F42-C2EE-484D-B551-DEA623DE2C46}"/>
    <cellStyle name="Normal 11 2 2 2 2 5 4" xfId="14169" xr:uid="{498D9F11-594D-4F92-95A8-21A1A1873E27}"/>
    <cellStyle name="Normal 11 2 2 2 2 5 4 2" xfId="39661" xr:uid="{1381F12D-D546-4B28-AB24-A4BC35125185}"/>
    <cellStyle name="Normal 11 2 2 2 2 5 5" xfId="27070" xr:uid="{3FCF7520-749D-4296-8658-7D676C3A3C1C}"/>
    <cellStyle name="Normal 11 2 2 2 2 6" xfId="2764" xr:uid="{D2F9E0D0-88F6-4E33-B151-53A207BCF59B}"/>
    <cellStyle name="Normal 11 2 2 2 2 6 2" xfId="5918" xr:uid="{3762F660-56D4-4338-9293-873AD6449E7E}"/>
    <cellStyle name="Normal 11 2 2 2 2 6 2 2" xfId="12211" xr:uid="{6B282113-FD35-46CB-961C-3CF84110BEDC}"/>
    <cellStyle name="Normal 11 2 2 2 2 6 2 2 2" xfId="24893" xr:uid="{6BB3BE04-5128-4030-B832-124BD6D53501}"/>
    <cellStyle name="Normal 11 2 2 2 2 6 2 2 2 2" xfId="50385" xr:uid="{1FDBFCEE-DB97-4C20-B849-6F49B3BEF38B}"/>
    <cellStyle name="Normal 11 2 2 2 2 6 2 2 3" xfId="37794" xr:uid="{AADE3765-7243-4397-B2FB-C6DFCFD788E2}"/>
    <cellStyle name="Normal 11 2 2 2 2 6 2 3" xfId="18615" xr:uid="{0C7DBBAA-13BD-4226-94EA-872D52799702}"/>
    <cellStyle name="Normal 11 2 2 2 2 6 2 3 2" xfId="44107" xr:uid="{7B377132-C440-47C8-91B8-FCFB16E29515}"/>
    <cellStyle name="Normal 11 2 2 2 2 6 2 4" xfId="31516" xr:uid="{849D7970-C007-43FE-A90C-F6CFDDFF614D}"/>
    <cellStyle name="Normal 11 2 2 2 2 6 3" xfId="9072" xr:uid="{A0DC2115-FBFB-4B81-A2C0-3FF2D0A2BE04}"/>
    <cellStyle name="Normal 11 2 2 2 2 6 3 2" xfId="21754" xr:uid="{CC6E982B-4538-4D38-8A95-4F907371A287}"/>
    <cellStyle name="Normal 11 2 2 2 2 6 3 2 2" xfId="47246" xr:uid="{04E0BAE7-294D-4BC2-9E7D-1553B272D480}"/>
    <cellStyle name="Normal 11 2 2 2 2 6 3 3" xfId="34655" xr:uid="{74A7F5DB-2C25-49AB-95FA-289A1415AB50}"/>
    <cellStyle name="Normal 11 2 2 2 2 6 4" xfId="15476" xr:uid="{0F7ABAA2-9A2E-426E-8082-0A0D8206E940}"/>
    <cellStyle name="Normal 11 2 2 2 2 6 4 2" xfId="40968" xr:uid="{07D51456-5D8C-4366-B8CB-FA2355B982EA}"/>
    <cellStyle name="Normal 11 2 2 2 2 6 5" xfId="28377" xr:uid="{466C6992-4B97-4C4E-8A6E-D9F3A5062190}"/>
    <cellStyle name="Normal 11 2 2 2 2 7" xfId="3287" xr:uid="{0976FF9C-5394-4AB9-AC58-5E5B340577D3}"/>
    <cellStyle name="Normal 11 2 2 2 2 7 2" xfId="6441" xr:uid="{AA4F5B88-A065-4DCA-8871-9DA9F1D56379}"/>
    <cellStyle name="Normal 11 2 2 2 2 7 2 2" xfId="12734" xr:uid="{50B93816-6307-4211-809C-14B56C587A97}"/>
    <cellStyle name="Normal 11 2 2 2 2 7 2 2 2" xfId="25416" xr:uid="{C1DFF375-5EC3-418C-BE3F-0FB2A83B2DF1}"/>
    <cellStyle name="Normal 11 2 2 2 2 7 2 2 2 2" xfId="50908" xr:uid="{22115FBE-32FF-45CA-91D8-000938B30ABC}"/>
    <cellStyle name="Normal 11 2 2 2 2 7 2 2 3" xfId="38317" xr:uid="{FD49729A-C35C-408D-BC72-8D1C7DFEF255}"/>
    <cellStyle name="Normal 11 2 2 2 2 7 2 3" xfId="19138" xr:uid="{55CB5983-F823-4050-8676-EF4DF4CA9A00}"/>
    <cellStyle name="Normal 11 2 2 2 2 7 2 3 2" xfId="44630" xr:uid="{3460B9FB-8B57-4098-B5E0-8C1D6E4D868C}"/>
    <cellStyle name="Normal 11 2 2 2 2 7 2 4" xfId="32039" xr:uid="{D0A5A72B-2FA1-4CE9-B3CF-F7A5DCA7D100}"/>
    <cellStyle name="Normal 11 2 2 2 2 7 3" xfId="9595" xr:uid="{CC115E4A-46C7-4BB3-BA5F-52FCAF6892B3}"/>
    <cellStyle name="Normal 11 2 2 2 2 7 3 2" xfId="22277" xr:uid="{4B148040-2E4B-403A-A19D-E526D2F38303}"/>
    <cellStyle name="Normal 11 2 2 2 2 7 3 2 2" xfId="47769" xr:uid="{2570AEAB-E210-4B22-9129-AE6352CE2FEF}"/>
    <cellStyle name="Normal 11 2 2 2 2 7 3 3" xfId="35178" xr:uid="{7C6344EA-2655-4B54-B3F7-BBB40B45B42F}"/>
    <cellStyle name="Normal 11 2 2 2 2 7 4" xfId="15999" xr:uid="{EFB5FC36-1530-4BFA-B9E8-A7B7EADC31A1}"/>
    <cellStyle name="Normal 11 2 2 2 2 7 4 2" xfId="41491" xr:uid="{2FF1FA76-4E51-4A0F-85AF-57E50D46B1D6}"/>
    <cellStyle name="Normal 11 2 2 2 2 7 5" xfId="28900" xr:uid="{35E868F3-BF35-4EB4-B5C7-AF11764F31DC}"/>
    <cellStyle name="Normal 11 2 2 2 2 8" xfId="3826" xr:uid="{83C37F4D-3749-47C7-8F76-9AF4B196CC8A}"/>
    <cellStyle name="Normal 11 2 2 2 2 8 2" xfId="10119" xr:uid="{45CB5E80-CB8C-4531-AF41-986A0C8803C5}"/>
    <cellStyle name="Normal 11 2 2 2 2 8 2 2" xfId="22801" xr:uid="{698D2284-7214-4FD0-8502-DF9FD4872412}"/>
    <cellStyle name="Normal 11 2 2 2 2 8 2 2 2" xfId="48293" xr:uid="{626B2BF8-E47C-4AD1-B08B-8EBF9C5208A2}"/>
    <cellStyle name="Normal 11 2 2 2 2 8 2 3" xfId="35702" xr:uid="{38DC09B7-88AF-423A-A23B-8F9288420922}"/>
    <cellStyle name="Normal 11 2 2 2 2 8 3" xfId="16523" xr:uid="{3562F362-89DC-4E7A-A333-A8B2FCD4E4C0}"/>
    <cellStyle name="Normal 11 2 2 2 2 8 3 2" xfId="42015" xr:uid="{3F5B9547-206B-4D56-8614-05C89A6212BA}"/>
    <cellStyle name="Normal 11 2 2 2 2 8 4" xfId="29424" xr:uid="{8A7BA99F-E2AF-4C5C-B02C-C4B2EC9FD004}"/>
    <cellStyle name="Normal 11 2 2 2 2 9" xfId="6980" xr:uid="{71DECE3C-51F1-4591-83B0-F32B8C16971B}"/>
    <cellStyle name="Normal 11 2 2 2 2 9 2" xfId="19662" xr:uid="{90041E68-BCC9-4B69-8FA8-EAD0A108E464}"/>
    <cellStyle name="Normal 11 2 2 2 2 9 2 2" xfId="45154" xr:uid="{499DFFAA-C212-4AC6-959A-AE11D176701C}"/>
    <cellStyle name="Normal 11 2 2 2 2 9 3" xfId="32563" xr:uid="{395547E0-8BB0-4312-AD08-94C8B3E928FA}"/>
    <cellStyle name="Normal 11 2 2 2 3" xfId="1035" xr:uid="{542437E9-57CF-460A-9755-312E7D8C8F08}"/>
    <cellStyle name="Normal 11 2 2 2 3 2" xfId="2342" xr:uid="{2C4BE6C9-08F7-4188-9BA8-035B50933DF3}"/>
    <cellStyle name="Normal 11 2 2 2 3 2 2" xfId="5496" xr:uid="{BDEEB743-F653-4915-A04D-0A39180B4187}"/>
    <cellStyle name="Normal 11 2 2 2 3 2 2 2" xfId="11789" xr:uid="{C4927C28-D3BC-4D1B-87F0-7392EA017E6E}"/>
    <cellStyle name="Normal 11 2 2 2 3 2 2 2 2" xfId="24471" xr:uid="{A8235ED1-CA9F-4CBF-8639-C04D3F4CEA17}"/>
    <cellStyle name="Normal 11 2 2 2 3 2 2 2 2 2" xfId="49963" xr:uid="{66BD49B7-0BE1-4130-90B9-A7674D014A02}"/>
    <cellStyle name="Normal 11 2 2 2 3 2 2 2 3" xfId="37372" xr:uid="{5F1994FB-0491-40C5-8C91-9FB7E5D64C29}"/>
    <cellStyle name="Normal 11 2 2 2 3 2 2 3" xfId="18193" xr:uid="{80F6D4E4-65D3-412E-91D1-30D2672E1A12}"/>
    <cellStyle name="Normal 11 2 2 2 3 2 2 3 2" xfId="43685" xr:uid="{F5A6055F-6FBA-4CDA-90E1-0CAF9FAF9013}"/>
    <cellStyle name="Normal 11 2 2 2 3 2 2 4" xfId="31094" xr:uid="{CC661343-7727-4C60-9C12-3147426D2997}"/>
    <cellStyle name="Normal 11 2 2 2 3 2 3" xfId="8650" xr:uid="{D60F16C3-D21C-433A-9BFB-C8EAB33232DE}"/>
    <cellStyle name="Normal 11 2 2 2 3 2 3 2" xfId="21332" xr:uid="{5627EDA0-5901-4B65-9575-3427997D4272}"/>
    <cellStyle name="Normal 11 2 2 2 3 2 3 2 2" xfId="46824" xr:uid="{B7EDBDEB-B5E8-4C5E-9243-2D48239A2D19}"/>
    <cellStyle name="Normal 11 2 2 2 3 2 3 3" xfId="34233" xr:uid="{C5B3C5D0-7477-4285-8DB8-4A98FE7FF986}"/>
    <cellStyle name="Normal 11 2 2 2 3 2 4" xfId="15054" xr:uid="{F52A7D1F-09D1-422F-A742-1C13EF025EAE}"/>
    <cellStyle name="Normal 11 2 2 2 3 2 4 2" xfId="40546" xr:uid="{1B495387-E84C-4E84-B6BC-5036C7E76A88}"/>
    <cellStyle name="Normal 11 2 2 2 3 2 5" xfId="27955" xr:uid="{05C3B614-43B9-46FC-8446-CBAE06F8D46E}"/>
    <cellStyle name="Normal 11 2 2 2 3 3" xfId="1559" xr:uid="{689EEFF7-C5F3-4670-9C0A-3434E9504BFA}"/>
    <cellStyle name="Normal 11 2 2 2 3 3 2" xfId="4713" xr:uid="{99953695-4897-441F-8B41-5CD924FC6731}"/>
    <cellStyle name="Normal 11 2 2 2 3 3 2 2" xfId="11006" xr:uid="{EF235A25-9D04-4443-BDEB-41733D054AD9}"/>
    <cellStyle name="Normal 11 2 2 2 3 3 2 2 2" xfId="23688" xr:uid="{61A7ECD4-35D5-4AC2-8204-3BA6D92DC612}"/>
    <cellStyle name="Normal 11 2 2 2 3 3 2 2 2 2" xfId="49180" xr:uid="{A381B550-DDEB-4FEA-B884-224A88C209C7}"/>
    <cellStyle name="Normal 11 2 2 2 3 3 2 2 3" xfId="36589" xr:uid="{B5CA32EE-6046-447A-8246-9696B1704F3E}"/>
    <cellStyle name="Normal 11 2 2 2 3 3 2 3" xfId="17410" xr:uid="{328B0F06-6EBB-4DDB-8E0B-F0F7E24CB42B}"/>
    <cellStyle name="Normal 11 2 2 2 3 3 2 3 2" xfId="42902" xr:uid="{C0DB0817-24D6-493C-964F-5E4947BF505A}"/>
    <cellStyle name="Normal 11 2 2 2 3 3 2 4" xfId="30311" xr:uid="{B5B5C7A6-DB91-4EDD-9610-DBDC14808EF3}"/>
    <cellStyle name="Normal 11 2 2 2 3 3 3" xfId="7867" xr:uid="{23942992-D21A-428C-A9DF-D5826128EDD4}"/>
    <cellStyle name="Normal 11 2 2 2 3 3 3 2" xfId="20549" xr:uid="{175EE5DF-2B86-4627-B08A-BA8D77E70FF9}"/>
    <cellStyle name="Normal 11 2 2 2 3 3 3 2 2" xfId="46041" xr:uid="{A0BBEB80-D02F-4E39-888A-940370076982}"/>
    <cellStyle name="Normal 11 2 2 2 3 3 3 3" xfId="33450" xr:uid="{0D394434-EE86-408F-8A9A-D25E5F6FD817}"/>
    <cellStyle name="Normal 11 2 2 2 3 3 4" xfId="14271" xr:uid="{F7DFB2AF-23E4-4471-B7F9-D64436285A44}"/>
    <cellStyle name="Normal 11 2 2 2 3 3 4 2" xfId="39763" xr:uid="{7E327137-D83B-4D7C-B8F6-9903A9FFE1B2}"/>
    <cellStyle name="Normal 11 2 2 2 3 3 5" xfId="27172" xr:uid="{C9F69EDF-1CA3-4D6D-ACD2-F338B6A5D8A2}"/>
    <cellStyle name="Normal 11 2 2 2 3 4" xfId="2866" xr:uid="{3282EE35-7EB2-4970-B0BA-13D7C0810A70}"/>
    <cellStyle name="Normal 11 2 2 2 3 4 2" xfId="6020" xr:uid="{F14BA664-7847-4D32-89D1-64AC78ECD09E}"/>
    <cellStyle name="Normal 11 2 2 2 3 4 2 2" xfId="12313" xr:uid="{85F88298-F981-4A4C-BE69-94A44603A670}"/>
    <cellStyle name="Normal 11 2 2 2 3 4 2 2 2" xfId="24995" xr:uid="{0D7688F3-7939-4974-95AA-9605E2AB836A}"/>
    <cellStyle name="Normal 11 2 2 2 3 4 2 2 2 2" xfId="50487" xr:uid="{D85EF70E-98DE-4A49-9350-8358C547F229}"/>
    <cellStyle name="Normal 11 2 2 2 3 4 2 2 3" xfId="37896" xr:uid="{12733FA3-3A41-42BB-B636-24CC37B0D3C3}"/>
    <cellStyle name="Normal 11 2 2 2 3 4 2 3" xfId="18717" xr:uid="{E2BB0243-FABE-4C0B-A821-547702FA1595}"/>
    <cellStyle name="Normal 11 2 2 2 3 4 2 3 2" xfId="44209" xr:uid="{E8DC72B9-2AB7-4439-8733-841AE457B4C0}"/>
    <cellStyle name="Normal 11 2 2 2 3 4 2 4" xfId="31618" xr:uid="{E74E66AB-DC4A-4DBB-87F1-6FBE4894751B}"/>
    <cellStyle name="Normal 11 2 2 2 3 4 3" xfId="9174" xr:uid="{927285F2-69CC-42A7-B7F3-152D19CE23E1}"/>
    <cellStyle name="Normal 11 2 2 2 3 4 3 2" xfId="21856" xr:uid="{A8080BCC-BDB0-4F5E-8C91-11AD17ECA3E2}"/>
    <cellStyle name="Normal 11 2 2 2 3 4 3 2 2" xfId="47348" xr:uid="{6C6F81A8-7D91-4CE8-82E7-86C75399F66C}"/>
    <cellStyle name="Normal 11 2 2 2 3 4 3 3" xfId="34757" xr:uid="{D3E505E5-BBB6-40DC-B07F-1B0F28FC0194}"/>
    <cellStyle name="Normal 11 2 2 2 3 4 4" xfId="15578" xr:uid="{65DF5E8F-2387-47CA-B88A-CC3722CF4EE2}"/>
    <cellStyle name="Normal 11 2 2 2 3 4 4 2" xfId="41070" xr:uid="{F3531706-35A5-4F64-A111-399B67F04598}"/>
    <cellStyle name="Normal 11 2 2 2 3 4 5" xfId="28479" xr:uid="{6ED7A9F8-425A-426E-B474-5B7D435802CA}"/>
    <cellStyle name="Normal 11 2 2 2 3 5" xfId="3389" xr:uid="{D0F0F397-1609-43A4-B55D-F23911E840A4}"/>
    <cellStyle name="Normal 11 2 2 2 3 5 2" xfId="6543" xr:uid="{3D3641B3-35D3-4F28-A95D-CBE073343121}"/>
    <cellStyle name="Normal 11 2 2 2 3 5 2 2" xfId="12836" xr:uid="{9D10692A-6F72-4DA0-8444-1BEAA1CDA406}"/>
    <cellStyle name="Normal 11 2 2 2 3 5 2 2 2" xfId="25518" xr:uid="{F934EF45-DA3F-4276-B80C-68CFBE182171}"/>
    <cellStyle name="Normal 11 2 2 2 3 5 2 2 2 2" xfId="51010" xr:uid="{AB803CB7-6DAE-491B-AF1A-B5E470EC5D88}"/>
    <cellStyle name="Normal 11 2 2 2 3 5 2 2 3" xfId="38419" xr:uid="{52A46BF6-AA77-4D89-9166-32A82C568734}"/>
    <cellStyle name="Normal 11 2 2 2 3 5 2 3" xfId="19240" xr:uid="{EA976434-8442-4652-9137-4CC6B08207A7}"/>
    <cellStyle name="Normal 11 2 2 2 3 5 2 3 2" xfId="44732" xr:uid="{99A04B49-ED16-4D49-A246-E463BB768722}"/>
    <cellStyle name="Normal 11 2 2 2 3 5 2 4" xfId="32141" xr:uid="{B00DE174-D470-4FD3-ACD4-845D01F54702}"/>
    <cellStyle name="Normal 11 2 2 2 3 5 3" xfId="9697" xr:uid="{25BC269B-AEF7-4BDB-BA7F-91F1D7A78372}"/>
    <cellStyle name="Normal 11 2 2 2 3 5 3 2" xfId="22379" xr:uid="{176C9583-A0E5-47F3-A825-180CCD34D58E}"/>
    <cellStyle name="Normal 11 2 2 2 3 5 3 2 2" xfId="47871" xr:uid="{C452FA8E-DF35-4E6B-8809-A1904AD8B4DD}"/>
    <cellStyle name="Normal 11 2 2 2 3 5 3 3" xfId="35280" xr:uid="{11F492DC-0EC5-4183-B60B-297BC5B3779C}"/>
    <cellStyle name="Normal 11 2 2 2 3 5 4" xfId="16101" xr:uid="{F21D5930-6C7C-48B2-9547-ECB66FE67099}"/>
    <cellStyle name="Normal 11 2 2 2 3 5 4 2" xfId="41593" xr:uid="{E37C0C51-6C78-466E-BEB3-6752CB5CBA93}"/>
    <cellStyle name="Normal 11 2 2 2 3 5 5" xfId="29002" xr:uid="{1EF1D776-241B-4510-BE58-E4543031F32C}"/>
    <cellStyle name="Normal 11 2 2 2 3 6" xfId="4189" xr:uid="{7791B099-8293-4EEB-98B7-BC0E0C147454}"/>
    <cellStyle name="Normal 11 2 2 2 3 6 2" xfId="10482" xr:uid="{B873AD57-417F-471C-8989-00235D6C60C6}"/>
    <cellStyle name="Normal 11 2 2 2 3 6 2 2" xfId="23164" xr:uid="{4EE5BAED-7361-412E-AB31-967C5E02CFCF}"/>
    <cellStyle name="Normal 11 2 2 2 3 6 2 2 2" xfId="48656" xr:uid="{35FD6CF3-FB03-4D78-A85E-44372EAE57C9}"/>
    <cellStyle name="Normal 11 2 2 2 3 6 2 3" xfId="36065" xr:uid="{0985ED66-612B-49D9-A246-66329F2DB387}"/>
    <cellStyle name="Normal 11 2 2 2 3 6 3" xfId="16886" xr:uid="{D816212B-B79C-4376-B90F-B5846E26DEE1}"/>
    <cellStyle name="Normal 11 2 2 2 3 6 3 2" xfId="42378" xr:uid="{6120D901-A76C-4C65-B489-FD3774C3824A}"/>
    <cellStyle name="Normal 11 2 2 2 3 6 4" xfId="29787" xr:uid="{9EC5FC97-B83E-4759-B61E-E6C37E2B3E44}"/>
    <cellStyle name="Normal 11 2 2 2 3 7" xfId="7343" xr:uid="{41C6A3E3-415A-4B04-840E-1455445E3BB8}"/>
    <cellStyle name="Normal 11 2 2 2 3 7 2" xfId="20025" xr:uid="{8C356AC8-F171-40DC-AA8A-BFE3022AECCE}"/>
    <cellStyle name="Normal 11 2 2 2 3 7 2 2" xfId="45517" xr:uid="{27C5C869-1A7D-4ED4-A369-020172A0C32F}"/>
    <cellStyle name="Normal 11 2 2 2 3 7 3" xfId="32926" xr:uid="{C6D51BE4-3056-4EB9-BFD5-DAABC41999D3}"/>
    <cellStyle name="Normal 11 2 2 2 3 8" xfId="13747" xr:uid="{A7713CD8-7BE2-47AB-A83B-D843FB758BE3}"/>
    <cellStyle name="Normal 11 2 2 2 3 8 2" xfId="39239" xr:uid="{B3029192-6E03-4E3C-81BE-0A089FAFF677}"/>
    <cellStyle name="Normal 11 2 2 2 3 9" xfId="26648" xr:uid="{554A1DEF-77CC-4E6E-987D-15276AC4AEF5}"/>
    <cellStyle name="Normal 11 2 2 2 4" xfId="775" xr:uid="{07B2814F-0F34-4977-A737-C5DD5D5233A6}"/>
    <cellStyle name="Normal 11 2 2 2 4 2" xfId="2082" xr:uid="{B6121EC1-02CA-412B-9900-606AD5949078}"/>
    <cellStyle name="Normal 11 2 2 2 4 2 2" xfId="5236" xr:uid="{40AFBF8B-E05D-45F9-8790-BC5836759316}"/>
    <cellStyle name="Normal 11 2 2 2 4 2 2 2" xfId="11529" xr:uid="{CA1C8359-D3EB-4C8E-990F-1EFAB5D359D7}"/>
    <cellStyle name="Normal 11 2 2 2 4 2 2 2 2" xfId="24211" xr:uid="{7AE82841-FD33-4C16-8999-9CB8DD1909BD}"/>
    <cellStyle name="Normal 11 2 2 2 4 2 2 2 2 2" xfId="49703" xr:uid="{DCCF0BD1-4111-405B-9923-1B1D180990FD}"/>
    <cellStyle name="Normal 11 2 2 2 4 2 2 2 3" xfId="37112" xr:uid="{39C1CC9C-D368-4E63-839F-200717418487}"/>
    <cellStyle name="Normal 11 2 2 2 4 2 2 3" xfId="17933" xr:uid="{59E99DCC-B717-4119-BBBD-BCC5ADC00D87}"/>
    <cellStyle name="Normal 11 2 2 2 4 2 2 3 2" xfId="43425" xr:uid="{9282C409-6421-4887-AA2D-A842138D5CAF}"/>
    <cellStyle name="Normal 11 2 2 2 4 2 2 4" xfId="30834" xr:uid="{E87E89FD-D959-4826-A620-CC2C16812A09}"/>
    <cellStyle name="Normal 11 2 2 2 4 2 3" xfId="8390" xr:uid="{D85AA665-462C-44C8-88F3-865C7EC42FD6}"/>
    <cellStyle name="Normal 11 2 2 2 4 2 3 2" xfId="21072" xr:uid="{A64E9AA3-8DB2-4A6E-852F-FCD87219D438}"/>
    <cellStyle name="Normal 11 2 2 2 4 2 3 2 2" xfId="46564" xr:uid="{293D928B-DF9A-41BB-B654-705F5F98E596}"/>
    <cellStyle name="Normal 11 2 2 2 4 2 3 3" xfId="33973" xr:uid="{9FDC05FC-CA95-419B-B579-4AC7BCFAD538}"/>
    <cellStyle name="Normal 11 2 2 2 4 2 4" xfId="14794" xr:uid="{C68B27A5-55D8-431B-822D-8A1E3BF2CECA}"/>
    <cellStyle name="Normal 11 2 2 2 4 2 4 2" xfId="40286" xr:uid="{3017547B-A358-4C58-93BD-99D71B1F99AB}"/>
    <cellStyle name="Normal 11 2 2 2 4 2 5" xfId="27695" xr:uid="{AE139C7D-129E-4E98-9309-C186DF39F511}"/>
    <cellStyle name="Normal 11 2 2 2 4 3" xfId="3929" xr:uid="{0EAC4E3E-AAC7-4DBC-B61C-C58E9B834B72}"/>
    <cellStyle name="Normal 11 2 2 2 4 3 2" xfId="10222" xr:uid="{0851028E-FBB7-4CF5-9659-50E7490D80E6}"/>
    <cellStyle name="Normal 11 2 2 2 4 3 2 2" xfId="22904" xr:uid="{D2AA18D0-31F8-4AED-890C-921B923A0BE5}"/>
    <cellStyle name="Normal 11 2 2 2 4 3 2 2 2" xfId="48396" xr:uid="{FBAD845C-D1C4-41CF-948D-3E0A0AE4A7D8}"/>
    <cellStyle name="Normal 11 2 2 2 4 3 2 3" xfId="35805" xr:uid="{0ECCA268-DA3F-4032-9A13-5F66323C3C04}"/>
    <cellStyle name="Normal 11 2 2 2 4 3 3" xfId="16626" xr:uid="{A7927467-489B-48AD-BBD2-B0BFFA2CB7D3}"/>
    <cellStyle name="Normal 11 2 2 2 4 3 3 2" xfId="42118" xr:uid="{AFD4174E-16F3-4BBB-86D1-021E104635E0}"/>
    <cellStyle name="Normal 11 2 2 2 4 3 4" xfId="29527" xr:uid="{02D11852-AF06-4014-BEF0-D90FBD836B9B}"/>
    <cellStyle name="Normal 11 2 2 2 4 4" xfId="7083" xr:uid="{CDEBB057-4449-4C10-A095-85368F3D63B9}"/>
    <cellStyle name="Normal 11 2 2 2 4 4 2" xfId="19765" xr:uid="{E4F139BA-53B8-4FB6-9073-AB4A8CAE2BE2}"/>
    <cellStyle name="Normal 11 2 2 2 4 4 2 2" xfId="45257" xr:uid="{5C2283B3-17C4-466D-A1E7-D6E0FD76FF79}"/>
    <cellStyle name="Normal 11 2 2 2 4 4 3" xfId="32666" xr:uid="{6F60E8E8-D2FD-4093-A1DF-BA33B50A29F5}"/>
    <cellStyle name="Normal 11 2 2 2 4 5" xfId="13487" xr:uid="{A0249362-11A1-4CF0-BC1E-57F55780CBFF}"/>
    <cellStyle name="Normal 11 2 2 2 4 5 2" xfId="38979" xr:uid="{9C5AAF35-2504-4E40-882E-A0C577BEE160}"/>
    <cellStyle name="Normal 11 2 2 2 4 6" xfId="26388" xr:uid="{1888705D-C811-480F-BCAB-D4E0401A4993}"/>
    <cellStyle name="Normal 11 2 2 2 5" xfId="1820" xr:uid="{798462C5-F8DE-47CF-B99C-CE447B19F352}"/>
    <cellStyle name="Normal 11 2 2 2 5 2" xfId="4974" xr:uid="{00D49AC5-C71B-4023-9AC3-85E7793884A1}"/>
    <cellStyle name="Normal 11 2 2 2 5 2 2" xfId="11267" xr:uid="{C6ABC236-5F35-40B5-B16E-E7598D4DD645}"/>
    <cellStyle name="Normal 11 2 2 2 5 2 2 2" xfId="23949" xr:uid="{54AAE086-633A-44CA-8C29-A9B3C0805CD5}"/>
    <cellStyle name="Normal 11 2 2 2 5 2 2 2 2" xfId="49441" xr:uid="{231E7BE2-38D3-4C5A-B8A8-E8809A36B2C2}"/>
    <cellStyle name="Normal 11 2 2 2 5 2 2 3" xfId="36850" xr:uid="{26DC387F-350E-4BCD-AF44-0C440C1346BB}"/>
    <cellStyle name="Normal 11 2 2 2 5 2 3" xfId="17671" xr:uid="{F5700A69-060B-4F02-AF2D-A9B510861892}"/>
    <cellStyle name="Normal 11 2 2 2 5 2 3 2" xfId="43163" xr:uid="{42576F1C-6BF8-4F0C-BE01-533FCE4C22BE}"/>
    <cellStyle name="Normal 11 2 2 2 5 2 4" xfId="30572" xr:uid="{63680CA9-7384-48EF-83A9-2386C6DE506D}"/>
    <cellStyle name="Normal 11 2 2 2 5 3" xfId="8128" xr:uid="{6CACDD81-2B67-491E-BF00-74BB2C24407E}"/>
    <cellStyle name="Normal 11 2 2 2 5 3 2" xfId="20810" xr:uid="{50B1BAA5-6DE8-42A8-8785-895758CBE9DF}"/>
    <cellStyle name="Normal 11 2 2 2 5 3 2 2" xfId="46302" xr:uid="{F2B52959-C062-43E1-ABD7-E838365A8247}"/>
    <cellStyle name="Normal 11 2 2 2 5 3 3" xfId="33711" xr:uid="{035C4F85-F15F-4E3D-83FF-84A25C951546}"/>
    <cellStyle name="Normal 11 2 2 2 5 4" xfId="14532" xr:uid="{2C595922-C0D0-4E91-8C9A-4D195AFBDC51}"/>
    <cellStyle name="Normal 11 2 2 2 5 4 2" xfId="40024" xr:uid="{11D46784-8204-434F-B981-5FCD8E49E83B}"/>
    <cellStyle name="Normal 11 2 2 2 5 5" xfId="27433" xr:uid="{4244CAE5-0921-484F-85E6-6F00F87D08B5}"/>
    <cellStyle name="Normal 11 2 2 2 6" xfId="1298" xr:uid="{7DD9455E-B3B7-411D-B941-B057A7B1058F}"/>
    <cellStyle name="Normal 11 2 2 2 6 2" xfId="4452" xr:uid="{BAADF9BF-F184-41FA-8112-F03486496936}"/>
    <cellStyle name="Normal 11 2 2 2 6 2 2" xfId="10745" xr:uid="{F91F6052-96BD-4302-AF06-2B9BC6AE0F2E}"/>
    <cellStyle name="Normal 11 2 2 2 6 2 2 2" xfId="23427" xr:uid="{58BE6A53-1608-4793-AC07-60D03272FEEA}"/>
    <cellStyle name="Normal 11 2 2 2 6 2 2 2 2" xfId="48919" xr:uid="{7FC2597D-38B1-4218-938C-B01951F6E4C1}"/>
    <cellStyle name="Normal 11 2 2 2 6 2 2 3" xfId="36328" xr:uid="{66B39AE1-DA57-4E2B-B560-DC2C4A541855}"/>
    <cellStyle name="Normal 11 2 2 2 6 2 3" xfId="17149" xr:uid="{258BD534-7D2A-458F-8AD0-098DF1320674}"/>
    <cellStyle name="Normal 11 2 2 2 6 2 3 2" xfId="42641" xr:uid="{05EEDDBD-DABB-4060-BAF2-4565B1033EBB}"/>
    <cellStyle name="Normal 11 2 2 2 6 2 4" xfId="30050" xr:uid="{4A859E21-A730-4E13-9C2E-B4A1BA593956}"/>
    <cellStyle name="Normal 11 2 2 2 6 3" xfId="7606" xr:uid="{D131098F-C34E-45C5-9E8F-CA1D6328802A}"/>
    <cellStyle name="Normal 11 2 2 2 6 3 2" xfId="20288" xr:uid="{A83085D8-2693-43DE-BCAE-ACB1BF82E5B2}"/>
    <cellStyle name="Normal 11 2 2 2 6 3 2 2" xfId="45780" xr:uid="{FA344B07-777E-4C74-ABCB-F0E3015C5B17}"/>
    <cellStyle name="Normal 11 2 2 2 6 3 3" xfId="33189" xr:uid="{809711E5-4E19-498C-8E50-BA2211F49877}"/>
    <cellStyle name="Normal 11 2 2 2 6 4" xfId="14010" xr:uid="{079343EF-D94D-4507-B6E9-E4156B8E9136}"/>
    <cellStyle name="Normal 11 2 2 2 6 4 2" xfId="39502" xr:uid="{C3884E83-78CF-4237-8AA7-96A94162FF83}"/>
    <cellStyle name="Normal 11 2 2 2 6 5" xfId="26911" xr:uid="{6663B8C9-BF37-4968-9320-489E8F487B8A}"/>
    <cellStyle name="Normal 11 2 2 2 7" xfId="2605" xr:uid="{3B3A3BF8-C5B4-405E-9665-EF38DC183194}"/>
    <cellStyle name="Normal 11 2 2 2 7 2" xfId="5759" xr:uid="{99B6260F-36E3-45BA-BA67-558A2DB9903B}"/>
    <cellStyle name="Normal 11 2 2 2 7 2 2" xfId="12052" xr:uid="{65E2FE2E-87AE-4A8C-9DAD-AA3F3C9A6FBA}"/>
    <cellStyle name="Normal 11 2 2 2 7 2 2 2" xfId="24734" xr:uid="{653AC16F-BD8A-4123-AFA1-F33C646F9E18}"/>
    <cellStyle name="Normal 11 2 2 2 7 2 2 2 2" xfId="50226" xr:uid="{5CC1F34C-A69D-4F59-BDC1-6D12A0041D5A}"/>
    <cellStyle name="Normal 11 2 2 2 7 2 2 3" xfId="37635" xr:uid="{3F3C3770-F22C-42DB-A3D6-65025D6634B9}"/>
    <cellStyle name="Normal 11 2 2 2 7 2 3" xfId="18456" xr:uid="{C7602B51-EB5A-4EA5-8AF1-905B8731B398}"/>
    <cellStyle name="Normal 11 2 2 2 7 2 3 2" xfId="43948" xr:uid="{E63C447D-6E4F-47F9-8D6D-79CC67DA5F14}"/>
    <cellStyle name="Normal 11 2 2 2 7 2 4" xfId="31357" xr:uid="{35372932-1299-448C-AF40-DBF473C0ABEB}"/>
    <cellStyle name="Normal 11 2 2 2 7 3" xfId="8913" xr:uid="{FDE387BC-DA27-4F0B-BA32-356027B778DE}"/>
    <cellStyle name="Normal 11 2 2 2 7 3 2" xfId="21595" xr:uid="{51A917FE-0D56-437D-8C10-85E91FA04D93}"/>
    <cellStyle name="Normal 11 2 2 2 7 3 2 2" xfId="47087" xr:uid="{F9B44AF6-9B84-4A93-849A-5438743E0F0D}"/>
    <cellStyle name="Normal 11 2 2 2 7 3 3" xfId="34496" xr:uid="{1C82C573-91E8-4ED0-AA54-708392A59257}"/>
    <cellStyle name="Normal 11 2 2 2 7 4" xfId="15317" xr:uid="{B61BB08C-D058-46F9-9958-63E872963389}"/>
    <cellStyle name="Normal 11 2 2 2 7 4 2" xfId="40809" xr:uid="{246E541E-0804-4D68-A2AE-5F2A69765063}"/>
    <cellStyle name="Normal 11 2 2 2 7 5" xfId="28218" xr:uid="{163F9BBD-CB19-4F80-AA69-7AFE8416F0A4}"/>
    <cellStyle name="Normal 11 2 2 2 8" xfId="3128" xr:uid="{10DD28F3-E1C4-418E-86D2-B93E6149738E}"/>
    <cellStyle name="Normal 11 2 2 2 8 2" xfId="6282" xr:uid="{FF4765B7-81AA-4CDD-BB54-F5C6959BED8B}"/>
    <cellStyle name="Normal 11 2 2 2 8 2 2" xfId="12575" xr:uid="{10EC2D29-9DCB-4BC6-AB70-DE232666F71A}"/>
    <cellStyle name="Normal 11 2 2 2 8 2 2 2" xfId="25257" xr:uid="{77128F86-B384-4B31-A197-2998E3173DD1}"/>
    <cellStyle name="Normal 11 2 2 2 8 2 2 2 2" xfId="50749" xr:uid="{B87A9C69-B677-4B2E-9D98-BD1DD7D37799}"/>
    <cellStyle name="Normal 11 2 2 2 8 2 2 3" xfId="38158" xr:uid="{F8A211AB-E13E-433A-817F-3D836CC32AED}"/>
    <cellStyle name="Normal 11 2 2 2 8 2 3" xfId="18979" xr:uid="{1078577C-5A8D-4754-9E40-A68398B983B4}"/>
    <cellStyle name="Normal 11 2 2 2 8 2 3 2" xfId="44471" xr:uid="{010B9401-D15F-4ECB-A4C4-0272FE44F133}"/>
    <cellStyle name="Normal 11 2 2 2 8 2 4" xfId="31880" xr:uid="{D318F2A0-E7BF-421D-8469-519381436399}"/>
    <cellStyle name="Normal 11 2 2 2 8 3" xfId="9436" xr:uid="{AD18BF75-ACCF-4E59-BC48-2EA4E0178C68}"/>
    <cellStyle name="Normal 11 2 2 2 8 3 2" xfId="22118" xr:uid="{715A6279-FC7F-4C6B-9367-AFB78F778501}"/>
    <cellStyle name="Normal 11 2 2 2 8 3 2 2" xfId="47610" xr:uid="{3965A0C7-C8F5-4A37-B1EE-7988D40C9038}"/>
    <cellStyle name="Normal 11 2 2 2 8 3 3" xfId="35019" xr:uid="{542546C0-BF87-4AEC-B26B-677023E0B742}"/>
    <cellStyle name="Normal 11 2 2 2 8 4" xfId="15840" xr:uid="{7F8C464D-959E-4547-9A22-97F3335C69C3}"/>
    <cellStyle name="Normal 11 2 2 2 8 4 2" xfId="41332" xr:uid="{22A8C5FD-0776-4C26-A3B5-291B18843D48}"/>
    <cellStyle name="Normal 11 2 2 2 8 5" xfId="28741" xr:uid="{AA905A41-92AE-4641-A8AE-6E1A40015A74}"/>
    <cellStyle name="Normal 11 2 2 2 9" xfId="3667" xr:uid="{01115F59-442D-4ED8-8BFC-50CCC58519EA}"/>
    <cellStyle name="Normal 11 2 2 2 9 2" xfId="9960" xr:uid="{2677F95F-163E-4167-B373-17061FFE435B}"/>
    <cellStyle name="Normal 11 2 2 2 9 2 2" xfId="22642" xr:uid="{B7B08AD2-0DD5-43B7-954B-3E59357BF15B}"/>
    <cellStyle name="Normal 11 2 2 2 9 2 2 2" xfId="48134" xr:uid="{1E237808-122B-4CEA-A88E-522ACC8E4E71}"/>
    <cellStyle name="Normal 11 2 2 2 9 2 3" xfId="35543" xr:uid="{127F22D8-9D4A-4801-97A7-875676ADC171}"/>
    <cellStyle name="Normal 11 2 2 2 9 3" xfId="16364" xr:uid="{25B92A1A-F85E-476F-A3C2-C2F0C909F8BA}"/>
    <cellStyle name="Normal 11 2 2 2 9 3 2" xfId="41856" xr:uid="{514B735C-FCCE-485D-A124-C32DE1A290BF}"/>
    <cellStyle name="Normal 11 2 2 2 9 4" xfId="29265" xr:uid="{3597E87A-4F2A-4F53-A435-CB10DB894D6E}"/>
    <cellStyle name="Normal 11 2 2 3" xfId="596" xr:uid="{B0D5620A-6D81-429E-9C78-BF79C13EE51E}"/>
    <cellStyle name="Normal 11 2 2 3 10" xfId="13323" xr:uid="{B9739C59-ED39-48BC-99D4-F7086F0BAD57}"/>
    <cellStyle name="Normal 11 2 2 3 10 2" xfId="38815" xr:uid="{7BF2CE8B-668A-42DB-A7BD-C349837D77C1}"/>
    <cellStyle name="Normal 11 2 2 3 11" xfId="26224" xr:uid="{212E227F-3CFD-4DA4-9EEA-BA627B1C87C1}"/>
    <cellStyle name="Normal 11 2 2 3 2" xfId="1133" xr:uid="{21F32647-BC88-42C5-9B02-A07A30ABBB30}"/>
    <cellStyle name="Normal 11 2 2 3 2 2" xfId="2440" xr:uid="{12F80826-C1B4-49C4-B84B-319A95153122}"/>
    <cellStyle name="Normal 11 2 2 3 2 2 2" xfId="5594" xr:uid="{ABF39F4D-BC3E-4177-B632-C9B99E63A079}"/>
    <cellStyle name="Normal 11 2 2 3 2 2 2 2" xfId="11887" xr:uid="{6CA83F50-4836-4A40-9D60-6A9585EC930F}"/>
    <cellStyle name="Normal 11 2 2 3 2 2 2 2 2" xfId="24569" xr:uid="{5CBAB4A7-6F1C-4A05-821D-D2AF991D6A5A}"/>
    <cellStyle name="Normal 11 2 2 3 2 2 2 2 2 2" xfId="50061" xr:uid="{7FD219BA-4787-4EB3-9488-018DC636967E}"/>
    <cellStyle name="Normal 11 2 2 3 2 2 2 2 3" xfId="37470" xr:uid="{6C78AB8A-31F4-4831-81AA-A806A7B8E124}"/>
    <cellStyle name="Normal 11 2 2 3 2 2 2 3" xfId="18291" xr:uid="{4C6A4D5D-87DA-4FBB-9604-0763D04F60D6}"/>
    <cellStyle name="Normal 11 2 2 3 2 2 2 3 2" xfId="43783" xr:uid="{4C450078-5879-40D3-BF23-506B39BB145E}"/>
    <cellStyle name="Normal 11 2 2 3 2 2 2 4" xfId="31192" xr:uid="{7B990D05-571D-4B0E-8239-BC90E92A4CCF}"/>
    <cellStyle name="Normal 11 2 2 3 2 2 3" xfId="8748" xr:uid="{AF79216E-4768-410F-A7D7-17FC71303803}"/>
    <cellStyle name="Normal 11 2 2 3 2 2 3 2" xfId="21430" xr:uid="{75E13AD0-108C-4042-9D9D-9B37658852EA}"/>
    <cellStyle name="Normal 11 2 2 3 2 2 3 2 2" xfId="46922" xr:uid="{2989E7A6-439C-447F-B0CA-2EB44E508049}"/>
    <cellStyle name="Normal 11 2 2 3 2 2 3 3" xfId="34331" xr:uid="{8BE1A9B6-27A7-423F-BAEB-051CC9314969}"/>
    <cellStyle name="Normal 11 2 2 3 2 2 4" xfId="15152" xr:uid="{BDFB37A1-535E-4271-8BF6-761B9B7695DF}"/>
    <cellStyle name="Normal 11 2 2 3 2 2 4 2" xfId="40644" xr:uid="{671BC941-86FF-4775-AEBB-7D179FECC899}"/>
    <cellStyle name="Normal 11 2 2 3 2 2 5" xfId="28053" xr:uid="{E7025505-7C29-41EE-9463-399A96880075}"/>
    <cellStyle name="Normal 11 2 2 3 2 3" xfId="1657" xr:uid="{2E8742FB-16FC-44AD-A3B9-89B160D1E224}"/>
    <cellStyle name="Normal 11 2 2 3 2 3 2" xfId="4811" xr:uid="{2B4D30B9-7F23-4FB5-BE90-0FF8B40B5B7F}"/>
    <cellStyle name="Normal 11 2 2 3 2 3 2 2" xfId="11104" xr:uid="{582AE531-1E21-49E2-B98D-9A45A1425D91}"/>
    <cellStyle name="Normal 11 2 2 3 2 3 2 2 2" xfId="23786" xr:uid="{31D150FB-35DA-49DD-ACE9-DFFA40B097C2}"/>
    <cellStyle name="Normal 11 2 2 3 2 3 2 2 2 2" xfId="49278" xr:uid="{7A7EF885-A366-4470-994A-5BB693654EFE}"/>
    <cellStyle name="Normal 11 2 2 3 2 3 2 2 3" xfId="36687" xr:uid="{E7F9D2AF-1151-4AFC-A098-0EA8B7F01E47}"/>
    <cellStyle name="Normal 11 2 2 3 2 3 2 3" xfId="17508" xr:uid="{BE374D69-BE57-4404-83A3-B2A919F532EB}"/>
    <cellStyle name="Normal 11 2 2 3 2 3 2 3 2" xfId="43000" xr:uid="{3EE51D4C-C760-4C47-87C3-6A2993BA6FF9}"/>
    <cellStyle name="Normal 11 2 2 3 2 3 2 4" xfId="30409" xr:uid="{2DDA6BD5-F52A-40D6-84CF-CF1D171BB695}"/>
    <cellStyle name="Normal 11 2 2 3 2 3 3" xfId="7965" xr:uid="{6D444D52-2526-483F-99F7-7E50D3C22DE2}"/>
    <cellStyle name="Normal 11 2 2 3 2 3 3 2" xfId="20647" xr:uid="{4E9D00CA-0972-40B8-83C7-E838FCF9A837}"/>
    <cellStyle name="Normal 11 2 2 3 2 3 3 2 2" xfId="46139" xr:uid="{3BF3770B-6186-43BA-AE06-CEA776B8B392}"/>
    <cellStyle name="Normal 11 2 2 3 2 3 3 3" xfId="33548" xr:uid="{F4666E4A-5401-495B-B2EE-2B5989B0A77F}"/>
    <cellStyle name="Normal 11 2 2 3 2 3 4" xfId="14369" xr:uid="{E3D03E86-E6E7-4109-89B4-87F6EBFE16A5}"/>
    <cellStyle name="Normal 11 2 2 3 2 3 4 2" xfId="39861" xr:uid="{0ACC0551-C20A-43E9-B901-00B194B309F3}"/>
    <cellStyle name="Normal 11 2 2 3 2 3 5" xfId="27270" xr:uid="{9229C624-6B9F-44AD-A8E4-C25BAA01E455}"/>
    <cellStyle name="Normal 11 2 2 3 2 4" xfId="2964" xr:uid="{6E8C4CBC-A8DB-4248-9D71-BC497DB3BFB4}"/>
    <cellStyle name="Normal 11 2 2 3 2 4 2" xfId="6118" xr:uid="{22BFB14E-7EAD-4E75-95C5-5BC7C711A6D3}"/>
    <cellStyle name="Normal 11 2 2 3 2 4 2 2" xfId="12411" xr:uid="{C43DC837-5982-441D-9A96-33CAEC2934C5}"/>
    <cellStyle name="Normal 11 2 2 3 2 4 2 2 2" xfId="25093" xr:uid="{A0A38708-6605-48CF-8220-CCB46C55E898}"/>
    <cellStyle name="Normal 11 2 2 3 2 4 2 2 2 2" xfId="50585" xr:uid="{D204DC85-AF6F-4468-BB82-F37780A8A0FB}"/>
    <cellStyle name="Normal 11 2 2 3 2 4 2 2 3" xfId="37994" xr:uid="{ACE92DE5-68EF-4A34-A079-2FA7F5D89929}"/>
    <cellStyle name="Normal 11 2 2 3 2 4 2 3" xfId="18815" xr:uid="{2B2F691D-0859-4355-A755-5A09FDA5A333}"/>
    <cellStyle name="Normal 11 2 2 3 2 4 2 3 2" xfId="44307" xr:uid="{EEFD5B28-4C60-4CF5-B27E-29CB969D890F}"/>
    <cellStyle name="Normal 11 2 2 3 2 4 2 4" xfId="31716" xr:uid="{2AF07094-C586-4A04-B735-649F34494293}"/>
    <cellStyle name="Normal 11 2 2 3 2 4 3" xfId="9272" xr:uid="{8DA90355-13C1-4026-8B76-4F2E3104B7F6}"/>
    <cellStyle name="Normal 11 2 2 3 2 4 3 2" xfId="21954" xr:uid="{7B1A9704-86A6-40E4-8D7A-BCF1F19D6776}"/>
    <cellStyle name="Normal 11 2 2 3 2 4 3 2 2" xfId="47446" xr:uid="{DA9D10C1-A120-4231-BEFC-6443CC89A425}"/>
    <cellStyle name="Normal 11 2 2 3 2 4 3 3" xfId="34855" xr:uid="{8B9812CA-B889-4DBD-B477-3F90F5AFDEB8}"/>
    <cellStyle name="Normal 11 2 2 3 2 4 4" xfId="15676" xr:uid="{0F7C128D-8F9C-4DD3-9F39-263BCDF3B6BA}"/>
    <cellStyle name="Normal 11 2 2 3 2 4 4 2" xfId="41168" xr:uid="{94FE799B-0259-42AC-A218-E00A7CED8448}"/>
    <cellStyle name="Normal 11 2 2 3 2 4 5" xfId="28577" xr:uid="{4813A333-864D-4951-9E82-BB60FFA1EB03}"/>
    <cellStyle name="Normal 11 2 2 3 2 5" xfId="3487" xr:uid="{AEEE3762-4A58-41F2-BC4A-40DE421F11F3}"/>
    <cellStyle name="Normal 11 2 2 3 2 5 2" xfId="6641" xr:uid="{42CFB7BF-BB20-421A-A931-556814D1C11D}"/>
    <cellStyle name="Normal 11 2 2 3 2 5 2 2" xfId="12934" xr:uid="{28B24367-CED4-4350-89CC-DF1D0ED399A9}"/>
    <cellStyle name="Normal 11 2 2 3 2 5 2 2 2" xfId="25616" xr:uid="{E59B2B68-118B-4C20-AE9D-4318B9643C43}"/>
    <cellStyle name="Normal 11 2 2 3 2 5 2 2 2 2" xfId="51108" xr:uid="{304F6022-1326-4515-8B1F-458D7045E27E}"/>
    <cellStyle name="Normal 11 2 2 3 2 5 2 2 3" xfId="38517" xr:uid="{2F79FDE0-A575-4AB0-BE47-FC27A771A472}"/>
    <cellStyle name="Normal 11 2 2 3 2 5 2 3" xfId="19338" xr:uid="{AEF6BDDD-B6DE-4335-B94D-E78DAE4EA9BD}"/>
    <cellStyle name="Normal 11 2 2 3 2 5 2 3 2" xfId="44830" xr:uid="{D026682A-A84D-4163-80A6-C12DDA7B4FE0}"/>
    <cellStyle name="Normal 11 2 2 3 2 5 2 4" xfId="32239" xr:uid="{EEA9A7F9-6F97-4154-84F2-1586EC662F34}"/>
    <cellStyle name="Normal 11 2 2 3 2 5 3" xfId="9795" xr:uid="{CC531955-E253-47AF-B025-79F4BE930724}"/>
    <cellStyle name="Normal 11 2 2 3 2 5 3 2" xfId="22477" xr:uid="{8DFE2367-8453-4D88-8852-6355D8320AA4}"/>
    <cellStyle name="Normal 11 2 2 3 2 5 3 2 2" xfId="47969" xr:uid="{67E09F15-7D5B-414D-AB48-40171E054987}"/>
    <cellStyle name="Normal 11 2 2 3 2 5 3 3" xfId="35378" xr:uid="{DC86D722-8745-4F98-A25E-A77787453F69}"/>
    <cellStyle name="Normal 11 2 2 3 2 5 4" xfId="16199" xr:uid="{9CE33E6F-6AF3-422C-B47B-6EE6D9889AED}"/>
    <cellStyle name="Normal 11 2 2 3 2 5 4 2" xfId="41691" xr:uid="{4772E331-7216-49F1-BDBE-0853E4DC8E94}"/>
    <cellStyle name="Normal 11 2 2 3 2 5 5" xfId="29100" xr:uid="{98052EE0-5EB2-4A74-BD12-CF28F3CE6AA4}"/>
    <cellStyle name="Normal 11 2 2 3 2 6" xfId="4287" xr:uid="{FD98F212-18B5-4918-9016-61A6E0349E4E}"/>
    <cellStyle name="Normal 11 2 2 3 2 6 2" xfId="10580" xr:uid="{64C1EED8-5166-4CA1-BE25-DCE2E683171B}"/>
    <cellStyle name="Normal 11 2 2 3 2 6 2 2" xfId="23262" xr:uid="{07E850A8-7A2D-45AB-B807-1912CCD0465C}"/>
    <cellStyle name="Normal 11 2 2 3 2 6 2 2 2" xfId="48754" xr:uid="{CE230172-A36E-4D4E-B649-67824821E49F}"/>
    <cellStyle name="Normal 11 2 2 3 2 6 2 3" xfId="36163" xr:uid="{5DCC2658-A5EC-4905-AB13-4DAC955407C7}"/>
    <cellStyle name="Normal 11 2 2 3 2 6 3" xfId="16984" xr:uid="{E8896BA6-FC6E-4CEA-975A-94444AECF63B}"/>
    <cellStyle name="Normal 11 2 2 3 2 6 3 2" xfId="42476" xr:uid="{E560560C-6DB5-46B4-A1C3-56DE15A40AD7}"/>
    <cellStyle name="Normal 11 2 2 3 2 6 4" xfId="29885" xr:uid="{3EE3183A-CB51-4216-8F56-BF8B5C7A5F20}"/>
    <cellStyle name="Normal 11 2 2 3 2 7" xfId="7441" xr:uid="{BD936F5E-314D-4140-A04A-52ABE287C8CD}"/>
    <cellStyle name="Normal 11 2 2 3 2 7 2" xfId="20123" xr:uid="{6599B996-0504-4E28-9117-ACDDFA70A167}"/>
    <cellStyle name="Normal 11 2 2 3 2 7 2 2" xfId="45615" xr:uid="{D41FC014-EF7F-43BF-88C1-9BE2D2A4CE76}"/>
    <cellStyle name="Normal 11 2 2 3 2 7 3" xfId="33024" xr:uid="{79660DAD-BAD5-426A-BB3A-C936FF05A6A8}"/>
    <cellStyle name="Normal 11 2 2 3 2 8" xfId="13845" xr:uid="{0D3818EB-6FD8-4409-AF57-C987A3B8B3CE}"/>
    <cellStyle name="Normal 11 2 2 3 2 8 2" xfId="39337" xr:uid="{F0611EF4-D2F2-407D-93D8-22E494759C9C}"/>
    <cellStyle name="Normal 11 2 2 3 2 9" xfId="26746" xr:uid="{C3343038-4DCC-4327-8B41-FBA3843605BF}"/>
    <cellStyle name="Normal 11 2 2 3 3" xfId="873" xr:uid="{F2172C23-B6D6-48AC-ACBA-CC63A37CEB29}"/>
    <cellStyle name="Normal 11 2 2 3 3 2" xfId="2180" xr:uid="{6CBBD1B5-8A93-4F7E-9A93-2EC2298BCC0B}"/>
    <cellStyle name="Normal 11 2 2 3 3 2 2" xfId="5334" xr:uid="{AE875164-6C45-41F4-AB13-8FE885053D29}"/>
    <cellStyle name="Normal 11 2 2 3 3 2 2 2" xfId="11627" xr:uid="{1325A19C-2AD4-4CB0-B49C-2CF940BABCB2}"/>
    <cellStyle name="Normal 11 2 2 3 3 2 2 2 2" xfId="24309" xr:uid="{B9574590-046A-4490-AD12-C58F0E000C75}"/>
    <cellStyle name="Normal 11 2 2 3 3 2 2 2 2 2" xfId="49801" xr:uid="{1C77A6A6-8F89-4BB1-B090-2478D632DD5D}"/>
    <cellStyle name="Normal 11 2 2 3 3 2 2 2 3" xfId="37210" xr:uid="{FFB670BA-6EF0-4F54-8640-66E2EE62D6FE}"/>
    <cellStyle name="Normal 11 2 2 3 3 2 2 3" xfId="18031" xr:uid="{4FAAF329-966A-4781-BA54-34CF785681A5}"/>
    <cellStyle name="Normal 11 2 2 3 3 2 2 3 2" xfId="43523" xr:uid="{D0193A9B-F3CB-4141-BBF5-11163BA5CE54}"/>
    <cellStyle name="Normal 11 2 2 3 3 2 2 4" xfId="30932" xr:uid="{D33E9CC1-7E4D-4F3B-BA67-2F4233102805}"/>
    <cellStyle name="Normal 11 2 2 3 3 2 3" xfId="8488" xr:uid="{C9A5823D-1DDA-4A7E-9E13-FBA75D17C47D}"/>
    <cellStyle name="Normal 11 2 2 3 3 2 3 2" xfId="21170" xr:uid="{BAF9B540-2545-438A-9D09-C2ECA9A0FEC7}"/>
    <cellStyle name="Normal 11 2 2 3 3 2 3 2 2" xfId="46662" xr:uid="{8E9B7736-32F1-458A-B556-96875CD83DEE}"/>
    <cellStyle name="Normal 11 2 2 3 3 2 3 3" xfId="34071" xr:uid="{20B04241-4212-4A6E-AAC8-339A6B910B0B}"/>
    <cellStyle name="Normal 11 2 2 3 3 2 4" xfId="14892" xr:uid="{FE0213CD-9627-470A-ACD1-9BDF578EF58C}"/>
    <cellStyle name="Normal 11 2 2 3 3 2 4 2" xfId="40384" xr:uid="{CFA71E42-280A-4EFA-8525-6D8D52DAB21B}"/>
    <cellStyle name="Normal 11 2 2 3 3 2 5" xfId="27793" xr:uid="{1547A515-7B44-48BE-A630-85A3A5E5F321}"/>
    <cellStyle name="Normal 11 2 2 3 3 3" xfId="4027" xr:uid="{632A974F-7084-450F-B9C3-F5A0D9BB9113}"/>
    <cellStyle name="Normal 11 2 2 3 3 3 2" xfId="10320" xr:uid="{0EB973DD-33A2-4BC5-8A5C-FEABB05A8FD6}"/>
    <cellStyle name="Normal 11 2 2 3 3 3 2 2" xfId="23002" xr:uid="{F00C6DFA-8E10-4F74-95C3-E534AA9BC431}"/>
    <cellStyle name="Normal 11 2 2 3 3 3 2 2 2" xfId="48494" xr:uid="{32257C13-7AEF-406B-8B5F-B4BE5D6BFBDA}"/>
    <cellStyle name="Normal 11 2 2 3 3 3 2 3" xfId="35903" xr:uid="{18887097-C868-4B23-89B5-1CAEF2B378B1}"/>
    <cellStyle name="Normal 11 2 2 3 3 3 3" xfId="16724" xr:uid="{9D3827A2-000C-410A-A5DB-4C6D0FC95006}"/>
    <cellStyle name="Normal 11 2 2 3 3 3 3 2" xfId="42216" xr:uid="{970BBCB5-2E7A-4BD1-93B4-C4C345F27E5D}"/>
    <cellStyle name="Normal 11 2 2 3 3 3 4" xfId="29625" xr:uid="{EDEA7AC7-AA97-4C4B-B74B-59F4E6F33D3B}"/>
    <cellStyle name="Normal 11 2 2 3 3 4" xfId="7181" xr:uid="{66DCC4EF-9C0A-44A3-9B39-F8004A6565C5}"/>
    <cellStyle name="Normal 11 2 2 3 3 4 2" xfId="19863" xr:uid="{39A52560-9E60-45CF-BDD8-2C9BAC968BE2}"/>
    <cellStyle name="Normal 11 2 2 3 3 4 2 2" xfId="45355" xr:uid="{0B3479FB-4D49-49E0-850B-EAF95ABE1995}"/>
    <cellStyle name="Normal 11 2 2 3 3 4 3" xfId="32764" xr:uid="{CD4B03E4-F254-41FD-A2A0-2399429C045A}"/>
    <cellStyle name="Normal 11 2 2 3 3 5" xfId="13585" xr:uid="{0C43C9AE-ADAE-4F9B-9208-C633CF49992C}"/>
    <cellStyle name="Normal 11 2 2 3 3 5 2" xfId="39077" xr:uid="{7188C3BA-A3A9-4C1C-B790-FDE32A3EAF4D}"/>
    <cellStyle name="Normal 11 2 2 3 3 6" xfId="26486" xr:uid="{009F8384-F3F3-42E6-AE6D-1FA0AA9D6690}"/>
    <cellStyle name="Normal 11 2 2 3 4" xfId="1918" xr:uid="{BE7815EA-5199-436E-A9EF-5FD64615B1C9}"/>
    <cellStyle name="Normal 11 2 2 3 4 2" xfId="5072" xr:uid="{21D72028-2C05-4684-8DFA-57201EB66FA9}"/>
    <cellStyle name="Normal 11 2 2 3 4 2 2" xfId="11365" xr:uid="{C109974C-2DDF-44BD-B807-796EBD6C2A8B}"/>
    <cellStyle name="Normal 11 2 2 3 4 2 2 2" xfId="24047" xr:uid="{C7B8D060-F7D5-453A-9BA1-95CFFD377DB5}"/>
    <cellStyle name="Normal 11 2 2 3 4 2 2 2 2" xfId="49539" xr:uid="{1B9A64BC-A4E6-433F-A5AC-3A0ED9592AF5}"/>
    <cellStyle name="Normal 11 2 2 3 4 2 2 3" xfId="36948" xr:uid="{24251043-B922-4882-82D7-28493DCA1122}"/>
    <cellStyle name="Normal 11 2 2 3 4 2 3" xfId="17769" xr:uid="{F9907BE7-5F4C-40CE-BA1F-80707C52AA42}"/>
    <cellStyle name="Normal 11 2 2 3 4 2 3 2" xfId="43261" xr:uid="{4A2B32EE-1362-45F2-A6EB-5E7F9730C047}"/>
    <cellStyle name="Normal 11 2 2 3 4 2 4" xfId="30670" xr:uid="{2966B258-DAED-4CAB-A86B-A520F0104F62}"/>
    <cellStyle name="Normal 11 2 2 3 4 3" xfId="8226" xr:uid="{EA9FD8A0-C1AE-4E20-AEBB-76B72812025B}"/>
    <cellStyle name="Normal 11 2 2 3 4 3 2" xfId="20908" xr:uid="{822B0930-D7D7-4DD7-936C-8A5637F4598D}"/>
    <cellStyle name="Normal 11 2 2 3 4 3 2 2" xfId="46400" xr:uid="{A0118E6F-5359-4D9A-8472-081EAB980DC5}"/>
    <cellStyle name="Normal 11 2 2 3 4 3 3" xfId="33809" xr:uid="{A7CD50D1-00B3-45A8-BE18-5DF216779133}"/>
    <cellStyle name="Normal 11 2 2 3 4 4" xfId="14630" xr:uid="{90E57EE4-3E22-4806-91F7-580660795295}"/>
    <cellStyle name="Normal 11 2 2 3 4 4 2" xfId="40122" xr:uid="{ED6DF98F-E2B0-4010-82A3-7D0BB5762B14}"/>
    <cellStyle name="Normal 11 2 2 3 4 5" xfId="27531" xr:uid="{C65812C9-4D15-409E-8619-E57D391070FD}"/>
    <cellStyle name="Normal 11 2 2 3 5" xfId="1396" xr:uid="{5F587B9F-7722-4B94-87DD-B97D31304DDF}"/>
    <cellStyle name="Normal 11 2 2 3 5 2" xfId="4550" xr:uid="{CF1C17C2-4373-4214-93B8-589826BCF425}"/>
    <cellStyle name="Normal 11 2 2 3 5 2 2" xfId="10843" xr:uid="{6A5B1C9E-D5CD-4CCE-83C6-E269E4B5D855}"/>
    <cellStyle name="Normal 11 2 2 3 5 2 2 2" xfId="23525" xr:uid="{1B137055-DFEE-497E-86C3-9476098300B5}"/>
    <cellStyle name="Normal 11 2 2 3 5 2 2 2 2" xfId="49017" xr:uid="{1498CF59-38EB-4A48-9090-76301FA2BF23}"/>
    <cellStyle name="Normal 11 2 2 3 5 2 2 3" xfId="36426" xr:uid="{3D94FD6F-52E1-468D-8892-15482D20FB84}"/>
    <cellStyle name="Normal 11 2 2 3 5 2 3" xfId="17247" xr:uid="{EBD5226E-8399-41E5-AA69-CCBBC2109F7B}"/>
    <cellStyle name="Normal 11 2 2 3 5 2 3 2" xfId="42739" xr:uid="{3715201C-2434-42F6-BBEC-2E3689375829}"/>
    <cellStyle name="Normal 11 2 2 3 5 2 4" xfId="30148" xr:uid="{CC4707E1-26CB-4506-97E3-40402A171AA3}"/>
    <cellStyle name="Normal 11 2 2 3 5 3" xfId="7704" xr:uid="{CFD24CC7-665D-4167-90E1-8255D169E1BB}"/>
    <cellStyle name="Normal 11 2 2 3 5 3 2" xfId="20386" xr:uid="{6D5876DF-FA50-4A7B-8076-C5366AD72DB4}"/>
    <cellStyle name="Normal 11 2 2 3 5 3 2 2" xfId="45878" xr:uid="{85D0B123-2026-4964-B418-75E53C3D8DAF}"/>
    <cellStyle name="Normal 11 2 2 3 5 3 3" xfId="33287" xr:uid="{C9997829-03D0-4648-88DC-0D2F80362EB7}"/>
    <cellStyle name="Normal 11 2 2 3 5 4" xfId="14108" xr:uid="{38A23E7F-A19F-47E9-A9D4-17D294525F96}"/>
    <cellStyle name="Normal 11 2 2 3 5 4 2" xfId="39600" xr:uid="{D56E7A8D-09AC-4EA4-8A7D-587277983305}"/>
    <cellStyle name="Normal 11 2 2 3 5 5" xfId="27009" xr:uid="{0256A748-896D-4B2B-8C4C-4F1AA33B52A2}"/>
    <cellStyle name="Normal 11 2 2 3 6" xfId="2703" xr:uid="{43C6901C-076B-4681-8216-EAB394ACC6B4}"/>
    <cellStyle name="Normal 11 2 2 3 6 2" xfId="5857" xr:uid="{42AEF23C-6972-4485-BD1F-4F0EBDC0B5F4}"/>
    <cellStyle name="Normal 11 2 2 3 6 2 2" xfId="12150" xr:uid="{E70D1C04-7E8E-4991-BFEA-079F644B1919}"/>
    <cellStyle name="Normal 11 2 2 3 6 2 2 2" xfId="24832" xr:uid="{D3E4E8BD-E64D-42E3-B1C5-B03DB969C8FC}"/>
    <cellStyle name="Normal 11 2 2 3 6 2 2 2 2" xfId="50324" xr:uid="{2246ADB9-4095-4F15-8A01-14855B4F8EC6}"/>
    <cellStyle name="Normal 11 2 2 3 6 2 2 3" xfId="37733" xr:uid="{82798842-EE61-45F5-901E-F23ADF4EF720}"/>
    <cellStyle name="Normal 11 2 2 3 6 2 3" xfId="18554" xr:uid="{71DA9EC4-C9DF-49EB-A877-F3B8F51A7C61}"/>
    <cellStyle name="Normal 11 2 2 3 6 2 3 2" xfId="44046" xr:uid="{080F4682-80FC-4BCF-BB1B-4A22CF2D2B00}"/>
    <cellStyle name="Normal 11 2 2 3 6 2 4" xfId="31455" xr:uid="{D80A598C-2802-4C5B-8F76-9B80FCF9FBCF}"/>
    <cellStyle name="Normal 11 2 2 3 6 3" xfId="9011" xr:uid="{31F23010-D901-4268-99C6-13E7A6239548}"/>
    <cellStyle name="Normal 11 2 2 3 6 3 2" xfId="21693" xr:uid="{71EA17E4-19B9-457D-B571-8497BDD8AA94}"/>
    <cellStyle name="Normal 11 2 2 3 6 3 2 2" xfId="47185" xr:uid="{231CFF9F-4FC1-4540-9F71-FD38C7BAAE34}"/>
    <cellStyle name="Normal 11 2 2 3 6 3 3" xfId="34594" xr:uid="{4B449672-05DD-4801-8577-75C0DA87C952}"/>
    <cellStyle name="Normal 11 2 2 3 6 4" xfId="15415" xr:uid="{756104AB-9BE4-4271-B605-45AD62D65C65}"/>
    <cellStyle name="Normal 11 2 2 3 6 4 2" xfId="40907" xr:uid="{B56A8AD4-4AAF-4E93-AFEA-6B7DDFBE99DE}"/>
    <cellStyle name="Normal 11 2 2 3 6 5" xfId="28316" xr:uid="{311DD16A-EC78-4E97-B6DD-BF1518ADC1FC}"/>
    <cellStyle name="Normal 11 2 2 3 7" xfId="3226" xr:uid="{61D66BE2-94F2-4196-8B5C-5A35A61704CB}"/>
    <cellStyle name="Normal 11 2 2 3 7 2" xfId="6380" xr:uid="{A5CE77CB-9BEF-48B8-A30A-BD6B732FA37D}"/>
    <cellStyle name="Normal 11 2 2 3 7 2 2" xfId="12673" xr:uid="{B1D2B7AE-85FB-41E1-A1F0-CA9D89395879}"/>
    <cellStyle name="Normal 11 2 2 3 7 2 2 2" xfId="25355" xr:uid="{F9575D8C-8B74-4C56-9429-E92DD0F94987}"/>
    <cellStyle name="Normal 11 2 2 3 7 2 2 2 2" xfId="50847" xr:uid="{EAE2915A-A3C6-4EF2-9CBC-FD048F42CA73}"/>
    <cellStyle name="Normal 11 2 2 3 7 2 2 3" xfId="38256" xr:uid="{B48ADFA4-54C5-4566-891F-1F734FDD3C1C}"/>
    <cellStyle name="Normal 11 2 2 3 7 2 3" xfId="19077" xr:uid="{7D09C261-9DCD-4685-9BDC-38CB362653AA}"/>
    <cellStyle name="Normal 11 2 2 3 7 2 3 2" xfId="44569" xr:uid="{472D7687-F326-44EC-B046-068589F0847F}"/>
    <cellStyle name="Normal 11 2 2 3 7 2 4" xfId="31978" xr:uid="{919A0BC5-6D0E-4681-A4F1-05561560832F}"/>
    <cellStyle name="Normal 11 2 2 3 7 3" xfId="9534" xr:uid="{25CC264D-2695-4FAB-A28F-F84042905177}"/>
    <cellStyle name="Normal 11 2 2 3 7 3 2" xfId="22216" xr:uid="{FA5125BA-D59E-496B-90FC-49528509A638}"/>
    <cellStyle name="Normal 11 2 2 3 7 3 2 2" xfId="47708" xr:uid="{B95BEE93-196A-4F06-8FDA-1DD9A4F6C37C}"/>
    <cellStyle name="Normal 11 2 2 3 7 3 3" xfId="35117" xr:uid="{E7011DA7-14FE-43D2-9EE1-DEE2AA07BFF7}"/>
    <cellStyle name="Normal 11 2 2 3 7 4" xfId="15938" xr:uid="{C7F513D1-4A39-41AC-8E4B-7803ACBDC965}"/>
    <cellStyle name="Normal 11 2 2 3 7 4 2" xfId="41430" xr:uid="{CA28AF62-580F-4D97-9A7F-93B5221DDF4C}"/>
    <cellStyle name="Normal 11 2 2 3 7 5" xfId="28839" xr:uid="{5C38011F-1129-4AC4-8C18-01ACAF7B825E}"/>
    <cellStyle name="Normal 11 2 2 3 8" xfId="3765" xr:uid="{8AC21410-8091-4394-93CF-61E57F75C57E}"/>
    <cellStyle name="Normal 11 2 2 3 8 2" xfId="10058" xr:uid="{B946A091-D1E2-44F8-AB5C-55148C3950F6}"/>
    <cellStyle name="Normal 11 2 2 3 8 2 2" xfId="22740" xr:uid="{EABD8B04-CD49-4E4B-AD0C-E2F5D36058C9}"/>
    <cellStyle name="Normal 11 2 2 3 8 2 2 2" xfId="48232" xr:uid="{6A1E379C-863A-479A-A97F-6A54E0986EAF}"/>
    <cellStyle name="Normal 11 2 2 3 8 2 3" xfId="35641" xr:uid="{4E5BF6DD-1345-4B5B-9CAF-C296BE57F2D6}"/>
    <cellStyle name="Normal 11 2 2 3 8 3" xfId="16462" xr:uid="{A30BA0CF-2E08-4E04-9878-40C98E01BB75}"/>
    <cellStyle name="Normal 11 2 2 3 8 3 2" xfId="41954" xr:uid="{FEFA5C52-BA22-46FE-A5C2-C46A0884EFAA}"/>
    <cellStyle name="Normal 11 2 2 3 8 4" xfId="29363" xr:uid="{338E2282-8676-47A6-AAF9-A5F6AB3B383C}"/>
    <cellStyle name="Normal 11 2 2 3 9" xfId="6919" xr:uid="{A6A07024-4249-49F3-B2D9-5BEC287082B3}"/>
    <cellStyle name="Normal 11 2 2 3 9 2" xfId="19601" xr:uid="{C05CACA6-CA6C-4F72-9B06-B05C47095FF7}"/>
    <cellStyle name="Normal 11 2 2 3 9 2 2" xfId="45093" xr:uid="{A8C66FEF-96E2-444D-9772-B2EDDF97D78F}"/>
    <cellStyle name="Normal 11 2 2 3 9 3" xfId="32502" xr:uid="{FB111640-4374-47ED-8B86-B502BC2DF46B}"/>
    <cellStyle name="Normal 11 2 2 4" xfId="557" xr:uid="{FB117204-D624-4C62-B244-6D44F554EAC1}"/>
    <cellStyle name="Normal 11 2 2 4 10" xfId="13284" xr:uid="{7687F836-CC19-456A-8018-50D41C4E2DFB}"/>
    <cellStyle name="Normal 11 2 2 4 10 2" xfId="38776" xr:uid="{857B0583-8508-4125-B810-3C1A3EA45AF5}"/>
    <cellStyle name="Normal 11 2 2 4 11" xfId="26185" xr:uid="{1164A706-3371-4483-8001-00419C0FC681}"/>
    <cellStyle name="Normal 11 2 2 4 2" xfId="1094" xr:uid="{C4724267-366F-4E0D-A79F-9A8994E146B8}"/>
    <cellStyle name="Normal 11 2 2 4 2 2" xfId="2401" xr:uid="{87F7C439-2E6F-47C7-B2AA-00C10F9D7AB9}"/>
    <cellStyle name="Normal 11 2 2 4 2 2 2" xfId="5555" xr:uid="{AB62BB80-2342-4DBA-A4EF-9C744E2CEC1F}"/>
    <cellStyle name="Normal 11 2 2 4 2 2 2 2" xfId="11848" xr:uid="{680C5691-7CED-429F-B75B-0D21D7CD88D6}"/>
    <cellStyle name="Normal 11 2 2 4 2 2 2 2 2" xfId="24530" xr:uid="{63D63BD2-656D-4AC2-B659-749BF01F4750}"/>
    <cellStyle name="Normal 11 2 2 4 2 2 2 2 2 2" xfId="50022" xr:uid="{1ADC5E44-94E3-42E1-8704-DB77706DF4B1}"/>
    <cellStyle name="Normal 11 2 2 4 2 2 2 2 3" xfId="37431" xr:uid="{D082242F-65F7-4853-8617-FC671E0D134C}"/>
    <cellStyle name="Normal 11 2 2 4 2 2 2 3" xfId="18252" xr:uid="{3F1CACF1-7BF9-45E6-82B2-8162E459A5BB}"/>
    <cellStyle name="Normal 11 2 2 4 2 2 2 3 2" xfId="43744" xr:uid="{460479AE-B4BB-4EB8-B871-E32953A30D9E}"/>
    <cellStyle name="Normal 11 2 2 4 2 2 2 4" xfId="31153" xr:uid="{F2036882-8BFB-4895-893D-C9BFAC366CA8}"/>
    <cellStyle name="Normal 11 2 2 4 2 2 3" xfId="8709" xr:uid="{56BA4660-21DC-4629-8DC3-969EDF94F179}"/>
    <cellStyle name="Normal 11 2 2 4 2 2 3 2" xfId="21391" xr:uid="{CE1B37A7-1D43-463D-B79F-69A1F43977A2}"/>
    <cellStyle name="Normal 11 2 2 4 2 2 3 2 2" xfId="46883" xr:uid="{E095A1B5-689C-4B66-8010-51C5ECE387E7}"/>
    <cellStyle name="Normal 11 2 2 4 2 2 3 3" xfId="34292" xr:uid="{962803B3-64BD-4C82-94BB-BE38B2B3811D}"/>
    <cellStyle name="Normal 11 2 2 4 2 2 4" xfId="15113" xr:uid="{DC6ECDEE-488B-46D7-8CCE-08D683B030DD}"/>
    <cellStyle name="Normal 11 2 2 4 2 2 4 2" xfId="40605" xr:uid="{7BEC3E9F-77D7-4969-8050-8E318D4C2420}"/>
    <cellStyle name="Normal 11 2 2 4 2 2 5" xfId="28014" xr:uid="{3EBEC43C-BCDF-4316-A1DE-4E1A90092481}"/>
    <cellStyle name="Normal 11 2 2 4 2 3" xfId="1618" xr:uid="{186E8E05-9EEA-4949-AF3B-7FEE52E18D03}"/>
    <cellStyle name="Normal 11 2 2 4 2 3 2" xfId="4772" xr:uid="{C2CB26EA-10CF-4A11-8CDA-A5EA6380C798}"/>
    <cellStyle name="Normal 11 2 2 4 2 3 2 2" xfId="11065" xr:uid="{AA8185D1-51D4-4607-8B38-5BEFBA5BAD53}"/>
    <cellStyle name="Normal 11 2 2 4 2 3 2 2 2" xfId="23747" xr:uid="{90F98435-06F0-4740-9389-CE56520490CE}"/>
    <cellStyle name="Normal 11 2 2 4 2 3 2 2 2 2" xfId="49239" xr:uid="{3395BFD7-EC99-4BC2-807D-9C3CE2999935}"/>
    <cellStyle name="Normal 11 2 2 4 2 3 2 2 3" xfId="36648" xr:uid="{76835C0C-3845-47D8-AA7D-B11C8C4A8D76}"/>
    <cellStyle name="Normal 11 2 2 4 2 3 2 3" xfId="17469" xr:uid="{59B28E50-C8D9-47A4-9C7B-7B6BD016B180}"/>
    <cellStyle name="Normal 11 2 2 4 2 3 2 3 2" xfId="42961" xr:uid="{61ECD6BC-2E35-44EC-8532-F31BD044CEBB}"/>
    <cellStyle name="Normal 11 2 2 4 2 3 2 4" xfId="30370" xr:uid="{272633F4-6B59-4EC6-BA35-70E9221F66B6}"/>
    <cellStyle name="Normal 11 2 2 4 2 3 3" xfId="7926" xr:uid="{6D4AA4BB-65FC-470A-AF79-720324EE20B5}"/>
    <cellStyle name="Normal 11 2 2 4 2 3 3 2" xfId="20608" xr:uid="{82A9C71F-09AB-41D7-8303-E41F03B4CD7E}"/>
    <cellStyle name="Normal 11 2 2 4 2 3 3 2 2" xfId="46100" xr:uid="{92B00502-C0DD-4B1F-A538-2B326FDFD802}"/>
    <cellStyle name="Normal 11 2 2 4 2 3 3 3" xfId="33509" xr:uid="{CFBC5C93-7688-4E62-A003-05005FEECAB2}"/>
    <cellStyle name="Normal 11 2 2 4 2 3 4" xfId="14330" xr:uid="{28F7970E-08D9-4DD9-B496-0C2BF0F96EDF}"/>
    <cellStyle name="Normal 11 2 2 4 2 3 4 2" xfId="39822" xr:uid="{77669860-7A1D-4F89-94BA-85A07E94BDAE}"/>
    <cellStyle name="Normal 11 2 2 4 2 3 5" xfId="27231" xr:uid="{82EBF043-AA68-422D-B296-6C26920FE192}"/>
    <cellStyle name="Normal 11 2 2 4 2 4" xfId="2925" xr:uid="{5D368DAD-63C7-4DFF-946E-1D65EBE65F46}"/>
    <cellStyle name="Normal 11 2 2 4 2 4 2" xfId="6079" xr:uid="{B6A0C630-3E37-46BF-AFB1-F4970DFA46A8}"/>
    <cellStyle name="Normal 11 2 2 4 2 4 2 2" xfId="12372" xr:uid="{733C5C24-44BB-402B-BAD6-8A37758FE2ED}"/>
    <cellStyle name="Normal 11 2 2 4 2 4 2 2 2" xfId="25054" xr:uid="{71887145-FE10-4140-9798-DF425C4028B6}"/>
    <cellStyle name="Normal 11 2 2 4 2 4 2 2 2 2" xfId="50546" xr:uid="{FC3F78E0-807D-420B-ABD6-C9783FB1F752}"/>
    <cellStyle name="Normal 11 2 2 4 2 4 2 2 3" xfId="37955" xr:uid="{DA3BC43F-25E0-4AFB-AFC3-E9B9F166EEB7}"/>
    <cellStyle name="Normal 11 2 2 4 2 4 2 3" xfId="18776" xr:uid="{C1439C8C-C024-4D36-B932-5145387B2C33}"/>
    <cellStyle name="Normal 11 2 2 4 2 4 2 3 2" xfId="44268" xr:uid="{5DE88FA2-09FE-49C8-8AD4-7CC9D8425034}"/>
    <cellStyle name="Normal 11 2 2 4 2 4 2 4" xfId="31677" xr:uid="{A96ED92F-3881-4438-AF12-311569CE17FB}"/>
    <cellStyle name="Normal 11 2 2 4 2 4 3" xfId="9233" xr:uid="{86359DE2-EEA4-41E7-8147-9BD9408C3A0F}"/>
    <cellStyle name="Normal 11 2 2 4 2 4 3 2" xfId="21915" xr:uid="{4562D6D1-79EB-4050-B1A2-A660FA810F3C}"/>
    <cellStyle name="Normal 11 2 2 4 2 4 3 2 2" xfId="47407" xr:uid="{C9E44EDA-2E25-4873-9D55-7AA50F7705F3}"/>
    <cellStyle name="Normal 11 2 2 4 2 4 3 3" xfId="34816" xr:uid="{DEECB6AC-F6B6-4095-A5F2-AD70D000D8FB}"/>
    <cellStyle name="Normal 11 2 2 4 2 4 4" xfId="15637" xr:uid="{04FDAE8D-F721-4C81-87B1-B7DC13FBAE13}"/>
    <cellStyle name="Normal 11 2 2 4 2 4 4 2" xfId="41129" xr:uid="{CD5E2741-9B08-450C-BBFE-BB594B8C6035}"/>
    <cellStyle name="Normal 11 2 2 4 2 4 5" xfId="28538" xr:uid="{0EFF5EC8-07FD-4A93-B2F9-9BD4AC2B9F09}"/>
    <cellStyle name="Normal 11 2 2 4 2 5" xfId="3448" xr:uid="{8A57D5AF-D543-46F5-AB05-D16C9532FE7E}"/>
    <cellStyle name="Normal 11 2 2 4 2 5 2" xfId="6602" xr:uid="{3453618F-535F-4C3D-84B6-23490471222D}"/>
    <cellStyle name="Normal 11 2 2 4 2 5 2 2" xfId="12895" xr:uid="{CF64BE91-B412-4809-B92C-B845C0682140}"/>
    <cellStyle name="Normal 11 2 2 4 2 5 2 2 2" xfId="25577" xr:uid="{3FB4CDAF-74DB-4DF1-8CA2-F2388B9C2790}"/>
    <cellStyle name="Normal 11 2 2 4 2 5 2 2 2 2" xfId="51069" xr:uid="{CA44C403-B684-433F-982A-6F3164E2A53D}"/>
    <cellStyle name="Normal 11 2 2 4 2 5 2 2 3" xfId="38478" xr:uid="{1B1484B5-BCDD-4E24-91E8-C1241577ACD3}"/>
    <cellStyle name="Normal 11 2 2 4 2 5 2 3" xfId="19299" xr:uid="{DD036E03-F980-4E19-B40F-861FD2512757}"/>
    <cellStyle name="Normal 11 2 2 4 2 5 2 3 2" xfId="44791" xr:uid="{4B6DB9BF-CE42-4722-8F96-EFCD8FF325C5}"/>
    <cellStyle name="Normal 11 2 2 4 2 5 2 4" xfId="32200" xr:uid="{98FB359A-1286-4E9F-9F42-EA5D6F3EA183}"/>
    <cellStyle name="Normal 11 2 2 4 2 5 3" xfId="9756" xr:uid="{5133A053-7F28-4D63-B2EE-61156C19E9BD}"/>
    <cellStyle name="Normal 11 2 2 4 2 5 3 2" xfId="22438" xr:uid="{F997AAFC-756F-4882-8142-E25382F99F36}"/>
    <cellStyle name="Normal 11 2 2 4 2 5 3 2 2" xfId="47930" xr:uid="{D12D37FC-12BD-4908-BFB1-BD513F7FFA61}"/>
    <cellStyle name="Normal 11 2 2 4 2 5 3 3" xfId="35339" xr:uid="{7136DB54-8E47-43B7-8087-F2BB940B41C2}"/>
    <cellStyle name="Normal 11 2 2 4 2 5 4" xfId="16160" xr:uid="{424C9C23-6ABA-4901-8B49-BE4076A30278}"/>
    <cellStyle name="Normal 11 2 2 4 2 5 4 2" xfId="41652" xr:uid="{F8006D0D-023F-4468-AFD4-E8CA9AECEEE7}"/>
    <cellStyle name="Normal 11 2 2 4 2 5 5" xfId="29061" xr:uid="{BD21CB0E-3B1B-491A-A7AA-CCC62BA13A08}"/>
    <cellStyle name="Normal 11 2 2 4 2 6" xfId="4248" xr:uid="{A3A10D07-24CE-4880-A782-FF9E70454A9F}"/>
    <cellStyle name="Normal 11 2 2 4 2 6 2" xfId="10541" xr:uid="{AB016751-6C98-47D9-8380-2E04287FF0E8}"/>
    <cellStyle name="Normal 11 2 2 4 2 6 2 2" xfId="23223" xr:uid="{312A680F-7751-49F1-AC66-7B035D83A075}"/>
    <cellStyle name="Normal 11 2 2 4 2 6 2 2 2" xfId="48715" xr:uid="{A8DB8D9C-A5B3-4A8F-ADE1-C72A47D17ED0}"/>
    <cellStyle name="Normal 11 2 2 4 2 6 2 3" xfId="36124" xr:uid="{2C1C0B83-F8D1-4BC6-A8C0-77AD4F49CC0D}"/>
    <cellStyle name="Normal 11 2 2 4 2 6 3" xfId="16945" xr:uid="{64B8BF9C-C725-4D99-82D5-8A69441A99E6}"/>
    <cellStyle name="Normal 11 2 2 4 2 6 3 2" xfId="42437" xr:uid="{716EE95B-7386-4FE1-985A-0E234FEE431F}"/>
    <cellStyle name="Normal 11 2 2 4 2 6 4" xfId="29846" xr:uid="{1A05F545-0C6F-403B-88B1-68690EABA7E9}"/>
    <cellStyle name="Normal 11 2 2 4 2 7" xfId="7402" xr:uid="{0F0EE869-25A9-4346-B16F-F9FFCD28DF9E}"/>
    <cellStyle name="Normal 11 2 2 4 2 7 2" xfId="20084" xr:uid="{E75C2C49-6F2C-4CB7-A6E3-0099B23E7A96}"/>
    <cellStyle name="Normal 11 2 2 4 2 7 2 2" xfId="45576" xr:uid="{68FDABAE-E50A-4C33-9022-8857EE7B24B8}"/>
    <cellStyle name="Normal 11 2 2 4 2 7 3" xfId="32985" xr:uid="{91167200-8121-4E1A-91BA-DB211B532E89}"/>
    <cellStyle name="Normal 11 2 2 4 2 8" xfId="13806" xr:uid="{86939E76-0485-4A28-A520-046DAEF79E20}"/>
    <cellStyle name="Normal 11 2 2 4 2 8 2" xfId="39298" xr:uid="{9314DFAF-1CBD-4866-BA05-D7AEAC4ADECF}"/>
    <cellStyle name="Normal 11 2 2 4 2 9" xfId="26707" xr:uid="{E8FEA745-C99D-4791-9DC0-A18882A59095}"/>
    <cellStyle name="Normal 11 2 2 4 3" xfId="834" xr:uid="{9D02D42C-F159-4336-9863-50707FCDF25C}"/>
    <cellStyle name="Normal 11 2 2 4 3 2" xfId="2141" xr:uid="{475BA084-AF40-481F-9AB3-90A46BDD6076}"/>
    <cellStyle name="Normal 11 2 2 4 3 2 2" xfId="5295" xr:uid="{AE26EA82-ABA0-42D5-9296-6BCCE13C1072}"/>
    <cellStyle name="Normal 11 2 2 4 3 2 2 2" xfId="11588" xr:uid="{0876E349-EA5A-418E-B092-5220A7F5BAB4}"/>
    <cellStyle name="Normal 11 2 2 4 3 2 2 2 2" xfId="24270" xr:uid="{F520DD40-32D4-4A7C-90E8-3432D2DBB16F}"/>
    <cellStyle name="Normal 11 2 2 4 3 2 2 2 2 2" xfId="49762" xr:uid="{A95EF93A-8463-4335-81F6-E54AADE0C238}"/>
    <cellStyle name="Normal 11 2 2 4 3 2 2 2 3" xfId="37171" xr:uid="{E046AED0-DF0C-4225-8F4B-A20668B1E07B}"/>
    <cellStyle name="Normal 11 2 2 4 3 2 2 3" xfId="17992" xr:uid="{4831582C-8A27-4B76-A703-F31D41E13895}"/>
    <cellStyle name="Normal 11 2 2 4 3 2 2 3 2" xfId="43484" xr:uid="{AD340EDE-F114-41AE-B688-CB69076FCDFE}"/>
    <cellStyle name="Normal 11 2 2 4 3 2 2 4" xfId="30893" xr:uid="{56380F53-8FCB-49A8-B7B0-3713F1FF2361}"/>
    <cellStyle name="Normal 11 2 2 4 3 2 3" xfId="8449" xr:uid="{CAA53C0D-4C19-4DE3-836A-7CF997A22202}"/>
    <cellStyle name="Normal 11 2 2 4 3 2 3 2" xfId="21131" xr:uid="{B01C0C1F-901A-4A0D-9B53-90A5518275F4}"/>
    <cellStyle name="Normal 11 2 2 4 3 2 3 2 2" xfId="46623" xr:uid="{51F94962-52D9-4889-9A48-0895D6A0DEA1}"/>
    <cellStyle name="Normal 11 2 2 4 3 2 3 3" xfId="34032" xr:uid="{EF005736-D6C6-439D-BDCC-9D9BA2FD8B95}"/>
    <cellStyle name="Normal 11 2 2 4 3 2 4" xfId="14853" xr:uid="{646FFB62-1A3B-4CAF-BB40-C2B67C278EC4}"/>
    <cellStyle name="Normal 11 2 2 4 3 2 4 2" xfId="40345" xr:uid="{C8F4E1DF-BFDD-4435-A402-62D360DB7344}"/>
    <cellStyle name="Normal 11 2 2 4 3 2 5" xfId="27754" xr:uid="{E8F58A4F-8A6C-43F3-84E9-9F37C2A38542}"/>
    <cellStyle name="Normal 11 2 2 4 3 3" xfId="3988" xr:uid="{1BF7F25A-CE51-4C1B-8291-F5C66A2088CF}"/>
    <cellStyle name="Normal 11 2 2 4 3 3 2" xfId="10281" xr:uid="{A7CBE7BC-0109-4BD7-8994-85F60A13E2C6}"/>
    <cellStyle name="Normal 11 2 2 4 3 3 2 2" xfId="22963" xr:uid="{A3905BB9-A2FA-4EE4-89ED-5D7F3006EE52}"/>
    <cellStyle name="Normal 11 2 2 4 3 3 2 2 2" xfId="48455" xr:uid="{F418FCDB-18F5-4A0C-8F6C-A2CCD7481BA6}"/>
    <cellStyle name="Normal 11 2 2 4 3 3 2 3" xfId="35864" xr:uid="{03B81AE5-B9D0-4D4E-AEB0-D54E2DB81853}"/>
    <cellStyle name="Normal 11 2 2 4 3 3 3" xfId="16685" xr:uid="{06BDE15A-8BA8-4C0D-BA98-87B84D64B6F4}"/>
    <cellStyle name="Normal 11 2 2 4 3 3 3 2" xfId="42177" xr:uid="{482E1259-DDE3-4343-9D25-35CEC1DCAF9A}"/>
    <cellStyle name="Normal 11 2 2 4 3 3 4" xfId="29586" xr:uid="{74DABE14-59FA-4981-B9AE-AD84DDC870F0}"/>
    <cellStyle name="Normal 11 2 2 4 3 4" xfId="7142" xr:uid="{CFB1522C-5303-4A95-8623-7D0556BBADB2}"/>
    <cellStyle name="Normal 11 2 2 4 3 4 2" xfId="19824" xr:uid="{5B8E6CE7-1CDC-4CD0-A79F-292175629A72}"/>
    <cellStyle name="Normal 11 2 2 4 3 4 2 2" xfId="45316" xr:uid="{0506CA0E-6412-4320-9805-CC764A2B4786}"/>
    <cellStyle name="Normal 11 2 2 4 3 4 3" xfId="32725" xr:uid="{01174B49-AA99-457F-8B47-52D13C4AB299}"/>
    <cellStyle name="Normal 11 2 2 4 3 5" xfId="13546" xr:uid="{7076BDFB-28EB-416B-B3A7-106C498E1544}"/>
    <cellStyle name="Normal 11 2 2 4 3 5 2" xfId="39038" xr:uid="{123FBA73-913D-4487-8987-A3B1F0ADF5B6}"/>
    <cellStyle name="Normal 11 2 2 4 3 6" xfId="26447" xr:uid="{62D80CF4-DA2A-4182-8AB1-157687D6AEDE}"/>
    <cellStyle name="Normal 11 2 2 4 4" xfId="1879" xr:uid="{4F57E1C5-8B4D-4564-8624-44C353F600DF}"/>
    <cellStyle name="Normal 11 2 2 4 4 2" xfId="5033" xr:uid="{A1ED4DBF-B31B-46B4-8E79-E4D5BD91EB4A}"/>
    <cellStyle name="Normal 11 2 2 4 4 2 2" xfId="11326" xr:uid="{7810AD8C-0B4F-4FB3-93FF-5ACFCB413D4E}"/>
    <cellStyle name="Normal 11 2 2 4 4 2 2 2" xfId="24008" xr:uid="{C84A5458-9727-43D3-93A8-769A7BFBDCE7}"/>
    <cellStyle name="Normal 11 2 2 4 4 2 2 2 2" xfId="49500" xr:uid="{82776344-9E41-4117-AF8A-EAEE57A7B969}"/>
    <cellStyle name="Normal 11 2 2 4 4 2 2 3" xfId="36909" xr:uid="{67EE21A0-1BF8-4D11-BAA9-62E85CC7504F}"/>
    <cellStyle name="Normal 11 2 2 4 4 2 3" xfId="17730" xr:uid="{D0C2B29D-7AC1-4489-A407-A64FC0E6B9AA}"/>
    <cellStyle name="Normal 11 2 2 4 4 2 3 2" xfId="43222" xr:uid="{263FF5C6-22AF-47DA-AFCD-9410287FD614}"/>
    <cellStyle name="Normal 11 2 2 4 4 2 4" xfId="30631" xr:uid="{AA3FA9BC-5D24-4B07-90E4-0FDFDD457A1F}"/>
    <cellStyle name="Normal 11 2 2 4 4 3" xfId="8187" xr:uid="{4F075155-4AC8-4CDD-A151-EA4725A2139E}"/>
    <cellStyle name="Normal 11 2 2 4 4 3 2" xfId="20869" xr:uid="{15F1407E-B0F9-4CBD-B21B-29200F8EA18A}"/>
    <cellStyle name="Normal 11 2 2 4 4 3 2 2" xfId="46361" xr:uid="{558CA52E-E5FD-42A0-895E-AFD124690329}"/>
    <cellStyle name="Normal 11 2 2 4 4 3 3" xfId="33770" xr:uid="{C5AAEB40-CCE9-4B36-8AAE-8A09B489AA9E}"/>
    <cellStyle name="Normal 11 2 2 4 4 4" xfId="14591" xr:uid="{E11BB0CC-47F4-43A8-817F-0E927DE9A294}"/>
    <cellStyle name="Normal 11 2 2 4 4 4 2" xfId="40083" xr:uid="{96D3C48E-92BF-4896-AA30-9AF564EA7119}"/>
    <cellStyle name="Normal 11 2 2 4 4 5" xfId="27492" xr:uid="{3A98583B-E5F4-4319-BFC0-F22A208186DE}"/>
    <cellStyle name="Normal 11 2 2 4 5" xfId="1357" xr:uid="{908FDED3-F1A8-403B-B619-DF8A716A63E6}"/>
    <cellStyle name="Normal 11 2 2 4 5 2" xfId="4511" xr:uid="{715277B3-B84F-4E95-8A9A-716CC9D07778}"/>
    <cellStyle name="Normal 11 2 2 4 5 2 2" xfId="10804" xr:uid="{62237684-CBEA-4E2A-9954-8D5EF726785A}"/>
    <cellStyle name="Normal 11 2 2 4 5 2 2 2" xfId="23486" xr:uid="{E31A97C8-A556-4FDB-8A6C-1120CCD9E1C7}"/>
    <cellStyle name="Normal 11 2 2 4 5 2 2 2 2" xfId="48978" xr:uid="{569C1B31-DF7C-4F43-A38E-F8CB0B5D940C}"/>
    <cellStyle name="Normal 11 2 2 4 5 2 2 3" xfId="36387" xr:uid="{4EF38BED-229F-4765-BD85-57621B6F752A}"/>
    <cellStyle name="Normal 11 2 2 4 5 2 3" xfId="17208" xr:uid="{5C1E8792-0A8B-47D7-8609-A836DF1DFE0F}"/>
    <cellStyle name="Normal 11 2 2 4 5 2 3 2" xfId="42700" xr:uid="{B1AB7A8D-07DA-48B2-A6F6-7137F8CAEC40}"/>
    <cellStyle name="Normal 11 2 2 4 5 2 4" xfId="30109" xr:uid="{B326847C-8838-40B4-9281-CDD3BDA32507}"/>
    <cellStyle name="Normal 11 2 2 4 5 3" xfId="7665" xr:uid="{B3D00AF8-012D-40DE-825C-E62303ACDE32}"/>
    <cellStyle name="Normal 11 2 2 4 5 3 2" xfId="20347" xr:uid="{ED3266A1-8637-42D2-86FF-496CD9DC3469}"/>
    <cellStyle name="Normal 11 2 2 4 5 3 2 2" xfId="45839" xr:uid="{25103C1A-154E-4CDA-8E6A-BDBD79D846FC}"/>
    <cellStyle name="Normal 11 2 2 4 5 3 3" xfId="33248" xr:uid="{E93A6551-E3C3-452F-B914-B7BE6337886F}"/>
    <cellStyle name="Normal 11 2 2 4 5 4" xfId="14069" xr:uid="{0CFB8062-92E3-404A-BD3F-ECF929D2A759}"/>
    <cellStyle name="Normal 11 2 2 4 5 4 2" xfId="39561" xr:uid="{0EE64D40-0FFE-4751-B069-F53551967C6E}"/>
    <cellStyle name="Normal 11 2 2 4 5 5" xfId="26970" xr:uid="{D43C88F9-71DE-42CB-B896-920ED207A3D2}"/>
    <cellStyle name="Normal 11 2 2 4 6" xfId="2664" xr:uid="{DDC6FBF5-E10B-4355-B817-566ECA438C0B}"/>
    <cellStyle name="Normal 11 2 2 4 6 2" xfId="5818" xr:uid="{538AC4D8-32EA-4B2F-8E1F-208926CB53A3}"/>
    <cellStyle name="Normal 11 2 2 4 6 2 2" xfId="12111" xr:uid="{51076FBD-CC92-49D1-8A21-E24874CBB3CE}"/>
    <cellStyle name="Normal 11 2 2 4 6 2 2 2" xfId="24793" xr:uid="{F5CB7B69-1243-4212-A2FE-2EB68E3C7E8F}"/>
    <cellStyle name="Normal 11 2 2 4 6 2 2 2 2" xfId="50285" xr:uid="{C1B1FB3B-7850-40D8-9150-623DD14D9F64}"/>
    <cellStyle name="Normal 11 2 2 4 6 2 2 3" xfId="37694" xr:uid="{269165EB-5181-467C-B5E6-6E5B983D0C6F}"/>
    <cellStyle name="Normal 11 2 2 4 6 2 3" xfId="18515" xr:uid="{B8F9CE34-08F1-4477-B9A3-CC87ABC68668}"/>
    <cellStyle name="Normal 11 2 2 4 6 2 3 2" xfId="44007" xr:uid="{028FA5E7-A16E-41B3-AD1D-74B994E8AAE4}"/>
    <cellStyle name="Normal 11 2 2 4 6 2 4" xfId="31416" xr:uid="{2AB1768C-20C6-4358-948C-BD8E61371735}"/>
    <cellStyle name="Normal 11 2 2 4 6 3" xfId="8972" xr:uid="{249D5A14-4ECB-4CF8-A620-ED5500C9AA36}"/>
    <cellStyle name="Normal 11 2 2 4 6 3 2" xfId="21654" xr:uid="{DF1D1D35-51D1-45FB-B37A-0B80B2D2CBE4}"/>
    <cellStyle name="Normal 11 2 2 4 6 3 2 2" xfId="47146" xr:uid="{E167E18E-A7E1-4ECF-845D-408E9F5714D0}"/>
    <cellStyle name="Normal 11 2 2 4 6 3 3" xfId="34555" xr:uid="{F2716C82-4830-4026-9754-597ABC55943D}"/>
    <cellStyle name="Normal 11 2 2 4 6 4" xfId="15376" xr:uid="{651D3B08-70D4-41D1-8BA5-4C4F91E94897}"/>
    <cellStyle name="Normal 11 2 2 4 6 4 2" xfId="40868" xr:uid="{461FF36D-D53A-4E59-A433-08398E899884}"/>
    <cellStyle name="Normal 11 2 2 4 6 5" xfId="28277" xr:uid="{FA7C8BD4-F344-4184-B35C-6523397CB2E9}"/>
    <cellStyle name="Normal 11 2 2 4 7" xfId="3187" xr:uid="{9D0C6E0D-6EC7-42D7-94B1-9F1594A8268E}"/>
    <cellStyle name="Normal 11 2 2 4 7 2" xfId="6341" xr:uid="{7DBA1A25-6864-4396-ACF7-6C5A23F6810D}"/>
    <cellStyle name="Normal 11 2 2 4 7 2 2" xfId="12634" xr:uid="{54E0613E-292C-472F-BA89-681BC49C2C2D}"/>
    <cellStyle name="Normal 11 2 2 4 7 2 2 2" xfId="25316" xr:uid="{340BFE89-EFD3-43EB-B885-017A7F9EDC30}"/>
    <cellStyle name="Normal 11 2 2 4 7 2 2 2 2" xfId="50808" xr:uid="{6FC60F38-FF7D-4970-A2EC-62F0C3C8B862}"/>
    <cellStyle name="Normal 11 2 2 4 7 2 2 3" xfId="38217" xr:uid="{A6DBDD7F-2375-437E-8DA1-352B00A42325}"/>
    <cellStyle name="Normal 11 2 2 4 7 2 3" xfId="19038" xr:uid="{680A8DB7-B39D-4053-92B9-AFCA111FB06C}"/>
    <cellStyle name="Normal 11 2 2 4 7 2 3 2" xfId="44530" xr:uid="{B646F6FB-9CAF-435E-BEBF-BFAA8557AB9C}"/>
    <cellStyle name="Normal 11 2 2 4 7 2 4" xfId="31939" xr:uid="{FEDEDD42-B0EB-4D84-A322-5F4C0F624CCC}"/>
    <cellStyle name="Normal 11 2 2 4 7 3" xfId="9495" xr:uid="{DBE30C01-043B-4B65-A253-23755F896F8F}"/>
    <cellStyle name="Normal 11 2 2 4 7 3 2" xfId="22177" xr:uid="{6E5966DA-6DA5-45F8-84C0-C2A4AE470F3E}"/>
    <cellStyle name="Normal 11 2 2 4 7 3 2 2" xfId="47669" xr:uid="{EF8C2099-B4B4-43C7-9D3A-E6ACCB6AE62E}"/>
    <cellStyle name="Normal 11 2 2 4 7 3 3" xfId="35078" xr:uid="{D741E804-797A-4D20-9035-2C635305AFCB}"/>
    <cellStyle name="Normal 11 2 2 4 7 4" xfId="15899" xr:uid="{57723716-5090-48A7-A7BA-4BBE23AD8B6E}"/>
    <cellStyle name="Normal 11 2 2 4 7 4 2" xfId="41391" xr:uid="{D32539AD-9871-4005-9862-4D9FC675967D}"/>
    <cellStyle name="Normal 11 2 2 4 7 5" xfId="28800" xr:uid="{19A4C628-6CAD-488F-956D-431822FDAFBC}"/>
    <cellStyle name="Normal 11 2 2 4 8" xfId="3726" xr:uid="{37787F55-6841-42D9-A58D-9593E62AF320}"/>
    <cellStyle name="Normal 11 2 2 4 8 2" xfId="10019" xr:uid="{0C2B6711-BF84-48B3-A4CA-0E4532AE33A2}"/>
    <cellStyle name="Normal 11 2 2 4 8 2 2" xfId="22701" xr:uid="{B163066D-6396-4299-8370-70954210E601}"/>
    <cellStyle name="Normal 11 2 2 4 8 2 2 2" xfId="48193" xr:uid="{41A95AF3-B82C-4A7C-94D9-B1B45015F2C9}"/>
    <cellStyle name="Normal 11 2 2 4 8 2 3" xfId="35602" xr:uid="{82864193-5120-47CF-9954-C86FA35A7330}"/>
    <cellStyle name="Normal 11 2 2 4 8 3" xfId="16423" xr:uid="{5721AECF-9029-4FBA-AE0E-CEDEDB282397}"/>
    <cellStyle name="Normal 11 2 2 4 8 3 2" xfId="41915" xr:uid="{3F3FD554-CD99-45A2-831B-474491EEF40B}"/>
    <cellStyle name="Normal 11 2 2 4 8 4" xfId="29324" xr:uid="{E56E0794-9B68-4A7E-8FBA-0E395D5C1019}"/>
    <cellStyle name="Normal 11 2 2 4 9" xfId="6880" xr:uid="{42B5222C-C7E7-42D5-AA81-9BC4DB2CB636}"/>
    <cellStyle name="Normal 11 2 2 4 9 2" xfId="19562" xr:uid="{C22C3D2D-95F7-4066-ABD1-3883D9E18EA4}"/>
    <cellStyle name="Normal 11 2 2 4 9 2 2" xfId="45054" xr:uid="{3898BBAB-1241-4913-AD79-46A7AF40EE7C}"/>
    <cellStyle name="Normal 11 2 2 4 9 3" xfId="32463" xr:uid="{1F0CBC55-0383-434C-99E8-2B6BBAE5B0CF}"/>
    <cellStyle name="Normal 11 2 2 5" xfId="974" xr:uid="{7FD48FBC-8CC5-45A1-A18E-C3B88849F7BA}"/>
    <cellStyle name="Normal 11 2 2 5 2" xfId="2281" xr:uid="{CEB3B703-B109-4D30-A534-746B193E088D}"/>
    <cellStyle name="Normal 11 2 2 5 2 2" xfId="5435" xr:uid="{67992F93-C833-4FAB-813B-5E9CB16E8C61}"/>
    <cellStyle name="Normal 11 2 2 5 2 2 2" xfId="11728" xr:uid="{285A5BDB-10EA-4BCD-B143-22C5D08D76AF}"/>
    <cellStyle name="Normal 11 2 2 5 2 2 2 2" xfId="24410" xr:uid="{10B81A99-4E69-4BFB-9A3B-D653438E2AA1}"/>
    <cellStyle name="Normal 11 2 2 5 2 2 2 2 2" xfId="49902" xr:uid="{8BD436B6-A68B-418B-A487-3E0C41E6B5A1}"/>
    <cellStyle name="Normal 11 2 2 5 2 2 2 3" xfId="37311" xr:uid="{8680B9D0-2466-4F0B-9882-DDCCD6C0276B}"/>
    <cellStyle name="Normal 11 2 2 5 2 2 3" xfId="18132" xr:uid="{401F4302-2464-4F20-ACE1-92161DD400F9}"/>
    <cellStyle name="Normal 11 2 2 5 2 2 3 2" xfId="43624" xr:uid="{0649B39E-4E2B-466D-A204-0FBC77A96D77}"/>
    <cellStyle name="Normal 11 2 2 5 2 2 4" xfId="31033" xr:uid="{32DAD55A-BCA4-4544-9DEE-82DA2142EFF6}"/>
    <cellStyle name="Normal 11 2 2 5 2 3" xfId="8589" xr:uid="{655402D7-A2BD-484D-ADAB-C7A6D1BAB0F4}"/>
    <cellStyle name="Normal 11 2 2 5 2 3 2" xfId="21271" xr:uid="{6CED7B8D-DD8C-47D7-AC4C-7DEC63CDF68B}"/>
    <cellStyle name="Normal 11 2 2 5 2 3 2 2" xfId="46763" xr:uid="{64D571C5-DAB5-459C-884F-5374408F47A7}"/>
    <cellStyle name="Normal 11 2 2 5 2 3 3" xfId="34172" xr:uid="{BD8F3027-1BC6-4A29-9009-D969F0E0C8C1}"/>
    <cellStyle name="Normal 11 2 2 5 2 4" xfId="14993" xr:uid="{374381A4-D07C-4FA3-8812-185EE58D98FA}"/>
    <cellStyle name="Normal 11 2 2 5 2 4 2" xfId="40485" xr:uid="{A249E921-73DD-479C-AFC9-02F0BC07384C}"/>
    <cellStyle name="Normal 11 2 2 5 2 5" xfId="27894" xr:uid="{304E2E18-9F73-484E-BEA4-4BEDD92EB623}"/>
    <cellStyle name="Normal 11 2 2 5 3" xfId="1498" xr:uid="{912B1E87-E4E7-4C6D-A005-7C15097864F1}"/>
    <cellStyle name="Normal 11 2 2 5 3 2" xfId="4652" xr:uid="{B9859DD8-5859-429A-85A3-9A010915C760}"/>
    <cellStyle name="Normal 11 2 2 5 3 2 2" xfId="10945" xr:uid="{E7F1038C-B0C3-4701-B306-1B5DA1576C88}"/>
    <cellStyle name="Normal 11 2 2 5 3 2 2 2" xfId="23627" xr:uid="{0A802B25-0DFE-4D3A-B70B-66EB750F8BAC}"/>
    <cellStyle name="Normal 11 2 2 5 3 2 2 2 2" xfId="49119" xr:uid="{3252A34E-19EF-498D-B222-11F9E88A1209}"/>
    <cellStyle name="Normal 11 2 2 5 3 2 2 3" xfId="36528" xr:uid="{FECBCF5A-33EE-40CD-9CEB-51C9EF0DCF48}"/>
    <cellStyle name="Normal 11 2 2 5 3 2 3" xfId="17349" xr:uid="{58DD1245-1C57-4C34-BA4D-A90C5EB0C8BE}"/>
    <cellStyle name="Normal 11 2 2 5 3 2 3 2" xfId="42841" xr:uid="{A2A0DE8B-A030-4D40-9402-6C32A067D423}"/>
    <cellStyle name="Normal 11 2 2 5 3 2 4" xfId="30250" xr:uid="{CC800E63-84AF-4BEF-9238-C8071A932AC2}"/>
    <cellStyle name="Normal 11 2 2 5 3 3" xfId="7806" xr:uid="{B53839B1-30C6-4638-8A90-D2870D4A3297}"/>
    <cellStyle name="Normal 11 2 2 5 3 3 2" xfId="20488" xr:uid="{F4759A88-EDF6-46FE-B73E-BF5DBD3F0C63}"/>
    <cellStyle name="Normal 11 2 2 5 3 3 2 2" xfId="45980" xr:uid="{2E4B9774-2761-41D4-80F5-3279082C3CCD}"/>
    <cellStyle name="Normal 11 2 2 5 3 3 3" xfId="33389" xr:uid="{E0E73DC6-DC13-4A3A-AEFD-C3447C5CE7C6}"/>
    <cellStyle name="Normal 11 2 2 5 3 4" xfId="14210" xr:uid="{E32969E4-2150-4183-BF21-7A2E09F5B92B}"/>
    <cellStyle name="Normal 11 2 2 5 3 4 2" xfId="39702" xr:uid="{9F761CE4-E150-4D88-B42C-7105224F2E3A}"/>
    <cellStyle name="Normal 11 2 2 5 3 5" xfId="27111" xr:uid="{330F0754-7528-4EAC-BA16-73959043228F}"/>
    <cellStyle name="Normal 11 2 2 5 4" xfId="2805" xr:uid="{7F9A822A-70B8-489E-ADC1-9113F4D0243A}"/>
    <cellStyle name="Normal 11 2 2 5 4 2" xfId="5959" xr:uid="{73A3D566-5F52-4CCC-BF1A-0AB2315BF3DD}"/>
    <cellStyle name="Normal 11 2 2 5 4 2 2" xfId="12252" xr:uid="{223DF857-9E37-4224-95A8-A6F112A3A777}"/>
    <cellStyle name="Normal 11 2 2 5 4 2 2 2" xfId="24934" xr:uid="{2E1D9AA8-E05E-41BB-A4D2-153C40C842C3}"/>
    <cellStyle name="Normal 11 2 2 5 4 2 2 2 2" xfId="50426" xr:uid="{2280BC20-00B3-48F3-9170-3A6928842464}"/>
    <cellStyle name="Normal 11 2 2 5 4 2 2 3" xfId="37835" xr:uid="{EA41074C-9C33-4BF4-A67F-35328C2CC36A}"/>
    <cellStyle name="Normal 11 2 2 5 4 2 3" xfId="18656" xr:uid="{44C1C98C-1FED-47DA-894F-0CEFF115317D}"/>
    <cellStyle name="Normal 11 2 2 5 4 2 3 2" xfId="44148" xr:uid="{D86FF149-AB31-4EA5-B10B-061719D6F876}"/>
    <cellStyle name="Normal 11 2 2 5 4 2 4" xfId="31557" xr:uid="{D547AAC5-ED8C-4FDA-9575-2305E5783B22}"/>
    <cellStyle name="Normal 11 2 2 5 4 3" xfId="9113" xr:uid="{2ECFF774-52AD-4FF7-BAFC-9A10778653BE}"/>
    <cellStyle name="Normal 11 2 2 5 4 3 2" xfId="21795" xr:uid="{4C199D72-6409-496E-A1DE-E559CC206A63}"/>
    <cellStyle name="Normal 11 2 2 5 4 3 2 2" xfId="47287" xr:uid="{1D27A4C4-F097-4131-A788-87F94F5593C2}"/>
    <cellStyle name="Normal 11 2 2 5 4 3 3" xfId="34696" xr:uid="{DEBC0FEC-8A26-44AA-94D5-6F5DA49CA1FC}"/>
    <cellStyle name="Normal 11 2 2 5 4 4" xfId="15517" xr:uid="{E04DBA45-0BD7-4CEC-B663-A78EC1A477A8}"/>
    <cellStyle name="Normal 11 2 2 5 4 4 2" xfId="41009" xr:uid="{09A68A48-77E1-4D08-B452-2DEFC6541E7C}"/>
    <cellStyle name="Normal 11 2 2 5 4 5" xfId="28418" xr:uid="{C2A47AAF-8DC9-4A17-8819-17EB11126164}"/>
    <cellStyle name="Normal 11 2 2 5 5" xfId="3328" xr:uid="{78A8E314-201C-4079-8358-093E1529B348}"/>
    <cellStyle name="Normal 11 2 2 5 5 2" xfId="6482" xr:uid="{D9A63B6A-AF42-4CD4-9BE9-F5791E35039D}"/>
    <cellStyle name="Normal 11 2 2 5 5 2 2" xfId="12775" xr:uid="{0C23EBF5-A6B3-4898-BAA9-A960F7B5AEC1}"/>
    <cellStyle name="Normal 11 2 2 5 5 2 2 2" xfId="25457" xr:uid="{F13062EE-51EA-4064-813B-564CC7BC8BC3}"/>
    <cellStyle name="Normal 11 2 2 5 5 2 2 2 2" xfId="50949" xr:uid="{3C422CE2-0ED3-4A15-ADD1-145B691C443D}"/>
    <cellStyle name="Normal 11 2 2 5 5 2 2 3" xfId="38358" xr:uid="{801DD21F-0BBC-4D93-90A4-4F88A5952CED}"/>
    <cellStyle name="Normal 11 2 2 5 5 2 3" xfId="19179" xr:uid="{13ABE6E3-BE50-41E5-BF43-0FF05F4E285D}"/>
    <cellStyle name="Normal 11 2 2 5 5 2 3 2" xfId="44671" xr:uid="{8AADF53A-12B2-4709-AF29-9DA21DE03D83}"/>
    <cellStyle name="Normal 11 2 2 5 5 2 4" xfId="32080" xr:uid="{E0083C11-2EBE-41B5-B528-DF7FDB696695}"/>
    <cellStyle name="Normal 11 2 2 5 5 3" xfId="9636" xr:uid="{9F1C3527-9421-476B-B4AD-B031E730F2AD}"/>
    <cellStyle name="Normal 11 2 2 5 5 3 2" xfId="22318" xr:uid="{4FDC18B8-849B-45D2-97C8-44592B8DA76D}"/>
    <cellStyle name="Normal 11 2 2 5 5 3 2 2" xfId="47810" xr:uid="{C5FAE2CB-160A-4EDD-B132-D1225A82CE72}"/>
    <cellStyle name="Normal 11 2 2 5 5 3 3" xfId="35219" xr:uid="{BC32B75B-B8CE-4E2A-801E-2CEC61752866}"/>
    <cellStyle name="Normal 11 2 2 5 5 4" xfId="16040" xr:uid="{7B46AE89-6AB9-4B9F-9697-BB8435415AF0}"/>
    <cellStyle name="Normal 11 2 2 5 5 4 2" xfId="41532" xr:uid="{12CFE2C4-4E37-42C4-A3CB-9F69911F3409}"/>
    <cellStyle name="Normal 11 2 2 5 5 5" xfId="28941" xr:uid="{0FFC9EB6-1AC7-4995-B3CE-AA0BB20CE21E}"/>
    <cellStyle name="Normal 11 2 2 5 6" xfId="4128" xr:uid="{EEDB5D54-FF44-4F7A-92B7-7CBD2A5DA351}"/>
    <cellStyle name="Normal 11 2 2 5 6 2" xfId="10421" xr:uid="{1CFAE43B-E154-4A32-BA48-E063EB77AFDD}"/>
    <cellStyle name="Normal 11 2 2 5 6 2 2" xfId="23103" xr:uid="{D7B56467-CE1A-485E-98A3-3B2476AF7D59}"/>
    <cellStyle name="Normal 11 2 2 5 6 2 2 2" xfId="48595" xr:uid="{5B05935C-2CAE-4400-89DB-937C8F1F6E74}"/>
    <cellStyle name="Normal 11 2 2 5 6 2 3" xfId="36004" xr:uid="{FB3B33AC-951F-42D3-AD6F-4208D066EAA8}"/>
    <cellStyle name="Normal 11 2 2 5 6 3" xfId="16825" xr:uid="{1AC7999D-3246-485A-B4A0-3ACA4B48CEA5}"/>
    <cellStyle name="Normal 11 2 2 5 6 3 2" xfId="42317" xr:uid="{D48775C5-36E5-447A-BAFC-CE27168830CB}"/>
    <cellStyle name="Normal 11 2 2 5 6 4" xfId="29726" xr:uid="{7D971BBA-FD30-47AB-B367-6A1BFECED962}"/>
    <cellStyle name="Normal 11 2 2 5 7" xfId="7282" xr:uid="{FF6ABB84-F3FD-4F63-AF85-9D63C2CAE4B7}"/>
    <cellStyle name="Normal 11 2 2 5 7 2" xfId="19964" xr:uid="{914ED62A-9975-4282-87A2-08975E5C76F4}"/>
    <cellStyle name="Normal 11 2 2 5 7 2 2" xfId="45456" xr:uid="{0B9B4C89-F91B-4D81-A371-68DCC9274D85}"/>
    <cellStyle name="Normal 11 2 2 5 7 3" xfId="32865" xr:uid="{83DFC12C-95DE-41F0-9E4C-69E2966362CE}"/>
    <cellStyle name="Normal 11 2 2 5 8" xfId="13686" xr:uid="{4F00CCC8-E8C2-4AE1-8054-FDF1D418F696}"/>
    <cellStyle name="Normal 11 2 2 5 8 2" xfId="39178" xr:uid="{AA501FCF-711C-4C9A-BD7A-0A4BA44E3BE7}"/>
    <cellStyle name="Normal 11 2 2 5 9" xfId="26587" xr:uid="{E195CF73-1CE0-46FD-A993-07FA15ADF79E}"/>
    <cellStyle name="Normal 11 2 2 6" xfId="714" xr:uid="{17AC419A-C6AB-4401-A53C-DE845D32C853}"/>
    <cellStyle name="Normal 11 2 2 6 2" xfId="2021" xr:uid="{FE84A50A-D695-400E-BFDF-A95B594F0CA7}"/>
    <cellStyle name="Normal 11 2 2 6 2 2" xfId="5175" xr:uid="{97649376-AE45-4BEE-8117-7A571A154B0E}"/>
    <cellStyle name="Normal 11 2 2 6 2 2 2" xfId="11468" xr:uid="{D3319253-23FE-4D0D-AAD5-D84D8B496D44}"/>
    <cellStyle name="Normal 11 2 2 6 2 2 2 2" xfId="24150" xr:uid="{D64B5774-E263-47B0-9AD9-D27757958B45}"/>
    <cellStyle name="Normal 11 2 2 6 2 2 2 2 2" xfId="49642" xr:uid="{7932F6EB-17D9-4403-A0DB-CE0D1809494B}"/>
    <cellStyle name="Normal 11 2 2 6 2 2 2 3" xfId="37051" xr:uid="{A25B7522-CD3E-4112-9B0B-234693CDAAE7}"/>
    <cellStyle name="Normal 11 2 2 6 2 2 3" xfId="17872" xr:uid="{D54FC05E-732E-4D4E-B82E-EBBF8DC80E71}"/>
    <cellStyle name="Normal 11 2 2 6 2 2 3 2" xfId="43364" xr:uid="{9CE78C8C-A544-4E95-A476-B4591E9D13BE}"/>
    <cellStyle name="Normal 11 2 2 6 2 2 4" xfId="30773" xr:uid="{ED370409-0901-477B-B13C-1890E5C8B97B}"/>
    <cellStyle name="Normal 11 2 2 6 2 3" xfId="8329" xr:uid="{BAA6BB8B-C581-4E6A-936C-913263621A4E}"/>
    <cellStyle name="Normal 11 2 2 6 2 3 2" xfId="21011" xr:uid="{E8E99000-0A04-4BC0-A5C1-BEBA00F10D3D}"/>
    <cellStyle name="Normal 11 2 2 6 2 3 2 2" xfId="46503" xr:uid="{EF0F184D-E799-458E-8438-B528137C2419}"/>
    <cellStyle name="Normal 11 2 2 6 2 3 3" xfId="33912" xr:uid="{7F2B9D13-BF76-4A89-A6D5-1ECEC9600A37}"/>
    <cellStyle name="Normal 11 2 2 6 2 4" xfId="14733" xr:uid="{0645C36A-6D51-4F7B-9716-86B94FD54309}"/>
    <cellStyle name="Normal 11 2 2 6 2 4 2" xfId="40225" xr:uid="{0E12971B-3B2C-47BD-983D-1B544BB52909}"/>
    <cellStyle name="Normal 11 2 2 6 2 5" xfId="27634" xr:uid="{467E6C42-061A-456B-B270-3E60939B6C2E}"/>
    <cellStyle name="Normal 11 2 2 6 3" xfId="3868" xr:uid="{C876DD2C-A36C-430A-9899-3DFC01C0D940}"/>
    <cellStyle name="Normal 11 2 2 6 3 2" xfId="10161" xr:uid="{DE59BEA9-D417-4919-B66F-7A4F77EF74F7}"/>
    <cellStyle name="Normal 11 2 2 6 3 2 2" xfId="22843" xr:uid="{A5426018-BB57-4E94-8678-43FAA0C0E060}"/>
    <cellStyle name="Normal 11 2 2 6 3 2 2 2" xfId="48335" xr:uid="{E6500C86-945C-4547-B8AB-1C777EBF4E56}"/>
    <cellStyle name="Normal 11 2 2 6 3 2 3" xfId="35744" xr:uid="{2AC725A4-B901-44DC-9D67-AEFE27E39DEA}"/>
    <cellStyle name="Normal 11 2 2 6 3 3" xfId="16565" xr:uid="{AD01FE5E-BF62-4E9D-A10D-4CBFA32A60D8}"/>
    <cellStyle name="Normal 11 2 2 6 3 3 2" xfId="42057" xr:uid="{CE4E5B5A-98AA-49FD-B036-619F888B78F5}"/>
    <cellStyle name="Normal 11 2 2 6 3 4" xfId="29466" xr:uid="{9CB5884A-7CDE-4A61-AC9A-B650030CAA8B}"/>
    <cellStyle name="Normal 11 2 2 6 4" xfId="7022" xr:uid="{EDC7087D-BFFB-47AB-A470-C543520FB15E}"/>
    <cellStyle name="Normal 11 2 2 6 4 2" xfId="19704" xr:uid="{C1684152-D517-4B75-8A43-CEA3792C83AE}"/>
    <cellStyle name="Normal 11 2 2 6 4 2 2" xfId="45196" xr:uid="{1027B795-88B4-48A1-BC4B-D2BA988086B1}"/>
    <cellStyle name="Normal 11 2 2 6 4 3" xfId="32605" xr:uid="{1AA04728-6402-4A3A-A2F4-E69C49C7D55F}"/>
    <cellStyle name="Normal 11 2 2 6 5" xfId="13426" xr:uid="{A2C57020-6D0E-4137-94CA-FCBE1EDE22D3}"/>
    <cellStyle name="Normal 11 2 2 6 5 2" xfId="38918" xr:uid="{21784496-B872-4149-B381-160FC32876D1}"/>
    <cellStyle name="Normal 11 2 2 6 6" xfId="26327" xr:uid="{C74D90FA-A88C-4514-B00D-3935F274F380}"/>
    <cellStyle name="Normal 11 2 2 7" xfId="1759" xr:uid="{AC388697-195F-467B-A1D9-3993122926B1}"/>
    <cellStyle name="Normal 11 2 2 7 2" xfId="4913" xr:uid="{77698D71-1C50-44E8-B7F2-3AC462F69928}"/>
    <cellStyle name="Normal 11 2 2 7 2 2" xfId="11206" xr:uid="{AAA4474D-6AEC-4836-B240-C6820E37EE60}"/>
    <cellStyle name="Normal 11 2 2 7 2 2 2" xfId="23888" xr:uid="{743FE90D-770C-4FA7-B319-59C8B2D9A93D}"/>
    <cellStyle name="Normal 11 2 2 7 2 2 2 2" xfId="49380" xr:uid="{C5E36128-2A82-42C2-A947-E3F074EF4ADE}"/>
    <cellStyle name="Normal 11 2 2 7 2 2 3" xfId="36789" xr:uid="{E7AE1EF0-49EC-4084-ADFD-91405E6F7623}"/>
    <cellStyle name="Normal 11 2 2 7 2 3" xfId="17610" xr:uid="{89F7A390-8E1F-47D8-A299-3AAE761A1BBB}"/>
    <cellStyle name="Normal 11 2 2 7 2 3 2" xfId="43102" xr:uid="{18C130BD-0A08-4CA2-AFD1-8D8A5B427F8F}"/>
    <cellStyle name="Normal 11 2 2 7 2 4" xfId="30511" xr:uid="{7C4274E8-4C1A-454F-8FA0-62485F82258D}"/>
    <cellStyle name="Normal 11 2 2 7 3" xfId="8067" xr:uid="{40E26920-8C0E-43FD-BA42-BDD1A134B5B8}"/>
    <cellStyle name="Normal 11 2 2 7 3 2" xfId="20749" xr:uid="{3F9D11FB-091A-4F87-9F45-CF210C8290CA}"/>
    <cellStyle name="Normal 11 2 2 7 3 2 2" xfId="46241" xr:uid="{A3257DF6-53E7-4712-B207-CC5E0ACA9E21}"/>
    <cellStyle name="Normal 11 2 2 7 3 3" xfId="33650" xr:uid="{70A6A7FA-6693-4FA5-A6F7-B4E4751781E8}"/>
    <cellStyle name="Normal 11 2 2 7 4" xfId="14471" xr:uid="{5E9E2DCE-047C-4F33-8D5D-2658AFE49A50}"/>
    <cellStyle name="Normal 11 2 2 7 4 2" xfId="39963" xr:uid="{5199AA2F-EC51-4F8E-9211-4323AACE6DB3}"/>
    <cellStyle name="Normal 11 2 2 7 5" xfId="27372" xr:uid="{03D9A904-61AA-424E-A5B9-B99C683D3E41}"/>
    <cellStyle name="Normal 11 2 2 8" xfId="1237" xr:uid="{04B472E3-64D2-463F-A2A9-A352EAA557F7}"/>
    <cellStyle name="Normal 11 2 2 8 2" xfId="4391" xr:uid="{CC670D61-E2ED-40F2-8339-E74E24A3BAB1}"/>
    <cellStyle name="Normal 11 2 2 8 2 2" xfId="10684" xr:uid="{C60AC8CD-9803-473F-A9DA-5481F34FA98C}"/>
    <cellStyle name="Normal 11 2 2 8 2 2 2" xfId="23366" xr:uid="{588E369C-BE89-4B32-8A43-004BCD801123}"/>
    <cellStyle name="Normal 11 2 2 8 2 2 2 2" xfId="48858" xr:uid="{B6CBFF94-5EF2-4A66-9147-781791F84475}"/>
    <cellStyle name="Normal 11 2 2 8 2 2 3" xfId="36267" xr:uid="{6FA77A23-D922-47A1-BF51-822D0ED17ACA}"/>
    <cellStyle name="Normal 11 2 2 8 2 3" xfId="17088" xr:uid="{D684E1CB-0EB5-49C4-A209-6454F4AA21CB}"/>
    <cellStyle name="Normal 11 2 2 8 2 3 2" xfId="42580" xr:uid="{3C39A390-5428-4D79-84A9-3232E64686D6}"/>
    <cellStyle name="Normal 11 2 2 8 2 4" xfId="29989" xr:uid="{59EC6AC1-631E-4B8D-95DF-2F167DE3FA61}"/>
    <cellStyle name="Normal 11 2 2 8 3" xfId="7545" xr:uid="{A27E723F-F0D6-4272-BBAF-C49EC62913CE}"/>
    <cellStyle name="Normal 11 2 2 8 3 2" xfId="20227" xr:uid="{C47D0868-8446-4DD9-95E2-C7D36137FF7F}"/>
    <cellStyle name="Normal 11 2 2 8 3 2 2" xfId="45719" xr:uid="{7166FD69-3A16-42BB-8A0B-D60DFD782A36}"/>
    <cellStyle name="Normal 11 2 2 8 3 3" xfId="33128" xr:uid="{1B05218B-4DE3-4948-B9F2-DC1776F754E8}"/>
    <cellStyle name="Normal 11 2 2 8 4" xfId="13949" xr:uid="{769030C6-A1CE-43C0-BBCA-701E90EB01BC}"/>
    <cellStyle name="Normal 11 2 2 8 4 2" xfId="39441" xr:uid="{14097017-D904-44F1-961F-736DD142505B}"/>
    <cellStyle name="Normal 11 2 2 8 5" xfId="26850" xr:uid="{2D5FD2FA-2520-4DEE-B23B-A603C0F9E94D}"/>
    <cellStyle name="Normal 11 2 2 9" xfId="2544" xr:uid="{A7D19BA5-D4D2-46EA-87BD-24D3AE3DBBAA}"/>
    <cellStyle name="Normal 11 2 2 9 2" xfId="5698" xr:uid="{0C579B69-5026-4A9A-BDFA-C85D1040A307}"/>
    <cellStyle name="Normal 11 2 2 9 2 2" xfId="11991" xr:uid="{73AA1884-CE94-4D64-83D8-616CD60E60CB}"/>
    <cellStyle name="Normal 11 2 2 9 2 2 2" xfId="24673" xr:uid="{41E89589-9B59-403F-A92E-95083E35E619}"/>
    <cellStyle name="Normal 11 2 2 9 2 2 2 2" xfId="50165" xr:uid="{E0C9FFA5-A789-4A5A-B408-E37EAF5FF69D}"/>
    <cellStyle name="Normal 11 2 2 9 2 2 3" xfId="37574" xr:uid="{E218633A-3180-44CF-A10C-7A60B990953F}"/>
    <cellStyle name="Normal 11 2 2 9 2 3" xfId="18395" xr:uid="{D8450011-B01B-443B-9D9F-46653F045F22}"/>
    <cellStyle name="Normal 11 2 2 9 2 3 2" xfId="43887" xr:uid="{88CB3D45-C007-4569-9336-7BE563163072}"/>
    <cellStyle name="Normal 11 2 2 9 2 4" xfId="31296" xr:uid="{415A3E65-8AEC-4882-9E22-A584ADC83F68}"/>
    <cellStyle name="Normal 11 2 2 9 3" xfId="8852" xr:uid="{78795723-00C6-44FF-85AF-050B7D9A242E}"/>
    <cellStyle name="Normal 11 2 2 9 3 2" xfId="21534" xr:uid="{60E1A275-C482-4C01-AD7E-8CBBF88EC068}"/>
    <cellStyle name="Normal 11 2 2 9 3 2 2" xfId="47026" xr:uid="{A2C66648-261B-4927-BB37-2DB178B603CB}"/>
    <cellStyle name="Normal 11 2 2 9 3 3" xfId="34435" xr:uid="{C1EC9DD5-9815-4501-B3EC-ED9E5C384C13}"/>
    <cellStyle name="Normal 11 2 2 9 4" xfId="15256" xr:uid="{2A8704D2-D8DA-45F7-98A2-9B87E3F7F202}"/>
    <cellStyle name="Normal 11 2 2 9 4 2" xfId="40748" xr:uid="{3B877C7F-2AC3-4CF3-AC97-DF85CF0DA63E}"/>
    <cellStyle name="Normal 11 2 2 9 5" xfId="28157" xr:uid="{5E9003E1-5E92-490F-B4F4-4669571B07CE}"/>
    <cellStyle name="Normal 11 2 3" xfId="478" xr:uid="{7F2F6BFF-F3EE-45D1-B8DA-16F6DF1C2152}"/>
    <cellStyle name="Normal 11 2 3 10" xfId="3647" xr:uid="{D7D9E8FB-F062-47B9-9AD4-062B44DD0DF3}"/>
    <cellStyle name="Normal 11 2 3 10 2" xfId="9940" xr:uid="{92624343-89AB-4C73-B7FE-4109CCA7A250}"/>
    <cellStyle name="Normal 11 2 3 10 2 2" xfId="22622" xr:uid="{61E64D54-9988-44FE-87A2-88D2E1161332}"/>
    <cellStyle name="Normal 11 2 3 10 2 2 2" xfId="48114" xr:uid="{993B9ADC-CCAB-48B1-A66A-9F2BCA0219A5}"/>
    <cellStyle name="Normal 11 2 3 10 2 3" xfId="35523" xr:uid="{7FEC04F2-8B20-49C4-A518-B2A26BF57981}"/>
    <cellStyle name="Normal 11 2 3 10 3" xfId="16344" xr:uid="{DD84E4BE-4FC4-442E-A5DB-D7E5FF81FB16}"/>
    <cellStyle name="Normal 11 2 3 10 3 2" xfId="41836" xr:uid="{A03908D6-990E-45A9-B234-63470955DA07}"/>
    <cellStyle name="Normal 11 2 3 10 4" xfId="29245" xr:uid="{405369F5-B36A-42C2-8B5B-73BD22293A96}"/>
    <cellStyle name="Normal 11 2 3 11" xfId="6801" xr:uid="{C70D964B-15F6-4967-B36A-C1B16BEE458C}"/>
    <cellStyle name="Normal 11 2 3 11 2" xfId="19483" xr:uid="{7F9C4DBE-619F-47B8-9998-C4C0B5534010}"/>
    <cellStyle name="Normal 11 2 3 11 2 2" xfId="44975" xr:uid="{17045021-6E21-4E0E-83DB-5348C392E334}"/>
    <cellStyle name="Normal 11 2 3 11 3" xfId="32384" xr:uid="{D3C699F1-6893-402A-B931-D76CBE351968}"/>
    <cellStyle name="Normal 11 2 3 12" xfId="13205" xr:uid="{157936D1-3D7D-49CA-8992-769DEE06270B}"/>
    <cellStyle name="Normal 11 2 3 12 2" xfId="38697" xr:uid="{F196C6F0-307B-4BC0-9925-434A521C86F3}"/>
    <cellStyle name="Normal 11 2 3 13" xfId="26106" xr:uid="{C84883D2-1086-41E5-A5F2-462FC3A8FB1D}"/>
    <cellStyle name="Normal 11 2 3 2" xfId="637" xr:uid="{EAE6FFCF-DCE9-4900-B7E6-50246963EB17}"/>
    <cellStyle name="Normal 11 2 3 2 10" xfId="13364" xr:uid="{B03A9518-DCEF-4979-97A6-50EE9B52EB62}"/>
    <cellStyle name="Normal 11 2 3 2 10 2" xfId="38856" xr:uid="{C16985A2-5AA3-4CCC-B985-76C6DC804CEE}"/>
    <cellStyle name="Normal 11 2 3 2 11" xfId="26265" xr:uid="{4BD9F2E9-C002-4A73-A817-383397B6C6C7}"/>
    <cellStyle name="Normal 11 2 3 2 2" xfId="1174" xr:uid="{2E2C20EF-DB7F-421E-A845-0D2996E4964B}"/>
    <cellStyle name="Normal 11 2 3 2 2 2" xfId="2481" xr:uid="{8518B2AF-5EEB-4734-984C-2E03D4114B24}"/>
    <cellStyle name="Normal 11 2 3 2 2 2 2" xfId="5635" xr:uid="{F40F0B14-9CCB-4764-8C66-893DBF6FEE1C}"/>
    <cellStyle name="Normal 11 2 3 2 2 2 2 2" xfId="11928" xr:uid="{51CCCF15-E4E9-4FD7-BF92-A316EB96C68A}"/>
    <cellStyle name="Normal 11 2 3 2 2 2 2 2 2" xfId="24610" xr:uid="{494DCA3C-D0D3-4D9F-9CCD-7F528ECF6047}"/>
    <cellStyle name="Normal 11 2 3 2 2 2 2 2 2 2" xfId="50102" xr:uid="{6DD32162-AC51-4039-9F92-FC178E9BE004}"/>
    <cellStyle name="Normal 11 2 3 2 2 2 2 2 3" xfId="37511" xr:uid="{84E5DFE8-D073-4896-A674-11BBCB3D6473}"/>
    <cellStyle name="Normal 11 2 3 2 2 2 2 3" xfId="18332" xr:uid="{E8A2745F-4D88-4EC5-9D9B-4FD073E04A24}"/>
    <cellStyle name="Normal 11 2 3 2 2 2 2 3 2" xfId="43824" xr:uid="{091CD368-2A2D-4481-8AC9-682B931AB963}"/>
    <cellStyle name="Normal 11 2 3 2 2 2 2 4" xfId="31233" xr:uid="{AC8D146C-5218-4BA4-AFBD-1ED55E39C966}"/>
    <cellStyle name="Normal 11 2 3 2 2 2 3" xfId="8789" xr:uid="{7C92D945-CBD2-43C2-8DE8-8FA5C0094D8A}"/>
    <cellStyle name="Normal 11 2 3 2 2 2 3 2" xfId="21471" xr:uid="{48DC919C-0DD2-4763-8682-16C8643E41ED}"/>
    <cellStyle name="Normal 11 2 3 2 2 2 3 2 2" xfId="46963" xr:uid="{A6ABF8C7-4208-4024-92F5-78DADE49F8A1}"/>
    <cellStyle name="Normal 11 2 3 2 2 2 3 3" xfId="34372" xr:uid="{368C8294-CFEE-400C-B437-9CD58E34CACB}"/>
    <cellStyle name="Normal 11 2 3 2 2 2 4" xfId="15193" xr:uid="{1AB8F2C7-BCBD-470C-9908-10C274708511}"/>
    <cellStyle name="Normal 11 2 3 2 2 2 4 2" xfId="40685" xr:uid="{D9E3DA1F-CFB5-48A5-A8A8-BDA5F7B9C273}"/>
    <cellStyle name="Normal 11 2 3 2 2 2 5" xfId="28094" xr:uid="{991C4A8F-AE9E-4222-BE17-644875BA9E37}"/>
    <cellStyle name="Normal 11 2 3 2 2 3" xfId="1698" xr:uid="{80492DCB-555B-4F49-B861-8CAD0F214B84}"/>
    <cellStyle name="Normal 11 2 3 2 2 3 2" xfId="4852" xr:uid="{B5AB25CE-8824-46CD-A750-36BE1BEAEE69}"/>
    <cellStyle name="Normal 11 2 3 2 2 3 2 2" xfId="11145" xr:uid="{4D156C24-2341-476C-B94D-FC2FB13E8F1D}"/>
    <cellStyle name="Normal 11 2 3 2 2 3 2 2 2" xfId="23827" xr:uid="{F4CB9D08-02CF-4D40-A1A1-8A4FF37072D3}"/>
    <cellStyle name="Normal 11 2 3 2 2 3 2 2 2 2" xfId="49319" xr:uid="{DD22508C-6EFE-4549-8DD4-AAB2447FF5AE}"/>
    <cellStyle name="Normal 11 2 3 2 2 3 2 2 3" xfId="36728" xr:uid="{1FFEF567-4603-49C5-A4AB-C7512D474FD4}"/>
    <cellStyle name="Normal 11 2 3 2 2 3 2 3" xfId="17549" xr:uid="{44A5A7DD-45E7-4B95-90E0-32E3E66C3BC4}"/>
    <cellStyle name="Normal 11 2 3 2 2 3 2 3 2" xfId="43041" xr:uid="{7F9D4F19-6CDD-4505-A904-CB4FC882789E}"/>
    <cellStyle name="Normal 11 2 3 2 2 3 2 4" xfId="30450" xr:uid="{B1C3CCD6-948B-44B3-94D1-71DB051716C2}"/>
    <cellStyle name="Normal 11 2 3 2 2 3 3" xfId="8006" xr:uid="{B68FC10D-A590-4447-8586-700A4E743435}"/>
    <cellStyle name="Normal 11 2 3 2 2 3 3 2" xfId="20688" xr:uid="{D17FE0FC-7677-4AB9-B109-814B688D4ADD}"/>
    <cellStyle name="Normal 11 2 3 2 2 3 3 2 2" xfId="46180" xr:uid="{9DBF86F4-A876-4307-BFD0-82EF435D7FA4}"/>
    <cellStyle name="Normal 11 2 3 2 2 3 3 3" xfId="33589" xr:uid="{ECE8D7A3-5504-4737-8428-BABB882E85B4}"/>
    <cellStyle name="Normal 11 2 3 2 2 3 4" xfId="14410" xr:uid="{97F9BB59-D2C9-4658-A731-1A2BE89E28EC}"/>
    <cellStyle name="Normal 11 2 3 2 2 3 4 2" xfId="39902" xr:uid="{A2EAF72F-71A0-4080-895E-C788F0A19962}"/>
    <cellStyle name="Normal 11 2 3 2 2 3 5" xfId="27311" xr:uid="{19890FC0-BFF6-47A8-9E00-E5AF01CC8732}"/>
    <cellStyle name="Normal 11 2 3 2 2 4" xfId="3005" xr:uid="{9F5E2FA6-1619-44D9-BC11-F7C823C74661}"/>
    <cellStyle name="Normal 11 2 3 2 2 4 2" xfId="6159" xr:uid="{C016A1ED-2362-4893-A44A-18F1C169178E}"/>
    <cellStyle name="Normal 11 2 3 2 2 4 2 2" xfId="12452" xr:uid="{8C4C5B72-3F63-470E-93E2-7CE961FC882A}"/>
    <cellStyle name="Normal 11 2 3 2 2 4 2 2 2" xfId="25134" xr:uid="{DAC2032B-7A76-46E9-8685-93CC44D19D07}"/>
    <cellStyle name="Normal 11 2 3 2 2 4 2 2 2 2" xfId="50626" xr:uid="{3C69D3DC-4496-44DD-8987-8E64859FE01B}"/>
    <cellStyle name="Normal 11 2 3 2 2 4 2 2 3" xfId="38035" xr:uid="{DF9CAB8A-CAD3-44F3-AA43-2F06B6D4EF80}"/>
    <cellStyle name="Normal 11 2 3 2 2 4 2 3" xfId="18856" xr:uid="{4F628EFC-DF23-49ED-8EB4-D94E94E00CD1}"/>
    <cellStyle name="Normal 11 2 3 2 2 4 2 3 2" xfId="44348" xr:uid="{6E3D1307-754C-437E-86DD-2F05774916B5}"/>
    <cellStyle name="Normal 11 2 3 2 2 4 2 4" xfId="31757" xr:uid="{FD196EB7-BF29-4258-81E5-00988D59DC58}"/>
    <cellStyle name="Normal 11 2 3 2 2 4 3" xfId="9313" xr:uid="{D32F9FB3-DA35-4381-8F26-2AF9FD3F1975}"/>
    <cellStyle name="Normal 11 2 3 2 2 4 3 2" xfId="21995" xr:uid="{4CC14310-3183-4634-BAB8-5F5BD41672E4}"/>
    <cellStyle name="Normal 11 2 3 2 2 4 3 2 2" xfId="47487" xr:uid="{4A97C4A7-B05E-40BE-8C58-41531EACF482}"/>
    <cellStyle name="Normal 11 2 3 2 2 4 3 3" xfId="34896" xr:uid="{9A2EFF83-915E-474D-952A-D01627DCF294}"/>
    <cellStyle name="Normal 11 2 3 2 2 4 4" xfId="15717" xr:uid="{864095E6-4135-410A-9F84-2A2A7A65A3A4}"/>
    <cellStyle name="Normal 11 2 3 2 2 4 4 2" xfId="41209" xr:uid="{B2E94E28-1D72-46D9-8F82-CE1C9C3E0F58}"/>
    <cellStyle name="Normal 11 2 3 2 2 4 5" xfId="28618" xr:uid="{8E9C5CD4-7A8A-4219-83E3-5FEF70EE62EE}"/>
    <cellStyle name="Normal 11 2 3 2 2 5" xfId="3528" xr:uid="{C20290BD-0D9A-4C16-B64D-818E2506A7DD}"/>
    <cellStyle name="Normal 11 2 3 2 2 5 2" xfId="6682" xr:uid="{6DDD75F7-35A2-471B-A668-2FA7EA3D4652}"/>
    <cellStyle name="Normal 11 2 3 2 2 5 2 2" xfId="12975" xr:uid="{17C2FFF5-893B-4E84-887F-CFE721DF051D}"/>
    <cellStyle name="Normal 11 2 3 2 2 5 2 2 2" xfId="25657" xr:uid="{966AE5C7-D25C-42E7-9BF9-CA3F03E168B5}"/>
    <cellStyle name="Normal 11 2 3 2 2 5 2 2 2 2" xfId="51149" xr:uid="{132C05DB-524F-4FD6-84AD-D9FE35EFB672}"/>
    <cellStyle name="Normal 11 2 3 2 2 5 2 2 3" xfId="38558" xr:uid="{CDA6717C-52DE-493D-81CA-7C93FB5BD59A}"/>
    <cellStyle name="Normal 11 2 3 2 2 5 2 3" xfId="19379" xr:uid="{01830467-56DF-4F81-BF92-21F045D6CCB7}"/>
    <cellStyle name="Normal 11 2 3 2 2 5 2 3 2" xfId="44871" xr:uid="{F03D1A58-8F66-413C-820C-9DBBDB7E9F04}"/>
    <cellStyle name="Normal 11 2 3 2 2 5 2 4" xfId="32280" xr:uid="{E0E11BF2-7C07-4E4E-BAA0-D35B17285C10}"/>
    <cellStyle name="Normal 11 2 3 2 2 5 3" xfId="9836" xr:uid="{91BED94B-10FB-4FD8-907B-E9DE6324B994}"/>
    <cellStyle name="Normal 11 2 3 2 2 5 3 2" xfId="22518" xr:uid="{FC7C2BD6-3268-478A-BC4E-99DBD0D6AC07}"/>
    <cellStyle name="Normal 11 2 3 2 2 5 3 2 2" xfId="48010" xr:uid="{9D34EABE-62DC-4E60-9B74-D9FE01CA33DF}"/>
    <cellStyle name="Normal 11 2 3 2 2 5 3 3" xfId="35419" xr:uid="{6C448924-FB05-47AF-8596-F528D4697CD7}"/>
    <cellStyle name="Normal 11 2 3 2 2 5 4" xfId="16240" xr:uid="{BA3D122E-69DF-485E-9DCF-6737CE494B5D}"/>
    <cellStyle name="Normal 11 2 3 2 2 5 4 2" xfId="41732" xr:uid="{B59925CF-86C0-424E-AC44-3E2EE7226EE4}"/>
    <cellStyle name="Normal 11 2 3 2 2 5 5" xfId="29141" xr:uid="{9F0F2BDB-E8AC-4B41-9818-2EB835419F15}"/>
    <cellStyle name="Normal 11 2 3 2 2 6" xfId="4328" xr:uid="{832FBD7D-B8B4-488D-AD41-CFFE34FB9CA8}"/>
    <cellStyle name="Normal 11 2 3 2 2 6 2" xfId="10621" xr:uid="{616424E7-A7EF-46CB-933C-0B90D0695D0D}"/>
    <cellStyle name="Normal 11 2 3 2 2 6 2 2" xfId="23303" xr:uid="{794BBBA0-24D3-4BB1-96E9-42756A7CDF94}"/>
    <cellStyle name="Normal 11 2 3 2 2 6 2 2 2" xfId="48795" xr:uid="{9AD868C4-D4EE-46AC-8837-096CD87F7050}"/>
    <cellStyle name="Normal 11 2 3 2 2 6 2 3" xfId="36204" xr:uid="{4BC1F16F-E40A-425D-AED5-9CE0042E3108}"/>
    <cellStyle name="Normal 11 2 3 2 2 6 3" xfId="17025" xr:uid="{45055C28-757F-4A2F-B666-D39420D23B72}"/>
    <cellStyle name="Normal 11 2 3 2 2 6 3 2" xfId="42517" xr:uid="{5346FDE5-DCBF-4630-93BE-399CCD05E84B}"/>
    <cellStyle name="Normal 11 2 3 2 2 6 4" xfId="29926" xr:uid="{ECCAA596-AAAF-4908-8FB3-A90AE147C456}"/>
    <cellStyle name="Normal 11 2 3 2 2 7" xfId="7482" xr:uid="{9BD7956D-6349-487B-BB74-6B5BA17809CE}"/>
    <cellStyle name="Normal 11 2 3 2 2 7 2" xfId="20164" xr:uid="{903A9B0C-6D23-4D20-BD6D-7ADECD2A1A9E}"/>
    <cellStyle name="Normal 11 2 3 2 2 7 2 2" xfId="45656" xr:uid="{905DA147-D48C-4A70-9491-3BDCB38C2988}"/>
    <cellStyle name="Normal 11 2 3 2 2 7 3" xfId="33065" xr:uid="{60744B81-6F69-41F2-94C0-22EDAC4F8E42}"/>
    <cellStyle name="Normal 11 2 3 2 2 8" xfId="13886" xr:uid="{23813EF5-0DC4-4CB9-9360-EFC48468EBDC}"/>
    <cellStyle name="Normal 11 2 3 2 2 8 2" xfId="39378" xr:uid="{DD0601A6-9464-4559-8A1A-96764CF1FCCD}"/>
    <cellStyle name="Normal 11 2 3 2 2 9" xfId="26787" xr:uid="{3E94A249-0A24-4FC9-ADD8-784ABF11330E}"/>
    <cellStyle name="Normal 11 2 3 2 3" xfId="914" xr:uid="{7470FBB2-9C71-4FE3-AF3D-2189B5BD3AD7}"/>
    <cellStyle name="Normal 11 2 3 2 3 2" xfId="2221" xr:uid="{04770672-0A41-4F8C-A8FA-D2FBB3E2CDE7}"/>
    <cellStyle name="Normal 11 2 3 2 3 2 2" xfId="5375" xr:uid="{3AC05D01-9CBC-4588-BF69-614BDCD2E7A7}"/>
    <cellStyle name="Normal 11 2 3 2 3 2 2 2" xfId="11668" xr:uid="{D94D15D4-9291-4CB7-9A69-16E75476F5CF}"/>
    <cellStyle name="Normal 11 2 3 2 3 2 2 2 2" xfId="24350" xr:uid="{277CFE8B-4A9C-43E5-901C-1EDACFCA62DB}"/>
    <cellStyle name="Normal 11 2 3 2 3 2 2 2 2 2" xfId="49842" xr:uid="{7E4CC6CD-27DE-4C14-ACD5-23DF3EBC6469}"/>
    <cellStyle name="Normal 11 2 3 2 3 2 2 2 3" xfId="37251" xr:uid="{2DCD354E-21E8-4C5C-BE06-2E9A01B27052}"/>
    <cellStyle name="Normal 11 2 3 2 3 2 2 3" xfId="18072" xr:uid="{C7E913D8-BD77-4841-A87D-7CE2BAD8E6CC}"/>
    <cellStyle name="Normal 11 2 3 2 3 2 2 3 2" xfId="43564" xr:uid="{D85DB92E-B519-4225-9A33-A02D75FC1573}"/>
    <cellStyle name="Normal 11 2 3 2 3 2 2 4" xfId="30973" xr:uid="{EC26A41C-F26E-4193-A272-80DA000C3C0A}"/>
    <cellStyle name="Normal 11 2 3 2 3 2 3" xfId="8529" xr:uid="{67D294E7-52B5-4462-A33E-52C51B1E643E}"/>
    <cellStyle name="Normal 11 2 3 2 3 2 3 2" xfId="21211" xr:uid="{38D7AAA9-A16D-491A-96BD-41D27C480CC4}"/>
    <cellStyle name="Normal 11 2 3 2 3 2 3 2 2" xfId="46703" xr:uid="{DA6693F3-D7B5-4B0D-949F-0321C02797EE}"/>
    <cellStyle name="Normal 11 2 3 2 3 2 3 3" xfId="34112" xr:uid="{B44A99C7-5E7E-4144-9EE1-5113CD506F71}"/>
    <cellStyle name="Normal 11 2 3 2 3 2 4" xfId="14933" xr:uid="{F880AC72-287B-4E28-AA1D-80400639619A}"/>
    <cellStyle name="Normal 11 2 3 2 3 2 4 2" xfId="40425" xr:uid="{67FDA7E9-31F6-4A3A-B5FD-0394867B9E9F}"/>
    <cellStyle name="Normal 11 2 3 2 3 2 5" xfId="27834" xr:uid="{C2765BCF-B41B-4404-9F70-3B5DCD2246E1}"/>
    <cellStyle name="Normal 11 2 3 2 3 3" xfId="4068" xr:uid="{29A05AC3-D975-4FA2-A1BA-96073A82CF7B}"/>
    <cellStyle name="Normal 11 2 3 2 3 3 2" xfId="10361" xr:uid="{956E66E2-FC26-42F6-8B9C-ECD99ECF3667}"/>
    <cellStyle name="Normal 11 2 3 2 3 3 2 2" xfId="23043" xr:uid="{95FAF0FD-32A0-4D4E-BD1D-58703258C1C6}"/>
    <cellStyle name="Normal 11 2 3 2 3 3 2 2 2" xfId="48535" xr:uid="{5BEF8A17-E379-45D9-93F5-1B90EA1D86EE}"/>
    <cellStyle name="Normal 11 2 3 2 3 3 2 3" xfId="35944" xr:uid="{2161E37D-DA37-4A07-87BC-896799A4EBE2}"/>
    <cellStyle name="Normal 11 2 3 2 3 3 3" xfId="16765" xr:uid="{8E4A5356-666A-432C-A427-6F01E31C9238}"/>
    <cellStyle name="Normal 11 2 3 2 3 3 3 2" xfId="42257" xr:uid="{7F331146-3AE0-4EDA-807E-9A3C16746CB5}"/>
    <cellStyle name="Normal 11 2 3 2 3 3 4" xfId="29666" xr:uid="{685E61E4-79AB-4E00-ADDF-2C0462FD6CCE}"/>
    <cellStyle name="Normal 11 2 3 2 3 4" xfId="7222" xr:uid="{80FD4CC5-0454-4F1C-BB5E-A16E9FC4FE6D}"/>
    <cellStyle name="Normal 11 2 3 2 3 4 2" xfId="19904" xr:uid="{F277E32A-95F1-44B4-AEFC-9834CE445A53}"/>
    <cellStyle name="Normal 11 2 3 2 3 4 2 2" xfId="45396" xr:uid="{8A134FA9-D0AB-4914-9320-A50732251FBC}"/>
    <cellStyle name="Normal 11 2 3 2 3 4 3" xfId="32805" xr:uid="{2D07CF26-3B67-48AD-AB76-ACCF492B4F84}"/>
    <cellStyle name="Normal 11 2 3 2 3 5" xfId="13626" xr:uid="{2462A5C0-CCA7-43FE-BB4D-ACEC68E85DBE}"/>
    <cellStyle name="Normal 11 2 3 2 3 5 2" xfId="39118" xr:uid="{B144AD64-941B-47C0-A943-23B237E29660}"/>
    <cellStyle name="Normal 11 2 3 2 3 6" xfId="26527" xr:uid="{A156CB57-B669-4A92-B285-3C24802D40AC}"/>
    <cellStyle name="Normal 11 2 3 2 4" xfId="1959" xr:uid="{B4272596-867B-47EB-A881-742CD14F14B2}"/>
    <cellStyle name="Normal 11 2 3 2 4 2" xfId="5113" xr:uid="{4045A27B-68F2-4BD1-9147-065B37833518}"/>
    <cellStyle name="Normal 11 2 3 2 4 2 2" xfId="11406" xr:uid="{BC351AE5-8933-4754-92CF-56CDBA24C861}"/>
    <cellStyle name="Normal 11 2 3 2 4 2 2 2" xfId="24088" xr:uid="{D9909775-B728-4DA8-8A71-25B2178C8370}"/>
    <cellStyle name="Normal 11 2 3 2 4 2 2 2 2" xfId="49580" xr:uid="{AE1F28D4-6D1D-40BF-960E-B7CBFCFAD52A}"/>
    <cellStyle name="Normal 11 2 3 2 4 2 2 3" xfId="36989" xr:uid="{3FB2F28A-62EE-4539-9678-B99804B273A3}"/>
    <cellStyle name="Normal 11 2 3 2 4 2 3" xfId="17810" xr:uid="{F772CE1D-6BA1-4E88-8E88-A47A938BBEB9}"/>
    <cellStyle name="Normal 11 2 3 2 4 2 3 2" xfId="43302" xr:uid="{F9734D96-4CBC-4A18-B37B-5846554A2EF8}"/>
    <cellStyle name="Normal 11 2 3 2 4 2 4" xfId="30711" xr:uid="{03F58EBD-A25C-4C50-8BB8-BFF883EFBE86}"/>
    <cellStyle name="Normal 11 2 3 2 4 3" xfId="8267" xr:uid="{551F5367-1F10-4BE3-A621-C234B1E94ECD}"/>
    <cellStyle name="Normal 11 2 3 2 4 3 2" xfId="20949" xr:uid="{A8E8FDCD-4B0D-48E4-B816-BBD3E4578EEF}"/>
    <cellStyle name="Normal 11 2 3 2 4 3 2 2" xfId="46441" xr:uid="{DFCC732E-D3FE-43D9-8617-E265C43447F2}"/>
    <cellStyle name="Normal 11 2 3 2 4 3 3" xfId="33850" xr:uid="{9B04666C-B5AF-44BF-B3D5-7B44D4F95198}"/>
    <cellStyle name="Normal 11 2 3 2 4 4" xfId="14671" xr:uid="{716D7FA1-BF2F-4A06-BD72-94E903999642}"/>
    <cellStyle name="Normal 11 2 3 2 4 4 2" xfId="40163" xr:uid="{F9332B53-DA54-41AA-BCFC-22D86D40DFC2}"/>
    <cellStyle name="Normal 11 2 3 2 4 5" xfId="27572" xr:uid="{F436F9F2-D93F-4E38-B9AE-40B809694F7C}"/>
    <cellStyle name="Normal 11 2 3 2 5" xfId="1437" xr:uid="{716B0C41-2859-412A-B4E4-92C707C0903B}"/>
    <cellStyle name="Normal 11 2 3 2 5 2" xfId="4591" xr:uid="{5B938C88-AD8B-4C52-8CDF-89F7ADD7271C}"/>
    <cellStyle name="Normal 11 2 3 2 5 2 2" xfId="10884" xr:uid="{68679A89-587D-4674-8689-8AE8798C16C0}"/>
    <cellStyle name="Normal 11 2 3 2 5 2 2 2" xfId="23566" xr:uid="{84BF3960-54B6-4B91-909C-B2F43512BEE5}"/>
    <cellStyle name="Normal 11 2 3 2 5 2 2 2 2" xfId="49058" xr:uid="{9C14A801-7D5A-4B54-9F09-71C61A9D421C}"/>
    <cellStyle name="Normal 11 2 3 2 5 2 2 3" xfId="36467" xr:uid="{BB49EA3F-1E55-45A4-A5BD-8206A87D290B}"/>
    <cellStyle name="Normal 11 2 3 2 5 2 3" xfId="17288" xr:uid="{2F29F835-8943-46A5-8B37-3EED63DD93B2}"/>
    <cellStyle name="Normal 11 2 3 2 5 2 3 2" xfId="42780" xr:uid="{B6577F1A-3C31-4362-BDB4-B90A4AE0E9AF}"/>
    <cellStyle name="Normal 11 2 3 2 5 2 4" xfId="30189" xr:uid="{89AE9464-8105-4C3E-BF40-24AB6777AF07}"/>
    <cellStyle name="Normal 11 2 3 2 5 3" xfId="7745" xr:uid="{2414FB21-0313-4F74-8A2F-0757B9D90BEC}"/>
    <cellStyle name="Normal 11 2 3 2 5 3 2" xfId="20427" xr:uid="{8CF0AB48-6AF2-4B30-B218-C0302AC8FB36}"/>
    <cellStyle name="Normal 11 2 3 2 5 3 2 2" xfId="45919" xr:uid="{4C6E34E0-1E04-4C93-B7E3-C79776C070A4}"/>
    <cellStyle name="Normal 11 2 3 2 5 3 3" xfId="33328" xr:uid="{4DEA8AFD-789C-4A96-85B0-6207D2E3115B}"/>
    <cellStyle name="Normal 11 2 3 2 5 4" xfId="14149" xr:uid="{573CC896-E483-4BDE-9784-E417D6F960AA}"/>
    <cellStyle name="Normal 11 2 3 2 5 4 2" xfId="39641" xr:uid="{B5B5B356-F10A-45B0-B16B-C805049AA5AF}"/>
    <cellStyle name="Normal 11 2 3 2 5 5" xfId="27050" xr:uid="{6D3389FF-1DE0-4EB2-A17A-D4FACF88ADFF}"/>
    <cellStyle name="Normal 11 2 3 2 6" xfId="2744" xr:uid="{A8FE81C6-ED19-4EFF-8911-08F91F934EF5}"/>
    <cellStyle name="Normal 11 2 3 2 6 2" xfId="5898" xr:uid="{1351E4A1-72FB-4A11-827C-553EB797FF37}"/>
    <cellStyle name="Normal 11 2 3 2 6 2 2" xfId="12191" xr:uid="{16ADC4BF-615F-4778-8562-C4EF095064FC}"/>
    <cellStyle name="Normal 11 2 3 2 6 2 2 2" xfId="24873" xr:uid="{AAD97392-39D2-4B8E-908F-7382EC15C346}"/>
    <cellStyle name="Normal 11 2 3 2 6 2 2 2 2" xfId="50365" xr:uid="{39F3310B-18A4-4739-8A20-499B81577DB7}"/>
    <cellStyle name="Normal 11 2 3 2 6 2 2 3" xfId="37774" xr:uid="{F956222E-0419-4D86-9F25-8CE3EE352246}"/>
    <cellStyle name="Normal 11 2 3 2 6 2 3" xfId="18595" xr:uid="{F54CA334-7B61-45BA-95CF-4E5B65499EDE}"/>
    <cellStyle name="Normal 11 2 3 2 6 2 3 2" xfId="44087" xr:uid="{0BF3F528-B742-4CF0-A74A-13CF03150D89}"/>
    <cellStyle name="Normal 11 2 3 2 6 2 4" xfId="31496" xr:uid="{12810D4D-0E6B-4893-838A-497A9D1CEFFD}"/>
    <cellStyle name="Normal 11 2 3 2 6 3" xfId="9052" xr:uid="{E08CCB53-0620-4B27-8BAC-3A6DA086BD7C}"/>
    <cellStyle name="Normal 11 2 3 2 6 3 2" xfId="21734" xr:uid="{A8489FCD-C130-4BE6-8158-1F68A44747A8}"/>
    <cellStyle name="Normal 11 2 3 2 6 3 2 2" xfId="47226" xr:uid="{E5658FA9-A627-4962-B7C2-CDC68472C9D8}"/>
    <cellStyle name="Normal 11 2 3 2 6 3 3" xfId="34635" xr:uid="{535B1599-9CD2-439C-8CD2-DF5651538B21}"/>
    <cellStyle name="Normal 11 2 3 2 6 4" xfId="15456" xr:uid="{F8F01085-F9FD-484D-A287-357EAAE3E106}"/>
    <cellStyle name="Normal 11 2 3 2 6 4 2" xfId="40948" xr:uid="{8F65EECF-FA68-45E2-895F-D817E0CFFF30}"/>
    <cellStyle name="Normal 11 2 3 2 6 5" xfId="28357" xr:uid="{FD55C4B3-3293-4BD5-B3B4-507963F49D60}"/>
    <cellStyle name="Normal 11 2 3 2 7" xfId="3267" xr:uid="{6A0E843F-1147-429A-B231-9E2DABA31371}"/>
    <cellStyle name="Normal 11 2 3 2 7 2" xfId="6421" xr:uid="{011AC58D-D0CA-4FD0-8570-C8B0905BABA3}"/>
    <cellStyle name="Normal 11 2 3 2 7 2 2" xfId="12714" xr:uid="{C4A62291-52AF-48E0-B9F8-39713016CE99}"/>
    <cellStyle name="Normal 11 2 3 2 7 2 2 2" xfId="25396" xr:uid="{C0C146A0-3350-49A6-A331-241B7F93D6CB}"/>
    <cellStyle name="Normal 11 2 3 2 7 2 2 2 2" xfId="50888" xr:uid="{0963EF16-6629-4E68-ACF8-1D6A33DA8452}"/>
    <cellStyle name="Normal 11 2 3 2 7 2 2 3" xfId="38297" xr:uid="{DD2315F5-3B28-41C0-949D-CCCA535C1298}"/>
    <cellStyle name="Normal 11 2 3 2 7 2 3" xfId="19118" xr:uid="{6930737A-A3EF-477C-8E0A-988A00CDAFDF}"/>
    <cellStyle name="Normal 11 2 3 2 7 2 3 2" xfId="44610" xr:uid="{EA2692A1-DB2C-4A99-82BA-E5826C170D61}"/>
    <cellStyle name="Normal 11 2 3 2 7 2 4" xfId="32019" xr:uid="{0D3AEB2F-899A-4F15-9196-F1A3115D45FF}"/>
    <cellStyle name="Normal 11 2 3 2 7 3" xfId="9575" xr:uid="{FE796172-D770-4AC7-ABC9-0E2592780E1C}"/>
    <cellStyle name="Normal 11 2 3 2 7 3 2" xfId="22257" xr:uid="{5C06D5D0-AD74-4D8A-8674-513F58269CD8}"/>
    <cellStyle name="Normal 11 2 3 2 7 3 2 2" xfId="47749" xr:uid="{7B962CBC-8F2C-47E2-8969-9D72AE04003F}"/>
    <cellStyle name="Normal 11 2 3 2 7 3 3" xfId="35158" xr:uid="{2717C6F6-6C28-4F3B-9CD7-772EC3B30666}"/>
    <cellStyle name="Normal 11 2 3 2 7 4" xfId="15979" xr:uid="{2054485C-F85A-4BE3-BEAD-162B76246474}"/>
    <cellStyle name="Normal 11 2 3 2 7 4 2" xfId="41471" xr:uid="{103EE189-548A-47D7-95E7-5DC650802EE2}"/>
    <cellStyle name="Normal 11 2 3 2 7 5" xfId="28880" xr:uid="{0D44DC44-B260-4406-9B79-2C7573EA6B57}"/>
    <cellStyle name="Normal 11 2 3 2 8" xfId="3806" xr:uid="{727A7A71-148F-4F40-9B13-1F0AC9FDDFA6}"/>
    <cellStyle name="Normal 11 2 3 2 8 2" xfId="10099" xr:uid="{5D8D4B88-E402-42D8-8671-3375926C4181}"/>
    <cellStyle name="Normal 11 2 3 2 8 2 2" xfId="22781" xr:uid="{4D9C138C-A1A2-40A9-89F1-1131B6046FAC}"/>
    <cellStyle name="Normal 11 2 3 2 8 2 2 2" xfId="48273" xr:uid="{C36609BF-D7FC-4E03-B33C-32FA1795D4B4}"/>
    <cellStyle name="Normal 11 2 3 2 8 2 3" xfId="35682" xr:uid="{1A17C372-055D-439C-88A2-5C824BC3192A}"/>
    <cellStyle name="Normal 11 2 3 2 8 3" xfId="16503" xr:uid="{23DCE0A6-2E42-47B1-BAB2-FADFFF47A1BD}"/>
    <cellStyle name="Normal 11 2 3 2 8 3 2" xfId="41995" xr:uid="{25F9024D-8E8E-48CD-828F-31D1E9875398}"/>
    <cellStyle name="Normal 11 2 3 2 8 4" xfId="29404" xr:uid="{35DDE748-EBDE-49E7-AA3F-8234D4D874A2}"/>
    <cellStyle name="Normal 11 2 3 2 9" xfId="6960" xr:uid="{F90D94FC-2A86-441E-83DC-97486BCA26A5}"/>
    <cellStyle name="Normal 11 2 3 2 9 2" xfId="19642" xr:uid="{95654B1C-C1E5-4170-93E5-8233A7B5886F}"/>
    <cellStyle name="Normal 11 2 3 2 9 2 2" xfId="45134" xr:uid="{C03228EC-B77A-490D-87F0-A87C484D6C5A}"/>
    <cellStyle name="Normal 11 2 3 2 9 3" xfId="32543" xr:uid="{819A50DE-079F-4C53-A16F-036A0C469973}"/>
    <cellStyle name="Normal 11 2 3 3" xfId="537" xr:uid="{5445534E-DDDC-4E32-966B-EFDBC611BD4A}"/>
    <cellStyle name="Normal 11 2 3 3 10" xfId="13264" xr:uid="{62F9CF73-CAA5-40A0-B10F-00BB1C571A76}"/>
    <cellStyle name="Normal 11 2 3 3 10 2" xfId="38756" xr:uid="{BB462CD3-FFA3-4117-BC95-0530EF577F7D}"/>
    <cellStyle name="Normal 11 2 3 3 11" xfId="26165" xr:uid="{FCD214B6-9DCB-4A5B-BB1E-FE55734FE1AF}"/>
    <cellStyle name="Normal 11 2 3 3 2" xfId="1074" xr:uid="{FA93F47D-FA04-4272-AC0D-63DF08180F4A}"/>
    <cellStyle name="Normal 11 2 3 3 2 2" xfId="2381" xr:uid="{AC6E254F-A58F-47C6-B245-8663DE6A8D95}"/>
    <cellStyle name="Normal 11 2 3 3 2 2 2" xfId="5535" xr:uid="{D7A185D4-8763-466C-AB7C-0B091C72DFC6}"/>
    <cellStyle name="Normal 11 2 3 3 2 2 2 2" xfId="11828" xr:uid="{46544665-A04E-4838-BB9E-2298A9974247}"/>
    <cellStyle name="Normal 11 2 3 3 2 2 2 2 2" xfId="24510" xr:uid="{D84919C6-28DC-49BC-8298-75CBB4514670}"/>
    <cellStyle name="Normal 11 2 3 3 2 2 2 2 2 2" xfId="50002" xr:uid="{96B9A7E2-2D08-4400-B9D9-AD0D5625B284}"/>
    <cellStyle name="Normal 11 2 3 3 2 2 2 2 3" xfId="37411" xr:uid="{D0BA05E2-0B6F-478A-B892-A6A918FDBF3E}"/>
    <cellStyle name="Normal 11 2 3 3 2 2 2 3" xfId="18232" xr:uid="{0D3DAA67-374A-462A-B4FD-205CD5ED62FC}"/>
    <cellStyle name="Normal 11 2 3 3 2 2 2 3 2" xfId="43724" xr:uid="{0B97A395-E845-4605-9807-9738E5B0FBDD}"/>
    <cellStyle name="Normal 11 2 3 3 2 2 2 4" xfId="31133" xr:uid="{4D8B9A91-F8D6-4B17-8460-7F13D2D3CA0B}"/>
    <cellStyle name="Normal 11 2 3 3 2 2 3" xfId="8689" xr:uid="{E802D4DF-989F-427F-A78B-80935505CCF4}"/>
    <cellStyle name="Normal 11 2 3 3 2 2 3 2" xfId="21371" xr:uid="{E70892FF-B1B2-4049-B871-8E023BF7B3D2}"/>
    <cellStyle name="Normal 11 2 3 3 2 2 3 2 2" xfId="46863" xr:uid="{610E33ED-21B3-477A-AFF1-FEF363B19BA2}"/>
    <cellStyle name="Normal 11 2 3 3 2 2 3 3" xfId="34272" xr:uid="{2F4F71C4-855D-4212-9810-220F5880E175}"/>
    <cellStyle name="Normal 11 2 3 3 2 2 4" xfId="15093" xr:uid="{34FDE84B-E624-445A-9AEB-ACFCFF9C7BEE}"/>
    <cellStyle name="Normal 11 2 3 3 2 2 4 2" xfId="40585" xr:uid="{4520B92E-4F5E-448D-A9BD-0F307A237264}"/>
    <cellStyle name="Normal 11 2 3 3 2 2 5" xfId="27994" xr:uid="{AF9F90EF-A398-4328-BAFC-73C405BB3F72}"/>
    <cellStyle name="Normal 11 2 3 3 2 3" xfId="1598" xr:uid="{2CEF8327-8309-4852-BE07-0E4A73D71466}"/>
    <cellStyle name="Normal 11 2 3 3 2 3 2" xfId="4752" xr:uid="{15632862-B34B-4141-B1BA-B26FAC281ED5}"/>
    <cellStyle name="Normal 11 2 3 3 2 3 2 2" xfId="11045" xr:uid="{C898F2B1-D417-40CD-A3F8-472A24E6DC4A}"/>
    <cellStyle name="Normal 11 2 3 3 2 3 2 2 2" xfId="23727" xr:uid="{2CE2C9EB-2368-45B9-BF0D-95E560232E20}"/>
    <cellStyle name="Normal 11 2 3 3 2 3 2 2 2 2" xfId="49219" xr:uid="{5919617E-EEC5-4B66-9F6C-1B77BAF31139}"/>
    <cellStyle name="Normal 11 2 3 3 2 3 2 2 3" xfId="36628" xr:uid="{78444F1D-C682-4B50-B0C1-E6A14048E736}"/>
    <cellStyle name="Normal 11 2 3 3 2 3 2 3" xfId="17449" xr:uid="{9BD05520-F886-4079-83EC-512BE17AF045}"/>
    <cellStyle name="Normal 11 2 3 3 2 3 2 3 2" xfId="42941" xr:uid="{B062DF63-8C9F-43CA-ACE8-9F1EBBBDECF4}"/>
    <cellStyle name="Normal 11 2 3 3 2 3 2 4" xfId="30350" xr:uid="{CCA999B4-5F82-4AA2-9C4B-A89405723B15}"/>
    <cellStyle name="Normal 11 2 3 3 2 3 3" xfId="7906" xr:uid="{B118A0E4-396D-4645-9AF2-8EA33758F9EC}"/>
    <cellStyle name="Normal 11 2 3 3 2 3 3 2" xfId="20588" xr:uid="{5DF2FEB6-EE8B-428D-9FD5-565655D716D2}"/>
    <cellStyle name="Normal 11 2 3 3 2 3 3 2 2" xfId="46080" xr:uid="{07E17252-37A4-49B9-99F8-200625D83611}"/>
    <cellStyle name="Normal 11 2 3 3 2 3 3 3" xfId="33489" xr:uid="{C32AF601-6614-4F2C-B70F-577B88901A40}"/>
    <cellStyle name="Normal 11 2 3 3 2 3 4" xfId="14310" xr:uid="{2B179E1F-A635-48DE-A399-B612898367D6}"/>
    <cellStyle name="Normal 11 2 3 3 2 3 4 2" xfId="39802" xr:uid="{DDFC48E7-92A5-4A50-AD9D-051CA88D0204}"/>
    <cellStyle name="Normal 11 2 3 3 2 3 5" xfId="27211" xr:uid="{3C90CE56-F8C7-41E4-A693-8E164516FAA9}"/>
    <cellStyle name="Normal 11 2 3 3 2 4" xfId="2905" xr:uid="{07474487-5DF8-4840-86B0-A51AAEF606E4}"/>
    <cellStyle name="Normal 11 2 3 3 2 4 2" xfId="6059" xr:uid="{44825024-8791-4E85-973A-18A28BFFF26D}"/>
    <cellStyle name="Normal 11 2 3 3 2 4 2 2" xfId="12352" xr:uid="{7A942571-2A09-47B6-A470-D994D0CECEFF}"/>
    <cellStyle name="Normal 11 2 3 3 2 4 2 2 2" xfId="25034" xr:uid="{B58AE8C5-1925-4A77-ACD8-0CEC5FD3C637}"/>
    <cellStyle name="Normal 11 2 3 3 2 4 2 2 2 2" xfId="50526" xr:uid="{878776D6-6083-443F-9393-02C3553439A0}"/>
    <cellStyle name="Normal 11 2 3 3 2 4 2 2 3" xfId="37935" xr:uid="{2C824F43-6970-4504-BC95-597404182B1B}"/>
    <cellStyle name="Normal 11 2 3 3 2 4 2 3" xfId="18756" xr:uid="{41141380-E18D-48E9-A5F5-4487DA3E25C0}"/>
    <cellStyle name="Normal 11 2 3 3 2 4 2 3 2" xfId="44248" xr:uid="{9BA8AB28-B590-4773-A889-F57DE68E84BA}"/>
    <cellStyle name="Normal 11 2 3 3 2 4 2 4" xfId="31657" xr:uid="{D1AF627C-9B0C-428B-8BAC-8679B4D0C8CC}"/>
    <cellStyle name="Normal 11 2 3 3 2 4 3" xfId="9213" xr:uid="{DE573CF7-17CF-4F6A-8EF5-AFEA1A5EBF88}"/>
    <cellStyle name="Normal 11 2 3 3 2 4 3 2" xfId="21895" xr:uid="{C50E879E-5D2C-43D0-B164-72A437DC9214}"/>
    <cellStyle name="Normal 11 2 3 3 2 4 3 2 2" xfId="47387" xr:uid="{23F89C9B-836B-40AD-BCC6-9A863F861032}"/>
    <cellStyle name="Normal 11 2 3 3 2 4 3 3" xfId="34796" xr:uid="{3F7E2BA6-283E-47A9-9ED5-C4731EEABCB0}"/>
    <cellStyle name="Normal 11 2 3 3 2 4 4" xfId="15617" xr:uid="{063A5C39-55F5-435A-B023-E3581AF55F0E}"/>
    <cellStyle name="Normal 11 2 3 3 2 4 4 2" xfId="41109" xr:uid="{FA7C1F2C-9BA2-4DC3-810D-CB14E96EFF75}"/>
    <cellStyle name="Normal 11 2 3 3 2 4 5" xfId="28518" xr:uid="{5C8080BF-5303-43A5-86E3-F0048A193CA0}"/>
    <cellStyle name="Normal 11 2 3 3 2 5" xfId="3428" xr:uid="{D2137AF7-D06F-46E9-82B0-CB7D0D67F8CA}"/>
    <cellStyle name="Normal 11 2 3 3 2 5 2" xfId="6582" xr:uid="{94A2C78E-09AF-4C46-AA8E-9D374204AF14}"/>
    <cellStyle name="Normal 11 2 3 3 2 5 2 2" xfId="12875" xr:uid="{CF7ACB3B-FAB8-4FF5-88E0-9EDA70A1FB14}"/>
    <cellStyle name="Normal 11 2 3 3 2 5 2 2 2" xfId="25557" xr:uid="{5651E79F-E4FB-481F-8965-F448A729BE11}"/>
    <cellStyle name="Normal 11 2 3 3 2 5 2 2 2 2" xfId="51049" xr:uid="{144AFE71-CD4C-4902-9CE7-28AFFBCFF6B8}"/>
    <cellStyle name="Normal 11 2 3 3 2 5 2 2 3" xfId="38458" xr:uid="{20996D95-7F5A-4D0E-AA22-ABBD6E8BA441}"/>
    <cellStyle name="Normal 11 2 3 3 2 5 2 3" xfId="19279" xr:uid="{57BE2A5B-3164-44E5-8674-5A6B0E43D5C6}"/>
    <cellStyle name="Normal 11 2 3 3 2 5 2 3 2" xfId="44771" xr:uid="{45221D72-5DFD-40D3-A8CD-E32BAB6585A0}"/>
    <cellStyle name="Normal 11 2 3 3 2 5 2 4" xfId="32180" xr:uid="{640DF93F-8152-407D-924C-8053DD56BEA7}"/>
    <cellStyle name="Normal 11 2 3 3 2 5 3" xfId="9736" xr:uid="{882B7FFE-D7E4-494E-A1E5-FFB9024162D7}"/>
    <cellStyle name="Normal 11 2 3 3 2 5 3 2" xfId="22418" xr:uid="{1D971B7A-EE78-416A-B91A-63F4941A0193}"/>
    <cellStyle name="Normal 11 2 3 3 2 5 3 2 2" xfId="47910" xr:uid="{5DE612C8-275D-4378-A773-CC8B8B2BCB46}"/>
    <cellStyle name="Normal 11 2 3 3 2 5 3 3" xfId="35319" xr:uid="{0154C3E0-1741-4EE5-8909-D559398F69D8}"/>
    <cellStyle name="Normal 11 2 3 3 2 5 4" xfId="16140" xr:uid="{CF840040-2406-468C-8F1F-271C94243292}"/>
    <cellStyle name="Normal 11 2 3 3 2 5 4 2" xfId="41632" xr:uid="{7122CA4A-8601-4A26-8528-724D132EFECC}"/>
    <cellStyle name="Normal 11 2 3 3 2 5 5" xfId="29041" xr:uid="{9FD27BE3-44DA-4008-8708-B021A462BCB0}"/>
    <cellStyle name="Normal 11 2 3 3 2 6" xfId="4228" xr:uid="{ACC14955-06EC-40C0-8E6E-09C9E8F90DC1}"/>
    <cellStyle name="Normal 11 2 3 3 2 6 2" xfId="10521" xr:uid="{8ED14F73-437D-4805-9ED1-1C47C1A10D78}"/>
    <cellStyle name="Normal 11 2 3 3 2 6 2 2" xfId="23203" xr:uid="{F2503E92-C3C7-48C6-9B26-FFC957A6FD2D}"/>
    <cellStyle name="Normal 11 2 3 3 2 6 2 2 2" xfId="48695" xr:uid="{C77D5FF5-8701-47A8-A9E7-698561A32159}"/>
    <cellStyle name="Normal 11 2 3 3 2 6 2 3" xfId="36104" xr:uid="{2C021D62-F5F7-41E9-9823-33A84B9E52F0}"/>
    <cellStyle name="Normal 11 2 3 3 2 6 3" xfId="16925" xr:uid="{BCA4F9ED-7A20-4792-B314-D440A46C5F1A}"/>
    <cellStyle name="Normal 11 2 3 3 2 6 3 2" xfId="42417" xr:uid="{B97E6A8D-A044-4E31-8C4C-D1F30C0C002E}"/>
    <cellStyle name="Normal 11 2 3 3 2 6 4" xfId="29826" xr:uid="{7D29DF2A-1007-44C8-B7C4-D7ED3226A9E8}"/>
    <cellStyle name="Normal 11 2 3 3 2 7" xfId="7382" xr:uid="{7B0168FF-1474-4ADF-8C20-4517CFF5281B}"/>
    <cellStyle name="Normal 11 2 3 3 2 7 2" xfId="20064" xr:uid="{208A8FA0-ACB2-4FE4-A39D-BA56414C5E63}"/>
    <cellStyle name="Normal 11 2 3 3 2 7 2 2" xfId="45556" xr:uid="{4F3221D7-5551-4D46-9ED8-1D0B70319D03}"/>
    <cellStyle name="Normal 11 2 3 3 2 7 3" xfId="32965" xr:uid="{2AAD3615-73A2-44FF-A888-CBBC3926A84E}"/>
    <cellStyle name="Normal 11 2 3 3 2 8" xfId="13786" xr:uid="{6DC1CE74-16C1-486E-A493-78225E220A70}"/>
    <cellStyle name="Normal 11 2 3 3 2 8 2" xfId="39278" xr:uid="{F71FE3D7-AE75-4BD7-956C-F59F35B8604C}"/>
    <cellStyle name="Normal 11 2 3 3 2 9" xfId="26687" xr:uid="{BD6B0FD0-73AF-4E2A-B75A-C05D3627694A}"/>
    <cellStyle name="Normal 11 2 3 3 3" xfId="814" xr:uid="{ED01583E-95E0-47DE-867D-7087B6EFE5D6}"/>
    <cellStyle name="Normal 11 2 3 3 3 2" xfId="2121" xr:uid="{35B2CF09-E349-499C-B418-7AF88EB2BF23}"/>
    <cellStyle name="Normal 11 2 3 3 3 2 2" xfId="5275" xr:uid="{89A53171-26C2-48C5-A17E-2933F5A90BC6}"/>
    <cellStyle name="Normal 11 2 3 3 3 2 2 2" xfId="11568" xr:uid="{465B2107-9C4F-4C20-A809-88C57596C811}"/>
    <cellStyle name="Normal 11 2 3 3 3 2 2 2 2" xfId="24250" xr:uid="{12301AAF-AC5D-4931-BEBF-2EEBBE11EAE1}"/>
    <cellStyle name="Normal 11 2 3 3 3 2 2 2 2 2" xfId="49742" xr:uid="{8DF1F551-AF10-42A0-833F-747118AF4CD7}"/>
    <cellStyle name="Normal 11 2 3 3 3 2 2 2 3" xfId="37151" xr:uid="{A3042544-08E5-4084-AE35-4B41C6BFA755}"/>
    <cellStyle name="Normal 11 2 3 3 3 2 2 3" xfId="17972" xr:uid="{E8136D5C-173A-495F-935F-73CE6A424A0E}"/>
    <cellStyle name="Normal 11 2 3 3 3 2 2 3 2" xfId="43464" xr:uid="{50522D70-D539-4544-922F-41AF6843083F}"/>
    <cellStyle name="Normal 11 2 3 3 3 2 2 4" xfId="30873" xr:uid="{890D03A8-9DA2-4093-A554-1F80854CF0DE}"/>
    <cellStyle name="Normal 11 2 3 3 3 2 3" xfId="8429" xr:uid="{482FD01E-85E3-4460-A56E-769BAFF5538D}"/>
    <cellStyle name="Normal 11 2 3 3 3 2 3 2" xfId="21111" xr:uid="{CC8E25AB-9C0F-4B46-8974-BABC0C40A2E5}"/>
    <cellStyle name="Normal 11 2 3 3 3 2 3 2 2" xfId="46603" xr:uid="{A3325C90-4A76-4F30-8657-3A142F593929}"/>
    <cellStyle name="Normal 11 2 3 3 3 2 3 3" xfId="34012" xr:uid="{9A825D75-7C46-434F-9E70-CCEE95A83AE4}"/>
    <cellStyle name="Normal 11 2 3 3 3 2 4" xfId="14833" xr:uid="{0D212F40-03F5-4FB9-B0C8-FA1622C038F8}"/>
    <cellStyle name="Normal 11 2 3 3 3 2 4 2" xfId="40325" xr:uid="{8E4B8695-DF42-44ED-8CF0-D809236E507D}"/>
    <cellStyle name="Normal 11 2 3 3 3 2 5" xfId="27734" xr:uid="{AB8A9C21-C3A4-44B0-9F7C-A1BF20C89199}"/>
    <cellStyle name="Normal 11 2 3 3 3 3" xfId="3968" xr:uid="{E6BB8524-8230-4F93-8FD4-1B498B9B8D31}"/>
    <cellStyle name="Normal 11 2 3 3 3 3 2" xfId="10261" xr:uid="{38CA30CF-1D4E-4B08-92DC-48169DEEBBCE}"/>
    <cellStyle name="Normal 11 2 3 3 3 3 2 2" xfId="22943" xr:uid="{84EE08CF-BE0F-4EF3-9156-FBE7D9C188AB}"/>
    <cellStyle name="Normal 11 2 3 3 3 3 2 2 2" xfId="48435" xr:uid="{37F66134-C61E-4254-A403-B6055AB9D97E}"/>
    <cellStyle name="Normal 11 2 3 3 3 3 2 3" xfId="35844" xr:uid="{DBB9F481-59D2-48D6-85A4-BC4390A6CACD}"/>
    <cellStyle name="Normal 11 2 3 3 3 3 3" xfId="16665" xr:uid="{EF2C3314-CD87-47FF-827B-746CA006C7CD}"/>
    <cellStyle name="Normal 11 2 3 3 3 3 3 2" xfId="42157" xr:uid="{11712E36-10FA-4FB9-93C9-C2CF0FB4A967}"/>
    <cellStyle name="Normal 11 2 3 3 3 3 4" xfId="29566" xr:uid="{7F601400-E1DC-4D15-B37F-08C53C6E2E00}"/>
    <cellStyle name="Normal 11 2 3 3 3 4" xfId="7122" xr:uid="{B4650543-41BB-4480-B76A-3B06FFA7929B}"/>
    <cellStyle name="Normal 11 2 3 3 3 4 2" xfId="19804" xr:uid="{E8104B93-C406-4895-8CBD-A882DA0EFB3C}"/>
    <cellStyle name="Normal 11 2 3 3 3 4 2 2" xfId="45296" xr:uid="{C09D5ECE-B600-457B-8D47-BB4540ECB6FD}"/>
    <cellStyle name="Normal 11 2 3 3 3 4 3" xfId="32705" xr:uid="{478D6032-3896-41AC-97BB-0DF199F8C306}"/>
    <cellStyle name="Normal 11 2 3 3 3 5" xfId="13526" xr:uid="{4C1077B2-F437-4248-B2C8-F0A89DB28F16}"/>
    <cellStyle name="Normal 11 2 3 3 3 5 2" xfId="39018" xr:uid="{4758906C-34CE-4B43-8DC7-5E3242298C45}"/>
    <cellStyle name="Normal 11 2 3 3 3 6" xfId="26427" xr:uid="{75AE0490-EB7F-4F58-897C-C9B10F85437D}"/>
    <cellStyle name="Normal 11 2 3 3 4" xfId="1859" xr:uid="{1CD335A0-1ED4-43D8-8472-8F6735321566}"/>
    <cellStyle name="Normal 11 2 3 3 4 2" xfId="5013" xr:uid="{6D7AF31E-2C66-4876-BEA8-29CD12A05A57}"/>
    <cellStyle name="Normal 11 2 3 3 4 2 2" xfId="11306" xr:uid="{78176604-D0C5-4086-B9DE-CEF5BBD2D9B1}"/>
    <cellStyle name="Normal 11 2 3 3 4 2 2 2" xfId="23988" xr:uid="{A7B63F2B-EFBF-4204-BCB3-15ED36EBB291}"/>
    <cellStyle name="Normal 11 2 3 3 4 2 2 2 2" xfId="49480" xr:uid="{0776655E-BE7D-45D9-AB64-80C456C409C1}"/>
    <cellStyle name="Normal 11 2 3 3 4 2 2 3" xfId="36889" xr:uid="{37083CBD-144B-4F86-802A-FA40C764F481}"/>
    <cellStyle name="Normal 11 2 3 3 4 2 3" xfId="17710" xr:uid="{C9C4230D-2431-49DD-934E-BCCE77B72F31}"/>
    <cellStyle name="Normal 11 2 3 3 4 2 3 2" xfId="43202" xr:uid="{3C99FF7F-2D26-4EC2-A8BE-FDC6F1B00045}"/>
    <cellStyle name="Normal 11 2 3 3 4 2 4" xfId="30611" xr:uid="{CA1133EA-59C8-45F3-B39E-00834D771ABE}"/>
    <cellStyle name="Normal 11 2 3 3 4 3" xfId="8167" xr:uid="{26E57C1B-D3A2-4C6A-B607-C942DE158E80}"/>
    <cellStyle name="Normal 11 2 3 3 4 3 2" xfId="20849" xr:uid="{20FF726C-76A6-4F7F-9804-A2E8B762777E}"/>
    <cellStyle name="Normal 11 2 3 3 4 3 2 2" xfId="46341" xr:uid="{2B380347-D99B-4C11-9B0E-91A0B7DD49EE}"/>
    <cellStyle name="Normal 11 2 3 3 4 3 3" xfId="33750" xr:uid="{88AE7998-2CC0-411A-9EA1-1E861487DD06}"/>
    <cellStyle name="Normal 11 2 3 3 4 4" xfId="14571" xr:uid="{31304391-3B4D-484D-AE29-47DD9B99A2BB}"/>
    <cellStyle name="Normal 11 2 3 3 4 4 2" xfId="40063" xr:uid="{CFA28B08-CB43-4152-A70E-C57EAEA65D17}"/>
    <cellStyle name="Normal 11 2 3 3 4 5" xfId="27472" xr:uid="{383A5E66-8ED8-4E81-9EB6-E07C96F7A6FC}"/>
    <cellStyle name="Normal 11 2 3 3 5" xfId="1337" xr:uid="{307E70CD-246C-464C-B720-5A98E1306C34}"/>
    <cellStyle name="Normal 11 2 3 3 5 2" xfId="4491" xr:uid="{7D639212-3944-4990-8F9C-44FCF627C57A}"/>
    <cellStyle name="Normal 11 2 3 3 5 2 2" xfId="10784" xr:uid="{54015BBB-DEEE-438E-AE45-F200D632DA55}"/>
    <cellStyle name="Normal 11 2 3 3 5 2 2 2" xfId="23466" xr:uid="{436C5F13-2FD3-4F2D-8CF9-E7036BE1CA69}"/>
    <cellStyle name="Normal 11 2 3 3 5 2 2 2 2" xfId="48958" xr:uid="{0F469184-895F-4152-8526-93699BAF7F12}"/>
    <cellStyle name="Normal 11 2 3 3 5 2 2 3" xfId="36367" xr:uid="{00EFE165-A62C-4B39-824C-4E8FA8FDF080}"/>
    <cellStyle name="Normal 11 2 3 3 5 2 3" xfId="17188" xr:uid="{0DE05133-DB2E-42FA-8D8B-D223E67C8793}"/>
    <cellStyle name="Normal 11 2 3 3 5 2 3 2" xfId="42680" xr:uid="{E26D1E11-A3AA-468E-8DD1-FE7AAEE37342}"/>
    <cellStyle name="Normal 11 2 3 3 5 2 4" xfId="30089" xr:uid="{4BE3050B-6069-4A02-87A4-7F19905939EE}"/>
    <cellStyle name="Normal 11 2 3 3 5 3" xfId="7645" xr:uid="{3059924C-0D16-4127-AA63-ED7721BB32D9}"/>
    <cellStyle name="Normal 11 2 3 3 5 3 2" xfId="20327" xr:uid="{02990D70-AB71-45F5-8453-298040644915}"/>
    <cellStyle name="Normal 11 2 3 3 5 3 2 2" xfId="45819" xr:uid="{EDC79CC4-F995-4A96-8FA8-F4A0D511C33A}"/>
    <cellStyle name="Normal 11 2 3 3 5 3 3" xfId="33228" xr:uid="{42A0B291-1FF1-4547-BDDD-B3107F7A61AB}"/>
    <cellStyle name="Normal 11 2 3 3 5 4" xfId="14049" xr:uid="{B395A49D-30D9-40FF-91BB-02A49069B605}"/>
    <cellStyle name="Normal 11 2 3 3 5 4 2" xfId="39541" xr:uid="{70406506-E069-4701-BE76-63E863660BC7}"/>
    <cellStyle name="Normal 11 2 3 3 5 5" xfId="26950" xr:uid="{8A2BC332-F08E-4849-874E-744A4FDCC143}"/>
    <cellStyle name="Normal 11 2 3 3 6" xfId="2644" xr:uid="{E94ACDFA-9D38-4947-A90A-011AB78BE563}"/>
    <cellStyle name="Normal 11 2 3 3 6 2" xfId="5798" xr:uid="{BD70CADD-3515-4C3E-B25C-38D8359B5CAF}"/>
    <cellStyle name="Normal 11 2 3 3 6 2 2" xfId="12091" xr:uid="{C2948409-A04E-45CE-A3F3-EF35262CC9A1}"/>
    <cellStyle name="Normal 11 2 3 3 6 2 2 2" xfId="24773" xr:uid="{A8BB74BC-607C-48DA-A1BD-A84183B9D07A}"/>
    <cellStyle name="Normal 11 2 3 3 6 2 2 2 2" xfId="50265" xr:uid="{78EE8BC7-DD28-4DAD-A209-CA4C4EE43165}"/>
    <cellStyle name="Normal 11 2 3 3 6 2 2 3" xfId="37674" xr:uid="{F0C15ED1-0B1A-4E02-93D1-FA8E1D8EEB43}"/>
    <cellStyle name="Normal 11 2 3 3 6 2 3" xfId="18495" xr:uid="{9F3F9016-F144-427D-970A-095CC14423A2}"/>
    <cellStyle name="Normal 11 2 3 3 6 2 3 2" xfId="43987" xr:uid="{2961B6E3-5A21-4801-B3FE-971FB492B778}"/>
    <cellStyle name="Normal 11 2 3 3 6 2 4" xfId="31396" xr:uid="{E8372B3A-8583-4347-BC32-941299D067FB}"/>
    <cellStyle name="Normal 11 2 3 3 6 3" xfId="8952" xr:uid="{058A1C95-D58E-4D33-965C-A3BB1E95AD1D}"/>
    <cellStyle name="Normal 11 2 3 3 6 3 2" xfId="21634" xr:uid="{AB290BA2-24AF-4A8A-9BE9-F5D4BA460FC2}"/>
    <cellStyle name="Normal 11 2 3 3 6 3 2 2" xfId="47126" xr:uid="{CC4B3CC5-497F-48BE-A231-3EBCD999ED56}"/>
    <cellStyle name="Normal 11 2 3 3 6 3 3" xfId="34535" xr:uid="{A4E8B312-5643-4662-94B9-9BA3099E1C9F}"/>
    <cellStyle name="Normal 11 2 3 3 6 4" xfId="15356" xr:uid="{05E8CF36-C354-42DB-98ED-9DF836301532}"/>
    <cellStyle name="Normal 11 2 3 3 6 4 2" xfId="40848" xr:uid="{BDC3EFE2-116E-41EE-9F0A-2890D2C79658}"/>
    <cellStyle name="Normal 11 2 3 3 6 5" xfId="28257" xr:uid="{C32FEEEB-E967-43AF-818D-75F43C47682E}"/>
    <cellStyle name="Normal 11 2 3 3 7" xfId="3167" xr:uid="{F56BFC2D-5A4A-4C7A-AA57-B5EEFC7832FB}"/>
    <cellStyle name="Normal 11 2 3 3 7 2" xfId="6321" xr:uid="{B1268065-C59E-41C5-9079-941896866289}"/>
    <cellStyle name="Normal 11 2 3 3 7 2 2" xfId="12614" xr:uid="{08137063-6769-4974-A819-9E1EC4200B91}"/>
    <cellStyle name="Normal 11 2 3 3 7 2 2 2" xfId="25296" xr:uid="{4B2EE7A6-4F32-45E5-AB93-2B49B6F0C853}"/>
    <cellStyle name="Normal 11 2 3 3 7 2 2 2 2" xfId="50788" xr:uid="{FD3044D8-1D15-422F-9F81-D3BADD65256D}"/>
    <cellStyle name="Normal 11 2 3 3 7 2 2 3" xfId="38197" xr:uid="{9757758D-8218-423C-A287-BC73BA98A710}"/>
    <cellStyle name="Normal 11 2 3 3 7 2 3" xfId="19018" xr:uid="{649CD3F6-F40A-417E-8CC9-B89A8D3CC628}"/>
    <cellStyle name="Normal 11 2 3 3 7 2 3 2" xfId="44510" xr:uid="{9C18B3C7-A4E2-4202-8BC6-6A6CE8F85530}"/>
    <cellStyle name="Normal 11 2 3 3 7 2 4" xfId="31919" xr:uid="{C0CB4EC8-D001-41F1-BA4F-002537F74649}"/>
    <cellStyle name="Normal 11 2 3 3 7 3" xfId="9475" xr:uid="{D74D02FD-C693-48AF-8433-FD8B58CF0FA3}"/>
    <cellStyle name="Normal 11 2 3 3 7 3 2" xfId="22157" xr:uid="{B1F58DF6-6670-48A1-866E-9A1C754FC1B7}"/>
    <cellStyle name="Normal 11 2 3 3 7 3 2 2" xfId="47649" xr:uid="{A9F615E7-622F-4F8E-90C4-8E674F12777D}"/>
    <cellStyle name="Normal 11 2 3 3 7 3 3" xfId="35058" xr:uid="{4DE43FEF-287F-497E-8080-278D37481C08}"/>
    <cellStyle name="Normal 11 2 3 3 7 4" xfId="15879" xr:uid="{C426232C-984C-435A-9ABE-212AFE03CB95}"/>
    <cellStyle name="Normal 11 2 3 3 7 4 2" xfId="41371" xr:uid="{B45CE71B-60FC-475C-90F6-4B9F24255125}"/>
    <cellStyle name="Normal 11 2 3 3 7 5" xfId="28780" xr:uid="{A104A658-A13C-4714-9A78-721FDFDB1132}"/>
    <cellStyle name="Normal 11 2 3 3 8" xfId="3706" xr:uid="{014EE70C-C47A-492E-9A26-4137E17B860A}"/>
    <cellStyle name="Normal 11 2 3 3 8 2" xfId="9999" xr:uid="{95740A66-CD31-4AE8-A4EE-95A6303C008E}"/>
    <cellStyle name="Normal 11 2 3 3 8 2 2" xfId="22681" xr:uid="{A13AED00-E472-43D8-8386-101119157CA8}"/>
    <cellStyle name="Normal 11 2 3 3 8 2 2 2" xfId="48173" xr:uid="{16B766A1-D8A9-462A-B6F4-2DE9989675E0}"/>
    <cellStyle name="Normal 11 2 3 3 8 2 3" xfId="35582" xr:uid="{AD7D76D1-AF23-40DA-9644-9C660577D45A}"/>
    <cellStyle name="Normal 11 2 3 3 8 3" xfId="16403" xr:uid="{B6123B0A-2F95-4157-A1EC-8FF683662723}"/>
    <cellStyle name="Normal 11 2 3 3 8 3 2" xfId="41895" xr:uid="{94F32633-DCAE-4E30-B767-FC6E62E39A2F}"/>
    <cellStyle name="Normal 11 2 3 3 8 4" xfId="29304" xr:uid="{98667F0E-D48C-40E6-90CA-7A0001314FBA}"/>
    <cellStyle name="Normal 11 2 3 3 9" xfId="6860" xr:uid="{E5E825F8-1926-45E9-8CFC-AE295B9DD45B}"/>
    <cellStyle name="Normal 11 2 3 3 9 2" xfId="19542" xr:uid="{20997939-6747-4FCC-9BD0-69B28EAE3180}"/>
    <cellStyle name="Normal 11 2 3 3 9 2 2" xfId="45034" xr:uid="{7BDD64CD-B158-4568-815E-A5AB5F0FA745}"/>
    <cellStyle name="Normal 11 2 3 3 9 3" xfId="32443" xr:uid="{9C980225-8E60-457E-86C9-D8F89FA87E09}"/>
    <cellStyle name="Normal 11 2 3 4" xfId="1015" xr:uid="{E597A656-CB9B-467C-96AB-33377CC9AB34}"/>
    <cellStyle name="Normal 11 2 3 4 2" xfId="2322" xr:uid="{91600D14-564B-44A4-BBE4-FE2709103FE0}"/>
    <cellStyle name="Normal 11 2 3 4 2 2" xfId="5476" xr:uid="{6AEAF0EE-FE77-47F4-9B7C-ABF6F9EDC505}"/>
    <cellStyle name="Normal 11 2 3 4 2 2 2" xfId="11769" xr:uid="{BC959179-79AB-4720-B6CA-BE9C15469238}"/>
    <cellStyle name="Normal 11 2 3 4 2 2 2 2" xfId="24451" xr:uid="{B0E8743A-1A82-49EB-8ABF-D16A9363D048}"/>
    <cellStyle name="Normal 11 2 3 4 2 2 2 2 2" xfId="49943" xr:uid="{DBAA0BFB-391B-4AF7-8F00-BD3B7B279A67}"/>
    <cellStyle name="Normal 11 2 3 4 2 2 2 3" xfId="37352" xr:uid="{B7DDA733-06F9-49EC-AA09-4B208B67842D}"/>
    <cellStyle name="Normal 11 2 3 4 2 2 3" xfId="18173" xr:uid="{DC041EDC-455D-464C-820C-8308CA5C3A72}"/>
    <cellStyle name="Normal 11 2 3 4 2 2 3 2" xfId="43665" xr:uid="{C0B9C5C0-19E7-4573-B7AD-73D20E4607FD}"/>
    <cellStyle name="Normal 11 2 3 4 2 2 4" xfId="31074" xr:uid="{EA9DF432-50AE-4145-ABEB-DCF83C047561}"/>
    <cellStyle name="Normal 11 2 3 4 2 3" xfId="8630" xr:uid="{5A4D79B8-8D30-4DA4-A1BF-81C131840925}"/>
    <cellStyle name="Normal 11 2 3 4 2 3 2" xfId="21312" xr:uid="{E26C33E6-A60E-4B24-BFEA-C7C6BADE9325}"/>
    <cellStyle name="Normal 11 2 3 4 2 3 2 2" xfId="46804" xr:uid="{E8D62A55-381A-4C4E-BB64-8CDC2FC3D46E}"/>
    <cellStyle name="Normal 11 2 3 4 2 3 3" xfId="34213" xr:uid="{BC67E763-5917-4AC4-90B7-295B6247FFA3}"/>
    <cellStyle name="Normal 11 2 3 4 2 4" xfId="15034" xr:uid="{E8749FCA-1B3C-4E56-9EEA-A501DCE8D8F7}"/>
    <cellStyle name="Normal 11 2 3 4 2 4 2" xfId="40526" xr:uid="{381BC433-F60B-4865-B426-5311E787EC0A}"/>
    <cellStyle name="Normal 11 2 3 4 2 5" xfId="27935" xr:uid="{541BEA75-C640-4F6E-BE56-D8EDD8C7222A}"/>
    <cellStyle name="Normal 11 2 3 4 3" xfId="1539" xr:uid="{8133F928-1DC0-47D3-B335-BD830ECB3C85}"/>
    <cellStyle name="Normal 11 2 3 4 3 2" xfId="4693" xr:uid="{99E4F839-6B07-4FB6-AFBD-CCBAFB461A65}"/>
    <cellStyle name="Normal 11 2 3 4 3 2 2" xfId="10986" xr:uid="{62A1CB6E-5A8D-47D4-91CC-1DB0DE845CAF}"/>
    <cellStyle name="Normal 11 2 3 4 3 2 2 2" xfId="23668" xr:uid="{BF56FBCA-9CCA-4CB9-9F7C-0E8D5FF85E3A}"/>
    <cellStyle name="Normal 11 2 3 4 3 2 2 2 2" xfId="49160" xr:uid="{3FA62A7D-99EE-4705-87E4-550CAC7CC638}"/>
    <cellStyle name="Normal 11 2 3 4 3 2 2 3" xfId="36569" xr:uid="{BB504ADB-A153-4B5E-B6E1-62FFFCED4376}"/>
    <cellStyle name="Normal 11 2 3 4 3 2 3" xfId="17390" xr:uid="{7D0B9AD6-9217-4B75-9AC8-32F25DA99C16}"/>
    <cellStyle name="Normal 11 2 3 4 3 2 3 2" xfId="42882" xr:uid="{AEB5C465-829C-4897-BAEC-F9664817FC5C}"/>
    <cellStyle name="Normal 11 2 3 4 3 2 4" xfId="30291" xr:uid="{BD0C70F1-7B56-4D17-A1D4-D514F68C4F9B}"/>
    <cellStyle name="Normal 11 2 3 4 3 3" xfId="7847" xr:uid="{E0581B54-5EF2-4807-8CD4-35055156D708}"/>
    <cellStyle name="Normal 11 2 3 4 3 3 2" xfId="20529" xr:uid="{C5D0B63E-D5A1-481E-B8CD-CC5B0C7B0860}"/>
    <cellStyle name="Normal 11 2 3 4 3 3 2 2" xfId="46021" xr:uid="{5580EAE3-A9EB-4CE5-B4AD-DA8BA36F5BC3}"/>
    <cellStyle name="Normal 11 2 3 4 3 3 3" xfId="33430" xr:uid="{D6B89E75-64BF-4A0E-9511-9B964A9F391A}"/>
    <cellStyle name="Normal 11 2 3 4 3 4" xfId="14251" xr:uid="{A9DE768F-872C-4E31-A9AB-F9901D55AE98}"/>
    <cellStyle name="Normal 11 2 3 4 3 4 2" xfId="39743" xr:uid="{2A494A87-D14B-4504-A18C-EF22575200AD}"/>
    <cellStyle name="Normal 11 2 3 4 3 5" xfId="27152" xr:uid="{01CE63F6-3957-4ED7-B4FB-8DC4C584D7E9}"/>
    <cellStyle name="Normal 11 2 3 4 4" xfId="2846" xr:uid="{84F19A19-8D57-4DEA-80C3-107E9924F41B}"/>
    <cellStyle name="Normal 11 2 3 4 4 2" xfId="6000" xr:uid="{26E79C95-8033-4B34-8E1A-37A9C832BFFD}"/>
    <cellStyle name="Normal 11 2 3 4 4 2 2" xfId="12293" xr:uid="{05D404BB-26E7-4F35-B295-5ADDDB1074A4}"/>
    <cellStyle name="Normal 11 2 3 4 4 2 2 2" xfId="24975" xr:uid="{BFCDC634-F85B-4A1B-8409-95CF5885C7CE}"/>
    <cellStyle name="Normal 11 2 3 4 4 2 2 2 2" xfId="50467" xr:uid="{BE16360A-B80C-4037-853A-826F01B916E0}"/>
    <cellStyle name="Normal 11 2 3 4 4 2 2 3" xfId="37876" xr:uid="{6CEDC990-1939-4698-B1CB-275EFD2E6522}"/>
    <cellStyle name="Normal 11 2 3 4 4 2 3" xfId="18697" xr:uid="{72FA0056-BEEC-417B-8451-4B17048E8EEF}"/>
    <cellStyle name="Normal 11 2 3 4 4 2 3 2" xfId="44189" xr:uid="{9810BB67-F83C-45BA-94E7-221DDF362B2E}"/>
    <cellStyle name="Normal 11 2 3 4 4 2 4" xfId="31598" xr:uid="{42E89709-7913-47D7-B901-19E4970D7146}"/>
    <cellStyle name="Normal 11 2 3 4 4 3" xfId="9154" xr:uid="{56117CC3-0AD5-4C57-80D5-B3EB440EA58D}"/>
    <cellStyle name="Normal 11 2 3 4 4 3 2" xfId="21836" xr:uid="{52F3DC61-A3B3-46DA-92F7-ED507BDC06A7}"/>
    <cellStyle name="Normal 11 2 3 4 4 3 2 2" xfId="47328" xr:uid="{B5F4BA8E-E732-4134-B8D3-B95EA973578D}"/>
    <cellStyle name="Normal 11 2 3 4 4 3 3" xfId="34737" xr:uid="{E3FF1D33-47DA-4780-A395-665E3AE29A51}"/>
    <cellStyle name="Normal 11 2 3 4 4 4" xfId="15558" xr:uid="{9D66D0E3-A671-4C10-9632-8CDF79D61846}"/>
    <cellStyle name="Normal 11 2 3 4 4 4 2" xfId="41050" xr:uid="{CC83924F-623E-444E-AD5A-A0E712E8DAF7}"/>
    <cellStyle name="Normal 11 2 3 4 4 5" xfId="28459" xr:uid="{89C3153F-796C-415B-8CC4-EC7FE2C46FAA}"/>
    <cellStyle name="Normal 11 2 3 4 5" xfId="3369" xr:uid="{A213F1C1-6098-4038-A4B8-BC181845A3A0}"/>
    <cellStyle name="Normal 11 2 3 4 5 2" xfId="6523" xr:uid="{DC1F3880-64B1-4221-BC4B-82D4E7C84615}"/>
    <cellStyle name="Normal 11 2 3 4 5 2 2" xfId="12816" xr:uid="{92B4D3E2-821A-4435-BD89-B67111D119E5}"/>
    <cellStyle name="Normal 11 2 3 4 5 2 2 2" xfId="25498" xr:uid="{FC61F942-5DB4-4C33-9388-C8AB9304B6D6}"/>
    <cellStyle name="Normal 11 2 3 4 5 2 2 2 2" xfId="50990" xr:uid="{72EF9AA5-4BBA-459E-A2A1-091AA0F54A68}"/>
    <cellStyle name="Normal 11 2 3 4 5 2 2 3" xfId="38399" xr:uid="{6365A47D-28CE-4990-A81E-224B9B6BEE16}"/>
    <cellStyle name="Normal 11 2 3 4 5 2 3" xfId="19220" xr:uid="{26202C0B-F744-4284-B2B8-E48577627C78}"/>
    <cellStyle name="Normal 11 2 3 4 5 2 3 2" xfId="44712" xr:uid="{A9A4282A-D8A0-4E83-A573-DFCAD2CB0111}"/>
    <cellStyle name="Normal 11 2 3 4 5 2 4" xfId="32121" xr:uid="{661DD07C-79A3-4754-8107-B6D00B7C5E9A}"/>
    <cellStyle name="Normal 11 2 3 4 5 3" xfId="9677" xr:uid="{6A97AE00-F40D-44FC-BBE8-83E0524396BD}"/>
    <cellStyle name="Normal 11 2 3 4 5 3 2" xfId="22359" xr:uid="{45A27B2C-91C8-4989-BB82-2C7EBCBE12FB}"/>
    <cellStyle name="Normal 11 2 3 4 5 3 2 2" xfId="47851" xr:uid="{6C4EACBE-9AB7-43D3-B5DC-C984837AB987}"/>
    <cellStyle name="Normal 11 2 3 4 5 3 3" xfId="35260" xr:uid="{641FB38C-6357-4F50-8100-2D2A39AABA75}"/>
    <cellStyle name="Normal 11 2 3 4 5 4" xfId="16081" xr:uid="{69EB0120-95D2-4478-80D7-6DCB68A91241}"/>
    <cellStyle name="Normal 11 2 3 4 5 4 2" xfId="41573" xr:uid="{F5387F48-077D-41F3-935F-90DF7B9A256D}"/>
    <cellStyle name="Normal 11 2 3 4 5 5" xfId="28982" xr:uid="{DD4E9793-6449-4A20-B8A9-9EECFB976098}"/>
    <cellStyle name="Normal 11 2 3 4 6" xfId="4169" xr:uid="{3F20A9CD-981C-4567-8DDA-CDA697F9E496}"/>
    <cellStyle name="Normal 11 2 3 4 6 2" xfId="10462" xr:uid="{515E6613-267A-4458-B3DC-FBF37A26B765}"/>
    <cellStyle name="Normal 11 2 3 4 6 2 2" xfId="23144" xr:uid="{5537B187-B4AE-45DB-AF86-08C523912BF5}"/>
    <cellStyle name="Normal 11 2 3 4 6 2 2 2" xfId="48636" xr:uid="{C885EFC5-498F-419A-88B4-168A4B88FE3C}"/>
    <cellStyle name="Normal 11 2 3 4 6 2 3" xfId="36045" xr:uid="{8D8F564D-9019-4702-BA33-072A1E74581C}"/>
    <cellStyle name="Normal 11 2 3 4 6 3" xfId="16866" xr:uid="{9965A1DF-E4C5-4F5B-8673-BDB5896C123A}"/>
    <cellStyle name="Normal 11 2 3 4 6 3 2" xfId="42358" xr:uid="{ECD255DA-EECA-44C0-8FB6-39FC93808936}"/>
    <cellStyle name="Normal 11 2 3 4 6 4" xfId="29767" xr:uid="{8FBD4580-4A8F-4C79-8376-92E709696589}"/>
    <cellStyle name="Normal 11 2 3 4 7" xfId="7323" xr:uid="{1ED25296-2FBC-48D2-A33B-2C4B7F499F4D}"/>
    <cellStyle name="Normal 11 2 3 4 7 2" xfId="20005" xr:uid="{9BAB5FAD-E256-4590-960E-30E249354DE7}"/>
    <cellStyle name="Normal 11 2 3 4 7 2 2" xfId="45497" xr:uid="{84D926AE-54B1-4984-B4E8-8EAFEFB219FB}"/>
    <cellStyle name="Normal 11 2 3 4 7 3" xfId="32906" xr:uid="{2923B3E1-D7F6-4E87-9851-D58E7D4D1284}"/>
    <cellStyle name="Normal 11 2 3 4 8" xfId="13727" xr:uid="{59B36960-800C-4785-BDEB-2E5C9ECF6B2F}"/>
    <cellStyle name="Normal 11 2 3 4 8 2" xfId="39219" xr:uid="{48EB173A-693F-4538-B09D-3A209453BC6E}"/>
    <cellStyle name="Normal 11 2 3 4 9" xfId="26628" xr:uid="{80FBC962-54A7-4CD0-82FE-033F1CACDC48}"/>
    <cellStyle name="Normal 11 2 3 5" xfId="755" xr:uid="{C7A19F45-4423-4FC3-AA91-C0C0C94FE09B}"/>
    <cellStyle name="Normal 11 2 3 5 2" xfId="2062" xr:uid="{B8C32B11-8E55-4D76-AAB4-AD1B575C59BC}"/>
    <cellStyle name="Normal 11 2 3 5 2 2" xfId="5216" xr:uid="{0212C2E2-CB48-475C-8E50-A6C955BB7748}"/>
    <cellStyle name="Normal 11 2 3 5 2 2 2" xfId="11509" xr:uid="{60B08A96-9D25-4CAE-82EA-142A73CAE137}"/>
    <cellStyle name="Normal 11 2 3 5 2 2 2 2" xfId="24191" xr:uid="{820FC19F-A9FC-4329-BCA0-C6D3079B4B2C}"/>
    <cellStyle name="Normal 11 2 3 5 2 2 2 2 2" xfId="49683" xr:uid="{159A9896-AE17-4F61-9963-963133288CD4}"/>
    <cellStyle name="Normal 11 2 3 5 2 2 2 3" xfId="37092" xr:uid="{8EDB3322-93A8-4FD6-8DAD-F13AE9C611BA}"/>
    <cellStyle name="Normal 11 2 3 5 2 2 3" xfId="17913" xr:uid="{F2852ADE-6947-42AD-8847-8159BDBCB5F5}"/>
    <cellStyle name="Normal 11 2 3 5 2 2 3 2" xfId="43405" xr:uid="{50C02017-F736-4DFB-A366-3EE4E5A25969}"/>
    <cellStyle name="Normal 11 2 3 5 2 2 4" xfId="30814" xr:uid="{5B4D11AA-9122-449C-A70E-15252D46DF1D}"/>
    <cellStyle name="Normal 11 2 3 5 2 3" xfId="8370" xr:uid="{EC5693EA-6412-4420-8144-50C625F1436C}"/>
    <cellStyle name="Normal 11 2 3 5 2 3 2" xfId="21052" xr:uid="{904589DE-A857-457F-BA31-E640FA838FDD}"/>
    <cellStyle name="Normal 11 2 3 5 2 3 2 2" xfId="46544" xr:uid="{60A7B0A4-BFA7-4FB6-8BD5-48D211FEA47D}"/>
    <cellStyle name="Normal 11 2 3 5 2 3 3" xfId="33953" xr:uid="{FC5A2ACC-1DFA-42AC-BBB7-06F4D5552DBB}"/>
    <cellStyle name="Normal 11 2 3 5 2 4" xfId="14774" xr:uid="{4872BF0F-8BC5-4A84-B51D-F28CF614FA0F}"/>
    <cellStyle name="Normal 11 2 3 5 2 4 2" xfId="40266" xr:uid="{A6049232-8AEF-44F9-936B-77A0E9F60C45}"/>
    <cellStyle name="Normal 11 2 3 5 2 5" xfId="27675" xr:uid="{CB099387-5850-4226-A3E0-EAB0186C47E3}"/>
    <cellStyle name="Normal 11 2 3 5 3" xfId="3909" xr:uid="{60BBD298-904C-4887-BC6F-A2D77D3167C1}"/>
    <cellStyle name="Normal 11 2 3 5 3 2" xfId="10202" xr:uid="{6AE376EE-735B-43F5-A35B-943174BEE981}"/>
    <cellStyle name="Normal 11 2 3 5 3 2 2" xfId="22884" xr:uid="{D42FFAC4-9217-4ECF-86C5-3EF6FB9C608D}"/>
    <cellStyle name="Normal 11 2 3 5 3 2 2 2" xfId="48376" xr:uid="{21F65A12-1A02-4778-BB89-ED9C0894804D}"/>
    <cellStyle name="Normal 11 2 3 5 3 2 3" xfId="35785" xr:uid="{081B4371-39F6-42C3-AB24-8BC805106149}"/>
    <cellStyle name="Normal 11 2 3 5 3 3" xfId="16606" xr:uid="{C3A61B7E-A416-4273-BEF8-7E2B7CD44629}"/>
    <cellStyle name="Normal 11 2 3 5 3 3 2" xfId="42098" xr:uid="{D29424CA-003F-4035-8BE7-2C98E4FA5469}"/>
    <cellStyle name="Normal 11 2 3 5 3 4" xfId="29507" xr:uid="{069F8118-2803-4B60-8F02-9285C2FD087F}"/>
    <cellStyle name="Normal 11 2 3 5 4" xfId="7063" xr:uid="{2837DBFA-AEEB-4A89-9E94-CFC439570766}"/>
    <cellStyle name="Normal 11 2 3 5 4 2" xfId="19745" xr:uid="{7B75EAD0-614C-43D9-B970-815C9BB4E6A3}"/>
    <cellStyle name="Normal 11 2 3 5 4 2 2" xfId="45237" xr:uid="{ECD95710-94A5-4ECA-8743-8F9D2B08A26A}"/>
    <cellStyle name="Normal 11 2 3 5 4 3" xfId="32646" xr:uid="{6042D370-6789-4F84-9E15-F7770EDB01A4}"/>
    <cellStyle name="Normal 11 2 3 5 5" xfId="13467" xr:uid="{0BE64BB3-4DFB-4A07-BEB1-EC4EB8A43D1F}"/>
    <cellStyle name="Normal 11 2 3 5 5 2" xfId="38959" xr:uid="{77E521AC-5598-4D54-AB0C-16A8A53A6327}"/>
    <cellStyle name="Normal 11 2 3 5 6" xfId="26368" xr:uid="{C91DD9E8-1326-4AD0-B750-68DD13D55C8E}"/>
    <cellStyle name="Normal 11 2 3 6" xfId="1800" xr:uid="{848043A3-3727-432B-89DB-2CA0780310B9}"/>
    <cellStyle name="Normal 11 2 3 6 2" xfId="4954" xr:uid="{38E035FC-AFA5-4AF1-A118-CAB859AD9B7C}"/>
    <cellStyle name="Normal 11 2 3 6 2 2" xfId="11247" xr:uid="{E641DA5C-3665-4B1B-8B8A-A4244AC7428C}"/>
    <cellStyle name="Normal 11 2 3 6 2 2 2" xfId="23929" xr:uid="{264B6C16-0437-4986-8A6F-0E476DCADEEE}"/>
    <cellStyle name="Normal 11 2 3 6 2 2 2 2" xfId="49421" xr:uid="{4AC1BD7D-5E58-457C-A59D-ADCFF20607C4}"/>
    <cellStyle name="Normal 11 2 3 6 2 2 3" xfId="36830" xr:uid="{82B78D4E-B657-4385-BA69-F280C86B13EB}"/>
    <cellStyle name="Normal 11 2 3 6 2 3" xfId="17651" xr:uid="{B72CF78F-F09B-44EB-8BDA-E9B45291E5DB}"/>
    <cellStyle name="Normal 11 2 3 6 2 3 2" xfId="43143" xr:uid="{A348A36E-5AB1-40B7-B005-823C7C02F8A8}"/>
    <cellStyle name="Normal 11 2 3 6 2 4" xfId="30552" xr:uid="{99FA4048-0588-4972-A2A4-6277B95200F5}"/>
    <cellStyle name="Normal 11 2 3 6 3" xfId="8108" xr:uid="{8CA27B14-481D-4944-974D-FCD1B7BD23D5}"/>
    <cellStyle name="Normal 11 2 3 6 3 2" xfId="20790" xr:uid="{034ED50A-8A94-4B04-BBAD-286AFFBE7EA4}"/>
    <cellStyle name="Normal 11 2 3 6 3 2 2" xfId="46282" xr:uid="{2707AD46-D908-4EBB-8527-50B957EF8C30}"/>
    <cellStyle name="Normal 11 2 3 6 3 3" xfId="33691" xr:uid="{EC9B3E32-EEBA-4DC9-A03A-33CE2B787978}"/>
    <cellStyle name="Normal 11 2 3 6 4" xfId="14512" xr:uid="{95CF6B81-4B88-4D31-8CC5-B6DED37E0E1C}"/>
    <cellStyle name="Normal 11 2 3 6 4 2" xfId="40004" xr:uid="{042CD458-F439-4B9D-BE0F-806FC28CB7F7}"/>
    <cellStyle name="Normal 11 2 3 6 5" xfId="27413" xr:uid="{DC2B41D6-644F-4289-9BFD-A98D6B23698F}"/>
    <cellStyle name="Normal 11 2 3 7" xfId="1278" xr:uid="{74A6FD70-35C4-4962-8650-CFD61E9E709E}"/>
    <cellStyle name="Normal 11 2 3 7 2" xfId="4432" xr:uid="{D6AAC987-32F9-41CD-A39B-91693866BA33}"/>
    <cellStyle name="Normal 11 2 3 7 2 2" xfId="10725" xr:uid="{1F5476A9-382A-46FB-9DB7-5B4E157D1508}"/>
    <cellStyle name="Normal 11 2 3 7 2 2 2" xfId="23407" xr:uid="{647FA6C2-E785-43F2-9E78-8748483E9409}"/>
    <cellStyle name="Normal 11 2 3 7 2 2 2 2" xfId="48899" xr:uid="{1A23E6AB-A007-4093-BF40-C6857ED46EEB}"/>
    <cellStyle name="Normal 11 2 3 7 2 2 3" xfId="36308" xr:uid="{67A3477D-BE77-447D-ABC3-50E603456633}"/>
    <cellStyle name="Normal 11 2 3 7 2 3" xfId="17129" xr:uid="{B2FF25F9-D833-4FA9-BAD8-0CA7054D27DD}"/>
    <cellStyle name="Normal 11 2 3 7 2 3 2" xfId="42621" xr:uid="{33A7A152-5C2C-4DFC-8A74-51706F0B82F4}"/>
    <cellStyle name="Normal 11 2 3 7 2 4" xfId="30030" xr:uid="{3C6F5C80-2B24-4FF1-9F18-C303A1B0EC46}"/>
    <cellStyle name="Normal 11 2 3 7 3" xfId="7586" xr:uid="{64F851E4-7316-4F17-985C-B737CF2106E8}"/>
    <cellStyle name="Normal 11 2 3 7 3 2" xfId="20268" xr:uid="{C07FD14F-88A2-454E-8953-C72ADF5ED404}"/>
    <cellStyle name="Normal 11 2 3 7 3 2 2" xfId="45760" xr:uid="{54081F29-F107-4174-B91A-41CA008580BF}"/>
    <cellStyle name="Normal 11 2 3 7 3 3" xfId="33169" xr:uid="{4DF3BC1E-57CE-4AB2-8D4A-A0A57AE8CBF1}"/>
    <cellStyle name="Normal 11 2 3 7 4" xfId="13990" xr:uid="{3E3B7842-5D58-4414-8159-367B41A39610}"/>
    <cellStyle name="Normal 11 2 3 7 4 2" xfId="39482" xr:uid="{5BF512D2-A07F-4F8B-ADD7-6F607452B3D6}"/>
    <cellStyle name="Normal 11 2 3 7 5" xfId="26891" xr:uid="{0158623F-D721-4556-9557-3838E28345C4}"/>
    <cellStyle name="Normal 11 2 3 8" xfId="2585" xr:uid="{BEF57C2C-CEF8-4C3E-89B4-8DA9925BF4EC}"/>
    <cellStyle name="Normal 11 2 3 8 2" xfId="5739" xr:uid="{9BCE6019-EDD1-446B-9193-08A6AAE7CB81}"/>
    <cellStyle name="Normal 11 2 3 8 2 2" xfId="12032" xr:uid="{DF26C6BC-96F9-4830-8AD4-0A0BB37A546F}"/>
    <cellStyle name="Normal 11 2 3 8 2 2 2" xfId="24714" xr:uid="{D4039FA0-E99F-420D-93F3-482621A55FDE}"/>
    <cellStyle name="Normal 11 2 3 8 2 2 2 2" xfId="50206" xr:uid="{1F8A6452-73C1-4C8B-A2AB-609F050AE754}"/>
    <cellStyle name="Normal 11 2 3 8 2 2 3" xfId="37615" xr:uid="{7EE61D7A-0943-4728-A8AA-3844DBC90E76}"/>
    <cellStyle name="Normal 11 2 3 8 2 3" xfId="18436" xr:uid="{AD32DCF9-FF5A-4C54-A40F-9F66BEC54E2E}"/>
    <cellStyle name="Normal 11 2 3 8 2 3 2" xfId="43928" xr:uid="{A7844122-A965-4339-8C87-BBEBA981B873}"/>
    <cellStyle name="Normal 11 2 3 8 2 4" xfId="31337" xr:uid="{1C3E418E-9621-4006-9ABC-86B67ABE5786}"/>
    <cellStyle name="Normal 11 2 3 8 3" xfId="8893" xr:uid="{E9E30E2C-6A8C-4F95-837D-96F59EE1BB14}"/>
    <cellStyle name="Normal 11 2 3 8 3 2" xfId="21575" xr:uid="{EBE27F29-0666-4D5B-804E-15962FC8F01A}"/>
    <cellStyle name="Normal 11 2 3 8 3 2 2" xfId="47067" xr:uid="{59D60E63-1347-43DF-9D92-9DB266BAE63A}"/>
    <cellStyle name="Normal 11 2 3 8 3 3" xfId="34476" xr:uid="{259B1CFA-F416-47CC-952F-BCCBF0DF90F4}"/>
    <cellStyle name="Normal 11 2 3 8 4" xfId="15297" xr:uid="{CE7D9E97-476D-4A1D-90CF-6F5433B58F62}"/>
    <cellStyle name="Normal 11 2 3 8 4 2" xfId="40789" xr:uid="{D449F7CE-CADF-419F-85A0-F824FEE9B188}"/>
    <cellStyle name="Normal 11 2 3 8 5" xfId="28198" xr:uid="{753FD7CD-A1DE-4F3B-852C-E75FAEF99295}"/>
    <cellStyle name="Normal 11 2 3 9" xfId="3108" xr:uid="{BCAB3702-A5C1-49AF-A680-B4349E80DE8B}"/>
    <cellStyle name="Normal 11 2 3 9 2" xfId="6262" xr:uid="{BD46947E-A5E2-4B52-A236-62120809ED15}"/>
    <cellStyle name="Normal 11 2 3 9 2 2" xfId="12555" xr:uid="{82246004-A147-4869-9C54-EDF2D7E76112}"/>
    <cellStyle name="Normal 11 2 3 9 2 2 2" xfId="25237" xr:uid="{D81447CC-FABE-4E47-8FFD-EE784AA33D33}"/>
    <cellStyle name="Normal 11 2 3 9 2 2 2 2" xfId="50729" xr:uid="{2EE86D45-5065-4F05-B6E3-CC33D204AD7F}"/>
    <cellStyle name="Normal 11 2 3 9 2 2 3" xfId="38138" xr:uid="{A9C929B5-2495-42F8-A203-C73A29D671D8}"/>
    <cellStyle name="Normal 11 2 3 9 2 3" xfId="18959" xr:uid="{1F04F773-3853-495C-A0F4-0F592152BC57}"/>
    <cellStyle name="Normal 11 2 3 9 2 3 2" xfId="44451" xr:uid="{A798F0E0-EA5C-462B-A370-5A4AB85E48CD}"/>
    <cellStyle name="Normal 11 2 3 9 2 4" xfId="31860" xr:uid="{D97B4F46-A6CE-48E9-8140-3D1D30116EB5}"/>
    <cellStyle name="Normal 11 2 3 9 3" xfId="9416" xr:uid="{D4B6EEBC-95E1-4694-94FC-BD50D98DDF04}"/>
    <cellStyle name="Normal 11 2 3 9 3 2" xfId="22098" xr:uid="{79107951-D6ED-47D1-A4BD-5F29C21F308D}"/>
    <cellStyle name="Normal 11 2 3 9 3 2 2" xfId="47590" xr:uid="{CFA25CFA-AE8E-4AE3-9ACE-2DA081A3CA9F}"/>
    <cellStyle name="Normal 11 2 3 9 3 3" xfId="34999" xr:uid="{99A5B3C4-CA6C-4DF9-848A-9B719C555E39}"/>
    <cellStyle name="Normal 11 2 3 9 4" xfId="15820" xr:uid="{B28E26FD-91B5-4C24-B924-91B9CC9462C3}"/>
    <cellStyle name="Normal 11 2 3 9 4 2" xfId="41312" xr:uid="{E0272EDA-2A91-48B2-BB32-C11EC9826E55}"/>
    <cellStyle name="Normal 11 2 3 9 5" xfId="28721" xr:uid="{CA018201-F438-49FD-98CA-98A877B48E3E}"/>
    <cellStyle name="Normal 11 2 4" xfId="459" xr:uid="{9D546D99-F2FA-4E53-A6A3-0C3A597DE19A}"/>
    <cellStyle name="Normal 11 2 4 10" xfId="6782" xr:uid="{69248777-154F-4BF6-B041-CC25111C3C7C}"/>
    <cellStyle name="Normal 11 2 4 10 2" xfId="19464" xr:uid="{4EBEC4A8-B4F0-4A70-9188-4078FEA0FA84}"/>
    <cellStyle name="Normal 11 2 4 10 2 2" xfId="44956" xr:uid="{983C1227-0ECD-48F1-A74C-6CD8E053D1D0}"/>
    <cellStyle name="Normal 11 2 4 10 3" xfId="32365" xr:uid="{A4DC2FE1-6C48-4BBC-957C-6DCD27DC16A4}"/>
    <cellStyle name="Normal 11 2 4 11" xfId="13186" xr:uid="{0CBF17DA-1B74-4AB0-9CE2-DBFC9E3FDE6B}"/>
    <cellStyle name="Normal 11 2 4 11 2" xfId="38678" xr:uid="{32C82FE8-2F0A-4A26-ACAA-D6FD221272E2}"/>
    <cellStyle name="Normal 11 2 4 12" xfId="26087" xr:uid="{F69F7B66-AC88-4FCA-965D-027F4762E122}"/>
    <cellStyle name="Normal 11 2 4 2" xfId="618" xr:uid="{66ACD6F4-F644-481A-943A-FAF778820C8F}"/>
    <cellStyle name="Normal 11 2 4 2 10" xfId="13345" xr:uid="{7A9CE357-7420-491D-B9FA-5F8C505357C4}"/>
    <cellStyle name="Normal 11 2 4 2 10 2" xfId="38837" xr:uid="{60064F0C-D54D-4002-8339-9F4D25429CD8}"/>
    <cellStyle name="Normal 11 2 4 2 11" xfId="26246" xr:uid="{7189E91B-406E-4873-8CA1-3EB145392CD2}"/>
    <cellStyle name="Normal 11 2 4 2 2" xfId="1155" xr:uid="{428B6523-9C59-4461-8FAD-068D7C8704C0}"/>
    <cellStyle name="Normal 11 2 4 2 2 2" xfId="2462" xr:uid="{5A144848-BC2E-4006-8453-904D6A8E8182}"/>
    <cellStyle name="Normal 11 2 4 2 2 2 2" xfId="5616" xr:uid="{A54939C5-0848-4339-BE65-C71DAF7F8CE8}"/>
    <cellStyle name="Normal 11 2 4 2 2 2 2 2" xfId="11909" xr:uid="{D56B7EE9-59D6-4586-9C94-919283ED4BAE}"/>
    <cellStyle name="Normal 11 2 4 2 2 2 2 2 2" xfId="24591" xr:uid="{BFF18A8C-C00F-40E9-985E-DCBD2B1D0751}"/>
    <cellStyle name="Normal 11 2 4 2 2 2 2 2 2 2" xfId="50083" xr:uid="{1E1D3A84-FB9A-4F5B-9163-96438E76221B}"/>
    <cellStyle name="Normal 11 2 4 2 2 2 2 2 3" xfId="37492" xr:uid="{648EB173-C560-4E80-BE45-289B546725E8}"/>
    <cellStyle name="Normal 11 2 4 2 2 2 2 3" xfId="18313" xr:uid="{8DFCF646-860C-4568-BDAC-84029A2CAE00}"/>
    <cellStyle name="Normal 11 2 4 2 2 2 2 3 2" xfId="43805" xr:uid="{A2ADB258-3767-4B61-8D88-15114BAD725F}"/>
    <cellStyle name="Normal 11 2 4 2 2 2 2 4" xfId="31214" xr:uid="{8B78E69A-8F72-4A1C-A2CA-F8813FD5FF92}"/>
    <cellStyle name="Normal 11 2 4 2 2 2 3" xfId="8770" xr:uid="{C5EF070B-6B1E-4A77-AC16-171D737C6531}"/>
    <cellStyle name="Normal 11 2 4 2 2 2 3 2" xfId="21452" xr:uid="{327D9668-8EEF-44BF-AF19-FCC71FFFCB1C}"/>
    <cellStyle name="Normal 11 2 4 2 2 2 3 2 2" xfId="46944" xr:uid="{6B037916-7B0C-497C-8D02-E00AFC1018CB}"/>
    <cellStyle name="Normal 11 2 4 2 2 2 3 3" xfId="34353" xr:uid="{7B147BCD-90F2-4609-AB83-0388E7FE3EFE}"/>
    <cellStyle name="Normal 11 2 4 2 2 2 4" xfId="15174" xr:uid="{BD0DDF44-5DB4-477E-8639-A6708A71A220}"/>
    <cellStyle name="Normal 11 2 4 2 2 2 4 2" xfId="40666" xr:uid="{7EA855DC-C910-4141-9E1B-87972BF14787}"/>
    <cellStyle name="Normal 11 2 4 2 2 2 5" xfId="28075" xr:uid="{C8D25BC1-ADD8-41DA-BD14-433CB073D0E0}"/>
    <cellStyle name="Normal 11 2 4 2 2 3" xfId="1679" xr:uid="{460DBFBA-7374-4EA1-9C3A-3B67DE8F0DCB}"/>
    <cellStyle name="Normal 11 2 4 2 2 3 2" xfId="4833" xr:uid="{80FC409C-1537-40C8-B3B7-63565AADDA99}"/>
    <cellStyle name="Normal 11 2 4 2 2 3 2 2" xfId="11126" xr:uid="{7E27B915-84FA-4A64-9502-DCD70EF7A8A1}"/>
    <cellStyle name="Normal 11 2 4 2 2 3 2 2 2" xfId="23808" xr:uid="{11D9E313-D121-449D-9B67-010E3A890687}"/>
    <cellStyle name="Normal 11 2 4 2 2 3 2 2 2 2" xfId="49300" xr:uid="{E7721BA6-FB1B-4FFC-B54E-2455FAFE0C13}"/>
    <cellStyle name="Normal 11 2 4 2 2 3 2 2 3" xfId="36709" xr:uid="{8D2FEC4B-9FF5-4E54-A689-531F013BD7D0}"/>
    <cellStyle name="Normal 11 2 4 2 2 3 2 3" xfId="17530" xr:uid="{D15618A3-3454-44FB-B9CF-650F81A3A16A}"/>
    <cellStyle name="Normal 11 2 4 2 2 3 2 3 2" xfId="43022" xr:uid="{30A61441-1A3D-40CD-A1AF-ED439C509F81}"/>
    <cellStyle name="Normal 11 2 4 2 2 3 2 4" xfId="30431" xr:uid="{5921255C-6EC7-439C-91E3-BF0AAAF8058D}"/>
    <cellStyle name="Normal 11 2 4 2 2 3 3" xfId="7987" xr:uid="{07516FFB-BF76-4EC1-A9A9-034E13CF7C5B}"/>
    <cellStyle name="Normal 11 2 4 2 2 3 3 2" xfId="20669" xr:uid="{42346231-318B-4B9A-B878-0D9FB9EE9FD3}"/>
    <cellStyle name="Normal 11 2 4 2 2 3 3 2 2" xfId="46161" xr:uid="{DC768513-3DFF-4482-8955-301C10E2B9F5}"/>
    <cellStyle name="Normal 11 2 4 2 2 3 3 3" xfId="33570" xr:uid="{F99CC28E-1CA6-42D4-BB80-E574FDB655ED}"/>
    <cellStyle name="Normal 11 2 4 2 2 3 4" xfId="14391" xr:uid="{3743643B-B2EB-4C72-AF83-81217172E566}"/>
    <cellStyle name="Normal 11 2 4 2 2 3 4 2" xfId="39883" xr:uid="{D924FEF8-E297-45C1-9DBA-10D339259308}"/>
    <cellStyle name="Normal 11 2 4 2 2 3 5" xfId="27292" xr:uid="{1C219337-D125-44B1-A85E-4FABE71D3471}"/>
    <cellStyle name="Normal 11 2 4 2 2 4" xfId="2986" xr:uid="{5846CD49-B09A-4B4A-BC96-C077306D7C42}"/>
    <cellStyle name="Normal 11 2 4 2 2 4 2" xfId="6140" xr:uid="{F0726E3E-463A-49C9-B30F-23537306718D}"/>
    <cellStyle name="Normal 11 2 4 2 2 4 2 2" xfId="12433" xr:uid="{EEEBC20D-05C6-499F-AEEB-C7693209DFC9}"/>
    <cellStyle name="Normal 11 2 4 2 2 4 2 2 2" xfId="25115" xr:uid="{15BE38BD-FFB5-4B92-B706-813E7025369B}"/>
    <cellStyle name="Normal 11 2 4 2 2 4 2 2 2 2" xfId="50607" xr:uid="{3C77D915-7F56-4167-BC7F-E037FC7E0FCF}"/>
    <cellStyle name="Normal 11 2 4 2 2 4 2 2 3" xfId="38016" xr:uid="{EC76F6AC-13D8-450F-9CBB-39FDCAADEBC3}"/>
    <cellStyle name="Normal 11 2 4 2 2 4 2 3" xfId="18837" xr:uid="{B31499C9-E210-4C79-AB0B-1408F7CA6BD6}"/>
    <cellStyle name="Normal 11 2 4 2 2 4 2 3 2" xfId="44329" xr:uid="{89AED118-0E63-4DAC-8E1D-85E9081F7895}"/>
    <cellStyle name="Normal 11 2 4 2 2 4 2 4" xfId="31738" xr:uid="{5773B0FC-B833-4CCB-9BCD-95A0A945F749}"/>
    <cellStyle name="Normal 11 2 4 2 2 4 3" xfId="9294" xr:uid="{E1A93116-AEF7-4F86-9E4C-1C2E303318B4}"/>
    <cellStyle name="Normal 11 2 4 2 2 4 3 2" xfId="21976" xr:uid="{435CCD60-A1E6-4AC0-A47B-0127D19ED8F6}"/>
    <cellStyle name="Normal 11 2 4 2 2 4 3 2 2" xfId="47468" xr:uid="{C5E4712E-9A1F-429E-A686-2F5590D51254}"/>
    <cellStyle name="Normal 11 2 4 2 2 4 3 3" xfId="34877" xr:uid="{675E88C3-0407-4BB0-941D-887E5ABE615C}"/>
    <cellStyle name="Normal 11 2 4 2 2 4 4" xfId="15698" xr:uid="{EB77F3F4-0086-40DE-96A8-738838B0E418}"/>
    <cellStyle name="Normal 11 2 4 2 2 4 4 2" xfId="41190" xr:uid="{3A5F4B9E-94CA-40B4-825D-ABF4817A9F51}"/>
    <cellStyle name="Normal 11 2 4 2 2 4 5" xfId="28599" xr:uid="{FD1F7B99-F501-4534-82F4-1FBCCFD55B7D}"/>
    <cellStyle name="Normal 11 2 4 2 2 5" xfId="3509" xr:uid="{9AFF558E-03BF-493E-B935-9AC6DF79D50B}"/>
    <cellStyle name="Normal 11 2 4 2 2 5 2" xfId="6663" xr:uid="{45F4D00B-BC58-4BB1-A03C-0F983744BC9B}"/>
    <cellStyle name="Normal 11 2 4 2 2 5 2 2" xfId="12956" xr:uid="{ABD0CC23-2753-4736-8B26-2F141C67C949}"/>
    <cellStyle name="Normal 11 2 4 2 2 5 2 2 2" xfId="25638" xr:uid="{D417FAD7-3AF0-4C6B-A20C-293BF8C7AB60}"/>
    <cellStyle name="Normal 11 2 4 2 2 5 2 2 2 2" xfId="51130" xr:uid="{8D5F041C-1884-4528-BDA1-A5BEF836CF12}"/>
    <cellStyle name="Normal 11 2 4 2 2 5 2 2 3" xfId="38539" xr:uid="{CF0637AD-3192-4D09-A468-866521662F17}"/>
    <cellStyle name="Normal 11 2 4 2 2 5 2 3" xfId="19360" xr:uid="{BB2AD0CF-9607-4ACC-BC32-AB8B9909176F}"/>
    <cellStyle name="Normal 11 2 4 2 2 5 2 3 2" xfId="44852" xr:uid="{8165EE94-3D3F-4E39-A350-01A71D4A5062}"/>
    <cellStyle name="Normal 11 2 4 2 2 5 2 4" xfId="32261" xr:uid="{559F399A-818F-46C5-9C4B-DF9B6718DF86}"/>
    <cellStyle name="Normal 11 2 4 2 2 5 3" xfId="9817" xr:uid="{69BC1BE8-27EF-4A1E-84E4-812811CF36F9}"/>
    <cellStyle name="Normal 11 2 4 2 2 5 3 2" xfId="22499" xr:uid="{DDD8D09C-1C42-42D7-88BE-966C3C037377}"/>
    <cellStyle name="Normal 11 2 4 2 2 5 3 2 2" xfId="47991" xr:uid="{E71FDAE5-7A1A-4F61-816B-0AB30148BEA2}"/>
    <cellStyle name="Normal 11 2 4 2 2 5 3 3" xfId="35400" xr:uid="{0F5AD093-A16A-430E-BBD3-E529D09AD4ED}"/>
    <cellStyle name="Normal 11 2 4 2 2 5 4" xfId="16221" xr:uid="{C379FEB3-C039-451D-8F88-97097BCF175C}"/>
    <cellStyle name="Normal 11 2 4 2 2 5 4 2" xfId="41713" xr:uid="{B269883C-D987-4E55-8929-11A9B779CE20}"/>
    <cellStyle name="Normal 11 2 4 2 2 5 5" xfId="29122" xr:uid="{B64BB002-B173-4C0F-BA14-12DAE40AD7AB}"/>
    <cellStyle name="Normal 11 2 4 2 2 6" xfId="4309" xr:uid="{1B40B824-37BD-460D-9A0C-EF75CAB0B316}"/>
    <cellStyle name="Normal 11 2 4 2 2 6 2" xfId="10602" xr:uid="{79193AE7-55D7-4EAB-B7AC-0F8757116CD4}"/>
    <cellStyle name="Normal 11 2 4 2 2 6 2 2" xfId="23284" xr:uid="{02141258-F16E-4FF2-815E-907E330287AB}"/>
    <cellStyle name="Normal 11 2 4 2 2 6 2 2 2" xfId="48776" xr:uid="{EE9681D6-D94C-45AA-8A92-0194E143FFCB}"/>
    <cellStyle name="Normal 11 2 4 2 2 6 2 3" xfId="36185" xr:uid="{C1C4CE99-4219-4DE8-A14F-FAA6A3E13997}"/>
    <cellStyle name="Normal 11 2 4 2 2 6 3" xfId="17006" xr:uid="{4B6DA052-F367-417F-B756-32056747BFCF}"/>
    <cellStyle name="Normal 11 2 4 2 2 6 3 2" xfId="42498" xr:uid="{8A1FD67B-B7A0-434D-B740-910460EBA483}"/>
    <cellStyle name="Normal 11 2 4 2 2 6 4" xfId="29907" xr:uid="{4EE5A3E3-9C53-44DA-8E24-255C2BDC0BA1}"/>
    <cellStyle name="Normal 11 2 4 2 2 7" xfId="7463" xr:uid="{EA9A52B3-5882-4291-82B5-FCBDA00A2E45}"/>
    <cellStyle name="Normal 11 2 4 2 2 7 2" xfId="20145" xr:uid="{7172EEDE-1ED9-4733-9262-489D8ECAA5B9}"/>
    <cellStyle name="Normal 11 2 4 2 2 7 2 2" xfId="45637" xr:uid="{FAE26AA4-23C9-4227-A0D1-C3A3981BE441}"/>
    <cellStyle name="Normal 11 2 4 2 2 7 3" xfId="33046" xr:uid="{63FB4B2C-9579-483F-BDB8-2BA563D3BE42}"/>
    <cellStyle name="Normal 11 2 4 2 2 8" xfId="13867" xr:uid="{EF59F1D7-9016-405F-8B9D-497B411451F9}"/>
    <cellStyle name="Normal 11 2 4 2 2 8 2" xfId="39359" xr:uid="{4AA18D69-5136-402C-83C8-A3DB923CD7A4}"/>
    <cellStyle name="Normal 11 2 4 2 2 9" xfId="26768" xr:uid="{E6A49E5E-8FB0-4E1F-A0A7-68D7960B0134}"/>
    <cellStyle name="Normal 11 2 4 2 3" xfId="895" xr:uid="{3D6EE0C2-D683-4CA6-967E-0CF08F2DD325}"/>
    <cellStyle name="Normal 11 2 4 2 3 2" xfId="2202" xr:uid="{3128B724-5540-4604-88FA-F11EE04B66FE}"/>
    <cellStyle name="Normal 11 2 4 2 3 2 2" xfId="5356" xr:uid="{C954D509-D5A2-4BDE-BF1D-A3CBC2BA1F21}"/>
    <cellStyle name="Normal 11 2 4 2 3 2 2 2" xfId="11649" xr:uid="{FC2A176A-E5A6-4531-8166-EBBA986801BD}"/>
    <cellStyle name="Normal 11 2 4 2 3 2 2 2 2" xfId="24331" xr:uid="{E1E49E6A-870B-4CE9-9708-BD1FCD895754}"/>
    <cellStyle name="Normal 11 2 4 2 3 2 2 2 2 2" xfId="49823" xr:uid="{378F832D-8BE6-4735-A13A-E3E6F0807262}"/>
    <cellStyle name="Normal 11 2 4 2 3 2 2 2 3" xfId="37232" xr:uid="{DA878EFB-3DD7-4E56-A572-9EF9D6C39520}"/>
    <cellStyle name="Normal 11 2 4 2 3 2 2 3" xfId="18053" xr:uid="{10C95200-1732-4E4F-93F8-DAE62C29588A}"/>
    <cellStyle name="Normal 11 2 4 2 3 2 2 3 2" xfId="43545" xr:uid="{45FB236B-D664-437E-A1F4-FF188D4F2DC0}"/>
    <cellStyle name="Normal 11 2 4 2 3 2 2 4" xfId="30954" xr:uid="{A6D63B8C-BD1C-4594-9568-03A8EC8008FB}"/>
    <cellStyle name="Normal 11 2 4 2 3 2 3" xfId="8510" xr:uid="{327E3077-A72C-4F78-A70D-87D8420304C6}"/>
    <cellStyle name="Normal 11 2 4 2 3 2 3 2" xfId="21192" xr:uid="{A6B113A3-6875-429F-AD81-B8F8E0E79165}"/>
    <cellStyle name="Normal 11 2 4 2 3 2 3 2 2" xfId="46684" xr:uid="{003809EC-167D-480F-AAFA-7D3CB2466B68}"/>
    <cellStyle name="Normal 11 2 4 2 3 2 3 3" xfId="34093" xr:uid="{7CA73F44-96B1-444F-AA50-DC6662E95F07}"/>
    <cellStyle name="Normal 11 2 4 2 3 2 4" xfId="14914" xr:uid="{96EF67BC-A4BA-49A8-B9F5-6796A0F56A28}"/>
    <cellStyle name="Normal 11 2 4 2 3 2 4 2" xfId="40406" xr:uid="{5DC45666-8B56-4446-9EF8-CC69247AF352}"/>
    <cellStyle name="Normal 11 2 4 2 3 2 5" xfId="27815" xr:uid="{CA653E13-220E-4FAB-A2A2-1B5CA42C7805}"/>
    <cellStyle name="Normal 11 2 4 2 3 3" xfId="4049" xr:uid="{1723247F-FC12-4CCB-BB20-66522DE2C19C}"/>
    <cellStyle name="Normal 11 2 4 2 3 3 2" xfId="10342" xr:uid="{EA089C6C-D9F2-4617-9901-B54E42E859C4}"/>
    <cellStyle name="Normal 11 2 4 2 3 3 2 2" xfId="23024" xr:uid="{D44750C8-240C-4AE4-9831-10329FD5C32D}"/>
    <cellStyle name="Normal 11 2 4 2 3 3 2 2 2" xfId="48516" xr:uid="{798FA120-4578-44CF-9C26-5ED6459892DF}"/>
    <cellStyle name="Normal 11 2 4 2 3 3 2 3" xfId="35925" xr:uid="{7D250106-54B6-40AE-8319-11887AF026D4}"/>
    <cellStyle name="Normal 11 2 4 2 3 3 3" xfId="16746" xr:uid="{1BB765FE-0E39-4ABE-A94D-D9933E905D8F}"/>
    <cellStyle name="Normal 11 2 4 2 3 3 3 2" xfId="42238" xr:uid="{3E52AE19-808C-44B3-97EE-9805D4D8DA66}"/>
    <cellStyle name="Normal 11 2 4 2 3 3 4" xfId="29647" xr:uid="{30EA6911-517D-4E4C-BE4E-784A845EEEB6}"/>
    <cellStyle name="Normal 11 2 4 2 3 4" xfId="7203" xr:uid="{54813319-F431-4F79-AB02-117600FFEE84}"/>
    <cellStyle name="Normal 11 2 4 2 3 4 2" xfId="19885" xr:uid="{735D2E5D-6B8A-40B8-843C-F266B079255A}"/>
    <cellStyle name="Normal 11 2 4 2 3 4 2 2" xfId="45377" xr:uid="{05FE4969-3892-495A-9260-72490C44714C}"/>
    <cellStyle name="Normal 11 2 4 2 3 4 3" xfId="32786" xr:uid="{E1E46613-7206-4FE4-9362-F86A21EE92FB}"/>
    <cellStyle name="Normal 11 2 4 2 3 5" xfId="13607" xr:uid="{32776C4C-8FB5-4352-9F6E-563176CC8AB0}"/>
    <cellStyle name="Normal 11 2 4 2 3 5 2" xfId="39099" xr:uid="{BA308C2C-86B9-4623-9682-332945BB5CE6}"/>
    <cellStyle name="Normal 11 2 4 2 3 6" xfId="26508" xr:uid="{34B8770E-7F56-44F8-8509-4AC01A2090EE}"/>
    <cellStyle name="Normal 11 2 4 2 4" xfId="1940" xr:uid="{D489B72E-81F1-4790-BCA0-F7116EBEF6FC}"/>
    <cellStyle name="Normal 11 2 4 2 4 2" xfId="5094" xr:uid="{B26BEBA6-EC4B-4548-A6FC-F3A6985F3ADF}"/>
    <cellStyle name="Normal 11 2 4 2 4 2 2" xfId="11387" xr:uid="{BDE55070-B347-4ED0-8A71-55394414E1DC}"/>
    <cellStyle name="Normal 11 2 4 2 4 2 2 2" xfId="24069" xr:uid="{3DF61C97-7399-4E3E-934B-CF5B5963F188}"/>
    <cellStyle name="Normal 11 2 4 2 4 2 2 2 2" xfId="49561" xr:uid="{32EBD720-C119-470C-99AE-73ADF7AA6E2D}"/>
    <cellStyle name="Normal 11 2 4 2 4 2 2 3" xfId="36970" xr:uid="{3A3A91FE-79A3-4846-A688-10E2CC600CA8}"/>
    <cellStyle name="Normal 11 2 4 2 4 2 3" xfId="17791" xr:uid="{BD150BF2-841A-4C11-9D17-FC8648AB699A}"/>
    <cellStyle name="Normal 11 2 4 2 4 2 3 2" xfId="43283" xr:uid="{97ED23E0-D918-4025-9A48-D8E2CE82B827}"/>
    <cellStyle name="Normal 11 2 4 2 4 2 4" xfId="30692" xr:uid="{95F8F638-C31D-4EAA-A426-896CB7423F38}"/>
    <cellStyle name="Normal 11 2 4 2 4 3" xfId="8248" xr:uid="{FB922874-700C-4900-8B73-B9807E2FBFEE}"/>
    <cellStyle name="Normal 11 2 4 2 4 3 2" xfId="20930" xr:uid="{36038651-652B-4191-AF1D-2DFB9699F5D4}"/>
    <cellStyle name="Normal 11 2 4 2 4 3 2 2" xfId="46422" xr:uid="{387EF69F-46D4-4858-BD90-3E849AC4DA22}"/>
    <cellStyle name="Normal 11 2 4 2 4 3 3" xfId="33831" xr:uid="{7B869DBE-44EE-4924-B5C4-89025B6E8EC8}"/>
    <cellStyle name="Normal 11 2 4 2 4 4" xfId="14652" xr:uid="{2FC89DD7-79DF-4B9B-9DD0-629F8B05C060}"/>
    <cellStyle name="Normal 11 2 4 2 4 4 2" xfId="40144" xr:uid="{E5998F5D-9114-49A7-ABEA-BDF0526A5F1F}"/>
    <cellStyle name="Normal 11 2 4 2 4 5" xfId="27553" xr:uid="{904AC503-61D9-47C4-B2BA-76AA6BB8EF0A}"/>
    <cellStyle name="Normal 11 2 4 2 5" xfId="1418" xr:uid="{0BB621F0-398A-4A98-AD47-CC6F1A7FC99F}"/>
    <cellStyle name="Normal 11 2 4 2 5 2" xfId="4572" xr:uid="{A14BA627-FBEB-418D-B49B-84D95D481E8F}"/>
    <cellStyle name="Normal 11 2 4 2 5 2 2" xfId="10865" xr:uid="{41A20D0E-0813-4208-9550-6EE090BD09E7}"/>
    <cellStyle name="Normal 11 2 4 2 5 2 2 2" xfId="23547" xr:uid="{21D2997D-6026-4DE4-BA93-68D3059F82D1}"/>
    <cellStyle name="Normal 11 2 4 2 5 2 2 2 2" xfId="49039" xr:uid="{E6A049DA-B5B0-4370-80DF-1051BFBFB9E4}"/>
    <cellStyle name="Normal 11 2 4 2 5 2 2 3" xfId="36448" xr:uid="{A6425966-C146-4DE9-BB8A-299D4EA15E0C}"/>
    <cellStyle name="Normal 11 2 4 2 5 2 3" xfId="17269" xr:uid="{354561E6-D165-4B29-ABB7-6108E6CF080F}"/>
    <cellStyle name="Normal 11 2 4 2 5 2 3 2" xfId="42761" xr:uid="{82614B40-9A81-4F6F-8608-B958C0622DE8}"/>
    <cellStyle name="Normal 11 2 4 2 5 2 4" xfId="30170" xr:uid="{8429DD41-15EF-4435-A3C0-1E17B022533D}"/>
    <cellStyle name="Normal 11 2 4 2 5 3" xfId="7726" xr:uid="{D5D5831F-9863-44C3-AD13-D248A02062E2}"/>
    <cellStyle name="Normal 11 2 4 2 5 3 2" xfId="20408" xr:uid="{AEB0316C-3E8D-42F4-ABF6-293984D7911B}"/>
    <cellStyle name="Normal 11 2 4 2 5 3 2 2" xfId="45900" xr:uid="{0071AB84-FD93-495E-8B7C-0CE728783F51}"/>
    <cellStyle name="Normal 11 2 4 2 5 3 3" xfId="33309" xr:uid="{294E7B9F-F619-407D-8A8E-FFEF2461EC0E}"/>
    <cellStyle name="Normal 11 2 4 2 5 4" xfId="14130" xr:uid="{2BF795C0-E6CD-4FE8-BFAA-72301E28C0F9}"/>
    <cellStyle name="Normal 11 2 4 2 5 4 2" xfId="39622" xr:uid="{2E9AC91A-C310-4C07-93B7-716B67ED4142}"/>
    <cellStyle name="Normal 11 2 4 2 5 5" xfId="27031" xr:uid="{3F6A25F0-E3D7-4DD9-AB85-F486DF527DF3}"/>
    <cellStyle name="Normal 11 2 4 2 6" xfId="2725" xr:uid="{3A4CE158-CC8C-432B-9CB9-E1E45161E80D}"/>
    <cellStyle name="Normal 11 2 4 2 6 2" xfId="5879" xr:uid="{0E1BD47B-0ACD-4CAA-BA9C-4BDF044E85F4}"/>
    <cellStyle name="Normal 11 2 4 2 6 2 2" xfId="12172" xr:uid="{180E219F-EF7E-461B-BF81-EFF7FF4A0E70}"/>
    <cellStyle name="Normal 11 2 4 2 6 2 2 2" xfId="24854" xr:uid="{DB997408-47D8-4573-BAF1-B6579A4E685A}"/>
    <cellStyle name="Normal 11 2 4 2 6 2 2 2 2" xfId="50346" xr:uid="{77557888-70B5-44DD-9034-44F2EDA89FBE}"/>
    <cellStyle name="Normal 11 2 4 2 6 2 2 3" xfId="37755" xr:uid="{6EF5570A-D4C6-4677-8DDE-0BCF1D511F77}"/>
    <cellStyle name="Normal 11 2 4 2 6 2 3" xfId="18576" xr:uid="{34CF77D9-53ED-4B28-90FE-96EE215AE853}"/>
    <cellStyle name="Normal 11 2 4 2 6 2 3 2" xfId="44068" xr:uid="{A55FD6F0-FF11-43DA-BAA4-2BB2563ABF8F}"/>
    <cellStyle name="Normal 11 2 4 2 6 2 4" xfId="31477" xr:uid="{D50B3CE1-E2BE-4E13-95CA-5D5C35FA76A9}"/>
    <cellStyle name="Normal 11 2 4 2 6 3" xfId="9033" xr:uid="{B9E850F5-27C7-47C8-A40E-057C2DB0D77D}"/>
    <cellStyle name="Normal 11 2 4 2 6 3 2" xfId="21715" xr:uid="{AA2B91F0-5BC3-48E4-A316-D361D9B74B09}"/>
    <cellStyle name="Normal 11 2 4 2 6 3 2 2" xfId="47207" xr:uid="{0520C72E-00C2-44E5-A889-497E230AC1F4}"/>
    <cellStyle name="Normal 11 2 4 2 6 3 3" xfId="34616" xr:uid="{7D922CDC-C787-40F8-9068-1B2C8548EA17}"/>
    <cellStyle name="Normal 11 2 4 2 6 4" xfId="15437" xr:uid="{2A2BC4AF-0865-4CA2-94A9-B7BB2F25EA1A}"/>
    <cellStyle name="Normal 11 2 4 2 6 4 2" xfId="40929" xr:uid="{4A893419-E5E5-4455-A533-D6404D59C4BF}"/>
    <cellStyle name="Normal 11 2 4 2 6 5" xfId="28338" xr:uid="{A60FDDFF-8908-4AB4-B331-CA309F901B27}"/>
    <cellStyle name="Normal 11 2 4 2 7" xfId="3248" xr:uid="{53B73A1A-8E9A-4FC5-829D-F933B2A82F3F}"/>
    <cellStyle name="Normal 11 2 4 2 7 2" xfId="6402" xr:uid="{ED50C6D2-690C-49BA-8DBD-94A51CDF55B7}"/>
    <cellStyle name="Normal 11 2 4 2 7 2 2" xfId="12695" xr:uid="{B1A37A6D-D1E1-40FC-B862-21252A830262}"/>
    <cellStyle name="Normal 11 2 4 2 7 2 2 2" xfId="25377" xr:uid="{29BCFE01-00E4-4035-9C65-ADECF2D54D71}"/>
    <cellStyle name="Normal 11 2 4 2 7 2 2 2 2" xfId="50869" xr:uid="{52B9BE78-20F0-4110-9CFB-59AEE37880B1}"/>
    <cellStyle name="Normal 11 2 4 2 7 2 2 3" xfId="38278" xr:uid="{D9007F2A-43FD-495F-A691-7798837147E5}"/>
    <cellStyle name="Normal 11 2 4 2 7 2 3" xfId="19099" xr:uid="{F74D3CC6-A1E7-46CD-AEBF-57A8DA04D308}"/>
    <cellStyle name="Normal 11 2 4 2 7 2 3 2" xfId="44591" xr:uid="{7A36173D-0C3B-4A26-B720-15C424C43875}"/>
    <cellStyle name="Normal 11 2 4 2 7 2 4" xfId="32000" xr:uid="{E0DCB444-6FF4-4E20-A5F5-597117F9C921}"/>
    <cellStyle name="Normal 11 2 4 2 7 3" xfId="9556" xr:uid="{AA7A6F79-C3F2-48B1-B54F-CEECBD60F6B4}"/>
    <cellStyle name="Normal 11 2 4 2 7 3 2" xfId="22238" xr:uid="{3BD13E32-B2A8-494B-9C3A-A608ABFF9820}"/>
    <cellStyle name="Normal 11 2 4 2 7 3 2 2" xfId="47730" xr:uid="{4DAA28DB-5FE0-4ED7-972A-ABADBFA7E5A1}"/>
    <cellStyle name="Normal 11 2 4 2 7 3 3" xfId="35139" xr:uid="{F18AC432-EAE9-4459-AFA8-187EBB53936D}"/>
    <cellStyle name="Normal 11 2 4 2 7 4" xfId="15960" xr:uid="{9F6A2433-3055-4942-B10B-E011D285F0AC}"/>
    <cellStyle name="Normal 11 2 4 2 7 4 2" xfId="41452" xr:uid="{027A95B8-7FC8-4B92-83CE-32C3CF86D3C3}"/>
    <cellStyle name="Normal 11 2 4 2 7 5" xfId="28861" xr:uid="{4CF2BAEC-A193-448C-A4AF-42CE68D4DEB0}"/>
    <cellStyle name="Normal 11 2 4 2 8" xfId="3787" xr:uid="{9BC2E286-FFB7-42F3-B369-629F59F43E59}"/>
    <cellStyle name="Normal 11 2 4 2 8 2" xfId="10080" xr:uid="{F46E7A20-4AF2-4E2A-9F9D-AE6AA664C34F}"/>
    <cellStyle name="Normal 11 2 4 2 8 2 2" xfId="22762" xr:uid="{935F0E42-B01D-44D6-ADAC-A5474468520B}"/>
    <cellStyle name="Normal 11 2 4 2 8 2 2 2" xfId="48254" xr:uid="{0FFE2E25-B359-4A1A-98B7-27C0F1595DF4}"/>
    <cellStyle name="Normal 11 2 4 2 8 2 3" xfId="35663" xr:uid="{D06A3A16-776C-45F9-ADA5-64837CA3C2A9}"/>
    <cellStyle name="Normal 11 2 4 2 8 3" xfId="16484" xr:uid="{3AEAEA0B-FB0E-428E-B3CC-6DE02B087CDD}"/>
    <cellStyle name="Normal 11 2 4 2 8 3 2" xfId="41976" xr:uid="{441CEB0D-38F7-47BE-AE1C-AB86B7EC8F9B}"/>
    <cellStyle name="Normal 11 2 4 2 8 4" xfId="29385" xr:uid="{7FB4BA0D-E818-43B3-B79D-E20AED8B3F7E}"/>
    <cellStyle name="Normal 11 2 4 2 9" xfId="6941" xr:uid="{25CB3F4D-D608-4DFC-9CC5-B313A264BBD4}"/>
    <cellStyle name="Normal 11 2 4 2 9 2" xfId="19623" xr:uid="{50F78FC0-124F-4C31-ADF8-9F715767E87C}"/>
    <cellStyle name="Normal 11 2 4 2 9 2 2" xfId="45115" xr:uid="{E0562A7A-7FCA-40F5-86FC-4BD757557ACF}"/>
    <cellStyle name="Normal 11 2 4 2 9 3" xfId="32524" xr:uid="{F975D9A0-5972-41A6-AB8A-1BB99BA9A13F}"/>
    <cellStyle name="Normal 11 2 4 3" xfId="996" xr:uid="{ED05213F-54AE-474D-92B8-C3AE90AB7D6B}"/>
    <cellStyle name="Normal 11 2 4 3 2" xfId="2303" xr:uid="{8790ADAD-C984-470E-979C-1DA6BAF6D059}"/>
    <cellStyle name="Normal 11 2 4 3 2 2" xfId="5457" xr:uid="{0C9CDC22-9D26-4DD9-B01A-D2478B63F809}"/>
    <cellStyle name="Normal 11 2 4 3 2 2 2" xfId="11750" xr:uid="{F0C7CE04-82D0-442B-9532-58780C6E864A}"/>
    <cellStyle name="Normal 11 2 4 3 2 2 2 2" xfId="24432" xr:uid="{DAF94B9A-53CA-4CF8-B621-BBB76ED65AF8}"/>
    <cellStyle name="Normal 11 2 4 3 2 2 2 2 2" xfId="49924" xr:uid="{EB387516-6465-444B-A452-B177158AE2DF}"/>
    <cellStyle name="Normal 11 2 4 3 2 2 2 3" xfId="37333" xr:uid="{560F7255-855E-475E-AA3E-69B7DCBF5D13}"/>
    <cellStyle name="Normal 11 2 4 3 2 2 3" xfId="18154" xr:uid="{6FE08A92-B52A-4042-839A-576EFB64702C}"/>
    <cellStyle name="Normal 11 2 4 3 2 2 3 2" xfId="43646" xr:uid="{C7429D52-1790-4430-8818-E720FA82A261}"/>
    <cellStyle name="Normal 11 2 4 3 2 2 4" xfId="31055" xr:uid="{A3918A58-F77A-4811-979F-E2F5B1A8B364}"/>
    <cellStyle name="Normal 11 2 4 3 2 3" xfId="8611" xr:uid="{10493C1C-7F19-474A-8BFB-9F0B2044A237}"/>
    <cellStyle name="Normal 11 2 4 3 2 3 2" xfId="21293" xr:uid="{E0EB97C9-A4C7-4853-987E-51DEB53B666E}"/>
    <cellStyle name="Normal 11 2 4 3 2 3 2 2" xfId="46785" xr:uid="{952262E9-B8C4-4F62-A9EE-0157F3ED4FB7}"/>
    <cellStyle name="Normal 11 2 4 3 2 3 3" xfId="34194" xr:uid="{FACC13F5-A32A-4C03-A00B-57D708A512FA}"/>
    <cellStyle name="Normal 11 2 4 3 2 4" xfId="15015" xr:uid="{E1AD58C4-3ABD-4C58-A16D-5F4FEBFEDA4E}"/>
    <cellStyle name="Normal 11 2 4 3 2 4 2" xfId="40507" xr:uid="{6F2E3DB3-C6F4-4B73-AF9A-B31116B47BFB}"/>
    <cellStyle name="Normal 11 2 4 3 2 5" xfId="27916" xr:uid="{3FAF1D03-79D3-4130-834F-2AB5F5365955}"/>
    <cellStyle name="Normal 11 2 4 3 3" xfId="1520" xr:uid="{2CDA128D-340D-47E5-AC4C-BD50C1A9138B}"/>
    <cellStyle name="Normal 11 2 4 3 3 2" xfId="4674" xr:uid="{1B96A9DA-A7B7-4094-9640-5768BC6B83D6}"/>
    <cellStyle name="Normal 11 2 4 3 3 2 2" xfId="10967" xr:uid="{E81F3B0A-3361-4342-B6A7-6E30B9E3B3BE}"/>
    <cellStyle name="Normal 11 2 4 3 3 2 2 2" xfId="23649" xr:uid="{2BB7F399-75D8-40CD-BC66-8EFC01E06783}"/>
    <cellStyle name="Normal 11 2 4 3 3 2 2 2 2" xfId="49141" xr:uid="{F52EE0B8-0FFB-4CA1-B6FE-49B5FD62E0DB}"/>
    <cellStyle name="Normal 11 2 4 3 3 2 2 3" xfId="36550" xr:uid="{7F638ADE-2240-4935-A480-D95AA089C64F}"/>
    <cellStyle name="Normal 11 2 4 3 3 2 3" xfId="17371" xr:uid="{D2F557FF-D183-4FE4-9F8B-D1C8EC63DAC0}"/>
    <cellStyle name="Normal 11 2 4 3 3 2 3 2" xfId="42863" xr:uid="{FF1DDD2F-53C6-4E6C-8270-AF1CE497469D}"/>
    <cellStyle name="Normal 11 2 4 3 3 2 4" xfId="30272" xr:uid="{9F3B09EE-F2D9-4813-B148-4609B3CDD970}"/>
    <cellStyle name="Normal 11 2 4 3 3 3" xfId="7828" xr:uid="{C9E2C124-9042-4787-B1C5-E2671B3FFB4E}"/>
    <cellStyle name="Normal 11 2 4 3 3 3 2" xfId="20510" xr:uid="{ED013176-28BB-443B-9426-21FB2D9C7384}"/>
    <cellStyle name="Normal 11 2 4 3 3 3 2 2" xfId="46002" xr:uid="{20B1B1D0-C392-4EDE-9C0F-E507FB57F6FB}"/>
    <cellStyle name="Normal 11 2 4 3 3 3 3" xfId="33411" xr:uid="{550A514F-41CD-4A41-BC05-592081999516}"/>
    <cellStyle name="Normal 11 2 4 3 3 4" xfId="14232" xr:uid="{791E554E-575E-4849-8F94-79FD4A50B9A0}"/>
    <cellStyle name="Normal 11 2 4 3 3 4 2" xfId="39724" xr:uid="{AEB3A39C-9D55-48DD-827F-D417458BBB05}"/>
    <cellStyle name="Normal 11 2 4 3 3 5" xfId="27133" xr:uid="{9E1482C4-6450-4E1E-A7BE-3ECA0280307A}"/>
    <cellStyle name="Normal 11 2 4 3 4" xfId="2827" xr:uid="{4AF4CAFA-AA61-449F-AB28-A08D15C832C4}"/>
    <cellStyle name="Normal 11 2 4 3 4 2" xfId="5981" xr:uid="{AF38A24A-97AF-4A6B-8659-1C2478E7E5DD}"/>
    <cellStyle name="Normal 11 2 4 3 4 2 2" xfId="12274" xr:uid="{8F5A1A07-337B-42E8-9C8E-83A3C5A27AEA}"/>
    <cellStyle name="Normal 11 2 4 3 4 2 2 2" xfId="24956" xr:uid="{01AE7FB7-E3BE-4AD0-A4B4-83A9366F6155}"/>
    <cellStyle name="Normal 11 2 4 3 4 2 2 2 2" xfId="50448" xr:uid="{1BB738C0-D72B-41D5-83A0-429515BA7673}"/>
    <cellStyle name="Normal 11 2 4 3 4 2 2 3" xfId="37857" xr:uid="{D3124713-4A7E-445B-8EC0-EE4AA0CF26E8}"/>
    <cellStyle name="Normal 11 2 4 3 4 2 3" xfId="18678" xr:uid="{28F56C0D-5CC6-4499-9C6C-F7734197719D}"/>
    <cellStyle name="Normal 11 2 4 3 4 2 3 2" xfId="44170" xr:uid="{3F5639AA-8BC1-4533-8426-DC734C1A8810}"/>
    <cellStyle name="Normal 11 2 4 3 4 2 4" xfId="31579" xr:uid="{B3497ADE-ACA7-4185-A7B2-F7D2294DE3A2}"/>
    <cellStyle name="Normal 11 2 4 3 4 3" xfId="9135" xr:uid="{9CE438C5-7644-4C6E-A362-3B875376B979}"/>
    <cellStyle name="Normal 11 2 4 3 4 3 2" xfId="21817" xr:uid="{1E5B958D-012A-45C4-BC3E-54E1BC9F1138}"/>
    <cellStyle name="Normal 11 2 4 3 4 3 2 2" xfId="47309" xr:uid="{223D00F1-BD4B-47B8-82A3-6E2974AA13DB}"/>
    <cellStyle name="Normal 11 2 4 3 4 3 3" xfId="34718" xr:uid="{85165059-56CE-43A7-A0A5-F762ABA7ABD6}"/>
    <cellStyle name="Normal 11 2 4 3 4 4" xfId="15539" xr:uid="{9E7E139C-AD25-4D6A-B862-784F93E7C2EF}"/>
    <cellStyle name="Normal 11 2 4 3 4 4 2" xfId="41031" xr:uid="{90AE395B-16DE-4347-BC22-CAF86E64E2F9}"/>
    <cellStyle name="Normal 11 2 4 3 4 5" xfId="28440" xr:uid="{CC1432CD-BD5F-4484-AE39-BBDBEC932324}"/>
    <cellStyle name="Normal 11 2 4 3 5" xfId="3350" xr:uid="{87E01DF9-4E60-4027-81D9-BCD9D40FABEB}"/>
    <cellStyle name="Normal 11 2 4 3 5 2" xfId="6504" xr:uid="{76DE479A-B1CA-40ED-9F8E-5A36E480CBF6}"/>
    <cellStyle name="Normal 11 2 4 3 5 2 2" xfId="12797" xr:uid="{219E2A76-A128-4327-8217-162C73FE5B82}"/>
    <cellStyle name="Normal 11 2 4 3 5 2 2 2" xfId="25479" xr:uid="{0138FEF2-8CBD-4C7E-9E87-9CE19F96D2F8}"/>
    <cellStyle name="Normal 11 2 4 3 5 2 2 2 2" xfId="50971" xr:uid="{F88AB52F-8676-438A-976C-C3B2080AAF54}"/>
    <cellStyle name="Normal 11 2 4 3 5 2 2 3" xfId="38380" xr:uid="{7E79F54B-F9E4-4033-8721-E039054CD4E9}"/>
    <cellStyle name="Normal 11 2 4 3 5 2 3" xfId="19201" xr:uid="{CED7E816-4BBD-42C1-96BF-34D9BEC9027B}"/>
    <cellStyle name="Normal 11 2 4 3 5 2 3 2" xfId="44693" xr:uid="{9A0E63D1-B7FF-433C-8CDF-2D4C3332AAF8}"/>
    <cellStyle name="Normal 11 2 4 3 5 2 4" xfId="32102" xr:uid="{0FDE2D8B-BB54-4565-825B-54AB39CFE5CE}"/>
    <cellStyle name="Normal 11 2 4 3 5 3" xfId="9658" xr:uid="{1F57EAD1-3B58-43D2-87B8-39611E85D51C}"/>
    <cellStyle name="Normal 11 2 4 3 5 3 2" xfId="22340" xr:uid="{07C58FB4-F989-4D8A-B00B-40E569DD2FCD}"/>
    <cellStyle name="Normal 11 2 4 3 5 3 2 2" xfId="47832" xr:uid="{E4A17811-51A9-49EB-AE2D-A7A6DD9D1FD8}"/>
    <cellStyle name="Normal 11 2 4 3 5 3 3" xfId="35241" xr:uid="{814A660E-961C-4704-B2EC-6C801F393C31}"/>
    <cellStyle name="Normal 11 2 4 3 5 4" xfId="16062" xr:uid="{33506D34-739E-4813-8295-EA3FC8E859DA}"/>
    <cellStyle name="Normal 11 2 4 3 5 4 2" xfId="41554" xr:uid="{CEA04423-68CF-420F-9E87-B1B0BB8FA879}"/>
    <cellStyle name="Normal 11 2 4 3 5 5" xfId="28963" xr:uid="{A4A3C18A-5DDD-4884-9699-4EBA9B191C6B}"/>
    <cellStyle name="Normal 11 2 4 3 6" xfId="4150" xr:uid="{F3CFE19D-56E0-4BBD-B262-2589755C3212}"/>
    <cellStyle name="Normal 11 2 4 3 6 2" xfId="10443" xr:uid="{6FB1B326-0007-4ABA-B1AA-B48DA59E2780}"/>
    <cellStyle name="Normal 11 2 4 3 6 2 2" xfId="23125" xr:uid="{03704843-A22C-494E-BA69-2D20420D2DE7}"/>
    <cellStyle name="Normal 11 2 4 3 6 2 2 2" xfId="48617" xr:uid="{441652A4-314B-4CAA-B7BD-02226D7725D0}"/>
    <cellStyle name="Normal 11 2 4 3 6 2 3" xfId="36026" xr:uid="{2FE0BD2A-E6C5-4397-B3AF-16A63DB04EC9}"/>
    <cellStyle name="Normal 11 2 4 3 6 3" xfId="16847" xr:uid="{068837B7-A8E7-42C8-9290-A94342106E2A}"/>
    <cellStyle name="Normal 11 2 4 3 6 3 2" xfId="42339" xr:uid="{DA4872FC-4FAA-4E87-9781-4956091DE6BF}"/>
    <cellStyle name="Normal 11 2 4 3 6 4" xfId="29748" xr:uid="{68948C27-21B1-457B-83DB-37B58B80DD77}"/>
    <cellStyle name="Normal 11 2 4 3 7" xfId="7304" xr:uid="{914EDB7C-F301-4F89-9569-29E71B601419}"/>
    <cellStyle name="Normal 11 2 4 3 7 2" xfId="19986" xr:uid="{3C5D3461-9031-47FD-99AE-49D2FE3A321B}"/>
    <cellStyle name="Normal 11 2 4 3 7 2 2" xfId="45478" xr:uid="{2FF8D32E-2577-488D-8DD6-7D5A48311530}"/>
    <cellStyle name="Normal 11 2 4 3 7 3" xfId="32887" xr:uid="{B85726FA-2686-4816-81E2-8A43408F89BB}"/>
    <cellStyle name="Normal 11 2 4 3 8" xfId="13708" xr:uid="{57173E54-FDBF-4FDA-9335-5D829827344D}"/>
    <cellStyle name="Normal 11 2 4 3 8 2" xfId="39200" xr:uid="{70CDF71D-5607-4701-90F1-2A3DD9530550}"/>
    <cellStyle name="Normal 11 2 4 3 9" xfId="26609" xr:uid="{E193D4ED-8236-41E9-BFA2-ABE31A69FC4C}"/>
    <cellStyle name="Normal 11 2 4 4" xfId="736" xr:uid="{FFC3E095-46E5-4FA3-BEF0-98802FF6A14E}"/>
    <cellStyle name="Normal 11 2 4 4 2" xfId="2043" xr:uid="{E93411FF-D4D2-46D4-B4A2-2E183D9A14E3}"/>
    <cellStyle name="Normal 11 2 4 4 2 2" xfId="5197" xr:uid="{2B0E5725-813B-4200-A400-93410BD4658B}"/>
    <cellStyle name="Normal 11 2 4 4 2 2 2" xfId="11490" xr:uid="{B05BC8CC-1795-4059-9846-4705069ADCC5}"/>
    <cellStyle name="Normal 11 2 4 4 2 2 2 2" xfId="24172" xr:uid="{3CF1D048-B8EF-483F-8738-CF9FF85D6F0E}"/>
    <cellStyle name="Normal 11 2 4 4 2 2 2 2 2" xfId="49664" xr:uid="{5B4B883D-2179-486C-A04E-192F2A918331}"/>
    <cellStyle name="Normal 11 2 4 4 2 2 2 3" xfId="37073" xr:uid="{078ADF46-5ACF-4847-8244-13871006D2BB}"/>
    <cellStyle name="Normal 11 2 4 4 2 2 3" xfId="17894" xr:uid="{867C2224-3105-48F7-8EA2-0DD2E799E11C}"/>
    <cellStyle name="Normal 11 2 4 4 2 2 3 2" xfId="43386" xr:uid="{79CE6689-077E-46EF-B1DC-9A23FD21D4B1}"/>
    <cellStyle name="Normal 11 2 4 4 2 2 4" xfId="30795" xr:uid="{DE608E83-ED37-4756-8D57-411774AA62CD}"/>
    <cellStyle name="Normal 11 2 4 4 2 3" xfId="8351" xr:uid="{7210D1F1-8D1F-49BE-8457-36F271242903}"/>
    <cellStyle name="Normal 11 2 4 4 2 3 2" xfId="21033" xr:uid="{9AE9BB60-A224-446B-AA43-4E74F6A172EE}"/>
    <cellStyle name="Normal 11 2 4 4 2 3 2 2" xfId="46525" xr:uid="{A03C2DDC-470B-4176-BB52-AA3E53445EDC}"/>
    <cellStyle name="Normal 11 2 4 4 2 3 3" xfId="33934" xr:uid="{582E4011-C6DF-4CB4-A477-9E171E282ECC}"/>
    <cellStyle name="Normal 11 2 4 4 2 4" xfId="14755" xr:uid="{F12A90EB-7099-4727-8923-6D17C0B731A3}"/>
    <cellStyle name="Normal 11 2 4 4 2 4 2" xfId="40247" xr:uid="{7BDB48AF-0CBD-4BD7-9B39-48CEB503D690}"/>
    <cellStyle name="Normal 11 2 4 4 2 5" xfId="27656" xr:uid="{8E183C62-C3C7-498F-9349-0CFA60AA10A7}"/>
    <cellStyle name="Normal 11 2 4 4 3" xfId="3890" xr:uid="{AF0DCFB7-CBEC-4533-8FF2-CD14643F003A}"/>
    <cellStyle name="Normal 11 2 4 4 3 2" xfId="10183" xr:uid="{6C348410-334D-4809-B61F-FF128C487977}"/>
    <cellStyle name="Normal 11 2 4 4 3 2 2" xfId="22865" xr:uid="{BA68F47D-39A7-4D92-BB3A-2549DECE8AB6}"/>
    <cellStyle name="Normal 11 2 4 4 3 2 2 2" xfId="48357" xr:uid="{3DAAEDDB-491F-4E95-915C-7E1A287B723C}"/>
    <cellStyle name="Normal 11 2 4 4 3 2 3" xfId="35766" xr:uid="{84C4D9C9-614F-4F9E-8B42-7F52A555A5F3}"/>
    <cellStyle name="Normal 11 2 4 4 3 3" xfId="16587" xr:uid="{3E870CA6-A115-48B4-9BED-1FD1E3089D9F}"/>
    <cellStyle name="Normal 11 2 4 4 3 3 2" xfId="42079" xr:uid="{F8DF297D-7336-4005-847D-C590C01EE8CB}"/>
    <cellStyle name="Normal 11 2 4 4 3 4" xfId="29488" xr:uid="{9B875378-9821-4417-9E61-B89946C97FD0}"/>
    <cellStyle name="Normal 11 2 4 4 4" xfId="7044" xr:uid="{4AAEA287-1F19-4E26-8654-7D08229C7059}"/>
    <cellStyle name="Normal 11 2 4 4 4 2" xfId="19726" xr:uid="{95191255-EFFF-4AFF-9053-A4BCAACCB6FB}"/>
    <cellStyle name="Normal 11 2 4 4 4 2 2" xfId="45218" xr:uid="{78422C19-D18D-42E1-B76E-B595A7FFD0E1}"/>
    <cellStyle name="Normal 11 2 4 4 4 3" xfId="32627" xr:uid="{AA86AC23-BC87-4335-99FE-F8833C8FABF0}"/>
    <cellStyle name="Normal 11 2 4 4 5" xfId="13448" xr:uid="{F0A9F803-B412-4A6A-9C29-BF052B33D6BA}"/>
    <cellStyle name="Normal 11 2 4 4 5 2" xfId="38940" xr:uid="{D69EFFE6-F4DD-4188-9C5A-2DE9042324DC}"/>
    <cellStyle name="Normal 11 2 4 4 6" xfId="26349" xr:uid="{722DA396-375D-48C3-9EF1-E715B31A3CAC}"/>
    <cellStyle name="Normal 11 2 4 5" xfId="1781" xr:uid="{7F802E0C-BA68-4D95-B096-96CD7F5DA7CF}"/>
    <cellStyle name="Normal 11 2 4 5 2" xfId="4935" xr:uid="{D82A5E7A-BD74-4B50-8C88-0C07A53825A7}"/>
    <cellStyle name="Normal 11 2 4 5 2 2" xfId="11228" xr:uid="{EB673C83-2D4D-4875-BE75-F7FA00D7C440}"/>
    <cellStyle name="Normal 11 2 4 5 2 2 2" xfId="23910" xr:uid="{99694B22-2A72-4D3D-88A0-50075F24DF1F}"/>
    <cellStyle name="Normal 11 2 4 5 2 2 2 2" xfId="49402" xr:uid="{BAAA3A81-8FE5-4538-9D2E-9003A64AC4C8}"/>
    <cellStyle name="Normal 11 2 4 5 2 2 3" xfId="36811" xr:uid="{02D5C533-3211-46D1-ABF5-503368733415}"/>
    <cellStyle name="Normal 11 2 4 5 2 3" xfId="17632" xr:uid="{0AC6D788-864A-4F68-9C75-B8F67F94C2D0}"/>
    <cellStyle name="Normal 11 2 4 5 2 3 2" xfId="43124" xr:uid="{0D19EAE3-D956-4C64-B3E3-D46C4E406F4D}"/>
    <cellStyle name="Normal 11 2 4 5 2 4" xfId="30533" xr:uid="{A1BD2705-4A11-458E-93B0-FE4EB824036B}"/>
    <cellStyle name="Normal 11 2 4 5 3" xfId="8089" xr:uid="{C549008B-DCE3-4FBD-8505-A5F9305CF42C}"/>
    <cellStyle name="Normal 11 2 4 5 3 2" xfId="20771" xr:uid="{D5A8E2C3-8CC3-4BF1-88B2-3F373E0B850D}"/>
    <cellStyle name="Normal 11 2 4 5 3 2 2" xfId="46263" xr:uid="{DD13D93A-748A-401D-934E-B12C523038E3}"/>
    <cellStyle name="Normal 11 2 4 5 3 3" xfId="33672" xr:uid="{E044708C-7A09-4BBB-9C2A-1EDC9CDBF9AB}"/>
    <cellStyle name="Normal 11 2 4 5 4" xfId="14493" xr:uid="{FF3B60A8-10A0-47CE-859B-A1BD41C68AF7}"/>
    <cellStyle name="Normal 11 2 4 5 4 2" xfId="39985" xr:uid="{E5CFBEE1-579E-4B76-B8C7-E0C5060C51B9}"/>
    <cellStyle name="Normal 11 2 4 5 5" xfId="27394" xr:uid="{C528889D-6EB1-4EDA-8A9B-0186FE0422A0}"/>
    <cellStyle name="Normal 11 2 4 6" xfId="1259" xr:uid="{EC920717-1B17-4C47-A749-32B0F066FB08}"/>
    <cellStyle name="Normal 11 2 4 6 2" xfId="4413" xr:uid="{9C73E620-F829-40B2-8FD9-EF036AD5C240}"/>
    <cellStyle name="Normal 11 2 4 6 2 2" xfId="10706" xr:uid="{F059E714-CC96-487D-A73C-0236272BD32F}"/>
    <cellStyle name="Normal 11 2 4 6 2 2 2" xfId="23388" xr:uid="{919A1F58-3594-427C-9C86-3ADF1546771E}"/>
    <cellStyle name="Normal 11 2 4 6 2 2 2 2" xfId="48880" xr:uid="{D40EB7AB-D073-4944-BF71-0942E3956BEA}"/>
    <cellStyle name="Normal 11 2 4 6 2 2 3" xfId="36289" xr:uid="{E28551B0-9FBC-4054-8F4E-7ED8B3CA3C9E}"/>
    <cellStyle name="Normal 11 2 4 6 2 3" xfId="17110" xr:uid="{9D8BCC14-19ED-49BB-A385-CB0A1E7A5FC9}"/>
    <cellStyle name="Normal 11 2 4 6 2 3 2" xfId="42602" xr:uid="{AF36C9A3-736E-49AF-A4F9-672DEB07FB55}"/>
    <cellStyle name="Normal 11 2 4 6 2 4" xfId="30011" xr:uid="{F877CBF6-378F-4DE6-A2E7-44025D14B16A}"/>
    <cellStyle name="Normal 11 2 4 6 3" xfId="7567" xr:uid="{AC31CCE7-2C35-4A08-8575-8AF470BC68CC}"/>
    <cellStyle name="Normal 11 2 4 6 3 2" xfId="20249" xr:uid="{D8704678-70BA-4BF5-B9D4-22E28D5D467F}"/>
    <cellStyle name="Normal 11 2 4 6 3 2 2" xfId="45741" xr:uid="{7148BEAF-20A7-4A93-9015-4EF26D3A77A3}"/>
    <cellStyle name="Normal 11 2 4 6 3 3" xfId="33150" xr:uid="{3A04EE33-54AC-42D3-875C-DF4E6D8E544D}"/>
    <cellStyle name="Normal 11 2 4 6 4" xfId="13971" xr:uid="{9F713AFC-64D8-4E31-A7A7-190A72D2DC3D}"/>
    <cellStyle name="Normal 11 2 4 6 4 2" xfId="39463" xr:uid="{5EB85849-1FED-4867-A5B4-77094BE460B9}"/>
    <cellStyle name="Normal 11 2 4 6 5" xfId="26872" xr:uid="{2801DDF8-1EEB-4196-82B9-ABA1351FB204}"/>
    <cellStyle name="Normal 11 2 4 7" xfId="2566" xr:uid="{DA2F8340-849D-4D3A-9723-00C50E70EF07}"/>
    <cellStyle name="Normal 11 2 4 7 2" xfId="5720" xr:uid="{14CDE787-033E-4568-917E-24BB261E46AC}"/>
    <cellStyle name="Normal 11 2 4 7 2 2" xfId="12013" xr:uid="{AF85317C-E374-4028-A142-5E6C2D1D1D77}"/>
    <cellStyle name="Normal 11 2 4 7 2 2 2" xfId="24695" xr:uid="{5D73029D-4414-4171-AB25-C0680FBF1C45}"/>
    <cellStyle name="Normal 11 2 4 7 2 2 2 2" xfId="50187" xr:uid="{5B32A389-1887-485B-9C39-7748488EA5D1}"/>
    <cellStyle name="Normal 11 2 4 7 2 2 3" xfId="37596" xr:uid="{92F643EE-D49F-4F4B-BE1E-F14709E1AD9F}"/>
    <cellStyle name="Normal 11 2 4 7 2 3" xfId="18417" xr:uid="{04754CEF-A5FE-4530-BE49-3255CB6B0A9B}"/>
    <cellStyle name="Normal 11 2 4 7 2 3 2" xfId="43909" xr:uid="{6472AE72-EF2C-467F-9C8A-1429CA364076}"/>
    <cellStyle name="Normal 11 2 4 7 2 4" xfId="31318" xr:uid="{7B71D4A5-0674-4E7E-A0E8-34AFCD13495B}"/>
    <cellStyle name="Normal 11 2 4 7 3" xfId="8874" xr:uid="{7DC7D525-7B1D-4B53-9621-0944272B7551}"/>
    <cellStyle name="Normal 11 2 4 7 3 2" xfId="21556" xr:uid="{2F752E90-B0B1-4D03-9D32-FB104A8F0A8B}"/>
    <cellStyle name="Normal 11 2 4 7 3 2 2" xfId="47048" xr:uid="{ACF0E108-D7C8-42F5-AD9A-6E7F070DA2FB}"/>
    <cellStyle name="Normal 11 2 4 7 3 3" xfId="34457" xr:uid="{C68243D3-2BA3-464F-BBB4-B7FF256401BF}"/>
    <cellStyle name="Normal 11 2 4 7 4" xfId="15278" xr:uid="{7D7C673D-6647-4394-8142-6B0B010C7B79}"/>
    <cellStyle name="Normal 11 2 4 7 4 2" xfId="40770" xr:uid="{6E250431-91D1-47CE-B6B0-2C8F9037805E}"/>
    <cellStyle name="Normal 11 2 4 7 5" xfId="28179" xr:uid="{02285946-99BF-4CFC-BDB1-CC921E1E63D5}"/>
    <cellStyle name="Normal 11 2 4 8" xfId="3089" xr:uid="{B9F81EA8-16DD-4B48-AD52-00E6615A910D}"/>
    <cellStyle name="Normal 11 2 4 8 2" xfId="6243" xr:uid="{2BC8CC72-447C-4183-83C8-D37359320007}"/>
    <cellStyle name="Normal 11 2 4 8 2 2" xfId="12536" xr:uid="{AB92AF52-5FA3-4A53-9123-719102C7C022}"/>
    <cellStyle name="Normal 11 2 4 8 2 2 2" xfId="25218" xr:uid="{ED7AFA99-0827-4CA2-BF72-CDC9507BBB32}"/>
    <cellStyle name="Normal 11 2 4 8 2 2 2 2" xfId="50710" xr:uid="{E44F2682-5C24-492A-BEC8-1B9FAC884A3F}"/>
    <cellStyle name="Normal 11 2 4 8 2 2 3" xfId="38119" xr:uid="{3047A4E4-6593-4EA6-A458-AEC4491560F2}"/>
    <cellStyle name="Normal 11 2 4 8 2 3" xfId="18940" xr:uid="{9DF40A5D-C43C-4CBC-8BA7-10E8412873B8}"/>
    <cellStyle name="Normal 11 2 4 8 2 3 2" xfId="44432" xr:uid="{27CB6BD3-EDA4-40D3-86C2-2AFD1B7557B3}"/>
    <cellStyle name="Normal 11 2 4 8 2 4" xfId="31841" xr:uid="{44D2F7E0-4C11-404A-ACCF-8EC8815E71E3}"/>
    <cellStyle name="Normal 11 2 4 8 3" xfId="9397" xr:uid="{557CCDB1-5A3C-4984-97F6-DF84F3C2BF1F}"/>
    <cellStyle name="Normal 11 2 4 8 3 2" xfId="22079" xr:uid="{C570CC42-E0D4-49FB-9178-5D6A8CA58BA0}"/>
    <cellStyle name="Normal 11 2 4 8 3 2 2" xfId="47571" xr:uid="{A046D183-2CE6-4ECB-AEA3-08071B3DA856}"/>
    <cellStyle name="Normal 11 2 4 8 3 3" xfId="34980" xr:uid="{C33D632D-1CB0-4F52-8B07-E66955B65F3D}"/>
    <cellStyle name="Normal 11 2 4 8 4" xfId="15801" xr:uid="{0BC82A9A-F70B-4AC7-BD39-2043F60D4094}"/>
    <cellStyle name="Normal 11 2 4 8 4 2" xfId="41293" xr:uid="{2EB6A6CC-62E8-4C53-9E24-BCE323499A1D}"/>
    <cellStyle name="Normal 11 2 4 8 5" xfId="28702" xr:uid="{30334083-B694-411F-B8C5-E5C75409622E}"/>
    <cellStyle name="Normal 11 2 4 9" xfId="3628" xr:uid="{372B8DF8-10F8-4CE4-B64D-4CFC0804D2E5}"/>
    <cellStyle name="Normal 11 2 4 9 2" xfId="9921" xr:uid="{F9B2AE7D-4DEC-4492-8537-3855D7D1FD29}"/>
    <cellStyle name="Normal 11 2 4 9 2 2" xfId="22603" xr:uid="{CDE2A234-2482-4254-A837-349BA1C8AF54}"/>
    <cellStyle name="Normal 11 2 4 9 2 2 2" xfId="48095" xr:uid="{3250CE31-7437-48C7-A99A-F5CD2BD681D5}"/>
    <cellStyle name="Normal 11 2 4 9 2 3" xfId="35504" xr:uid="{65E27042-5012-4AC1-BCE2-AE61D75BA661}"/>
    <cellStyle name="Normal 11 2 4 9 3" xfId="16325" xr:uid="{CE922164-9B79-4B3B-A750-B91305AD636B}"/>
    <cellStyle name="Normal 11 2 4 9 3 2" xfId="41817" xr:uid="{A853C921-6B78-43CD-8978-767B3689767F}"/>
    <cellStyle name="Normal 11 2 4 9 4" xfId="29226" xr:uid="{99E88487-DD10-4784-9308-26B58CA4E2EB}"/>
    <cellStyle name="Normal 11 2 5" xfId="576" xr:uid="{BA90968A-B15C-4E42-AE7C-9E065D700FE2}"/>
    <cellStyle name="Normal 11 2 5 10" xfId="13303" xr:uid="{E686D661-869E-4068-A4B4-F74C15C2DC76}"/>
    <cellStyle name="Normal 11 2 5 10 2" xfId="38795" xr:uid="{FF9029C4-67D5-4E8E-831C-FD7873902B8F}"/>
    <cellStyle name="Normal 11 2 5 11" xfId="26204" xr:uid="{56AE38AC-E5D9-49DC-9B60-00BB9AE6E64A}"/>
    <cellStyle name="Normal 11 2 5 2" xfId="1113" xr:uid="{74339142-0A7B-4537-99AB-1997775F6C7D}"/>
    <cellStyle name="Normal 11 2 5 2 2" xfId="2420" xr:uid="{34D1CAA8-3EBC-4D78-B546-8E0D08FF5B85}"/>
    <cellStyle name="Normal 11 2 5 2 2 2" xfId="5574" xr:uid="{9E2418B9-1B6C-4240-8E71-E8390DCDCB6E}"/>
    <cellStyle name="Normal 11 2 5 2 2 2 2" xfId="11867" xr:uid="{97E8DA3D-E253-4E98-931F-57538AA2436F}"/>
    <cellStyle name="Normal 11 2 5 2 2 2 2 2" xfId="24549" xr:uid="{FF2B642F-C032-4563-8152-6910FA2D8A16}"/>
    <cellStyle name="Normal 11 2 5 2 2 2 2 2 2" xfId="50041" xr:uid="{0BC77BAA-B765-47F5-BF46-D6374F1F9BBC}"/>
    <cellStyle name="Normal 11 2 5 2 2 2 2 3" xfId="37450" xr:uid="{489759E8-0E49-46A9-B357-EE3C690D2650}"/>
    <cellStyle name="Normal 11 2 5 2 2 2 3" xfId="18271" xr:uid="{213D56BB-F868-4F31-AABB-1B4CC19839F5}"/>
    <cellStyle name="Normal 11 2 5 2 2 2 3 2" xfId="43763" xr:uid="{E2A6F63D-5C91-49D9-910B-ADC05E89C725}"/>
    <cellStyle name="Normal 11 2 5 2 2 2 4" xfId="31172" xr:uid="{77CB2182-180C-4408-9B3C-E77F8F960A26}"/>
    <cellStyle name="Normal 11 2 5 2 2 3" xfId="8728" xr:uid="{B45D0EF1-AB66-409B-8980-71C9EC368E18}"/>
    <cellStyle name="Normal 11 2 5 2 2 3 2" xfId="21410" xr:uid="{7681A301-D969-45F6-AF3F-2704F6A0C315}"/>
    <cellStyle name="Normal 11 2 5 2 2 3 2 2" xfId="46902" xr:uid="{69FF0E3E-CD87-4DC5-A4F0-28D750147B2E}"/>
    <cellStyle name="Normal 11 2 5 2 2 3 3" xfId="34311" xr:uid="{080B41DF-3A86-45DA-B913-C378FF69FE85}"/>
    <cellStyle name="Normal 11 2 5 2 2 4" xfId="15132" xr:uid="{8E001FEE-4001-44CD-8E6D-39AEA7B8A7EE}"/>
    <cellStyle name="Normal 11 2 5 2 2 4 2" xfId="40624" xr:uid="{7F2D1CD6-C864-4FD5-89E0-54AF87A4DC2B}"/>
    <cellStyle name="Normal 11 2 5 2 2 5" xfId="28033" xr:uid="{EE0EC252-FB99-4588-98D9-FDD9964E2D8B}"/>
    <cellStyle name="Normal 11 2 5 2 3" xfId="1637" xr:uid="{51780943-B7B4-45F4-8AE3-226478B27DB4}"/>
    <cellStyle name="Normal 11 2 5 2 3 2" xfId="4791" xr:uid="{EFB1E5AA-2462-4150-8A5E-CAD1129A256A}"/>
    <cellStyle name="Normal 11 2 5 2 3 2 2" xfId="11084" xr:uid="{B1ED8CBD-B72A-4C04-AE36-0476942BF20B}"/>
    <cellStyle name="Normal 11 2 5 2 3 2 2 2" xfId="23766" xr:uid="{CC6283FE-706F-4C26-B4DB-53EF2001BBAA}"/>
    <cellStyle name="Normal 11 2 5 2 3 2 2 2 2" xfId="49258" xr:uid="{982E92EA-443C-42AE-ADAD-E0D121884034}"/>
    <cellStyle name="Normal 11 2 5 2 3 2 2 3" xfId="36667" xr:uid="{02AC26AC-60FB-430B-9875-19A4ED9C9EBE}"/>
    <cellStyle name="Normal 11 2 5 2 3 2 3" xfId="17488" xr:uid="{910E2AB7-A5E5-4642-BC3B-85490C28F282}"/>
    <cellStyle name="Normal 11 2 5 2 3 2 3 2" xfId="42980" xr:uid="{C61253FE-366E-424B-8307-4EE708E8D950}"/>
    <cellStyle name="Normal 11 2 5 2 3 2 4" xfId="30389" xr:uid="{4A6C0DA6-C394-4043-87D9-684040B3EA3E}"/>
    <cellStyle name="Normal 11 2 5 2 3 3" xfId="7945" xr:uid="{F0485225-65C7-4447-929F-47368651EC43}"/>
    <cellStyle name="Normal 11 2 5 2 3 3 2" xfId="20627" xr:uid="{1DB84DE1-13FB-478D-A6F5-4655141E1A45}"/>
    <cellStyle name="Normal 11 2 5 2 3 3 2 2" xfId="46119" xr:uid="{15C537CE-77C9-41A5-80B7-DE041DFBBB26}"/>
    <cellStyle name="Normal 11 2 5 2 3 3 3" xfId="33528" xr:uid="{84ED7EFE-72A5-46A6-917F-BCD25127DFA9}"/>
    <cellStyle name="Normal 11 2 5 2 3 4" xfId="14349" xr:uid="{F347FBD7-9247-4E62-A236-DEE6A6EDD1B8}"/>
    <cellStyle name="Normal 11 2 5 2 3 4 2" xfId="39841" xr:uid="{F0DFD43E-E09E-42A7-802F-0694A7C1220D}"/>
    <cellStyle name="Normal 11 2 5 2 3 5" xfId="27250" xr:uid="{B73813B1-87A5-4659-BAF9-F13166C23BF7}"/>
    <cellStyle name="Normal 11 2 5 2 4" xfId="2944" xr:uid="{EB8FD1B2-3E5C-493E-A5C9-D8F2BC08C2FD}"/>
    <cellStyle name="Normal 11 2 5 2 4 2" xfId="6098" xr:uid="{BFECD971-13F7-4967-BE41-D0386FD28FAF}"/>
    <cellStyle name="Normal 11 2 5 2 4 2 2" xfId="12391" xr:uid="{503E45E5-502D-4845-9F40-71228278B3E6}"/>
    <cellStyle name="Normal 11 2 5 2 4 2 2 2" xfId="25073" xr:uid="{55A7E403-58AA-4B56-839E-E33EAC8BB8B9}"/>
    <cellStyle name="Normal 11 2 5 2 4 2 2 2 2" xfId="50565" xr:uid="{3124CF41-B464-49B9-968C-41E2F130CC79}"/>
    <cellStyle name="Normal 11 2 5 2 4 2 2 3" xfId="37974" xr:uid="{1BA45683-9324-404E-98E2-F13CAF9270B7}"/>
    <cellStyle name="Normal 11 2 5 2 4 2 3" xfId="18795" xr:uid="{9C75961D-996D-46D1-BB16-AB4E604DA667}"/>
    <cellStyle name="Normal 11 2 5 2 4 2 3 2" xfId="44287" xr:uid="{FD76C465-A423-456C-B833-2E2F8F23A230}"/>
    <cellStyle name="Normal 11 2 5 2 4 2 4" xfId="31696" xr:uid="{873AD8E6-90ED-4E55-A3A9-D71B9FFDEC15}"/>
    <cellStyle name="Normal 11 2 5 2 4 3" xfId="9252" xr:uid="{7621D679-0598-4BC5-AD9F-E4D6914F7F1D}"/>
    <cellStyle name="Normal 11 2 5 2 4 3 2" xfId="21934" xr:uid="{6FC5F8DB-0B51-4BCF-952D-EFB7B591FC28}"/>
    <cellStyle name="Normal 11 2 5 2 4 3 2 2" xfId="47426" xr:uid="{BDFEC6A2-4108-4C94-901B-B7154AC4D0AF}"/>
    <cellStyle name="Normal 11 2 5 2 4 3 3" xfId="34835" xr:uid="{68092830-AF6B-4142-81AC-FB02065B4810}"/>
    <cellStyle name="Normal 11 2 5 2 4 4" xfId="15656" xr:uid="{AF02BBA3-8A94-4980-A75D-0F1208C7D4FB}"/>
    <cellStyle name="Normal 11 2 5 2 4 4 2" xfId="41148" xr:uid="{432A2D2C-4BBA-4778-8EDE-853A2081265B}"/>
    <cellStyle name="Normal 11 2 5 2 4 5" xfId="28557" xr:uid="{903A9B23-F08A-4FCE-B301-021FEF9891FC}"/>
    <cellStyle name="Normal 11 2 5 2 5" xfId="3467" xr:uid="{0309746C-4EEC-4B63-A081-3FFDA45DA8B8}"/>
    <cellStyle name="Normal 11 2 5 2 5 2" xfId="6621" xr:uid="{1549A218-59B0-46DB-B4D5-8279B961C2FD}"/>
    <cellStyle name="Normal 11 2 5 2 5 2 2" xfId="12914" xr:uid="{03F80D9F-F6CB-47D5-AD12-03F5E38AC5D0}"/>
    <cellStyle name="Normal 11 2 5 2 5 2 2 2" xfId="25596" xr:uid="{13E6AD6F-B743-46BF-B383-CEB13F643D6C}"/>
    <cellStyle name="Normal 11 2 5 2 5 2 2 2 2" xfId="51088" xr:uid="{C3F8F1BD-1934-4489-B6F7-8C1123695BB6}"/>
    <cellStyle name="Normal 11 2 5 2 5 2 2 3" xfId="38497" xr:uid="{D1F5A206-91C4-4F7B-AA4E-85592AC31A8B}"/>
    <cellStyle name="Normal 11 2 5 2 5 2 3" xfId="19318" xr:uid="{CFD76B59-BCBD-4489-A33A-DCE7255E9FAE}"/>
    <cellStyle name="Normal 11 2 5 2 5 2 3 2" xfId="44810" xr:uid="{370E8A94-A5DD-4C23-9926-401949BA5B60}"/>
    <cellStyle name="Normal 11 2 5 2 5 2 4" xfId="32219" xr:uid="{EF458EA5-3667-4F91-AECA-F6337D9B4D6F}"/>
    <cellStyle name="Normal 11 2 5 2 5 3" xfId="9775" xr:uid="{A1A8CDCD-AA35-49E2-8D7F-2C27BAB18657}"/>
    <cellStyle name="Normal 11 2 5 2 5 3 2" xfId="22457" xr:uid="{9CD5AC41-0D9C-4247-9CD5-C550EA9C5617}"/>
    <cellStyle name="Normal 11 2 5 2 5 3 2 2" xfId="47949" xr:uid="{95A625E1-C257-4D57-9E6B-6BC5D2BF5AAC}"/>
    <cellStyle name="Normal 11 2 5 2 5 3 3" xfId="35358" xr:uid="{C1CCAC25-3C11-49E8-B232-CE8E1CE65AEF}"/>
    <cellStyle name="Normal 11 2 5 2 5 4" xfId="16179" xr:uid="{F5409ECF-DE78-41D6-ADC3-B35EFEA47F0F}"/>
    <cellStyle name="Normal 11 2 5 2 5 4 2" xfId="41671" xr:uid="{998333B5-F989-4CCE-98F7-EAC8F714E4D2}"/>
    <cellStyle name="Normal 11 2 5 2 5 5" xfId="29080" xr:uid="{19AC7CF7-DD92-4041-BA27-2A6063D3FEEE}"/>
    <cellStyle name="Normal 11 2 5 2 6" xfId="4267" xr:uid="{865426D9-EA51-4108-84B8-02F01AD6424F}"/>
    <cellStyle name="Normal 11 2 5 2 6 2" xfId="10560" xr:uid="{42F36164-D5D0-47B2-AF2D-BA5F10204B12}"/>
    <cellStyle name="Normal 11 2 5 2 6 2 2" xfId="23242" xr:uid="{4FC0FCDD-3647-400D-8691-2A8B3F402E69}"/>
    <cellStyle name="Normal 11 2 5 2 6 2 2 2" xfId="48734" xr:uid="{9747FC88-6DEB-4F44-BBFF-4EBEBA2AFBE9}"/>
    <cellStyle name="Normal 11 2 5 2 6 2 3" xfId="36143" xr:uid="{7263A972-DB5A-48A3-9C66-CF4864BE64BD}"/>
    <cellStyle name="Normal 11 2 5 2 6 3" xfId="16964" xr:uid="{68AE3438-9EAB-41E8-A4AF-05F1541A4A5B}"/>
    <cellStyle name="Normal 11 2 5 2 6 3 2" xfId="42456" xr:uid="{8DF46D13-3AC9-48EA-AAD3-BE808A365B76}"/>
    <cellStyle name="Normal 11 2 5 2 6 4" xfId="29865" xr:uid="{83761A61-D211-46FA-B43C-2F1A5BAAAF41}"/>
    <cellStyle name="Normal 11 2 5 2 7" xfId="7421" xr:uid="{8DE83BBB-4289-4F49-AAE1-4700E18F5614}"/>
    <cellStyle name="Normal 11 2 5 2 7 2" xfId="20103" xr:uid="{0656C19B-1765-4418-BE5B-D01B66912E1D}"/>
    <cellStyle name="Normal 11 2 5 2 7 2 2" xfId="45595" xr:uid="{199EA0A4-FF7F-4CFE-8296-04245FBBCF06}"/>
    <cellStyle name="Normal 11 2 5 2 7 3" xfId="33004" xr:uid="{23FE69C2-1A43-45C6-80AF-1CCB35A12EB4}"/>
    <cellStyle name="Normal 11 2 5 2 8" xfId="13825" xr:uid="{FACA9751-9357-407C-B5E0-71F5E21A80F1}"/>
    <cellStyle name="Normal 11 2 5 2 8 2" xfId="39317" xr:uid="{38CF7A57-8C09-4E30-BD65-A4B79DF5D641}"/>
    <cellStyle name="Normal 11 2 5 2 9" xfId="26726" xr:uid="{F5749BE7-7250-42F2-BCB6-519AC7618AA6}"/>
    <cellStyle name="Normal 11 2 5 3" xfId="853" xr:uid="{96D4F129-08F4-47F8-9FAC-2CD078944C54}"/>
    <cellStyle name="Normal 11 2 5 3 2" xfId="2160" xr:uid="{B4921077-E39D-47B1-96CD-DDDA21CEAB1C}"/>
    <cellStyle name="Normal 11 2 5 3 2 2" xfId="5314" xr:uid="{E7C044C1-DA20-4D74-8C19-E0061C4FD217}"/>
    <cellStyle name="Normal 11 2 5 3 2 2 2" xfId="11607" xr:uid="{018E769B-785C-4DAC-A425-F087C06C0DF8}"/>
    <cellStyle name="Normal 11 2 5 3 2 2 2 2" xfId="24289" xr:uid="{995E8426-402F-4F8D-96FE-B3F4DD766BF1}"/>
    <cellStyle name="Normal 11 2 5 3 2 2 2 2 2" xfId="49781" xr:uid="{90C56B5F-D603-4C5D-8017-0D678BE47AE0}"/>
    <cellStyle name="Normal 11 2 5 3 2 2 2 3" xfId="37190" xr:uid="{E6267F61-C828-4643-A31A-829262457CEA}"/>
    <cellStyle name="Normal 11 2 5 3 2 2 3" xfId="18011" xr:uid="{66E7D18E-BAE0-49DC-B656-39D92B53FE87}"/>
    <cellStyle name="Normal 11 2 5 3 2 2 3 2" xfId="43503" xr:uid="{EC89A1C7-5706-4C00-B91B-D05C1827209A}"/>
    <cellStyle name="Normal 11 2 5 3 2 2 4" xfId="30912" xr:uid="{3B3EA9DB-3F88-4CAC-A0C5-99BDA37809E2}"/>
    <cellStyle name="Normal 11 2 5 3 2 3" xfId="8468" xr:uid="{FF01B5A3-7109-494C-B7D8-980D5A8A7023}"/>
    <cellStyle name="Normal 11 2 5 3 2 3 2" xfId="21150" xr:uid="{717B0A41-EC40-414E-B29B-4D570813C574}"/>
    <cellStyle name="Normal 11 2 5 3 2 3 2 2" xfId="46642" xr:uid="{D34FDF27-59EA-453A-AA10-E6F74133F19B}"/>
    <cellStyle name="Normal 11 2 5 3 2 3 3" xfId="34051" xr:uid="{E51E2A4A-8A61-4694-8923-D5F64D654AAC}"/>
    <cellStyle name="Normal 11 2 5 3 2 4" xfId="14872" xr:uid="{B6A9FA5A-A60E-41C8-AFDB-83B93C72F44F}"/>
    <cellStyle name="Normal 11 2 5 3 2 4 2" xfId="40364" xr:uid="{EB596F3E-DE69-464F-A20D-A691EEC39A19}"/>
    <cellStyle name="Normal 11 2 5 3 2 5" xfId="27773" xr:uid="{660F455D-7FC2-420B-AE1C-44F2E66053D9}"/>
    <cellStyle name="Normal 11 2 5 3 3" xfId="4007" xr:uid="{495EC681-71A8-4DCC-939E-3BF968CF3A37}"/>
    <cellStyle name="Normal 11 2 5 3 3 2" xfId="10300" xr:uid="{0BDE229B-EF96-4D50-8F8F-962EDAE68C41}"/>
    <cellStyle name="Normal 11 2 5 3 3 2 2" xfId="22982" xr:uid="{EC67A5E7-3821-479B-AE44-654166C56090}"/>
    <cellStyle name="Normal 11 2 5 3 3 2 2 2" xfId="48474" xr:uid="{39BDCC2C-1BAC-4EDF-94F7-3941EFD2656B}"/>
    <cellStyle name="Normal 11 2 5 3 3 2 3" xfId="35883" xr:uid="{0F082A49-C768-4D08-9154-525702DB5957}"/>
    <cellStyle name="Normal 11 2 5 3 3 3" xfId="16704" xr:uid="{051A032C-B4D8-47AA-84F7-126033EE27C6}"/>
    <cellStyle name="Normal 11 2 5 3 3 3 2" xfId="42196" xr:uid="{52A36C4D-78A9-438D-B5CB-2C1F2710EE2D}"/>
    <cellStyle name="Normal 11 2 5 3 3 4" xfId="29605" xr:uid="{034731DA-B922-4CD3-A145-E5D4E403A1F1}"/>
    <cellStyle name="Normal 11 2 5 3 4" xfId="7161" xr:uid="{EC1E68ED-104C-4874-80B0-FE6D3956D749}"/>
    <cellStyle name="Normal 11 2 5 3 4 2" xfId="19843" xr:uid="{E2BC3854-A0F9-475B-A61A-154F76C61257}"/>
    <cellStyle name="Normal 11 2 5 3 4 2 2" xfId="45335" xr:uid="{23E52DBB-E643-4269-9045-AA458E9FAB5D}"/>
    <cellStyle name="Normal 11 2 5 3 4 3" xfId="32744" xr:uid="{E42E7F28-E76D-42CB-B7D6-A3C4F0A240DE}"/>
    <cellStyle name="Normal 11 2 5 3 5" xfId="13565" xr:uid="{F2A1EB21-4558-4FE9-BF7B-AC6850E81A39}"/>
    <cellStyle name="Normal 11 2 5 3 5 2" xfId="39057" xr:uid="{D71C0FD9-4796-4BF4-BD5B-029C0C75B681}"/>
    <cellStyle name="Normal 11 2 5 3 6" xfId="26466" xr:uid="{706B74B1-E6AF-4AF7-8B7C-7A37F2F9C88E}"/>
    <cellStyle name="Normal 11 2 5 4" xfId="1898" xr:uid="{D2844071-009E-4F86-A357-1733785AD6A5}"/>
    <cellStyle name="Normal 11 2 5 4 2" xfId="5052" xr:uid="{D9BAFB7D-CA53-40CD-8B6F-36EEC42772D6}"/>
    <cellStyle name="Normal 11 2 5 4 2 2" xfId="11345" xr:uid="{799D42A2-F38D-4629-9D5E-1945EFAAB21F}"/>
    <cellStyle name="Normal 11 2 5 4 2 2 2" xfId="24027" xr:uid="{7E22D893-BEC4-49BB-86FA-3B97FB3F570C}"/>
    <cellStyle name="Normal 11 2 5 4 2 2 2 2" xfId="49519" xr:uid="{27040D0F-1DE4-4B15-8D85-9E09EE5BA1B2}"/>
    <cellStyle name="Normal 11 2 5 4 2 2 3" xfId="36928" xr:uid="{A13DE99F-7607-4CC7-89D3-4419D3BB6323}"/>
    <cellStyle name="Normal 11 2 5 4 2 3" xfId="17749" xr:uid="{49D64C19-99CB-4CDF-AB8C-30690D7CE611}"/>
    <cellStyle name="Normal 11 2 5 4 2 3 2" xfId="43241" xr:uid="{7A01218A-7987-4C9F-9E51-BED759362B4E}"/>
    <cellStyle name="Normal 11 2 5 4 2 4" xfId="30650" xr:uid="{403B0179-9155-46E3-8093-CD55CBEEC824}"/>
    <cellStyle name="Normal 11 2 5 4 3" xfId="8206" xr:uid="{F44542DC-5A85-44F4-AFC8-906EB84A6522}"/>
    <cellStyle name="Normal 11 2 5 4 3 2" xfId="20888" xr:uid="{4DACCA74-B152-40D1-AB2F-3928D231D578}"/>
    <cellStyle name="Normal 11 2 5 4 3 2 2" xfId="46380" xr:uid="{D5B401E1-DC00-41DE-B5EE-694A387F24C7}"/>
    <cellStyle name="Normal 11 2 5 4 3 3" xfId="33789" xr:uid="{A69B2AEE-DD9B-4BC2-8883-F7BC5485BA6E}"/>
    <cellStyle name="Normal 11 2 5 4 4" xfId="14610" xr:uid="{BC925E1E-3B60-478C-AC7B-65AD013B82AA}"/>
    <cellStyle name="Normal 11 2 5 4 4 2" xfId="40102" xr:uid="{98874AC8-A066-4722-8C73-90E6F85D3C16}"/>
    <cellStyle name="Normal 11 2 5 4 5" xfId="27511" xr:uid="{6A088804-2AC8-4E0C-AF7E-432ED95692C2}"/>
    <cellStyle name="Normal 11 2 5 5" xfId="1376" xr:uid="{19A41A74-96FE-441F-ABBF-5918AA6BFCF7}"/>
    <cellStyle name="Normal 11 2 5 5 2" xfId="4530" xr:uid="{0127CF2D-C81C-4D34-8D66-7DEDFFF93EB1}"/>
    <cellStyle name="Normal 11 2 5 5 2 2" xfId="10823" xr:uid="{2EDB9117-C4D5-4BC3-942F-8C4F73F726E4}"/>
    <cellStyle name="Normal 11 2 5 5 2 2 2" xfId="23505" xr:uid="{EC8F2809-3CD9-4B75-98B1-5095BFFDF6AF}"/>
    <cellStyle name="Normal 11 2 5 5 2 2 2 2" xfId="48997" xr:uid="{BE02212B-F5C5-425E-8C15-52F0AF4A4529}"/>
    <cellStyle name="Normal 11 2 5 5 2 2 3" xfId="36406" xr:uid="{2955CC47-5760-4716-B33C-2B2759012727}"/>
    <cellStyle name="Normal 11 2 5 5 2 3" xfId="17227" xr:uid="{E027C1DE-660F-45CD-9995-F9F561A31C08}"/>
    <cellStyle name="Normal 11 2 5 5 2 3 2" xfId="42719" xr:uid="{4BAAE3CC-A063-416A-8667-251214641EDC}"/>
    <cellStyle name="Normal 11 2 5 5 2 4" xfId="30128" xr:uid="{18893F58-4298-4921-8B06-4815B0FF7480}"/>
    <cellStyle name="Normal 11 2 5 5 3" xfId="7684" xr:uid="{9C9366AA-9493-4A60-A053-D12A011424D9}"/>
    <cellStyle name="Normal 11 2 5 5 3 2" xfId="20366" xr:uid="{9E288465-476A-454A-AA57-9ACBC29FB273}"/>
    <cellStyle name="Normal 11 2 5 5 3 2 2" xfId="45858" xr:uid="{543DAC9B-BB2A-4F93-8044-61F2BAE89809}"/>
    <cellStyle name="Normal 11 2 5 5 3 3" xfId="33267" xr:uid="{C684141D-8D83-4108-8B8C-C0B7B2D08B17}"/>
    <cellStyle name="Normal 11 2 5 5 4" xfId="14088" xr:uid="{47FA2BCB-1573-4463-BB08-F8B4B8B4F68E}"/>
    <cellStyle name="Normal 11 2 5 5 4 2" xfId="39580" xr:uid="{B6756DD4-A4E4-4F99-A616-5C25F4461A9B}"/>
    <cellStyle name="Normal 11 2 5 5 5" xfId="26989" xr:uid="{CA2F6A64-73C5-4752-BD30-668FEEAD5000}"/>
    <cellStyle name="Normal 11 2 5 6" xfId="2683" xr:uid="{790981E2-E6C9-4C23-9B2C-D4450C040DED}"/>
    <cellStyle name="Normal 11 2 5 6 2" xfId="5837" xr:uid="{6DE428C2-F821-4BFB-841C-32FECF9C7F4A}"/>
    <cellStyle name="Normal 11 2 5 6 2 2" xfId="12130" xr:uid="{52545E82-4CA9-4DC9-8763-D7A79A27F0A1}"/>
    <cellStyle name="Normal 11 2 5 6 2 2 2" xfId="24812" xr:uid="{25B12F3F-E718-4709-983B-8033C7B0514C}"/>
    <cellStyle name="Normal 11 2 5 6 2 2 2 2" xfId="50304" xr:uid="{18BBD301-C877-4AF8-9E73-8E4D76FE0E49}"/>
    <cellStyle name="Normal 11 2 5 6 2 2 3" xfId="37713" xr:uid="{A8929D13-5281-45BE-B8E9-09094B53C720}"/>
    <cellStyle name="Normal 11 2 5 6 2 3" xfId="18534" xr:uid="{A1A98C7F-9148-41D2-8DFE-1BA0898A4A3A}"/>
    <cellStyle name="Normal 11 2 5 6 2 3 2" xfId="44026" xr:uid="{601AF0EF-BF90-43E5-A17E-1F537B12241E}"/>
    <cellStyle name="Normal 11 2 5 6 2 4" xfId="31435" xr:uid="{2A534E54-BF2F-4DB8-933A-CEE84C701A53}"/>
    <cellStyle name="Normal 11 2 5 6 3" xfId="8991" xr:uid="{6624AF2F-FEEA-4824-9545-81FEA30F083D}"/>
    <cellStyle name="Normal 11 2 5 6 3 2" xfId="21673" xr:uid="{B270848F-D06B-4D38-8695-7293171AF8CA}"/>
    <cellStyle name="Normal 11 2 5 6 3 2 2" xfId="47165" xr:uid="{1C33844E-F331-4869-96E8-42FCDCB92C35}"/>
    <cellStyle name="Normal 11 2 5 6 3 3" xfId="34574" xr:uid="{DDE7738F-40C1-4194-91E9-8DAE6314F0F9}"/>
    <cellStyle name="Normal 11 2 5 6 4" xfId="15395" xr:uid="{77EEF956-0DCB-40EC-A817-1C25B9D1530E}"/>
    <cellStyle name="Normal 11 2 5 6 4 2" xfId="40887" xr:uid="{1EA5468C-8DEA-4257-A235-1989A045EDAE}"/>
    <cellStyle name="Normal 11 2 5 6 5" xfId="28296" xr:uid="{0EE12690-4398-47D0-AE0F-60C41836B398}"/>
    <cellStyle name="Normal 11 2 5 7" xfId="3206" xr:uid="{1FBE9438-038B-4478-88CF-EA817A0A3159}"/>
    <cellStyle name="Normal 11 2 5 7 2" xfId="6360" xr:uid="{63B75541-D5F7-40E1-BFC0-DFF90B3E8573}"/>
    <cellStyle name="Normal 11 2 5 7 2 2" xfId="12653" xr:uid="{4B713DA6-C388-45EA-A55F-EBC91AAA03F5}"/>
    <cellStyle name="Normal 11 2 5 7 2 2 2" xfId="25335" xr:uid="{8BEFEF3A-C386-4C28-9C95-8A56C45CC787}"/>
    <cellStyle name="Normal 11 2 5 7 2 2 2 2" xfId="50827" xr:uid="{275B5D6B-5BEB-49F2-B3C0-3A7AC76C11B8}"/>
    <cellStyle name="Normal 11 2 5 7 2 2 3" xfId="38236" xr:uid="{77D56287-9DC1-47FE-B361-B0077BC16C76}"/>
    <cellStyle name="Normal 11 2 5 7 2 3" xfId="19057" xr:uid="{521C43BD-90E3-4A5D-9D0A-69FE9161E5C1}"/>
    <cellStyle name="Normal 11 2 5 7 2 3 2" xfId="44549" xr:uid="{73DC6559-9669-4FF5-A67C-4384C777EB05}"/>
    <cellStyle name="Normal 11 2 5 7 2 4" xfId="31958" xr:uid="{3D850EA7-4685-4448-A613-7917250F3408}"/>
    <cellStyle name="Normal 11 2 5 7 3" xfId="9514" xr:uid="{55BFE9BD-D06F-4023-A96D-260CAAD000B3}"/>
    <cellStyle name="Normal 11 2 5 7 3 2" xfId="22196" xr:uid="{1856BD0A-5F84-4C42-B69A-AD100E80E4A8}"/>
    <cellStyle name="Normal 11 2 5 7 3 2 2" xfId="47688" xr:uid="{010809EC-276D-4689-9CA1-C7BEC6B8D53D}"/>
    <cellStyle name="Normal 11 2 5 7 3 3" xfId="35097" xr:uid="{B6F56492-2E45-4E11-ACA3-0190D8D49F82}"/>
    <cellStyle name="Normal 11 2 5 7 4" xfId="15918" xr:uid="{6791C7BE-47A2-4B7B-99F1-4A35BC8C6712}"/>
    <cellStyle name="Normal 11 2 5 7 4 2" xfId="41410" xr:uid="{505E9ED1-6DB7-41B8-9281-BBA2FA7D2C6E}"/>
    <cellStyle name="Normal 11 2 5 7 5" xfId="28819" xr:uid="{3B96020E-EF5A-4CB6-8382-E56A748CCE98}"/>
    <cellStyle name="Normal 11 2 5 8" xfId="3745" xr:uid="{97CF0211-AA5C-4D22-8689-769018B930C8}"/>
    <cellStyle name="Normal 11 2 5 8 2" xfId="10038" xr:uid="{AA7805A8-476D-4122-9BB0-2143059F39C9}"/>
    <cellStyle name="Normal 11 2 5 8 2 2" xfId="22720" xr:uid="{CFC60A48-DF8F-4E23-995A-B23CE6119AD3}"/>
    <cellStyle name="Normal 11 2 5 8 2 2 2" xfId="48212" xr:uid="{39048EB4-452C-4016-880D-A744F7606AA8}"/>
    <cellStyle name="Normal 11 2 5 8 2 3" xfId="35621" xr:uid="{DC3CE7B5-2A82-4EF6-B439-335D1835ECBA}"/>
    <cellStyle name="Normal 11 2 5 8 3" xfId="16442" xr:uid="{A279B4B5-FF0A-4647-9819-7EA535F0F348}"/>
    <cellStyle name="Normal 11 2 5 8 3 2" xfId="41934" xr:uid="{8FB43804-EDC2-484A-8C1D-B491B8978A19}"/>
    <cellStyle name="Normal 11 2 5 8 4" xfId="29343" xr:uid="{09FF335C-9C11-41F6-A010-928240A6242E}"/>
    <cellStyle name="Normal 11 2 5 9" xfId="6899" xr:uid="{D2210395-2BE6-4CDF-A421-8E9D5B25620F}"/>
    <cellStyle name="Normal 11 2 5 9 2" xfId="19581" xr:uid="{D3A4ACD2-3E6E-43BD-ACB9-5B35C4DCD442}"/>
    <cellStyle name="Normal 11 2 5 9 2 2" xfId="45073" xr:uid="{11F1E17E-C327-4CFF-B196-2E7E4BFBDD15}"/>
    <cellStyle name="Normal 11 2 5 9 3" xfId="32482" xr:uid="{77710FD9-5B26-4CDE-BE58-8A94F4A72358}"/>
    <cellStyle name="Normal 11 2 6" xfId="518" xr:uid="{0219B7B2-F1A0-44D9-9C60-6EBDCFCAB0A3}"/>
    <cellStyle name="Normal 11 2 6 10" xfId="13245" xr:uid="{8E068E63-B215-417B-9D80-FEBC820E7A09}"/>
    <cellStyle name="Normal 11 2 6 10 2" xfId="38737" xr:uid="{466C8233-0B63-40B0-AE7A-BB234A3D7F41}"/>
    <cellStyle name="Normal 11 2 6 11" xfId="26146" xr:uid="{1CC36F33-5E0C-4DB6-A2FA-E3FD40693B36}"/>
    <cellStyle name="Normal 11 2 6 2" xfId="1055" xr:uid="{CB54FE2F-53A1-4877-B905-FD1C9F04B223}"/>
    <cellStyle name="Normal 11 2 6 2 2" xfId="2362" xr:uid="{2E0DB5B2-9236-45B9-BC6A-316FA82C55BD}"/>
    <cellStyle name="Normal 11 2 6 2 2 2" xfId="5516" xr:uid="{95B016D1-18D9-49A8-A105-804E0C95D8CC}"/>
    <cellStyle name="Normal 11 2 6 2 2 2 2" xfId="11809" xr:uid="{1C745833-434E-4386-A8F2-689BBA3D8C1A}"/>
    <cellStyle name="Normal 11 2 6 2 2 2 2 2" xfId="24491" xr:uid="{85ECFC74-07F0-4DA2-87AE-EA10A9E577F4}"/>
    <cellStyle name="Normal 11 2 6 2 2 2 2 2 2" xfId="49983" xr:uid="{8E1EA315-78F4-4F32-A181-B26173202F91}"/>
    <cellStyle name="Normal 11 2 6 2 2 2 2 3" xfId="37392" xr:uid="{31079993-1F3B-42F7-A47B-E569509E3C33}"/>
    <cellStyle name="Normal 11 2 6 2 2 2 3" xfId="18213" xr:uid="{949F1CEF-9B00-47BD-BD07-52E6841AE280}"/>
    <cellStyle name="Normal 11 2 6 2 2 2 3 2" xfId="43705" xr:uid="{49972DCC-8AC1-42C2-81F6-B1E3C108F8E9}"/>
    <cellStyle name="Normal 11 2 6 2 2 2 4" xfId="31114" xr:uid="{A6F0A184-A1A9-48F6-9085-C4362573C0D2}"/>
    <cellStyle name="Normal 11 2 6 2 2 3" xfId="8670" xr:uid="{2E67A0B6-47D4-415E-9A9C-34B1EE1F1E1D}"/>
    <cellStyle name="Normal 11 2 6 2 2 3 2" xfId="21352" xr:uid="{C22DD159-4F3A-43F5-A501-ABB8D902F51C}"/>
    <cellStyle name="Normal 11 2 6 2 2 3 2 2" xfId="46844" xr:uid="{0B9ECB80-C910-4100-8C3E-4CFDA959BAF7}"/>
    <cellStyle name="Normal 11 2 6 2 2 3 3" xfId="34253" xr:uid="{5E0BDF7C-2484-40AF-86ED-9960E4562782}"/>
    <cellStyle name="Normal 11 2 6 2 2 4" xfId="15074" xr:uid="{82CA14DE-954A-4B3E-9E2C-5BD3FB01B159}"/>
    <cellStyle name="Normal 11 2 6 2 2 4 2" xfId="40566" xr:uid="{BA165E3A-488A-4EE6-977E-7054208328F3}"/>
    <cellStyle name="Normal 11 2 6 2 2 5" xfId="27975" xr:uid="{7F44502B-DA14-444A-A42A-FE28E5E79633}"/>
    <cellStyle name="Normal 11 2 6 2 3" xfId="1579" xr:uid="{F281F703-F136-434D-B6F8-05751EE37FE4}"/>
    <cellStyle name="Normal 11 2 6 2 3 2" xfId="4733" xr:uid="{88AA3C9B-3CC2-4256-B984-18C53DE54C75}"/>
    <cellStyle name="Normal 11 2 6 2 3 2 2" xfId="11026" xr:uid="{7B5C8807-E037-4FDF-AA22-99C50251C59A}"/>
    <cellStyle name="Normal 11 2 6 2 3 2 2 2" xfId="23708" xr:uid="{7A0DBDF7-FE49-4CA8-95C2-DDE1A6CD9B41}"/>
    <cellStyle name="Normal 11 2 6 2 3 2 2 2 2" xfId="49200" xr:uid="{5723E382-200A-4C59-836F-20D9DAB19D53}"/>
    <cellStyle name="Normal 11 2 6 2 3 2 2 3" xfId="36609" xr:uid="{694ECEB3-1BDC-4637-BBC9-2E3EC8B950CC}"/>
    <cellStyle name="Normal 11 2 6 2 3 2 3" xfId="17430" xr:uid="{18846E29-9124-421B-AF6E-75F2BBB3F849}"/>
    <cellStyle name="Normal 11 2 6 2 3 2 3 2" xfId="42922" xr:uid="{BC7F95A0-49B6-44D6-B08E-C40ABC8DE15A}"/>
    <cellStyle name="Normal 11 2 6 2 3 2 4" xfId="30331" xr:uid="{CE888F4F-479F-4E11-9D42-CEAED1A36EBC}"/>
    <cellStyle name="Normal 11 2 6 2 3 3" xfId="7887" xr:uid="{2E25B30B-BE25-41E9-A5E0-8239445520B8}"/>
    <cellStyle name="Normal 11 2 6 2 3 3 2" xfId="20569" xr:uid="{D94C21CB-2DCA-4F70-9642-340F22DC0EE3}"/>
    <cellStyle name="Normal 11 2 6 2 3 3 2 2" xfId="46061" xr:uid="{B9E56285-5D06-4F3D-A5D3-1F4D8437B0B2}"/>
    <cellStyle name="Normal 11 2 6 2 3 3 3" xfId="33470" xr:uid="{B02EB6EA-0976-4923-B1AD-5AF422E4C390}"/>
    <cellStyle name="Normal 11 2 6 2 3 4" xfId="14291" xr:uid="{8ADA1B77-329A-494C-970D-7A1B1A6AABC8}"/>
    <cellStyle name="Normal 11 2 6 2 3 4 2" xfId="39783" xr:uid="{6D984BB9-2CB5-4C2A-AB73-D2CAE21DD314}"/>
    <cellStyle name="Normal 11 2 6 2 3 5" xfId="27192" xr:uid="{9042E877-C046-4F64-A6DC-94B64CE7DD0B}"/>
    <cellStyle name="Normal 11 2 6 2 4" xfId="2886" xr:uid="{D6E1E706-9F4B-4D6B-85C1-F166F7B13B79}"/>
    <cellStyle name="Normal 11 2 6 2 4 2" xfId="6040" xr:uid="{7BBAE0E2-05BF-474E-A60E-683DCD77ABCE}"/>
    <cellStyle name="Normal 11 2 6 2 4 2 2" xfId="12333" xr:uid="{774CFF56-D7DA-49E0-A434-E8D35201BC71}"/>
    <cellStyle name="Normal 11 2 6 2 4 2 2 2" xfId="25015" xr:uid="{E7F958B8-782F-4A58-B045-2014764A8C93}"/>
    <cellStyle name="Normal 11 2 6 2 4 2 2 2 2" xfId="50507" xr:uid="{10AB5C4C-7CDD-45D8-8D62-354883455AA4}"/>
    <cellStyle name="Normal 11 2 6 2 4 2 2 3" xfId="37916" xr:uid="{52E5A5EE-B038-4781-A54D-6F0834D8C6A1}"/>
    <cellStyle name="Normal 11 2 6 2 4 2 3" xfId="18737" xr:uid="{AD0F9753-0B05-4AD8-A1F8-07E565166E57}"/>
    <cellStyle name="Normal 11 2 6 2 4 2 3 2" xfId="44229" xr:uid="{CD456CB7-6916-438B-A55B-DCAA75020440}"/>
    <cellStyle name="Normal 11 2 6 2 4 2 4" xfId="31638" xr:uid="{503BE628-322E-4DB7-B83B-B677D00DF453}"/>
    <cellStyle name="Normal 11 2 6 2 4 3" xfId="9194" xr:uid="{D5539198-1C28-4223-8829-9B62931EB0D1}"/>
    <cellStyle name="Normal 11 2 6 2 4 3 2" xfId="21876" xr:uid="{22E9BBDA-4F62-4EB4-A89A-2BCABAE8E559}"/>
    <cellStyle name="Normal 11 2 6 2 4 3 2 2" xfId="47368" xr:uid="{F2B8ECA5-F313-4B44-8838-59F0661D0646}"/>
    <cellStyle name="Normal 11 2 6 2 4 3 3" xfId="34777" xr:uid="{055FD7D3-A52A-4D6A-853E-24F72C81817F}"/>
    <cellStyle name="Normal 11 2 6 2 4 4" xfId="15598" xr:uid="{BB6A0564-71E8-4C56-93D4-5B7CAE89A274}"/>
    <cellStyle name="Normal 11 2 6 2 4 4 2" xfId="41090" xr:uid="{88FE2B57-8E22-48E0-B45A-5AB6CF2A5137}"/>
    <cellStyle name="Normal 11 2 6 2 4 5" xfId="28499" xr:uid="{ECA1ADF2-84DA-4F84-9092-123D3FA718F6}"/>
    <cellStyle name="Normal 11 2 6 2 5" xfId="3409" xr:uid="{FD879044-AE73-4BAA-93D2-9544FDECF114}"/>
    <cellStyle name="Normal 11 2 6 2 5 2" xfId="6563" xr:uid="{92FE35A7-8C81-444A-A45C-4A231AF5519D}"/>
    <cellStyle name="Normal 11 2 6 2 5 2 2" xfId="12856" xr:uid="{6C9E6BF5-2F0C-4070-93A5-4A1383F802FD}"/>
    <cellStyle name="Normal 11 2 6 2 5 2 2 2" xfId="25538" xr:uid="{87023E8B-0CFB-4C6A-BF6D-F0AB6DEFE2EE}"/>
    <cellStyle name="Normal 11 2 6 2 5 2 2 2 2" xfId="51030" xr:uid="{207063B7-DC46-4964-B7FE-EFF0EF52729A}"/>
    <cellStyle name="Normal 11 2 6 2 5 2 2 3" xfId="38439" xr:uid="{40DF9446-4090-4656-8425-B25DF509B006}"/>
    <cellStyle name="Normal 11 2 6 2 5 2 3" xfId="19260" xr:uid="{07955484-D1EA-4383-A628-5706B54C9D33}"/>
    <cellStyle name="Normal 11 2 6 2 5 2 3 2" xfId="44752" xr:uid="{B466E4BB-864C-42A3-9903-9D90B01C5921}"/>
    <cellStyle name="Normal 11 2 6 2 5 2 4" xfId="32161" xr:uid="{1BEF9A4A-A943-43B2-B067-4E34D2A8018C}"/>
    <cellStyle name="Normal 11 2 6 2 5 3" xfId="9717" xr:uid="{1F872BDE-A1B9-44AB-A43B-852F4AA6690C}"/>
    <cellStyle name="Normal 11 2 6 2 5 3 2" xfId="22399" xr:uid="{3DE5E025-BD3D-4B72-A7C4-4C21863ABC67}"/>
    <cellStyle name="Normal 11 2 6 2 5 3 2 2" xfId="47891" xr:uid="{91951AAD-8C61-4D0D-91C1-9FCE5B300B20}"/>
    <cellStyle name="Normal 11 2 6 2 5 3 3" xfId="35300" xr:uid="{7568377C-4073-41A4-A4B4-9D2AA3DDA721}"/>
    <cellStyle name="Normal 11 2 6 2 5 4" xfId="16121" xr:uid="{AD222FF2-8E0F-4580-9060-1136A714C920}"/>
    <cellStyle name="Normal 11 2 6 2 5 4 2" xfId="41613" xr:uid="{5B5879AD-0930-4040-8145-52396D80D7C9}"/>
    <cellStyle name="Normal 11 2 6 2 5 5" xfId="29022" xr:uid="{159B7045-119B-44D3-9811-A4BE954B440C}"/>
    <cellStyle name="Normal 11 2 6 2 6" xfId="4209" xr:uid="{0ACD55A1-C2EB-4EAE-9E44-28977FEB706C}"/>
    <cellStyle name="Normal 11 2 6 2 6 2" xfId="10502" xr:uid="{F5A8D420-9005-4F32-A5FE-B213C6D7AC7D}"/>
    <cellStyle name="Normal 11 2 6 2 6 2 2" xfId="23184" xr:uid="{0C3CD3AB-C7F6-4175-9650-CFAEAF16C3F8}"/>
    <cellStyle name="Normal 11 2 6 2 6 2 2 2" xfId="48676" xr:uid="{7F3B3EA5-2F29-40F8-BA32-DC40B5323BE3}"/>
    <cellStyle name="Normal 11 2 6 2 6 2 3" xfId="36085" xr:uid="{C06683B8-78EF-4B4C-91EE-3D9FD80CA13C}"/>
    <cellStyle name="Normal 11 2 6 2 6 3" xfId="16906" xr:uid="{9E35B43A-1A75-40A7-B4C8-A27B16FCBE49}"/>
    <cellStyle name="Normal 11 2 6 2 6 3 2" xfId="42398" xr:uid="{8F0D5F1F-4D40-4AD9-8B06-46A8621BC679}"/>
    <cellStyle name="Normal 11 2 6 2 6 4" xfId="29807" xr:uid="{458A66DD-3E14-49A2-9462-184E0CCC70DD}"/>
    <cellStyle name="Normal 11 2 6 2 7" xfId="7363" xr:uid="{BAF5D0F6-C214-4DF6-BB85-D8611D797E90}"/>
    <cellStyle name="Normal 11 2 6 2 7 2" xfId="20045" xr:uid="{C0E3763C-2A9B-468E-9BC6-95D5B3D8D9D9}"/>
    <cellStyle name="Normal 11 2 6 2 7 2 2" xfId="45537" xr:uid="{93F6CABA-B63B-46B8-9021-5946916B1B4A}"/>
    <cellStyle name="Normal 11 2 6 2 7 3" xfId="32946" xr:uid="{19848948-C338-45E3-872E-88E15F771949}"/>
    <cellStyle name="Normal 11 2 6 2 8" xfId="13767" xr:uid="{8D03E8E3-0D83-4029-B48F-F347649B4AAB}"/>
    <cellStyle name="Normal 11 2 6 2 8 2" xfId="39259" xr:uid="{B818CECA-19B8-4000-A51E-811285ECC132}"/>
    <cellStyle name="Normal 11 2 6 2 9" xfId="26668" xr:uid="{0DACCD98-F5AF-4B8C-985B-7485F6FC7609}"/>
    <cellStyle name="Normal 11 2 6 3" xfId="795" xr:uid="{6E910451-68FE-40EF-B6A1-63D4D35E1E4E}"/>
    <cellStyle name="Normal 11 2 6 3 2" xfId="2102" xr:uid="{EBC82E25-4DA4-438D-83B4-F2B9B66295C5}"/>
    <cellStyle name="Normal 11 2 6 3 2 2" xfId="5256" xr:uid="{449D5A77-FA39-486D-89D3-6DA40E1A4C3C}"/>
    <cellStyle name="Normal 11 2 6 3 2 2 2" xfId="11549" xr:uid="{D381F380-0EA7-414C-8D53-DA0096A77436}"/>
    <cellStyle name="Normal 11 2 6 3 2 2 2 2" xfId="24231" xr:uid="{2F01879D-8E11-4390-9068-0CAF18610183}"/>
    <cellStyle name="Normal 11 2 6 3 2 2 2 2 2" xfId="49723" xr:uid="{4BFC9F0D-7D23-42DF-899E-FC739D0E9FC0}"/>
    <cellStyle name="Normal 11 2 6 3 2 2 2 3" xfId="37132" xr:uid="{21D003EB-2A6C-49BA-897C-D45BA2817FC1}"/>
    <cellStyle name="Normal 11 2 6 3 2 2 3" xfId="17953" xr:uid="{F2AEF663-BEE6-49F6-BAEA-2FCBBEA0D24E}"/>
    <cellStyle name="Normal 11 2 6 3 2 2 3 2" xfId="43445" xr:uid="{9D6D96B0-5EDF-4EFE-9D3D-20D8EF487FCD}"/>
    <cellStyle name="Normal 11 2 6 3 2 2 4" xfId="30854" xr:uid="{A034ADB1-8767-4E73-99C5-D271FF79D7D8}"/>
    <cellStyle name="Normal 11 2 6 3 2 3" xfId="8410" xr:uid="{8A3FD5D4-2E8C-4E7A-A958-054CEF540D1A}"/>
    <cellStyle name="Normal 11 2 6 3 2 3 2" xfId="21092" xr:uid="{F6EC6F4D-89B4-4BBA-90F8-042BE8DA0A69}"/>
    <cellStyle name="Normal 11 2 6 3 2 3 2 2" xfId="46584" xr:uid="{CB614161-1F78-4FC3-AD22-3D22B17BA7B3}"/>
    <cellStyle name="Normal 11 2 6 3 2 3 3" xfId="33993" xr:uid="{BCF661E1-1498-4882-9CCC-021AF13972E2}"/>
    <cellStyle name="Normal 11 2 6 3 2 4" xfId="14814" xr:uid="{8E9DE60B-4AD7-456C-A381-0D3FBD4929C8}"/>
    <cellStyle name="Normal 11 2 6 3 2 4 2" xfId="40306" xr:uid="{61D33FB8-32FE-4D98-B141-F772F558CD4D}"/>
    <cellStyle name="Normal 11 2 6 3 2 5" xfId="27715" xr:uid="{444574A6-DD25-427F-8CF8-7E7478923D6F}"/>
    <cellStyle name="Normal 11 2 6 3 3" xfId="3949" xr:uid="{6D3D22D9-48EF-48E0-83FC-86A3C6BBF322}"/>
    <cellStyle name="Normal 11 2 6 3 3 2" xfId="10242" xr:uid="{8D59B4C8-1B5A-492F-8B75-58F8BA74267F}"/>
    <cellStyle name="Normal 11 2 6 3 3 2 2" xfId="22924" xr:uid="{C150F870-4005-4C0E-BE58-E8ABED8F8B99}"/>
    <cellStyle name="Normal 11 2 6 3 3 2 2 2" xfId="48416" xr:uid="{260C6D41-950A-4E93-A5FD-F2CCF1AE4AC0}"/>
    <cellStyle name="Normal 11 2 6 3 3 2 3" xfId="35825" xr:uid="{1AAAB88B-B3F2-4E3F-A67E-03421793C309}"/>
    <cellStyle name="Normal 11 2 6 3 3 3" xfId="16646" xr:uid="{E67CAA1F-648C-4216-A0B3-E4B535D17D56}"/>
    <cellStyle name="Normal 11 2 6 3 3 3 2" xfId="42138" xr:uid="{4010E079-DDCF-4714-9AA4-BF29B8145535}"/>
    <cellStyle name="Normal 11 2 6 3 3 4" xfId="29547" xr:uid="{55AC8862-E3F8-4D10-90E4-CCF8000AC035}"/>
    <cellStyle name="Normal 11 2 6 3 4" xfId="7103" xr:uid="{FA239274-7647-4CD9-9DB0-9AFB685D776A}"/>
    <cellStyle name="Normal 11 2 6 3 4 2" xfId="19785" xr:uid="{26B37947-EC8C-43F7-9351-949868F34C63}"/>
    <cellStyle name="Normal 11 2 6 3 4 2 2" xfId="45277" xr:uid="{1289E567-DD6B-489B-8618-2DA2AF275849}"/>
    <cellStyle name="Normal 11 2 6 3 4 3" xfId="32686" xr:uid="{47264F3C-0CC5-452C-9E3F-4DF48DB8355D}"/>
    <cellStyle name="Normal 11 2 6 3 5" xfId="13507" xr:uid="{6135E0DE-A798-4131-8811-BDB522DC8D5B}"/>
    <cellStyle name="Normal 11 2 6 3 5 2" xfId="38999" xr:uid="{A1A31D3A-CA12-46F1-A46A-4E07B4EC0373}"/>
    <cellStyle name="Normal 11 2 6 3 6" xfId="26408" xr:uid="{11A35B0A-682E-471D-BA18-02E9B24E6800}"/>
    <cellStyle name="Normal 11 2 6 4" xfId="1840" xr:uid="{269A8360-36A9-408F-95F7-F01FFDC763D6}"/>
    <cellStyle name="Normal 11 2 6 4 2" xfId="4994" xr:uid="{E00812BF-8210-4D60-976D-8CE86B958190}"/>
    <cellStyle name="Normal 11 2 6 4 2 2" xfId="11287" xr:uid="{6FA3DE59-584E-47D6-AC0B-1D73604E3FB7}"/>
    <cellStyle name="Normal 11 2 6 4 2 2 2" xfId="23969" xr:uid="{5C633F23-B741-4C67-BED0-961549F20704}"/>
    <cellStyle name="Normal 11 2 6 4 2 2 2 2" xfId="49461" xr:uid="{CF29252B-3849-4A44-A541-911B6B52C342}"/>
    <cellStyle name="Normal 11 2 6 4 2 2 3" xfId="36870" xr:uid="{4B0C3F4B-FF0D-4A34-8B14-BC091A0A417C}"/>
    <cellStyle name="Normal 11 2 6 4 2 3" xfId="17691" xr:uid="{637BC3D5-57EA-4789-A47D-E42B11D372A6}"/>
    <cellStyle name="Normal 11 2 6 4 2 3 2" xfId="43183" xr:uid="{29042DD4-724C-4AB5-8FD5-61042F29272A}"/>
    <cellStyle name="Normal 11 2 6 4 2 4" xfId="30592" xr:uid="{7E0A00EC-87AD-4484-894D-3D4218C1C441}"/>
    <cellStyle name="Normal 11 2 6 4 3" xfId="8148" xr:uid="{210F39D4-BC71-4C84-8F7E-7D59A4EA0A1D}"/>
    <cellStyle name="Normal 11 2 6 4 3 2" xfId="20830" xr:uid="{265C77F1-1DBD-4EB0-96B5-F0EE8B5E7D25}"/>
    <cellStyle name="Normal 11 2 6 4 3 2 2" xfId="46322" xr:uid="{F876C7E2-D0F4-413A-812C-ADFDBE89A92F}"/>
    <cellStyle name="Normal 11 2 6 4 3 3" xfId="33731" xr:uid="{781A956F-BDCA-472B-B55B-7E89AC94D44A}"/>
    <cellStyle name="Normal 11 2 6 4 4" xfId="14552" xr:uid="{698EB0EF-1DE7-4F8C-ABBD-2E2CE40AABD3}"/>
    <cellStyle name="Normal 11 2 6 4 4 2" xfId="40044" xr:uid="{0DA42E0F-A409-44EE-8C30-F5D2A468B67A}"/>
    <cellStyle name="Normal 11 2 6 4 5" xfId="27453" xr:uid="{21754E63-84AB-41A6-972A-2CB74E450302}"/>
    <cellStyle name="Normal 11 2 6 5" xfId="1318" xr:uid="{3A9E2A87-4F26-481F-8B45-2F23F4A709F1}"/>
    <cellStyle name="Normal 11 2 6 5 2" xfId="4472" xr:uid="{2BBFF554-CD6D-41C1-9AF8-BC66EE8F790D}"/>
    <cellStyle name="Normal 11 2 6 5 2 2" xfId="10765" xr:uid="{09A45C4B-E765-4A7B-B601-2CEC534E914C}"/>
    <cellStyle name="Normal 11 2 6 5 2 2 2" xfId="23447" xr:uid="{A5792A30-58C5-4629-8216-F0E7F69A0CF0}"/>
    <cellStyle name="Normal 11 2 6 5 2 2 2 2" xfId="48939" xr:uid="{047FFBAD-93A5-4D00-A084-D72590ECC893}"/>
    <cellStyle name="Normal 11 2 6 5 2 2 3" xfId="36348" xr:uid="{6A3E3D71-1981-4D2D-96E1-4F826D1FECFF}"/>
    <cellStyle name="Normal 11 2 6 5 2 3" xfId="17169" xr:uid="{88319B3A-32B6-437D-99EB-564BB286791A}"/>
    <cellStyle name="Normal 11 2 6 5 2 3 2" xfId="42661" xr:uid="{71D490C8-43C0-4C54-8021-F7A5D2625768}"/>
    <cellStyle name="Normal 11 2 6 5 2 4" xfId="30070" xr:uid="{18586C10-D089-493F-A6A0-648C277435A6}"/>
    <cellStyle name="Normal 11 2 6 5 3" xfId="7626" xr:uid="{AA301140-C3B0-4EDF-8581-9017CF99059A}"/>
    <cellStyle name="Normal 11 2 6 5 3 2" xfId="20308" xr:uid="{6E79BADB-03ED-424C-A10E-FE4637C23C06}"/>
    <cellStyle name="Normal 11 2 6 5 3 2 2" xfId="45800" xr:uid="{7A0E78BB-7F5D-47CB-8FE9-B385D85A05FD}"/>
    <cellStyle name="Normal 11 2 6 5 3 3" xfId="33209" xr:uid="{9FB8ADF3-AAF4-4549-99BC-60D88F6984B7}"/>
    <cellStyle name="Normal 11 2 6 5 4" xfId="14030" xr:uid="{FC1515DE-6A78-48D8-BC8A-B29E0EED8EF3}"/>
    <cellStyle name="Normal 11 2 6 5 4 2" xfId="39522" xr:uid="{504AAAD6-49F7-455F-BC15-15C50577797D}"/>
    <cellStyle name="Normal 11 2 6 5 5" xfId="26931" xr:uid="{0EA696DD-A2DB-46DA-877B-90FCE0F27294}"/>
    <cellStyle name="Normal 11 2 6 6" xfId="2625" xr:uid="{7F5B86BA-6184-4A39-8D89-5D5C608D490D}"/>
    <cellStyle name="Normal 11 2 6 6 2" xfId="5779" xr:uid="{2627E4BB-D421-4153-AE06-48A3440BA63E}"/>
    <cellStyle name="Normal 11 2 6 6 2 2" xfId="12072" xr:uid="{F10EDC28-BFE2-4FFF-91F8-9DD0CE9332C7}"/>
    <cellStyle name="Normal 11 2 6 6 2 2 2" xfId="24754" xr:uid="{1E18D95E-392C-446B-8230-066795F9C92F}"/>
    <cellStyle name="Normal 11 2 6 6 2 2 2 2" xfId="50246" xr:uid="{1619A0DE-67D3-4878-8400-4868C7759FFF}"/>
    <cellStyle name="Normal 11 2 6 6 2 2 3" xfId="37655" xr:uid="{8ADE5E47-AD5A-4C34-B546-043D803F8A5E}"/>
    <cellStyle name="Normal 11 2 6 6 2 3" xfId="18476" xr:uid="{6B6B3A37-95FC-4C10-B718-0A7614B3DA4F}"/>
    <cellStyle name="Normal 11 2 6 6 2 3 2" xfId="43968" xr:uid="{F60358BF-671D-4770-9551-390AEE92EA38}"/>
    <cellStyle name="Normal 11 2 6 6 2 4" xfId="31377" xr:uid="{81321778-EBE0-4AF6-A4B6-9B44139A114A}"/>
    <cellStyle name="Normal 11 2 6 6 3" xfId="8933" xr:uid="{5823FE1E-05C3-4FC5-A4B1-FE46BADAF1BD}"/>
    <cellStyle name="Normal 11 2 6 6 3 2" xfId="21615" xr:uid="{BF0E68FB-76F9-4C63-A2C5-DCC2FCD09D49}"/>
    <cellStyle name="Normal 11 2 6 6 3 2 2" xfId="47107" xr:uid="{F5ABE0DE-C45F-4399-ACA6-5066A12AB11D}"/>
    <cellStyle name="Normal 11 2 6 6 3 3" xfId="34516" xr:uid="{3FA90196-B98F-4C0C-B77E-BCF910B8D53E}"/>
    <cellStyle name="Normal 11 2 6 6 4" xfId="15337" xr:uid="{B257226A-237C-4C47-BCF5-817BBE92B632}"/>
    <cellStyle name="Normal 11 2 6 6 4 2" xfId="40829" xr:uid="{742CC213-F0DB-46E5-BE89-5C9525EBC30C}"/>
    <cellStyle name="Normal 11 2 6 6 5" xfId="28238" xr:uid="{58D549CC-8DC9-4901-A355-B1549391AB79}"/>
    <cellStyle name="Normal 11 2 6 7" xfId="3148" xr:uid="{64436A89-534A-4E40-8D0A-F0F7D891CB5B}"/>
    <cellStyle name="Normal 11 2 6 7 2" xfId="6302" xr:uid="{0ADD6855-21BC-4126-BD7B-894313650DB7}"/>
    <cellStyle name="Normal 11 2 6 7 2 2" xfId="12595" xr:uid="{3ABEE6F7-5733-43F8-9813-C39CC705E57D}"/>
    <cellStyle name="Normal 11 2 6 7 2 2 2" xfId="25277" xr:uid="{1ACCFCF7-66D6-4796-9CFE-6C0713D3642F}"/>
    <cellStyle name="Normal 11 2 6 7 2 2 2 2" xfId="50769" xr:uid="{09F222CD-D302-47D3-A6FE-102F258EE591}"/>
    <cellStyle name="Normal 11 2 6 7 2 2 3" xfId="38178" xr:uid="{97453145-09A2-4B53-86A3-6EBCFA724284}"/>
    <cellStyle name="Normal 11 2 6 7 2 3" xfId="18999" xr:uid="{CC0027E7-7C44-492E-84EC-8F4B73229DDE}"/>
    <cellStyle name="Normal 11 2 6 7 2 3 2" xfId="44491" xr:uid="{51CD62EE-D8BC-418F-AF92-9FFD70A6AEF9}"/>
    <cellStyle name="Normal 11 2 6 7 2 4" xfId="31900" xr:uid="{18C79DDD-AF8D-4E15-8C27-5C47E09134FF}"/>
    <cellStyle name="Normal 11 2 6 7 3" xfId="9456" xr:uid="{C8E837A3-2C13-424D-BA60-73945B8AD412}"/>
    <cellStyle name="Normal 11 2 6 7 3 2" xfId="22138" xr:uid="{12CB07B0-1256-4B7F-BD08-AC7D2636E2CB}"/>
    <cellStyle name="Normal 11 2 6 7 3 2 2" xfId="47630" xr:uid="{950B8993-F05F-4BAD-A8A2-F41844F658ED}"/>
    <cellStyle name="Normal 11 2 6 7 3 3" xfId="35039" xr:uid="{49E9EECF-DE0D-4849-9AA0-2318E4B7013B}"/>
    <cellStyle name="Normal 11 2 6 7 4" xfId="15860" xr:uid="{9CBC646B-3C03-4ABE-9503-13AE74EA0646}"/>
    <cellStyle name="Normal 11 2 6 7 4 2" xfId="41352" xr:uid="{0731D533-664B-4975-8A81-216B67800E8C}"/>
    <cellStyle name="Normal 11 2 6 7 5" xfId="28761" xr:uid="{D9DF35FF-121E-4B6E-8EF2-D2A9F468350F}"/>
    <cellStyle name="Normal 11 2 6 8" xfId="3687" xr:uid="{82BDBAFD-DFB8-4E4C-8620-AFF3BC7360E0}"/>
    <cellStyle name="Normal 11 2 6 8 2" xfId="9980" xr:uid="{0B41A5E6-1FB8-472F-AFBB-6FCD1E4E65C6}"/>
    <cellStyle name="Normal 11 2 6 8 2 2" xfId="22662" xr:uid="{26EA06B6-B06E-479D-AAD2-0562CED6F0B2}"/>
    <cellStyle name="Normal 11 2 6 8 2 2 2" xfId="48154" xr:uid="{DD0D0D9D-57AB-477F-95FE-00D5AB854F80}"/>
    <cellStyle name="Normal 11 2 6 8 2 3" xfId="35563" xr:uid="{45F97FDA-B030-4557-9B77-FB434F15FB19}"/>
    <cellStyle name="Normal 11 2 6 8 3" xfId="16384" xr:uid="{3C079C76-F8CE-43D7-B705-0AD8F1B84B42}"/>
    <cellStyle name="Normal 11 2 6 8 3 2" xfId="41876" xr:uid="{B92411B6-9951-4871-AA7A-9D0DFF3507E9}"/>
    <cellStyle name="Normal 11 2 6 8 4" xfId="29285" xr:uid="{F24DAF72-6967-4C0F-B9D1-C40D6BE1CD93}"/>
    <cellStyle name="Normal 11 2 6 9" xfId="6841" xr:uid="{3CC2B720-1F88-45C0-B5D9-A0920C3FD7DD}"/>
    <cellStyle name="Normal 11 2 6 9 2" xfId="19523" xr:uid="{B546632B-3F3E-430F-B396-CA339D3971CA}"/>
    <cellStyle name="Normal 11 2 6 9 2 2" xfId="45015" xr:uid="{4B176FBC-46AA-44C5-8B8F-26EECAFC35B4}"/>
    <cellStyle name="Normal 11 2 6 9 3" xfId="32424" xr:uid="{E0433A74-B725-4B35-88CB-B30FAA9E4A8B}"/>
    <cellStyle name="Normal 11 2 7" xfId="954" xr:uid="{3BD043F5-8DE1-4D17-937A-67A151889B41}"/>
    <cellStyle name="Normal 11 2 7 2" xfId="2261" xr:uid="{1D63351A-5171-4909-9F9F-C0F9FD7E75CE}"/>
    <cellStyle name="Normal 11 2 7 2 2" xfId="5415" xr:uid="{BA348236-C241-46BF-83CF-6AFD2DDA843F}"/>
    <cellStyle name="Normal 11 2 7 2 2 2" xfId="11708" xr:uid="{5627FEE6-3A99-4A8B-9E46-7D9DA5A07887}"/>
    <cellStyle name="Normal 11 2 7 2 2 2 2" xfId="24390" xr:uid="{0E6ACE9E-3A51-4AE2-BDAE-EA3914F39662}"/>
    <cellStyle name="Normal 11 2 7 2 2 2 2 2" xfId="49882" xr:uid="{205CB44C-0B77-45A5-B6A2-EF32FFF8E2CC}"/>
    <cellStyle name="Normal 11 2 7 2 2 2 3" xfId="37291" xr:uid="{CBC725E8-2E85-494D-9031-CB06F3E1FB4D}"/>
    <cellStyle name="Normal 11 2 7 2 2 3" xfId="18112" xr:uid="{4413B799-C5D5-4F1B-AABF-2C4CB9AF0C69}"/>
    <cellStyle name="Normal 11 2 7 2 2 3 2" xfId="43604" xr:uid="{28DD8716-34E9-49BA-83F9-7AC87A00B0C3}"/>
    <cellStyle name="Normal 11 2 7 2 2 4" xfId="31013" xr:uid="{539F3106-C9D4-4119-A764-F239ADDDF409}"/>
    <cellStyle name="Normal 11 2 7 2 3" xfId="8569" xr:uid="{130D0C1E-C7EC-4684-80CC-DCFD2CA835B8}"/>
    <cellStyle name="Normal 11 2 7 2 3 2" xfId="21251" xr:uid="{33FC9CFF-659B-4F5A-AB50-02C947DF78AC}"/>
    <cellStyle name="Normal 11 2 7 2 3 2 2" xfId="46743" xr:uid="{16FEC731-BDF7-49D3-9D3E-3214D779E67E}"/>
    <cellStyle name="Normal 11 2 7 2 3 3" xfId="34152" xr:uid="{EB2A67D1-8364-47EF-A6AA-8849DFA1E638}"/>
    <cellStyle name="Normal 11 2 7 2 4" xfId="14973" xr:uid="{F65FDE2C-3C36-4802-A39D-CCF63BE9CB9A}"/>
    <cellStyle name="Normal 11 2 7 2 4 2" xfId="40465" xr:uid="{BB2CF1B9-76D7-47AC-AE8F-4FC34E8B2D36}"/>
    <cellStyle name="Normal 11 2 7 2 5" xfId="27874" xr:uid="{9FA12104-708F-4A52-9030-8B074AD5C4DE}"/>
    <cellStyle name="Normal 11 2 7 3" xfId="1478" xr:uid="{8A5AB872-1EF7-41B1-9E1A-7706D0FABF89}"/>
    <cellStyle name="Normal 11 2 7 3 2" xfId="4632" xr:uid="{435E4564-418E-426C-98E0-1D6B355EEBED}"/>
    <cellStyle name="Normal 11 2 7 3 2 2" xfId="10925" xr:uid="{406B998A-E075-468D-ACD8-6FE62FE294B7}"/>
    <cellStyle name="Normal 11 2 7 3 2 2 2" xfId="23607" xr:uid="{FEC10685-5850-4A81-9B44-73E90109E248}"/>
    <cellStyle name="Normal 11 2 7 3 2 2 2 2" xfId="49099" xr:uid="{71481D82-DF90-491D-AD5D-B84128F9EC05}"/>
    <cellStyle name="Normal 11 2 7 3 2 2 3" xfId="36508" xr:uid="{F075C1C8-85AA-4D34-8336-53363822037C}"/>
    <cellStyle name="Normal 11 2 7 3 2 3" xfId="17329" xr:uid="{0F155074-F2A6-462C-946A-DC34781C728F}"/>
    <cellStyle name="Normal 11 2 7 3 2 3 2" xfId="42821" xr:uid="{8CF3AFF1-5CAC-491C-970F-14A60EBFC48F}"/>
    <cellStyle name="Normal 11 2 7 3 2 4" xfId="30230" xr:uid="{9301A5AE-EFBE-4E05-8F05-CBA43CE071BB}"/>
    <cellStyle name="Normal 11 2 7 3 3" xfId="7786" xr:uid="{0FA8932A-EB5C-4256-A62D-00289F9F9C89}"/>
    <cellStyle name="Normal 11 2 7 3 3 2" xfId="20468" xr:uid="{0960F295-304D-4430-B5B3-746FB61744E3}"/>
    <cellStyle name="Normal 11 2 7 3 3 2 2" xfId="45960" xr:uid="{EB8D32F6-FADC-48A2-94F9-FABBC6F584C3}"/>
    <cellStyle name="Normal 11 2 7 3 3 3" xfId="33369" xr:uid="{415A2500-4B1C-454A-88F4-2A2B2FC7B279}"/>
    <cellStyle name="Normal 11 2 7 3 4" xfId="14190" xr:uid="{D52589A5-F19C-4D03-A308-678ABA0A88E8}"/>
    <cellStyle name="Normal 11 2 7 3 4 2" xfId="39682" xr:uid="{294EDF4E-4981-4635-AB7F-A6792B863292}"/>
    <cellStyle name="Normal 11 2 7 3 5" xfId="27091" xr:uid="{CFB2BB03-6F0A-4FAC-A52C-889434383745}"/>
    <cellStyle name="Normal 11 2 7 4" xfId="2785" xr:uid="{BF000ABF-8DC1-4B11-A343-12E9DE5EB2AE}"/>
    <cellStyle name="Normal 11 2 7 4 2" xfId="5939" xr:uid="{6C96FF51-B0B9-43F4-BD05-5277D9DD5AF2}"/>
    <cellStyle name="Normal 11 2 7 4 2 2" xfId="12232" xr:uid="{41355C23-4905-4DBE-A84B-03BA53A22E3D}"/>
    <cellStyle name="Normal 11 2 7 4 2 2 2" xfId="24914" xr:uid="{00EAA719-7DDC-4997-AFE1-7798BB443225}"/>
    <cellStyle name="Normal 11 2 7 4 2 2 2 2" xfId="50406" xr:uid="{C7A7BC74-C97D-4C19-88BF-A64616799C28}"/>
    <cellStyle name="Normal 11 2 7 4 2 2 3" xfId="37815" xr:uid="{25586D7E-97F3-462C-9A78-E4C258775802}"/>
    <cellStyle name="Normal 11 2 7 4 2 3" xfId="18636" xr:uid="{D77C0016-B712-4E4F-98FD-365EB95D0488}"/>
    <cellStyle name="Normal 11 2 7 4 2 3 2" xfId="44128" xr:uid="{D8B95C51-340D-46D6-9A80-E5ED7C947B01}"/>
    <cellStyle name="Normal 11 2 7 4 2 4" xfId="31537" xr:uid="{110ACDDD-2C32-4A3D-93A1-F02479B4B695}"/>
    <cellStyle name="Normal 11 2 7 4 3" xfId="9093" xr:uid="{B897C82A-021B-4D27-866A-8F4139A3CFC3}"/>
    <cellStyle name="Normal 11 2 7 4 3 2" xfId="21775" xr:uid="{D1FE2643-00C9-4300-A7E9-3826C4E9B52D}"/>
    <cellStyle name="Normal 11 2 7 4 3 2 2" xfId="47267" xr:uid="{FEF6FC95-682C-4491-9E0A-2A46EDD6A470}"/>
    <cellStyle name="Normal 11 2 7 4 3 3" xfId="34676" xr:uid="{AB9DA11B-679B-47C7-B7D0-70A44CB21F61}"/>
    <cellStyle name="Normal 11 2 7 4 4" xfId="15497" xr:uid="{76679D41-B0E1-46A8-A20D-CBEBB603BBB2}"/>
    <cellStyle name="Normal 11 2 7 4 4 2" xfId="40989" xr:uid="{137C931D-F5F1-467D-B025-8CE6E0742204}"/>
    <cellStyle name="Normal 11 2 7 4 5" xfId="28398" xr:uid="{1C1EE8F3-509C-40AB-8F71-6C28F8AC51CE}"/>
    <cellStyle name="Normal 11 2 7 5" xfId="3308" xr:uid="{A90C23E3-08B7-4FAF-87EB-1B5E0F15CCEE}"/>
    <cellStyle name="Normal 11 2 7 5 2" xfId="6462" xr:uid="{92E7D3B7-EE12-4AF3-91D7-4E5BAD1F4E2D}"/>
    <cellStyle name="Normal 11 2 7 5 2 2" xfId="12755" xr:uid="{00733BD7-12D6-4133-A264-2126C6AF07BC}"/>
    <cellStyle name="Normal 11 2 7 5 2 2 2" xfId="25437" xr:uid="{8D215276-8160-4ED9-8535-DC5D2B079A39}"/>
    <cellStyle name="Normal 11 2 7 5 2 2 2 2" xfId="50929" xr:uid="{297DA3B0-1DB3-4B31-AF2F-D34BA6C454E4}"/>
    <cellStyle name="Normal 11 2 7 5 2 2 3" xfId="38338" xr:uid="{EDF00BE6-0F3C-4224-98B7-BEB28B26DCCA}"/>
    <cellStyle name="Normal 11 2 7 5 2 3" xfId="19159" xr:uid="{27EE4D7B-53D5-434D-9D66-18E2B14F451B}"/>
    <cellStyle name="Normal 11 2 7 5 2 3 2" xfId="44651" xr:uid="{959890F1-9DC3-4051-B3F5-C4158C75D11D}"/>
    <cellStyle name="Normal 11 2 7 5 2 4" xfId="32060" xr:uid="{A0FCAF73-1E1D-4E81-BB28-636A691E67B2}"/>
    <cellStyle name="Normal 11 2 7 5 3" xfId="9616" xr:uid="{33C55B94-38B9-4098-B294-C0A896B758C3}"/>
    <cellStyle name="Normal 11 2 7 5 3 2" xfId="22298" xr:uid="{06CEC483-D734-4173-837A-01B7CCE2A47D}"/>
    <cellStyle name="Normal 11 2 7 5 3 2 2" xfId="47790" xr:uid="{4EBCC0B6-C444-499C-A8CE-49C90DFECEF6}"/>
    <cellStyle name="Normal 11 2 7 5 3 3" xfId="35199" xr:uid="{B505D3AF-98BF-4204-96DF-526C223FDEBE}"/>
    <cellStyle name="Normal 11 2 7 5 4" xfId="16020" xr:uid="{F0A6674B-C4E4-45C5-BF83-390CBC336CCA}"/>
    <cellStyle name="Normal 11 2 7 5 4 2" xfId="41512" xr:uid="{BF6FFF0C-1770-4B4B-ABD0-8118225CE97A}"/>
    <cellStyle name="Normal 11 2 7 5 5" xfId="28921" xr:uid="{315A3000-B656-400E-9DE1-FF64779D6D83}"/>
    <cellStyle name="Normal 11 2 7 6" xfId="4108" xr:uid="{95F3B1EB-70C7-4A3A-A60F-F6FA0CE3A3EF}"/>
    <cellStyle name="Normal 11 2 7 6 2" xfId="10401" xr:uid="{D6977605-401E-43CB-9F62-B7E4D424E32F}"/>
    <cellStyle name="Normal 11 2 7 6 2 2" xfId="23083" xr:uid="{CE40B1BE-2DAC-47A0-9BF5-67CBEE25A067}"/>
    <cellStyle name="Normal 11 2 7 6 2 2 2" xfId="48575" xr:uid="{AA90B80E-EBBE-44C7-9DD0-34454E3C8701}"/>
    <cellStyle name="Normal 11 2 7 6 2 3" xfId="35984" xr:uid="{24787F0A-4005-422F-8DAE-C23DD6C7915D}"/>
    <cellStyle name="Normal 11 2 7 6 3" xfId="16805" xr:uid="{381F71A6-ECE9-41FB-9F1E-46C5BD5ADAF6}"/>
    <cellStyle name="Normal 11 2 7 6 3 2" xfId="42297" xr:uid="{89BE003A-5BDF-487B-9A33-12B4FDC61028}"/>
    <cellStyle name="Normal 11 2 7 6 4" xfId="29706" xr:uid="{2D5D2E3F-3150-4592-9C3A-2A3847136FE3}"/>
    <cellStyle name="Normal 11 2 7 7" xfId="7262" xr:uid="{EFBF4AD6-3C48-46A7-9227-00909FB0F291}"/>
    <cellStyle name="Normal 11 2 7 7 2" xfId="19944" xr:uid="{3FA88E97-645D-4644-8F91-754D0D03E40C}"/>
    <cellStyle name="Normal 11 2 7 7 2 2" xfId="45436" xr:uid="{F755E9EF-76B3-4EFE-9F09-A786A6245FD8}"/>
    <cellStyle name="Normal 11 2 7 7 3" xfId="32845" xr:uid="{748DCC87-B34E-4AB6-98BD-250A14B8BEC5}"/>
    <cellStyle name="Normal 11 2 7 8" xfId="13666" xr:uid="{00998B37-3D40-4A54-9878-8194B97C5882}"/>
    <cellStyle name="Normal 11 2 7 8 2" xfId="39158" xr:uid="{EFDBE96B-3E4B-4857-BB6B-AF578CFDA7EF}"/>
    <cellStyle name="Normal 11 2 7 9" xfId="26567" xr:uid="{DF4941D3-38DE-40AF-ACBB-5049B968923A}"/>
    <cellStyle name="Normal 11 2 8" xfId="694" xr:uid="{3CDBBC7A-EFFB-452A-A48E-48737FB586E8}"/>
    <cellStyle name="Normal 11 2 8 2" xfId="2001" xr:uid="{785817DC-4478-41D4-B317-F9DF3F1213F7}"/>
    <cellStyle name="Normal 11 2 8 2 2" xfId="5155" xr:uid="{CAF5CFF3-2129-4F25-BA9F-0C4943830A5D}"/>
    <cellStyle name="Normal 11 2 8 2 2 2" xfId="11448" xr:uid="{5BDD63DE-168E-41DC-922F-DEEB814DEB0C}"/>
    <cellStyle name="Normal 11 2 8 2 2 2 2" xfId="24130" xr:uid="{0668AAA8-8C3A-465C-9DFB-D7A171CCDB74}"/>
    <cellStyle name="Normal 11 2 8 2 2 2 2 2" xfId="49622" xr:uid="{7A55304D-1E11-49FF-90F9-28878331459B}"/>
    <cellStyle name="Normal 11 2 8 2 2 2 3" xfId="37031" xr:uid="{86225B3B-6293-419E-A328-B1DBF9414980}"/>
    <cellStyle name="Normal 11 2 8 2 2 3" xfId="17852" xr:uid="{733957AE-23C3-4277-AA3A-D26BDE3FFED0}"/>
    <cellStyle name="Normal 11 2 8 2 2 3 2" xfId="43344" xr:uid="{E347E355-6F3B-43C7-887B-E7D07877399D}"/>
    <cellStyle name="Normal 11 2 8 2 2 4" xfId="30753" xr:uid="{B8F9CE19-EA22-4F26-AC9F-1A4DCA3877AC}"/>
    <cellStyle name="Normal 11 2 8 2 3" xfId="8309" xr:uid="{0BC1FA96-D573-45B0-8961-C55EE6B66404}"/>
    <cellStyle name="Normal 11 2 8 2 3 2" xfId="20991" xr:uid="{C5047B5C-17F2-41DD-8402-C74D55C783DE}"/>
    <cellStyle name="Normal 11 2 8 2 3 2 2" xfId="46483" xr:uid="{C1EA08AD-E99D-4B6F-9243-3C3D743E38A0}"/>
    <cellStyle name="Normal 11 2 8 2 3 3" xfId="33892" xr:uid="{57A3A35C-A34A-43E3-859B-FBF65BBAF4CC}"/>
    <cellStyle name="Normal 11 2 8 2 4" xfId="14713" xr:uid="{0B3C9BAD-3422-4D96-A0D8-FEB8B4D87BCA}"/>
    <cellStyle name="Normal 11 2 8 2 4 2" xfId="40205" xr:uid="{B50F1751-D1FD-4973-8EB8-AA66C7CC98D9}"/>
    <cellStyle name="Normal 11 2 8 2 5" xfId="27614" xr:uid="{2605C271-EAC9-41A3-B76E-3FA5D3F9E61B}"/>
    <cellStyle name="Normal 11 2 8 3" xfId="3848" xr:uid="{48BE88DC-D6A5-4689-87B3-B6E17505FB48}"/>
    <cellStyle name="Normal 11 2 8 3 2" xfId="10141" xr:uid="{A5BDE29B-B4AE-4D5D-A720-9A9FFB1C4868}"/>
    <cellStyle name="Normal 11 2 8 3 2 2" xfId="22823" xr:uid="{2E7591C7-4631-4E45-BB54-8FB4847EE278}"/>
    <cellStyle name="Normal 11 2 8 3 2 2 2" xfId="48315" xr:uid="{4D75CF6A-D8EF-46CB-8851-F2363C3A973B}"/>
    <cellStyle name="Normal 11 2 8 3 2 3" xfId="35724" xr:uid="{A3CEEBDE-E563-4A03-8272-DACAC2413301}"/>
    <cellStyle name="Normal 11 2 8 3 3" xfId="16545" xr:uid="{6AAB185A-7FF0-4C20-A642-8DEC16A909AA}"/>
    <cellStyle name="Normal 11 2 8 3 3 2" xfId="42037" xr:uid="{977933A2-4E24-43D8-AEC9-4164A6DE865E}"/>
    <cellStyle name="Normal 11 2 8 3 4" xfId="29446" xr:uid="{E2DEBB67-DA9F-4819-8335-DAC89503ACC1}"/>
    <cellStyle name="Normal 11 2 8 4" xfId="7002" xr:uid="{E9993813-47DB-4827-801B-622227A40E94}"/>
    <cellStyle name="Normal 11 2 8 4 2" xfId="19684" xr:uid="{A2543FC1-4733-4F01-8FA8-0B48CD11D712}"/>
    <cellStyle name="Normal 11 2 8 4 2 2" xfId="45176" xr:uid="{0B007C88-8FA7-4CBE-855F-58080DEA05C9}"/>
    <cellStyle name="Normal 11 2 8 4 3" xfId="32585" xr:uid="{126BC026-9054-4C24-97DB-8B312FF58B07}"/>
    <cellStyle name="Normal 11 2 8 5" xfId="13406" xr:uid="{D6933628-AC21-4113-9001-3EA3785ABD22}"/>
    <cellStyle name="Normal 11 2 8 5 2" xfId="38898" xr:uid="{BB1014D9-2B6D-456E-BAC0-2B5551AB2860}"/>
    <cellStyle name="Normal 11 2 8 6" xfId="26307" xr:uid="{ECF41F0F-D336-4DC3-A921-6BD05E9747D9}"/>
    <cellStyle name="Normal 11 2 9" xfId="1739" xr:uid="{B23DA1D8-A9C8-4346-A32B-386345E59279}"/>
    <cellStyle name="Normal 11 2 9 2" xfId="4893" xr:uid="{2B1E14CE-0095-40D3-960D-0450E91744A4}"/>
    <cellStyle name="Normal 11 2 9 2 2" xfId="11186" xr:uid="{2753C49A-D550-44D9-A095-85C6431C6E47}"/>
    <cellStyle name="Normal 11 2 9 2 2 2" xfId="23868" xr:uid="{DE8352AD-7C09-4C73-B22A-2801FE2FC204}"/>
    <cellStyle name="Normal 11 2 9 2 2 2 2" xfId="49360" xr:uid="{72E958EE-B0D0-4E86-9E38-DA42235FADD3}"/>
    <cellStyle name="Normal 11 2 9 2 2 3" xfId="36769" xr:uid="{72C36678-EB6E-46DC-9AF3-C57AB507F07F}"/>
    <cellStyle name="Normal 11 2 9 2 3" xfId="17590" xr:uid="{082BEE54-9EC0-4388-97C2-ECB8F76A8449}"/>
    <cellStyle name="Normal 11 2 9 2 3 2" xfId="43082" xr:uid="{21D6A1AC-875D-4416-8043-7566DCFC5844}"/>
    <cellStyle name="Normal 11 2 9 2 4" xfId="30491" xr:uid="{DCDBCF93-71DF-454F-AA79-1C8B8E1DCD9C}"/>
    <cellStyle name="Normal 11 2 9 3" xfId="8047" xr:uid="{91404DFF-02F3-4AF7-B339-CD88065BA4A2}"/>
    <cellStyle name="Normal 11 2 9 3 2" xfId="20729" xr:uid="{3AA96F32-8802-4BB8-9C8E-318498A75D60}"/>
    <cellStyle name="Normal 11 2 9 3 2 2" xfId="46221" xr:uid="{4BF84E15-11EF-44F9-9853-6E7E5AD4AD25}"/>
    <cellStyle name="Normal 11 2 9 3 3" xfId="33630" xr:uid="{A87129E1-0353-46F2-8EDE-685B0ABDE182}"/>
    <cellStyle name="Normal 11 2 9 4" xfId="14451" xr:uid="{A93E11E2-2466-4718-B3F1-4A9F1060DFED}"/>
    <cellStyle name="Normal 11 2 9 4 2" xfId="39943" xr:uid="{962B8488-1E01-455F-B902-C16E0CC26DBA}"/>
    <cellStyle name="Normal 11 2 9 5" xfId="27352" xr:uid="{00862576-5684-4766-91B1-C49FDF099BAB}"/>
    <cellStyle name="Normal 11 20" xfId="364" xr:uid="{9C62994B-CC1A-430D-BFC1-4FB02078B2D3}"/>
    <cellStyle name="Normal 11 21" xfId="288" xr:uid="{9C30A444-180A-4F7F-AEA9-B26CC51EE2D1}"/>
    <cellStyle name="Normal 11 3" xfId="428" xr:uid="{AE4BEE03-F2A7-423D-95ED-0B3B37F0131D}"/>
    <cellStyle name="Normal 11 3 10" xfId="3058" xr:uid="{9B737EE0-1D2C-4C47-9049-E9902FC92792}"/>
    <cellStyle name="Normal 11 3 10 2" xfId="6212" xr:uid="{296CF5E1-4E2D-4445-957C-3C520C5E4839}"/>
    <cellStyle name="Normal 11 3 10 2 2" xfId="12505" xr:uid="{F4F375BE-5C8E-4D96-805E-E11B58F1BB2A}"/>
    <cellStyle name="Normal 11 3 10 2 2 2" xfId="25187" xr:uid="{2618F05A-9B14-4C1F-B8D6-ACBC446723D4}"/>
    <cellStyle name="Normal 11 3 10 2 2 2 2" xfId="50679" xr:uid="{F7E7281F-CF8A-44EE-A40E-9FCF8E91BD06}"/>
    <cellStyle name="Normal 11 3 10 2 2 3" xfId="38088" xr:uid="{C2EEE651-D3E6-4D5B-8506-85EEEFD7D3C4}"/>
    <cellStyle name="Normal 11 3 10 2 3" xfId="18909" xr:uid="{295959BF-DC11-4EAC-940E-2EB63D14ACCC}"/>
    <cellStyle name="Normal 11 3 10 2 3 2" xfId="44401" xr:uid="{DC43BBC1-3480-46BE-BEB8-D92F19316F25}"/>
    <cellStyle name="Normal 11 3 10 2 4" xfId="31810" xr:uid="{716449AC-BCD5-4561-A82B-ADFABF1DBA62}"/>
    <cellStyle name="Normal 11 3 10 3" xfId="9366" xr:uid="{B969BA80-E183-488C-884D-53D9BC69243B}"/>
    <cellStyle name="Normal 11 3 10 3 2" xfId="22048" xr:uid="{2E2BE410-B8BB-46B9-B1E2-F6CC4F0D4F5E}"/>
    <cellStyle name="Normal 11 3 10 3 2 2" xfId="47540" xr:uid="{C54EC791-9EAB-4B9B-84C7-8D48464043E9}"/>
    <cellStyle name="Normal 11 3 10 3 3" xfId="34949" xr:uid="{B29029E8-610F-436C-A46A-5A5AC58848D2}"/>
    <cellStyle name="Normal 11 3 10 4" xfId="15770" xr:uid="{EECCD5F1-21D7-4476-82EB-8686008E0EDE}"/>
    <cellStyle name="Normal 11 3 10 4 2" xfId="41262" xr:uid="{C428370B-233E-4ACF-97C6-86DE43AA2ECF}"/>
    <cellStyle name="Normal 11 3 10 5" xfId="28671" xr:uid="{092F884F-8154-4F50-9B6D-0ED7D2B074F5}"/>
    <cellStyle name="Normal 11 3 11" xfId="3597" xr:uid="{0971BC44-C826-4E2F-AA55-A2EF4CF33377}"/>
    <cellStyle name="Normal 11 3 11 2" xfId="9890" xr:uid="{7B1132CE-EB47-448E-8A07-34D18C49C7BB}"/>
    <cellStyle name="Normal 11 3 11 2 2" xfId="22572" xr:uid="{113EAF4D-730F-4DF3-B874-B12CAA65675F}"/>
    <cellStyle name="Normal 11 3 11 2 2 2" xfId="48064" xr:uid="{33512F94-CBBC-41CA-8D76-996C62EB66F0}"/>
    <cellStyle name="Normal 11 3 11 2 3" xfId="35473" xr:uid="{A2A2593D-D84F-4EA6-96EA-3E28E520B542}"/>
    <cellStyle name="Normal 11 3 11 3" xfId="16294" xr:uid="{FE088EF1-CB4E-4A39-AFA2-46DFF1BBB512}"/>
    <cellStyle name="Normal 11 3 11 3 2" xfId="41786" xr:uid="{5DF56505-BAF9-441F-BCB0-B26F2DE55D61}"/>
    <cellStyle name="Normal 11 3 11 4" xfId="29195" xr:uid="{6A75F09D-8664-45E1-99E0-965AC89AAEEF}"/>
    <cellStyle name="Normal 11 3 12" xfId="6751" xr:uid="{47E8329B-5EBE-473E-AA1F-D19DA8DDC853}"/>
    <cellStyle name="Normal 11 3 12 2" xfId="19433" xr:uid="{153D3B9C-17A7-45BE-A9CD-4A49469C0BE5}"/>
    <cellStyle name="Normal 11 3 12 2 2" xfId="44925" xr:uid="{D0AA0FA8-A4D9-4968-8616-5995B2956542}"/>
    <cellStyle name="Normal 11 3 12 3" xfId="32334" xr:uid="{F6E913A8-AA20-490A-AECF-185B597D2673}"/>
    <cellStyle name="Normal 11 3 13" xfId="13155" xr:uid="{57DCEF94-3FFD-4EED-B6C1-3830042553BF}"/>
    <cellStyle name="Normal 11 3 13 2" xfId="38647" xr:uid="{458FAEFC-9D7A-48A5-9D5F-39B50FC235AB}"/>
    <cellStyle name="Normal 11 3 14" xfId="26056" xr:uid="{7EFAD69A-E182-44A4-BDEE-2FC14049E2B6}"/>
    <cellStyle name="Normal 11 3 2" xfId="489" xr:uid="{B4901065-EDD1-4F81-A9C5-C9053777214D}"/>
    <cellStyle name="Normal 11 3 2 10" xfId="6812" xr:uid="{4267E66F-BD00-4E29-8AB3-7C22CB3F42F0}"/>
    <cellStyle name="Normal 11 3 2 10 2" xfId="19494" xr:uid="{234C8030-57FD-4CB7-9155-E2796D720E7B}"/>
    <cellStyle name="Normal 11 3 2 10 2 2" xfId="44986" xr:uid="{EC21A34D-1E4B-4385-9BDC-D9633A51C999}"/>
    <cellStyle name="Normal 11 3 2 10 3" xfId="32395" xr:uid="{A9164F90-8478-4A4F-8029-0EF203F1484E}"/>
    <cellStyle name="Normal 11 3 2 11" xfId="13216" xr:uid="{F475E229-2F4B-484D-8981-3AFBDEC1D11D}"/>
    <cellStyle name="Normal 11 3 2 11 2" xfId="38708" xr:uid="{D30523DD-4ED2-44C4-A820-6F31EF361245}"/>
    <cellStyle name="Normal 11 3 2 12" xfId="26117" xr:uid="{205A9B76-8B31-48A2-A06B-8A5D43D01938}"/>
    <cellStyle name="Normal 11 3 2 2" xfId="648" xr:uid="{771BBADB-6CBE-4D82-AE9A-A74B5E13F842}"/>
    <cellStyle name="Normal 11 3 2 2 10" xfId="13375" xr:uid="{30106948-98F1-4ED2-B925-AD2BBD1B420C}"/>
    <cellStyle name="Normal 11 3 2 2 10 2" xfId="38867" xr:uid="{FADFCC8F-EE6E-45D7-AAA2-1B8A49D74A36}"/>
    <cellStyle name="Normal 11 3 2 2 11" xfId="26276" xr:uid="{C6846900-568F-4993-8585-2E73134FB4A8}"/>
    <cellStyle name="Normal 11 3 2 2 2" xfId="1185" xr:uid="{5BEE09FE-DA86-4890-A675-F90755F2EF01}"/>
    <cellStyle name="Normal 11 3 2 2 2 2" xfId="2492" xr:uid="{5EEA3C7B-0E2B-4988-A126-39D6A3051AD0}"/>
    <cellStyle name="Normal 11 3 2 2 2 2 2" xfId="5646" xr:uid="{A23EAA3F-7CB2-4959-9AB2-D5988841C62D}"/>
    <cellStyle name="Normal 11 3 2 2 2 2 2 2" xfId="11939" xr:uid="{AED31B27-CF14-4055-A0AD-FC27CDB18327}"/>
    <cellStyle name="Normal 11 3 2 2 2 2 2 2 2" xfId="24621" xr:uid="{A6766177-A017-4723-8A08-9093E82E5402}"/>
    <cellStyle name="Normal 11 3 2 2 2 2 2 2 2 2" xfId="50113" xr:uid="{641BBF0E-6C17-48DB-A3A4-1F76CDC72728}"/>
    <cellStyle name="Normal 11 3 2 2 2 2 2 2 3" xfId="37522" xr:uid="{8F5D5C7B-DAAD-4563-BD7E-92E992599010}"/>
    <cellStyle name="Normal 11 3 2 2 2 2 2 3" xfId="18343" xr:uid="{7CFFB62D-5EDC-42AB-A01B-83F59BBF45D3}"/>
    <cellStyle name="Normal 11 3 2 2 2 2 2 3 2" xfId="43835" xr:uid="{A6BAB7D4-B3E8-40B3-8ABE-303919FBF325}"/>
    <cellStyle name="Normal 11 3 2 2 2 2 2 4" xfId="31244" xr:uid="{ABF5DE01-0D8E-49D5-AD66-0C26CFA9B843}"/>
    <cellStyle name="Normal 11 3 2 2 2 2 3" xfId="8800" xr:uid="{5DCD0422-51B4-4953-B74B-A42BB6FF9DF5}"/>
    <cellStyle name="Normal 11 3 2 2 2 2 3 2" xfId="21482" xr:uid="{9C9D00F7-86D8-4992-AAA3-7C2167DE1714}"/>
    <cellStyle name="Normal 11 3 2 2 2 2 3 2 2" xfId="46974" xr:uid="{7CD97A84-E5DC-425C-BA05-356C7F64DC93}"/>
    <cellStyle name="Normal 11 3 2 2 2 2 3 3" xfId="34383" xr:uid="{AC8D22F9-C62C-49D0-9ADB-0F176F644C73}"/>
    <cellStyle name="Normal 11 3 2 2 2 2 4" xfId="15204" xr:uid="{00E288A6-3D13-4D70-A20C-7E5F3A147B6A}"/>
    <cellStyle name="Normal 11 3 2 2 2 2 4 2" xfId="40696" xr:uid="{2566EEE9-234B-4FA0-AECA-FCE07B816482}"/>
    <cellStyle name="Normal 11 3 2 2 2 2 5" xfId="28105" xr:uid="{C1B3CC90-53A7-45AE-BAFD-B1C79CC9F9C7}"/>
    <cellStyle name="Normal 11 3 2 2 2 3" xfId="1709" xr:uid="{D390E8BF-0E3A-4F25-A88A-A4AD9E3448F1}"/>
    <cellStyle name="Normal 11 3 2 2 2 3 2" xfId="4863" xr:uid="{BDAC4C49-CA17-4112-9659-DC57387C0A79}"/>
    <cellStyle name="Normal 11 3 2 2 2 3 2 2" xfId="11156" xr:uid="{A28FEF5E-907E-45E6-A867-E877A7FDD9E9}"/>
    <cellStyle name="Normal 11 3 2 2 2 3 2 2 2" xfId="23838" xr:uid="{9CCB878F-DC53-4024-9274-24EA379DE11C}"/>
    <cellStyle name="Normal 11 3 2 2 2 3 2 2 2 2" xfId="49330" xr:uid="{3D9E191D-EC32-45B5-B355-D129AEAC57E8}"/>
    <cellStyle name="Normal 11 3 2 2 2 3 2 2 3" xfId="36739" xr:uid="{DD9E7CB6-EEAA-460D-8D96-FAE84BD74E41}"/>
    <cellStyle name="Normal 11 3 2 2 2 3 2 3" xfId="17560" xr:uid="{F708BFBA-4123-4F43-919F-2C8F1CE72683}"/>
    <cellStyle name="Normal 11 3 2 2 2 3 2 3 2" xfId="43052" xr:uid="{EA386E73-E76C-4D61-BED2-470FA6D8BE48}"/>
    <cellStyle name="Normal 11 3 2 2 2 3 2 4" xfId="30461" xr:uid="{B2B107DA-ED77-4BDD-A32E-8F1AADA752E4}"/>
    <cellStyle name="Normal 11 3 2 2 2 3 3" xfId="8017" xr:uid="{84E1F146-6D8B-4322-B59A-AC84D749956C}"/>
    <cellStyle name="Normal 11 3 2 2 2 3 3 2" xfId="20699" xr:uid="{10614AC2-6E8E-4C9B-941E-9EB4ADA74D17}"/>
    <cellStyle name="Normal 11 3 2 2 2 3 3 2 2" xfId="46191" xr:uid="{857846EA-94B1-46ED-8439-C0295A55DCCC}"/>
    <cellStyle name="Normal 11 3 2 2 2 3 3 3" xfId="33600" xr:uid="{59D7AAD1-C437-463B-980E-663039EA7165}"/>
    <cellStyle name="Normal 11 3 2 2 2 3 4" xfId="14421" xr:uid="{CF019F7F-5090-4D73-8C3E-FE8645C963C0}"/>
    <cellStyle name="Normal 11 3 2 2 2 3 4 2" xfId="39913" xr:uid="{86020E94-FE2A-4BFC-9810-291EE3887AE4}"/>
    <cellStyle name="Normal 11 3 2 2 2 3 5" xfId="27322" xr:uid="{FA5AA7C0-517C-48D6-B83A-AB378365AEA6}"/>
    <cellStyle name="Normal 11 3 2 2 2 4" xfId="3016" xr:uid="{8DC83A61-AE84-4F70-B8D7-7E7078A470F0}"/>
    <cellStyle name="Normal 11 3 2 2 2 4 2" xfId="6170" xr:uid="{9F53328B-800E-4826-962E-4F1416B9FC3D}"/>
    <cellStyle name="Normal 11 3 2 2 2 4 2 2" xfId="12463" xr:uid="{8F5772C1-84EE-471A-9528-1D54E3F06022}"/>
    <cellStyle name="Normal 11 3 2 2 2 4 2 2 2" xfId="25145" xr:uid="{D23BA8BD-361A-4821-91AB-7BC6B9D4A853}"/>
    <cellStyle name="Normal 11 3 2 2 2 4 2 2 2 2" xfId="50637" xr:uid="{1791CEE2-D19B-4D56-8309-1DB8FECA2944}"/>
    <cellStyle name="Normal 11 3 2 2 2 4 2 2 3" xfId="38046" xr:uid="{300FA42A-7418-489C-B4A0-B8325B8A29C3}"/>
    <cellStyle name="Normal 11 3 2 2 2 4 2 3" xfId="18867" xr:uid="{4C78ACDB-132A-4F0F-903E-C7860AFAB60B}"/>
    <cellStyle name="Normal 11 3 2 2 2 4 2 3 2" xfId="44359" xr:uid="{2A0E8B0D-4E6D-4E61-B1B1-E39FB5E8F329}"/>
    <cellStyle name="Normal 11 3 2 2 2 4 2 4" xfId="31768" xr:uid="{9F844FFD-F40F-4004-B173-E8F63A9AA20D}"/>
    <cellStyle name="Normal 11 3 2 2 2 4 3" xfId="9324" xr:uid="{0D3A58A5-ED58-4A4C-A470-1BD7481B8FD3}"/>
    <cellStyle name="Normal 11 3 2 2 2 4 3 2" xfId="22006" xr:uid="{3DBC75E9-2BBB-4F2F-8D79-A89F93815D50}"/>
    <cellStyle name="Normal 11 3 2 2 2 4 3 2 2" xfId="47498" xr:uid="{086DCA1B-462B-4851-954A-E374B4AD96DE}"/>
    <cellStyle name="Normal 11 3 2 2 2 4 3 3" xfId="34907" xr:uid="{5D4FA309-FB4C-49A5-85EA-7CA2137F3D1C}"/>
    <cellStyle name="Normal 11 3 2 2 2 4 4" xfId="15728" xr:uid="{EF8ED436-71F2-4F2D-B8AE-4294C0F95EFE}"/>
    <cellStyle name="Normal 11 3 2 2 2 4 4 2" xfId="41220" xr:uid="{2461E57E-42C3-4B21-BAEC-3C2A6D433ED5}"/>
    <cellStyle name="Normal 11 3 2 2 2 4 5" xfId="28629" xr:uid="{3D722194-D610-4348-B8C7-390C6D3E77DA}"/>
    <cellStyle name="Normal 11 3 2 2 2 5" xfId="3539" xr:uid="{D8D3D3BF-CC65-4B70-BF56-C62B53D7D27F}"/>
    <cellStyle name="Normal 11 3 2 2 2 5 2" xfId="6693" xr:uid="{0248B03B-407C-4405-BFA9-939CEF17ADE0}"/>
    <cellStyle name="Normal 11 3 2 2 2 5 2 2" xfId="12986" xr:uid="{AC0F228D-2DFB-45CB-813E-C26E7B4AA09C}"/>
    <cellStyle name="Normal 11 3 2 2 2 5 2 2 2" xfId="25668" xr:uid="{E3604B69-F66D-48EA-BFEE-34C8B8FA305B}"/>
    <cellStyle name="Normal 11 3 2 2 2 5 2 2 2 2" xfId="51160" xr:uid="{3BE01570-F6C4-4A78-8F34-782F19C6DF53}"/>
    <cellStyle name="Normal 11 3 2 2 2 5 2 2 3" xfId="38569" xr:uid="{687ABC0F-DEB8-4563-8FAD-3E3B2DFCE551}"/>
    <cellStyle name="Normal 11 3 2 2 2 5 2 3" xfId="19390" xr:uid="{3ED3389A-A3CF-48C7-A22B-46A48B04030C}"/>
    <cellStyle name="Normal 11 3 2 2 2 5 2 3 2" xfId="44882" xr:uid="{1F9C70E0-B12F-4515-ACB8-B323850CC588}"/>
    <cellStyle name="Normal 11 3 2 2 2 5 2 4" xfId="32291" xr:uid="{0ECE16BA-A947-4993-923C-672BDB5577A2}"/>
    <cellStyle name="Normal 11 3 2 2 2 5 3" xfId="9847" xr:uid="{43F9DE30-DCC7-44BB-8AF7-128942D71E8D}"/>
    <cellStyle name="Normal 11 3 2 2 2 5 3 2" xfId="22529" xr:uid="{748AF5B8-20F9-464A-9B67-76B2238EF9D5}"/>
    <cellStyle name="Normal 11 3 2 2 2 5 3 2 2" xfId="48021" xr:uid="{3B6BE440-CF79-4220-BBE5-88B10F2F103E}"/>
    <cellStyle name="Normal 11 3 2 2 2 5 3 3" xfId="35430" xr:uid="{D6142357-86DE-459D-94C8-1FD6F05959AC}"/>
    <cellStyle name="Normal 11 3 2 2 2 5 4" xfId="16251" xr:uid="{DE54D48A-CED1-4866-B202-382E651A1A5B}"/>
    <cellStyle name="Normal 11 3 2 2 2 5 4 2" xfId="41743" xr:uid="{BAEE77FF-2795-41F7-B108-B9B97EC2CD6A}"/>
    <cellStyle name="Normal 11 3 2 2 2 5 5" xfId="29152" xr:uid="{5EE3D454-B68E-471A-B965-D4498DFD4C5C}"/>
    <cellStyle name="Normal 11 3 2 2 2 6" xfId="4339" xr:uid="{C5FC674A-A077-4183-BC5F-E4CE2AE82C7C}"/>
    <cellStyle name="Normal 11 3 2 2 2 6 2" xfId="10632" xr:uid="{2A0362FB-3D40-4F63-8F2D-0D6C54BF2E34}"/>
    <cellStyle name="Normal 11 3 2 2 2 6 2 2" xfId="23314" xr:uid="{9FD408AE-30C7-4213-8688-87197CFD9ED4}"/>
    <cellStyle name="Normal 11 3 2 2 2 6 2 2 2" xfId="48806" xr:uid="{0AA3052B-C059-41B7-AC37-6D9FD00A7877}"/>
    <cellStyle name="Normal 11 3 2 2 2 6 2 3" xfId="36215" xr:uid="{86D2B109-DF6C-4155-AF68-6325A4B73D6F}"/>
    <cellStyle name="Normal 11 3 2 2 2 6 3" xfId="17036" xr:uid="{D1803B63-ED64-434F-AC91-42D3EEF11664}"/>
    <cellStyle name="Normal 11 3 2 2 2 6 3 2" xfId="42528" xr:uid="{13E02F62-3F6E-47C8-B35C-11BD2C85FDFA}"/>
    <cellStyle name="Normal 11 3 2 2 2 6 4" xfId="29937" xr:uid="{35B53C6E-DB19-430C-893B-64688DC0788F}"/>
    <cellStyle name="Normal 11 3 2 2 2 7" xfId="7493" xr:uid="{A8B691D5-5205-41C9-942D-FE0D445EDD7B}"/>
    <cellStyle name="Normal 11 3 2 2 2 7 2" xfId="20175" xr:uid="{7E4B107C-C83D-419E-B24C-2647D84650C5}"/>
    <cellStyle name="Normal 11 3 2 2 2 7 2 2" xfId="45667" xr:uid="{208E1FA1-5E03-4925-94AC-1BE33F9A0AB3}"/>
    <cellStyle name="Normal 11 3 2 2 2 7 3" xfId="33076" xr:uid="{E98B2895-29DA-422C-B46B-76D162DAF8BC}"/>
    <cellStyle name="Normal 11 3 2 2 2 8" xfId="13897" xr:uid="{3C069B6C-7EC4-43AF-80F6-0DCCC1D979D8}"/>
    <cellStyle name="Normal 11 3 2 2 2 8 2" xfId="39389" xr:uid="{E804DFB6-85D4-4B16-96B4-EA8B58EDF5BB}"/>
    <cellStyle name="Normal 11 3 2 2 2 9" xfId="26798" xr:uid="{1AC7FFC9-600B-4427-A733-E059DD083149}"/>
    <cellStyle name="Normal 11 3 2 2 3" xfId="925" xr:uid="{F2D9B16D-9EB0-4E18-8793-333F6444FF8D}"/>
    <cellStyle name="Normal 11 3 2 2 3 2" xfId="2232" xr:uid="{84A9A3CB-76F4-4E8E-BDE4-5DE08D52824B}"/>
    <cellStyle name="Normal 11 3 2 2 3 2 2" xfId="5386" xr:uid="{1AF9E4B4-DA59-4F01-99C0-75AB98F74947}"/>
    <cellStyle name="Normal 11 3 2 2 3 2 2 2" xfId="11679" xr:uid="{E9AC5960-3EEF-4057-8012-953CA7ADF0B4}"/>
    <cellStyle name="Normal 11 3 2 2 3 2 2 2 2" xfId="24361" xr:uid="{21B65A1B-B7C5-42C0-8E11-43723B1B05BA}"/>
    <cellStyle name="Normal 11 3 2 2 3 2 2 2 2 2" xfId="49853" xr:uid="{57513D4D-C7CC-419F-B625-EE8E2FC4EA77}"/>
    <cellStyle name="Normal 11 3 2 2 3 2 2 2 3" xfId="37262" xr:uid="{C0A44638-DAC1-47C2-AA50-729498A7EF4F}"/>
    <cellStyle name="Normal 11 3 2 2 3 2 2 3" xfId="18083" xr:uid="{1F44A7AA-A2D0-4EA7-BAB9-CABF68B0EF67}"/>
    <cellStyle name="Normal 11 3 2 2 3 2 2 3 2" xfId="43575" xr:uid="{F149EA4D-83B8-489D-B92B-044BDA776BE3}"/>
    <cellStyle name="Normal 11 3 2 2 3 2 2 4" xfId="30984" xr:uid="{67D5AA7C-0B81-401A-9214-28EE98115A34}"/>
    <cellStyle name="Normal 11 3 2 2 3 2 3" xfId="8540" xr:uid="{F2A6EA91-1773-40DD-8680-C36CC297EDB3}"/>
    <cellStyle name="Normal 11 3 2 2 3 2 3 2" xfId="21222" xr:uid="{4DF300B0-E9F2-4721-9BA8-34A4F5EBF15A}"/>
    <cellStyle name="Normal 11 3 2 2 3 2 3 2 2" xfId="46714" xr:uid="{6319E819-2699-474B-9F14-BC501E498C8F}"/>
    <cellStyle name="Normal 11 3 2 2 3 2 3 3" xfId="34123" xr:uid="{B7B7836C-1CBA-4E4F-940A-BAB9F6996A33}"/>
    <cellStyle name="Normal 11 3 2 2 3 2 4" xfId="14944" xr:uid="{673D6D3E-8DC0-4D0B-8BE6-F09AB86703B7}"/>
    <cellStyle name="Normal 11 3 2 2 3 2 4 2" xfId="40436" xr:uid="{9F6169ED-A02B-4988-B8D0-40DE7A34BE91}"/>
    <cellStyle name="Normal 11 3 2 2 3 2 5" xfId="27845" xr:uid="{61CAE967-C562-45A5-8848-455F2574E672}"/>
    <cellStyle name="Normal 11 3 2 2 3 3" xfId="4079" xr:uid="{05CBC424-EFDF-41AD-81BE-34532B71217A}"/>
    <cellStyle name="Normal 11 3 2 2 3 3 2" xfId="10372" xr:uid="{780D8BC3-83C6-4866-97E0-57C7232AFAA9}"/>
    <cellStyle name="Normal 11 3 2 2 3 3 2 2" xfId="23054" xr:uid="{68585D9C-BE65-4CA6-9FE7-12D4131DE5B7}"/>
    <cellStyle name="Normal 11 3 2 2 3 3 2 2 2" xfId="48546" xr:uid="{7102D822-6A96-4C49-95AC-6E0612DF2F07}"/>
    <cellStyle name="Normal 11 3 2 2 3 3 2 3" xfId="35955" xr:uid="{0DB3381F-456B-4969-B759-628022810693}"/>
    <cellStyle name="Normal 11 3 2 2 3 3 3" xfId="16776" xr:uid="{B984B20C-37F2-4141-832E-9A4884FDCF8B}"/>
    <cellStyle name="Normal 11 3 2 2 3 3 3 2" xfId="42268" xr:uid="{534213F1-38E5-492E-B175-9FD4C567FD23}"/>
    <cellStyle name="Normal 11 3 2 2 3 3 4" xfId="29677" xr:uid="{83393538-53D8-4CDC-9A62-875E828033C0}"/>
    <cellStyle name="Normal 11 3 2 2 3 4" xfId="7233" xr:uid="{ECFEE749-7050-4860-9C68-4C932558FE83}"/>
    <cellStyle name="Normal 11 3 2 2 3 4 2" xfId="19915" xr:uid="{9399374B-EF6E-4D9F-A23A-7D9E30835D43}"/>
    <cellStyle name="Normal 11 3 2 2 3 4 2 2" xfId="45407" xr:uid="{DCC7E0A0-396C-48FD-A468-41DBDBA3C7A1}"/>
    <cellStyle name="Normal 11 3 2 2 3 4 3" xfId="32816" xr:uid="{313B7699-19F6-4E04-863E-7C87B606CE17}"/>
    <cellStyle name="Normal 11 3 2 2 3 5" xfId="13637" xr:uid="{4F1E718D-4D1D-4FB1-BF10-A90CD77A50FA}"/>
    <cellStyle name="Normal 11 3 2 2 3 5 2" xfId="39129" xr:uid="{C835C93B-0A4A-42A3-98B5-614A73CD6736}"/>
    <cellStyle name="Normal 11 3 2 2 3 6" xfId="26538" xr:uid="{D51F1E52-AB96-4A96-AF96-F79EAE2C0504}"/>
    <cellStyle name="Normal 11 3 2 2 4" xfId="1970" xr:uid="{57756CD7-22C7-4673-A93B-E5C39F645284}"/>
    <cellStyle name="Normal 11 3 2 2 4 2" xfId="5124" xr:uid="{B37A49C2-498D-4067-B315-C6372971C6D6}"/>
    <cellStyle name="Normal 11 3 2 2 4 2 2" xfId="11417" xr:uid="{62ECAB52-08A2-44A0-8DC0-F559E22CF34F}"/>
    <cellStyle name="Normal 11 3 2 2 4 2 2 2" xfId="24099" xr:uid="{66E8C647-2AA5-4835-B125-4BA93B8E0150}"/>
    <cellStyle name="Normal 11 3 2 2 4 2 2 2 2" xfId="49591" xr:uid="{68FAE2B3-B4BC-4728-962D-2D829C700389}"/>
    <cellStyle name="Normal 11 3 2 2 4 2 2 3" xfId="37000" xr:uid="{74F8FCBF-1A00-4E98-B846-1F4311D6EDBA}"/>
    <cellStyle name="Normal 11 3 2 2 4 2 3" xfId="17821" xr:uid="{986FFB80-00C7-475B-AFF4-14F44656AB5B}"/>
    <cellStyle name="Normal 11 3 2 2 4 2 3 2" xfId="43313" xr:uid="{805121BC-3C32-4AAE-9409-5D145E9A6AFF}"/>
    <cellStyle name="Normal 11 3 2 2 4 2 4" xfId="30722" xr:uid="{0D04C3E9-B85E-4D42-B175-A28D322F40DB}"/>
    <cellStyle name="Normal 11 3 2 2 4 3" xfId="8278" xr:uid="{477A6905-8C0E-4D5E-ABE7-55763A2AF614}"/>
    <cellStyle name="Normal 11 3 2 2 4 3 2" xfId="20960" xr:uid="{963F1BA7-9CBC-4BAA-BFF3-7BE768E65A52}"/>
    <cellStyle name="Normal 11 3 2 2 4 3 2 2" xfId="46452" xr:uid="{101F6F52-C5D8-43A4-B9AF-DECCD3FB5793}"/>
    <cellStyle name="Normal 11 3 2 2 4 3 3" xfId="33861" xr:uid="{BAFBFEEF-4661-4E29-B89E-3DD8EA019EB6}"/>
    <cellStyle name="Normal 11 3 2 2 4 4" xfId="14682" xr:uid="{ADEFF9CD-F2C7-4DF4-8238-0FED0C2098E7}"/>
    <cellStyle name="Normal 11 3 2 2 4 4 2" xfId="40174" xr:uid="{2D6D123B-A2FD-4FDC-91B8-6873310ED917}"/>
    <cellStyle name="Normal 11 3 2 2 4 5" xfId="27583" xr:uid="{F1418084-3CE4-4ADA-BBC2-4515882A9877}"/>
    <cellStyle name="Normal 11 3 2 2 5" xfId="1448" xr:uid="{5343EA0E-B105-41C9-8688-844836DA2E30}"/>
    <cellStyle name="Normal 11 3 2 2 5 2" xfId="4602" xr:uid="{EDD063D2-278C-4DEE-BF34-7321F9B356B6}"/>
    <cellStyle name="Normal 11 3 2 2 5 2 2" xfId="10895" xr:uid="{38C81D41-EA39-4AAF-98DB-6A5114441039}"/>
    <cellStyle name="Normal 11 3 2 2 5 2 2 2" xfId="23577" xr:uid="{9B3A6132-0747-4850-92B6-1B432E93F9F3}"/>
    <cellStyle name="Normal 11 3 2 2 5 2 2 2 2" xfId="49069" xr:uid="{7A680ACF-D52B-49C0-8B92-370A305F7758}"/>
    <cellStyle name="Normal 11 3 2 2 5 2 2 3" xfId="36478" xr:uid="{829050BF-523B-4EF7-B3DC-80D2E8F499DE}"/>
    <cellStyle name="Normal 11 3 2 2 5 2 3" xfId="17299" xr:uid="{23872E85-980D-4806-B4DA-C71D16E91607}"/>
    <cellStyle name="Normal 11 3 2 2 5 2 3 2" xfId="42791" xr:uid="{9700D48E-D038-4AE2-842B-2357618B8EED}"/>
    <cellStyle name="Normal 11 3 2 2 5 2 4" xfId="30200" xr:uid="{80A52826-505E-4A20-95DC-BD3954F0F862}"/>
    <cellStyle name="Normal 11 3 2 2 5 3" xfId="7756" xr:uid="{6A41B197-B7CB-4E1F-A9EC-9DB629D9D15D}"/>
    <cellStyle name="Normal 11 3 2 2 5 3 2" xfId="20438" xr:uid="{AD244140-573B-4F11-B595-05E8D27D160F}"/>
    <cellStyle name="Normal 11 3 2 2 5 3 2 2" xfId="45930" xr:uid="{9AB674D4-A684-46A4-9E18-0FF80B624E13}"/>
    <cellStyle name="Normal 11 3 2 2 5 3 3" xfId="33339" xr:uid="{EF25F7B6-EFB5-4A06-8B1F-E563BC3866C2}"/>
    <cellStyle name="Normal 11 3 2 2 5 4" xfId="14160" xr:uid="{539CD31E-8C6B-473B-9DDF-D70198A6E210}"/>
    <cellStyle name="Normal 11 3 2 2 5 4 2" xfId="39652" xr:uid="{3A0D6351-50BF-421F-8D1B-637D5E254AF9}"/>
    <cellStyle name="Normal 11 3 2 2 5 5" xfId="27061" xr:uid="{02B8FED5-9CCB-4FBC-B019-3745BDC4B1C8}"/>
    <cellStyle name="Normal 11 3 2 2 6" xfId="2755" xr:uid="{B55C7E00-453D-4A15-93EB-D9E47A010025}"/>
    <cellStyle name="Normal 11 3 2 2 6 2" xfId="5909" xr:uid="{B72DBF84-3D46-48E2-9A53-F5B18349F94D}"/>
    <cellStyle name="Normal 11 3 2 2 6 2 2" xfId="12202" xr:uid="{27B29EB6-D64B-4DB2-AABE-8C8504120B9A}"/>
    <cellStyle name="Normal 11 3 2 2 6 2 2 2" xfId="24884" xr:uid="{A694E6DD-97A8-47BF-950A-5090DCA57700}"/>
    <cellStyle name="Normal 11 3 2 2 6 2 2 2 2" xfId="50376" xr:uid="{1F8C106C-4C56-42BC-BDB2-585818173E93}"/>
    <cellStyle name="Normal 11 3 2 2 6 2 2 3" xfId="37785" xr:uid="{16E7A651-506C-40EC-BEE3-38B229545727}"/>
    <cellStyle name="Normal 11 3 2 2 6 2 3" xfId="18606" xr:uid="{D24B3FCA-806E-42E9-8E1C-27C26DCADE5A}"/>
    <cellStyle name="Normal 11 3 2 2 6 2 3 2" xfId="44098" xr:uid="{46A4E24C-EB59-44A7-86E8-D9375B90D2D9}"/>
    <cellStyle name="Normal 11 3 2 2 6 2 4" xfId="31507" xr:uid="{4F3083CB-ABBE-47FC-B016-D0A1857DB65A}"/>
    <cellStyle name="Normal 11 3 2 2 6 3" xfId="9063" xr:uid="{900E4174-9D25-424A-A7B0-445FB59ADBA2}"/>
    <cellStyle name="Normal 11 3 2 2 6 3 2" xfId="21745" xr:uid="{D831B9CB-1517-4908-ACA0-28CEB5BED75D}"/>
    <cellStyle name="Normal 11 3 2 2 6 3 2 2" xfId="47237" xr:uid="{E19500C7-E30B-4D09-961C-36C67F31C130}"/>
    <cellStyle name="Normal 11 3 2 2 6 3 3" xfId="34646" xr:uid="{8C0F784F-973D-4AB5-B7BA-7D8B58EC453D}"/>
    <cellStyle name="Normal 11 3 2 2 6 4" xfId="15467" xr:uid="{2C955D0E-4A2B-4082-A822-6A2895BF7A8B}"/>
    <cellStyle name="Normal 11 3 2 2 6 4 2" xfId="40959" xr:uid="{EA460DC8-7596-48D9-BBC5-F989F0820ED4}"/>
    <cellStyle name="Normal 11 3 2 2 6 5" xfId="28368" xr:uid="{B918D593-6ECC-4BAF-A084-72CC338A4F9B}"/>
    <cellStyle name="Normal 11 3 2 2 7" xfId="3278" xr:uid="{B78EE84A-5B4B-4B51-A35A-6139BEA24064}"/>
    <cellStyle name="Normal 11 3 2 2 7 2" xfId="6432" xr:uid="{216D50A4-7D9C-4886-92C2-513CD55E497D}"/>
    <cellStyle name="Normal 11 3 2 2 7 2 2" xfId="12725" xr:uid="{A148D567-4631-4781-95D1-CB68123D6D5E}"/>
    <cellStyle name="Normal 11 3 2 2 7 2 2 2" xfId="25407" xr:uid="{FE7871D5-75E9-454D-91E4-177795338299}"/>
    <cellStyle name="Normal 11 3 2 2 7 2 2 2 2" xfId="50899" xr:uid="{B7F8C6B4-4126-45A2-A6E1-A1028D51EA71}"/>
    <cellStyle name="Normal 11 3 2 2 7 2 2 3" xfId="38308" xr:uid="{9D25171C-9AF8-4CC0-9F60-296B1BC2C0E6}"/>
    <cellStyle name="Normal 11 3 2 2 7 2 3" xfId="19129" xr:uid="{256E8CFD-FE91-4FEF-BD78-CEC2591731DB}"/>
    <cellStyle name="Normal 11 3 2 2 7 2 3 2" xfId="44621" xr:uid="{A875CA7D-52CA-4565-8AF7-0EC20CDDB018}"/>
    <cellStyle name="Normal 11 3 2 2 7 2 4" xfId="32030" xr:uid="{1509CED2-8B2B-4925-9697-1991CF0E5D40}"/>
    <cellStyle name="Normal 11 3 2 2 7 3" xfId="9586" xr:uid="{7FAABF9B-AF0E-40F9-B6AF-4245C41596F9}"/>
    <cellStyle name="Normal 11 3 2 2 7 3 2" xfId="22268" xr:uid="{05AAD175-B49E-40BA-8E68-D7F4267723A8}"/>
    <cellStyle name="Normal 11 3 2 2 7 3 2 2" xfId="47760" xr:uid="{03D55F86-2E50-46E1-97A9-FA8E7FE69B02}"/>
    <cellStyle name="Normal 11 3 2 2 7 3 3" xfId="35169" xr:uid="{C525A838-C8A2-43AE-9D07-0A793CA65B2D}"/>
    <cellStyle name="Normal 11 3 2 2 7 4" xfId="15990" xr:uid="{16AE35BD-2F9C-48CF-AA54-F1737F2D6812}"/>
    <cellStyle name="Normal 11 3 2 2 7 4 2" xfId="41482" xr:uid="{4E7A2008-3A4C-4CAC-BEB1-8A42B34CFAE6}"/>
    <cellStyle name="Normal 11 3 2 2 7 5" xfId="28891" xr:uid="{D0C76F1E-068B-4828-8DF3-D1F2794B2B9B}"/>
    <cellStyle name="Normal 11 3 2 2 8" xfId="3817" xr:uid="{0E6DEF2F-6E69-4B60-A0C2-A19299D0F162}"/>
    <cellStyle name="Normal 11 3 2 2 8 2" xfId="10110" xr:uid="{C36B314B-0474-4090-B342-90848D0F21B9}"/>
    <cellStyle name="Normal 11 3 2 2 8 2 2" xfId="22792" xr:uid="{A0F198F2-B972-4748-9400-9EA62C07CE0C}"/>
    <cellStyle name="Normal 11 3 2 2 8 2 2 2" xfId="48284" xr:uid="{4D92B30D-276B-468C-AA6E-1E7F0AD2A080}"/>
    <cellStyle name="Normal 11 3 2 2 8 2 3" xfId="35693" xr:uid="{CBE1324F-F3FE-43F8-852C-63B9DD380965}"/>
    <cellStyle name="Normal 11 3 2 2 8 3" xfId="16514" xr:uid="{E69CD1F7-757E-4334-ABCF-4A2EBD824A5D}"/>
    <cellStyle name="Normal 11 3 2 2 8 3 2" xfId="42006" xr:uid="{21BD845B-FB35-4D1A-A73F-102621DC03D4}"/>
    <cellStyle name="Normal 11 3 2 2 8 4" xfId="29415" xr:uid="{B0390C1A-2367-4766-B5AF-1FD65A8A85E4}"/>
    <cellStyle name="Normal 11 3 2 2 9" xfId="6971" xr:uid="{D62B5D2B-1CC7-470E-A490-43B83C132A17}"/>
    <cellStyle name="Normal 11 3 2 2 9 2" xfId="19653" xr:uid="{5EA1203E-D46F-4C82-A941-743645555E60}"/>
    <cellStyle name="Normal 11 3 2 2 9 2 2" xfId="45145" xr:uid="{5CEFA00B-BAAD-4EC7-8805-944E92B86D02}"/>
    <cellStyle name="Normal 11 3 2 2 9 3" xfId="32554" xr:uid="{B7EEE2EF-19DC-44E8-BEFF-45F88144D160}"/>
    <cellStyle name="Normal 11 3 2 3" xfId="1026" xr:uid="{863C0EF7-406A-4FCA-BEB4-CE103D55ADC4}"/>
    <cellStyle name="Normal 11 3 2 3 2" xfId="2333" xr:uid="{993BF233-58E2-4A66-A829-DDB55CBAA429}"/>
    <cellStyle name="Normal 11 3 2 3 2 2" xfId="5487" xr:uid="{0AB68296-F7B0-48B3-A90E-8A2584C21BC0}"/>
    <cellStyle name="Normal 11 3 2 3 2 2 2" xfId="11780" xr:uid="{D0D12DFB-F9AC-4AA7-8C89-917575AB0B63}"/>
    <cellStyle name="Normal 11 3 2 3 2 2 2 2" xfId="24462" xr:uid="{1D0818EB-DB4F-47C3-8115-744AC82707BE}"/>
    <cellStyle name="Normal 11 3 2 3 2 2 2 2 2" xfId="49954" xr:uid="{768F7409-2684-4789-8C20-9F7AB41A64AB}"/>
    <cellStyle name="Normal 11 3 2 3 2 2 2 3" xfId="37363" xr:uid="{AE06C294-8174-49DE-B2A9-BBB9E5AE1BEE}"/>
    <cellStyle name="Normal 11 3 2 3 2 2 3" xfId="18184" xr:uid="{FA720414-6AC3-43B3-99C5-0DF00B51F830}"/>
    <cellStyle name="Normal 11 3 2 3 2 2 3 2" xfId="43676" xr:uid="{DAD8C495-A21A-4F1E-AAF2-132E99B34BE5}"/>
    <cellStyle name="Normal 11 3 2 3 2 2 4" xfId="31085" xr:uid="{0CFDEE09-8CFA-4D38-AAEC-C46E968D1B38}"/>
    <cellStyle name="Normal 11 3 2 3 2 3" xfId="8641" xr:uid="{FA31B226-A45A-4C46-8CF9-681559BFEB55}"/>
    <cellStyle name="Normal 11 3 2 3 2 3 2" xfId="21323" xr:uid="{68B185A0-0EB0-4B8B-BB78-8FE21CE0A9E7}"/>
    <cellStyle name="Normal 11 3 2 3 2 3 2 2" xfId="46815" xr:uid="{A9F69BC8-96E0-4B78-8488-88E63A04CBD5}"/>
    <cellStyle name="Normal 11 3 2 3 2 3 3" xfId="34224" xr:uid="{A68A2224-D6F0-4F0B-B0EE-76437D29CE47}"/>
    <cellStyle name="Normal 11 3 2 3 2 4" xfId="15045" xr:uid="{B379DF6A-1E0C-42B4-9909-F91B29827591}"/>
    <cellStyle name="Normal 11 3 2 3 2 4 2" xfId="40537" xr:uid="{7B24B276-5F6C-458D-BE54-038E717EE84D}"/>
    <cellStyle name="Normal 11 3 2 3 2 5" xfId="27946" xr:uid="{CFED8A75-80AC-402E-9462-FB03E040A4D1}"/>
    <cellStyle name="Normal 11 3 2 3 3" xfId="1550" xr:uid="{E6F90591-4B08-43FA-BC8F-DFE48FE298B8}"/>
    <cellStyle name="Normal 11 3 2 3 3 2" xfId="4704" xr:uid="{3D63E7D2-7205-42D0-9A2B-C8BC2F0D86D7}"/>
    <cellStyle name="Normal 11 3 2 3 3 2 2" xfId="10997" xr:uid="{4E24B792-9DC9-4967-8AB7-A553A0666B85}"/>
    <cellStyle name="Normal 11 3 2 3 3 2 2 2" xfId="23679" xr:uid="{5C2C3823-3A6B-4F95-B8AA-1EF4493FEAFA}"/>
    <cellStyle name="Normal 11 3 2 3 3 2 2 2 2" xfId="49171" xr:uid="{D49565FE-DDD7-4AD2-912D-E85063169BC1}"/>
    <cellStyle name="Normal 11 3 2 3 3 2 2 3" xfId="36580" xr:uid="{16387912-D3B9-480A-8587-5AEB740BAECB}"/>
    <cellStyle name="Normal 11 3 2 3 3 2 3" xfId="17401" xr:uid="{B85D4757-E535-4A82-81A0-88DE32C2BF10}"/>
    <cellStyle name="Normal 11 3 2 3 3 2 3 2" xfId="42893" xr:uid="{0FBEB749-4EAC-42C3-B5CF-9467C86CED43}"/>
    <cellStyle name="Normal 11 3 2 3 3 2 4" xfId="30302" xr:uid="{130F80F4-7F6F-4830-A471-AB88D2E34E0B}"/>
    <cellStyle name="Normal 11 3 2 3 3 3" xfId="7858" xr:uid="{D06078AC-7211-4756-B851-D88B68F83C09}"/>
    <cellStyle name="Normal 11 3 2 3 3 3 2" xfId="20540" xr:uid="{7C0FCB9B-E58D-4080-90FF-10BDF82AB272}"/>
    <cellStyle name="Normal 11 3 2 3 3 3 2 2" xfId="46032" xr:uid="{C23A6403-5279-4CBE-826C-F052DC355D79}"/>
    <cellStyle name="Normal 11 3 2 3 3 3 3" xfId="33441" xr:uid="{BA5C6EE7-C176-42C0-AC5F-0EA3A39AF86A}"/>
    <cellStyle name="Normal 11 3 2 3 3 4" xfId="14262" xr:uid="{B49B4584-5675-464B-BA39-B20A8752BD68}"/>
    <cellStyle name="Normal 11 3 2 3 3 4 2" xfId="39754" xr:uid="{F16793F0-A0EF-44EC-A300-613C9A82CA68}"/>
    <cellStyle name="Normal 11 3 2 3 3 5" xfId="27163" xr:uid="{E80EC608-0711-455D-A722-BA3C333D1CBD}"/>
    <cellStyle name="Normal 11 3 2 3 4" xfId="2857" xr:uid="{85A2F9B1-4304-4648-BFC1-9B9C2DD6D391}"/>
    <cellStyle name="Normal 11 3 2 3 4 2" xfId="6011" xr:uid="{ED5C1DDD-0E61-4B69-969D-6EF93A4F0FA1}"/>
    <cellStyle name="Normal 11 3 2 3 4 2 2" xfId="12304" xr:uid="{C423B635-66FE-4FC3-875A-6133D1A52B11}"/>
    <cellStyle name="Normal 11 3 2 3 4 2 2 2" xfId="24986" xr:uid="{92CAD35C-8FE4-4566-970F-3B24A4C3B8D6}"/>
    <cellStyle name="Normal 11 3 2 3 4 2 2 2 2" xfId="50478" xr:uid="{3F7812FF-C3C9-49A2-B483-98044EB2FDC1}"/>
    <cellStyle name="Normal 11 3 2 3 4 2 2 3" xfId="37887" xr:uid="{3F5CBA68-3151-4C22-92E4-9F115E431BD8}"/>
    <cellStyle name="Normal 11 3 2 3 4 2 3" xfId="18708" xr:uid="{D369F6A2-BD19-4A88-8313-A6976C0C9D27}"/>
    <cellStyle name="Normal 11 3 2 3 4 2 3 2" xfId="44200" xr:uid="{4A76722B-0BA0-447D-B7E7-1A46506B2368}"/>
    <cellStyle name="Normal 11 3 2 3 4 2 4" xfId="31609" xr:uid="{71F28002-3F44-4459-8967-44F84FC8401D}"/>
    <cellStyle name="Normal 11 3 2 3 4 3" xfId="9165" xr:uid="{157D1986-A60E-400E-83C3-01CD5C2511E9}"/>
    <cellStyle name="Normal 11 3 2 3 4 3 2" xfId="21847" xr:uid="{121AED77-F339-4550-9CC0-EA7DA7E152DD}"/>
    <cellStyle name="Normal 11 3 2 3 4 3 2 2" xfId="47339" xr:uid="{922A6071-E686-4C84-A94A-3E5F4F56B64A}"/>
    <cellStyle name="Normal 11 3 2 3 4 3 3" xfId="34748" xr:uid="{C545CD68-43F1-4EE4-BA95-09BCE755878F}"/>
    <cellStyle name="Normal 11 3 2 3 4 4" xfId="15569" xr:uid="{72E29BCF-67E0-48B8-ADE4-2520F7A014B9}"/>
    <cellStyle name="Normal 11 3 2 3 4 4 2" xfId="41061" xr:uid="{0019A014-5D74-41AD-BD38-EF479A361AD8}"/>
    <cellStyle name="Normal 11 3 2 3 4 5" xfId="28470" xr:uid="{4D9E4795-CA4F-4C93-A9DE-02E243B1EC2F}"/>
    <cellStyle name="Normal 11 3 2 3 5" xfId="3380" xr:uid="{427A586A-94EF-45B6-BB6F-44FFF8537043}"/>
    <cellStyle name="Normal 11 3 2 3 5 2" xfId="6534" xr:uid="{56B1F83C-1D92-4AF2-8D98-A1A4AD924671}"/>
    <cellStyle name="Normal 11 3 2 3 5 2 2" xfId="12827" xr:uid="{F870CBB3-9929-4115-9220-ED6C385EEF76}"/>
    <cellStyle name="Normal 11 3 2 3 5 2 2 2" xfId="25509" xr:uid="{9D40F50A-6D55-4890-9D2F-5319C91E88F6}"/>
    <cellStyle name="Normal 11 3 2 3 5 2 2 2 2" xfId="51001" xr:uid="{5880125D-39B1-43E0-8FED-ABA91AE43E20}"/>
    <cellStyle name="Normal 11 3 2 3 5 2 2 3" xfId="38410" xr:uid="{30A4A4F5-1926-4961-B5A4-906D8CBD820F}"/>
    <cellStyle name="Normal 11 3 2 3 5 2 3" xfId="19231" xr:uid="{E22C158C-7305-4460-9D90-796E06A904A6}"/>
    <cellStyle name="Normal 11 3 2 3 5 2 3 2" xfId="44723" xr:uid="{4FFF974B-609C-4999-A675-A09D22B2F2D8}"/>
    <cellStyle name="Normal 11 3 2 3 5 2 4" xfId="32132" xr:uid="{D934941D-7BD1-4E75-8186-52FB2CC34BEF}"/>
    <cellStyle name="Normal 11 3 2 3 5 3" xfId="9688" xr:uid="{A23C1FD1-D558-45F8-B393-BEF62FD86DAE}"/>
    <cellStyle name="Normal 11 3 2 3 5 3 2" xfId="22370" xr:uid="{1DFFF342-4ABE-4ADC-977E-AAF9ADEE8177}"/>
    <cellStyle name="Normal 11 3 2 3 5 3 2 2" xfId="47862" xr:uid="{759C06AB-4859-4D1D-A6ED-CB3F95D50F70}"/>
    <cellStyle name="Normal 11 3 2 3 5 3 3" xfId="35271" xr:uid="{5AF4E85E-161E-4B8A-ADD6-255752D88A88}"/>
    <cellStyle name="Normal 11 3 2 3 5 4" xfId="16092" xr:uid="{743801B0-0E09-4F1C-9470-94CC5E4A48DF}"/>
    <cellStyle name="Normal 11 3 2 3 5 4 2" xfId="41584" xr:uid="{EB4492A6-D11E-4CCA-83D8-23FAA883F9A2}"/>
    <cellStyle name="Normal 11 3 2 3 5 5" xfId="28993" xr:uid="{45C2DA6B-217E-4938-8EED-F5D3F0D53DDA}"/>
    <cellStyle name="Normal 11 3 2 3 6" xfId="4180" xr:uid="{32AC2B55-91D0-47CD-BADF-746F3E9CD1BC}"/>
    <cellStyle name="Normal 11 3 2 3 6 2" xfId="10473" xr:uid="{0F32F951-AFBF-4741-ADEC-55CC50F4ECBB}"/>
    <cellStyle name="Normal 11 3 2 3 6 2 2" xfId="23155" xr:uid="{4CFF9815-3A1E-4394-A85D-B3E253C12F8D}"/>
    <cellStyle name="Normal 11 3 2 3 6 2 2 2" xfId="48647" xr:uid="{CBC03C85-0A75-45FD-8C93-18F6482AF51B}"/>
    <cellStyle name="Normal 11 3 2 3 6 2 3" xfId="36056" xr:uid="{58C31AEB-E759-4DA4-8AC2-C6A0F373725D}"/>
    <cellStyle name="Normal 11 3 2 3 6 3" xfId="16877" xr:uid="{374BE4F6-7385-4737-9874-1799E9A56316}"/>
    <cellStyle name="Normal 11 3 2 3 6 3 2" xfId="42369" xr:uid="{29651EFD-6736-4B48-9E1E-51768D0CAED0}"/>
    <cellStyle name="Normal 11 3 2 3 6 4" xfId="29778" xr:uid="{3ADEC588-BF07-46C2-A64E-7E62D8A1C46E}"/>
    <cellStyle name="Normal 11 3 2 3 7" xfId="7334" xr:uid="{016BFCD1-FFFD-446A-B5B2-427129160765}"/>
    <cellStyle name="Normal 11 3 2 3 7 2" xfId="20016" xr:uid="{3DA61CAE-D52E-4246-BC97-E567B612450B}"/>
    <cellStyle name="Normal 11 3 2 3 7 2 2" xfId="45508" xr:uid="{6783E2D4-4C4B-4FB7-B105-85B1120C1F8F}"/>
    <cellStyle name="Normal 11 3 2 3 7 3" xfId="32917" xr:uid="{1E1A8FDE-B618-44C7-BFAA-CA194A07709A}"/>
    <cellStyle name="Normal 11 3 2 3 8" xfId="13738" xr:uid="{94DFAE7B-2511-44A6-8615-A1D5B04ED42B}"/>
    <cellStyle name="Normal 11 3 2 3 8 2" xfId="39230" xr:uid="{EF0B967A-9E88-4CCB-B098-181B21C6FB69}"/>
    <cellStyle name="Normal 11 3 2 3 9" xfId="26639" xr:uid="{993F57F7-09B0-4CC1-86B9-168A945650C3}"/>
    <cellStyle name="Normal 11 3 2 4" xfId="766" xr:uid="{6049A4D6-D74A-4E76-AC0A-5F7A962C3A9B}"/>
    <cellStyle name="Normal 11 3 2 4 2" xfId="2073" xr:uid="{1DD316FE-8DB5-4B90-97FC-F16B226CF1F3}"/>
    <cellStyle name="Normal 11 3 2 4 2 2" xfId="5227" xr:uid="{1D34FEF9-ADB6-4CD0-8020-0F188C15DAA4}"/>
    <cellStyle name="Normal 11 3 2 4 2 2 2" xfId="11520" xr:uid="{66FB2A14-37E9-4D87-BEA2-FEB7125E9848}"/>
    <cellStyle name="Normal 11 3 2 4 2 2 2 2" xfId="24202" xr:uid="{A32D215D-F39F-43C9-8118-757CB6003075}"/>
    <cellStyle name="Normal 11 3 2 4 2 2 2 2 2" xfId="49694" xr:uid="{8BD89C1D-7851-4CD0-96BB-B8212AF7544A}"/>
    <cellStyle name="Normal 11 3 2 4 2 2 2 3" xfId="37103" xr:uid="{D8A4C396-566E-4347-BEFD-87F0EBC1D3AC}"/>
    <cellStyle name="Normal 11 3 2 4 2 2 3" xfId="17924" xr:uid="{B99757D7-60CC-4EFD-88E9-35882B1476BF}"/>
    <cellStyle name="Normal 11 3 2 4 2 2 3 2" xfId="43416" xr:uid="{40836A06-84A8-43B1-8E5F-1B7976DD4840}"/>
    <cellStyle name="Normal 11 3 2 4 2 2 4" xfId="30825" xr:uid="{C86324DF-4A59-49AD-A3F0-8D1DEA3A8341}"/>
    <cellStyle name="Normal 11 3 2 4 2 3" xfId="8381" xr:uid="{4ECC9D8E-DEC5-42E7-90F5-E10BD834E908}"/>
    <cellStyle name="Normal 11 3 2 4 2 3 2" xfId="21063" xr:uid="{FEF9E1F8-6A43-43A4-914F-78C6F5F55771}"/>
    <cellStyle name="Normal 11 3 2 4 2 3 2 2" xfId="46555" xr:uid="{51C2E1E1-C4BE-406E-ACCF-CA23A53A9EEE}"/>
    <cellStyle name="Normal 11 3 2 4 2 3 3" xfId="33964" xr:uid="{009BC01E-FDC2-4032-B725-59BACE9E4772}"/>
    <cellStyle name="Normal 11 3 2 4 2 4" xfId="14785" xr:uid="{F217DA97-5F35-47CE-B259-7261ECA6E835}"/>
    <cellStyle name="Normal 11 3 2 4 2 4 2" xfId="40277" xr:uid="{87948789-F3AC-47EA-B6C5-26B43092C476}"/>
    <cellStyle name="Normal 11 3 2 4 2 5" xfId="27686" xr:uid="{0B7436F4-8D91-4245-8AF2-6E6876F70E11}"/>
    <cellStyle name="Normal 11 3 2 4 3" xfId="3920" xr:uid="{F869C1F2-BDD1-4355-9564-D298200C5AF0}"/>
    <cellStyle name="Normal 11 3 2 4 3 2" xfId="10213" xr:uid="{04ED8B78-0B4A-4FD3-B91B-4F1410FC9421}"/>
    <cellStyle name="Normal 11 3 2 4 3 2 2" xfId="22895" xr:uid="{EC70BA6F-0E6D-441D-8C94-8E137B2089DB}"/>
    <cellStyle name="Normal 11 3 2 4 3 2 2 2" xfId="48387" xr:uid="{572C94F5-707C-41E6-BB8C-8183360AA464}"/>
    <cellStyle name="Normal 11 3 2 4 3 2 3" xfId="35796" xr:uid="{6D80F3D0-FE75-4478-9210-BF7D04426874}"/>
    <cellStyle name="Normal 11 3 2 4 3 3" xfId="16617" xr:uid="{60B140C9-69D4-402A-B291-C782E0157DA7}"/>
    <cellStyle name="Normal 11 3 2 4 3 3 2" xfId="42109" xr:uid="{E2F4E880-A185-4341-9B9D-C3394AA90083}"/>
    <cellStyle name="Normal 11 3 2 4 3 4" xfId="29518" xr:uid="{FFB06AC0-5DDF-4456-B545-1967C884CDF0}"/>
    <cellStyle name="Normal 11 3 2 4 4" xfId="7074" xr:uid="{5D679D02-83F5-4B7E-8012-6D4579E009DB}"/>
    <cellStyle name="Normal 11 3 2 4 4 2" xfId="19756" xr:uid="{13128599-D2F3-4A3C-9263-E7F8FE057205}"/>
    <cellStyle name="Normal 11 3 2 4 4 2 2" xfId="45248" xr:uid="{12E1E46B-F476-4486-B05F-2ECA4188AFD4}"/>
    <cellStyle name="Normal 11 3 2 4 4 3" xfId="32657" xr:uid="{0F20AC5F-CCDE-4C03-9960-CD8BCA4ABE8D}"/>
    <cellStyle name="Normal 11 3 2 4 5" xfId="13478" xr:uid="{623B489A-5C8F-49DE-8983-C6BDEB77783B}"/>
    <cellStyle name="Normal 11 3 2 4 5 2" xfId="38970" xr:uid="{4D081388-EF63-4326-B534-C1DF07BDA79D}"/>
    <cellStyle name="Normal 11 3 2 4 6" xfId="26379" xr:uid="{8C02EA07-C966-4FF6-9226-4742B2FF43AE}"/>
    <cellStyle name="Normal 11 3 2 5" xfId="1811" xr:uid="{5F9E3C53-5EB0-4ED5-8CD9-4CC9C6A51DD8}"/>
    <cellStyle name="Normal 11 3 2 5 2" xfId="4965" xr:uid="{F88A0B95-89BA-4E41-8B77-E60F581F8027}"/>
    <cellStyle name="Normal 11 3 2 5 2 2" xfId="11258" xr:uid="{78C516F3-9D02-46AC-8D59-398CC7C1FE3A}"/>
    <cellStyle name="Normal 11 3 2 5 2 2 2" xfId="23940" xr:uid="{97BE0677-4F0D-444B-9F5E-6EEAE79ACAF3}"/>
    <cellStyle name="Normal 11 3 2 5 2 2 2 2" xfId="49432" xr:uid="{CCEE8A5E-8410-4BBF-B1CE-33383BF6090A}"/>
    <cellStyle name="Normal 11 3 2 5 2 2 3" xfId="36841" xr:uid="{243A4282-EB47-4ADE-8C9F-CDC285706CC6}"/>
    <cellStyle name="Normal 11 3 2 5 2 3" xfId="17662" xr:uid="{3F8253A8-7124-4146-A0E2-FA3375A214ED}"/>
    <cellStyle name="Normal 11 3 2 5 2 3 2" xfId="43154" xr:uid="{7DBF2BB7-7F40-4481-B726-8E6C6EABAE33}"/>
    <cellStyle name="Normal 11 3 2 5 2 4" xfId="30563" xr:uid="{515BD819-6C7C-4DC9-BAA2-D46F4F64CD26}"/>
    <cellStyle name="Normal 11 3 2 5 3" xfId="8119" xr:uid="{9FFB8CA7-D6BE-4690-8AFD-541C07760112}"/>
    <cellStyle name="Normal 11 3 2 5 3 2" xfId="20801" xr:uid="{9B881697-FB0E-4348-8AEE-BD80C5A56948}"/>
    <cellStyle name="Normal 11 3 2 5 3 2 2" xfId="46293" xr:uid="{046EE83A-8018-45CC-BE7B-977A3347A99D}"/>
    <cellStyle name="Normal 11 3 2 5 3 3" xfId="33702" xr:uid="{796BDBA8-446C-486B-994F-EF983AD76EF9}"/>
    <cellStyle name="Normal 11 3 2 5 4" xfId="14523" xr:uid="{C2DD7CDD-F711-437A-A665-66088808FC60}"/>
    <cellStyle name="Normal 11 3 2 5 4 2" xfId="40015" xr:uid="{FC749B32-E2AA-42C0-82F3-6F6052907FFF}"/>
    <cellStyle name="Normal 11 3 2 5 5" xfId="27424" xr:uid="{A3EE757B-16B7-4A06-AFAC-C2631C4716CB}"/>
    <cellStyle name="Normal 11 3 2 6" xfId="1289" xr:uid="{767242B6-97DE-42ED-A755-160E92E2112A}"/>
    <cellStyle name="Normal 11 3 2 6 2" xfId="4443" xr:uid="{0BB9B664-3428-42CE-BC78-87CDEFB5F975}"/>
    <cellStyle name="Normal 11 3 2 6 2 2" xfId="10736" xr:uid="{4E69E3C9-3E5F-4A99-94BA-FD324CA725D6}"/>
    <cellStyle name="Normal 11 3 2 6 2 2 2" xfId="23418" xr:uid="{77B8A569-8022-42CA-BE76-64836EA33361}"/>
    <cellStyle name="Normal 11 3 2 6 2 2 2 2" xfId="48910" xr:uid="{7877A3F2-BBA5-446A-9747-DB31FB978E36}"/>
    <cellStyle name="Normal 11 3 2 6 2 2 3" xfId="36319" xr:uid="{5D695DF3-329B-4DEF-99A0-DB2EDC99B136}"/>
    <cellStyle name="Normal 11 3 2 6 2 3" xfId="17140" xr:uid="{5F208EEF-C623-4546-A657-47D023046DE7}"/>
    <cellStyle name="Normal 11 3 2 6 2 3 2" xfId="42632" xr:uid="{3B999BF6-1722-47E4-B946-DB20565E87AB}"/>
    <cellStyle name="Normal 11 3 2 6 2 4" xfId="30041" xr:uid="{8CA7C5FC-65F7-4EF3-AE5C-151CCEF9AA13}"/>
    <cellStyle name="Normal 11 3 2 6 3" xfId="7597" xr:uid="{03065496-AB62-48C0-A550-0D78952F3921}"/>
    <cellStyle name="Normal 11 3 2 6 3 2" xfId="20279" xr:uid="{65389F8B-4171-460D-B3A8-2EE7F05EAA75}"/>
    <cellStyle name="Normal 11 3 2 6 3 2 2" xfId="45771" xr:uid="{2375D108-AD55-44CC-ACFA-B075C17BAB53}"/>
    <cellStyle name="Normal 11 3 2 6 3 3" xfId="33180" xr:uid="{BE1459C0-0911-4969-9771-058E06F5B885}"/>
    <cellStyle name="Normal 11 3 2 6 4" xfId="14001" xr:uid="{8C2EFF94-CAEA-4ACA-AD03-7DFA2FAB4AA2}"/>
    <cellStyle name="Normal 11 3 2 6 4 2" xfId="39493" xr:uid="{2EFF4BAF-9412-4F9C-B626-DED4A6154184}"/>
    <cellStyle name="Normal 11 3 2 6 5" xfId="26902" xr:uid="{D1FF5807-060B-44A8-B8FD-4F17FF225A6D}"/>
    <cellStyle name="Normal 11 3 2 7" xfId="2596" xr:uid="{F3326E19-D623-4933-BD63-B42199F51C40}"/>
    <cellStyle name="Normal 11 3 2 7 2" xfId="5750" xr:uid="{791B3FDD-CDD5-429C-A537-826C943EE8C6}"/>
    <cellStyle name="Normal 11 3 2 7 2 2" xfId="12043" xr:uid="{0AD2D73B-52AD-438B-94DC-E99CA9C90301}"/>
    <cellStyle name="Normal 11 3 2 7 2 2 2" xfId="24725" xr:uid="{4E7FA185-DF5D-46B0-9AEE-73E7658F6172}"/>
    <cellStyle name="Normal 11 3 2 7 2 2 2 2" xfId="50217" xr:uid="{762519CC-BFC5-4D04-903E-34E6DBCE5939}"/>
    <cellStyle name="Normal 11 3 2 7 2 2 3" xfId="37626" xr:uid="{F600DC2D-EBDE-45B3-928B-210A49B278FE}"/>
    <cellStyle name="Normal 11 3 2 7 2 3" xfId="18447" xr:uid="{CC1513D8-1E20-4A13-9AAA-24692BEB9890}"/>
    <cellStyle name="Normal 11 3 2 7 2 3 2" xfId="43939" xr:uid="{DCDBC1E7-F147-4201-A842-ABACAD944453}"/>
    <cellStyle name="Normal 11 3 2 7 2 4" xfId="31348" xr:uid="{FF2DC858-D514-4D44-A43A-11E44EC3CF71}"/>
    <cellStyle name="Normal 11 3 2 7 3" xfId="8904" xr:uid="{A72E2CC7-A957-4FEE-BFE2-F7E3BA69E499}"/>
    <cellStyle name="Normal 11 3 2 7 3 2" xfId="21586" xr:uid="{EFAE67DD-C083-4BDE-A044-D80B6FC564A3}"/>
    <cellStyle name="Normal 11 3 2 7 3 2 2" xfId="47078" xr:uid="{54FE12D1-6BCE-4414-A17B-8D2A5D619570}"/>
    <cellStyle name="Normal 11 3 2 7 3 3" xfId="34487" xr:uid="{43B73BE8-4573-4E74-B12A-196BBB23BFA7}"/>
    <cellStyle name="Normal 11 3 2 7 4" xfId="15308" xr:uid="{FD08CED3-DCB1-454F-BF52-8ED02FE81931}"/>
    <cellStyle name="Normal 11 3 2 7 4 2" xfId="40800" xr:uid="{AA22127F-887E-41C4-B7D3-94055AA47838}"/>
    <cellStyle name="Normal 11 3 2 7 5" xfId="28209" xr:uid="{358F6379-A7EE-4138-A1E9-E34351C16B9D}"/>
    <cellStyle name="Normal 11 3 2 8" xfId="3119" xr:uid="{11A54D57-0555-4016-BD25-22B3F789AE27}"/>
    <cellStyle name="Normal 11 3 2 8 2" xfId="6273" xr:uid="{B12D2E16-2A50-487A-9C82-BEBC25270436}"/>
    <cellStyle name="Normal 11 3 2 8 2 2" xfId="12566" xr:uid="{59CB49FD-5D53-44C7-9AD5-47E7FFCFC5AD}"/>
    <cellStyle name="Normal 11 3 2 8 2 2 2" xfId="25248" xr:uid="{5CCD542C-8D73-4304-A54C-F6A457BCAAEB}"/>
    <cellStyle name="Normal 11 3 2 8 2 2 2 2" xfId="50740" xr:uid="{75F0AAB8-797E-4932-90BE-8D0E2DB3A236}"/>
    <cellStyle name="Normal 11 3 2 8 2 2 3" xfId="38149" xr:uid="{FE456053-9492-44C5-B790-79353C03AEDF}"/>
    <cellStyle name="Normal 11 3 2 8 2 3" xfId="18970" xr:uid="{F74A0350-D21E-43CB-A386-642037AAB665}"/>
    <cellStyle name="Normal 11 3 2 8 2 3 2" xfId="44462" xr:uid="{8E31B7E2-473B-4AD3-9499-6B347680CE81}"/>
    <cellStyle name="Normal 11 3 2 8 2 4" xfId="31871" xr:uid="{C74531C3-0CA3-41C4-9EDF-8BAE8645D925}"/>
    <cellStyle name="Normal 11 3 2 8 3" xfId="9427" xr:uid="{5E7FF761-40D9-4C9E-927B-24FBC9504CB6}"/>
    <cellStyle name="Normal 11 3 2 8 3 2" xfId="22109" xr:uid="{74D0C946-2AB0-4F89-B9C0-AF2CF74A81D0}"/>
    <cellStyle name="Normal 11 3 2 8 3 2 2" xfId="47601" xr:uid="{E2D3F607-398A-4FB8-BB2E-7CD47720C52D}"/>
    <cellStyle name="Normal 11 3 2 8 3 3" xfId="35010" xr:uid="{27418A2E-BBC5-4925-AA64-CA5AC1FD895A}"/>
    <cellStyle name="Normal 11 3 2 8 4" xfId="15831" xr:uid="{9EE9AC75-5C4F-4BD7-AC2C-C39BC594287B}"/>
    <cellStyle name="Normal 11 3 2 8 4 2" xfId="41323" xr:uid="{EBD27E79-E893-428C-B715-140CFBFB98D9}"/>
    <cellStyle name="Normal 11 3 2 8 5" xfId="28732" xr:uid="{9C92B6E0-2383-4C03-A2C9-8F2B912A30A6}"/>
    <cellStyle name="Normal 11 3 2 9" xfId="3658" xr:uid="{D50C30FB-D42E-4045-BCEF-D61788545119}"/>
    <cellStyle name="Normal 11 3 2 9 2" xfId="9951" xr:uid="{EFA2E601-C496-4BBA-B024-F335988ABD1B}"/>
    <cellStyle name="Normal 11 3 2 9 2 2" xfId="22633" xr:uid="{EDE61D93-8762-42A0-952A-DA718E8EB705}"/>
    <cellStyle name="Normal 11 3 2 9 2 2 2" xfId="48125" xr:uid="{9FD73DBD-46CD-49BA-B0D4-A7F943EBC947}"/>
    <cellStyle name="Normal 11 3 2 9 2 3" xfId="35534" xr:uid="{8B6D521A-2088-4098-9497-0966A32BD971}"/>
    <cellStyle name="Normal 11 3 2 9 3" xfId="16355" xr:uid="{187BB47D-9141-4B91-AAA0-4D76F6F3E2F9}"/>
    <cellStyle name="Normal 11 3 2 9 3 2" xfId="41847" xr:uid="{E7777501-FCF4-4903-A185-6504760FD608}"/>
    <cellStyle name="Normal 11 3 2 9 4" xfId="29256" xr:uid="{38BC699C-FC0A-41F5-9473-7A547AB9BB4E}"/>
    <cellStyle name="Normal 11 3 3" xfId="587" xr:uid="{812CD318-5428-4782-BBE7-BDAD3AE5EA23}"/>
    <cellStyle name="Normal 11 3 3 10" xfId="13314" xr:uid="{7FCE918F-5E7D-447E-9D2C-105978B3F744}"/>
    <cellStyle name="Normal 11 3 3 10 2" xfId="38806" xr:uid="{4E5AC052-4CD2-4459-8F0A-56CFA53E09C5}"/>
    <cellStyle name="Normal 11 3 3 11" xfId="26215" xr:uid="{93F41787-58EC-4063-BB03-B3663F30C313}"/>
    <cellStyle name="Normal 11 3 3 2" xfId="1124" xr:uid="{6C3317A2-8380-490C-87C0-81AAE4E00E46}"/>
    <cellStyle name="Normal 11 3 3 2 2" xfId="2431" xr:uid="{B4FC6F4E-A567-48E6-9738-5F395628742F}"/>
    <cellStyle name="Normal 11 3 3 2 2 2" xfId="5585" xr:uid="{641E8633-03D0-46E3-9AA1-18519F64D008}"/>
    <cellStyle name="Normal 11 3 3 2 2 2 2" xfId="11878" xr:uid="{3750320D-478F-4A2D-9BB6-C006C959D3FD}"/>
    <cellStyle name="Normal 11 3 3 2 2 2 2 2" xfId="24560" xr:uid="{79D6262E-B8C8-4A04-A32B-B9602AA2F99D}"/>
    <cellStyle name="Normal 11 3 3 2 2 2 2 2 2" xfId="50052" xr:uid="{B4A6CBB0-6CB8-4CDE-82A6-591A291F99EC}"/>
    <cellStyle name="Normal 11 3 3 2 2 2 2 3" xfId="37461" xr:uid="{963E6C37-A722-442A-BECC-FBD504442102}"/>
    <cellStyle name="Normal 11 3 3 2 2 2 3" xfId="18282" xr:uid="{50D31835-5422-4CD1-9A55-03A539B95609}"/>
    <cellStyle name="Normal 11 3 3 2 2 2 3 2" xfId="43774" xr:uid="{916FFBA4-87DA-424D-A9B1-1B2909B81B18}"/>
    <cellStyle name="Normal 11 3 3 2 2 2 4" xfId="31183" xr:uid="{EEF62F4C-B52D-43E1-B89E-8E6EF21ABC0B}"/>
    <cellStyle name="Normal 11 3 3 2 2 3" xfId="8739" xr:uid="{D5352219-D5E1-4F86-BA36-3897F15F50DD}"/>
    <cellStyle name="Normal 11 3 3 2 2 3 2" xfId="21421" xr:uid="{E2BF40EF-8AE0-4B11-A6FB-164813F5CB13}"/>
    <cellStyle name="Normal 11 3 3 2 2 3 2 2" xfId="46913" xr:uid="{4B50E20F-976D-40F7-A741-5ECF8E753EC0}"/>
    <cellStyle name="Normal 11 3 3 2 2 3 3" xfId="34322" xr:uid="{12483AA2-BAF4-4FD5-933C-A6830ECA796C}"/>
    <cellStyle name="Normal 11 3 3 2 2 4" xfId="15143" xr:uid="{6335A29F-BD07-463A-9EF5-26554AD3295C}"/>
    <cellStyle name="Normal 11 3 3 2 2 4 2" xfId="40635" xr:uid="{441C8DFA-FCEF-4EB9-B6B9-824029B9FFE6}"/>
    <cellStyle name="Normal 11 3 3 2 2 5" xfId="28044" xr:uid="{E87FC11C-DB0B-46CB-B53D-F660CA8361A9}"/>
    <cellStyle name="Normal 11 3 3 2 3" xfId="1648" xr:uid="{0CE9FCA7-C787-442C-BCE2-E8AF1BF3BBB2}"/>
    <cellStyle name="Normal 11 3 3 2 3 2" xfId="4802" xr:uid="{BA54F900-9F27-4CD5-AF34-7F6BACF6F804}"/>
    <cellStyle name="Normal 11 3 3 2 3 2 2" xfId="11095" xr:uid="{4BB9408A-7435-41BD-9E6A-03E4762037E0}"/>
    <cellStyle name="Normal 11 3 3 2 3 2 2 2" xfId="23777" xr:uid="{BC396AA9-81B7-43F3-AFF6-284A51CFF21C}"/>
    <cellStyle name="Normal 11 3 3 2 3 2 2 2 2" xfId="49269" xr:uid="{762E5125-3319-448F-BA7B-FE2D20067E49}"/>
    <cellStyle name="Normal 11 3 3 2 3 2 2 3" xfId="36678" xr:uid="{866C6C76-D90E-4E1E-B443-5551FB1D984B}"/>
    <cellStyle name="Normal 11 3 3 2 3 2 3" xfId="17499" xr:uid="{5F749A78-1DD6-4C25-824B-32E2E7E59373}"/>
    <cellStyle name="Normal 11 3 3 2 3 2 3 2" xfId="42991" xr:uid="{90FDD70B-6422-4BDF-B6A4-18D758AE2CE5}"/>
    <cellStyle name="Normal 11 3 3 2 3 2 4" xfId="30400" xr:uid="{4EE5A0D2-CCE5-4EAA-9898-F4F58E505E45}"/>
    <cellStyle name="Normal 11 3 3 2 3 3" xfId="7956" xr:uid="{B1E21C2F-90CA-47CC-AB65-A93DDD5E9234}"/>
    <cellStyle name="Normal 11 3 3 2 3 3 2" xfId="20638" xr:uid="{B17194E4-B816-458B-8736-C5EA8B84D0E9}"/>
    <cellStyle name="Normal 11 3 3 2 3 3 2 2" xfId="46130" xr:uid="{FDD77C52-9D22-4C5A-B3E6-F1612C36F31D}"/>
    <cellStyle name="Normal 11 3 3 2 3 3 3" xfId="33539" xr:uid="{8DD71C62-EF8F-4337-AF75-5C1BD5673604}"/>
    <cellStyle name="Normal 11 3 3 2 3 4" xfId="14360" xr:uid="{A2CED1BC-103D-4C22-BB98-F812AD123101}"/>
    <cellStyle name="Normal 11 3 3 2 3 4 2" xfId="39852" xr:uid="{6350B43F-D61F-456C-99B9-98B262E64E95}"/>
    <cellStyle name="Normal 11 3 3 2 3 5" xfId="27261" xr:uid="{30B56818-6659-4AD9-AC7A-3B92D051C525}"/>
    <cellStyle name="Normal 11 3 3 2 4" xfId="2955" xr:uid="{ECD2B2C4-53F2-421F-BFE2-D7942E2D2BB0}"/>
    <cellStyle name="Normal 11 3 3 2 4 2" xfId="6109" xr:uid="{DBC365E9-97D8-448D-A248-954DE1E96E81}"/>
    <cellStyle name="Normal 11 3 3 2 4 2 2" xfId="12402" xr:uid="{B6E6F378-F3AB-454C-9F30-9627177E2F25}"/>
    <cellStyle name="Normal 11 3 3 2 4 2 2 2" xfId="25084" xr:uid="{61C1C7A1-CE57-4BAE-BC86-486439ADE2AB}"/>
    <cellStyle name="Normal 11 3 3 2 4 2 2 2 2" xfId="50576" xr:uid="{1854D037-E3FE-4A58-881E-860E55280042}"/>
    <cellStyle name="Normal 11 3 3 2 4 2 2 3" xfId="37985" xr:uid="{D3C7025D-8D6B-4DE7-804C-7D32C9DBE53D}"/>
    <cellStyle name="Normal 11 3 3 2 4 2 3" xfId="18806" xr:uid="{8B7C5B8F-5876-494D-8C9A-DCD545E4B2EC}"/>
    <cellStyle name="Normal 11 3 3 2 4 2 3 2" xfId="44298" xr:uid="{58F080C2-EE98-4ECA-A867-A63C3F34F57B}"/>
    <cellStyle name="Normal 11 3 3 2 4 2 4" xfId="31707" xr:uid="{BEA4F4B3-47C0-4FBF-8424-3FDEC63B7A85}"/>
    <cellStyle name="Normal 11 3 3 2 4 3" xfId="9263" xr:uid="{DA7C8FDB-0F7F-4C37-8FD6-049FF79287AB}"/>
    <cellStyle name="Normal 11 3 3 2 4 3 2" xfId="21945" xr:uid="{EFC2DB72-36FD-49ED-8FB0-F0ACA8E820FB}"/>
    <cellStyle name="Normal 11 3 3 2 4 3 2 2" xfId="47437" xr:uid="{A50C9CD3-2AC2-4A50-87A9-E76E76DF6B9A}"/>
    <cellStyle name="Normal 11 3 3 2 4 3 3" xfId="34846" xr:uid="{67666B52-702C-475F-848E-9D25BB5B1945}"/>
    <cellStyle name="Normal 11 3 3 2 4 4" xfId="15667" xr:uid="{41A4FF07-7F21-4743-A5D0-49D91FC4567B}"/>
    <cellStyle name="Normal 11 3 3 2 4 4 2" xfId="41159" xr:uid="{2D8389D5-F55D-44E8-A724-7A2A58DCE3EB}"/>
    <cellStyle name="Normal 11 3 3 2 4 5" xfId="28568" xr:uid="{368DAE57-601C-45F1-9157-73BDEDF7A225}"/>
    <cellStyle name="Normal 11 3 3 2 5" xfId="3478" xr:uid="{AF845E45-ECAB-4CDB-AE54-5787094EA01C}"/>
    <cellStyle name="Normal 11 3 3 2 5 2" xfId="6632" xr:uid="{5A7B4B11-FED6-4D0C-AEC5-0CE777E72D13}"/>
    <cellStyle name="Normal 11 3 3 2 5 2 2" xfId="12925" xr:uid="{641C7B7F-D886-41E6-AE6C-856E3C9C087A}"/>
    <cellStyle name="Normal 11 3 3 2 5 2 2 2" xfId="25607" xr:uid="{39DFB3F6-2822-46A8-83AE-158D903B1933}"/>
    <cellStyle name="Normal 11 3 3 2 5 2 2 2 2" xfId="51099" xr:uid="{191293A2-1926-4544-B482-C2EAD6E8FAF6}"/>
    <cellStyle name="Normal 11 3 3 2 5 2 2 3" xfId="38508" xr:uid="{9EA27511-A227-4133-84D6-825BA9836A52}"/>
    <cellStyle name="Normal 11 3 3 2 5 2 3" xfId="19329" xr:uid="{FDA44C5B-D497-4A0B-BF0F-62382905E4E6}"/>
    <cellStyle name="Normal 11 3 3 2 5 2 3 2" xfId="44821" xr:uid="{2CC37503-BD06-4F83-BBED-5A0A07D43D37}"/>
    <cellStyle name="Normal 11 3 3 2 5 2 4" xfId="32230" xr:uid="{DA92E854-F059-44FC-879B-AB4D62C85874}"/>
    <cellStyle name="Normal 11 3 3 2 5 3" xfId="9786" xr:uid="{9CC7A770-AC0F-45B5-9909-9CA10E6DFEFF}"/>
    <cellStyle name="Normal 11 3 3 2 5 3 2" xfId="22468" xr:uid="{CE63C4EB-76E0-4C43-BE52-8D5C66097B45}"/>
    <cellStyle name="Normal 11 3 3 2 5 3 2 2" xfId="47960" xr:uid="{0BA28A3D-D840-48F7-8E15-F7471512DC56}"/>
    <cellStyle name="Normal 11 3 3 2 5 3 3" xfId="35369" xr:uid="{62257304-C7D5-4071-AC4D-B1CF972E3850}"/>
    <cellStyle name="Normal 11 3 3 2 5 4" xfId="16190" xr:uid="{7824CFC5-7A0E-433B-BFC3-F510CA6B2CC2}"/>
    <cellStyle name="Normal 11 3 3 2 5 4 2" xfId="41682" xr:uid="{92963209-AD7C-4AF5-91EE-4B10E2F7643C}"/>
    <cellStyle name="Normal 11 3 3 2 5 5" xfId="29091" xr:uid="{108281D3-F68E-4628-B2E7-95F768D33601}"/>
    <cellStyle name="Normal 11 3 3 2 6" xfId="4278" xr:uid="{FD9A3976-78B7-4A5D-93E0-5CBE2998A2FB}"/>
    <cellStyle name="Normal 11 3 3 2 6 2" xfId="10571" xr:uid="{206E61B1-F524-4704-B9B2-15DAD23F8705}"/>
    <cellStyle name="Normal 11 3 3 2 6 2 2" xfId="23253" xr:uid="{FCA9A212-835E-4048-B8BC-9A779881F64F}"/>
    <cellStyle name="Normal 11 3 3 2 6 2 2 2" xfId="48745" xr:uid="{230FAB74-7991-403C-B6B2-BFDECD17A243}"/>
    <cellStyle name="Normal 11 3 3 2 6 2 3" xfId="36154" xr:uid="{016AF02E-8A51-4F3E-A7E0-9FD103DC16F3}"/>
    <cellStyle name="Normal 11 3 3 2 6 3" xfId="16975" xr:uid="{9D7E1725-423B-4158-9F9D-3BCE62829A83}"/>
    <cellStyle name="Normal 11 3 3 2 6 3 2" xfId="42467" xr:uid="{2600AB34-BA5A-4312-90AB-03F5682EF9F0}"/>
    <cellStyle name="Normal 11 3 3 2 6 4" xfId="29876" xr:uid="{8918D099-AD5F-4809-93FC-979DFBF345BF}"/>
    <cellStyle name="Normal 11 3 3 2 7" xfId="7432" xr:uid="{6A82DFCB-7783-4CDE-94D6-7A0F7FF283D7}"/>
    <cellStyle name="Normal 11 3 3 2 7 2" xfId="20114" xr:uid="{0FB6DDA7-DE66-4FF4-BF5F-DF2FD971C2D3}"/>
    <cellStyle name="Normal 11 3 3 2 7 2 2" xfId="45606" xr:uid="{53F3132E-42A4-49BB-A53E-84ED420D841C}"/>
    <cellStyle name="Normal 11 3 3 2 7 3" xfId="33015" xr:uid="{B8D5D617-12BA-43D6-B2E7-77D3B5AC14CE}"/>
    <cellStyle name="Normal 11 3 3 2 8" xfId="13836" xr:uid="{0A91EBF6-4859-40F6-998F-8D751B663BD2}"/>
    <cellStyle name="Normal 11 3 3 2 8 2" xfId="39328" xr:uid="{E0DD8CE1-9BB7-4BFB-BA16-AACF4D20CD7B}"/>
    <cellStyle name="Normal 11 3 3 2 9" xfId="26737" xr:uid="{097904C9-DBF4-4EC9-9187-2C83B376DA61}"/>
    <cellStyle name="Normal 11 3 3 3" xfId="864" xr:uid="{AC4E39A4-0F3E-42A4-9F91-0F8DC8222FD1}"/>
    <cellStyle name="Normal 11 3 3 3 2" xfId="2171" xr:uid="{EBA9476D-24EA-4F34-BFC4-00637A731CDF}"/>
    <cellStyle name="Normal 11 3 3 3 2 2" xfId="5325" xr:uid="{499503F1-B0F8-4B8B-84C8-B2D95F64B11C}"/>
    <cellStyle name="Normal 11 3 3 3 2 2 2" xfId="11618" xr:uid="{8415FC46-94CE-45E8-9430-73E30BCC0FEA}"/>
    <cellStyle name="Normal 11 3 3 3 2 2 2 2" xfId="24300" xr:uid="{A4EBD8EC-9E0E-4638-869D-79D8F6C89DDA}"/>
    <cellStyle name="Normal 11 3 3 3 2 2 2 2 2" xfId="49792" xr:uid="{C232A2CB-DE8F-4D37-9705-E7F1108FEB45}"/>
    <cellStyle name="Normal 11 3 3 3 2 2 2 3" xfId="37201" xr:uid="{B5511897-A606-4417-8923-C8B9297CB953}"/>
    <cellStyle name="Normal 11 3 3 3 2 2 3" xfId="18022" xr:uid="{93BACD91-3F26-4FA8-9479-1B1E9A9FE7C8}"/>
    <cellStyle name="Normal 11 3 3 3 2 2 3 2" xfId="43514" xr:uid="{2D38DFD6-9A77-4DEB-98ED-11329C7FC706}"/>
    <cellStyle name="Normal 11 3 3 3 2 2 4" xfId="30923" xr:uid="{630A36D1-FE26-4389-8832-406470BFD568}"/>
    <cellStyle name="Normal 11 3 3 3 2 3" xfId="8479" xr:uid="{0017C58B-DBF7-4E4F-AB74-D7F7063BCB44}"/>
    <cellStyle name="Normal 11 3 3 3 2 3 2" xfId="21161" xr:uid="{F20B3921-A4DD-4C2C-B144-FB5B6A75F40F}"/>
    <cellStyle name="Normal 11 3 3 3 2 3 2 2" xfId="46653" xr:uid="{2890DC4F-460A-4DA9-9BE4-7541FDDDA8E4}"/>
    <cellStyle name="Normal 11 3 3 3 2 3 3" xfId="34062" xr:uid="{EBFF6257-0004-4AAE-9EC4-A70E07E79BB4}"/>
    <cellStyle name="Normal 11 3 3 3 2 4" xfId="14883" xr:uid="{E9495CFE-4CD2-452B-B033-30D4A615A9F5}"/>
    <cellStyle name="Normal 11 3 3 3 2 4 2" xfId="40375" xr:uid="{8F60E6D0-5A9A-4068-B97B-20E7CC280766}"/>
    <cellStyle name="Normal 11 3 3 3 2 5" xfId="27784" xr:uid="{017DBD52-7CC8-460E-8B67-3423E42824D2}"/>
    <cellStyle name="Normal 11 3 3 3 3" xfId="4018" xr:uid="{1DB69292-649A-4DDB-951C-62AC881C76C5}"/>
    <cellStyle name="Normal 11 3 3 3 3 2" xfId="10311" xr:uid="{3E502031-2CEA-445B-B1BC-3B4D99DB1F1A}"/>
    <cellStyle name="Normal 11 3 3 3 3 2 2" xfId="22993" xr:uid="{6A6096E7-39C6-4557-A7A0-B98B4D260F0F}"/>
    <cellStyle name="Normal 11 3 3 3 3 2 2 2" xfId="48485" xr:uid="{5E384C0C-5AF3-419B-9F45-7A816B85663C}"/>
    <cellStyle name="Normal 11 3 3 3 3 2 3" xfId="35894" xr:uid="{D3A7D7A2-66F4-4659-85E6-5D33CADD91AF}"/>
    <cellStyle name="Normal 11 3 3 3 3 3" xfId="16715" xr:uid="{EDF73484-D139-4CAB-8AFF-49D2D4D008F1}"/>
    <cellStyle name="Normal 11 3 3 3 3 3 2" xfId="42207" xr:uid="{71DB1E4E-EC5E-47AA-B1D0-9493ADCF9C75}"/>
    <cellStyle name="Normal 11 3 3 3 3 4" xfId="29616" xr:uid="{D437FA4B-844F-4109-8F6F-0EA5991E9CD7}"/>
    <cellStyle name="Normal 11 3 3 3 4" xfId="7172" xr:uid="{90B54CFA-F069-4767-9C70-2EA9C7E7C173}"/>
    <cellStyle name="Normal 11 3 3 3 4 2" xfId="19854" xr:uid="{A5DE90AC-776F-42B3-8E96-F8F40DCD8A59}"/>
    <cellStyle name="Normal 11 3 3 3 4 2 2" xfId="45346" xr:uid="{374F983D-5429-4F2B-AA5D-3463B262A325}"/>
    <cellStyle name="Normal 11 3 3 3 4 3" xfId="32755" xr:uid="{492E464C-EDFB-441F-8DA1-7336D047A839}"/>
    <cellStyle name="Normal 11 3 3 3 5" xfId="13576" xr:uid="{1E7B356A-96C4-4C47-BAE6-36040625ED40}"/>
    <cellStyle name="Normal 11 3 3 3 5 2" xfId="39068" xr:uid="{EE390C71-6A3E-477F-821E-25C2C9E61A9F}"/>
    <cellStyle name="Normal 11 3 3 3 6" xfId="26477" xr:uid="{C4183561-6421-4142-AC8F-84619F4012CA}"/>
    <cellStyle name="Normal 11 3 3 4" xfId="1909" xr:uid="{EE9165E0-76E2-43B1-A97C-65D137E76390}"/>
    <cellStyle name="Normal 11 3 3 4 2" xfId="5063" xr:uid="{7379BDD4-226B-4241-B10F-4C88B8687DDA}"/>
    <cellStyle name="Normal 11 3 3 4 2 2" xfId="11356" xr:uid="{9A4E3F5D-7567-439A-96A1-02EF12EB0E77}"/>
    <cellStyle name="Normal 11 3 3 4 2 2 2" xfId="24038" xr:uid="{05F685D0-384D-4F2B-ACFB-5DE99A7CAF40}"/>
    <cellStyle name="Normal 11 3 3 4 2 2 2 2" xfId="49530" xr:uid="{8AC23AA9-3CF9-413F-9829-325EAE0F1580}"/>
    <cellStyle name="Normal 11 3 3 4 2 2 3" xfId="36939" xr:uid="{6BB1D8C7-1BCE-47C0-BFDA-5CDA5F7DC0EB}"/>
    <cellStyle name="Normal 11 3 3 4 2 3" xfId="17760" xr:uid="{EBB6DD09-E86B-4E89-B4E5-BADBB67758A3}"/>
    <cellStyle name="Normal 11 3 3 4 2 3 2" xfId="43252" xr:uid="{EBD573B3-BCC9-4766-A1F6-295CB8849C9A}"/>
    <cellStyle name="Normal 11 3 3 4 2 4" xfId="30661" xr:uid="{EBD5E595-2F3F-412E-821C-D0003AB8DD2C}"/>
    <cellStyle name="Normal 11 3 3 4 3" xfId="8217" xr:uid="{1F38807B-27FC-40BD-B4D1-90C7B939DD8A}"/>
    <cellStyle name="Normal 11 3 3 4 3 2" xfId="20899" xr:uid="{F3FB2235-A0B6-4988-A688-40ABEA49A6BA}"/>
    <cellStyle name="Normal 11 3 3 4 3 2 2" xfId="46391" xr:uid="{76BBCFB3-FD42-4818-A227-CA924F7E1AC3}"/>
    <cellStyle name="Normal 11 3 3 4 3 3" xfId="33800" xr:uid="{BAE23665-B796-4E17-A215-724D687A2B09}"/>
    <cellStyle name="Normal 11 3 3 4 4" xfId="14621" xr:uid="{0BFB1DB0-E46D-4251-9617-6F76A0A0B273}"/>
    <cellStyle name="Normal 11 3 3 4 4 2" xfId="40113" xr:uid="{901CCD9E-30AC-40F2-9A73-1BCA5EE4C8B1}"/>
    <cellStyle name="Normal 11 3 3 4 5" xfId="27522" xr:uid="{6C1BEC60-090F-43F5-A696-DC9A4A981E59}"/>
    <cellStyle name="Normal 11 3 3 5" xfId="1387" xr:uid="{5072A497-AB13-436A-9C48-F3C6A7094DB0}"/>
    <cellStyle name="Normal 11 3 3 5 2" xfId="4541" xr:uid="{4D4EF44C-9117-44A3-B283-BFA919FE7073}"/>
    <cellStyle name="Normal 11 3 3 5 2 2" xfId="10834" xr:uid="{31D6DB72-6247-45C3-8405-A7D2D22A7F24}"/>
    <cellStyle name="Normal 11 3 3 5 2 2 2" xfId="23516" xr:uid="{FF78FCA2-DF97-4F74-9838-E5162448D473}"/>
    <cellStyle name="Normal 11 3 3 5 2 2 2 2" xfId="49008" xr:uid="{6B0B5F2D-0275-4D8E-8172-A265452FE455}"/>
    <cellStyle name="Normal 11 3 3 5 2 2 3" xfId="36417" xr:uid="{E5D01657-AC7C-43E6-8D2A-2CEE2BAE8FF0}"/>
    <cellStyle name="Normal 11 3 3 5 2 3" xfId="17238" xr:uid="{90774E00-E23C-4439-A7BE-A0586A324598}"/>
    <cellStyle name="Normal 11 3 3 5 2 3 2" xfId="42730" xr:uid="{2F5CF0FF-5340-4114-B1D6-BEFDE6B27124}"/>
    <cellStyle name="Normal 11 3 3 5 2 4" xfId="30139" xr:uid="{1FC64EF8-5CCB-4BF0-9B15-FCB31C450753}"/>
    <cellStyle name="Normal 11 3 3 5 3" xfId="7695" xr:uid="{E012527A-B8BC-46CA-991E-E1B9283EB7DF}"/>
    <cellStyle name="Normal 11 3 3 5 3 2" xfId="20377" xr:uid="{70A7A1C9-D8DD-4716-AA19-D5F187FCD367}"/>
    <cellStyle name="Normal 11 3 3 5 3 2 2" xfId="45869" xr:uid="{E628640E-43CC-4C15-ABE1-442E8D7A7C3F}"/>
    <cellStyle name="Normal 11 3 3 5 3 3" xfId="33278" xr:uid="{A279F49B-0DF1-469D-8CAE-F6E30F9E29AC}"/>
    <cellStyle name="Normal 11 3 3 5 4" xfId="14099" xr:uid="{037BF723-F43F-42F0-9866-27D1D197F1D2}"/>
    <cellStyle name="Normal 11 3 3 5 4 2" xfId="39591" xr:uid="{7284A26E-9D4F-4394-847E-84C5713CA09B}"/>
    <cellStyle name="Normal 11 3 3 5 5" xfId="27000" xr:uid="{70055A81-628C-44A2-917A-B76412453C45}"/>
    <cellStyle name="Normal 11 3 3 6" xfId="2694" xr:uid="{2960F148-854A-4385-8B8A-DE3565E91779}"/>
    <cellStyle name="Normal 11 3 3 6 2" xfId="5848" xr:uid="{B5CB5852-3C9A-4FC2-A96D-F1B203E07299}"/>
    <cellStyle name="Normal 11 3 3 6 2 2" xfId="12141" xr:uid="{BEA39286-0C52-40E9-A7D4-94CE40507BD0}"/>
    <cellStyle name="Normal 11 3 3 6 2 2 2" xfId="24823" xr:uid="{74E83F5B-A839-480D-A589-494278568CA3}"/>
    <cellStyle name="Normal 11 3 3 6 2 2 2 2" xfId="50315" xr:uid="{A92605F8-C9AB-43AE-8CC5-AA0DCC3CBAAE}"/>
    <cellStyle name="Normal 11 3 3 6 2 2 3" xfId="37724" xr:uid="{51B5D86D-2774-487E-8927-A343F1FA2A88}"/>
    <cellStyle name="Normal 11 3 3 6 2 3" xfId="18545" xr:uid="{94ECB296-B158-4B40-A1F7-5A8A2177EDEC}"/>
    <cellStyle name="Normal 11 3 3 6 2 3 2" xfId="44037" xr:uid="{346DEB0A-F8C9-41F6-B81F-51FA09F607AD}"/>
    <cellStyle name="Normal 11 3 3 6 2 4" xfId="31446" xr:uid="{1A9B071E-4FC4-49E2-B521-27596147C9BB}"/>
    <cellStyle name="Normal 11 3 3 6 3" xfId="9002" xr:uid="{C6DEC2DD-7B5E-4A07-B7D3-52FB2D17C952}"/>
    <cellStyle name="Normal 11 3 3 6 3 2" xfId="21684" xr:uid="{0C01F103-42D9-4345-B89D-8E3086BE3882}"/>
    <cellStyle name="Normal 11 3 3 6 3 2 2" xfId="47176" xr:uid="{5775CBA5-D9E6-4ABD-B9E8-70F74107FE99}"/>
    <cellStyle name="Normal 11 3 3 6 3 3" xfId="34585" xr:uid="{01EFC4BB-8C1A-4195-B324-56ACBB3CD208}"/>
    <cellStyle name="Normal 11 3 3 6 4" xfId="15406" xr:uid="{49B8A00F-B223-4A4A-BC68-142CC0032FA4}"/>
    <cellStyle name="Normal 11 3 3 6 4 2" xfId="40898" xr:uid="{338F8496-C0C7-49CE-930B-BF9F1B77330F}"/>
    <cellStyle name="Normal 11 3 3 6 5" xfId="28307" xr:uid="{8AB7C915-9196-4F22-9555-CA511D66DD67}"/>
    <cellStyle name="Normal 11 3 3 7" xfId="3217" xr:uid="{9A4D82DB-0E9E-42FE-B466-7642615D93A4}"/>
    <cellStyle name="Normal 11 3 3 7 2" xfId="6371" xr:uid="{B55763C4-C99F-4E02-AB8D-FB1D166746F2}"/>
    <cellStyle name="Normal 11 3 3 7 2 2" xfId="12664" xr:uid="{FFC2CDBF-EDC1-4910-9081-7264E9B13184}"/>
    <cellStyle name="Normal 11 3 3 7 2 2 2" xfId="25346" xr:uid="{1B64B194-B80D-4348-A1E1-23BBC02C100A}"/>
    <cellStyle name="Normal 11 3 3 7 2 2 2 2" xfId="50838" xr:uid="{3EBBC15D-8B41-4026-BB3F-33A3CC009065}"/>
    <cellStyle name="Normal 11 3 3 7 2 2 3" xfId="38247" xr:uid="{084257EE-F3D2-4A58-AB97-3FE3F5369DBB}"/>
    <cellStyle name="Normal 11 3 3 7 2 3" xfId="19068" xr:uid="{03B75D44-EF58-413A-953A-687145C8751B}"/>
    <cellStyle name="Normal 11 3 3 7 2 3 2" xfId="44560" xr:uid="{4BFF6348-1724-4571-9392-B8D8296EE010}"/>
    <cellStyle name="Normal 11 3 3 7 2 4" xfId="31969" xr:uid="{E6B147C3-6D17-4F4B-A2C6-ED18D9C2E135}"/>
    <cellStyle name="Normal 11 3 3 7 3" xfId="9525" xr:uid="{9EC84B99-4AD6-42DD-9F89-6363DE9DA4B8}"/>
    <cellStyle name="Normal 11 3 3 7 3 2" xfId="22207" xr:uid="{9F1350EE-9107-48F8-BFE3-B06AB2B6FAE6}"/>
    <cellStyle name="Normal 11 3 3 7 3 2 2" xfId="47699" xr:uid="{063A7987-C00F-4640-8659-7ABF2CC27759}"/>
    <cellStyle name="Normal 11 3 3 7 3 3" xfId="35108" xr:uid="{882D8CCB-DE3E-40B9-9030-6C83754EE88A}"/>
    <cellStyle name="Normal 11 3 3 7 4" xfId="15929" xr:uid="{5884A971-1C48-4679-8107-AB1E5DE06070}"/>
    <cellStyle name="Normal 11 3 3 7 4 2" xfId="41421" xr:uid="{83795CA9-72CC-4711-B027-F9EF5A6AEBC0}"/>
    <cellStyle name="Normal 11 3 3 7 5" xfId="28830" xr:uid="{5FA89A04-54A0-401F-BF62-64CABF81F251}"/>
    <cellStyle name="Normal 11 3 3 8" xfId="3756" xr:uid="{E231B1AC-16DB-4B15-AF86-F128DE47B617}"/>
    <cellStyle name="Normal 11 3 3 8 2" xfId="10049" xr:uid="{B56D5861-C536-4459-91AD-77404D80DA88}"/>
    <cellStyle name="Normal 11 3 3 8 2 2" xfId="22731" xr:uid="{E028B860-AF97-4A29-A1A4-64CDB0FA956B}"/>
    <cellStyle name="Normal 11 3 3 8 2 2 2" xfId="48223" xr:uid="{973D50A7-30B8-472F-93F7-8BA5E85E5A31}"/>
    <cellStyle name="Normal 11 3 3 8 2 3" xfId="35632" xr:uid="{A9679752-EFBC-41FD-91DF-D7738F4AEE5D}"/>
    <cellStyle name="Normal 11 3 3 8 3" xfId="16453" xr:uid="{B2421081-FD74-4CEB-B360-B86941BA6EE1}"/>
    <cellStyle name="Normal 11 3 3 8 3 2" xfId="41945" xr:uid="{F56646C9-8D49-4E0E-B8BB-2E9452BD8F3B}"/>
    <cellStyle name="Normal 11 3 3 8 4" xfId="29354" xr:uid="{69731195-0939-46CB-9189-F6035C334939}"/>
    <cellStyle name="Normal 11 3 3 9" xfId="6910" xr:uid="{BE1173BC-B380-49D8-97E3-6F808E118E50}"/>
    <cellStyle name="Normal 11 3 3 9 2" xfId="19592" xr:uid="{4F28F405-21F6-49CB-B765-85544837EC38}"/>
    <cellStyle name="Normal 11 3 3 9 2 2" xfId="45084" xr:uid="{0752ECDC-CB5E-4E57-8A17-4589C6546775}"/>
    <cellStyle name="Normal 11 3 3 9 3" xfId="32493" xr:uid="{FBDB0274-850F-4AD1-A5F8-6BE1E49C9CD4}"/>
    <cellStyle name="Normal 11 3 4" xfId="548" xr:uid="{284CE289-82A2-4FFB-A0A8-BCD8656AB3EC}"/>
    <cellStyle name="Normal 11 3 4 10" xfId="13275" xr:uid="{C4AA5E9C-635B-4C3D-BAFB-2E245DA81C0C}"/>
    <cellStyle name="Normal 11 3 4 10 2" xfId="38767" xr:uid="{57A5120F-F74A-4D2C-BE57-69A4F144CDAB}"/>
    <cellStyle name="Normal 11 3 4 11" xfId="26176" xr:uid="{E6A8BCBF-4C56-44B4-B9C6-B3BDAA67AD4F}"/>
    <cellStyle name="Normal 11 3 4 2" xfId="1085" xr:uid="{5A8B0AE9-1AF1-4DA6-B894-9C8BFF5D3F17}"/>
    <cellStyle name="Normal 11 3 4 2 2" xfId="2392" xr:uid="{6D62C119-81C0-4D7E-A266-2E9641C723BE}"/>
    <cellStyle name="Normal 11 3 4 2 2 2" xfId="5546" xr:uid="{32775CC5-8040-4E41-9277-F0F2E5105D4C}"/>
    <cellStyle name="Normal 11 3 4 2 2 2 2" xfId="11839" xr:uid="{DADA1AD5-8E39-4622-9DCB-EABBB23E1590}"/>
    <cellStyle name="Normal 11 3 4 2 2 2 2 2" xfId="24521" xr:uid="{92C509A0-ABF3-4154-8F0D-11FEC8B1BBF4}"/>
    <cellStyle name="Normal 11 3 4 2 2 2 2 2 2" xfId="50013" xr:uid="{3E135939-C994-4F94-A63B-FDCD684CDB09}"/>
    <cellStyle name="Normal 11 3 4 2 2 2 2 3" xfId="37422" xr:uid="{8F2DC72F-F787-4FC9-8F3C-4589D95B3EC1}"/>
    <cellStyle name="Normal 11 3 4 2 2 2 3" xfId="18243" xr:uid="{8A9FB338-43DE-4752-88F8-00FBFE9CFDDF}"/>
    <cellStyle name="Normal 11 3 4 2 2 2 3 2" xfId="43735" xr:uid="{6F906EEB-FF1E-4D14-863B-E744C0036F03}"/>
    <cellStyle name="Normal 11 3 4 2 2 2 4" xfId="31144" xr:uid="{7660AD3C-0704-4BE1-B873-243B4A1EE53C}"/>
    <cellStyle name="Normal 11 3 4 2 2 3" xfId="8700" xr:uid="{AC8A836E-7198-4410-B361-1B1AB18EC287}"/>
    <cellStyle name="Normal 11 3 4 2 2 3 2" xfId="21382" xr:uid="{20DC5AE1-A24E-40D5-94CC-7BD2D714CA7B}"/>
    <cellStyle name="Normal 11 3 4 2 2 3 2 2" xfId="46874" xr:uid="{11690FFA-27D9-4FAA-B442-5BB37F99EC87}"/>
    <cellStyle name="Normal 11 3 4 2 2 3 3" xfId="34283" xr:uid="{5083E7F1-3C47-4F53-8A39-379EEDCC2066}"/>
    <cellStyle name="Normal 11 3 4 2 2 4" xfId="15104" xr:uid="{F52C7364-8A6F-46F0-9E4D-6E5C1AE2F719}"/>
    <cellStyle name="Normal 11 3 4 2 2 4 2" xfId="40596" xr:uid="{32B71FAB-2E39-4203-89C5-A796E1350F0C}"/>
    <cellStyle name="Normal 11 3 4 2 2 5" xfId="28005" xr:uid="{DFAA17A1-6939-4314-9725-D15C669B7CFB}"/>
    <cellStyle name="Normal 11 3 4 2 3" xfId="1609" xr:uid="{21B18794-E9F6-4267-8A8D-715293360702}"/>
    <cellStyle name="Normal 11 3 4 2 3 2" xfId="4763" xr:uid="{5D7F5902-0C3B-4273-AD31-D4ACB0A00679}"/>
    <cellStyle name="Normal 11 3 4 2 3 2 2" xfId="11056" xr:uid="{568E23C2-9021-47E8-9220-6F83EB477795}"/>
    <cellStyle name="Normal 11 3 4 2 3 2 2 2" xfId="23738" xr:uid="{D20EF8DB-0EC9-4F2B-A3DD-E47C66742831}"/>
    <cellStyle name="Normal 11 3 4 2 3 2 2 2 2" xfId="49230" xr:uid="{CDE8E95C-BAA4-4C63-A837-81AD36ED5CCC}"/>
    <cellStyle name="Normal 11 3 4 2 3 2 2 3" xfId="36639" xr:uid="{D71B53CB-848F-4D29-A0D0-F056B0B80EC6}"/>
    <cellStyle name="Normal 11 3 4 2 3 2 3" xfId="17460" xr:uid="{A2E6EEFD-9894-4329-BF7D-24C7AF97603D}"/>
    <cellStyle name="Normal 11 3 4 2 3 2 3 2" xfId="42952" xr:uid="{27104B32-A36A-468D-B819-70A2399B8BFE}"/>
    <cellStyle name="Normal 11 3 4 2 3 2 4" xfId="30361" xr:uid="{0319CB3E-9C53-4C7A-B39B-1E1D3378199F}"/>
    <cellStyle name="Normal 11 3 4 2 3 3" xfId="7917" xr:uid="{90820508-C6F0-4A63-BCD2-D726A13FF3AF}"/>
    <cellStyle name="Normal 11 3 4 2 3 3 2" xfId="20599" xr:uid="{30908BCA-24D4-4624-BF1A-34A58E8C45C1}"/>
    <cellStyle name="Normal 11 3 4 2 3 3 2 2" xfId="46091" xr:uid="{CF27C6B6-80A6-4C17-BD20-2299DE7F5286}"/>
    <cellStyle name="Normal 11 3 4 2 3 3 3" xfId="33500" xr:uid="{59B426AA-426D-4535-8952-D983D3476D4A}"/>
    <cellStyle name="Normal 11 3 4 2 3 4" xfId="14321" xr:uid="{176F9830-F673-4A83-9230-D1E4CCD210F2}"/>
    <cellStyle name="Normal 11 3 4 2 3 4 2" xfId="39813" xr:uid="{31DA139C-D196-4126-89EC-595C4DBF3F2F}"/>
    <cellStyle name="Normal 11 3 4 2 3 5" xfId="27222" xr:uid="{82C223C5-165B-4573-AA5E-9784FFA09F5B}"/>
    <cellStyle name="Normal 11 3 4 2 4" xfId="2916" xr:uid="{D652D73A-FFB3-401F-92AA-D7FB16AC7DE7}"/>
    <cellStyle name="Normal 11 3 4 2 4 2" xfId="6070" xr:uid="{23531A35-1E01-46B0-A5ED-580A70E24CC3}"/>
    <cellStyle name="Normal 11 3 4 2 4 2 2" xfId="12363" xr:uid="{7EB666CE-8BDC-49E5-A7AB-7EC2EDCACECA}"/>
    <cellStyle name="Normal 11 3 4 2 4 2 2 2" xfId="25045" xr:uid="{B16B59E8-09C3-462C-B29C-F7F17565A456}"/>
    <cellStyle name="Normal 11 3 4 2 4 2 2 2 2" xfId="50537" xr:uid="{D93A70A3-D011-41E3-8EE9-93B8EE88143F}"/>
    <cellStyle name="Normal 11 3 4 2 4 2 2 3" xfId="37946" xr:uid="{59C6CD29-7736-44A1-B2B4-4B195FFE904C}"/>
    <cellStyle name="Normal 11 3 4 2 4 2 3" xfId="18767" xr:uid="{34D19596-4E53-4260-BB65-8484062382C9}"/>
    <cellStyle name="Normal 11 3 4 2 4 2 3 2" xfId="44259" xr:uid="{AA4D8E32-190E-4542-9DDF-B4A4C349362F}"/>
    <cellStyle name="Normal 11 3 4 2 4 2 4" xfId="31668" xr:uid="{E1DE8F69-4BFA-4B7E-9C8D-496CFF250D18}"/>
    <cellStyle name="Normal 11 3 4 2 4 3" xfId="9224" xr:uid="{08AD4525-57C6-454D-BDD5-4951006905DC}"/>
    <cellStyle name="Normal 11 3 4 2 4 3 2" xfId="21906" xr:uid="{D80ED693-4B5E-44A7-9BC6-F252C17E8405}"/>
    <cellStyle name="Normal 11 3 4 2 4 3 2 2" xfId="47398" xr:uid="{CA3D54E9-4EBD-4D11-9CB4-880ED391CDAC}"/>
    <cellStyle name="Normal 11 3 4 2 4 3 3" xfId="34807" xr:uid="{A22402C5-B23C-4F02-BF31-F60B87EE0121}"/>
    <cellStyle name="Normal 11 3 4 2 4 4" xfId="15628" xr:uid="{A5906F3F-3956-423C-A4DA-C6A7C8404AA5}"/>
    <cellStyle name="Normal 11 3 4 2 4 4 2" xfId="41120" xr:uid="{226F23A9-B557-438C-8DD5-F2441FBD879A}"/>
    <cellStyle name="Normal 11 3 4 2 4 5" xfId="28529" xr:uid="{469A3B2A-B371-4639-994E-D3994084F95C}"/>
    <cellStyle name="Normal 11 3 4 2 5" xfId="3439" xr:uid="{EB2E7EF7-0AF2-461C-BB67-CC1E0535A3B0}"/>
    <cellStyle name="Normal 11 3 4 2 5 2" xfId="6593" xr:uid="{A9FA0C80-4705-486D-BE22-048E17B8B30E}"/>
    <cellStyle name="Normal 11 3 4 2 5 2 2" xfId="12886" xr:uid="{DD41535B-DBD4-441D-8FCB-EABF3562F773}"/>
    <cellStyle name="Normal 11 3 4 2 5 2 2 2" xfId="25568" xr:uid="{3E2A0FDE-0EDB-4128-A836-BC79A061D11D}"/>
    <cellStyle name="Normal 11 3 4 2 5 2 2 2 2" xfId="51060" xr:uid="{D7FF63FD-1C1B-4F78-97F7-1F32B80406E9}"/>
    <cellStyle name="Normal 11 3 4 2 5 2 2 3" xfId="38469" xr:uid="{231F61FC-DF7F-4606-97B1-213E19BEB1BE}"/>
    <cellStyle name="Normal 11 3 4 2 5 2 3" xfId="19290" xr:uid="{1305C449-8B29-41F7-96A1-22BDF25B2B4E}"/>
    <cellStyle name="Normal 11 3 4 2 5 2 3 2" xfId="44782" xr:uid="{C63BB681-4673-4889-8EA6-D0A3C10BF4ED}"/>
    <cellStyle name="Normal 11 3 4 2 5 2 4" xfId="32191" xr:uid="{79BA84C7-2DEB-4CE7-A63F-8C63DA6EB832}"/>
    <cellStyle name="Normal 11 3 4 2 5 3" xfId="9747" xr:uid="{FF98D0B4-EB0B-42A5-BC05-DF97690C19A3}"/>
    <cellStyle name="Normal 11 3 4 2 5 3 2" xfId="22429" xr:uid="{EAA5269C-B6D3-4F12-9380-192204B382F6}"/>
    <cellStyle name="Normal 11 3 4 2 5 3 2 2" xfId="47921" xr:uid="{E0B3F948-6663-41AA-B22E-FDD4718B78BF}"/>
    <cellStyle name="Normal 11 3 4 2 5 3 3" xfId="35330" xr:uid="{27FB2E3A-8D88-4F27-9566-858D7E3E86F2}"/>
    <cellStyle name="Normal 11 3 4 2 5 4" xfId="16151" xr:uid="{39CBB506-283F-41D1-B715-0F34DCE00E77}"/>
    <cellStyle name="Normal 11 3 4 2 5 4 2" xfId="41643" xr:uid="{FF5B92D7-E6B4-47E2-9BC3-4F32473EB4AC}"/>
    <cellStyle name="Normal 11 3 4 2 5 5" xfId="29052" xr:uid="{253AC9D5-7470-43A6-BBB5-B79E8BAFDABC}"/>
    <cellStyle name="Normal 11 3 4 2 6" xfId="4239" xr:uid="{886053C7-9610-4FCB-B362-9568FD900896}"/>
    <cellStyle name="Normal 11 3 4 2 6 2" xfId="10532" xr:uid="{9AD0E3F3-044E-4A38-91ED-C5469188B9AD}"/>
    <cellStyle name="Normal 11 3 4 2 6 2 2" xfId="23214" xr:uid="{2E270FCE-0DCB-400F-9F01-96E5839A315B}"/>
    <cellStyle name="Normal 11 3 4 2 6 2 2 2" xfId="48706" xr:uid="{D02E7BA5-8376-4B55-B277-C7C303F062E7}"/>
    <cellStyle name="Normal 11 3 4 2 6 2 3" xfId="36115" xr:uid="{AD68E7CE-83C1-4709-ABE4-14858A4CE256}"/>
    <cellStyle name="Normal 11 3 4 2 6 3" xfId="16936" xr:uid="{6806D4D5-455E-4F78-B6C9-E9C21A4B33F7}"/>
    <cellStyle name="Normal 11 3 4 2 6 3 2" xfId="42428" xr:uid="{E157E0E0-D3B8-4683-AF0D-F43550549793}"/>
    <cellStyle name="Normal 11 3 4 2 6 4" xfId="29837" xr:uid="{C43E1187-0BFD-45F4-8BF5-9D0412AD3C1E}"/>
    <cellStyle name="Normal 11 3 4 2 7" xfId="7393" xr:uid="{45116E08-DEC8-4FFE-9D35-B39E726A7D67}"/>
    <cellStyle name="Normal 11 3 4 2 7 2" xfId="20075" xr:uid="{22436D20-ED20-4DB7-851F-6529BDA2602C}"/>
    <cellStyle name="Normal 11 3 4 2 7 2 2" xfId="45567" xr:uid="{45705824-27D6-474B-AF7A-A7A2426A95AB}"/>
    <cellStyle name="Normal 11 3 4 2 7 3" xfId="32976" xr:uid="{28A2CC10-CC8D-4B05-81AC-0FD36582E46F}"/>
    <cellStyle name="Normal 11 3 4 2 8" xfId="13797" xr:uid="{4CE69F33-A0F8-44C8-8798-D7340A330567}"/>
    <cellStyle name="Normal 11 3 4 2 8 2" xfId="39289" xr:uid="{B9880846-4670-4086-B3CF-B1ABAC8F2DEB}"/>
    <cellStyle name="Normal 11 3 4 2 9" xfId="26698" xr:uid="{7DFB3A24-DACD-4CD1-A96B-CBC4102025D7}"/>
    <cellStyle name="Normal 11 3 4 3" xfId="825" xr:uid="{6D9F6369-4C01-48F3-8440-0D17AE42C8B3}"/>
    <cellStyle name="Normal 11 3 4 3 2" xfId="2132" xr:uid="{EA89C0F6-128C-472C-8A11-77023684ACEC}"/>
    <cellStyle name="Normal 11 3 4 3 2 2" xfId="5286" xr:uid="{E3D29B29-5F86-4623-854A-909089AB76DE}"/>
    <cellStyle name="Normal 11 3 4 3 2 2 2" xfId="11579" xr:uid="{E8CEF40A-DFC5-4B0D-A895-8E3860577E49}"/>
    <cellStyle name="Normal 11 3 4 3 2 2 2 2" xfId="24261" xr:uid="{3C362D62-8FBC-4DE2-9C7B-DAA46A321044}"/>
    <cellStyle name="Normal 11 3 4 3 2 2 2 2 2" xfId="49753" xr:uid="{80FDFD4E-FAF5-4F15-BFCF-0A83BDC1FA14}"/>
    <cellStyle name="Normal 11 3 4 3 2 2 2 3" xfId="37162" xr:uid="{152A2535-CF0A-442F-9CB2-A683455DACB6}"/>
    <cellStyle name="Normal 11 3 4 3 2 2 3" xfId="17983" xr:uid="{0439FF85-8267-4863-94D8-B47B76358FD0}"/>
    <cellStyle name="Normal 11 3 4 3 2 2 3 2" xfId="43475" xr:uid="{2E06B6B7-9F80-43EE-8B72-8039EF2C0AF4}"/>
    <cellStyle name="Normal 11 3 4 3 2 2 4" xfId="30884" xr:uid="{070BF1A7-0D68-44BD-AABC-3631032E26A1}"/>
    <cellStyle name="Normal 11 3 4 3 2 3" xfId="8440" xr:uid="{969FA8DC-54C2-43F5-ACB4-096F382BACCB}"/>
    <cellStyle name="Normal 11 3 4 3 2 3 2" xfId="21122" xr:uid="{A459CB3C-EE98-479A-8520-14244E247B75}"/>
    <cellStyle name="Normal 11 3 4 3 2 3 2 2" xfId="46614" xr:uid="{C51C25BD-C181-4938-90D6-8A1F59AB89F8}"/>
    <cellStyle name="Normal 11 3 4 3 2 3 3" xfId="34023" xr:uid="{C7010A81-C6C9-4DDF-9E4C-B385E8E1DB1B}"/>
    <cellStyle name="Normal 11 3 4 3 2 4" xfId="14844" xr:uid="{25B5E795-8605-48F0-A263-D9EF8E9E32B9}"/>
    <cellStyle name="Normal 11 3 4 3 2 4 2" xfId="40336" xr:uid="{ECEAF284-D528-4442-8C36-8D17BC7BF137}"/>
    <cellStyle name="Normal 11 3 4 3 2 5" xfId="27745" xr:uid="{B569F7E7-CE32-40B7-8C19-484355C4C853}"/>
    <cellStyle name="Normal 11 3 4 3 3" xfId="3979" xr:uid="{71FFF943-0B4A-40C3-AE97-1F3BD2C3D961}"/>
    <cellStyle name="Normal 11 3 4 3 3 2" xfId="10272" xr:uid="{A91085DD-7548-41B2-B0DA-3E0C8D5DFB2A}"/>
    <cellStyle name="Normal 11 3 4 3 3 2 2" xfId="22954" xr:uid="{9AF75B1E-A777-49C2-BF4D-0541831AB5F2}"/>
    <cellStyle name="Normal 11 3 4 3 3 2 2 2" xfId="48446" xr:uid="{17FF2AE3-0976-44AB-BDEF-665B9EA95E1A}"/>
    <cellStyle name="Normal 11 3 4 3 3 2 3" xfId="35855" xr:uid="{EF07C055-83E5-48AD-87A8-7252960209CC}"/>
    <cellStyle name="Normal 11 3 4 3 3 3" xfId="16676" xr:uid="{473AF2F8-C450-48D8-92DF-A28F41BBBCBF}"/>
    <cellStyle name="Normal 11 3 4 3 3 3 2" xfId="42168" xr:uid="{9B03E983-15F6-4900-8CC3-441E0E7BFA09}"/>
    <cellStyle name="Normal 11 3 4 3 3 4" xfId="29577" xr:uid="{C391808B-345C-400F-8551-2D2109A3CC67}"/>
    <cellStyle name="Normal 11 3 4 3 4" xfId="7133" xr:uid="{6AA54710-42F2-42F1-B9BC-64B1A46AEC9F}"/>
    <cellStyle name="Normal 11 3 4 3 4 2" xfId="19815" xr:uid="{CBFB5D83-E9B9-49F1-890D-17B785905E2D}"/>
    <cellStyle name="Normal 11 3 4 3 4 2 2" xfId="45307" xr:uid="{15708C36-CD81-4A21-800F-51F329633D9E}"/>
    <cellStyle name="Normal 11 3 4 3 4 3" xfId="32716" xr:uid="{2375820A-518D-4E90-B5C7-846E80293018}"/>
    <cellStyle name="Normal 11 3 4 3 5" xfId="13537" xr:uid="{9D161FF8-E0D5-44D9-9A1D-734948940638}"/>
    <cellStyle name="Normal 11 3 4 3 5 2" xfId="39029" xr:uid="{CAA461D5-4B95-4305-B08D-711D8C9F2E22}"/>
    <cellStyle name="Normal 11 3 4 3 6" xfId="26438" xr:uid="{6074929E-DBF9-495F-8B6E-256A36498BF2}"/>
    <cellStyle name="Normal 11 3 4 4" xfId="1870" xr:uid="{68C9B238-AA62-4862-A5F2-B6F9660061B1}"/>
    <cellStyle name="Normal 11 3 4 4 2" xfId="5024" xr:uid="{AD311ADC-592A-48B4-8303-CCBE1D64B53B}"/>
    <cellStyle name="Normal 11 3 4 4 2 2" xfId="11317" xr:uid="{A9BE4BF6-897D-4932-BA83-4D8BF13F62C5}"/>
    <cellStyle name="Normal 11 3 4 4 2 2 2" xfId="23999" xr:uid="{68BED6D7-F177-4D86-9EE0-6BAA82E46913}"/>
    <cellStyle name="Normal 11 3 4 4 2 2 2 2" xfId="49491" xr:uid="{73754D32-9241-4905-A1AD-07575004F8AB}"/>
    <cellStyle name="Normal 11 3 4 4 2 2 3" xfId="36900" xr:uid="{ABAAA3DC-4140-4A1D-B093-15E93AC5667A}"/>
    <cellStyle name="Normal 11 3 4 4 2 3" xfId="17721" xr:uid="{31620294-85F8-4E71-88ED-B849112F93F8}"/>
    <cellStyle name="Normal 11 3 4 4 2 3 2" xfId="43213" xr:uid="{2C856F50-CA0C-4EA5-B7FE-3A38B2522281}"/>
    <cellStyle name="Normal 11 3 4 4 2 4" xfId="30622" xr:uid="{4E2F15AC-2941-4A79-8954-33422E975ADE}"/>
    <cellStyle name="Normal 11 3 4 4 3" xfId="8178" xr:uid="{415D8A04-FE75-4623-9D5B-69E4C58F58F7}"/>
    <cellStyle name="Normal 11 3 4 4 3 2" xfId="20860" xr:uid="{D9F32ABD-D59E-415E-AAC5-283BEA742F08}"/>
    <cellStyle name="Normal 11 3 4 4 3 2 2" xfId="46352" xr:uid="{998F0800-33F7-463C-84EF-7C037E454754}"/>
    <cellStyle name="Normal 11 3 4 4 3 3" xfId="33761" xr:uid="{0A80A01B-2B60-449F-ABFE-1789BC77923A}"/>
    <cellStyle name="Normal 11 3 4 4 4" xfId="14582" xr:uid="{29AE0D50-47BF-466F-B0B7-08972EE0B6D9}"/>
    <cellStyle name="Normal 11 3 4 4 4 2" xfId="40074" xr:uid="{80D3ED6B-C5BA-4D63-AC10-648C6F2BD906}"/>
    <cellStyle name="Normal 11 3 4 4 5" xfId="27483" xr:uid="{47E37D17-1EBF-45DB-AFAA-5BA9EB7302F6}"/>
    <cellStyle name="Normal 11 3 4 5" xfId="1348" xr:uid="{7777D822-CD08-4886-9245-6DB22884B223}"/>
    <cellStyle name="Normal 11 3 4 5 2" xfId="4502" xr:uid="{886B13F5-5E86-4A12-A56C-3021B7CEBA99}"/>
    <cellStyle name="Normal 11 3 4 5 2 2" xfId="10795" xr:uid="{AE2045F7-B63C-40AF-A362-509E5F9B7B4D}"/>
    <cellStyle name="Normal 11 3 4 5 2 2 2" xfId="23477" xr:uid="{A0428FAD-EE6E-4008-81FA-98273DA60F49}"/>
    <cellStyle name="Normal 11 3 4 5 2 2 2 2" xfId="48969" xr:uid="{0AC4EBF6-5A24-48E7-97B4-BCAD1E36B3ED}"/>
    <cellStyle name="Normal 11 3 4 5 2 2 3" xfId="36378" xr:uid="{6D09D956-8A9A-40F5-A443-C7CCCC2B2C03}"/>
    <cellStyle name="Normal 11 3 4 5 2 3" xfId="17199" xr:uid="{8D69EDE9-09D2-4318-BB01-778CDC327B39}"/>
    <cellStyle name="Normal 11 3 4 5 2 3 2" xfId="42691" xr:uid="{C2AEB4C8-74AB-4138-8EAB-1E89984501C4}"/>
    <cellStyle name="Normal 11 3 4 5 2 4" xfId="30100" xr:uid="{6C080655-E494-4C84-8FC9-4E47FF5FEDC8}"/>
    <cellStyle name="Normal 11 3 4 5 3" xfId="7656" xr:uid="{2F597C60-9A96-43AC-A999-21C7A77C4EB2}"/>
    <cellStyle name="Normal 11 3 4 5 3 2" xfId="20338" xr:uid="{602FCC22-21AB-4F02-86DA-78E20A0909A0}"/>
    <cellStyle name="Normal 11 3 4 5 3 2 2" xfId="45830" xr:uid="{F7A46AA6-EB32-4214-87F7-2363538F95F4}"/>
    <cellStyle name="Normal 11 3 4 5 3 3" xfId="33239" xr:uid="{0CD5AB45-9B75-44F1-B08B-852AC9C8618B}"/>
    <cellStyle name="Normal 11 3 4 5 4" xfId="14060" xr:uid="{FE406C1B-38E7-43F9-990F-1EC0139E92B9}"/>
    <cellStyle name="Normal 11 3 4 5 4 2" xfId="39552" xr:uid="{DC19FE91-8679-4B60-9E2D-44083854DC66}"/>
    <cellStyle name="Normal 11 3 4 5 5" xfId="26961" xr:uid="{8998489B-9043-492D-BB29-26FE1750B428}"/>
    <cellStyle name="Normal 11 3 4 6" xfId="2655" xr:uid="{96302E2F-31E7-412A-837F-3AC78DD81B04}"/>
    <cellStyle name="Normal 11 3 4 6 2" xfId="5809" xr:uid="{76A2BB8C-B12D-42BD-A919-0724E416E1DE}"/>
    <cellStyle name="Normal 11 3 4 6 2 2" xfId="12102" xr:uid="{08FB8291-EC9E-4452-BD37-93A5EEDD4237}"/>
    <cellStyle name="Normal 11 3 4 6 2 2 2" xfId="24784" xr:uid="{3F0B593B-DB60-4B1D-B189-E39BF445803E}"/>
    <cellStyle name="Normal 11 3 4 6 2 2 2 2" xfId="50276" xr:uid="{9FF8CDA5-286F-4A74-BBC9-763AB33F8B70}"/>
    <cellStyle name="Normal 11 3 4 6 2 2 3" xfId="37685" xr:uid="{4B61F7E0-6483-4503-BB1C-0760201B500F}"/>
    <cellStyle name="Normal 11 3 4 6 2 3" xfId="18506" xr:uid="{4552E2FE-8480-40BE-9BAB-3CA16340BB47}"/>
    <cellStyle name="Normal 11 3 4 6 2 3 2" xfId="43998" xr:uid="{BA07A922-E330-4F1C-B4DD-F6EBE2182E46}"/>
    <cellStyle name="Normal 11 3 4 6 2 4" xfId="31407" xr:uid="{820E163F-14F8-4EF9-9FD6-8899A0202805}"/>
    <cellStyle name="Normal 11 3 4 6 3" xfId="8963" xr:uid="{E49C3128-A506-4903-89E6-A2EF29798FFE}"/>
    <cellStyle name="Normal 11 3 4 6 3 2" xfId="21645" xr:uid="{3B8E89C8-480C-47B2-B082-6D829D55A14E}"/>
    <cellStyle name="Normal 11 3 4 6 3 2 2" xfId="47137" xr:uid="{B39CAB0A-6E5A-4EC8-9046-3BCBFE5028C7}"/>
    <cellStyle name="Normal 11 3 4 6 3 3" xfId="34546" xr:uid="{1A5F2DDC-0BC6-4E98-8FED-639533FD90F1}"/>
    <cellStyle name="Normal 11 3 4 6 4" xfId="15367" xr:uid="{78BB40FB-F398-422B-AC28-63F7CDE5A73C}"/>
    <cellStyle name="Normal 11 3 4 6 4 2" xfId="40859" xr:uid="{D5E02A5D-F432-42FD-B123-2D4CA79E21C3}"/>
    <cellStyle name="Normal 11 3 4 6 5" xfId="28268" xr:uid="{B62EBC56-15DE-4559-B054-29BB850E1EB5}"/>
    <cellStyle name="Normal 11 3 4 7" xfId="3178" xr:uid="{79EA2687-5984-45CF-901F-64311DFC55EC}"/>
    <cellStyle name="Normal 11 3 4 7 2" xfId="6332" xr:uid="{F5788FDF-08DF-4335-BB2B-BDDD7FC1CB3D}"/>
    <cellStyle name="Normal 11 3 4 7 2 2" xfId="12625" xr:uid="{D53B2742-DF69-4655-9458-B91F3950BEE6}"/>
    <cellStyle name="Normal 11 3 4 7 2 2 2" xfId="25307" xr:uid="{D1F2F273-5D7C-46E1-BCC1-6F62C5792573}"/>
    <cellStyle name="Normal 11 3 4 7 2 2 2 2" xfId="50799" xr:uid="{091C74EA-92B8-4231-9647-3272F37B9E54}"/>
    <cellStyle name="Normal 11 3 4 7 2 2 3" xfId="38208" xr:uid="{391386FD-73A3-4874-B1E6-3360A45EA438}"/>
    <cellStyle name="Normal 11 3 4 7 2 3" xfId="19029" xr:uid="{8E483BEA-F8BD-45BA-9291-D06C63CA0AE4}"/>
    <cellStyle name="Normal 11 3 4 7 2 3 2" xfId="44521" xr:uid="{951F1252-2050-4A18-B311-06D21B6A52B5}"/>
    <cellStyle name="Normal 11 3 4 7 2 4" xfId="31930" xr:uid="{08B1C72A-9F15-488A-833F-9ABF6459628C}"/>
    <cellStyle name="Normal 11 3 4 7 3" xfId="9486" xr:uid="{FDF5F523-79A5-42F0-B157-601EB4FCB021}"/>
    <cellStyle name="Normal 11 3 4 7 3 2" xfId="22168" xr:uid="{92CA78B4-EC05-4B43-83D5-C58C3D91E07B}"/>
    <cellStyle name="Normal 11 3 4 7 3 2 2" xfId="47660" xr:uid="{41D1CFCB-E7C5-4764-85B5-7F1F494B603F}"/>
    <cellStyle name="Normal 11 3 4 7 3 3" xfId="35069" xr:uid="{77BE0185-23CF-46E1-8705-AF5FCC505A35}"/>
    <cellStyle name="Normal 11 3 4 7 4" xfId="15890" xr:uid="{C77E031E-213D-459A-BBE3-80C810281177}"/>
    <cellStyle name="Normal 11 3 4 7 4 2" xfId="41382" xr:uid="{AF422971-BBD2-4EB7-9111-C3C119718DDE}"/>
    <cellStyle name="Normal 11 3 4 7 5" xfId="28791" xr:uid="{57DAA6A8-6FBF-4E57-BE91-DF1CBD899C0D}"/>
    <cellStyle name="Normal 11 3 4 8" xfId="3717" xr:uid="{C659B6DF-E30A-4ED2-BF88-1BD56DFC0FF7}"/>
    <cellStyle name="Normal 11 3 4 8 2" xfId="10010" xr:uid="{8CE12165-6DC4-4B0C-BA84-C497D5268EF2}"/>
    <cellStyle name="Normal 11 3 4 8 2 2" xfId="22692" xr:uid="{19C2E546-FAE7-4EE4-B995-1EC6762568CF}"/>
    <cellStyle name="Normal 11 3 4 8 2 2 2" xfId="48184" xr:uid="{B96DEA60-9909-468C-8B54-6DCBC215109D}"/>
    <cellStyle name="Normal 11 3 4 8 2 3" xfId="35593" xr:uid="{C701480F-2972-4049-95A2-DC5A0727F4BD}"/>
    <cellStyle name="Normal 11 3 4 8 3" xfId="16414" xr:uid="{D1936392-05D7-43C4-9882-DFF367809D07}"/>
    <cellStyle name="Normal 11 3 4 8 3 2" xfId="41906" xr:uid="{521C2E12-6888-4CD8-8446-37541D7DD520}"/>
    <cellStyle name="Normal 11 3 4 8 4" xfId="29315" xr:uid="{0F34B915-9009-4985-B73D-11B9F4776501}"/>
    <cellStyle name="Normal 11 3 4 9" xfId="6871" xr:uid="{B76EF684-BB41-4974-8F5F-A2CC26C808C3}"/>
    <cellStyle name="Normal 11 3 4 9 2" xfId="19553" xr:uid="{15E96CBC-1C10-4436-B6B2-20A0F7F5EBAF}"/>
    <cellStyle name="Normal 11 3 4 9 2 2" xfId="45045" xr:uid="{9C8BD232-1597-4372-97AA-D47D30B91D26}"/>
    <cellStyle name="Normal 11 3 4 9 3" xfId="32454" xr:uid="{7671085F-ACED-45FB-9BF9-1840B4241013}"/>
    <cellStyle name="Normal 11 3 5" xfId="965" xr:uid="{48ED1232-811B-4CBE-8266-A6C701E034AB}"/>
    <cellStyle name="Normal 11 3 5 2" xfId="2272" xr:uid="{9AC17B22-D4F6-4BAA-A70F-F014F820C9EB}"/>
    <cellStyle name="Normal 11 3 5 2 2" xfId="5426" xr:uid="{AF0771F6-4CB1-4989-85C8-00A94731C23C}"/>
    <cellStyle name="Normal 11 3 5 2 2 2" xfId="11719" xr:uid="{06807689-FF2D-4F66-A842-29A700249842}"/>
    <cellStyle name="Normal 11 3 5 2 2 2 2" xfId="24401" xr:uid="{99111F4F-E6EF-4B06-94D9-FA29337C0B6D}"/>
    <cellStyle name="Normal 11 3 5 2 2 2 2 2" xfId="49893" xr:uid="{72305A4D-F89D-4A61-823A-D6533D59818B}"/>
    <cellStyle name="Normal 11 3 5 2 2 2 3" xfId="37302" xr:uid="{A8A4A9D7-48CE-4DDD-B315-925C5797B8EA}"/>
    <cellStyle name="Normal 11 3 5 2 2 3" xfId="18123" xr:uid="{6C8EF008-EE68-4AAD-B51D-7CC375670B47}"/>
    <cellStyle name="Normal 11 3 5 2 2 3 2" xfId="43615" xr:uid="{42E518BB-6F9F-4AA6-B975-4D957651B7FF}"/>
    <cellStyle name="Normal 11 3 5 2 2 4" xfId="31024" xr:uid="{70470A2E-A469-4C89-8CBC-D07191F24B85}"/>
    <cellStyle name="Normal 11 3 5 2 3" xfId="8580" xr:uid="{EF9F625B-9D9D-4018-82F2-84CBCC57C16F}"/>
    <cellStyle name="Normal 11 3 5 2 3 2" xfId="21262" xr:uid="{EE32A880-2D89-45E1-955A-F1FA1793F6B4}"/>
    <cellStyle name="Normal 11 3 5 2 3 2 2" xfId="46754" xr:uid="{33AA05BA-65D3-480C-89AE-E3DC4A4E3D18}"/>
    <cellStyle name="Normal 11 3 5 2 3 3" xfId="34163" xr:uid="{31B30BB7-145C-4A00-BFB3-06D186BEA610}"/>
    <cellStyle name="Normal 11 3 5 2 4" xfId="14984" xr:uid="{E5EF1C1D-3491-4D5F-92E9-64C2FE13F56E}"/>
    <cellStyle name="Normal 11 3 5 2 4 2" xfId="40476" xr:uid="{CB482367-51F9-4EA7-82BE-4F9140B75114}"/>
    <cellStyle name="Normal 11 3 5 2 5" xfId="27885" xr:uid="{B25154D7-7164-458A-9B37-3624363C24E4}"/>
    <cellStyle name="Normal 11 3 5 3" xfId="1489" xr:uid="{B80D43C7-FE23-463E-A9A9-34270C643FDC}"/>
    <cellStyle name="Normal 11 3 5 3 2" xfId="4643" xr:uid="{77E9DF9B-ADC0-49C5-8B8E-D7EB2C33735A}"/>
    <cellStyle name="Normal 11 3 5 3 2 2" xfId="10936" xr:uid="{7572F854-1E13-419D-8F9E-3FC6DEFD90A9}"/>
    <cellStyle name="Normal 11 3 5 3 2 2 2" xfId="23618" xr:uid="{CBA0FABB-AB6B-4432-8031-309E30FBDFAF}"/>
    <cellStyle name="Normal 11 3 5 3 2 2 2 2" xfId="49110" xr:uid="{89066676-44A5-4D4B-9F98-466DDF5DBCD2}"/>
    <cellStyle name="Normal 11 3 5 3 2 2 3" xfId="36519" xr:uid="{FBA69844-2928-4BB1-AA0D-721603BC2CA8}"/>
    <cellStyle name="Normal 11 3 5 3 2 3" xfId="17340" xr:uid="{C2C2C4FC-A431-400B-9BAA-97EDF3368380}"/>
    <cellStyle name="Normal 11 3 5 3 2 3 2" xfId="42832" xr:uid="{784AF636-4097-42FB-8F17-9A661821E487}"/>
    <cellStyle name="Normal 11 3 5 3 2 4" xfId="30241" xr:uid="{F755CA6A-2293-4BAC-99F1-AC6AC02BE4FE}"/>
    <cellStyle name="Normal 11 3 5 3 3" xfId="7797" xr:uid="{1C4E3197-A9CF-4298-A5DC-5957AE43E24F}"/>
    <cellStyle name="Normal 11 3 5 3 3 2" xfId="20479" xr:uid="{385DE6D5-DE7E-47A3-A30C-6052D3C51372}"/>
    <cellStyle name="Normal 11 3 5 3 3 2 2" xfId="45971" xr:uid="{7928D02C-1725-488C-8E25-9803D08CEB89}"/>
    <cellStyle name="Normal 11 3 5 3 3 3" xfId="33380" xr:uid="{41B5CC7E-3B25-43C1-9040-A2DD085941DF}"/>
    <cellStyle name="Normal 11 3 5 3 4" xfId="14201" xr:uid="{702170BB-F5E7-4DE0-9D86-D3277B66C8D1}"/>
    <cellStyle name="Normal 11 3 5 3 4 2" xfId="39693" xr:uid="{83B98E09-0933-4C17-97FF-A60F96411D6D}"/>
    <cellStyle name="Normal 11 3 5 3 5" xfId="27102" xr:uid="{B61C1AA6-CCED-42F1-A7EF-B893CB53E8AC}"/>
    <cellStyle name="Normal 11 3 5 4" xfId="2796" xr:uid="{257D76D1-0914-4587-8662-62C057B293B9}"/>
    <cellStyle name="Normal 11 3 5 4 2" xfId="5950" xr:uid="{2CA3FD0D-E165-4FE8-BEDA-1F4FEE0EBCC9}"/>
    <cellStyle name="Normal 11 3 5 4 2 2" xfId="12243" xr:uid="{F4B9EE35-0B68-457A-8D72-FE7F4D215B47}"/>
    <cellStyle name="Normal 11 3 5 4 2 2 2" xfId="24925" xr:uid="{FDAC8A86-5485-4539-8E49-03DEE31FCDAC}"/>
    <cellStyle name="Normal 11 3 5 4 2 2 2 2" xfId="50417" xr:uid="{793D6567-09D6-4CAD-B6E3-1A1D88C3857D}"/>
    <cellStyle name="Normal 11 3 5 4 2 2 3" xfId="37826" xr:uid="{9740164F-49B0-41B0-9F22-F177D782DD62}"/>
    <cellStyle name="Normal 11 3 5 4 2 3" xfId="18647" xr:uid="{A44565D0-C32B-402A-9792-8E584C00B6F4}"/>
    <cellStyle name="Normal 11 3 5 4 2 3 2" xfId="44139" xr:uid="{5352E11D-A82C-4C97-AC26-7C31262B6987}"/>
    <cellStyle name="Normal 11 3 5 4 2 4" xfId="31548" xr:uid="{30B6B51F-061C-434F-9022-40F51A0DB52D}"/>
    <cellStyle name="Normal 11 3 5 4 3" xfId="9104" xr:uid="{856AA6D0-5C0B-4288-94C8-DF9B285A24F6}"/>
    <cellStyle name="Normal 11 3 5 4 3 2" xfId="21786" xr:uid="{1D74DC78-58A5-4580-88EC-E74235351B69}"/>
    <cellStyle name="Normal 11 3 5 4 3 2 2" xfId="47278" xr:uid="{84487374-FB66-4EB1-84EE-5DEB16DBB520}"/>
    <cellStyle name="Normal 11 3 5 4 3 3" xfId="34687" xr:uid="{F7298ABE-88CD-48B0-A331-947CC4C38252}"/>
    <cellStyle name="Normal 11 3 5 4 4" xfId="15508" xr:uid="{E0647B33-2D77-4404-8ABA-DB3303E34610}"/>
    <cellStyle name="Normal 11 3 5 4 4 2" xfId="41000" xr:uid="{D1F936CE-EC78-4A98-9C1E-A432BC8F0B70}"/>
    <cellStyle name="Normal 11 3 5 4 5" xfId="28409" xr:uid="{4C2FFB11-2AE4-452D-A148-718ABA83A399}"/>
    <cellStyle name="Normal 11 3 5 5" xfId="3319" xr:uid="{908A1533-CE83-49F9-9FDC-E9C8437149ED}"/>
    <cellStyle name="Normal 11 3 5 5 2" xfId="6473" xr:uid="{CE10BAFB-1613-4BE0-A239-8EB98292DE06}"/>
    <cellStyle name="Normal 11 3 5 5 2 2" xfId="12766" xr:uid="{A93DA255-696A-4FB6-81B8-4CE2FAC26B4E}"/>
    <cellStyle name="Normal 11 3 5 5 2 2 2" xfId="25448" xr:uid="{B7546E1C-226B-47E2-987C-A51FF0BF3A10}"/>
    <cellStyle name="Normal 11 3 5 5 2 2 2 2" xfId="50940" xr:uid="{77230C39-C2D1-4856-955B-674DCA95393C}"/>
    <cellStyle name="Normal 11 3 5 5 2 2 3" xfId="38349" xr:uid="{90834EFA-5269-4AB4-8270-9ACCE24B5E34}"/>
    <cellStyle name="Normal 11 3 5 5 2 3" xfId="19170" xr:uid="{587FFBAC-7A8B-4D86-BE58-CBAF8E531C76}"/>
    <cellStyle name="Normal 11 3 5 5 2 3 2" xfId="44662" xr:uid="{848DC06F-953A-44F2-AA62-7BBA746E9DFB}"/>
    <cellStyle name="Normal 11 3 5 5 2 4" xfId="32071" xr:uid="{2E09F027-7A3F-48A0-B235-7014C6413AC8}"/>
    <cellStyle name="Normal 11 3 5 5 3" xfId="9627" xr:uid="{ECED1768-F429-44E2-84CC-64B9928400AF}"/>
    <cellStyle name="Normal 11 3 5 5 3 2" xfId="22309" xr:uid="{369A64A0-78CF-44C2-9D60-0D38C67BF8AC}"/>
    <cellStyle name="Normal 11 3 5 5 3 2 2" xfId="47801" xr:uid="{33F68C06-EA0F-4C1F-A5FB-8CD260398773}"/>
    <cellStyle name="Normal 11 3 5 5 3 3" xfId="35210" xr:uid="{BACB7372-A5B3-4377-9E9F-CE6E0F7A3C6C}"/>
    <cellStyle name="Normal 11 3 5 5 4" xfId="16031" xr:uid="{85872D7D-834D-440C-99B1-836C80A449B3}"/>
    <cellStyle name="Normal 11 3 5 5 4 2" xfId="41523" xr:uid="{94415A71-2D55-41B1-ABD4-5A53CF262813}"/>
    <cellStyle name="Normal 11 3 5 5 5" xfId="28932" xr:uid="{E69FA6A1-4375-4526-BB8C-91219D7A8081}"/>
    <cellStyle name="Normal 11 3 5 6" xfId="4119" xr:uid="{0E461683-8D13-4B4D-B822-F50AE0A87352}"/>
    <cellStyle name="Normal 11 3 5 6 2" xfId="10412" xr:uid="{9A38D5E0-4D16-4DC4-B202-27C85B319E3F}"/>
    <cellStyle name="Normal 11 3 5 6 2 2" xfId="23094" xr:uid="{45A829AB-310D-4E0E-B79C-BD65B5E3FD32}"/>
    <cellStyle name="Normal 11 3 5 6 2 2 2" xfId="48586" xr:uid="{61E9A7B3-C9CF-4CDF-BF77-E5BFEF954466}"/>
    <cellStyle name="Normal 11 3 5 6 2 3" xfId="35995" xr:uid="{8DAE3F3E-5976-41D8-BA84-01DAD278832C}"/>
    <cellStyle name="Normal 11 3 5 6 3" xfId="16816" xr:uid="{7EC7FDF5-A74D-4F77-A928-47B3F12885DC}"/>
    <cellStyle name="Normal 11 3 5 6 3 2" xfId="42308" xr:uid="{B3D75361-924C-46EE-8CD8-6E71554797CA}"/>
    <cellStyle name="Normal 11 3 5 6 4" xfId="29717" xr:uid="{2B6A7BA2-0B47-43EF-9D7E-689611D40742}"/>
    <cellStyle name="Normal 11 3 5 7" xfId="7273" xr:uid="{A8EFFB0C-1864-4421-87B2-E0E0835185C8}"/>
    <cellStyle name="Normal 11 3 5 7 2" xfId="19955" xr:uid="{A324ED81-09B1-4B72-84A2-F5F8D65E4198}"/>
    <cellStyle name="Normal 11 3 5 7 2 2" xfId="45447" xr:uid="{A7248D05-02CF-4AB3-90A2-C9B38B02C0BC}"/>
    <cellStyle name="Normal 11 3 5 7 3" xfId="32856" xr:uid="{71EC0FE6-E2B9-4C60-B225-F32B2B5F7EA9}"/>
    <cellStyle name="Normal 11 3 5 8" xfId="13677" xr:uid="{C79B94D6-29A3-4E5E-B204-74C0680DA769}"/>
    <cellStyle name="Normal 11 3 5 8 2" xfId="39169" xr:uid="{58CFCB8A-C25B-4D7B-9409-71E433397713}"/>
    <cellStyle name="Normal 11 3 5 9" xfId="26578" xr:uid="{CD3DDD33-4597-406A-89FC-D0C85332659C}"/>
    <cellStyle name="Normal 11 3 6" xfId="705" xr:uid="{35D21D6D-DCF1-4A02-B3B6-3403AEE066F1}"/>
    <cellStyle name="Normal 11 3 6 2" xfId="2012" xr:uid="{B28BF475-65B3-48C9-9D1D-24A3D711BD47}"/>
    <cellStyle name="Normal 11 3 6 2 2" xfId="5166" xr:uid="{F6E96531-2B15-4D73-9F53-77033A7BCF94}"/>
    <cellStyle name="Normal 11 3 6 2 2 2" xfId="11459" xr:uid="{B7AAF493-77AA-4C27-834A-7598AD2B60D1}"/>
    <cellStyle name="Normal 11 3 6 2 2 2 2" xfId="24141" xr:uid="{C658898C-1D22-49B7-9351-B635A3BEADCE}"/>
    <cellStyle name="Normal 11 3 6 2 2 2 2 2" xfId="49633" xr:uid="{5004F36A-B23B-4E21-B2BB-68E7187FEC38}"/>
    <cellStyle name="Normal 11 3 6 2 2 2 3" xfId="37042" xr:uid="{C657B147-D85B-4C66-92C6-59289DA658CA}"/>
    <cellStyle name="Normal 11 3 6 2 2 3" xfId="17863" xr:uid="{648D1797-055B-4A6A-A925-3884F0D4EA83}"/>
    <cellStyle name="Normal 11 3 6 2 2 3 2" xfId="43355" xr:uid="{151433D6-3FAF-4B65-97C1-5BDFAC9825D0}"/>
    <cellStyle name="Normal 11 3 6 2 2 4" xfId="30764" xr:uid="{CDE22D76-C926-4E7C-AFD6-B189E2D1B69C}"/>
    <cellStyle name="Normal 11 3 6 2 3" xfId="8320" xr:uid="{898B2E6B-DBBE-4F65-8E10-0060C87E1F85}"/>
    <cellStyle name="Normal 11 3 6 2 3 2" xfId="21002" xr:uid="{AE910AC9-C715-4AFA-8D6D-630D63C64FCC}"/>
    <cellStyle name="Normal 11 3 6 2 3 2 2" xfId="46494" xr:uid="{63B2856D-4930-430A-B00C-1133453A4F84}"/>
    <cellStyle name="Normal 11 3 6 2 3 3" xfId="33903" xr:uid="{E3B9D7D2-8388-4A53-966A-0A96A35ED66B}"/>
    <cellStyle name="Normal 11 3 6 2 4" xfId="14724" xr:uid="{AE8E82FC-72F3-452A-BC99-E1A46F454EAA}"/>
    <cellStyle name="Normal 11 3 6 2 4 2" xfId="40216" xr:uid="{F311AC31-05A5-42D9-9B0A-C000939965CD}"/>
    <cellStyle name="Normal 11 3 6 2 5" xfId="27625" xr:uid="{3D5D7010-93BA-49BD-A3E5-C8BBC59466E3}"/>
    <cellStyle name="Normal 11 3 6 3" xfId="3859" xr:uid="{59AF5D26-C593-4DE6-8AA6-E2F2D3FB2B92}"/>
    <cellStyle name="Normal 11 3 6 3 2" xfId="10152" xr:uid="{0ABA4CA5-F59B-41FC-BAAF-4756A59C36D6}"/>
    <cellStyle name="Normal 11 3 6 3 2 2" xfId="22834" xr:uid="{1432202D-8D66-48ED-898C-EA9944366A14}"/>
    <cellStyle name="Normal 11 3 6 3 2 2 2" xfId="48326" xr:uid="{5927993F-9724-4F38-99B7-E248E5341A7F}"/>
    <cellStyle name="Normal 11 3 6 3 2 3" xfId="35735" xr:uid="{0A3A96F3-A5BD-411D-9E3A-1E0CAB08837A}"/>
    <cellStyle name="Normal 11 3 6 3 3" xfId="16556" xr:uid="{9B66ECD7-03F9-4D52-A8E2-915968E66BA4}"/>
    <cellStyle name="Normal 11 3 6 3 3 2" xfId="42048" xr:uid="{EA4A4458-09B2-4FA2-A401-56E9B8A1A2B8}"/>
    <cellStyle name="Normal 11 3 6 3 4" xfId="29457" xr:uid="{8B365A99-B047-4261-995F-D3D59760B6E5}"/>
    <cellStyle name="Normal 11 3 6 4" xfId="7013" xr:uid="{C4584403-82B5-450F-9F10-AA6E91248795}"/>
    <cellStyle name="Normal 11 3 6 4 2" xfId="19695" xr:uid="{D3BDFDB0-ABB8-4BA4-A657-41112E40A575}"/>
    <cellStyle name="Normal 11 3 6 4 2 2" xfId="45187" xr:uid="{7B71A4B7-1F06-477D-B9DE-A3D0E630EDD6}"/>
    <cellStyle name="Normal 11 3 6 4 3" xfId="32596" xr:uid="{B4019C6E-CF1C-4C86-A9DF-29E1AAD380CD}"/>
    <cellStyle name="Normal 11 3 6 5" xfId="13417" xr:uid="{391689D3-494E-4C33-B780-A5D6D5711171}"/>
    <cellStyle name="Normal 11 3 6 5 2" xfId="38909" xr:uid="{9C8DC99A-4154-472A-B716-6ABFDBCDC0E5}"/>
    <cellStyle name="Normal 11 3 6 6" xfId="26318" xr:uid="{F27AEB4A-9F3E-4944-994F-88F9A1F9B72E}"/>
    <cellStyle name="Normal 11 3 7" xfId="1750" xr:uid="{A29B80B0-8A54-4E40-9467-055239CC8F02}"/>
    <cellStyle name="Normal 11 3 7 2" xfId="4904" xr:uid="{0A314131-393E-4511-B8C1-EE3B09835A64}"/>
    <cellStyle name="Normal 11 3 7 2 2" xfId="11197" xr:uid="{26863D3E-4569-44D6-8F8B-A1A3D0B8D506}"/>
    <cellStyle name="Normal 11 3 7 2 2 2" xfId="23879" xr:uid="{1E7C24CC-9708-4C79-90D2-C4BF7C201740}"/>
    <cellStyle name="Normal 11 3 7 2 2 2 2" xfId="49371" xr:uid="{3A72C9B1-40A8-4E56-848D-CD1A38CA6B44}"/>
    <cellStyle name="Normal 11 3 7 2 2 3" xfId="36780" xr:uid="{7FC6AF5F-62F0-45A1-B7F0-ED54111D82CF}"/>
    <cellStyle name="Normal 11 3 7 2 3" xfId="17601" xr:uid="{0B8C468F-D56C-4281-B06D-DEFCE6A8C1C3}"/>
    <cellStyle name="Normal 11 3 7 2 3 2" xfId="43093" xr:uid="{31B6B08C-F2DF-4B2D-AC32-74008B9D369C}"/>
    <cellStyle name="Normal 11 3 7 2 4" xfId="30502" xr:uid="{BEB848D2-1227-44B7-A964-77EB8AAE4B55}"/>
    <cellStyle name="Normal 11 3 7 3" xfId="8058" xr:uid="{2F779F9F-135E-4526-B660-9A225CBFC2A4}"/>
    <cellStyle name="Normal 11 3 7 3 2" xfId="20740" xr:uid="{F06CD0F0-4B38-4FAD-9D1F-4BCA478E96C7}"/>
    <cellStyle name="Normal 11 3 7 3 2 2" xfId="46232" xr:uid="{FA39060F-2D03-4F0E-961A-2EBDF5EFE644}"/>
    <cellStyle name="Normal 11 3 7 3 3" xfId="33641" xr:uid="{968E348A-9200-4D64-B309-BB50F8C14813}"/>
    <cellStyle name="Normal 11 3 7 4" xfId="14462" xr:uid="{BAC9684F-E20E-4FBA-AF42-6A27C38CE2DC}"/>
    <cellStyle name="Normal 11 3 7 4 2" xfId="39954" xr:uid="{BAC0E4C6-6BB4-4E78-8596-D9746117F673}"/>
    <cellStyle name="Normal 11 3 7 5" xfId="27363" xr:uid="{E5CF87F6-27C6-4FA7-9DE7-4D65ADDC86F1}"/>
    <cellStyle name="Normal 11 3 8" xfId="1228" xr:uid="{4A478562-3EFD-4156-AB73-234454769FFC}"/>
    <cellStyle name="Normal 11 3 8 2" xfId="4382" xr:uid="{1F3B4A5B-1F37-444C-BBCE-EE104902DCAB}"/>
    <cellStyle name="Normal 11 3 8 2 2" xfId="10675" xr:uid="{279B434F-BE51-4F3E-9F9C-02F03F5B4B9B}"/>
    <cellStyle name="Normal 11 3 8 2 2 2" xfId="23357" xr:uid="{DCD67139-AFB2-477A-AC61-2521283F0841}"/>
    <cellStyle name="Normal 11 3 8 2 2 2 2" xfId="48849" xr:uid="{189C55C5-C3F1-45BA-93D1-D1243538016B}"/>
    <cellStyle name="Normal 11 3 8 2 2 3" xfId="36258" xr:uid="{BA57C833-6FA8-4BD3-A5D5-87A0008092A6}"/>
    <cellStyle name="Normal 11 3 8 2 3" xfId="17079" xr:uid="{0D632F47-C483-4140-AB8C-22CC59D265DE}"/>
    <cellStyle name="Normal 11 3 8 2 3 2" xfId="42571" xr:uid="{B980A851-9B91-48CA-A196-E76C6DCE79E2}"/>
    <cellStyle name="Normal 11 3 8 2 4" xfId="29980" xr:uid="{1A19328E-5FE4-4D70-8A96-47030C808508}"/>
    <cellStyle name="Normal 11 3 8 3" xfId="7536" xr:uid="{B97BDE76-A895-473C-931B-FCDEC95F4C88}"/>
    <cellStyle name="Normal 11 3 8 3 2" xfId="20218" xr:uid="{F881F0E7-2E9E-49BE-9432-33D50FF4CE99}"/>
    <cellStyle name="Normal 11 3 8 3 2 2" xfId="45710" xr:uid="{D456A230-4B9D-4C32-B65E-DBB199ACB9EC}"/>
    <cellStyle name="Normal 11 3 8 3 3" xfId="33119" xr:uid="{DB3C336D-3E30-416A-B27C-B6B2E37D55BB}"/>
    <cellStyle name="Normal 11 3 8 4" xfId="13940" xr:uid="{DDF70F90-7D05-4870-8AEB-B0BA2280B2C9}"/>
    <cellStyle name="Normal 11 3 8 4 2" xfId="39432" xr:uid="{D780EDA4-39A2-4D1F-A707-C3FB02047C75}"/>
    <cellStyle name="Normal 11 3 8 5" xfId="26841" xr:uid="{5D40BD88-C94C-4D0E-AEAB-D81DCAD91830}"/>
    <cellStyle name="Normal 11 3 9" xfId="2535" xr:uid="{8331717E-14CE-4467-BECA-74A6361ADBB5}"/>
    <cellStyle name="Normal 11 3 9 2" xfId="5689" xr:uid="{02156AEC-6BB5-4962-BE69-6D2726DB5B18}"/>
    <cellStyle name="Normal 11 3 9 2 2" xfId="11982" xr:uid="{18507E37-69B0-437B-B712-CB8AB781B45D}"/>
    <cellStyle name="Normal 11 3 9 2 2 2" xfId="24664" xr:uid="{13C6002F-295F-4922-AF3D-16CCF347D31C}"/>
    <cellStyle name="Normal 11 3 9 2 2 2 2" xfId="50156" xr:uid="{305F8509-5D12-44E8-9FE0-90EB025C070E}"/>
    <cellStyle name="Normal 11 3 9 2 2 3" xfId="37565" xr:uid="{809C448A-9D3C-47AC-A14A-C5625CCA19A4}"/>
    <cellStyle name="Normal 11 3 9 2 3" xfId="18386" xr:uid="{53BB7698-2277-460D-8015-99D25DB7E080}"/>
    <cellStyle name="Normal 11 3 9 2 3 2" xfId="43878" xr:uid="{A2D315A8-3BDD-4C9D-82D2-281667683D95}"/>
    <cellStyle name="Normal 11 3 9 2 4" xfId="31287" xr:uid="{592C0906-3A43-41D8-932F-CCE699D5126D}"/>
    <cellStyle name="Normal 11 3 9 3" xfId="8843" xr:uid="{AF80A21A-4063-40B9-85C3-4C964D6BE96F}"/>
    <cellStyle name="Normal 11 3 9 3 2" xfId="21525" xr:uid="{9EB0B9E6-C5E7-4421-810F-0746C1DEE51F}"/>
    <cellStyle name="Normal 11 3 9 3 2 2" xfId="47017" xr:uid="{A07CD17B-7557-4B41-939F-164E7418E779}"/>
    <cellStyle name="Normal 11 3 9 3 3" xfId="34426" xr:uid="{FD164578-4755-4DDC-8A90-EBCB781DDB99}"/>
    <cellStyle name="Normal 11 3 9 4" xfId="15247" xr:uid="{CD93DB91-CEBE-473E-91FC-073DED27B7C0}"/>
    <cellStyle name="Normal 11 3 9 4 2" xfId="40739" xr:uid="{FD496C4F-7F85-487C-80DF-18A9915E703E}"/>
    <cellStyle name="Normal 11 3 9 5" xfId="28148" xr:uid="{BADAB3E1-B0C7-49C5-B731-1BC9B5749A95}"/>
    <cellStyle name="Normal 11 4" xfId="469" xr:uid="{3E13E46C-0766-4979-8F6F-18721DCDDBE8}"/>
    <cellStyle name="Normal 11 4 10" xfId="3638" xr:uid="{C0CBC103-2CE0-4DD6-8802-78F07DAB8BF4}"/>
    <cellStyle name="Normal 11 4 10 2" xfId="9931" xr:uid="{1D82DE3D-D054-4814-88FD-F0B4AB352302}"/>
    <cellStyle name="Normal 11 4 10 2 2" xfId="22613" xr:uid="{1F9B8EE1-2C79-4217-84BC-EF261036FF45}"/>
    <cellStyle name="Normal 11 4 10 2 2 2" xfId="48105" xr:uid="{3233E930-FA7A-47A6-994D-6CFD4EFAB1E4}"/>
    <cellStyle name="Normal 11 4 10 2 3" xfId="35514" xr:uid="{D25E8DE7-B19F-46A5-918F-B691B1B33784}"/>
    <cellStyle name="Normal 11 4 10 3" xfId="16335" xr:uid="{59209E5E-A85D-4EE8-B689-53D6602E066C}"/>
    <cellStyle name="Normal 11 4 10 3 2" xfId="41827" xr:uid="{BEAD0A23-CF72-460A-A99D-C458E7C24306}"/>
    <cellStyle name="Normal 11 4 10 4" xfId="29236" xr:uid="{56D5A09B-2BB4-48BE-931F-B30618FF5785}"/>
    <cellStyle name="Normal 11 4 11" xfId="6792" xr:uid="{6C2C9CA9-8018-465E-8719-172464460BE2}"/>
    <cellStyle name="Normal 11 4 11 2" xfId="19474" xr:uid="{FC85AB2E-ED61-4CAC-8818-87AC65B89A91}"/>
    <cellStyle name="Normal 11 4 11 2 2" xfId="44966" xr:uid="{8BF2C7F4-248F-4FA7-98DB-5DFA25A39AD0}"/>
    <cellStyle name="Normal 11 4 11 3" xfId="32375" xr:uid="{B98DDAA1-81EA-44C6-A316-306CBEC178F1}"/>
    <cellStyle name="Normal 11 4 12" xfId="13196" xr:uid="{EAAF17D5-87C9-4F87-B974-71B6DD52E10F}"/>
    <cellStyle name="Normal 11 4 12 2" xfId="38688" xr:uid="{40220C69-BAF3-4FD0-99BA-778358D5E3D6}"/>
    <cellStyle name="Normal 11 4 13" xfId="26097" xr:uid="{C9B87F05-5985-4AC9-8B91-D7B613891228}"/>
    <cellStyle name="Normal 11 4 2" xfId="628" xr:uid="{3B421AE9-9003-4FD6-A688-4CC1A1D7504E}"/>
    <cellStyle name="Normal 11 4 2 10" xfId="13355" xr:uid="{FD4A0F2D-A78A-4B4C-8EE9-AC69D4F013DF}"/>
    <cellStyle name="Normal 11 4 2 10 2" xfId="38847" xr:uid="{87B70AFA-CDC7-423C-936A-CD19FC800691}"/>
    <cellStyle name="Normal 11 4 2 11" xfId="26256" xr:uid="{F5C9C9CF-DA61-44F0-8B3D-4DA71654A8F5}"/>
    <cellStyle name="Normal 11 4 2 2" xfId="1165" xr:uid="{8420CDCE-D5A3-4A00-A4D6-861EBE933D58}"/>
    <cellStyle name="Normal 11 4 2 2 2" xfId="2472" xr:uid="{67CD6FAD-DC1E-46E0-837C-1C158C95EE57}"/>
    <cellStyle name="Normal 11 4 2 2 2 2" xfId="5626" xr:uid="{E1473C41-84C7-47DB-8F49-708382FD7A1C}"/>
    <cellStyle name="Normal 11 4 2 2 2 2 2" xfId="11919" xr:uid="{3013F3CC-72F6-4DC6-86A7-921ECEF9D155}"/>
    <cellStyle name="Normal 11 4 2 2 2 2 2 2" xfId="24601" xr:uid="{43450D0A-63F9-480A-BB28-2442A7345914}"/>
    <cellStyle name="Normal 11 4 2 2 2 2 2 2 2" xfId="50093" xr:uid="{C3ED9F0E-4FC7-4B63-9072-6A5ED05E344C}"/>
    <cellStyle name="Normal 11 4 2 2 2 2 2 3" xfId="37502" xr:uid="{DBA5CA85-B8BA-4457-8924-C0331928E1C8}"/>
    <cellStyle name="Normal 11 4 2 2 2 2 3" xfId="18323" xr:uid="{011C66C9-9184-4029-851F-8987E4F353AF}"/>
    <cellStyle name="Normal 11 4 2 2 2 2 3 2" xfId="43815" xr:uid="{80F229EE-75A5-4DAC-B763-063868954FB2}"/>
    <cellStyle name="Normal 11 4 2 2 2 2 4" xfId="31224" xr:uid="{8E58BCC5-6EC5-4372-8376-4468163201EB}"/>
    <cellStyle name="Normal 11 4 2 2 2 3" xfId="8780" xr:uid="{A95E8159-FCB0-4C2F-8C24-2B518575D0DD}"/>
    <cellStyle name="Normal 11 4 2 2 2 3 2" xfId="21462" xr:uid="{826A1164-1DF5-42CC-BEDC-7734D26895A8}"/>
    <cellStyle name="Normal 11 4 2 2 2 3 2 2" xfId="46954" xr:uid="{787E2681-BD6D-42B1-891D-8064BE59C16A}"/>
    <cellStyle name="Normal 11 4 2 2 2 3 3" xfId="34363" xr:uid="{9EDC4D09-3B76-4696-8C51-473A40FBBFD7}"/>
    <cellStyle name="Normal 11 4 2 2 2 4" xfId="15184" xr:uid="{2E5B5874-91CF-4138-89DC-CB8444396F8F}"/>
    <cellStyle name="Normal 11 4 2 2 2 4 2" xfId="40676" xr:uid="{0BB5955D-68EB-497C-B48F-A250774B5F15}"/>
    <cellStyle name="Normal 11 4 2 2 2 5" xfId="28085" xr:uid="{ED984A1D-78FE-4905-9E96-05763261636B}"/>
    <cellStyle name="Normal 11 4 2 2 3" xfId="1689" xr:uid="{A07094BE-AAA9-438D-9C22-955B45FF0E59}"/>
    <cellStyle name="Normal 11 4 2 2 3 2" xfId="4843" xr:uid="{9A54B0CE-00EF-4D18-9A82-BDB2703C0A24}"/>
    <cellStyle name="Normal 11 4 2 2 3 2 2" xfId="11136" xr:uid="{1238492F-D85D-44C1-8943-B21E64C8D5E9}"/>
    <cellStyle name="Normal 11 4 2 2 3 2 2 2" xfId="23818" xr:uid="{15303CED-CC08-4935-AE9B-004D91E750A2}"/>
    <cellStyle name="Normal 11 4 2 2 3 2 2 2 2" xfId="49310" xr:uid="{5F05FE36-AB99-4C86-BB59-3E774BE7CFCD}"/>
    <cellStyle name="Normal 11 4 2 2 3 2 2 3" xfId="36719" xr:uid="{E17B39F8-33C7-4819-BEAB-52804761CE4E}"/>
    <cellStyle name="Normal 11 4 2 2 3 2 3" xfId="17540" xr:uid="{77CF4381-DBB4-43E6-A259-8FAA781525D9}"/>
    <cellStyle name="Normal 11 4 2 2 3 2 3 2" xfId="43032" xr:uid="{08468DCB-95F4-4066-A285-50B9C81D4C85}"/>
    <cellStyle name="Normal 11 4 2 2 3 2 4" xfId="30441" xr:uid="{7A4F8FE2-AB92-4DB1-AEB2-B4455DFED5BB}"/>
    <cellStyle name="Normal 11 4 2 2 3 3" xfId="7997" xr:uid="{501BE3EB-10D9-4822-9BC3-153EBB281568}"/>
    <cellStyle name="Normal 11 4 2 2 3 3 2" xfId="20679" xr:uid="{20789333-BC28-496B-A0D6-5BBE8AD45B48}"/>
    <cellStyle name="Normal 11 4 2 2 3 3 2 2" xfId="46171" xr:uid="{1F3D29F2-013F-4BFD-BA71-FFC1EE6BFBFC}"/>
    <cellStyle name="Normal 11 4 2 2 3 3 3" xfId="33580" xr:uid="{0425F373-269B-42B9-9722-6766D3FCB2BC}"/>
    <cellStyle name="Normal 11 4 2 2 3 4" xfId="14401" xr:uid="{6DDEEC59-047C-4095-8035-F6A355099968}"/>
    <cellStyle name="Normal 11 4 2 2 3 4 2" xfId="39893" xr:uid="{4FF684B9-B717-4C74-8792-8D30B1F65EF1}"/>
    <cellStyle name="Normal 11 4 2 2 3 5" xfId="27302" xr:uid="{2F1A7339-AC14-4092-9F05-6F8242622C09}"/>
    <cellStyle name="Normal 11 4 2 2 4" xfId="2996" xr:uid="{D3F2266B-621B-4B74-82C4-EAF128D5C0BE}"/>
    <cellStyle name="Normal 11 4 2 2 4 2" xfId="6150" xr:uid="{BD4A6585-6751-4DA4-9130-86749BEF0E75}"/>
    <cellStyle name="Normal 11 4 2 2 4 2 2" xfId="12443" xr:uid="{F5DA11F7-7B4A-4CE4-80FB-CC086F8B4795}"/>
    <cellStyle name="Normal 11 4 2 2 4 2 2 2" xfId="25125" xr:uid="{07C77FC9-06A3-4B94-A084-68A9D6E4CD0A}"/>
    <cellStyle name="Normal 11 4 2 2 4 2 2 2 2" xfId="50617" xr:uid="{E1C03C77-9026-4B1D-9A46-56ABC88A7C71}"/>
    <cellStyle name="Normal 11 4 2 2 4 2 2 3" xfId="38026" xr:uid="{ABA72942-3910-40ED-8E09-DED0E3BCDA2E}"/>
    <cellStyle name="Normal 11 4 2 2 4 2 3" xfId="18847" xr:uid="{47E5E107-B92F-4915-B234-670FD378896A}"/>
    <cellStyle name="Normal 11 4 2 2 4 2 3 2" xfId="44339" xr:uid="{CBF3884D-4275-423A-9CD9-A88CD8CB5237}"/>
    <cellStyle name="Normal 11 4 2 2 4 2 4" xfId="31748" xr:uid="{910FE77D-6F1A-4F58-B81A-4B3C461BC259}"/>
    <cellStyle name="Normal 11 4 2 2 4 3" xfId="9304" xr:uid="{B0EFB5EB-22D7-48C4-86EF-58FDFC5AB4F8}"/>
    <cellStyle name="Normal 11 4 2 2 4 3 2" xfId="21986" xr:uid="{6E7CC1D5-89E6-464B-BB40-B6790CF6EF5A}"/>
    <cellStyle name="Normal 11 4 2 2 4 3 2 2" xfId="47478" xr:uid="{4AAAC3C2-ADB7-4D66-A8D1-8BD901E010D1}"/>
    <cellStyle name="Normal 11 4 2 2 4 3 3" xfId="34887" xr:uid="{40BA9A0F-AA31-4F02-82A6-F4BBE8B773E5}"/>
    <cellStyle name="Normal 11 4 2 2 4 4" xfId="15708" xr:uid="{EB0C8AD4-0242-4350-9B24-BEFFF9BED65E}"/>
    <cellStyle name="Normal 11 4 2 2 4 4 2" xfId="41200" xr:uid="{738B4E10-3385-4FB7-BBE4-4DEE87934A13}"/>
    <cellStyle name="Normal 11 4 2 2 4 5" xfId="28609" xr:uid="{70ECAB28-8532-4BAB-BE47-9BE15325A67F}"/>
    <cellStyle name="Normal 11 4 2 2 5" xfId="3519" xr:uid="{B5B230FC-DD57-4A59-B721-374F1D9B8917}"/>
    <cellStyle name="Normal 11 4 2 2 5 2" xfId="6673" xr:uid="{9DA1A795-0EC2-4963-A3A4-61929FD0D487}"/>
    <cellStyle name="Normal 11 4 2 2 5 2 2" xfId="12966" xr:uid="{9B1CD0E2-447D-4DB9-8AD8-A967F52A4CA1}"/>
    <cellStyle name="Normal 11 4 2 2 5 2 2 2" xfId="25648" xr:uid="{6B8CA5EC-E083-4703-8602-90E34A0BBA62}"/>
    <cellStyle name="Normal 11 4 2 2 5 2 2 2 2" xfId="51140" xr:uid="{8EB3A2B8-A03A-40E9-ACD6-67EB577D046D}"/>
    <cellStyle name="Normal 11 4 2 2 5 2 2 3" xfId="38549" xr:uid="{17015114-3DFB-49D5-BB1D-47219BFB895F}"/>
    <cellStyle name="Normal 11 4 2 2 5 2 3" xfId="19370" xr:uid="{ACD7CF46-9531-456C-80E5-84EA355B839D}"/>
    <cellStyle name="Normal 11 4 2 2 5 2 3 2" xfId="44862" xr:uid="{4EE293E8-4934-44A6-9280-7E32FBE1F34B}"/>
    <cellStyle name="Normal 11 4 2 2 5 2 4" xfId="32271" xr:uid="{9AB00FBF-0D24-4156-BE91-98B5F75AFF2D}"/>
    <cellStyle name="Normal 11 4 2 2 5 3" xfId="9827" xr:uid="{ECBF11E1-BD1B-45A4-8AF0-E06D64E79EDD}"/>
    <cellStyle name="Normal 11 4 2 2 5 3 2" xfId="22509" xr:uid="{BE29E93F-26F8-4D4B-82A5-1C0F389D35CE}"/>
    <cellStyle name="Normal 11 4 2 2 5 3 2 2" xfId="48001" xr:uid="{FD58FCBB-B9DD-484B-B8C6-E63F5E391B28}"/>
    <cellStyle name="Normal 11 4 2 2 5 3 3" xfId="35410" xr:uid="{79D6A31D-B8B4-4BE8-ABD1-6D7B2E5AE25D}"/>
    <cellStyle name="Normal 11 4 2 2 5 4" xfId="16231" xr:uid="{D9B99006-F5F3-417C-A790-C5DBD07212A0}"/>
    <cellStyle name="Normal 11 4 2 2 5 4 2" xfId="41723" xr:uid="{6D9A99FA-7CEA-4FA1-B2A4-A50714267493}"/>
    <cellStyle name="Normal 11 4 2 2 5 5" xfId="29132" xr:uid="{784D1E85-ADAE-4332-ABD6-599376EFBF60}"/>
    <cellStyle name="Normal 11 4 2 2 6" xfId="4319" xr:uid="{E01D0C16-6F9A-49DD-BF37-FB9EA9F96AF8}"/>
    <cellStyle name="Normal 11 4 2 2 6 2" xfId="10612" xr:uid="{8004F53E-0C90-4CBE-8301-1DCE96AB6403}"/>
    <cellStyle name="Normal 11 4 2 2 6 2 2" xfId="23294" xr:uid="{8A85C02A-B978-4728-B350-D6F2AA322F36}"/>
    <cellStyle name="Normal 11 4 2 2 6 2 2 2" xfId="48786" xr:uid="{33C50B3F-A005-4AC3-A9AA-B9696FE0E85B}"/>
    <cellStyle name="Normal 11 4 2 2 6 2 3" xfId="36195" xr:uid="{97599629-3BCC-4522-AF7E-7F1187853CFA}"/>
    <cellStyle name="Normal 11 4 2 2 6 3" xfId="17016" xr:uid="{83086A4C-F9E3-4148-8F58-9DB43825DFD1}"/>
    <cellStyle name="Normal 11 4 2 2 6 3 2" xfId="42508" xr:uid="{71195DDD-B521-43A5-BD0A-796952E4EF26}"/>
    <cellStyle name="Normal 11 4 2 2 6 4" xfId="29917" xr:uid="{7043AC56-98B5-423C-9FB7-0F30D41172AC}"/>
    <cellStyle name="Normal 11 4 2 2 7" xfId="7473" xr:uid="{1C000EF3-9645-41C1-BC1A-B19157898CC5}"/>
    <cellStyle name="Normal 11 4 2 2 7 2" xfId="20155" xr:uid="{BCEAA92F-8D94-4A65-A427-413F99A2E967}"/>
    <cellStyle name="Normal 11 4 2 2 7 2 2" xfId="45647" xr:uid="{AD5A711B-FAC9-47E1-9D28-D97AAF071FFE}"/>
    <cellStyle name="Normal 11 4 2 2 7 3" xfId="33056" xr:uid="{35B5B9C5-C803-47BF-91F2-5A5F8C8F4CE5}"/>
    <cellStyle name="Normal 11 4 2 2 8" xfId="13877" xr:uid="{937CDD34-0355-4F35-B8B5-9D6C7313FCF0}"/>
    <cellStyle name="Normal 11 4 2 2 8 2" xfId="39369" xr:uid="{6D8E0F01-8E69-4638-8111-AE62742DB299}"/>
    <cellStyle name="Normal 11 4 2 2 9" xfId="26778" xr:uid="{381F26FA-E6C1-4A0E-B7A3-220DA28A7418}"/>
    <cellStyle name="Normal 11 4 2 3" xfId="905" xr:uid="{B412B7FA-DABE-49E3-B9EB-343B06A6DAEE}"/>
    <cellStyle name="Normal 11 4 2 3 2" xfId="2212" xr:uid="{3F553D43-A84A-4605-97AD-23B9722E6435}"/>
    <cellStyle name="Normal 11 4 2 3 2 2" xfId="5366" xr:uid="{D1BF5978-9F86-442A-99E2-77E27FDEB1D6}"/>
    <cellStyle name="Normal 11 4 2 3 2 2 2" xfId="11659" xr:uid="{F6EE6937-F1E0-47DA-8315-B49D319B604E}"/>
    <cellStyle name="Normal 11 4 2 3 2 2 2 2" xfId="24341" xr:uid="{33F212D5-BAA8-48B7-9B1B-885934CE007F}"/>
    <cellStyle name="Normal 11 4 2 3 2 2 2 2 2" xfId="49833" xr:uid="{D305F640-B56C-4518-B9E0-B8225D253AC4}"/>
    <cellStyle name="Normal 11 4 2 3 2 2 2 3" xfId="37242" xr:uid="{35EE1EFA-5D1A-475C-96B9-A1B911298E9F}"/>
    <cellStyle name="Normal 11 4 2 3 2 2 3" xfId="18063" xr:uid="{795E7C92-7BB6-4314-9840-A44F050F1319}"/>
    <cellStyle name="Normal 11 4 2 3 2 2 3 2" xfId="43555" xr:uid="{2E7DE70C-BB35-438D-80E6-1DE86899946A}"/>
    <cellStyle name="Normal 11 4 2 3 2 2 4" xfId="30964" xr:uid="{36574980-8B22-4FE8-8974-AB76D1E95E75}"/>
    <cellStyle name="Normal 11 4 2 3 2 3" xfId="8520" xr:uid="{B8198270-C05D-4285-8B11-AC7AF67E75EF}"/>
    <cellStyle name="Normal 11 4 2 3 2 3 2" xfId="21202" xr:uid="{B349AC45-8CB1-485F-9FEC-9E73F630B8A4}"/>
    <cellStyle name="Normal 11 4 2 3 2 3 2 2" xfId="46694" xr:uid="{164AE686-45FE-4132-95D3-144FD9B3D976}"/>
    <cellStyle name="Normal 11 4 2 3 2 3 3" xfId="34103" xr:uid="{776893B9-4501-405C-8DC1-FDA91E969263}"/>
    <cellStyle name="Normal 11 4 2 3 2 4" xfId="14924" xr:uid="{CABEECC2-DA59-4E0F-9124-A1E4417199DA}"/>
    <cellStyle name="Normal 11 4 2 3 2 4 2" xfId="40416" xr:uid="{7B7A2CD4-7488-439E-81CE-CE0FA6B36EE3}"/>
    <cellStyle name="Normal 11 4 2 3 2 5" xfId="27825" xr:uid="{E7096F6D-9618-499F-99D8-6AD7B7841AFF}"/>
    <cellStyle name="Normal 11 4 2 3 3" xfId="4059" xr:uid="{D81151FE-9AD6-4D44-8A29-92D71F88011B}"/>
    <cellStyle name="Normal 11 4 2 3 3 2" xfId="10352" xr:uid="{7A144F94-F38A-466E-A7DC-8D274567957A}"/>
    <cellStyle name="Normal 11 4 2 3 3 2 2" xfId="23034" xr:uid="{6D6B3CDD-EF55-47E6-A843-3A72680A580A}"/>
    <cellStyle name="Normal 11 4 2 3 3 2 2 2" xfId="48526" xr:uid="{4AA8B073-78ED-4ACA-B1A6-7C6FF5CDF20C}"/>
    <cellStyle name="Normal 11 4 2 3 3 2 3" xfId="35935" xr:uid="{7F6EE33B-27CC-4492-A0B0-4B17B790C546}"/>
    <cellStyle name="Normal 11 4 2 3 3 3" xfId="16756" xr:uid="{DB31C702-054C-44E3-B590-3F6BAE54E245}"/>
    <cellStyle name="Normal 11 4 2 3 3 3 2" xfId="42248" xr:uid="{CCA30AA2-0492-4CF2-B0C4-6FEB8FC6688D}"/>
    <cellStyle name="Normal 11 4 2 3 3 4" xfId="29657" xr:uid="{231B4240-61BE-400B-B309-3D03D92C34C8}"/>
    <cellStyle name="Normal 11 4 2 3 4" xfId="7213" xr:uid="{E973B414-2343-4912-85A0-A7E55B06575A}"/>
    <cellStyle name="Normal 11 4 2 3 4 2" xfId="19895" xr:uid="{31D21340-BE19-43F4-B7CC-455C669E579C}"/>
    <cellStyle name="Normal 11 4 2 3 4 2 2" xfId="45387" xr:uid="{0450E358-BAF1-4816-8C23-ACA70364E3D4}"/>
    <cellStyle name="Normal 11 4 2 3 4 3" xfId="32796" xr:uid="{4533FDD5-3356-4CE9-9124-47F20C9737A6}"/>
    <cellStyle name="Normal 11 4 2 3 5" xfId="13617" xr:uid="{DF87CF29-910B-4FD0-A7DF-CDE781C58507}"/>
    <cellStyle name="Normal 11 4 2 3 5 2" xfId="39109" xr:uid="{868DD364-5EF2-4411-ADCF-56F04890D698}"/>
    <cellStyle name="Normal 11 4 2 3 6" xfId="26518" xr:uid="{78463794-AA81-4E74-87B6-B881142E4ED8}"/>
    <cellStyle name="Normal 11 4 2 4" xfId="1950" xr:uid="{4D287975-8738-45B4-8D99-F59D578E27E4}"/>
    <cellStyle name="Normal 11 4 2 4 2" xfId="5104" xr:uid="{DE63DD39-A26C-432E-B6C6-633E178F323D}"/>
    <cellStyle name="Normal 11 4 2 4 2 2" xfId="11397" xr:uid="{5F9BA44D-0803-4D72-85A8-D40D87BCC268}"/>
    <cellStyle name="Normal 11 4 2 4 2 2 2" xfId="24079" xr:uid="{BD88A0EC-B7E7-4498-A6B2-51923FFE5609}"/>
    <cellStyle name="Normal 11 4 2 4 2 2 2 2" xfId="49571" xr:uid="{773B6576-C271-4361-9DC0-8F11BDDDE2DA}"/>
    <cellStyle name="Normal 11 4 2 4 2 2 3" xfId="36980" xr:uid="{3BB4F312-0F05-4290-B745-66E2C97722E6}"/>
    <cellStyle name="Normal 11 4 2 4 2 3" xfId="17801" xr:uid="{E9B6CC2F-FF82-42BB-85CE-D4145B5B0946}"/>
    <cellStyle name="Normal 11 4 2 4 2 3 2" xfId="43293" xr:uid="{8B9599F9-0B07-4758-AE55-10D2AA306281}"/>
    <cellStyle name="Normal 11 4 2 4 2 4" xfId="30702" xr:uid="{42E362E4-F102-47DD-BEBE-7EA97FA43AAC}"/>
    <cellStyle name="Normal 11 4 2 4 3" xfId="8258" xr:uid="{5C86429D-03D2-4522-8945-CAE7B2924ECE}"/>
    <cellStyle name="Normal 11 4 2 4 3 2" xfId="20940" xr:uid="{4F478849-B9C8-4632-80DE-E1A17CDF3519}"/>
    <cellStyle name="Normal 11 4 2 4 3 2 2" xfId="46432" xr:uid="{0480B3AB-1AFF-4162-A6B7-9F96E31EE57F}"/>
    <cellStyle name="Normal 11 4 2 4 3 3" xfId="33841" xr:uid="{E932B327-37BC-4F84-99C1-D37841E2FFB5}"/>
    <cellStyle name="Normal 11 4 2 4 4" xfId="14662" xr:uid="{3911F44D-86AE-49E6-9270-FE1AE866C7A3}"/>
    <cellStyle name="Normal 11 4 2 4 4 2" xfId="40154" xr:uid="{C8E012FE-8CB5-445D-A167-2673F499740B}"/>
    <cellStyle name="Normal 11 4 2 4 5" xfId="27563" xr:uid="{5B940CF6-CAE6-4CE6-8FF7-99B26D2FDEF6}"/>
    <cellStyle name="Normal 11 4 2 5" xfId="1428" xr:uid="{FD06A6E9-FAA8-40FF-AE08-C204EE774D18}"/>
    <cellStyle name="Normal 11 4 2 5 2" xfId="4582" xr:uid="{0C7763FC-D25E-4808-AE17-E31A0A753663}"/>
    <cellStyle name="Normal 11 4 2 5 2 2" xfId="10875" xr:uid="{8C8ACAA5-16E4-46B2-8E92-EB310078CF25}"/>
    <cellStyle name="Normal 11 4 2 5 2 2 2" xfId="23557" xr:uid="{466DD77A-F009-4D90-B6AF-76B24AC753C6}"/>
    <cellStyle name="Normal 11 4 2 5 2 2 2 2" xfId="49049" xr:uid="{A9071FD7-F39D-4945-A79E-20A2C8340C8E}"/>
    <cellStyle name="Normal 11 4 2 5 2 2 3" xfId="36458" xr:uid="{15614BB8-287E-4F12-B141-08A924E5534C}"/>
    <cellStyle name="Normal 11 4 2 5 2 3" xfId="17279" xr:uid="{AAC39237-38CE-40DA-8E45-7A7A678E7809}"/>
    <cellStyle name="Normal 11 4 2 5 2 3 2" xfId="42771" xr:uid="{CD952193-2D99-4B3E-9A95-3B2C6E804253}"/>
    <cellStyle name="Normal 11 4 2 5 2 4" xfId="30180" xr:uid="{5274DFDF-8E74-49BC-AE54-69D324FA341A}"/>
    <cellStyle name="Normal 11 4 2 5 3" xfId="7736" xr:uid="{25D58CA5-24C2-449E-970A-68714524FD2B}"/>
    <cellStyle name="Normal 11 4 2 5 3 2" xfId="20418" xr:uid="{EF9EEE84-5CE9-4572-9FB4-DA85416A5BC8}"/>
    <cellStyle name="Normal 11 4 2 5 3 2 2" xfId="45910" xr:uid="{76035062-3DC3-4D33-B759-876F01972D9C}"/>
    <cellStyle name="Normal 11 4 2 5 3 3" xfId="33319" xr:uid="{2AEB9CD5-ABB1-4CA1-8C78-B5784E3489B9}"/>
    <cellStyle name="Normal 11 4 2 5 4" xfId="14140" xr:uid="{2C5798CB-4AF4-47C2-A1F0-05C18D5DC22D}"/>
    <cellStyle name="Normal 11 4 2 5 4 2" xfId="39632" xr:uid="{49E1BAB6-2026-4202-ADBA-052A53DCB01D}"/>
    <cellStyle name="Normal 11 4 2 5 5" xfId="27041" xr:uid="{31C757FA-CCB6-4771-ADEE-63B9B688B8B4}"/>
    <cellStyle name="Normal 11 4 2 6" xfId="2735" xr:uid="{11E9C896-18BF-44C2-95AA-0A1EADF7F06D}"/>
    <cellStyle name="Normal 11 4 2 6 2" xfId="5889" xr:uid="{74CCE7D2-8D9A-452B-A05C-58328E949B18}"/>
    <cellStyle name="Normal 11 4 2 6 2 2" xfId="12182" xr:uid="{0DC897C8-2676-4D24-BEEA-DB4DEC408D25}"/>
    <cellStyle name="Normal 11 4 2 6 2 2 2" xfId="24864" xr:uid="{60A9031A-319C-430A-A265-711B51EAF91A}"/>
    <cellStyle name="Normal 11 4 2 6 2 2 2 2" xfId="50356" xr:uid="{379F770D-F5B3-4F67-9616-27779CE6964F}"/>
    <cellStyle name="Normal 11 4 2 6 2 2 3" xfId="37765" xr:uid="{8A07FD33-22EC-4BAC-AF98-9B70B0E02206}"/>
    <cellStyle name="Normal 11 4 2 6 2 3" xfId="18586" xr:uid="{EAF16CD9-1242-4201-800F-FECFD4B8C80E}"/>
    <cellStyle name="Normal 11 4 2 6 2 3 2" xfId="44078" xr:uid="{ECA522A7-F287-4121-9642-E8B73B9C5E9C}"/>
    <cellStyle name="Normal 11 4 2 6 2 4" xfId="31487" xr:uid="{BF4F05AB-8F42-4E33-9062-47D17769F776}"/>
    <cellStyle name="Normal 11 4 2 6 3" xfId="9043" xr:uid="{BD66620D-0572-4106-9075-6CEB9457151D}"/>
    <cellStyle name="Normal 11 4 2 6 3 2" xfId="21725" xr:uid="{EB3B9860-A4F0-4704-9F86-3FD63324F7B1}"/>
    <cellStyle name="Normal 11 4 2 6 3 2 2" xfId="47217" xr:uid="{7C25AAB6-B670-4C1F-9513-96BF3FF8EEC5}"/>
    <cellStyle name="Normal 11 4 2 6 3 3" xfId="34626" xr:uid="{C04B08BA-4CC6-4C20-AB0D-CDDCA7EFA58E}"/>
    <cellStyle name="Normal 11 4 2 6 4" xfId="15447" xr:uid="{6A071531-729F-404A-80ED-FD0022126B39}"/>
    <cellStyle name="Normal 11 4 2 6 4 2" xfId="40939" xr:uid="{135D8682-0718-4CAD-8BBE-0C733C95AD6C}"/>
    <cellStyle name="Normal 11 4 2 6 5" xfId="28348" xr:uid="{D725279E-D02A-4200-8754-DD56FB34E4EE}"/>
    <cellStyle name="Normal 11 4 2 7" xfId="3258" xr:uid="{12D5CA45-0A3B-4250-A1A9-94904A0365EC}"/>
    <cellStyle name="Normal 11 4 2 7 2" xfId="6412" xr:uid="{179D5E85-D1B4-441B-979D-050850F81E44}"/>
    <cellStyle name="Normal 11 4 2 7 2 2" xfId="12705" xr:uid="{EBB5EAF4-F5D6-4EB9-A03E-2C3F1C3D2AA6}"/>
    <cellStyle name="Normal 11 4 2 7 2 2 2" xfId="25387" xr:uid="{774B6B31-400B-4601-BE1E-AA736886871F}"/>
    <cellStyle name="Normal 11 4 2 7 2 2 2 2" xfId="50879" xr:uid="{80EF8B0E-2548-4400-B59F-0494BC898724}"/>
    <cellStyle name="Normal 11 4 2 7 2 2 3" xfId="38288" xr:uid="{8DCBBE70-E568-4E6B-8C95-FE08D445A234}"/>
    <cellStyle name="Normal 11 4 2 7 2 3" xfId="19109" xr:uid="{4ACC453B-B92D-430C-9771-09D3CA1CA1EC}"/>
    <cellStyle name="Normal 11 4 2 7 2 3 2" xfId="44601" xr:uid="{63067EDC-8348-4CB1-85DF-0EA97C2D9E35}"/>
    <cellStyle name="Normal 11 4 2 7 2 4" xfId="32010" xr:uid="{E2B172EF-5057-4A7B-A2DC-501207608BC2}"/>
    <cellStyle name="Normal 11 4 2 7 3" xfId="9566" xr:uid="{170A662E-DC57-4AC7-84C5-8A268C66C361}"/>
    <cellStyle name="Normal 11 4 2 7 3 2" xfId="22248" xr:uid="{3F406922-43AE-449E-9B53-830D115492B0}"/>
    <cellStyle name="Normal 11 4 2 7 3 2 2" xfId="47740" xr:uid="{D7777A2B-AD42-4504-AA41-67D8017E37E6}"/>
    <cellStyle name="Normal 11 4 2 7 3 3" xfId="35149" xr:uid="{379D549E-D0DA-4BF4-88FE-89A4042A66CD}"/>
    <cellStyle name="Normal 11 4 2 7 4" xfId="15970" xr:uid="{D2895127-163B-48F1-B2F6-A42B36FBBED4}"/>
    <cellStyle name="Normal 11 4 2 7 4 2" xfId="41462" xr:uid="{3D394A9F-B135-4C48-9EC1-48FF6C63F88F}"/>
    <cellStyle name="Normal 11 4 2 7 5" xfId="28871" xr:uid="{9FA2D2D8-2E1D-4031-8169-A173C92A9A27}"/>
    <cellStyle name="Normal 11 4 2 8" xfId="3797" xr:uid="{CEFBCF49-89DD-4233-9407-441FB186F539}"/>
    <cellStyle name="Normal 11 4 2 8 2" xfId="10090" xr:uid="{812D67BD-615F-4645-925C-AA4311F63B35}"/>
    <cellStyle name="Normal 11 4 2 8 2 2" xfId="22772" xr:uid="{7F86E593-E0DE-44EC-88EF-A7E0A6A48D3E}"/>
    <cellStyle name="Normal 11 4 2 8 2 2 2" xfId="48264" xr:uid="{03D4A108-2555-4B70-8790-5272645A9FFE}"/>
    <cellStyle name="Normal 11 4 2 8 2 3" xfId="35673" xr:uid="{5667BC00-A88A-4177-BCEC-EB2EEE3AE56A}"/>
    <cellStyle name="Normal 11 4 2 8 3" xfId="16494" xr:uid="{42F72584-5862-4380-9461-1A3BB79B9EF1}"/>
    <cellStyle name="Normal 11 4 2 8 3 2" xfId="41986" xr:uid="{B833CECE-DFA1-42EB-9C0B-E105B97531A9}"/>
    <cellStyle name="Normal 11 4 2 8 4" xfId="29395" xr:uid="{F5E59DA3-5836-412D-BA99-C81CA3DAE364}"/>
    <cellStyle name="Normal 11 4 2 9" xfId="6951" xr:uid="{5981FC1A-7E40-4210-AF7B-F68E8A56B7B9}"/>
    <cellStyle name="Normal 11 4 2 9 2" xfId="19633" xr:uid="{4F253D20-8B41-4647-BB62-ABD3C1294168}"/>
    <cellStyle name="Normal 11 4 2 9 2 2" xfId="45125" xr:uid="{2808F432-8E63-4B48-8D2A-FDCA177C5B11}"/>
    <cellStyle name="Normal 11 4 2 9 3" xfId="32534" xr:uid="{0F45B91A-49D7-4147-B56C-C75F37802694}"/>
    <cellStyle name="Normal 11 4 3" xfId="528" xr:uid="{3C877E4E-4ADC-4AA4-9FAE-4232913E3C21}"/>
    <cellStyle name="Normal 11 4 3 10" xfId="13255" xr:uid="{75770D0E-F7A4-4D57-810A-21254C463403}"/>
    <cellStyle name="Normal 11 4 3 10 2" xfId="38747" xr:uid="{30E25136-9607-4D62-8FD6-EC379C22825A}"/>
    <cellStyle name="Normal 11 4 3 11" xfId="26156" xr:uid="{B9FAF871-E6BF-4342-B745-66433EC26C6F}"/>
    <cellStyle name="Normal 11 4 3 2" xfId="1065" xr:uid="{CDE1FAD1-0435-4626-A0F3-F96719B04D60}"/>
    <cellStyle name="Normal 11 4 3 2 2" xfId="2372" xr:uid="{A18FB3D9-4B4F-4E82-85A9-CD5D5CCDA377}"/>
    <cellStyle name="Normal 11 4 3 2 2 2" xfId="5526" xr:uid="{85D0C4E0-9AE7-475D-A5C6-CA2BF3D76C9C}"/>
    <cellStyle name="Normal 11 4 3 2 2 2 2" xfId="11819" xr:uid="{2F42C11E-7A06-473E-9AA5-9910469381DC}"/>
    <cellStyle name="Normal 11 4 3 2 2 2 2 2" xfId="24501" xr:uid="{5C65D864-7846-4B2D-950D-CE99A72980A1}"/>
    <cellStyle name="Normal 11 4 3 2 2 2 2 2 2" xfId="49993" xr:uid="{538F6F6B-85FA-494D-BF31-3F64FB1885C4}"/>
    <cellStyle name="Normal 11 4 3 2 2 2 2 3" xfId="37402" xr:uid="{14861491-798D-4733-9D20-7909AFC04195}"/>
    <cellStyle name="Normal 11 4 3 2 2 2 3" xfId="18223" xr:uid="{B1B02C3A-0ED9-4590-BEA4-13F8BEDFC1CB}"/>
    <cellStyle name="Normal 11 4 3 2 2 2 3 2" xfId="43715" xr:uid="{AA818F09-D59E-443B-AF6D-87799F86E655}"/>
    <cellStyle name="Normal 11 4 3 2 2 2 4" xfId="31124" xr:uid="{21A4E986-EC99-4194-A388-480EBC3E11AB}"/>
    <cellStyle name="Normal 11 4 3 2 2 3" xfId="8680" xr:uid="{D6A55010-739D-416F-B265-F83C42C4852C}"/>
    <cellStyle name="Normal 11 4 3 2 2 3 2" xfId="21362" xr:uid="{34DB7B60-5242-4877-A767-7145FAD84407}"/>
    <cellStyle name="Normal 11 4 3 2 2 3 2 2" xfId="46854" xr:uid="{7D497041-956D-461E-AEE6-335B309DAACD}"/>
    <cellStyle name="Normal 11 4 3 2 2 3 3" xfId="34263" xr:uid="{ABB6FE6D-01DD-4ED2-8DEF-A04419688A46}"/>
    <cellStyle name="Normal 11 4 3 2 2 4" xfId="15084" xr:uid="{91D83CE4-8395-4785-8679-0DC3B930BD60}"/>
    <cellStyle name="Normal 11 4 3 2 2 4 2" xfId="40576" xr:uid="{9EB73D30-5026-4AEA-93AA-4D77C0D7BEC7}"/>
    <cellStyle name="Normal 11 4 3 2 2 5" xfId="27985" xr:uid="{65467F23-AA25-44FA-9C24-5416D395315A}"/>
    <cellStyle name="Normal 11 4 3 2 3" xfId="1589" xr:uid="{A9D5215E-ECED-49BC-8584-EC525C302907}"/>
    <cellStyle name="Normal 11 4 3 2 3 2" xfId="4743" xr:uid="{E13C3C29-DC89-4434-9F99-9201412B16F6}"/>
    <cellStyle name="Normal 11 4 3 2 3 2 2" xfId="11036" xr:uid="{12DC47C5-03CC-4D2D-B4C0-CC0F66D4A73E}"/>
    <cellStyle name="Normal 11 4 3 2 3 2 2 2" xfId="23718" xr:uid="{986874B5-1554-469C-A6B7-13C2C9871F20}"/>
    <cellStyle name="Normal 11 4 3 2 3 2 2 2 2" xfId="49210" xr:uid="{980FDA63-B429-4D18-8780-AE1556D6ECE3}"/>
    <cellStyle name="Normal 11 4 3 2 3 2 2 3" xfId="36619" xr:uid="{9C8D7CFF-C79A-4C6F-8C95-85B9BEC48EFF}"/>
    <cellStyle name="Normal 11 4 3 2 3 2 3" xfId="17440" xr:uid="{D3D18A85-41E9-4F9B-ADCF-C718F7272827}"/>
    <cellStyle name="Normal 11 4 3 2 3 2 3 2" xfId="42932" xr:uid="{C9507946-99DC-4D97-BA08-0CA9CBA4871F}"/>
    <cellStyle name="Normal 11 4 3 2 3 2 4" xfId="30341" xr:uid="{3EDEE7E6-CDC3-471C-8BB4-9CAEFD39C16B}"/>
    <cellStyle name="Normal 11 4 3 2 3 3" xfId="7897" xr:uid="{02B60392-CA56-4D92-A226-73BC9CF2EBD1}"/>
    <cellStyle name="Normal 11 4 3 2 3 3 2" xfId="20579" xr:uid="{D86A0DD5-7756-498B-B939-3FA4A081E0C4}"/>
    <cellStyle name="Normal 11 4 3 2 3 3 2 2" xfId="46071" xr:uid="{A668A1AC-D827-44E3-BD99-36A209E079BE}"/>
    <cellStyle name="Normal 11 4 3 2 3 3 3" xfId="33480" xr:uid="{41FE810F-1333-4702-9C61-471933C74293}"/>
    <cellStyle name="Normal 11 4 3 2 3 4" xfId="14301" xr:uid="{0B3CBA9C-3DA4-49C8-A5DE-F829180F77D6}"/>
    <cellStyle name="Normal 11 4 3 2 3 4 2" xfId="39793" xr:uid="{2A1A89D5-1AE1-49C2-8886-7661B627C4EE}"/>
    <cellStyle name="Normal 11 4 3 2 3 5" xfId="27202" xr:uid="{37FB2256-FC98-46DE-9BE6-06487BD0C295}"/>
    <cellStyle name="Normal 11 4 3 2 4" xfId="2896" xr:uid="{9453A63D-6EF9-4CFF-9509-E2684F7D2CA7}"/>
    <cellStyle name="Normal 11 4 3 2 4 2" xfId="6050" xr:uid="{B126E18B-E452-44BD-AD82-B0FA3F6AFB43}"/>
    <cellStyle name="Normal 11 4 3 2 4 2 2" xfId="12343" xr:uid="{3B401B51-B29B-4E20-9283-BFF113EDE50A}"/>
    <cellStyle name="Normal 11 4 3 2 4 2 2 2" xfId="25025" xr:uid="{B6BA8851-1ADE-4861-A36F-557DB43C8AA4}"/>
    <cellStyle name="Normal 11 4 3 2 4 2 2 2 2" xfId="50517" xr:uid="{AC314E7D-76EC-4160-AD9D-AAE0D318BDE9}"/>
    <cellStyle name="Normal 11 4 3 2 4 2 2 3" xfId="37926" xr:uid="{0A328C55-7D36-4C13-9F5B-2603E24B3264}"/>
    <cellStyle name="Normal 11 4 3 2 4 2 3" xfId="18747" xr:uid="{F6FC1C6A-2041-42A3-A4CE-607E0D549600}"/>
    <cellStyle name="Normal 11 4 3 2 4 2 3 2" xfId="44239" xr:uid="{9D77C9AB-8040-441F-B7A4-84F82D8CD5CF}"/>
    <cellStyle name="Normal 11 4 3 2 4 2 4" xfId="31648" xr:uid="{91211F67-552B-454C-AA63-8374BE3270F1}"/>
    <cellStyle name="Normal 11 4 3 2 4 3" xfId="9204" xr:uid="{31755577-E1F4-4030-A038-F0C066F282C6}"/>
    <cellStyle name="Normal 11 4 3 2 4 3 2" xfId="21886" xr:uid="{995510CA-DDCA-42F7-A369-DA6E2B2C4C27}"/>
    <cellStyle name="Normal 11 4 3 2 4 3 2 2" xfId="47378" xr:uid="{13988F69-123B-4E78-9A17-7DF6B97C2A67}"/>
    <cellStyle name="Normal 11 4 3 2 4 3 3" xfId="34787" xr:uid="{99C4FB9E-E732-41F5-AB85-CF5F4375E68E}"/>
    <cellStyle name="Normal 11 4 3 2 4 4" xfId="15608" xr:uid="{973737DD-432A-42E1-8149-C9E0749899DA}"/>
    <cellStyle name="Normal 11 4 3 2 4 4 2" xfId="41100" xr:uid="{7A06F0D4-6B31-47DC-9C09-9F54A5EEF759}"/>
    <cellStyle name="Normal 11 4 3 2 4 5" xfId="28509" xr:uid="{EAB1CAB2-97BA-4FC0-B3DA-DA1FF3FA4383}"/>
    <cellStyle name="Normal 11 4 3 2 5" xfId="3419" xr:uid="{D5BD1AAC-2BB3-4825-A3B7-4B473DDB9850}"/>
    <cellStyle name="Normal 11 4 3 2 5 2" xfId="6573" xr:uid="{23CCA61B-1F2F-4BD8-94B8-4339191522D8}"/>
    <cellStyle name="Normal 11 4 3 2 5 2 2" xfId="12866" xr:uid="{529DA677-23E1-41E3-A27E-2F1B44A57071}"/>
    <cellStyle name="Normal 11 4 3 2 5 2 2 2" xfId="25548" xr:uid="{CB749F73-62EC-4C7A-948B-104A9FAD0697}"/>
    <cellStyle name="Normal 11 4 3 2 5 2 2 2 2" xfId="51040" xr:uid="{740815F6-D859-4DA2-B617-B704DDB5C970}"/>
    <cellStyle name="Normal 11 4 3 2 5 2 2 3" xfId="38449" xr:uid="{61C80170-2229-436C-9FEC-CA8E11BEEF86}"/>
    <cellStyle name="Normal 11 4 3 2 5 2 3" xfId="19270" xr:uid="{63169FD8-D095-4E78-AA75-63DC1A2EB0A8}"/>
    <cellStyle name="Normal 11 4 3 2 5 2 3 2" xfId="44762" xr:uid="{A219F2DA-E07A-40DD-917C-9363A3FDE3F5}"/>
    <cellStyle name="Normal 11 4 3 2 5 2 4" xfId="32171" xr:uid="{2C987123-867B-44E1-8EA6-0F043971F1E6}"/>
    <cellStyle name="Normal 11 4 3 2 5 3" xfId="9727" xr:uid="{DA532A5E-F588-4575-985E-E017991CFAF8}"/>
    <cellStyle name="Normal 11 4 3 2 5 3 2" xfId="22409" xr:uid="{54B40C03-04DA-4AF3-947C-A65AD2531324}"/>
    <cellStyle name="Normal 11 4 3 2 5 3 2 2" xfId="47901" xr:uid="{5904919A-A6A4-4937-B6CD-61181048A2B8}"/>
    <cellStyle name="Normal 11 4 3 2 5 3 3" xfId="35310" xr:uid="{A51D1939-959D-443E-B567-6830386B6A69}"/>
    <cellStyle name="Normal 11 4 3 2 5 4" xfId="16131" xr:uid="{AA69D680-1C0C-476B-A10E-8ACFF0B570C4}"/>
    <cellStyle name="Normal 11 4 3 2 5 4 2" xfId="41623" xr:uid="{5C5678CE-8F81-4AB8-A88F-DC29A1BFB2F6}"/>
    <cellStyle name="Normal 11 4 3 2 5 5" xfId="29032" xr:uid="{39CBC31D-FC17-4C74-8D9D-FD9B33AD263B}"/>
    <cellStyle name="Normal 11 4 3 2 6" xfId="4219" xr:uid="{D3D8586B-C405-4EE2-8E14-5490C8B9B150}"/>
    <cellStyle name="Normal 11 4 3 2 6 2" xfId="10512" xr:uid="{503FF8C4-9B09-4EF8-841B-4EE34681711E}"/>
    <cellStyle name="Normal 11 4 3 2 6 2 2" xfId="23194" xr:uid="{C6F3180C-9E80-44E8-995B-1247A97426DF}"/>
    <cellStyle name="Normal 11 4 3 2 6 2 2 2" xfId="48686" xr:uid="{74548B23-AB24-4870-9E48-6A13416B77B5}"/>
    <cellStyle name="Normal 11 4 3 2 6 2 3" xfId="36095" xr:uid="{76DD203F-E7A4-4578-9EEC-9B49D63078BE}"/>
    <cellStyle name="Normal 11 4 3 2 6 3" xfId="16916" xr:uid="{74AE0A19-C7CF-4A89-9A9C-2105D3B53ADE}"/>
    <cellStyle name="Normal 11 4 3 2 6 3 2" xfId="42408" xr:uid="{9DE7B11A-1CCA-4652-8303-8A3BB647AC07}"/>
    <cellStyle name="Normal 11 4 3 2 6 4" xfId="29817" xr:uid="{01CE1B0D-3DE2-453B-A31D-042A51ED2AE6}"/>
    <cellStyle name="Normal 11 4 3 2 7" xfId="7373" xr:uid="{27B80B30-DB35-4D59-808D-BD797782E87C}"/>
    <cellStyle name="Normal 11 4 3 2 7 2" xfId="20055" xr:uid="{9EEFD2BB-842A-4CF8-9FDB-096606A69153}"/>
    <cellStyle name="Normal 11 4 3 2 7 2 2" xfId="45547" xr:uid="{15C03011-1686-4813-B091-9EB6D9014AF0}"/>
    <cellStyle name="Normal 11 4 3 2 7 3" xfId="32956" xr:uid="{3B3CC93C-48E6-478A-A990-777D602270E1}"/>
    <cellStyle name="Normal 11 4 3 2 8" xfId="13777" xr:uid="{614E0B2B-37E7-4D44-9C1D-1203C012F0E3}"/>
    <cellStyle name="Normal 11 4 3 2 8 2" xfId="39269" xr:uid="{F3613DD7-8047-49F6-A42E-7D9F447E60A4}"/>
    <cellStyle name="Normal 11 4 3 2 9" xfId="26678" xr:uid="{B8D3E80A-7A27-4A5F-A372-9D34659A0288}"/>
    <cellStyle name="Normal 11 4 3 3" xfId="805" xr:uid="{E1D57F20-019E-42E4-A095-C295ACC18649}"/>
    <cellStyle name="Normal 11 4 3 3 2" xfId="2112" xr:uid="{9A9B4C37-DDFA-4BD8-81BF-16F814579F4D}"/>
    <cellStyle name="Normal 11 4 3 3 2 2" xfId="5266" xr:uid="{7D8304F8-1DBE-413B-8B59-8B09A3CF0205}"/>
    <cellStyle name="Normal 11 4 3 3 2 2 2" xfId="11559" xr:uid="{1B8F6E1E-070C-4BDF-8998-463EC754F5C9}"/>
    <cellStyle name="Normal 11 4 3 3 2 2 2 2" xfId="24241" xr:uid="{C9883E44-7256-4EC0-9110-4FEA2FDADE62}"/>
    <cellStyle name="Normal 11 4 3 3 2 2 2 2 2" xfId="49733" xr:uid="{FEBDFC17-8108-4010-8D10-48167491CCA7}"/>
    <cellStyle name="Normal 11 4 3 3 2 2 2 3" xfId="37142" xr:uid="{EF60E08B-B60F-4DFF-822C-96C2FFEFECEF}"/>
    <cellStyle name="Normal 11 4 3 3 2 2 3" xfId="17963" xr:uid="{C9F9713B-510B-4C77-97D6-35865F292630}"/>
    <cellStyle name="Normal 11 4 3 3 2 2 3 2" xfId="43455" xr:uid="{0254FD63-5779-4718-AA35-47C3E01E2A37}"/>
    <cellStyle name="Normal 11 4 3 3 2 2 4" xfId="30864" xr:uid="{68BA3219-10CE-41CF-86CE-563C6B5FA350}"/>
    <cellStyle name="Normal 11 4 3 3 2 3" xfId="8420" xr:uid="{97F93F77-3927-4B6F-ADAA-73BCBA70CB9C}"/>
    <cellStyle name="Normal 11 4 3 3 2 3 2" xfId="21102" xr:uid="{4E5BE74E-7CBB-4E1F-AE43-782138EA70DA}"/>
    <cellStyle name="Normal 11 4 3 3 2 3 2 2" xfId="46594" xr:uid="{B1AF4984-DBC0-4688-840A-6D248187F394}"/>
    <cellStyle name="Normal 11 4 3 3 2 3 3" xfId="34003" xr:uid="{2F773D9A-37D2-443B-9FCF-DE77DF20C1A4}"/>
    <cellStyle name="Normal 11 4 3 3 2 4" xfId="14824" xr:uid="{BDC144F6-1184-4323-B952-8FE670CE665A}"/>
    <cellStyle name="Normal 11 4 3 3 2 4 2" xfId="40316" xr:uid="{382DF5D9-871A-4934-B0AD-F30CA50A02E6}"/>
    <cellStyle name="Normal 11 4 3 3 2 5" xfId="27725" xr:uid="{8E180B0E-6FDB-46FD-B2B3-9FBF65841F25}"/>
    <cellStyle name="Normal 11 4 3 3 3" xfId="3959" xr:uid="{5D6808F8-380D-4681-807F-12C3397A914B}"/>
    <cellStyle name="Normal 11 4 3 3 3 2" xfId="10252" xr:uid="{D21589AD-EF9F-4048-A988-112BDD42AAC7}"/>
    <cellStyle name="Normal 11 4 3 3 3 2 2" xfId="22934" xr:uid="{CF80E73C-A26B-4FBA-855C-96CA31020398}"/>
    <cellStyle name="Normal 11 4 3 3 3 2 2 2" xfId="48426" xr:uid="{6AA94FA3-7B14-4A25-9127-6B5962EA3985}"/>
    <cellStyle name="Normal 11 4 3 3 3 2 3" xfId="35835" xr:uid="{9CCB652D-ABF2-4670-970F-302DE9BB8D0F}"/>
    <cellStyle name="Normal 11 4 3 3 3 3" xfId="16656" xr:uid="{A023086F-01BD-4B62-BF0A-027C213382D9}"/>
    <cellStyle name="Normal 11 4 3 3 3 3 2" xfId="42148" xr:uid="{9A9002DB-2E17-4EFC-BBB3-48F6E6DB3936}"/>
    <cellStyle name="Normal 11 4 3 3 3 4" xfId="29557" xr:uid="{44D73428-EF6D-4C38-AEFF-8F25E35D8A0E}"/>
    <cellStyle name="Normal 11 4 3 3 4" xfId="7113" xr:uid="{86DCA091-08E9-483D-A6F6-BDC8BC4F1CBF}"/>
    <cellStyle name="Normal 11 4 3 3 4 2" xfId="19795" xr:uid="{96DF6792-4744-406B-AB9B-E54444C447A9}"/>
    <cellStyle name="Normal 11 4 3 3 4 2 2" xfId="45287" xr:uid="{BA5B8986-EC5B-4520-8E5A-6E4B5F844C04}"/>
    <cellStyle name="Normal 11 4 3 3 4 3" xfId="32696" xr:uid="{23CAC4FB-4E32-428F-A9D0-41FC79CBDA6D}"/>
    <cellStyle name="Normal 11 4 3 3 5" xfId="13517" xr:uid="{9C59BA10-A58E-41FC-A567-75CD78A7D4DB}"/>
    <cellStyle name="Normal 11 4 3 3 5 2" xfId="39009" xr:uid="{C9448310-69FC-4D59-B6F9-5FC4C87AD404}"/>
    <cellStyle name="Normal 11 4 3 3 6" xfId="26418" xr:uid="{E893640B-ADBF-448D-A9C4-00C3E8928451}"/>
    <cellStyle name="Normal 11 4 3 4" xfId="1850" xr:uid="{102C050A-B666-42FB-9E5E-916765285D03}"/>
    <cellStyle name="Normal 11 4 3 4 2" xfId="5004" xr:uid="{B7474FAB-F41A-4221-865A-8CC525953E2B}"/>
    <cellStyle name="Normal 11 4 3 4 2 2" xfId="11297" xr:uid="{CF00D140-F183-4085-9C38-911E16AA90FB}"/>
    <cellStyle name="Normal 11 4 3 4 2 2 2" xfId="23979" xr:uid="{F7B6F795-A130-4BEF-BE53-4F94EDD49316}"/>
    <cellStyle name="Normal 11 4 3 4 2 2 2 2" xfId="49471" xr:uid="{58AB1AE5-D36C-42E5-9187-740A27900EFD}"/>
    <cellStyle name="Normal 11 4 3 4 2 2 3" xfId="36880" xr:uid="{D2003414-581A-4C62-8F5A-9F1B5A5ABCD1}"/>
    <cellStyle name="Normal 11 4 3 4 2 3" xfId="17701" xr:uid="{E9965E0E-A0CE-4B0F-B0BB-64698C5FB979}"/>
    <cellStyle name="Normal 11 4 3 4 2 3 2" xfId="43193" xr:uid="{C58DB9EA-F3CB-42C8-B632-D6B72067AC93}"/>
    <cellStyle name="Normal 11 4 3 4 2 4" xfId="30602" xr:uid="{E00CC4C7-A13A-4007-A396-A41C72F4643B}"/>
    <cellStyle name="Normal 11 4 3 4 3" xfId="8158" xr:uid="{D72EE03F-1634-4002-AF25-F09C5FBEEDFD}"/>
    <cellStyle name="Normal 11 4 3 4 3 2" xfId="20840" xr:uid="{4A497FF3-4CF8-4DE7-B3D1-871B65F9B5E3}"/>
    <cellStyle name="Normal 11 4 3 4 3 2 2" xfId="46332" xr:uid="{17BF5925-3C45-45F7-AB79-C4FE3A8EF882}"/>
    <cellStyle name="Normal 11 4 3 4 3 3" xfId="33741" xr:uid="{4D67C958-AAB4-4B7A-BE59-8593BE1835D5}"/>
    <cellStyle name="Normal 11 4 3 4 4" xfId="14562" xr:uid="{D321A5AC-63FE-47B5-8FA1-56CBAD7D4220}"/>
    <cellStyle name="Normal 11 4 3 4 4 2" xfId="40054" xr:uid="{67643EAF-4EB8-44BE-B7AB-B116358965C5}"/>
    <cellStyle name="Normal 11 4 3 4 5" xfId="27463" xr:uid="{A5A22501-AC11-4EA4-A832-BACFDF8EA56F}"/>
    <cellStyle name="Normal 11 4 3 5" xfId="1328" xr:uid="{BD8C6170-DA44-4777-BADE-7692CF9C9174}"/>
    <cellStyle name="Normal 11 4 3 5 2" xfId="4482" xr:uid="{16A0A7C1-50DC-45BA-ADB2-30E4E01A3B83}"/>
    <cellStyle name="Normal 11 4 3 5 2 2" xfId="10775" xr:uid="{788E2F8E-E685-4C5A-9C1D-92B54E2CEC5F}"/>
    <cellStyle name="Normal 11 4 3 5 2 2 2" xfId="23457" xr:uid="{3343B3D2-07B6-453A-A2BC-3312BDAA26F1}"/>
    <cellStyle name="Normal 11 4 3 5 2 2 2 2" xfId="48949" xr:uid="{7E0AB998-B9B6-4A48-8486-7C6DC860AD93}"/>
    <cellStyle name="Normal 11 4 3 5 2 2 3" xfId="36358" xr:uid="{2E4816F5-F1C4-4F7E-BFE4-BD518CA12D38}"/>
    <cellStyle name="Normal 11 4 3 5 2 3" xfId="17179" xr:uid="{22930C44-4949-4576-8187-63B42F6DAB86}"/>
    <cellStyle name="Normal 11 4 3 5 2 3 2" xfId="42671" xr:uid="{4917C113-3337-46C0-A20C-9099AB847841}"/>
    <cellStyle name="Normal 11 4 3 5 2 4" xfId="30080" xr:uid="{D52FAF11-EA91-4C5A-BF34-09A5973BF69D}"/>
    <cellStyle name="Normal 11 4 3 5 3" xfId="7636" xr:uid="{E1CC3D0E-D680-4109-B92B-0B44AC7A9471}"/>
    <cellStyle name="Normal 11 4 3 5 3 2" xfId="20318" xr:uid="{F194D816-958A-409E-83C6-4A1F9B8BA388}"/>
    <cellStyle name="Normal 11 4 3 5 3 2 2" xfId="45810" xr:uid="{56F89C30-E6ED-48FA-866D-52CF0E7311A8}"/>
    <cellStyle name="Normal 11 4 3 5 3 3" xfId="33219" xr:uid="{C8404B38-B30E-47B6-ADF8-1140AE0CBA2E}"/>
    <cellStyle name="Normal 11 4 3 5 4" xfId="14040" xr:uid="{B576AEA1-ADC4-4F8C-8B71-688E01B41D8E}"/>
    <cellStyle name="Normal 11 4 3 5 4 2" xfId="39532" xr:uid="{9BC2567A-96F3-46C7-8D31-67F67FE55F2D}"/>
    <cellStyle name="Normal 11 4 3 5 5" xfId="26941" xr:uid="{99B4B656-BD4A-4AD8-9EBC-BC2B66F27D3D}"/>
    <cellStyle name="Normal 11 4 3 6" xfId="2635" xr:uid="{DBC42616-27BB-4359-A944-59E14E5CCBDE}"/>
    <cellStyle name="Normal 11 4 3 6 2" xfId="5789" xr:uid="{D4831C47-AF6D-40AD-B6A0-1B1D61048807}"/>
    <cellStyle name="Normal 11 4 3 6 2 2" xfId="12082" xr:uid="{91B52581-9384-42C3-A043-40C9E0D2570D}"/>
    <cellStyle name="Normal 11 4 3 6 2 2 2" xfId="24764" xr:uid="{194BB44B-EA0E-4227-AE29-BBE6F6451C2D}"/>
    <cellStyle name="Normal 11 4 3 6 2 2 2 2" xfId="50256" xr:uid="{05502C38-AA4B-4B2F-9CE9-F8873FE9F540}"/>
    <cellStyle name="Normal 11 4 3 6 2 2 3" xfId="37665" xr:uid="{74EC9370-F566-41E0-AF14-CFA96513A04C}"/>
    <cellStyle name="Normal 11 4 3 6 2 3" xfId="18486" xr:uid="{4A5661C0-5579-4D5F-AD8E-5B71FB7E06D3}"/>
    <cellStyle name="Normal 11 4 3 6 2 3 2" xfId="43978" xr:uid="{8B562C28-665B-41BE-98CC-63102AB60F83}"/>
    <cellStyle name="Normal 11 4 3 6 2 4" xfId="31387" xr:uid="{2E14B679-26AB-4F6E-8BBB-B61E5597998B}"/>
    <cellStyle name="Normal 11 4 3 6 3" xfId="8943" xr:uid="{0D29D223-1BDA-4CDA-BD16-BCD26FC27518}"/>
    <cellStyle name="Normal 11 4 3 6 3 2" xfId="21625" xr:uid="{9F706EB2-A091-4D34-A87C-E63807D88784}"/>
    <cellStyle name="Normal 11 4 3 6 3 2 2" xfId="47117" xr:uid="{2E3A5C28-D0FD-4A78-A1DF-8BC491502ED5}"/>
    <cellStyle name="Normal 11 4 3 6 3 3" xfId="34526" xr:uid="{808E5FAA-D5C9-4C4A-BCAE-B4A846B8FE2E}"/>
    <cellStyle name="Normal 11 4 3 6 4" xfId="15347" xr:uid="{4697DBA4-DD4A-4E08-AB77-8F2CB5EA1DCE}"/>
    <cellStyle name="Normal 11 4 3 6 4 2" xfId="40839" xr:uid="{8A763952-DCE4-4FE7-9824-D0ADE6EEDE0C}"/>
    <cellStyle name="Normal 11 4 3 6 5" xfId="28248" xr:uid="{A063795C-7A5E-45CB-9972-0B3F14B9E043}"/>
    <cellStyle name="Normal 11 4 3 7" xfId="3158" xr:uid="{104106CD-E50D-4DAC-A6ED-910325B935B1}"/>
    <cellStyle name="Normal 11 4 3 7 2" xfId="6312" xr:uid="{9495D857-F350-490A-9287-A5FC28A854A0}"/>
    <cellStyle name="Normal 11 4 3 7 2 2" xfId="12605" xr:uid="{B865F9D8-0D02-497C-AB16-B1FCCACE1822}"/>
    <cellStyle name="Normal 11 4 3 7 2 2 2" xfId="25287" xr:uid="{914A0136-AB0B-433E-A863-88BEF2CF1EE1}"/>
    <cellStyle name="Normal 11 4 3 7 2 2 2 2" xfId="50779" xr:uid="{986EC11B-99C3-4524-B04A-C934A0AB8402}"/>
    <cellStyle name="Normal 11 4 3 7 2 2 3" xfId="38188" xr:uid="{FAEBEECC-B9DC-485C-AB8A-A39300C88DA1}"/>
    <cellStyle name="Normal 11 4 3 7 2 3" xfId="19009" xr:uid="{2AD08D27-8402-402C-8668-A457B76F9216}"/>
    <cellStyle name="Normal 11 4 3 7 2 3 2" xfId="44501" xr:uid="{31A0E4B0-3A83-4F72-8DD9-8B0321BD6DD0}"/>
    <cellStyle name="Normal 11 4 3 7 2 4" xfId="31910" xr:uid="{737CBA49-26F8-4733-9A24-07FF48F089C9}"/>
    <cellStyle name="Normal 11 4 3 7 3" xfId="9466" xr:uid="{32988481-9312-4DA1-8971-C01EEC1CFE12}"/>
    <cellStyle name="Normal 11 4 3 7 3 2" xfId="22148" xr:uid="{4CEB13CD-8FB1-43C7-BDD0-2F3EA555FFD6}"/>
    <cellStyle name="Normal 11 4 3 7 3 2 2" xfId="47640" xr:uid="{AC0C4951-0E9E-45A2-9B16-E9680EA99212}"/>
    <cellStyle name="Normal 11 4 3 7 3 3" xfId="35049" xr:uid="{6289C2B5-86C8-4C81-BD74-B454023CC8B3}"/>
    <cellStyle name="Normal 11 4 3 7 4" xfId="15870" xr:uid="{DEA1362D-1963-4EEA-902C-E8EF58E0EA68}"/>
    <cellStyle name="Normal 11 4 3 7 4 2" xfId="41362" xr:uid="{3AF85258-EA13-4ACA-B86E-99FD7D1C100D}"/>
    <cellStyle name="Normal 11 4 3 7 5" xfId="28771" xr:uid="{693FDEBA-E2DF-4EE0-A746-D40E32DF08C4}"/>
    <cellStyle name="Normal 11 4 3 8" xfId="3697" xr:uid="{0C9C879F-ABD2-42A1-BD6D-1AD0A0C88E0D}"/>
    <cellStyle name="Normal 11 4 3 8 2" xfId="9990" xr:uid="{6D042874-03B7-4A48-86ED-6B0DC261329D}"/>
    <cellStyle name="Normal 11 4 3 8 2 2" xfId="22672" xr:uid="{65993569-2315-418C-A001-D8746D9A3B9D}"/>
    <cellStyle name="Normal 11 4 3 8 2 2 2" xfId="48164" xr:uid="{079DFD38-817F-45CD-882C-5BC94F9BBC15}"/>
    <cellStyle name="Normal 11 4 3 8 2 3" xfId="35573" xr:uid="{389C9188-B735-4B3F-9A84-CC6A16FE8256}"/>
    <cellStyle name="Normal 11 4 3 8 3" xfId="16394" xr:uid="{BA4A8D78-5DFC-4F68-BCDB-09658A97F583}"/>
    <cellStyle name="Normal 11 4 3 8 3 2" xfId="41886" xr:uid="{C4203605-DFDD-4192-8EFD-B890393BF432}"/>
    <cellStyle name="Normal 11 4 3 8 4" xfId="29295" xr:uid="{0B3C4B38-0B6E-4451-A4F8-6B7626F9B449}"/>
    <cellStyle name="Normal 11 4 3 9" xfId="6851" xr:uid="{0DA480F1-9C00-437F-BECF-FBC731E3008D}"/>
    <cellStyle name="Normal 11 4 3 9 2" xfId="19533" xr:uid="{85814212-214F-4DBA-8068-6BC2875C80EA}"/>
    <cellStyle name="Normal 11 4 3 9 2 2" xfId="45025" xr:uid="{4E1DA037-272F-4BDB-AFE6-7B937985C813}"/>
    <cellStyle name="Normal 11 4 3 9 3" xfId="32434" xr:uid="{C33A44B9-D365-4F76-8421-488DE281EEA2}"/>
    <cellStyle name="Normal 11 4 4" xfId="1006" xr:uid="{226231F1-42D9-452F-B461-08CC3998306B}"/>
    <cellStyle name="Normal 11 4 4 2" xfId="2313" xr:uid="{ED9553B9-575B-4C33-9BC8-C671AD8E14AC}"/>
    <cellStyle name="Normal 11 4 4 2 2" xfId="5467" xr:uid="{B065B561-8DAE-4E59-8D5E-0D54FE139D9B}"/>
    <cellStyle name="Normal 11 4 4 2 2 2" xfId="11760" xr:uid="{98D04475-8759-4A65-BD1B-989AA4C73752}"/>
    <cellStyle name="Normal 11 4 4 2 2 2 2" xfId="24442" xr:uid="{16E81F71-FBDB-434F-95B0-0A1BFC70F3C5}"/>
    <cellStyle name="Normal 11 4 4 2 2 2 2 2" xfId="49934" xr:uid="{A91E1899-3BB8-43D3-83C4-4BBBE1E782B6}"/>
    <cellStyle name="Normal 11 4 4 2 2 2 3" xfId="37343" xr:uid="{7C64128A-580D-4FA2-870E-1D1392CBC43B}"/>
    <cellStyle name="Normal 11 4 4 2 2 3" xfId="18164" xr:uid="{94889835-6D3B-4B37-A512-12C3EEFCAEEB}"/>
    <cellStyle name="Normal 11 4 4 2 2 3 2" xfId="43656" xr:uid="{0EA943FC-D45D-499A-A426-132FF7DB2148}"/>
    <cellStyle name="Normal 11 4 4 2 2 4" xfId="31065" xr:uid="{20A8B0CB-5AF5-4CF2-BA39-AC796E30D2FC}"/>
    <cellStyle name="Normal 11 4 4 2 3" xfId="8621" xr:uid="{548B5400-2DFE-49E7-93E2-E64DC9C4F971}"/>
    <cellStyle name="Normal 11 4 4 2 3 2" xfId="21303" xr:uid="{6F389F31-0755-4908-B327-294AE874A209}"/>
    <cellStyle name="Normal 11 4 4 2 3 2 2" xfId="46795" xr:uid="{BE048F66-C73B-4AFE-9777-071D2873935C}"/>
    <cellStyle name="Normal 11 4 4 2 3 3" xfId="34204" xr:uid="{9579AE0B-A782-48CA-B00D-86BF5123DE0F}"/>
    <cellStyle name="Normal 11 4 4 2 4" xfId="15025" xr:uid="{3A8934F5-3E0E-4B9E-BF79-C55CDFE5D08F}"/>
    <cellStyle name="Normal 11 4 4 2 4 2" xfId="40517" xr:uid="{2BBF9630-765E-4CBD-9400-FD8FA842958B}"/>
    <cellStyle name="Normal 11 4 4 2 5" xfId="27926" xr:uid="{5DFD48B6-C894-4DBC-A2D5-EA4AFF12B59E}"/>
    <cellStyle name="Normal 11 4 4 3" xfId="1530" xr:uid="{529BE852-8404-4214-A104-FF491BF64745}"/>
    <cellStyle name="Normal 11 4 4 3 2" xfId="4684" xr:uid="{A37FFF62-0B46-4BD8-992C-7BE81C49AC08}"/>
    <cellStyle name="Normal 11 4 4 3 2 2" xfId="10977" xr:uid="{684B23E0-7F84-407D-A02C-37E235850548}"/>
    <cellStyle name="Normal 11 4 4 3 2 2 2" xfId="23659" xr:uid="{34862100-E37E-4017-BE67-05494BBEC1AA}"/>
    <cellStyle name="Normal 11 4 4 3 2 2 2 2" xfId="49151" xr:uid="{6773FC17-8FCB-420B-90B4-90ADE9837876}"/>
    <cellStyle name="Normal 11 4 4 3 2 2 3" xfId="36560" xr:uid="{8D6612B6-1F9D-47DE-ACE6-A8D99C45E0E0}"/>
    <cellStyle name="Normal 11 4 4 3 2 3" xfId="17381" xr:uid="{EEAE1E61-1090-40A8-8FAA-0ADF917C34A6}"/>
    <cellStyle name="Normal 11 4 4 3 2 3 2" xfId="42873" xr:uid="{E3E6AC3F-1A63-4AD5-B3E4-7E8434E484A3}"/>
    <cellStyle name="Normal 11 4 4 3 2 4" xfId="30282" xr:uid="{D97545D8-9B26-494B-89CA-D13E0B4ED845}"/>
    <cellStyle name="Normal 11 4 4 3 3" xfId="7838" xr:uid="{9079CB3E-D949-42F6-93AE-420A8359516D}"/>
    <cellStyle name="Normal 11 4 4 3 3 2" xfId="20520" xr:uid="{8D1E978E-8BD7-4904-BB7A-F6650C815621}"/>
    <cellStyle name="Normal 11 4 4 3 3 2 2" xfId="46012" xr:uid="{C97C9C54-C571-4BCE-ABD8-D96A0EFB9472}"/>
    <cellStyle name="Normal 11 4 4 3 3 3" xfId="33421" xr:uid="{D9ADC7DA-1AE8-43BF-BAB9-23FF1169F6A8}"/>
    <cellStyle name="Normal 11 4 4 3 4" xfId="14242" xr:uid="{AD3C3378-89E9-4914-A635-ADE407F9DAD6}"/>
    <cellStyle name="Normal 11 4 4 3 4 2" xfId="39734" xr:uid="{3515882F-1E89-4903-9BB7-05147390FB5E}"/>
    <cellStyle name="Normal 11 4 4 3 5" xfId="27143" xr:uid="{3DD428F7-6996-460B-95BE-63B52A6A49AB}"/>
    <cellStyle name="Normal 11 4 4 4" xfId="2837" xr:uid="{39E5022A-90A4-4CF1-AB02-C3E31CA491AB}"/>
    <cellStyle name="Normal 11 4 4 4 2" xfId="5991" xr:uid="{87061BBA-2C4A-4390-97B5-E1F0A4CC0D89}"/>
    <cellStyle name="Normal 11 4 4 4 2 2" xfId="12284" xr:uid="{68132381-56CC-4F54-ADFE-1897F494323B}"/>
    <cellStyle name="Normal 11 4 4 4 2 2 2" xfId="24966" xr:uid="{8AC9B5AB-9D85-4331-8B08-684D53075C9C}"/>
    <cellStyle name="Normal 11 4 4 4 2 2 2 2" xfId="50458" xr:uid="{0CC7B21B-F80B-4B02-8256-C13CEEC73F7D}"/>
    <cellStyle name="Normal 11 4 4 4 2 2 3" xfId="37867" xr:uid="{F48E8F34-5D40-48D5-B2B6-4DC5B4F27545}"/>
    <cellStyle name="Normal 11 4 4 4 2 3" xfId="18688" xr:uid="{EC54CEE7-DFD1-4B88-922F-BDED9BCF00B8}"/>
    <cellStyle name="Normal 11 4 4 4 2 3 2" xfId="44180" xr:uid="{12E1F1B3-4129-4741-A520-1A9285D41EAD}"/>
    <cellStyle name="Normal 11 4 4 4 2 4" xfId="31589" xr:uid="{60142549-D89A-45ED-8AF2-987C0C9E9503}"/>
    <cellStyle name="Normal 11 4 4 4 3" xfId="9145" xr:uid="{34E5643D-6F2F-46F9-8986-62315DA7ED34}"/>
    <cellStyle name="Normal 11 4 4 4 3 2" xfId="21827" xr:uid="{3DA34A57-0002-4E45-ABBA-B4975E5CD913}"/>
    <cellStyle name="Normal 11 4 4 4 3 2 2" xfId="47319" xr:uid="{FC1F5F96-4F57-4B67-946E-6E1028EA1B83}"/>
    <cellStyle name="Normal 11 4 4 4 3 3" xfId="34728" xr:uid="{611C01AA-EFCB-4E31-ADE3-58EC7DDA3F91}"/>
    <cellStyle name="Normal 11 4 4 4 4" xfId="15549" xr:uid="{6F84E231-9ACC-4F2C-B180-A62411E9EAF1}"/>
    <cellStyle name="Normal 11 4 4 4 4 2" xfId="41041" xr:uid="{9D3F3E45-4DF8-4A27-A92D-220A70666B8D}"/>
    <cellStyle name="Normal 11 4 4 4 5" xfId="28450" xr:uid="{717F87E1-F0DE-4197-A3AC-AE325C702748}"/>
    <cellStyle name="Normal 11 4 4 5" xfId="3360" xr:uid="{9A5CFCDC-5822-45C2-BF7F-C90BB152E587}"/>
    <cellStyle name="Normal 11 4 4 5 2" xfId="6514" xr:uid="{A7572114-BCF4-4209-903C-8660BC5A647A}"/>
    <cellStyle name="Normal 11 4 4 5 2 2" xfId="12807" xr:uid="{AE8B89D4-B641-4866-B693-C2CC081F6DE9}"/>
    <cellStyle name="Normal 11 4 4 5 2 2 2" xfId="25489" xr:uid="{44E49B4C-AEF4-4B14-BAD1-7B566BDC674A}"/>
    <cellStyle name="Normal 11 4 4 5 2 2 2 2" xfId="50981" xr:uid="{1638B549-52C9-4E2C-A57A-33E1B2BB2013}"/>
    <cellStyle name="Normal 11 4 4 5 2 2 3" xfId="38390" xr:uid="{711B0DCA-1992-466F-9057-6C939509A11A}"/>
    <cellStyle name="Normal 11 4 4 5 2 3" xfId="19211" xr:uid="{9A107540-E0FE-4767-A834-730AF8A739A0}"/>
    <cellStyle name="Normal 11 4 4 5 2 3 2" xfId="44703" xr:uid="{CA269D70-BE51-4765-AB92-5C42B3D24946}"/>
    <cellStyle name="Normal 11 4 4 5 2 4" xfId="32112" xr:uid="{AA73C737-FD01-4927-B900-B501C2E90280}"/>
    <cellStyle name="Normal 11 4 4 5 3" xfId="9668" xr:uid="{CB909B9F-35CB-49C8-A7BF-86133AD1CD65}"/>
    <cellStyle name="Normal 11 4 4 5 3 2" xfId="22350" xr:uid="{8C4D4F6F-8F98-479E-9352-6957A80E3F58}"/>
    <cellStyle name="Normal 11 4 4 5 3 2 2" xfId="47842" xr:uid="{477419F0-D07D-42F0-A058-2108DCDB95A6}"/>
    <cellStyle name="Normal 11 4 4 5 3 3" xfId="35251" xr:uid="{ECA233BB-B24F-4CDF-B949-C36DD20AEAE3}"/>
    <cellStyle name="Normal 11 4 4 5 4" xfId="16072" xr:uid="{23AFD716-42B1-489F-9CF7-AF4C6806C7B1}"/>
    <cellStyle name="Normal 11 4 4 5 4 2" xfId="41564" xr:uid="{35DB6AC9-32ED-4D5E-85C6-DAAE62B8B18C}"/>
    <cellStyle name="Normal 11 4 4 5 5" xfId="28973" xr:uid="{5B1BF140-A766-4EB6-98B1-28BD196DCAD5}"/>
    <cellStyle name="Normal 11 4 4 6" xfId="4160" xr:uid="{423EE07E-556A-4AAC-870D-C4CE845DD9E3}"/>
    <cellStyle name="Normal 11 4 4 6 2" xfId="10453" xr:uid="{B84B12FD-13E9-4056-B96A-8298892EFA2C}"/>
    <cellStyle name="Normal 11 4 4 6 2 2" xfId="23135" xr:uid="{8AE9EF57-FE00-493F-8031-A7A3A65F8841}"/>
    <cellStyle name="Normal 11 4 4 6 2 2 2" xfId="48627" xr:uid="{E7B39998-5B43-49B2-B74D-9E946ACFA4BB}"/>
    <cellStyle name="Normal 11 4 4 6 2 3" xfId="36036" xr:uid="{A9DD1D5E-CFA4-4EC6-9D58-CC75C6E5834A}"/>
    <cellStyle name="Normal 11 4 4 6 3" xfId="16857" xr:uid="{3CF95D32-A793-4312-9CFA-03EC5FCD09D2}"/>
    <cellStyle name="Normal 11 4 4 6 3 2" xfId="42349" xr:uid="{6B4EE989-3034-4CC2-9BB8-5F7DFA4CC73A}"/>
    <cellStyle name="Normal 11 4 4 6 4" xfId="29758" xr:uid="{922AB009-A10D-4A77-8E43-803C41BDDF03}"/>
    <cellStyle name="Normal 11 4 4 7" xfId="7314" xr:uid="{A55B1DA6-8C2B-4076-9D1A-EE4B1CCD4F87}"/>
    <cellStyle name="Normal 11 4 4 7 2" xfId="19996" xr:uid="{A0E43937-A52B-4994-97AC-6D5AA0697413}"/>
    <cellStyle name="Normal 11 4 4 7 2 2" xfId="45488" xr:uid="{31FA686D-B7E6-4544-8FCD-3F0AE656BC3E}"/>
    <cellStyle name="Normal 11 4 4 7 3" xfId="32897" xr:uid="{DC3FB306-5C44-4ED6-81C2-B1E1E44DBB27}"/>
    <cellStyle name="Normal 11 4 4 8" xfId="13718" xr:uid="{32A1C531-F6FD-4DA8-9260-BE5D9029CD73}"/>
    <cellStyle name="Normal 11 4 4 8 2" xfId="39210" xr:uid="{97F008D1-6C50-4976-A015-A20CDB96EB37}"/>
    <cellStyle name="Normal 11 4 4 9" xfId="26619" xr:uid="{30C56807-D96A-46CD-A925-AD9339A83CF1}"/>
    <cellStyle name="Normal 11 4 5" xfId="746" xr:uid="{4C49D545-1B39-4474-9719-41987AAE7734}"/>
    <cellStyle name="Normal 11 4 5 2" xfId="2053" xr:uid="{27B3169C-7AE3-4AB5-8722-4E02F34CD02C}"/>
    <cellStyle name="Normal 11 4 5 2 2" xfId="5207" xr:uid="{2C587997-C193-4AD2-8789-95BCE10630E5}"/>
    <cellStyle name="Normal 11 4 5 2 2 2" xfId="11500" xr:uid="{598EC943-9F37-4174-A7E5-9CC680A1EE36}"/>
    <cellStyle name="Normal 11 4 5 2 2 2 2" xfId="24182" xr:uid="{504BE3D0-61BF-48F0-9459-F0AF9DEB00B0}"/>
    <cellStyle name="Normal 11 4 5 2 2 2 2 2" xfId="49674" xr:uid="{13C2D737-00AB-43C8-854C-65CEA708BF52}"/>
    <cellStyle name="Normal 11 4 5 2 2 2 3" xfId="37083" xr:uid="{2F95D0E5-A96D-4B93-8721-A60A90327512}"/>
    <cellStyle name="Normal 11 4 5 2 2 3" xfId="17904" xr:uid="{3CE9E9F3-C96D-4964-85EB-A3E6B329DA53}"/>
    <cellStyle name="Normal 11 4 5 2 2 3 2" xfId="43396" xr:uid="{97567E7B-4C08-4A97-8A33-BCE17A3337A2}"/>
    <cellStyle name="Normal 11 4 5 2 2 4" xfId="30805" xr:uid="{C4FAD874-5400-4E31-9082-CF8D44CDF394}"/>
    <cellStyle name="Normal 11 4 5 2 3" xfId="8361" xr:uid="{D63DFE6F-0E4D-4371-8CB4-25ED426F1DC9}"/>
    <cellStyle name="Normal 11 4 5 2 3 2" xfId="21043" xr:uid="{DFB0F2F5-7ACF-4602-BCA9-848748D46791}"/>
    <cellStyle name="Normal 11 4 5 2 3 2 2" xfId="46535" xr:uid="{2571EAEF-9DC9-41D9-A88F-AC9A0237AE48}"/>
    <cellStyle name="Normal 11 4 5 2 3 3" xfId="33944" xr:uid="{BA3AD4CE-1651-46D7-8398-09F2C6D83A68}"/>
    <cellStyle name="Normal 11 4 5 2 4" xfId="14765" xr:uid="{8501ECF2-A12B-4C9D-8A78-CD870BC51D51}"/>
    <cellStyle name="Normal 11 4 5 2 4 2" xfId="40257" xr:uid="{00A8F5D9-9128-4CC7-8169-179D03E898A9}"/>
    <cellStyle name="Normal 11 4 5 2 5" xfId="27666" xr:uid="{8AEAB595-A1A4-4BDD-BE11-8702A8FB3A6B}"/>
    <cellStyle name="Normal 11 4 5 3" xfId="3900" xr:uid="{C3AC5358-4CE7-49E5-B4D7-B0A070C7E6CA}"/>
    <cellStyle name="Normal 11 4 5 3 2" xfId="10193" xr:uid="{BAAC6B99-CA6C-4E6D-9020-51660286BCF8}"/>
    <cellStyle name="Normal 11 4 5 3 2 2" xfId="22875" xr:uid="{78C96236-A57D-4A9E-AD47-319373775AC9}"/>
    <cellStyle name="Normal 11 4 5 3 2 2 2" xfId="48367" xr:uid="{32EF5965-2B81-4F85-821B-54841DED8186}"/>
    <cellStyle name="Normal 11 4 5 3 2 3" xfId="35776" xr:uid="{C6303A4B-EA2B-4927-914F-3CD25FD9C655}"/>
    <cellStyle name="Normal 11 4 5 3 3" xfId="16597" xr:uid="{7AE10422-17D1-4BB8-8C5F-7426CBB6219D}"/>
    <cellStyle name="Normal 11 4 5 3 3 2" xfId="42089" xr:uid="{8E696D35-5905-4200-8100-7AB046CA575E}"/>
    <cellStyle name="Normal 11 4 5 3 4" xfId="29498" xr:uid="{C49ED678-3190-459F-AC37-D1710F25EE1E}"/>
    <cellStyle name="Normal 11 4 5 4" xfId="7054" xr:uid="{F161BB7A-FCDC-4647-A478-43699D6ADC46}"/>
    <cellStyle name="Normal 11 4 5 4 2" xfId="19736" xr:uid="{D1EF89FD-322D-4807-A8D9-43A705CBA08E}"/>
    <cellStyle name="Normal 11 4 5 4 2 2" xfId="45228" xr:uid="{936A512B-8F14-4078-AE5D-575CBDBB0D65}"/>
    <cellStyle name="Normal 11 4 5 4 3" xfId="32637" xr:uid="{52DC589C-ECFE-4AE2-82C5-E360FF8813FF}"/>
    <cellStyle name="Normal 11 4 5 5" xfId="13458" xr:uid="{93781927-74E7-440A-9ECD-07E53724B504}"/>
    <cellStyle name="Normal 11 4 5 5 2" xfId="38950" xr:uid="{9BDF1F48-674F-4EB1-8796-20701C92DB33}"/>
    <cellStyle name="Normal 11 4 5 6" xfId="26359" xr:uid="{EE8C51FB-26BB-459E-B451-3447D41B599B}"/>
    <cellStyle name="Normal 11 4 6" xfId="1791" xr:uid="{7BD8956C-A87E-4A52-92E5-0147867133C4}"/>
    <cellStyle name="Normal 11 4 6 2" xfId="4945" xr:uid="{E576AABE-4BFD-4D24-9FC6-4CD845571891}"/>
    <cellStyle name="Normal 11 4 6 2 2" xfId="11238" xr:uid="{562D2FF1-13EE-48D8-9583-8D4A15883836}"/>
    <cellStyle name="Normal 11 4 6 2 2 2" xfId="23920" xr:uid="{DF407140-DA2B-420F-AB8A-48200DCD4AC3}"/>
    <cellStyle name="Normal 11 4 6 2 2 2 2" xfId="49412" xr:uid="{AD15E424-93E6-48F7-992E-9D7D33BAFD47}"/>
    <cellStyle name="Normal 11 4 6 2 2 3" xfId="36821" xr:uid="{14F1EB9F-C517-4554-9003-BFC9A3EB7334}"/>
    <cellStyle name="Normal 11 4 6 2 3" xfId="17642" xr:uid="{878F347C-8242-4321-B98C-36E0B63692A7}"/>
    <cellStyle name="Normal 11 4 6 2 3 2" xfId="43134" xr:uid="{59A3D1A1-278D-41DB-BEB8-D4D965D71022}"/>
    <cellStyle name="Normal 11 4 6 2 4" xfId="30543" xr:uid="{941EBFD1-AA11-4A6C-AF8C-DF31BD97B927}"/>
    <cellStyle name="Normal 11 4 6 3" xfId="8099" xr:uid="{10E1BA55-A0BF-456D-B176-A5B1237B2B51}"/>
    <cellStyle name="Normal 11 4 6 3 2" xfId="20781" xr:uid="{0294EAC4-4766-466B-A65E-6744893B6382}"/>
    <cellStyle name="Normal 11 4 6 3 2 2" xfId="46273" xr:uid="{729C5DE4-0E6A-498F-A2AC-81B1AF013366}"/>
    <cellStyle name="Normal 11 4 6 3 3" xfId="33682" xr:uid="{6FD7D6A1-EDFD-489C-A24F-FB0394DF924F}"/>
    <cellStyle name="Normal 11 4 6 4" xfId="14503" xr:uid="{E21C40B7-9689-43A5-874A-E99275A6A820}"/>
    <cellStyle name="Normal 11 4 6 4 2" xfId="39995" xr:uid="{0E351896-2628-4CD6-9CE6-BC13F74B8042}"/>
    <cellStyle name="Normal 11 4 6 5" xfId="27404" xr:uid="{F43A9540-5DC4-4EC7-9526-C597CA72CB58}"/>
    <cellStyle name="Normal 11 4 7" xfId="1269" xr:uid="{4C3D7E31-960B-4FCB-909C-0688EAA9CA78}"/>
    <cellStyle name="Normal 11 4 7 2" xfId="4423" xr:uid="{EF5A9188-CAEF-42CA-897E-8706132DB55C}"/>
    <cellStyle name="Normal 11 4 7 2 2" xfId="10716" xr:uid="{2B408FFF-2B06-46D9-8E4B-E80511E7BD75}"/>
    <cellStyle name="Normal 11 4 7 2 2 2" xfId="23398" xr:uid="{BEF1BE8A-BD99-4D78-8B22-BCF861D859A5}"/>
    <cellStyle name="Normal 11 4 7 2 2 2 2" xfId="48890" xr:uid="{F59998EF-E100-4403-AB65-399BEE14F109}"/>
    <cellStyle name="Normal 11 4 7 2 2 3" xfId="36299" xr:uid="{49BE25EB-3E77-42C9-8B4E-B830F79C278D}"/>
    <cellStyle name="Normal 11 4 7 2 3" xfId="17120" xr:uid="{5C3694E2-92C0-4FFC-B177-CA856577A889}"/>
    <cellStyle name="Normal 11 4 7 2 3 2" xfId="42612" xr:uid="{AA9D06F1-14F4-436A-BF77-7B0AB748EC05}"/>
    <cellStyle name="Normal 11 4 7 2 4" xfId="30021" xr:uid="{9A5CCE6B-EFCF-494C-9559-9EA65CA448DC}"/>
    <cellStyle name="Normal 11 4 7 3" xfId="7577" xr:uid="{24510CB6-AAF3-486B-8F58-BE759DDE8EB3}"/>
    <cellStyle name="Normal 11 4 7 3 2" xfId="20259" xr:uid="{F5965D34-5C13-4F27-850D-1EFC2EC11251}"/>
    <cellStyle name="Normal 11 4 7 3 2 2" xfId="45751" xr:uid="{ECB9A458-6031-42DC-849A-DB7A75B3F689}"/>
    <cellStyle name="Normal 11 4 7 3 3" xfId="33160" xr:uid="{765E7599-3F74-49AB-A364-377383F910B9}"/>
    <cellStyle name="Normal 11 4 7 4" xfId="13981" xr:uid="{A0D14413-CCB8-4382-AF10-1822411E7B61}"/>
    <cellStyle name="Normal 11 4 7 4 2" xfId="39473" xr:uid="{020BADC1-98A9-47DB-BBBA-B298C49CB11C}"/>
    <cellStyle name="Normal 11 4 7 5" xfId="26882" xr:uid="{67E7951E-40E9-4375-A53B-322D8144FD15}"/>
    <cellStyle name="Normal 11 4 8" xfId="2576" xr:uid="{973D5C48-7BF1-45A1-A292-CF7A31610880}"/>
    <cellStyle name="Normal 11 4 8 2" xfId="5730" xr:uid="{23826341-DE1D-4AEB-8196-A22089C91C32}"/>
    <cellStyle name="Normal 11 4 8 2 2" xfId="12023" xr:uid="{77753DA9-F927-46CC-9031-43590EBD0DCC}"/>
    <cellStyle name="Normal 11 4 8 2 2 2" xfId="24705" xr:uid="{94BEF796-3898-492E-9FC9-5D0208C9A77B}"/>
    <cellStyle name="Normal 11 4 8 2 2 2 2" xfId="50197" xr:uid="{10914B0D-25EE-4A4E-92BB-9BB83D6DB0B1}"/>
    <cellStyle name="Normal 11 4 8 2 2 3" xfId="37606" xr:uid="{FB077B7C-647B-4D7E-A19C-01BC13243148}"/>
    <cellStyle name="Normal 11 4 8 2 3" xfId="18427" xr:uid="{B23FE383-2DCB-4823-AAF0-177F28EE1E41}"/>
    <cellStyle name="Normal 11 4 8 2 3 2" xfId="43919" xr:uid="{873442B9-ECB1-425B-B90A-684CF8003BA8}"/>
    <cellStyle name="Normal 11 4 8 2 4" xfId="31328" xr:uid="{CCCB167A-C6EE-4FD1-B347-97E2D58923B6}"/>
    <cellStyle name="Normal 11 4 8 3" xfId="8884" xr:uid="{7BBE4003-BE9D-4493-8F4E-325AB25E2C43}"/>
    <cellStyle name="Normal 11 4 8 3 2" xfId="21566" xr:uid="{471B5B78-9F9D-4D63-95F9-52DE66F29FCB}"/>
    <cellStyle name="Normal 11 4 8 3 2 2" xfId="47058" xr:uid="{B1F4423D-EC97-45E5-8D14-D336F45CC538}"/>
    <cellStyle name="Normal 11 4 8 3 3" xfId="34467" xr:uid="{DFA33F61-F217-43F6-9AF0-A8BC650DDB1D}"/>
    <cellStyle name="Normal 11 4 8 4" xfId="15288" xr:uid="{ADCC9727-C6CB-492B-AB79-EA6501D7112B}"/>
    <cellStyle name="Normal 11 4 8 4 2" xfId="40780" xr:uid="{409E351D-C61F-4BD2-8A9D-E20D1C35F100}"/>
    <cellStyle name="Normal 11 4 8 5" xfId="28189" xr:uid="{3F4E8260-42F5-4857-A4A8-93E91D8523C3}"/>
    <cellStyle name="Normal 11 4 9" xfId="3099" xr:uid="{EEADBF39-B7BA-4543-8352-68A99A497BE8}"/>
    <cellStyle name="Normal 11 4 9 2" xfId="6253" xr:uid="{2508C8D2-1D33-4C37-A6EA-DE40ACF58BC8}"/>
    <cellStyle name="Normal 11 4 9 2 2" xfId="12546" xr:uid="{EFA541EE-B67D-4DB3-8CD9-578678A20E33}"/>
    <cellStyle name="Normal 11 4 9 2 2 2" xfId="25228" xr:uid="{2BB23583-2E15-458E-A5B0-E3F574586755}"/>
    <cellStyle name="Normal 11 4 9 2 2 2 2" xfId="50720" xr:uid="{35D35375-8B18-49CD-B34C-1991F8CBF7EE}"/>
    <cellStyle name="Normal 11 4 9 2 2 3" xfId="38129" xr:uid="{F87897E7-4CCE-4040-A428-786506708DF0}"/>
    <cellStyle name="Normal 11 4 9 2 3" xfId="18950" xr:uid="{6B71C8AB-68D7-4F90-9337-31739034CE45}"/>
    <cellStyle name="Normal 11 4 9 2 3 2" xfId="44442" xr:uid="{45D1671B-ED9D-4166-BF56-970263256AC4}"/>
    <cellStyle name="Normal 11 4 9 2 4" xfId="31851" xr:uid="{E4F5A228-4FEB-4514-B2FB-3A131DBB5CEB}"/>
    <cellStyle name="Normal 11 4 9 3" xfId="9407" xr:uid="{EC3A41E2-1AB7-464B-925D-17921B9E9488}"/>
    <cellStyle name="Normal 11 4 9 3 2" xfId="22089" xr:uid="{4B8AD178-9179-4EAA-B216-4D125A254F36}"/>
    <cellStyle name="Normal 11 4 9 3 2 2" xfId="47581" xr:uid="{EC5922D6-CB23-49E9-9F50-EED1CC52D1A1}"/>
    <cellStyle name="Normal 11 4 9 3 3" xfId="34990" xr:uid="{051B4E18-48C3-4A75-880F-E79D361E18DC}"/>
    <cellStyle name="Normal 11 4 9 4" xfId="15811" xr:uid="{FA7AD6FE-2588-4D42-91AA-F92CEF7A397F}"/>
    <cellStyle name="Normal 11 4 9 4 2" xfId="41303" xr:uid="{78FC5502-DA87-4720-936A-EECF7F823A67}"/>
    <cellStyle name="Normal 11 4 9 5" xfId="28712" xr:uid="{470101FF-2043-4A25-8631-34A7716F566B}"/>
    <cellStyle name="Normal 11 5" xfId="450" xr:uid="{A05EE24B-2497-4054-A594-71829B831468}"/>
    <cellStyle name="Normal 11 5 10" xfId="6773" xr:uid="{032DFDBC-E2FF-4402-84CA-CCEB128F1E6F}"/>
    <cellStyle name="Normal 11 5 10 2" xfId="19455" xr:uid="{EC5DD104-5C1F-49B7-9053-552F594E5833}"/>
    <cellStyle name="Normal 11 5 10 2 2" xfId="44947" xr:uid="{737CD4F2-24D9-4ACE-B7B6-3CFFF8EE79A6}"/>
    <cellStyle name="Normal 11 5 10 3" xfId="32356" xr:uid="{CD569E6A-E413-4C21-B0CD-3F7FCD24F368}"/>
    <cellStyle name="Normal 11 5 11" xfId="13177" xr:uid="{788021F1-D8B3-42AF-845D-B54174D3A129}"/>
    <cellStyle name="Normal 11 5 11 2" xfId="38669" xr:uid="{3733D878-0787-4723-933A-9E1F405FE796}"/>
    <cellStyle name="Normal 11 5 12" xfId="26078" xr:uid="{C9D95281-F318-4FCB-AC92-39795C3136D2}"/>
    <cellStyle name="Normal 11 5 2" xfId="609" xr:uid="{17E36DF3-688E-404E-A3E1-4290AC5FC2B9}"/>
    <cellStyle name="Normal 11 5 2 10" xfId="13336" xr:uid="{6EF370C6-4147-404E-9759-B9B204BF757C}"/>
    <cellStyle name="Normal 11 5 2 10 2" xfId="38828" xr:uid="{CB600E8F-F516-4024-919C-7A35CE6DEE7F}"/>
    <cellStyle name="Normal 11 5 2 11" xfId="26237" xr:uid="{91DAD9E4-BEC0-4A01-8CE9-B368E318D75C}"/>
    <cellStyle name="Normal 11 5 2 2" xfId="1146" xr:uid="{310A1588-6A77-423E-80E7-2BD2891704D3}"/>
    <cellStyle name="Normal 11 5 2 2 2" xfId="2453" xr:uid="{10385F04-B82F-4033-A89D-F983833F00AF}"/>
    <cellStyle name="Normal 11 5 2 2 2 2" xfId="5607" xr:uid="{A3C9A15C-FE72-471D-9C9E-E2D1E86B3DD8}"/>
    <cellStyle name="Normal 11 5 2 2 2 2 2" xfId="11900" xr:uid="{B2D1FD56-58B4-4322-88CE-779234DDE45B}"/>
    <cellStyle name="Normal 11 5 2 2 2 2 2 2" xfId="24582" xr:uid="{1ABBBE72-473F-4F0F-B6EF-C22BCB577E40}"/>
    <cellStyle name="Normal 11 5 2 2 2 2 2 2 2" xfId="50074" xr:uid="{342702B9-B2FD-4FB4-986F-8CC69DB27E74}"/>
    <cellStyle name="Normal 11 5 2 2 2 2 2 3" xfId="37483" xr:uid="{FCADA99B-02F3-4DB7-9426-455E16CBFA01}"/>
    <cellStyle name="Normal 11 5 2 2 2 2 3" xfId="18304" xr:uid="{6D16328D-6A75-4286-872E-6303FDA4BF54}"/>
    <cellStyle name="Normal 11 5 2 2 2 2 3 2" xfId="43796" xr:uid="{75540349-8B00-4ABD-A9FD-1CA0C86AD2F8}"/>
    <cellStyle name="Normal 11 5 2 2 2 2 4" xfId="31205" xr:uid="{432D0F1E-6F9C-4FB2-AD61-BA983C318CE8}"/>
    <cellStyle name="Normal 11 5 2 2 2 3" xfId="8761" xr:uid="{D9AA525E-F65C-4D29-BD24-A4D2297EC77D}"/>
    <cellStyle name="Normal 11 5 2 2 2 3 2" xfId="21443" xr:uid="{03381FB1-637F-45D8-984B-784D5D5C9365}"/>
    <cellStyle name="Normal 11 5 2 2 2 3 2 2" xfId="46935" xr:uid="{8F0AB999-25DB-4BC3-B596-AB89F5A55C84}"/>
    <cellStyle name="Normal 11 5 2 2 2 3 3" xfId="34344" xr:uid="{446808C7-93D2-41D1-8633-EF51BFD04DB6}"/>
    <cellStyle name="Normal 11 5 2 2 2 4" xfId="15165" xr:uid="{A002CCB9-40BD-435D-B6F7-98E1171FFD58}"/>
    <cellStyle name="Normal 11 5 2 2 2 4 2" xfId="40657" xr:uid="{605AC984-9686-4F68-9B51-FC5422D5E54D}"/>
    <cellStyle name="Normal 11 5 2 2 2 5" xfId="28066" xr:uid="{C434BAFF-159D-425E-9220-EB7208E64B89}"/>
    <cellStyle name="Normal 11 5 2 2 3" xfId="1670" xr:uid="{EB4EFFF1-FA2B-4256-836D-C00F5030DE9A}"/>
    <cellStyle name="Normal 11 5 2 2 3 2" xfId="4824" xr:uid="{3143C7E6-F1AD-4E0D-9F48-A8DA856DD3E5}"/>
    <cellStyle name="Normal 11 5 2 2 3 2 2" xfId="11117" xr:uid="{90F3D743-5A67-49FF-8673-8EC5E71AE0F2}"/>
    <cellStyle name="Normal 11 5 2 2 3 2 2 2" xfId="23799" xr:uid="{B5830DC4-EFC2-4BA3-B0B7-94CC33C2773B}"/>
    <cellStyle name="Normal 11 5 2 2 3 2 2 2 2" xfId="49291" xr:uid="{4410B468-4ECC-40FA-9027-2F943FE2132D}"/>
    <cellStyle name="Normal 11 5 2 2 3 2 2 3" xfId="36700" xr:uid="{08B2360B-99C6-476F-8B83-D01F4B1E437B}"/>
    <cellStyle name="Normal 11 5 2 2 3 2 3" xfId="17521" xr:uid="{97AD85FC-1D61-4CDE-B42F-3C28327885AA}"/>
    <cellStyle name="Normal 11 5 2 2 3 2 3 2" xfId="43013" xr:uid="{D7955FAB-746C-4215-8D19-57FEFB2E2171}"/>
    <cellStyle name="Normal 11 5 2 2 3 2 4" xfId="30422" xr:uid="{A0676674-ED1B-49B1-85DC-718ED7A6FB60}"/>
    <cellStyle name="Normal 11 5 2 2 3 3" xfId="7978" xr:uid="{C3535878-3C7F-45B5-8A5B-B50AA1B7C0F1}"/>
    <cellStyle name="Normal 11 5 2 2 3 3 2" xfId="20660" xr:uid="{81E56BC8-9B09-438E-B018-AF7E0BBB7FE4}"/>
    <cellStyle name="Normal 11 5 2 2 3 3 2 2" xfId="46152" xr:uid="{E403231C-B331-490C-9D77-0848B5A8488F}"/>
    <cellStyle name="Normal 11 5 2 2 3 3 3" xfId="33561" xr:uid="{802952ED-B37B-4AD7-926B-A2B7D779987A}"/>
    <cellStyle name="Normal 11 5 2 2 3 4" xfId="14382" xr:uid="{95708FDA-58A4-416A-841F-1EC6C2CC90B5}"/>
    <cellStyle name="Normal 11 5 2 2 3 4 2" xfId="39874" xr:uid="{9588A7B3-745C-49F3-AA90-4CA89B4367D5}"/>
    <cellStyle name="Normal 11 5 2 2 3 5" xfId="27283" xr:uid="{50979D93-3066-43D8-A8D8-6A004F75267E}"/>
    <cellStyle name="Normal 11 5 2 2 4" xfId="2977" xr:uid="{085306CB-9DEA-497C-AD1F-7F07796A0E9F}"/>
    <cellStyle name="Normal 11 5 2 2 4 2" xfId="6131" xr:uid="{982C56A3-66F8-4EE0-9FCC-83C2FB90D743}"/>
    <cellStyle name="Normal 11 5 2 2 4 2 2" xfId="12424" xr:uid="{4DD1D052-4721-42C0-B252-B35D119DC47C}"/>
    <cellStyle name="Normal 11 5 2 2 4 2 2 2" xfId="25106" xr:uid="{8B307D65-716A-45E3-9CB0-D4DE1E871AC0}"/>
    <cellStyle name="Normal 11 5 2 2 4 2 2 2 2" xfId="50598" xr:uid="{EB2390F8-D1CA-4494-88FE-CD3B3556125D}"/>
    <cellStyle name="Normal 11 5 2 2 4 2 2 3" xfId="38007" xr:uid="{4B1FEA3B-6F92-4186-8F97-A3D92B655296}"/>
    <cellStyle name="Normal 11 5 2 2 4 2 3" xfId="18828" xr:uid="{E1E1C648-9331-48EB-B5AF-495CD5ED70AA}"/>
    <cellStyle name="Normal 11 5 2 2 4 2 3 2" xfId="44320" xr:uid="{99D8D8F9-0CAC-42C0-A5F7-57445D084CC2}"/>
    <cellStyle name="Normal 11 5 2 2 4 2 4" xfId="31729" xr:uid="{863E4F7A-5BA4-49A6-9BED-B82603E67F55}"/>
    <cellStyle name="Normal 11 5 2 2 4 3" xfId="9285" xr:uid="{06194DD3-6E76-44A7-B5B5-547B1406DFC6}"/>
    <cellStyle name="Normal 11 5 2 2 4 3 2" xfId="21967" xr:uid="{9DE510F4-216A-4FFD-9CAE-1DBF6921F03F}"/>
    <cellStyle name="Normal 11 5 2 2 4 3 2 2" xfId="47459" xr:uid="{51446502-378D-4CAE-B8D3-02FD1DFCDA81}"/>
    <cellStyle name="Normal 11 5 2 2 4 3 3" xfId="34868" xr:uid="{E6307647-7948-4A7F-99CE-9C01B3682DA6}"/>
    <cellStyle name="Normal 11 5 2 2 4 4" xfId="15689" xr:uid="{9D1236A2-E1E6-4DAE-A57A-CF3F2CA2CB1A}"/>
    <cellStyle name="Normal 11 5 2 2 4 4 2" xfId="41181" xr:uid="{576D47AE-E17A-4B1D-BF21-4803791C3203}"/>
    <cellStyle name="Normal 11 5 2 2 4 5" xfId="28590" xr:uid="{6A48F70A-E158-40F1-B1F7-A8885E6BBD1C}"/>
    <cellStyle name="Normal 11 5 2 2 5" xfId="3500" xr:uid="{F3DAAAA6-14EC-4D59-9BDF-0DA2E3A5A033}"/>
    <cellStyle name="Normal 11 5 2 2 5 2" xfId="6654" xr:uid="{2AB1CD20-A090-420F-9496-FAFB1AB41B1A}"/>
    <cellStyle name="Normal 11 5 2 2 5 2 2" xfId="12947" xr:uid="{FEA29B22-5C60-431B-941E-30EB5482C233}"/>
    <cellStyle name="Normal 11 5 2 2 5 2 2 2" xfId="25629" xr:uid="{734CBBB6-F855-4B44-82AD-8A6DB9CF7737}"/>
    <cellStyle name="Normal 11 5 2 2 5 2 2 2 2" xfId="51121" xr:uid="{EDC0642B-4D56-4185-8000-BDEB2CE11585}"/>
    <cellStyle name="Normal 11 5 2 2 5 2 2 3" xfId="38530" xr:uid="{CEC08360-7B5E-4887-B084-6D4DFC91A9A3}"/>
    <cellStyle name="Normal 11 5 2 2 5 2 3" xfId="19351" xr:uid="{69EB905A-6C66-45D7-8F7D-587D17F07DD0}"/>
    <cellStyle name="Normal 11 5 2 2 5 2 3 2" xfId="44843" xr:uid="{5702D38C-BDE8-4CF8-8559-1AD11C110829}"/>
    <cellStyle name="Normal 11 5 2 2 5 2 4" xfId="32252" xr:uid="{D612598D-C755-45CD-BDBF-341C7474F37B}"/>
    <cellStyle name="Normal 11 5 2 2 5 3" xfId="9808" xr:uid="{7C3634BB-3DCA-468C-9690-F7FBE0502678}"/>
    <cellStyle name="Normal 11 5 2 2 5 3 2" xfId="22490" xr:uid="{C4C04EB0-B9EF-4DE3-8753-E5037D1EA029}"/>
    <cellStyle name="Normal 11 5 2 2 5 3 2 2" xfId="47982" xr:uid="{C7DBE62B-CC2E-4A20-87A8-B8537B8248AF}"/>
    <cellStyle name="Normal 11 5 2 2 5 3 3" xfId="35391" xr:uid="{8FF6270B-218C-4812-9359-769DAFBC450F}"/>
    <cellStyle name="Normal 11 5 2 2 5 4" xfId="16212" xr:uid="{0AAF4891-404F-433F-AA7A-37058B4C5B65}"/>
    <cellStyle name="Normal 11 5 2 2 5 4 2" xfId="41704" xr:uid="{2357C1A8-1F00-41C7-99A8-BD3C948EBA70}"/>
    <cellStyle name="Normal 11 5 2 2 5 5" xfId="29113" xr:uid="{94759F4B-EC59-4569-B2A9-5A9D95EDA91C}"/>
    <cellStyle name="Normal 11 5 2 2 6" xfId="4300" xr:uid="{058C2713-C00C-47A7-A379-BFF1D671E7C7}"/>
    <cellStyle name="Normal 11 5 2 2 6 2" xfId="10593" xr:uid="{9A6B79C5-129C-49AD-8ADF-7EC3799AB6F5}"/>
    <cellStyle name="Normal 11 5 2 2 6 2 2" xfId="23275" xr:uid="{6E0C8EAF-20E2-4320-8397-06B0DDA034EE}"/>
    <cellStyle name="Normal 11 5 2 2 6 2 2 2" xfId="48767" xr:uid="{DA73A2E9-2DD7-476B-85EB-34EBFC8514F2}"/>
    <cellStyle name="Normal 11 5 2 2 6 2 3" xfId="36176" xr:uid="{74D18518-7B92-466A-9D08-523846BB230A}"/>
    <cellStyle name="Normal 11 5 2 2 6 3" xfId="16997" xr:uid="{944D72C4-8DCA-4D97-A84A-412D458B73CD}"/>
    <cellStyle name="Normal 11 5 2 2 6 3 2" xfId="42489" xr:uid="{1862183B-1437-48F8-A38C-BE8A1EDAF625}"/>
    <cellStyle name="Normal 11 5 2 2 6 4" xfId="29898" xr:uid="{C596BB94-D07E-4CBB-891D-D8FC0ED7BE00}"/>
    <cellStyle name="Normal 11 5 2 2 7" xfId="7454" xr:uid="{4EDCA7AD-9C1E-439E-82E9-982418579D5B}"/>
    <cellStyle name="Normal 11 5 2 2 7 2" xfId="20136" xr:uid="{F5AA06EF-F3A7-42E6-B46C-35EBA16988BD}"/>
    <cellStyle name="Normal 11 5 2 2 7 2 2" xfId="45628" xr:uid="{BB4F4A44-DA08-4BAE-9859-041161D3238E}"/>
    <cellStyle name="Normal 11 5 2 2 7 3" xfId="33037" xr:uid="{585FC4A6-5123-4395-9F07-5FD337DB5B90}"/>
    <cellStyle name="Normal 11 5 2 2 8" xfId="13858" xr:uid="{06C6BA8E-C7D8-4ECC-971D-9B34F32A6490}"/>
    <cellStyle name="Normal 11 5 2 2 8 2" xfId="39350" xr:uid="{2F70228B-4FF0-4379-9DBD-C5525941AEB7}"/>
    <cellStyle name="Normal 11 5 2 2 9" xfId="26759" xr:uid="{270AC7EB-B587-4542-A5B8-8A4FCDB61053}"/>
    <cellStyle name="Normal 11 5 2 3" xfId="886" xr:uid="{70C19A61-93C0-45A9-ADB8-EC8F017E5D5B}"/>
    <cellStyle name="Normal 11 5 2 3 2" xfId="2193" xr:uid="{94B0088C-65A0-4CD8-BC53-F6F710F60A6B}"/>
    <cellStyle name="Normal 11 5 2 3 2 2" xfId="5347" xr:uid="{B6ADBD9D-4EA8-4877-A751-D636D1DB82E2}"/>
    <cellStyle name="Normal 11 5 2 3 2 2 2" xfId="11640" xr:uid="{FBB4372D-0C70-421D-A570-0E44A888EE5F}"/>
    <cellStyle name="Normal 11 5 2 3 2 2 2 2" xfId="24322" xr:uid="{8125B237-7BD8-4338-91FA-38160F14BB94}"/>
    <cellStyle name="Normal 11 5 2 3 2 2 2 2 2" xfId="49814" xr:uid="{6B70E8BC-6A85-4379-BF82-47984AA054E3}"/>
    <cellStyle name="Normal 11 5 2 3 2 2 2 3" xfId="37223" xr:uid="{BB45A4F7-079C-406A-9B07-59562AC1866F}"/>
    <cellStyle name="Normal 11 5 2 3 2 2 3" xfId="18044" xr:uid="{6C707E99-7911-49C6-B7BF-E27BF31BA598}"/>
    <cellStyle name="Normal 11 5 2 3 2 2 3 2" xfId="43536" xr:uid="{A621BFCB-D83D-4FF3-8813-F2B183AE6630}"/>
    <cellStyle name="Normal 11 5 2 3 2 2 4" xfId="30945" xr:uid="{DC0DDC6A-29F8-420A-8125-F14ED8B69CAC}"/>
    <cellStyle name="Normal 11 5 2 3 2 3" xfId="8501" xr:uid="{6BC8C4D3-8624-4C4D-9DC6-E78756AA5671}"/>
    <cellStyle name="Normal 11 5 2 3 2 3 2" xfId="21183" xr:uid="{D7012B9D-BA7E-4780-9423-3DAD360D4953}"/>
    <cellStyle name="Normal 11 5 2 3 2 3 2 2" xfId="46675" xr:uid="{A368DC70-3549-41FA-BFBF-DCD228A68703}"/>
    <cellStyle name="Normal 11 5 2 3 2 3 3" xfId="34084" xr:uid="{92D5BCA1-F6CB-4D46-A617-D0AAED1E45E5}"/>
    <cellStyle name="Normal 11 5 2 3 2 4" xfId="14905" xr:uid="{38D556ED-EA8D-4429-8140-72238DCF00C8}"/>
    <cellStyle name="Normal 11 5 2 3 2 4 2" xfId="40397" xr:uid="{25829CDC-A47E-40A9-B051-C1FAE84CEB78}"/>
    <cellStyle name="Normal 11 5 2 3 2 5" xfId="27806" xr:uid="{56298F50-2D20-4BC3-92BD-FE4365D2B785}"/>
    <cellStyle name="Normal 11 5 2 3 3" xfId="4040" xr:uid="{0612533E-56C5-4804-BFA4-03E8F796B901}"/>
    <cellStyle name="Normal 11 5 2 3 3 2" xfId="10333" xr:uid="{49FA4619-6D8B-4B73-ADA1-D8609051C870}"/>
    <cellStyle name="Normal 11 5 2 3 3 2 2" xfId="23015" xr:uid="{A862A7EA-232D-49C0-AF9E-7548585A8C2C}"/>
    <cellStyle name="Normal 11 5 2 3 3 2 2 2" xfId="48507" xr:uid="{50B68D01-A011-4D3E-9106-0233FF55CD8F}"/>
    <cellStyle name="Normal 11 5 2 3 3 2 3" xfId="35916" xr:uid="{368F1DE0-0B1E-47B4-92D6-9546D8EE7010}"/>
    <cellStyle name="Normal 11 5 2 3 3 3" xfId="16737" xr:uid="{0AE5EA68-2AD9-419C-8FD1-A017E8CF8008}"/>
    <cellStyle name="Normal 11 5 2 3 3 3 2" xfId="42229" xr:uid="{51DDE8FA-0876-42DC-A73A-D8D1F3F03420}"/>
    <cellStyle name="Normal 11 5 2 3 3 4" xfId="29638" xr:uid="{59A14089-AAE2-44B5-B58F-8435F2865D09}"/>
    <cellStyle name="Normal 11 5 2 3 4" xfId="7194" xr:uid="{9FEF6BFF-13EC-49F7-A2C4-64DCA73221C0}"/>
    <cellStyle name="Normal 11 5 2 3 4 2" xfId="19876" xr:uid="{A5B3AC7C-548E-4F5E-AF3D-22162CA79F8E}"/>
    <cellStyle name="Normal 11 5 2 3 4 2 2" xfId="45368" xr:uid="{F7E64C48-B4DB-41E7-8F13-EDA85E758993}"/>
    <cellStyle name="Normal 11 5 2 3 4 3" xfId="32777" xr:uid="{A80B38C3-48FD-434E-9B48-327C1CFB338F}"/>
    <cellStyle name="Normal 11 5 2 3 5" xfId="13598" xr:uid="{51EA0171-567F-4130-B2C3-63C883D8D5FD}"/>
    <cellStyle name="Normal 11 5 2 3 5 2" xfId="39090" xr:uid="{A6B3E9D4-5A14-4B11-A98C-77604D913A4B}"/>
    <cellStyle name="Normal 11 5 2 3 6" xfId="26499" xr:uid="{EE70B02A-D429-4FA0-A8C5-38D69BD44730}"/>
    <cellStyle name="Normal 11 5 2 4" xfId="1931" xr:uid="{5358E2F9-3081-4337-B1D8-A494183A3348}"/>
    <cellStyle name="Normal 11 5 2 4 2" xfId="5085" xr:uid="{6F5D0399-0FA1-468B-9FAC-8E5BF306CAC1}"/>
    <cellStyle name="Normal 11 5 2 4 2 2" xfId="11378" xr:uid="{C7FA0967-544C-4175-BA5F-62D0C1B206AA}"/>
    <cellStyle name="Normal 11 5 2 4 2 2 2" xfId="24060" xr:uid="{42AFC3FF-EAC4-494A-9117-58AECA6FA91E}"/>
    <cellStyle name="Normal 11 5 2 4 2 2 2 2" xfId="49552" xr:uid="{BB5C7879-4E45-49FF-9E6B-9F80483E0C7D}"/>
    <cellStyle name="Normal 11 5 2 4 2 2 3" xfId="36961" xr:uid="{CF757268-C593-48BD-AB44-AFDB0559CA7B}"/>
    <cellStyle name="Normal 11 5 2 4 2 3" xfId="17782" xr:uid="{FA5D0D74-EF48-486F-9F74-08A5F8872770}"/>
    <cellStyle name="Normal 11 5 2 4 2 3 2" xfId="43274" xr:uid="{F6802682-5135-4A7C-8B21-89E0D402D154}"/>
    <cellStyle name="Normal 11 5 2 4 2 4" xfId="30683" xr:uid="{10B307C1-405C-4D71-A09A-F51A281F2F8A}"/>
    <cellStyle name="Normal 11 5 2 4 3" xfId="8239" xr:uid="{CA562F69-0A5F-4E13-A99F-56DB642052DB}"/>
    <cellStyle name="Normal 11 5 2 4 3 2" xfId="20921" xr:uid="{5CCD321D-4278-4327-A884-356A6970ED8B}"/>
    <cellStyle name="Normal 11 5 2 4 3 2 2" xfId="46413" xr:uid="{FB5A158F-39BC-447F-963C-3E8E80125EC4}"/>
    <cellStyle name="Normal 11 5 2 4 3 3" xfId="33822" xr:uid="{D6EE5C1C-D516-4833-9CDB-D0969CAD63CF}"/>
    <cellStyle name="Normal 11 5 2 4 4" xfId="14643" xr:uid="{353D5E48-152C-4231-BC78-26505ECA8BBF}"/>
    <cellStyle name="Normal 11 5 2 4 4 2" xfId="40135" xr:uid="{ED04ADAD-2ED3-4726-91B3-2CDABB49E559}"/>
    <cellStyle name="Normal 11 5 2 4 5" xfId="27544" xr:uid="{8749547D-C645-4363-9007-73C55ED9DDB3}"/>
    <cellStyle name="Normal 11 5 2 5" xfId="1409" xr:uid="{770D620E-7F11-4290-91BD-F6CD2A1679A7}"/>
    <cellStyle name="Normal 11 5 2 5 2" xfId="4563" xr:uid="{DC5EE773-6DCD-4E08-A4C4-A885C529EF9C}"/>
    <cellStyle name="Normal 11 5 2 5 2 2" xfId="10856" xr:uid="{46B7F626-E4C6-4B3B-B59D-2B6576B05759}"/>
    <cellStyle name="Normal 11 5 2 5 2 2 2" xfId="23538" xr:uid="{F97B78E6-E6FC-4D97-9AF2-FE4641ACE87A}"/>
    <cellStyle name="Normal 11 5 2 5 2 2 2 2" xfId="49030" xr:uid="{52CAD478-CD15-4DF9-9387-4F815D47E074}"/>
    <cellStyle name="Normal 11 5 2 5 2 2 3" xfId="36439" xr:uid="{FF77D3FE-F308-466E-90C9-1017B550842C}"/>
    <cellStyle name="Normal 11 5 2 5 2 3" xfId="17260" xr:uid="{194119A1-25C8-4765-BC1A-6ED3001583BA}"/>
    <cellStyle name="Normal 11 5 2 5 2 3 2" xfId="42752" xr:uid="{B5476877-808A-4877-ACC8-BF7B1AE282CA}"/>
    <cellStyle name="Normal 11 5 2 5 2 4" xfId="30161" xr:uid="{CEAC62D7-1375-49EF-9654-9414E8E69A00}"/>
    <cellStyle name="Normal 11 5 2 5 3" xfId="7717" xr:uid="{9DA8481C-90A8-410B-9D71-D6BE5D2D1107}"/>
    <cellStyle name="Normal 11 5 2 5 3 2" xfId="20399" xr:uid="{682934A6-AACD-421A-9991-8435DEB773E2}"/>
    <cellStyle name="Normal 11 5 2 5 3 2 2" xfId="45891" xr:uid="{130E6DA3-21C1-461C-B23E-EB0E4B1480D2}"/>
    <cellStyle name="Normal 11 5 2 5 3 3" xfId="33300" xr:uid="{69CA7BAC-A535-4FA2-993D-3CDC0D4CD0D1}"/>
    <cellStyle name="Normal 11 5 2 5 4" xfId="14121" xr:uid="{6DEC1C2D-FABA-417C-AE8A-C9314EF1A2CF}"/>
    <cellStyle name="Normal 11 5 2 5 4 2" xfId="39613" xr:uid="{D4BDAB4C-A6B8-4E8E-AFA3-FAA4B082B9B4}"/>
    <cellStyle name="Normal 11 5 2 5 5" xfId="27022" xr:uid="{FB5F2B78-AF46-42EA-A69F-126E9BC59E4A}"/>
    <cellStyle name="Normal 11 5 2 6" xfId="2716" xr:uid="{2BDA7425-BF23-47DB-B6BB-A615CC889292}"/>
    <cellStyle name="Normal 11 5 2 6 2" xfId="5870" xr:uid="{B3FC8CB1-D0F0-4B71-860F-2D03B7077FA5}"/>
    <cellStyle name="Normal 11 5 2 6 2 2" xfId="12163" xr:uid="{80ECC7DF-4D02-4DE2-B41B-C10494906A0F}"/>
    <cellStyle name="Normal 11 5 2 6 2 2 2" xfId="24845" xr:uid="{FA5AE057-CA8F-45C6-A1FB-64A174391499}"/>
    <cellStyle name="Normal 11 5 2 6 2 2 2 2" xfId="50337" xr:uid="{5C149D1D-3EEE-4483-9F1C-C0E8B370C0E6}"/>
    <cellStyle name="Normal 11 5 2 6 2 2 3" xfId="37746" xr:uid="{A85529FD-ACC2-4B3E-96AF-9AC03CE61980}"/>
    <cellStyle name="Normal 11 5 2 6 2 3" xfId="18567" xr:uid="{FB271399-14C8-4310-90D9-007312AD023D}"/>
    <cellStyle name="Normal 11 5 2 6 2 3 2" xfId="44059" xr:uid="{7D3880BE-8E9C-41B1-B0A3-532A964C66FD}"/>
    <cellStyle name="Normal 11 5 2 6 2 4" xfId="31468" xr:uid="{41B60546-4E69-460F-8247-D5A455D7C09D}"/>
    <cellStyle name="Normal 11 5 2 6 3" xfId="9024" xr:uid="{46F6A688-6F79-407E-8FFE-FE9065CBC160}"/>
    <cellStyle name="Normal 11 5 2 6 3 2" xfId="21706" xr:uid="{EFEF2395-39F7-47F9-B033-EA7B464544E9}"/>
    <cellStyle name="Normal 11 5 2 6 3 2 2" xfId="47198" xr:uid="{B0405FF7-20CF-4116-88E9-21EB44411DF8}"/>
    <cellStyle name="Normal 11 5 2 6 3 3" xfId="34607" xr:uid="{711A8598-6D26-438F-9D1A-89A84724F5CD}"/>
    <cellStyle name="Normal 11 5 2 6 4" xfId="15428" xr:uid="{4922E171-8358-48E0-9EC9-4FA68F76CF1E}"/>
    <cellStyle name="Normal 11 5 2 6 4 2" xfId="40920" xr:uid="{2DA8976A-F939-458E-B4A9-C90B33439B9F}"/>
    <cellStyle name="Normal 11 5 2 6 5" xfId="28329" xr:uid="{F8303558-1D7E-4B17-8CC0-80FC7B018BB1}"/>
    <cellStyle name="Normal 11 5 2 7" xfId="3239" xr:uid="{0AFB7EB5-9801-417D-9410-B6D22988F536}"/>
    <cellStyle name="Normal 11 5 2 7 2" xfId="6393" xr:uid="{37CE5303-92BA-4AA7-817F-1499AD92F333}"/>
    <cellStyle name="Normal 11 5 2 7 2 2" xfId="12686" xr:uid="{87D0409E-98D5-41CA-ABD9-79342D020775}"/>
    <cellStyle name="Normal 11 5 2 7 2 2 2" xfId="25368" xr:uid="{B2427549-13E4-4F5E-8D54-FBA93A4BE472}"/>
    <cellStyle name="Normal 11 5 2 7 2 2 2 2" xfId="50860" xr:uid="{E50D73F0-E140-4E99-849D-E2C3E27D1060}"/>
    <cellStyle name="Normal 11 5 2 7 2 2 3" xfId="38269" xr:uid="{F3B8C33F-6772-42B3-AF5D-A1F7F81BA0AC}"/>
    <cellStyle name="Normal 11 5 2 7 2 3" xfId="19090" xr:uid="{E2618630-15B8-498E-8231-81175FD048FE}"/>
    <cellStyle name="Normal 11 5 2 7 2 3 2" xfId="44582" xr:uid="{361564AD-8003-4583-981E-85D6ABD7B271}"/>
    <cellStyle name="Normal 11 5 2 7 2 4" xfId="31991" xr:uid="{74767442-082C-4831-88E2-B699B245360E}"/>
    <cellStyle name="Normal 11 5 2 7 3" xfId="9547" xr:uid="{54B9F8DE-EFBF-40FE-AC87-63BC2710B273}"/>
    <cellStyle name="Normal 11 5 2 7 3 2" xfId="22229" xr:uid="{FD2D6940-846F-48EC-9D6D-C7486C374CF2}"/>
    <cellStyle name="Normal 11 5 2 7 3 2 2" xfId="47721" xr:uid="{E290FB3B-6E2A-4E4C-8977-460BBA8C5BD5}"/>
    <cellStyle name="Normal 11 5 2 7 3 3" xfId="35130" xr:uid="{885E70E8-CA67-4EE9-B75D-F38D97B835A7}"/>
    <cellStyle name="Normal 11 5 2 7 4" xfId="15951" xr:uid="{D5F62DEC-87B3-4114-A25F-AA92BF2B7B49}"/>
    <cellStyle name="Normal 11 5 2 7 4 2" xfId="41443" xr:uid="{33C31657-26D5-44EF-92F1-2AC259D296A3}"/>
    <cellStyle name="Normal 11 5 2 7 5" xfId="28852" xr:uid="{22CE6700-C3B3-4207-AE26-1B96608D522E}"/>
    <cellStyle name="Normal 11 5 2 8" xfId="3778" xr:uid="{07B35EB4-35BA-4F41-A5FD-7A8AADDDA5CE}"/>
    <cellStyle name="Normal 11 5 2 8 2" xfId="10071" xr:uid="{D15F49BA-ADA0-4490-AA6B-7116DFFA5B56}"/>
    <cellStyle name="Normal 11 5 2 8 2 2" xfId="22753" xr:uid="{866E3522-8148-4739-BD40-2B886AC10C26}"/>
    <cellStyle name="Normal 11 5 2 8 2 2 2" xfId="48245" xr:uid="{D6C58025-D98A-4E4D-A96B-E157E4193C74}"/>
    <cellStyle name="Normal 11 5 2 8 2 3" xfId="35654" xr:uid="{9C245F08-C3E3-440C-919E-4581C5FA5AEF}"/>
    <cellStyle name="Normal 11 5 2 8 3" xfId="16475" xr:uid="{A0606845-C52A-4CF1-B200-097D493EE794}"/>
    <cellStyle name="Normal 11 5 2 8 3 2" xfId="41967" xr:uid="{8EAEE686-55EA-409B-9A12-C9043EF500F1}"/>
    <cellStyle name="Normal 11 5 2 8 4" xfId="29376" xr:uid="{28124006-7867-4C59-8CD9-018380F739EA}"/>
    <cellStyle name="Normal 11 5 2 9" xfId="6932" xr:uid="{B4910E5F-DD5C-439E-928E-3FF5607467ED}"/>
    <cellStyle name="Normal 11 5 2 9 2" xfId="19614" xr:uid="{CC311CBE-5D48-4C4F-806D-D2E801B00078}"/>
    <cellStyle name="Normal 11 5 2 9 2 2" xfId="45106" xr:uid="{C83DEFE9-3701-4FAE-948E-2B499F0F4BC3}"/>
    <cellStyle name="Normal 11 5 2 9 3" xfId="32515" xr:uid="{7D833B81-EA1F-4F33-8F24-55299180B473}"/>
    <cellStyle name="Normal 11 5 3" xfId="987" xr:uid="{3BED9D62-F746-489D-8187-C2E829EEE946}"/>
    <cellStyle name="Normal 11 5 3 2" xfId="2294" xr:uid="{CC037C93-57D1-45A0-84A1-6BD17F18E4E9}"/>
    <cellStyle name="Normal 11 5 3 2 2" xfId="5448" xr:uid="{396008E9-EF69-427C-B8EA-3C5B0C5A771B}"/>
    <cellStyle name="Normal 11 5 3 2 2 2" xfId="11741" xr:uid="{302FDC74-5808-4F54-A13D-482FE57C6066}"/>
    <cellStyle name="Normal 11 5 3 2 2 2 2" xfId="24423" xr:uid="{F3EB08F0-2705-469E-9398-A58047512555}"/>
    <cellStyle name="Normal 11 5 3 2 2 2 2 2" xfId="49915" xr:uid="{130EE962-0CB0-4318-9343-70B6BF19DC7D}"/>
    <cellStyle name="Normal 11 5 3 2 2 2 3" xfId="37324" xr:uid="{C09790DC-9021-4240-9EBD-D6A74C3BA6F0}"/>
    <cellStyle name="Normal 11 5 3 2 2 3" xfId="18145" xr:uid="{1CDC7F9B-8D2D-4575-9504-DB7338AE460F}"/>
    <cellStyle name="Normal 11 5 3 2 2 3 2" xfId="43637" xr:uid="{EB9131C8-6897-4598-8CF5-C827A1CC9739}"/>
    <cellStyle name="Normal 11 5 3 2 2 4" xfId="31046" xr:uid="{7F55E054-2A0D-4F11-80E4-596B3FF0B381}"/>
    <cellStyle name="Normal 11 5 3 2 3" xfId="8602" xr:uid="{DBDD7F2C-0081-47EC-A26A-557C8462506D}"/>
    <cellStyle name="Normal 11 5 3 2 3 2" xfId="21284" xr:uid="{D51266A2-26E1-49D3-A649-04B7E9090CAA}"/>
    <cellStyle name="Normal 11 5 3 2 3 2 2" xfId="46776" xr:uid="{09F4C5E6-A4E7-4E60-9D4C-AB570218EE31}"/>
    <cellStyle name="Normal 11 5 3 2 3 3" xfId="34185" xr:uid="{83EDD084-2437-4A1C-ACD8-6C8C519E6CB2}"/>
    <cellStyle name="Normal 11 5 3 2 4" xfId="15006" xr:uid="{D315C81E-2E97-476E-901E-22089E9D8F0C}"/>
    <cellStyle name="Normal 11 5 3 2 4 2" xfId="40498" xr:uid="{6DE8E19F-0E55-4AB1-8328-1196217063DF}"/>
    <cellStyle name="Normal 11 5 3 2 5" xfId="27907" xr:uid="{849E7BA4-382C-4960-A309-835D8D789DC4}"/>
    <cellStyle name="Normal 11 5 3 3" xfId="1511" xr:uid="{E2F7835B-43CC-4FC1-B3D1-859A815DF998}"/>
    <cellStyle name="Normal 11 5 3 3 2" xfId="4665" xr:uid="{147D4BE8-392B-47A4-8BE7-5E802B4B741A}"/>
    <cellStyle name="Normal 11 5 3 3 2 2" xfId="10958" xr:uid="{E1AB6F54-CD60-443F-BA1F-A25D9FBB9FBA}"/>
    <cellStyle name="Normal 11 5 3 3 2 2 2" xfId="23640" xr:uid="{1AA7F564-7AE9-41F1-8178-F9C1DE69448A}"/>
    <cellStyle name="Normal 11 5 3 3 2 2 2 2" xfId="49132" xr:uid="{AD7FD2EA-34F2-40A4-A9ED-0E03BE615304}"/>
    <cellStyle name="Normal 11 5 3 3 2 2 3" xfId="36541" xr:uid="{E3AA0CBE-EF56-4F45-9D8C-D6328E1A34F6}"/>
    <cellStyle name="Normal 11 5 3 3 2 3" xfId="17362" xr:uid="{22F9F01F-57A8-44B5-BED4-73C1DB14F7CE}"/>
    <cellStyle name="Normal 11 5 3 3 2 3 2" xfId="42854" xr:uid="{09ABEBAF-1C15-4FBD-B975-44B655C2C7EA}"/>
    <cellStyle name="Normal 11 5 3 3 2 4" xfId="30263" xr:uid="{0A00E42D-8532-4E86-9EBE-C5C1AFA0F0F0}"/>
    <cellStyle name="Normal 11 5 3 3 3" xfId="7819" xr:uid="{F2A22695-9262-4390-BDC2-EF46ABC3314C}"/>
    <cellStyle name="Normal 11 5 3 3 3 2" xfId="20501" xr:uid="{D5BDA8EE-93A4-4CDD-9019-5AB25AC41DF0}"/>
    <cellStyle name="Normal 11 5 3 3 3 2 2" xfId="45993" xr:uid="{2EFE5B0E-559E-4A4F-A8C8-53E161CBE76C}"/>
    <cellStyle name="Normal 11 5 3 3 3 3" xfId="33402" xr:uid="{E1DC1220-B1EA-43C3-B1BA-FF2A827FA601}"/>
    <cellStyle name="Normal 11 5 3 3 4" xfId="14223" xr:uid="{86B1D600-66B6-436A-BA68-EED2FBAE1457}"/>
    <cellStyle name="Normal 11 5 3 3 4 2" xfId="39715" xr:uid="{71EF4776-86BC-4DAA-9BAF-D33A66EDF0A1}"/>
    <cellStyle name="Normal 11 5 3 3 5" xfId="27124" xr:uid="{7B9FE920-D77F-422F-BC9A-CB6EF88ADE8D}"/>
    <cellStyle name="Normal 11 5 3 4" xfId="2818" xr:uid="{5EBD851C-BFE7-4037-8D3B-BAF05B734F4F}"/>
    <cellStyle name="Normal 11 5 3 4 2" xfId="5972" xr:uid="{93BAD507-BA1C-4C1F-B59C-DEBBD0A4C92E}"/>
    <cellStyle name="Normal 11 5 3 4 2 2" xfId="12265" xr:uid="{F462B9F8-BFAE-4CD0-ADB6-A37BA8B03694}"/>
    <cellStyle name="Normal 11 5 3 4 2 2 2" xfId="24947" xr:uid="{8CF1FA4E-2660-4864-9CD0-927C910D6D99}"/>
    <cellStyle name="Normal 11 5 3 4 2 2 2 2" xfId="50439" xr:uid="{BD1A346A-9F13-4AA9-8813-EC6902ABDA9F}"/>
    <cellStyle name="Normal 11 5 3 4 2 2 3" xfId="37848" xr:uid="{F033947A-E9AB-40A3-8DB1-ADD00C7F2194}"/>
    <cellStyle name="Normal 11 5 3 4 2 3" xfId="18669" xr:uid="{F5AD6633-D20B-4A9D-B0D4-1DA9325E93BD}"/>
    <cellStyle name="Normal 11 5 3 4 2 3 2" xfId="44161" xr:uid="{9AFF5075-0A49-4735-92FC-A901466E7F03}"/>
    <cellStyle name="Normal 11 5 3 4 2 4" xfId="31570" xr:uid="{B82FC5BB-B0EA-43F1-ADC1-59691A31630A}"/>
    <cellStyle name="Normal 11 5 3 4 3" xfId="9126" xr:uid="{A0C5B8CF-480B-48A9-8D5F-6536A2DBD640}"/>
    <cellStyle name="Normal 11 5 3 4 3 2" xfId="21808" xr:uid="{65D1025E-8E8F-46DB-8B85-B7179490D363}"/>
    <cellStyle name="Normal 11 5 3 4 3 2 2" xfId="47300" xr:uid="{F27BB52D-1B91-4EB8-9361-075208E3F7AD}"/>
    <cellStyle name="Normal 11 5 3 4 3 3" xfId="34709" xr:uid="{9C3F8E72-43DA-486D-8F83-47883D863576}"/>
    <cellStyle name="Normal 11 5 3 4 4" xfId="15530" xr:uid="{901674B2-B38A-482A-A961-20ADFC9C140D}"/>
    <cellStyle name="Normal 11 5 3 4 4 2" xfId="41022" xr:uid="{ED12DFEE-D9BC-4060-BF55-A52289BAC835}"/>
    <cellStyle name="Normal 11 5 3 4 5" xfId="28431" xr:uid="{A258E19D-8E64-4F35-9EBB-101D68A0CEDA}"/>
    <cellStyle name="Normal 11 5 3 5" xfId="3341" xr:uid="{022C63B4-DB9D-4E40-AD77-5ADE280F985A}"/>
    <cellStyle name="Normal 11 5 3 5 2" xfId="6495" xr:uid="{1FFEA718-B602-41C4-84C0-E7B70473B330}"/>
    <cellStyle name="Normal 11 5 3 5 2 2" xfId="12788" xr:uid="{03863054-A891-4BC1-8C56-F7B3E16A3E37}"/>
    <cellStyle name="Normal 11 5 3 5 2 2 2" xfId="25470" xr:uid="{9310BE6D-F045-4CA6-B44A-80C250EDDFA2}"/>
    <cellStyle name="Normal 11 5 3 5 2 2 2 2" xfId="50962" xr:uid="{C3947924-803C-44A7-85ED-115BB272F7D7}"/>
    <cellStyle name="Normal 11 5 3 5 2 2 3" xfId="38371" xr:uid="{513A62D3-8BEB-4DAD-9F8F-EF2754D80DE9}"/>
    <cellStyle name="Normal 11 5 3 5 2 3" xfId="19192" xr:uid="{FB11707B-DD8D-442F-AB56-B3A23F092FFE}"/>
    <cellStyle name="Normal 11 5 3 5 2 3 2" xfId="44684" xr:uid="{9FC6635D-FDA5-470C-BA21-E20872F0BF91}"/>
    <cellStyle name="Normal 11 5 3 5 2 4" xfId="32093" xr:uid="{553B44D5-3647-40F5-B4A4-3BDE764F4A06}"/>
    <cellStyle name="Normal 11 5 3 5 3" xfId="9649" xr:uid="{1CD7C191-C402-4C12-9645-7832B8264674}"/>
    <cellStyle name="Normal 11 5 3 5 3 2" xfId="22331" xr:uid="{9E603626-3EA7-4C37-8D8E-B6E8A9A69432}"/>
    <cellStyle name="Normal 11 5 3 5 3 2 2" xfId="47823" xr:uid="{67C0AF4F-75E4-47CA-888E-F192DF232C56}"/>
    <cellStyle name="Normal 11 5 3 5 3 3" xfId="35232" xr:uid="{C5D77B40-E606-4DC3-8237-147E0660275D}"/>
    <cellStyle name="Normal 11 5 3 5 4" xfId="16053" xr:uid="{A29103C0-8354-483A-A387-4055521F6FF3}"/>
    <cellStyle name="Normal 11 5 3 5 4 2" xfId="41545" xr:uid="{7D23B077-2EE8-4DFD-B59E-B93D50F88C34}"/>
    <cellStyle name="Normal 11 5 3 5 5" xfId="28954" xr:uid="{5D98D34A-4C93-4385-9EEC-348E707343CA}"/>
    <cellStyle name="Normal 11 5 3 6" xfId="4141" xr:uid="{CB107D83-B95A-4F18-A81C-965F320EF567}"/>
    <cellStyle name="Normal 11 5 3 6 2" xfId="10434" xr:uid="{80277A54-03A1-40ED-9104-8E724238F2A2}"/>
    <cellStyle name="Normal 11 5 3 6 2 2" xfId="23116" xr:uid="{C54559E4-C964-4D52-83BA-E6648F570766}"/>
    <cellStyle name="Normal 11 5 3 6 2 2 2" xfId="48608" xr:uid="{F7828566-74B4-4AB1-A606-D6DE9EF72E1E}"/>
    <cellStyle name="Normal 11 5 3 6 2 3" xfId="36017" xr:uid="{5F204794-4E64-4B89-816B-59C73F04A10D}"/>
    <cellStyle name="Normal 11 5 3 6 3" xfId="16838" xr:uid="{7FE5132B-59D2-44EC-8D84-58AF1257B2D1}"/>
    <cellStyle name="Normal 11 5 3 6 3 2" xfId="42330" xr:uid="{059684E1-C737-461E-B20F-84B959C48C36}"/>
    <cellStyle name="Normal 11 5 3 6 4" xfId="29739" xr:uid="{A5F1A393-1D71-4EFA-85FC-0ED382877996}"/>
    <cellStyle name="Normal 11 5 3 7" xfId="7295" xr:uid="{B4D7F04D-0972-4191-8E4D-2AA8278299D0}"/>
    <cellStyle name="Normal 11 5 3 7 2" xfId="19977" xr:uid="{B7CF1513-2CC6-48A3-8E6C-DC4CC516EA4B}"/>
    <cellStyle name="Normal 11 5 3 7 2 2" xfId="45469" xr:uid="{AD170D0E-1EB6-479C-984F-04B53F08E2DF}"/>
    <cellStyle name="Normal 11 5 3 7 3" xfId="32878" xr:uid="{42C51FAC-3A60-4709-8377-EF34AAC08263}"/>
    <cellStyle name="Normal 11 5 3 8" xfId="13699" xr:uid="{C9B66F3D-F6EE-413D-B45D-5DE46748899A}"/>
    <cellStyle name="Normal 11 5 3 8 2" xfId="39191" xr:uid="{84044F2D-37B4-4F01-9DF8-D15576F8E457}"/>
    <cellStyle name="Normal 11 5 3 9" xfId="26600" xr:uid="{67B9DB51-568D-4F28-B6CB-F81C4B20EE5E}"/>
    <cellStyle name="Normal 11 5 4" xfId="727" xr:uid="{938773EE-D060-4EDF-98DC-5391E46F3CFA}"/>
    <cellStyle name="Normal 11 5 4 2" xfId="2034" xr:uid="{26244A32-7499-418A-B6BC-E1138D9DB535}"/>
    <cellStyle name="Normal 11 5 4 2 2" xfId="5188" xr:uid="{8811AF90-A850-48CE-9324-759430F41DBA}"/>
    <cellStyle name="Normal 11 5 4 2 2 2" xfId="11481" xr:uid="{59365B7C-CADA-4FD8-BA7A-C8D5A730FCD4}"/>
    <cellStyle name="Normal 11 5 4 2 2 2 2" xfId="24163" xr:uid="{B9E8CAFC-6E47-4213-A1CE-7F79A8EF4C77}"/>
    <cellStyle name="Normal 11 5 4 2 2 2 2 2" xfId="49655" xr:uid="{23446D2D-F9F4-4EE3-BD05-14EC7BAD2C41}"/>
    <cellStyle name="Normal 11 5 4 2 2 2 3" xfId="37064" xr:uid="{0515AECE-B206-4749-9957-2893B9F57AE1}"/>
    <cellStyle name="Normal 11 5 4 2 2 3" xfId="17885" xr:uid="{244FEFF1-AC72-42D5-A028-113CBC026818}"/>
    <cellStyle name="Normal 11 5 4 2 2 3 2" xfId="43377" xr:uid="{019D529B-3D0A-4FE3-BE94-A9C739DD2E64}"/>
    <cellStyle name="Normal 11 5 4 2 2 4" xfId="30786" xr:uid="{1C7131A3-DDC4-4654-9FDC-6087D99225AD}"/>
    <cellStyle name="Normal 11 5 4 2 3" xfId="8342" xr:uid="{DD853A2A-C85A-4DE1-8336-DCCBC7329F14}"/>
    <cellStyle name="Normal 11 5 4 2 3 2" xfId="21024" xr:uid="{DC22F856-61FB-4737-8DE0-A8B39F4985DA}"/>
    <cellStyle name="Normal 11 5 4 2 3 2 2" xfId="46516" xr:uid="{A72507C9-9ED3-456A-A831-8A2A6DBDDCCD}"/>
    <cellStyle name="Normal 11 5 4 2 3 3" xfId="33925" xr:uid="{4F74A1C8-51A0-4DD7-B5B1-CB5A72A34F95}"/>
    <cellStyle name="Normal 11 5 4 2 4" xfId="14746" xr:uid="{636E7DD4-F1E6-4F07-A605-B082BF44D127}"/>
    <cellStyle name="Normal 11 5 4 2 4 2" xfId="40238" xr:uid="{A1644CD6-8005-4C3D-9554-57160B615AEE}"/>
    <cellStyle name="Normal 11 5 4 2 5" xfId="27647" xr:uid="{E97692DA-ACB5-4104-9EAF-E3861794D860}"/>
    <cellStyle name="Normal 11 5 4 3" xfId="3881" xr:uid="{DADE3A04-D956-4BB3-8179-FFF4129121E0}"/>
    <cellStyle name="Normal 11 5 4 3 2" xfId="10174" xr:uid="{8A92A823-D966-4780-B074-1052EA43F9AC}"/>
    <cellStyle name="Normal 11 5 4 3 2 2" xfId="22856" xr:uid="{7201D40D-6E11-4A42-9261-2EADF5964B0E}"/>
    <cellStyle name="Normal 11 5 4 3 2 2 2" xfId="48348" xr:uid="{CEC3B311-001A-4CD2-863D-2E3A8FBF35A5}"/>
    <cellStyle name="Normal 11 5 4 3 2 3" xfId="35757" xr:uid="{F536644B-E231-41D5-8658-5A5B8959BA55}"/>
    <cellStyle name="Normal 11 5 4 3 3" xfId="16578" xr:uid="{009D004D-2DEB-48FE-8902-2C6FC5E5BF48}"/>
    <cellStyle name="Normal 11 5 4 3 3 2" xfId="42070" xr:uid="{AD84381E-70A9-45F8-9442-EC4526456442}"/>
    <cellStyle name="Normal 11 5 4 3 4" xfId="29479" xr:uid="{4BED1FB3-C11E-42C7-A632-E9B4052C8FC3}"/>
    <cellStyle name="Normal 11 5 4 4" xfId="7035" xr:uid="{7CF5A60D-3516-414A-A2FC-A8376F5CB2E0}"/>
    <cellStyle name="Normal 11 5 4 4 2" xfId="19717" xr:uid="{A5195AAF-14B8-4D96-BF45-8ACB3C12201E}"/>
    <cellStyle name="Normal 11 5 4 4 2 2" xfId="45209" xr:uid="{2A113223-B4DD-4D1F-9821-6BF87E7B7D0E}"/>
    <cellStyle name="Normal 11 5 4 4 3" xfId="32618" xr:uid="{B5E49BEC-63D5-4AEC-A983-F13F579EBC5E}"/>
    <cellStyle name="Normal 11 5 4 5" xfId="13439" xr:uid="{919165F6-0C81-419C-B45F-6252320F1B26}"/>
    <cellStyle name="Normal 11 5 4 5 2" xfId="38931" xr:uid="{B9FB7BA4-BC40-4A9D-A7D3-45D07298B085}"/>
    <cellStyle name="Normal 11 5 4 6" xfId="26340" xr:uid="{73DDB4EA-4DFC-4F9D-9A68-50D384AB1A05}"/>
    <cellStyle name="Normal 11 5 5" xfId="1772" xr:uid="{7342BBDC-DD13-49B4-AA0F-0D03B5E64ABA}"/>
    <cellStyle name="Normal 11 5 5 2" xfId="4926" xr:uid="{267FD984-4E7E-4116-9B43-F46B16D81E87}"/>
    <cellStyle name="Normal 11 5 5 2 2" xfId="11219" xr:uid="{7D90A0F1-6D6B-4186-8F45-0B4A65AC1B21}"/>
    <cellStyle name="Normal 11 5 5 2 2 2" xfId="23901" xr:uid="{D51A90BE-11BB-4A12-B8F1-1D14468FBF77}"/>
    <cellStyle name="Normal 11 5 5 2 2 2 2" xfId="49393" xr:uid="{EDD9F771-F62B-4DDA-A538-C08A0300B409}"/>
    <cellStyle name="Normal 11 5 5 2 2 3" xfId="36802" xr:uid="{818FDFF2-15B6-4AE4-824C-4C6B6ED32510}"/>
    <cellStyle name="Normal 11 5 5 2 3" xfId="17623" xr:uid="{0030108C-4C17-4B78-B1FC-48DDFA897C77}"/>
    <cellStyle name="Normal 11 5 5 2 3 2" xfId="43115" xr:uid="{DCAC78D7-B240-433A-A8D4-BC2117CBD91E}"/>
    <cellStyle name="Normal 11 5 5 2 4" xfId="30524" xr:uid="{09DD863E-18B5-4F2E-BD15-0BCD1C7C5714}"/>
    <cellStyle name="Normal 11 5 5 3" xfId="8080" xr:uid="{5F762EE1-8C3A-47C3-B24A-C15D40727CB0}"/>
    <cellStyle name="Normal 11 5 5 3 2" xfId="20762" xr:uid="{47FCDD4A-B3F6-4144-81BD-8DC5E1AB6B5D}"/>
    <cellStyle name="Normal 11 5 5 3 2 2" xfId="46254" xr:uid="{435CF49F-87E0-4007-B6F2-B5B0B36105AE}"/>
    <cellStyle name="Normal 11 5 5 3 3" xfId="33663" xr:uid="{25CC127B-CB8C-4C03-B4F8-C87C7A726B3A}"/>
    <cellStyle name="Normal 11 5 5 4" xfId="14484" xr:uid="{9ACE78C5-E7AC-4BB5-8F42-FA3583D0F318}"/>
    <cellStyle name="Normal 11 5 5 4 2" xfId="39976" xr:uid="{D91B19B7-ED77-43F5-BBFE-088BB359D1F1}"/>
    <cellStyle name="Normal 11 5 5 5" xfId="27385" xr:uid="{EFA2647C-EFA0-4DFD-8B30-E84D52DD0B54}"/>
    <cellStyle name="Normal 11 5 6" xfId="1250" xr:uid="{E3CE3873-4CE5-40BA-96A4-C2C367113272}"/>
    <cellStyle name="Normal 11 5 6 2" xfId="4404" xr:uid="{A37DC89D-DEC3-4515-BDD5-1CDC7A2A62AC}"/>
    <cellStyle name="Normal 11 5 6 2 2" xfId="10697" xr:uid="{B32F9383-9AF3-4014-B67E-18C25513CEBC}"/>
    <cellStyle name="Normal 11 5 6 2 2 2" xfId="23379" xr:uid="{13D6C203-4168-4BEB-928D-EBE2E40EA83B}"/>
    <cellStyle name="Normal 11 5 6 2 2 2 2" xfId="48871" xr:uid="{E63987D4-0882-4CD5-81C7-354C4B2C1696}"/>
    <cellStyle name="Normal 11 5 6 2 2 3" xfId="36280" xr:uid="{57FCF462-0CFD-4F3A-BCCA-997B7456A44E}"/>
    <cellStyle name="Normal 11 5 6 2 3" xfId="17101" xr:uid="{E25EBBF5-C52F-4B86-8BEC-578864CB9242}"/>
    <cellStyle name="Normal 11 5 6 2 3 2" xfId="42593" xr:uid="{D24777EB-A947-4BDC-8999-1763B2179F88}"/>
    <cellStyle name="Normal 11 5 6 2 4" xfId="30002" xr:uid="{4BD9059D-B18A-458B-8899-5A1702A3555F}"/>
    <cellStyle name="Normal 11 5 6 3" xfId="7558" xr:uid="{DCE4FDF0-36BD-457D-996B-6E3987CD012A}"/>
    <cellStyle name="Normal 11 5 6 3 2" xfId="20240" xr:uid="{F9A8461C-B95E-47B5-B387-54D1A6FDD55D}"/>
    <cellStyle name="Normal 11 5 6 3 2 2" xfId="45732" xr:uid="{A0C19CF9-3B45-4CEE-9FEA-47021F7BFD31}"/>
    <cellStyle name="Normal 11 5 6 3 3" xfId="33141" xr:uid="{D1252C5D-85A1-44A4-9D6A-A13D0FDBD444}"/>
    <cellStyle name="Normal 11 5 6 4" xfId="13962" xr:uid="{F92E276E-1044-4160-AE24-98CD58B4127A}"/>
    <cellStyle name="Normal 11 5 6 4 2" xfId="39454" xr:uid="{9DF6A374-8222-47A9-B702-63AD116858D7}"/>
    <cellStyle name="Normal 11 5 6 5" xfId="26863" xr:uid="{0CE0AD1B-F2A9-420D-906D-61F18CA9966E}"/>
    <cellStyle name="Normal 11 5 7" xfId="2557" xr:uid="{D7F3003B-E18D-4615-A93F-6F011D748DFE}"/>
    <cellStyle name="Normal 11 5 7 2" xfId="5711" xr:uid="{6F84AE73-F423-4B33-B35C-A7E6B720059C}"/>
    <cellStyle name="Normal 11 5 7 2 2" xfId="12004" xr:uid="{EBFF8445-A899-4DCB-8E81-FB7933FEC0E1}"/>
    <cellStyle name="Normal 11 5 7 2 2 2" xfId="24686" xr:uid="{332282A2-030C-48C7-8E7C-967F6A95F004}"/>
    <cellStyle name="Normal 11 5 7 2 2 2 2" xfId="50178" xr:uid="{6A6AD1AD-5A68-4635-A2DE-E4253C236306}"/>
    <cellStyle name="Normal 11 5 7 2 2 3" xfId="37587" xr:uid="{48B46F18-7390-4025-B373-3C2980C64EB5}"/>
    <cellStyle name="Normal 11 5 7 2 3" xfId="18408" xr:uid="{EB71B098-A90F-4CB1-A411-DE46F54366A9}"/>
    <cellStyle name="Normal 11 5 7 2 3 2" xfId="43900" xr:uid="{FA768EEF-2FB8-4ECF-8E05-3AC68407A29C}"/>
    <cellStyle name="Normal 11 5 7 2 4" xfId="31309" xr:uid="{2846F029-3580-421F-9EFC-D02F6345635F}"/>
    <cellStyle name="Normal 11 5 7 3" xfId="8865" xr:uid="{D86F3921-B509-446E-A3BE-7290F199C5A6}"/>
    <cellStyle name="Normal 11 5 7 3 2" xfId="21547" xr:uid="{08284803-5D2B-42DC-AE6F-9907E27083EF}"/>
    <cellStyle name="Normal 11 5 7 3 2 2" xfId="47039" xr:uid="{6B2A75D0-1A30-45E1-9286-51CA987BC80A}"/>
    <cellStyle name="Normal 11 5 7 3 3" xfId="34448" xr:uid="{9E003EE5-26EE-45A6-8035-7FB244FB7CEF}"/>
    <cellStyle name="Normal 11 5 7 4" xfId="15269" xr:uid="{36C4AF8B-7592-405B-8EB1-FB636624D646}"/>
    <cellStyle name="Normal 11 5 7 4 2" xfId="40761" xr:uid="{77EABE08-3614-4AEF-8381-62926A677C5E}"/>
    <cellStyle name="Normal 11 5 7 5" xfId="28170" xr:uid="{36988AB2-9476-40EE-87AF-60ACA629FAB5}"/>
    <cellStyle name="Normal 11 5 8" xfId="3080" xr:uid="{7B65B89F-6A60-4138-88F9-DEA521BF4735}"/>
    <cellStyle name="Normal 11 5 8 2" xfId="6234" xr:uid="{2E403C7F-5441-4D96-AF29-2E2BA9EEFEF7}"/>
    <cellStyle name="Normal 11 5 8 2 2" xfId="12527" xr:uid="{246FC928-E975-4C62-8E82-B1C9B1EDCA8A}"/>
    <cellStyle name="Normal 11 5 8 2 2 2" xfId="25209" xr:uid="{03F25176-EFBF-4791-98AF-3A3FF1F75CC5}"/>
    <cellStyle name="Normal 11 5 8 2 2 2 2" xfId="50701" xr:uid="{5D0C6658-30A3-4594-AB15-D1F75D335F53}"/>
    <cellStyle name="Normal 11 5 8 2 2 3" xfId="38110" xr:uid="{C308DD8F-AB33-4C23-9072-8FF50DF90A15}"/>
    <cellStyle name="Normal 11 5 8 2 3" xfId="18931" xr:uid="{BCDD3380-1DBC-4B61-A3D4-3BBEC0F8641D}"/>
    <cellStyle name="Normal 11 5 8 2 3 2" xfId="44423" xr:uid="{8F568E47-5FDB-42AF-881E-E41428E9AE45}"/>
    <cellStyle name="Normal 11 5 8 2 4" xfId="31832" xr:uid="{85E0B506-D01B-406E-A67C-A7070EDCDE97}"/>
    <cellStyle name="Normal 11 5 8 3" xfId="9388" xr:uid="{9C63DDE4-B120-41BB-8F0E-794EC5147FA6}"/>
    <cellStyle name="Normal 11 5 8 3 2" xfId="22070" xr:uid="{B4D2FABD-F7BF-465C-BA2B-D6040F5666D2}"/>
    <cellStyle name="Normal 11 5 8 3 2 2" xfId="47562" xr:uid="{603C3051-EB8F-46A8-AF5B-C34A8904225C}"/>
    <cellStyle name="Normal 11 5 8 3 3" xfId="34971" xr:uid="{9CED9C4D-1028-49EE-ACD9-21898BE339A0}"/>
    <cellStyle name="Normal 11 5 8 4" xfId="15792" xr:uid="{725BC957-CC7C-4BA7-9D62-A131C99E04CF}"/>
    <cellStyle name="Normal 11 5 8 4 2" xfId="41284" xr:uid="{4808F5F3-57FE-4679-8A89-A8E51D962B12}"/>
    <cellStyle name="Normal 11 5 8 5" xfId="28693" xr:uid="{CE81105D-E624-48AA-A2C9-B45F070B099F}"/>
    <cellStyle name="Normal 11 5 9" xfId="3619" xr:uid="{A5491D44-068C-4925-A8B0-202DB18CFF95}"/>
    <cellStyle name="Normal 11 5 9 2" xfId="9912" xr:uid="{C79A5C51-A3DF-4800-BE90-A68FD5AC2D2D}"/>
    <cellStyle name="Normal 11 5 9 2 2" xfId="22594" xr:uid="{6B18B952-A16E-45CE-8ACF-46218B39B88B}"/>
    <cellStyle name="Normal 11 5 9 2 2 2" xfId="48086" xr:uid="{82D226EA-8417-44C4-9753-07D21D493AFA}"/>
    <cellStyle name="Normal 11 5 9 2 3" xfId="35495" xr:uid="{C5D31934-802A-4A8D-B504-5CC97B8772E1}"/>
    <cellStyle name="Normal 11 5 9 3" xfId="16316" xr:uid="{AD9B7F30-18AD-42C2-A18C-7C38D1610B98}"/>
    <cellStyle name="Normal 11 5 9 3 2" xfId="41808" xr:uid="{2274AF5D-5905-45E4-8454-DF9FCF312FEC}"/>
    <cellStyle name="Normal 11 5 9 4" xfId="29217" xr:uid="{8DFD4B48-17F1-4AC7-8AFE-BED4F2E38713}"/>
    <cellStyle name="Normal 11 6" xfId="567" xr:uid="{22C985E5-58B5-4375-8861-A1D1CE781E82}"/>
    <cellStyle name="Normal 11 6 10" xfId="13294" xr:uid="{EC360793-4D7E-4B9C-8002-B84D05E0F470}"/>
    <cellStyle name="Normal 11 6 10 2" xfId="38786" xr:uid="{EF510E44-832D-401E-B9FB-F9AA5B00486E}"/>
    <cellStyle name="Normal 11 6 11" xfId="26195" xr:uid="{91BD25EB-C1F3-4D4F-B75A-DA72F12FFCBF}"/>
    <cellStyle name="Normal 11 6 2" xfId="1104" xr:uid="{78D129E7-1C9F-40C4-B784-EC489174143C}"/>
    <cellStyle name="Normal 11 6 2 2" xfId="2411" xr:uid="{68E8FF1A-BD83-4DB2-B4D5-7262150D41A4}"/>
    <cellStyle name="Normal 11 6 2 2 2" xfId="5565" xr:uid="{529A22CD-87A7-4A0F-BBC7-66E3916CA102}"/>
    <cellStyle name="Normal 11 6 2 2 2 2" xfId="11858" xr:uid="{6419D150-EE29-4A74-B5FD-6D0BB919A97F}"/>
    <cellStyle name="Normal 11 6 2 2 2 2 2" xfId="24540" xr:uid="{BF029D85-F22A-456F-B8F1-52C2A471551F}"/>
    <cellStyle name="Normal 11 6 2 2 2 2 2 2" xfId="50032" xr:uid="{AA12B328-2A85-48E6-91DE-4E8F8B41E3C7}"/>
    <cellStyle name="Normal 11 6 2 2 2 2 3" xfId="37441" xr:uid="{6DFDE70C-08A4-4CF3-8FAA-B9BC39EFA966}"/>
    <cellStyle name="Normal 11 6 2 2 2 3" xfId="18262" xr:uid="{283920CC-05EF-480E-9F8C-FE2D609FFBAB}"/>
    <cellStyle name="Normal 11 6 2 2 2 3 2" xfId="43754" xr:uid="{9A28662B-B2E1-40D2-9696-924431F2FDFA}"/>
    <cellStyle name="Normal 11 6 2 2 2 4" xfId="31163" xr:uid="{D7CEC2B9-9EBB-4226-A1A4-682227324DB4}"/>
    <cellStyle name="Normal 11 6 2 2 3" xfId="8719" xr:uid="{A76D09E4-9B76-491E-92B4-16B47FBFA571}"/>
    <cellStyle name="Normal 11 6 2 2 3 2" xfId="21401" xr:uid="{EE751221-A918-4E93-ABC4-8FB7B2EF20D1}"/>
    <cellStyle name="Normal 11 6 2 2 3 2 2" xfId="46893" xr:uid="{7203692F-FB43-436C-B443-E208805D0E86}"/>
    <cellStyle name="Normal 11 6 2 2 3 3" xfId="34302" xr:uid="{951F4D88-39E3-4D95-A824-415825687B8D}"/>
    <cellStyle name="Normal 11 6 2 2 4" xfId="15123" xr:uid="{6FB38699-0D29-4ED3-AD3B-AF5C016AE9D7}"/>
    <cellStyle name="Normal 11 6 2 2 4 2" xfId="40615" xr:uid="{4A2639E7-01EA-4FA8-B26D-CC1CE9CCB08C}"/>
    <cellStyle name="Normal 11 6 2 2 5" xfId="28024" xr:uid="{D6F93D92-BDF0-4A30-9A82-B94697865E78}"/>
    <cellStyle name="Normal 11 6 2 3" xfId="1628" xr:uid="{AFC453CB-6AFB-46EC-A3B9-6DA2057D648B}"/>
    <cellStyle name="Normal 11 6 2 3 2" xfId="4782" xr:uid="{03B6D16B-4BD2-47D0-8A8C-3CA2DC609F75}"/>
    <cellStyle name="Normal 11 6 2 3 2 2" xfId="11075" xr:uid="{A870FA73-5AA8-427B-AA20-5D5F855C958D}"/>
    <cellStyle name="Normal 11 6 2 3 2 2 2" xfId="23757" xr:uid="{BC750979-6C95-4871-B43C-ABF2234735C8}"/>
    <cellStyle name="Normal 11 6 2 3 2 2 2 2" xfId="49249" xr:uid="{F8C727C9-7C95-4F60-B809-69A877214632}"/>
    <cellStyle name="Normal 11 6 2 3 2 2 3" xfId="36658" xr:uid="{A7FF6F54-84B1-458C-8D84-D3745AF9DB6A}"/>
    <cellStyle name="Normal 11 6 2 3 2 3" xfId="17479" xr:uid="{76910A63-30AC-473D-A06F-A741E04C9518}"/>
    <cellStyle name="Normal 11 6 2 3 2 3 2" xfId="42971" xr:uid="{8F84CD3F-EE6B-40AB-AD22-9332A02BB4E7}"/>
    <cellStyle name="Normal 11 6 2 3 2 4" xfId="30380" xr:uid="{CB213E08-23D9-4F18-AEBA-FE8FC8A42295}"/>
    <cellStyle name="Normal 11 6 2 3 3" xfId="7936" xr:uid="{5AF8F218-ED3C-45EF-8EC4-DCF2153BDE40}"/>
    <cellStyle name="Normal 11 6 2 3 3 2" xfId="20618" xr:uid="{9EB46B6A-B4CC-4EB6-AD02-3E7E82E4B77E}"/>
    <cellStyle name="Normal 11 6 2 3 3 2 2" xfId="46110" xr:uid="{2B076601-F19D-4D46-95B6-F445DC478B6F}"/>
    <cellStyle name="Normal 11 6 2 3 3 3" xfId="33519" xr:uid="{1B81B25C-9237-4D57-AF86-B001D13C8149}"/>
    <cellStyle name="Normal 11 6 2 3 4" xfId="14340" xr:uid="{D8F6F829-3146-4F80-AA03-AC07AE18F95B}"/>
    <cellStyle name="Normal 11 6 2 3 4 2" xfId="39832" xr:uid="{B36A05E3-9D45-433E-9A12-238C6BE109ED}"/>
    <cellStyle name="Normal 11 6 2 3 5" xfId="27241" xr:uid="{21A10EE5-A5EC-4352-916A-DC4080766CCF}"/>
    <cellStyle name="Normal 11 6 2 4" xfId="2935" xr:uid="{D0704D0C-0470-443C-A3A6-36FB56FF35BD}"/>
    <cellStyle name="Normal 11 6 2 4 2" xfId="6089" xr:uid="{55C0CA1D-02AA-400B-B774-CBD47980A652}"/>
    <cellStyle name="Normal 11 6 2 4 2 2" xfId="12382" xr:uid="{36F16E16-DF59-4280-A879-3C1686FCCF0C}"/>
    <cellStyle name="Normal 11 6 2 4 2 2 2" xfId="25064" xr:uid="{9962009D-F54A-4DF9-9085-D782C4907622}"/>
    <cellStyle name="Normal 11 6 2 4 2 2 2 2" xfId="50556" xr:uid="{CB448B10-6215-4108-A7C8-F7B9B5574492}"/>
    <cellStyle name="Normal 11 6 2 4 2 2 3" xfId="37965" xr:uid="{DCCB4E16-D80E-4818-B5F6-9862EA7AB4B9}"/>
    <cellStyle name="Normal 11 6 2 4 2 3" xfId="18786" xr:uid="{59E038B6-DCD8-4550-BA96-5D5862042560}"/>
    <cellStyle name="Normal 11 6 2 4 2 3 2" xfId="44278" xr:uid="{96493691-4688-4FC4-9E0E-DEBCE825DC0C}"/>
    <cellStyle name="Normal 11 6 2 4 2 4" xfId="31687" xr:uid="{436E3A47-CCAE-4990-8400-27B5C92A3778}"/>
    <cellStyle name="Normal 11 6 2 4 3" xfId="9243" xr:uid="{F3A47DC2-81C3-4C78-9E1A-6907C5999AF5}"/>
    <cellStyle name="Normal 11 6 2 4 3 2" xfId="21925" xr:uid="{8B5CE306-6771-460D-92CC-712F92A78FD9}"/>
    <cellStyle name="Normal 11 6 2 4 3 2 2" xfId="47417" xr:uid="{3A718880-9574-467A-B515-6139079D08D0}"/>
    <cellStyle name="Normal 11 6 2 4 3 3" xfId="34826" xr:uid="{0C7ABCB0-53C9-4405-A95C-565AF20A86C6}"/>
    <cellStyle name="Normal 11 6 2 4 4" xfId="15647" xr:uid="{10662CAC-D5CE-4A3F-88B0-C77A7858385D}"/>
    <cellStyle name="Normal 11 6 2 4 4 2" xfId="41139" xr:uid="{2D93C2A9-0745-4F5C-BF2B-E33A957E87EE}"/>
    <cellStyle name="Normal 11 6 2 4 5" xfId="28548" xr:uid="{6C292363-90BD-4F96-A348-A18B38216557}"/>
    <cellStyle name="Normal 11 6 2 5" xfId="3458" xr:uid="{DF7C8EFC-78E4-4235-85CC-4DB65DCC3C58}"/>
    <cellStyle name="Normal 11 6 2 5 2" xfId="6612" xr:uid="{7F6DDDBD-C885-4C65-A8B6-CE4680702FE2}"/>
    <cellStyle name="Normal 11 6 2 5 2 2" xfId="12905" xr:uid="{B0BAE9C1-2486-41FB-9C92-757AEC2C1C90}"/>
    <cellStyle name="Normal 11 6 2 5 2 2 2" xfId="25587" xr:uid="{E960F0FA-0241-4EC5-AEA1-89E825A3FEAA}"/>
    <cellStyle name="Normal 11 6 2 5 2 2 2 2" xfId="51079" xr:uid="{CC2BDC3B-362F-46D3-B236-24BFFD807132}"/>
    <cellStyle name="Normal 11 6 2 5 2 2 3" xfId="38488" xr:uid="{DAEFB70C-08FD-4778-9528-BDF8DE56DE0F}"/>
    <cellStyle name="Normal 11 6 2 5 2 3" xfId="19309" xr:uid="{001BBE97-6C38-4FB8-B3E9-C78D6D8F97F9}"/>
    <cellStyle name="Normal 11 6 2 5 2 3 2" xfId="44801" xr:uid="{A22526CF-2843-4FCE-B8FB-B549F8EB706E}"/>
    <cellStyle name="Normal 11 6 2 5 2 4" xfId="32210" xr:uid="{20DDEA18-DE84-4E53-A2D0-04A439B993A5}"/>
    <cellStyle name="Normal 11 6 2 5 3" xfId="9766" xr:uid="{2B990471-85BD-4F81-BAB2-FD02FF8C4D3B}"/>
    <cellStyle name="Normal 11 6 2 5 3 2" xfId="22448" xr:uid="{08E97741-7BD0-4094-8A29-EF04A4256BF4}"/>
    <cellStyle name="Normal 11 6 2 5 3 2 2" xfId="47940" xr:uid="{FF5CBC6D-7F66-446C-9021-DF878472A3CD}"/>
    <cellStyle name="Normal 11 6 2 5 3 3" xfId="35349" xr:uid="{AD32449E-2BEA-4198-A3A1-7BE32DB48CE4}"/>
    <cellStyle name="Normal 11 6 2 5 4" xfId="16170" xr:uid="{D66A50A3-D700-4CA8-9ED7-9B1E9EC32FE6}"/>
    <cellStyle name="Normal 11 6 2 5 4 2" xfId="41662" xr:uid="{D1A9BBCC-248C-4EBB-BC70-13916C09E939}"/>
    <cellStyle name="Normal 11 6 2 5 5" xfId="29071" xr:uid="{C5F6EB4D-F16A-4C0E-B36A-0EC0315EBECD}"/>
    <cellStyle name="Normal 11 6 2 6" xfId="4258" xr:uid="{731AD71B-5424-49B9-A1C8-939A92396384}"/>
    <cellStyle name="Normal 11 6 2 6 2" xfId="10551" xr:uid="{DEF3979B-0149-4284-8843-5DD17B91C899}"/>
    <cellStyle name="Normal 11 6 2 6 2 2" xfId="23233" xr:uid="{E1D49D21-004C-4D6E-BB3B-515F1F8CE721}"/>
    <cellStyle name="Normal 11 6 2 6 2 2 2" xfId="48725" xr:uid="{7D09C567-38E1-4166-A72B-EEBDAC2425C8}"/>
    <cellStyle name="Normal 11 6 2 6 2 3" xfId="36134" xr:uid="{3C9AE7A6-14F9-4E9E-A8CA-EF39C905CD4D}"/>
    <cellStyle name="Normal 11 6 2 6 3" xfId="16955" xr:uid="{0626E27D-AAC0-4AD2-A9DF-C0201520BB88}"/>
    <cellStyle name="Normal 11 6 2 6 3 2" xfId="42447" xr:uid="{E39EBD50-5B70-49B4-B94F-01B14181A15C}"/>
    <cellStyle name="Normal 11 6 2 6 4" xfId="29856" xr:uid="{CBDABE46-6099-4538-ADB7-0FE67A39F759}"/>
    <cellStyle name="Normal 11 6 2 7" xfId="7412" xr:uid="{C4CA111C-038F-4325-96FB-221FBC33CC61}"/>
    <cellStyle name="Normal 11 6 2 7 2" xfId="20094" xr:uid="{135206B2-87F1-4347-9459-119602230CA9}"/>
    <cellStyle name="Normal 11 6 2 7 2 2" xfId="45586" xr:uid="{ADCC4C75-3417-41BD-94F9-DC0F5B2501FF}"/>
    <cellStyle name="Normal 11 6 2 7 3" xfId="32995" xr:uid="{2832CD0E-F6C1-4542-90CF-F597192191F7}"/>
    <cellStyle name="Normal 11 6 2 8" xfId="13816" xr:uid="{115D0FBB-414B-476D-8980-24BB6EBC44EE}"/>
    <cellStyle name="Normal 11 6 2 8 2" xfId="39308" xr:uid="{604A7761-837A-4ABA-BD01-678A54EDE931}"/>
    <cellStyle name="Normal 11 6 2 9" xfId="26717" xr:uid="{39B0FE32-A936-4697-889D-BF97677A36C5}"/>
    <cellStyle name="Normal 11 6 3" xfId="844" xr:uid="{DFD26580-8C72-4191-8C06-541A8E166D40}"/>
    <cellStyle name="Normal 11 6 3 2" xfId="2151" xr:uid="{56BB500E-9DF9-4C34-B8D6-4C1BBBE73A0C}"/>
    <cellStyle name="Normal 11 6 3 2 2" xfId="5305" xr:uid="{B9A06103-8879-41CB-B6CA-10B8538E853D}"/>
    <cellStyle name="Normal 11 6 3 2 2 2" xfId="11598" xr:uid="{F11AB36F-0D7E-4804-8656-984B7E89365C}"/>
    <cellStyle name="Normal 11 6 3 2 2 2 2" xfId="24280" xr:uid="{C91B3966-9A77-4DD9-B72C-6432583A5710}"/>
    <cellStyle name="Normal 11 6 3 2 2 2 2 2" xfId="49772" xr:uid="{5B8498D1-C9B6-4520-B9B6-B24F02B76053}"/>
    <cellStyle name="Normal 11 6 3 2 2 2 3" xfId="37181" xr:uid="{3DD04D99-F9C1-4233-AC88-C882667C8861}"/>
    <cellStyle name="Normal 11 6 3 2 2 3" xfId="18002" xr:uid="{3321ACAA-57ED-470D-841C-E7C0FF0C1EBF}"/>
    <cellStyle name="Normal 11 6 3 2 2 3 2" xfId="43494" xr:uid="{7550612A-8970-4277-B14D-BFEF1B6B7F1F}"/>
    <cellStyle name="Normal 11 6 3 2 2 4" xfId="30903" xr:uid="{FFAC36C4-816A-4672-9C60-3F0BD674F678}"/>
    <cellStyle name="Normal 11 6 3 2 3" xfId="8459" xr:uid="{7B7E0419-AB28-45CA-8B3E-EC29DBE24A2A}"/>
    <cellStyle name="Normal 11 6 3 2 3 2" xfId="21141" xr:uid="{F69A406E-7FDE-4073-8E67-436B098E00C4}"/>
    <cellStyle name="Normal 11 6 3 2 3 2 2" xfId="46633" xr:uid="{4B5E7F7E-4813-4007-B27B-B465A5918B70}"/>
    <cellStyle name="Normal 11 6 3 2 3 3" xfId="34042" xr:uid="{F08A749F-FC87-4D94-B60C-B579BF2E1DFE}"/>
    <cellStyle name="Normal 11 6 3 2 4" xfId="14863" xr:uid="{593C728B-BB3F-4302-9CA0-EF17C1F51C4A}"/>
    <cellStyle name="Normal 11 6 3 2 4 2" xfId="40355" xr:uid="{747F8A96-AC63-48F2-9EAE-4F1E1E78CFC9}"/>
    <cellStyle name="Normal 11 6 3 2 5" xfId="27764" xr:uid="{232A5A88-2B6E-4A53-A789-B43BB3CF9627}"/>
    <cellStyle name="Normal 11 6 3 3" xfId="3998" xr:uid="{C7E75ECE-6884-4E57-975D-F14A6F25E7CF}"/>
    <cellStyle name="Normal 11 6 3 3 2" xfId="10291" xr:uid="{EEA99E0A-69C2-491C-BB16-89A9877CC41D}"/>
    <cellStyle name="Normal 11 6 3 3 2 2" xfId="22973" xr:uid="{919EEEF0-80DA-490E-9B11-983BE47D2093}"/>
    <cellStyle name="Normal 11 6 3 3 2 2 2" xfId="48465" xr:uid="{1AE7AA26-4968-4289-9C05-71025B42636D}"/>
    <cellStyle name="Normal 11 6 3 3 2 3" xfId="35874" xr:uid="{55E2DE38-4EA5-4673-A5C4-4BFF8C88DAD2}"/>
    <cellStyle name="Normal 11 6 3 3 3" xfId="16695" xr:uid="{6A6834D3-3011-4008-BA82-D0CB2F3FFB29}"/>
    <cellStyle name="Normal 11 6 3 3 3 2" xfId="42187" xr:uid="{4343EA77-10BF-4E75-966A-3E677C4CBC40}"/>
    <cellStyle name="Normal 11 6 3 3 4" xfId="29596" xr:uid="{90808DA9-AB63-4647-BBB6-363F0BC765DB}"/>
    <cellStyle name="Normal 11 6 3 4" xfId="7152" xr:uid="{FB605052-D160-49CE-B18E-DAB0C934C99A}"/>
    <cellStyle name="Normal 11 6 3 4 2" xfId="19834" xr:uid="{86C98C24-00E4-4CB5-B8BC-C21778E81E08}"/>
    <cellStyle name="Normal 11 6 3 4 2 2" xfId="45326" xr:uid="{E7627C0A-E919-4984-A16A-0F24CFEFD0BE}"/>
    <cellStyle name="Normal 11 6 3 4 3" xfId="32735" xr:uid="{5DDBEA83-D83E-4D4B-8354-279F6051862E}"/>
    <cellStyle name="Normal 11 6 3 5" xfId="13556" xr:uid="{73CF14BB-B0A7-4324-ABDA-5DB758737C51}"/>
    <cellStyle name="Normal 11 6 3 5 2" xfId="39048" xr:uid="{FBD7DA44-CE50-48DA-B327-61C9EFC8CAC3}"/>
    <cellStyle name="Normal 11 6 3 6" xfId="26457" xr:uid="{22D52AF8-E761-4A91-8FC3-5FDB42493D63}"/>
    <cellStyle name="Normal 11 6 4" xfId="1889" xr:uid="{63A14169-04B2-4BB2-B637-C9D05558C525}"/>
    <cellStyle name="Normal 11 6 4 2" xfId="5043" xr:uid="{B1F28167-6B63-470F-BD70-886A22380CED}"/>
    <cellStyle name="Normal 11 6 4 2 2" xfId="11336" xr:uid="{DA72B0F9-E455-41A5-BEB5-5A66EF0693DE}"/>
    <cellStyle name="Normal 11 6 4 2 2 2" xfId="24018" xr:uid="{6C58BAD7-7BAB-4CD9-AD7A-ECBAD2F4C3E0}"/>
    <cellStyle name="Normal 11 6 4 2 2 2 2" xfId="49510" xr:uid="{906BA4B2-C8AF-428E-B407-4C3F92521367}"/>
    <cellStyle name="Normal 11 6 4 2 2 3" xfId="36919" xr:uid="{CFD38C40-2EE5-416D-BB18-4089F7A22B57}"/>
    <cellStyle name="Normal 11 6 4 2 3" xfId="17740" xr:uid="{ED4D5750-A36B-4B95-905B-5532EA35CDA2}"/>
    <cellStyle name="Normal 11 6 4 2 3 2" xfId="43232" xr:uid="{DB9E7848-AD2B-45CC-B321-8C9D9FBC2B75}"/>
    <cellStyle name="Normal 11 6 4 2 4" xfId="30641" xr:uid="{5F0DD4B6-6D82-4CA6-89BF-BBCE0AF4C75D}"/>
    <cellStyle name="Normal 11 6 4 3" xfId="8197" xr:uid="{C2798069-7C92-4C6F-AE2F-2ADE8A70BA4F}"/>
    <cellStyle name="Normal 11 6 4 3 2" xfId="20879" xr:uid="{B52A10EA-C481-4401-B97B-1A1E121ED5D7}"/>
    <cellStyle name="Normal 11 6 4 3 2 2" xfId="46371" xr:uid="{410A025D-1F3D-4FE5-A4D6-07BFF62981C6}"/>
    <cellStyle name="Normal 11 6 4 3 3" xfId="33780" xr:uid="{B04B47E1-C81A-4B11-B86F-7FF08DE1BE0E}"/>
    <cellStyle name="Normal 11 6 4 4" xfId="14601" xr:uid="{4B9D8A0E-5E1B-48D8-8390-5489D95AF467}"/>
    <cellStyle name="Normal 11 6 4 4 2" xfId="40093" xr:uid="{C2A83C87-77B6-4168-A876-10AD14D3E5B4}"/>
    <cellStyle name="Normal 11 6 4 5" xfId="27502" xr:uid="{4C9B5593-D6D9-4A9A-A7ED-5757954B4C34}"/>
    <cellStyle name="Normal 11 6 5" xfId="1367" xr:uid="{7795E23C-CEE4-4173-95EE-89218FCF6FD4}"/>
    <cellStyle name="Normal 11 6 5 2" xfId="4521" xr:uid="{828C289B-971C-4CBF-8C7D-CD155577CD34}"/>
    <cellStyle name="Normal 11 6 5 2 2" xfId="10814" xr:uid="{667FDDB3-0F3F-4AF5-8747-9394477AFAC0}"/>
    <cellStyle name="Normal 11 6 5 2 2 2" xfId="23496" xr:uid="{46783BAC-6504-4DFF-B32D-7EFECB0EDC42}"/>
    <cellStyle name="Normal 11 6 5 2 2 2 2" xfId="48988" xr:uid="{9576D71F-78A2-431D-B3C2-D5020B8377B5}"/>
    <cellStyle name="Normal 11 6 5 2 2 3" xfId="36397" xr:uid="{FFEDE79F-D50E-44D4-A9C9-BA377B2BFF58}"/>
    <cellStyle name="Normal 11 6 5 2 3" xfId="17218" xr:uid="{AD72C265-CA3B-42BD-9F05-7B01FC9C4732}"/>
    <cellStyle name="Normal 11 6 5 2 3 2" xfId="42710" xr:uid="{BF23ADAF-5DC0-43B8-B8F3-86B7C6F44368}"/>
    <cellStyle name="Normal 11 6 5 2 4" xfId="30119" xr:uid="{BBD47DED-E9B6-401B-9585-CFBA2D85C740}"/>
    <cellStyle name="Normal 11 6 5 3" xfId="7675" xr:uid="{DE46C14D-AF2D-4E26-9C1E-7CFE6F3112D4}"/>
    <cellStyle name="Normal 11 6 5 3 2" xfId="20357" xr:uid="{1ECBDAD6-658C-4211-BB88-26BC3E0C8198}"/>
    <cellStyle name="Normal 11 6 5 3 2 2" xfId="45849" xr:uid="{A95897B9-850A-441A-B3E9-50F64C2D2465}"/>
    <cellStyle name="Normal 11 6 5 3 3" xfId="33258" xr:uid="{B58D9998-C2AD-405F-AC75-BD90928F2B21}"/>
    <cellStyle name="Normal 11 6 5 4" xfId="14079" xr:uid="{6E7D7A6C-BF39-4852-AF9D-66B696876D11}"/>
    <cellStyle name="Normal 11 6 5 4 2" xfId="39571" xr:uid="{80F0A33C-3278-4640-8A31-B9BAADCCF542}"/>
    <cellStyle name="Normal 11 6 5 5" xfId="26980" xr:uid="{13CDAEA8-D466-4323-808A-96CA69A9A1D2}"/>
    <cellStyle name="Normal 11 6 6" xfId="2674" xr:uid="{748695B0-8967-4A25-BFEF-A035BDD725EC}"/>
    <cellStyle name="Normal 11 6 6 2" xfId="5828" xr:uid="{EC53CAA2-6C9C-45B3-A8DE-80B60B255D7F}"/>
    <cellStyle name="Normal 11 6 6 2 2" xfId="12121" xr:uid="{2BE27E7A-0542-4FCB-9005-53D96B3E086B}"/>
    <cellStyle name="Normal 11 6 6 2 2 2" xfId="24803" xr:uid="{421F81F4-DC94-4F00-8F0D-B994F7B015CE}"/>
    <cellStyle name="Normal 11 6 6 2 2 2 2" xfId="50295" xr:uid="{69D7648B-DEBE-4A55-8695-FBFC5D3192B3}"/>
    <cellStyle name="Normal 11 6 6 2 2 3" xfId="37704" xr:uid="{ECAAC63B-052F-4199-9F39-AF617234DCFE}"/>
    <cellStyle name="Normal 11 6 6 2 3" xfId="18525" xr:uid="{86787C44-3DD6-4A78-A9D9-84EFE5DC2C66}"/>
    <cellStyle name="Normal 11 6 6 2 3 2" xfId="44017" xr:uid="{399D975C-E012-493D-A0D4-26A4684F9CBD}"/>
    <cellStyle name="Normal 11 6 6 2 4" xfId="31426" xr:uid="{F6885247-B93C-4339-91D4-A4D6D30F216F}"/>
    <cellStyle name="Normal 11 6 6 3" xfId="8982" xr:uid="{6F35F708-A488-45DE-B8DB-7542A007C0A9}"/>
    <cellStyle name="Normal 11 6 6 3 2" xfId="21664" xr:uid="{184BA65D-C193-4547-899E-E64B9D624DC8}"/>
    <cellStyle name="Normal 11 6 6 3 2 2" xfId="47156" xr:uid="{93189015-4AD6-4549-A4A9-2A9BDB857E9D}"/>
    <cellStyle name="Normal 11 6 6 3 3" xfId="34565" xr:uid="{C34E5546-2AAD-4F0C-90D6-9DA035088440}"/>
    <cellStyle name="Normal 11 6 6 4" xfId="15386" xr:uid="{FF091E78-F49E-486E-91EB-73C82361B22C}"/>
    <cellStyle name="Normal 11 6 6 4 2" xfId="40878" xr:uid="{15937E74-6C1B-4DF0-B0D8-77153A77A1CA}"/>
    <cellStyle name="Normal 11 6 6 5" xfId="28287" xr:uid="{484D91C4-F67E-4E6C-B6D9-EFE6ADA599DD}"/>
    <cellStyle name="Normal 11 6 7" xfId="3197" xr:uid="{741B510B-CFC9-4573-B0FF-4965BF0BE30A}"/>
    <cellStyle name="Normal 11 6 7 2" xfId="6351" xr:uid="{38846EBE-54CB-4F76-9D17-D543A61ACD17}"/>
    <cellStyle name="Normal 11 6 7 2 2" xfId="12644" xr:uid="{75C8CAE2-5202-48DA-B88F-5F9302BEDC20}"/>
    <cellStyle name="Normal 11 6 7 2 2 2" xfId="25326" xr:uid="{F4DACA0A-C03A-4B66-9C38-7A023562267A}"/>
    <cellStyle name="Normal 11 6 7 2 2 2 2" xfId="50818" xr:uid="{44B0CEDB-11A1-4C85-BB62-AE2F74CC37EB}"/>
    <cellStyle name="Normal 11 6 7 2 2 3" xfId="38227" xr:uid="{81479CC6-C86E-4F36-A1B5-C4BE1B3C171E}"/>
    <cellStyle name="Normal 11 6 7 2 3" xfId="19048" xr:uid="{BD9B40CF-9C11-4274-AD60-8403A51484E3}"/>
    <cellStyle name="Normal 11 6 7 2 3 2" xfId="44540" xr:uid="{67EAC7D8-3BFC-46D6-9959-C03C9F2CF331}"/>
    <cellStyle name="Normal 11 6 7 2 4" xfId="31949" xr:uid="{E8E76051-8D42-4509-85B5-F8CF217D6F81}"/>
    <cellStyle name="Normal 11 6 7 3" xfId="9505" xr:uid="{22F6930F-A1B5-4D2A-98D6-4F320D24682E}"/>
    <cellStyle name="Normal 11 6 7 3 2" xfId="22187" xr:uid="{A898CFA9-96F0-4289-BAE8-CDA04DDA0D88}"/>
    <cellStyle name="Normal 11 6 7 3 2 2" xfId="47679" xr:uid="{4692DC1A-6BE3-41FA-9556-BB9414687E54}"/>
    <cellStyle name="Normal 11 6 7 3 3" xfId="35088" xr:uid="{13DF0396-723E-46D2-89E7-A349FC27F1BE}"/>
    <cellStyle name="Normal 11 6 7 4" xfId="15909" xr:uid="{54616B4D-B47B-4C4D-81C2-1BE3BC8A44DF}"/>
    <cellStyle name="Normal 11 6 7 4 2" xfId="41401" xr:uid="{91F2554C-04D9-4BA3-A577-DD8782EFD7AE}"/>
    <cellStyle name="Normal 11 6 7 5" xfId="28810" xr:uid="{CE5EE1F3-C114-4291-A1EE-C819D7F324D6}"/>
    <cellStyle name="Normal 11 6 8" xfId="3736" xr:uid="{C0D4415A-E038-481D-A54E-7426D2125B59}"/>
    <cellStyle name="Normal 11 6 8 2" xfId="10029" xr:uid="{C8F1AC0C-F9ED-4536-89D4-8CD636C8E99D}"/>
    <cellStyle name="Normal 11 6 8 2 2" xfId="22711" xr:uid="{1031C921-3440-45D1-91E7-9514FE30F8CD}"/>
    <cellStyle name="Normal 11 6 8 2 2 2" xfId="48203" xr:uid="{4E544869-0A3C-46A9-9B8F-AEE8C4C47C9D}"/>
    <cellStyle name="Normal 11 6 8 2 3" xfId="35612" xr:uid="{7BC6FD0F-C581-4B7E-892E-43C699848147}"/>
    <cellStyle name="Normal 11 6 8 3" xfId="16433" xr:uid="{E78C6065-CAF6-4D79-BC97-66889FFF67D8}"/>
    <cellStyle name="Normal 11 6 8 3 2" xfId="41925" xr:uid="{D3E45ED8-2742-4D98-BC07-AB5AF62797C6}"/>
    <cellStyle name="Normal 11 6 8 4" xfId="29334" xr:uid="{E4F71F66-67AD-48D5-87D2-B90D70602456}"/>
    <cellStyle name="Normal 11 6 9" xfId="6890" xr:uid="{52BF8961-C389-4A92-AA8F-33F6B6F6E406}"/>
    <cellStyle name="Normal 11 6 9 2" xfId="19572" xr:uid="{3A98CD77-329E-451A-B119-E9E22EB4D9B5}"/>
    <cellStyle name="Normal 11 6 9 2 2" xfId="45064" xr:uid="{F3784858-9B26-4E59-B7B5-67A997EED86C}"/>
    <cellStyle name="Normal 11 6 9 3" xfId="32473" xr:uid="{D6B6799E-4FED-402E-94D9-1EC446EF6CD8}"/>
    <cellStyle name="Normal 11 7" xfId="509" xr:uid="{7896C991-BFD1-4334-8FF0-3003FB24887F}"/>
    <cellStyle name="Normal 11 7 10" xfId="13236" xr:uid="{139B0083-B597-45AA-B23A-3B86CBC14A2F}"/>
    <cellStyle name="Normal 11 7 10 2" xfId="38728" xr:uid="{119286E2-69DB-4FDC-8BE8-27D8CE2B4359}"/>
    <cellStyle name="Normal 11 7 11" xfId="26137" xr:uid="{77A82086-8937-4E29-828F-717CD617918B}"/>
    <cellStyle name="Normal 11 7 2" xfId="1046" xr:uid="{B2BFCE16-2C33-49A0-A226-02973250800A}"/>
    <cellStyle name="Normal 11 7 2 2" xfId="2353" xr:uid="{11B23212-F31B-44E0-BF93-977789F15803}"/>
    <cellStyle name="Normal 11 7 2 2 2" xfId="5507" xr:uid="{B5CDDD45-A0ED-4DD0-AE96-01170D627895}"/>
    <cellStyle name="Normal 11 7 2 2 2 2" xfId="11800" xr:uid="{2615E890-1549-47CE-B624-C910D51A3A2F}"/>
    <cellStyle name="Normal 11 7 2 2 2 2 2" xfId="24482" xr:uid="{B85D01E6-8D9C-49A0-8E5A-166360BCB5CE}"/>
    <cellStyle name="Normal 11 7 2 2 2 2 2 2" xfId="49974" xr:uid="{E42C5590-D949-4345-A710-C1C628EE2760}"/>
    <cellStyle name="Normal 11 7 2 2 2 2 3" xfId="37383" xr:uid="{89B451A3-28C2-412B-BCEF-9B4E85FCE758}"/>
    <cellStyle name="Normal 11 7 2 2 2 3" xfId="18204" xr:uid="{2BAA4955-564B-427C-AD72-710C602B4293}"/>
    <cellStyle name="Normal 11 7 2 2 2 3 2" xfId="43696" xr:uid="{A249D89A-1956-4617-BA5B-4EAEC4DC7D5D}"/>
    <cellStyle name="Normal 11 7 2 2 2 4" xfId="31105" xr:uid="{DD218DCC-64B1-4F43-9AB3-A5B62C946A52}"/>
    <cellStyle name="Normal 11 7 2 2 3" xfId="8661" xr:uid="{B066DFEF-7EC2-4C06-9295-BA19E43CB88D}"/>
    <cellStyle name="Normal 11 7 2 2 3 2" xfId="21343" xr:uid="{32045544-E093-4A2A-8175-5083D4071799}"/>
    <cellStyle name="Normal 11 7 2 2 3 2 2" xfId="46835" xr:uid="{A1E50E44-406D-4EC4-8D25-353194E92A96}"/>
    <cellStyle name="Normal 11 7 2 2 3 3" xfId="34244" xr:uid="{FBCBB0EE-A909-4901-8184-C9CEB9B203E5}"/>
    <cellStyle name="Normal 11 7 2 2 4" xfId="15065" xr:uid="{E9DB5636-081F-4860-BB2B-129AE8B949F6}"/>
    <cellStyle name="Normal 11 7 2 2 4 2" xfId="40557" xr:uid="{F8E4D409-2126-4F39-B218-CA6368F7BFF4}"/>
    <cellStyle name="Normal 11 7 2 2 5" xfId="27966" xr:uid="{CDC32778-47A9-4FA0-A390-36D9D8F715FC}"/>
    <cellStyle name="Normal 11 7 2 3" xfId="1570" xr:uid="{7161118E-4D80-4330-92B0-B5E06D297726}"/>
    <cellStyle name="Normal 11 7 2 3 2" xfId="4724" xr:uid="{EC851900-3055-431F-B319-5BAE5D533EC2}"/>
    <cellStyle name="Normal 11 7 2 3 2 2" xfId="11017" xr:uid="{CA064EC0-5043-4B22-80A7-9FF53E99C3A3}"/>
    <cellStyle name="Normal 11 7 2 3 2 2 2" xfId="23699" xr:uid="{1E0082E0-29A8-4B4C-BDEE-033583EBAFD9}"/>
    <cellStyle name="Normal 11 7 2 3 2 2 2 2" xfId="49191" xr:uid="{C375B677-7BBE-48CD-BAC2-20124C610B6D}"/>
    <cellStyle name="Normal 11 7 2 3 2 2 3" xfId="36600" xr:uid="{D21E1F9E-7B51-4383-99EE-8937B672887B}"/>
    <cellStyle name="Normal 11 7 2 3 2 3" xfId="17421" xr:uid="{FB1941CC-5B23-4323-85E4-3DAB6D45FFDA}"/>
    <cellStyle name="Normal 11 7 2 3 2 3 2" xfId="42913" xr:uid="{C51AF5AE-8E43-48D3-BFAF-BBA042B4FAB7}"/>
    <cellStyle name="Normal 11 7 2 3 2 4" xfId="30322" xr:uid="{029A12F6-D158-4075-A3EE-804DB281A383}"/>
    <cellStyle name="Normal 11 7 2 3 3" xfId="7878" xr:uid="{B2FB5B1E-E44C-4C91-A064-0B5692BE0A6D}"/>
    <cellStyle name="Normal 11 7 2 3 3 2" xfId="20560" xr:uid="{2C571989-F955-4BE8-845B-689D6FE2DE17}"/>
    <cellStyle name="Normal 11 7 2 3 3 2 2" xfId="46052" xr:uid="{CEDA41A3-4A87-4002-B35E-08626BA702C4}"/>
    <cellStyle name="Normal 11 7 2 3 3 3" xfId="33461" xr:uid="{E35FB098-5050-4914-B079-24B1218971CC}"/>
    <cellStyle name="Normal 11 7 2 3 4" xfId="14282" xr:uid="{7726E77E-1E7B-4B23-8AF1-57DA1C7F14B6}"/>
    <cellStyle name="Normal 11 7 2 3 4 2" xfId="39774" xr:uid="{71E9AA5A-8F0F-4B3F-881A-02052CD9BA7A}"/>
    <cellStyle name="Normal 11 7 2 3 5" xfId="27183" xr:uid="{6702BECA-2166-4987-9F74-FDFA0491CFA4}"/>
    <cellStyle name="Normal 11 7 2 4" xfId="2877" xr:uid="{0A467738-EC65-48A9-8788-67AE2491DA13}"/>
    <cellStyle name="Normal 11 7 2 4 2" xfId="6031" xr:uid="{F421E734-B5A5-4D11-BD8A-70AD81430120}"/>
    <cellStyle name="Normal 11 7 2 4 2 2" xfId="12324" xr:uid="{0CECA005-05B7-47A3-B6F2-044F59B63445}"/>
    <cellStyle name="Normal 11 7 2 4 2 2 2" xfId="25006" xr:uid="{3A7462A8-C847-4471-8E44-61E19DEA90C2}"/>
    <cellStyle name="Normal 11 7 2 4 2 2 2 2" xfId="50498" xr:uid="{C3E2D506-2726-4CEF-95DA-84F399400CC6}"/>
    <cellStyle name="Normal 11 7 2 4 2 2 3" xfId="37907" xr:uid="{0D076E79-AFC6-4AC7-AD8F-5B460067A171}"/>
    <cellStyle name="Normal 11 7 2 4 2 3" xfId="18728" xr:uid="{207351A2-4CFD-4C5B-95A3-BF93B9E52FE5}"/>
    <cellStyle name="Normal 11 7 2 4 2 3 2" xfId="44220" xr:uid="{874D31D7-274C-4087-B3BE-77A0C3FBAEB2}"/>
    <cellStyle name="Normal 11 7 2 4 2 4" xfId="31629" xr:uid="{0A44F414-4AD8-40B9-BBB4-6576E42FC508}"/>
    <cellStyle name="Normal 11 7 2 4 3" xfId="9185" xr:uid="{CABB4395-BDB4-432C-A29A-4341FF51C095}"/>
    <cellStyle name="Normal 11 7 2 4 3 2" xfId="21867" xr:uid="{6724000F-78BC-4BE0-BA44-FFF1AE3D8B40}"/>
    <cellStyle name="Normal 11 7 2 4 3 2 2" xfId="47359" xr:uid="{6C81D383-4F4D-478E-BDE2-29368D651210}"/>
    <cellStyle name="Normal 11 7 2 4 3 3" xfId="34768" xr:uid="{5C721E39-1ADE-4CDF-B6CC-258991822297}"/>
    <cellStyle name="Normal 11 7 2 4 4" xfId="15589" xr:uid="{D39AFDC3-FBB0-4C9D-98B7-DE675E9BBB91}"/>
    <cellStyle name="Normal 11 7 2 4 4 2" xfId="41081" xr:uid="{950D2B9D-6A3F-49B7-8C95-882FC75DE7EA}"/>
    <cellStyle name="Normal 11 7 2 4 5" xfId="28490" xr:uid="{B4495CFD-27A7-4862-A149-04DD6595AE69}"/>
    <cellStyle name="Normal 11 7 2 5" xfId="3400" xr:uid="{149BB541-0064-44BD-BEDD-442BDE413336}"/>
    <cellStyle name="Normal 11 7 2 5 2" xfId="6554" xr:uid="{069727E6-F142-4C7E-A081-B1B2B9AEBC32}"/>
    <cellStyle name="Normal 11 7 2 5 2 2" xfId="12847" xr:uid="{7F4D33FF-537C-47D3-8769-A4BA7AB5CEE9}"/>
    <cellStyle name="Normal 11 7 2 5 2 2 2" xfId="25529" xr:uid="{8092820D-3B57-45FA-B4F4-3BACCFB6DD85}"/>
    <cellStyle name="Normal 11 7 2 5 2 2 2 2" xfId="51021" xr:uid="{4091800E-9F43-4732-80B1-D6389721CDFE}"/>
    <cellStyle name="Normal 11 7 2 5 2 2 3" xfId="38430" xr:uid="{F14EFCCD-ED1B-4CC3-BD42-C35CD65818D0}"/>
    <cellStyle name="Normal 11 7 2 5 2 3" xfId="19251" xr:uid="{56FD6FAC-8B93-4782-950A-FD39BF986321}"/>
    <cellStyle name="Normal 11 7 2 5 2 3 2" xfId="44743" xr:uid="{6DC0B1D8-68B0-4255-B24F-9310B44AB25F}"/>
    <cellStyle name="Normal 11 7 2 5 2 4" xfId="32152" xr:uid="{D8EE4182-79A8-4DD7-A04D-C3AEE442C463}"/>
    <cellStyle name="Normal 11 7 2 5 3" xfId="9708" xr:uid="{5AE1AE83-D8AF-4B50-97E1-7A20D1383B81}"/>
    <cellStyle name="Normal 11 7 2 5 3 2" xfId="22390" xr:uid="{AFDC341B-E360-45DB-A5E3-A5E3B27A7324}"/>
    <cellStyle name="Normal 11 7 2 5 3 2 2" xfId="47882" xr:uid="{F7F99E7C-B147-41D8-B183-C80A638457E3}"/>
    <cellStyle name="Normal 11 7 2 5 3 3" xfId="35291" xr:uid="{479FA6B9-A894-45E2-B268-ACC6051E52BB}"/>
    <cellStyle name="Normal 11 7 2 5 4" xfId="16112" xr:uid="{1A6B78C9-6E78-4C08-9CC4-E47CDA6F8A17}"/>
    <cellStyle name="Normal 11 7 2 5 4 2" xfId="41604" xr:uid="{11E014B8-89DC-4847-BE4E-342478D65CF3}"/>
    <cellStyle name="Normal 11 7 2 5 5" xfId="29013" xr:uid="{1FCB32F1-E63C-48A4-A53E-1227020884D0}"/>
    <cellStyle name="Normal 11 7 2 6" xfId="4200" xr:uid="{E88D5D34-8062-4EB7-B0AA-1C241AB597F1}"/>
    <cellStyle name="Normal 11 7 2 6 2" xfId="10493" xr:uid="{28580864-FC32-4962-951A-451330D9A71A}"/>
    <cellStyle name="Normal 11 7 2 6 2 2" xfId="23175" xr:uid="{9EB533B3-7BE5-4C9D-B9DC-710E15347871}"/>
    <cellStyle name="Normal 11 7 2 6 2 2 2" xfId="48667" xr:uid="{CDEDD067-416F-4E1A-943E-02DEEE24E844}"/>
    <cellStyle name="Normal 11 7 2 6 2 3" xfId="36076" xr:uid="{2ED089E7-3D6E-4FB9-AE69-9F956FBFF1C0}"/>
    <cellStyle name="Normal 11 7 2 6 3" xfId="16897" xr:uid="{6A3EC0E4-EE4C-45AE-B700-027494A158F3}"/>
    <cellStyle name="Normal 11 7 2 6 3 2" xfId="42389" xr:uid="{F02DF23C-002E-4359-B898-EA7A23C34E95}"/>
    <cellStyle name="Normal 11 7 2 6 4" xfId="29798" xr:uid="{3D15F50E-07D0-4DE4-B87E-525C3A17FA9C}"/>
    <cellStyle name="Normal 11 7 2 7" xfId="7354" xr:uid="{2B6BDD70-59A3-442F-92EE-EA1467B808B5}"/>
    <cellStyle name="Normal 11 7 2 7 2" xfId="20036" xr:uid="{4E934F30-B63A-4818-98C6-C14EBF0591CF}"/>
    <cellStyle name="Normal 11 7 2 7 2 2" xfId="45528" xr:uid="{28748454-293C-4067-80D3-80740A37C227}"/>
    <cellStyle name="Normal 11 7 2 7 3" xfId="32937" xr:uid="{1ACA9384-2159-4F25-A973-A5F6A4800F9E}"/>
    <cellStyle name="Normal 11 7 2 8" xfId="13758" xr:uid="{24F86934-2007-4C82-AAFD-A8EFC097B158}"/>
    <cellStyle name="Normal 11 7 2 8 2" xfId="39250" xr:uid="{AD6FB3ED-EBF3-47AE-91A2-F1FBFBFE7ABD}"/>
    <cellStyle name="Normal 11 7 2 9" xfId="26659" xr:uid="{61CB5595-FCE4-49B5-90F2-AB16783E520A}"/>
    <cellStyle name="Normal 11 7 3" xfId="786" xr:uid="{612FA58C-E779-46E2-9E12-24D9134B58FC}"/>
    <cellStyle name="Normal 11 7 3 2" xfId="2093" xr:uid="{8B5C0BD9-748D-4F4A-B0C1-520B3EC29E2A}"/>
    <cellStyle name="Normal 11 7 3 2 2" xfId="5247" xr:uid="{5EA569DB-D59B-4FE2-8170-748858B7A6AE}"/>
    <cellStyle name="Normal 11 7 3 2 2 2" xfId="11540" xr:uid="{088EF46C-C706-4FA4-9C1B-9E1240104E98}"/>
    <cellStyle name="Normal 11 7 3 2 2 2 2" xfId="24222" xr:uid="{25732E89-C6CE-4FC1-AAE6-71A7D62F3ED9}"/>
    <cellStyle name="Normal 11 7 3 2 2 2 2 2" xfId="49714" xr:uid="{4808275B-7B5F-4859-A575-58F5B12945EE}"/>
    <cellStyle name="Normal 11 7 3 2 2 2 3" xfId="37123" xr:uid="{F1C0191F-FE8F-4EC0-8658-354298527733}"/>
    <cellStyle name="Normal 11 7 3 2 2 3" xfId="17944" xr:uid="{45E963F1-8E53-460C-B1B1-2001852EF036}"/>
    <cellStyle name="Normal 11 7 3 2 2 3 2" xfId="43436" xr:uid="{C369EDDD-4CF3-4637-86FB-7BF163D2E05E}"/>
    <cellStyle name="Normal 11 7 3 2 2 4" xfId="30845" xr:uid="{68EDA998-806B-4A75-8CAA-F60ADDC55030}"/>
    <cellStyle name="Normal 11 7 3 2 3" xfId="8401" xr:uid="{5B40126A-B027-4ECD-9427-E3C944FA59A8}"/>
    <cellStyle name="Normal 11 7 3 2 3 2" xfId="21083" xr:uid="{DEC5D532-8B2C-4418-A900-AD78D272BF7D}"/>
    <cellStyle name="Normal 11 7 3 2 3 2 2" xfId="46575" xr:uid="{7EF856E0-72C0-41AF-AFC6-2A5CA7989215}"/>
    <cellStyle name="Normal 11 7 3 2 3 3" xfId="33984" xr:uid="{A8027DD1-7064-40A2-B905-60D10E3123A9}"/>
    <cellStyle name="Normal 11 7 3 2 4" xfId="14805" xr:uid="{E40B9ADA-07E6-4718-A793-CAF60877CDFE}"/>
    <cellStyle name="Normal 11 7 3 2 4 2" xfId="40297" xr:uid="{65FA4516-4FCD-402F-B582-1ACFE504242F}"/>
    <cellStyle name="Normal 11 7 3 2 5" xfId="27706" xr:uid="{6E4F33D5-BFDB-4FDC-A5AA-528060B06075}"/>
    <cellStyle name="Normal 11 7 3 3" xfId="3940" xr:uid="{A069C98A-BA01-4122-9C10-3348BC373266}"/>
    <cellStyle name="Normal 11 7 3 3 2" xfId="10233" xr:uid="{DE9EBD58-8DC6-4378-816A-0FE43621FCC8}"/>
    <cellStyle name="Normal 11 7 3 3 2 2" xfId="22915" xr:uid="{96E908F2-3DBB-4BC9-8549-79F83FB3490C}"/>
    <cellStyle name="Normal 11 7 3 3 2 2 2" xfId="48407" xr:uid="{6E92B000-6AA9-4CF1-8EEC-353C77309590}"/>
    <cellStyle name="Normal 11 7 3 3 2 3" xfId="35816" xr:uid="{6DC4F309-5478-4DB5-9A3E-16A08F02B1FC}"/>
    <cellStyle name="Normal 11 7 3 3 3" xfId="16637" xr:uid="{955EC9E8-D4E0-45C9-B8C3-5C57BB804E1A}"/>
    <cellStyle name="Normal 11 7 3 3 3 2" xfId="42129" xr:uid="{6D13D255-0266-4431-8ADB-94423D296D74}"/>
    <cellStyle name="Normal 11 7 3 3 4" xfId="29538" xr:uid="{F0FCB5BC-3E40-4300-961D-3F50B80C3204}"/>
    <cellStyle name="Normal 11 7 3 4" xfId="7094" xr:uid="{F2B2EFB5-B80C-49B7-A07F-823211CA840F}"/>
    <cellStyle name="Normal 11 7 3 4 2" xfId="19776" xr:uid="{085CA7EC-AE03-4E3B-8ACB-EED97FB86D65}"/>
    <cellStyle name="Normal 11 7 3 4 2 2" xfId="45268" xr:uid="{45875AD9-46EF-4813-8D62-07A33A6574C4}"/>
    <cellStyle name="Normal 11 7 3 4 3" xfId="32677" xr:uid="{A36FB678-3C03-4408-B1C3-25A206883DF1}"/>
    <cellStyle name="Normal 11 7 3 5" xfId="13498" xr:uid="{477A6A22-8F5A-4E6E-9635-8FFFA676B22E}"/>
    <cellStyle name="Normal 11 7 3 5 2" xfId="38990" xr:uid="{0C0A148A-374D-490C-88B2-293DC02CA1A7}"/>
    <cellStyle name="Normal 11 7 3 6" xfId="26399" xr:uid="{93967179-03BC-4B07-91E3-046F37BED6F4}"/>
    <cellStyle name="Normal 11 7 4" xfId="1831" xr:uid="{0BA7C50A-61A4-49C6-93FE-D4D0F6FCD81A}"/>
    <cellStyle name="Normal 11 7 4 2" xfId="4985" xr:uid="{38D38A85-0DA4-4802-B2C1-FE354B2F9B13}"/>
    <cellStyle name="Normal 11 7 4 2 2" xfId="11278" xr:uid="{6B2F2CEE-AB84-475C-9890-61B6B0ADB49F}"/>
    <cellStyle name="Normal 11 7 4 2 2 2" xfId="23960" xr:uid="{3E350F1D-5C9E-4984-BE4E-F750A527ECB0}"/>
    <cellStyle name="Normal 11 7 4 2 2 2 2" xfId="49452" xr:uid="{BDB31C80-D577-4AE4-96A3-0CD3CBB468D7}"/>
    <cellStyle name="Normal 11 7 4 2 2 3" xfId="36861" xr:uid="{68DE7CDC-13C0-48DF-8188-D1528D6D5956}"/>
    <cellStyle name="Normal 11 7 4 2 3" xfId="17682" xr:uid="{67E7810F-A583-4277-A57D-667E98EF8DE5}"/>
    <cellStyle name="Normal 11 7 4 2 3 2" xfId="43174" xr:uid="{4675A118-C23E-48C3-9345-95BA26CBBA2D}"/>
    <cellStyle name="Normal 11 7 4 2 4" xfId="30583" xr:uid="{6A9D3927-9F83-49B4-A65E-DAF5497FF2CF}"/>
    <cellStyle name="Normal 11 7 4 3" xfId="8139" xr:uid="{8614478C-E643-42B1-BE21-69F1C20B3355}"/>
    <cellStyle name="Normal 11 7 4 3 2" xfId="20821" xr:uid="{4555B2B7-D107-41B5-9ADF-E0BE630A06EB}"/>
    <cellStyle name="Normal 11 7 4 3 2 2" xfId="46313" xr:uid="{6337E28D-594E-475D-8D7C-357FC1F0B0FA}"/>
    <cellStyle name="Normal 11 7 4 3 3" xfId="33722" xr:uid="{977668CC-110C-4C13-B36D-7429C4809B96}"/>
    <cellStyle name="Normal 11 7 4 4" xfId="14543" xr:uid="{C0C47CD8-4381-4153-9559-37EE2701CF7E}"/>
    <cellStyle name="Normal 11 7 4 4 2" xfId="40035" xr:uid="{B4739C35-B0DC-41CE-8ECE-D05DC749DADD}"/>
    <cellStyle name="Normal 11 7 4 5" xfId="27444" xr:uid="{5F928685-CFD7-4DCB-AB93-C3BC3BDD8125}"/>
    <cellStyle name="Normal 11 7 5" xfId="1309" xr:uid="{DCD028AF-0C51-4C30-BE8D-8945D6B8526A}"/>
    <cellStyle name="Normal 11 7 5 2" xfId="4463" xr:uid="{D6190873-0287-4D0D-A22D-B6C364C16C63}"/>
    <cellStyle name="Normal 11 7 5 2 2" xfId="10756" xr:uid="{519502B4-5109-468E-8922-FA50498FD2E8}"/>
    <cellStyle name="Normal 11 7 5 2 2 2" xfId="23438" xr:uid="{27A82D10-E5A8-4393-9439-F77710843B92}"/>
    <cellStyle name="Normal 11 7 5 2 2 2 2" xfId="48930" xr:uid="{6C0D8D03-97DB-4AC1-8C3A-6969D1C9965A}"/>
    <cellStyle name="Normal 11 7 5 2 2 3" xfId="36339" xr:uid="{95D91233-CC9E-405C-84C3-3A7BAEB5666D}"/>
    <cellStyle name="Normal 11 7 5 2 3" xfId="17160" xr:uid="{395894ED-F7B3-463C-A387-F1E1295B3212}"/>
    <cellStyle name="Normal 11 7 5 2 3 2" xfId="42652" xr:uid="{B0CB30B0-7E8E-40C9-94E1-3359A834D08B}"/>
    <cellStyle name="Normal 11 7 5 2 4" xfId="30061" xr:uid="{9636D172-1398-48AB-84B1-78DA422990BD}"/>
    <cellStyle name="Normal 11 7 5 3" xfId="7617" xr:uid="{909622BF-86D0-4BC6-B7BC-3717DAC4AA26}"/>
    <cellStyle name="Normal 11 7 5 3 2" xfId="20299" xr:uid="{71AB6E63-9548-4DAC-8AE8-DAAA0BD71A5D}"/>
    <cellStyle name="Normal 11 7 5 3 2 2" xfId="45791" xr:uid="{17F61F76-43DA-44A2-8567-C7746567AC25}"/>
    <cellStyle name="Normal 11 7 5 3 3" xfId="33200" xr:uid="{AA3E0926-4F9A-4D62-BF7D-7221D5000BB2}"/>
    <cellStyle name="Normal 11 7 5 4" xfId="14021" xr:uid="{40A7B606-0A25-4742-93E2-B7BC7D339AD3}"/>
    <cellStyle name="Normal 11 7 5 4 2" xfId="39513" xr:uid="{08A7DEE4-0625-4BEE-90DE-3F58E964A5CA}"/>
    <cellStyle name="Normal 11 7 5 5" xfId="26922" xr:uid="{9A465FEE-EA7D-4341-A657-41309D0B7FF3}"/>
    <cellStyle name="Normal 11 7 6" xfId="2616" xr:uid="{1BC88545-EF6D-4EB9-9C74-DDD99B3BD89F}"/>
    <cellStyle name="Normal 11 7 6 2" xfId="5770" xr:uid="{1301F985-ADE0-4D05-A2A8-E907937CDFA5}"/>
    <cellStyle name="Normal 11 7 6 2 2" xfId="12063" xr:uid="{26F5B4D9-1DB7-4BA1-BF65-78F13BA1B882}"/>
    <cellStyle name="Normal 11 7 6 2 2 2" xfId="24745" xr:uid="{1880FDBF-A126-4837-B4B0-CB8431F73EE2}"/>
    <cellStyle name="Normal 11 7 6 2 2 2 2" xfId="50237" xr:uid="{F968ED31-599D-4694-B9D4-946E52D23953}"/>
    <cellStyle name="Normal 11 7 6 2 2 3" xfId="37646" xr:uid="{1E81C679-6DBF-4E18-83DA-57159B184CB9}"/>
    <cellStyle name="Normal 11 7 6 2 3" xfId="18467" xr:uid="{B6C67BE3-14E4-4171-B96F-85F1F2A8D756}"/>
    <cellStyle name="Normal 11 7 6 2 3 2" xfId="43959" xr:uid="{F9849B6D-81FD-4D00-877F-1522D7943A0B}"/>
    <cellStyle name="Normal 11 7 6 2 4" xfId="31368" xr:uid="{33D8FED8-AA98-494A-B791-5F5808CDC65E}"/>
    <cellStyle name="Normal 11 7 6 3" xfId="8924" xr:uid="{840882AB-D384-4F7C-84B5-017C36EE6300}"/>
    <cellStyle name="Normal 11 7 6 3 2" xfId="21606" xr:uid="{82BF37AB-EFFE-4AE9-8B9D-B6D22DEC3730}"/>
    <cellStyle name="Normal 11 7 6 3 2 2" xfId="47098" xr:uid="{4A740A95-7EDC-48B7-B109-8FF7A96FF723}"/>
    <cellStyle name="Normal 11 7 6 3 3" xfId="34507" xr:uid="{A443AEC1-B1AF-4C24-BE39-86368559DC3A}"/>
    <cellStyle name="Normal 11 7 6 4" xfId="15328" xr:uid="{AC965590-CE64-4466-9908-FC9FF34C9815}"/>
    <cellStyle name="Normal 11 7 6 4 2" xfId="40820" xr:uid="{4A34F424-2ED7-4D81-8B0E-3EAB7D0F42B6}"/>
    <cellStyle name="Normal 11 7 6 5" xfId="28229" xr:uid="{617E6FD0-4308-4A79-86B5-15CBA6203001}"/>
    <cellStyle name="Normal 11 7 7" xfId="3139" xr:uid="{4C8156F5-8D9D-4818-9DD4-0E168AD9DD99}"/>
    <cellStyle name="Normal 11 7 7 2" xfId="6293" xr:uid="{CE45BC2A-4DEB-469D-894B-160F4B0E312E}"/>
    <cellStyle name="Normal 11 7 7 2 2" xfId="12586" xr:uid="{4C819CCF-991A-4177-A711-BBBEC485EEEB}"/>
    <cellStyle name="Normal 11 7 7 2 2 2" xfId="25268" xr:uid="{BA2AD38E-DB5B-4259-AAB8-34F4A434FD10}"/>
    <cellStyle name="Normal 11 7 7 2 2 2 2" xfId="50760" xr:uid="{02305136-649A-4461-9ED6-83913DF24C6F}"/>
    <cellStyle name="Normal 11 7 7 2 2 3" xfId="38169" xr:uid="{A1B5B453-9A40-48E2-B175-D4DCE6B6EC65}"/>
    <cellStyle name="Normal 11 7 7 2 3" xfId="18990" xr:uid="{AFC223C2-1C89-43F9-B56F-4D86A873BD81}"/>
    <cellStyle name="Normal 11 7 7 2 3 2" xfId="44482" xr:uid="{1D1655DA-B343-45D0-9070-23CA2457E834}"/>
    <cellStyle name="Normal 11 7 7 2 4" xfId="31891" xr:uid="{F94FCAD6-47EC-4DB6-B66E-F68F2763C35C}"/>
    <cellStyle name="Normal 11 7 7 3" xfId="9447" xr:uid="{9BA899B4-CB08-4201-8977-3B344C2AFD31}"/>
    <cellStyle name="Normal 11 7 7 3 2" xfId="22129" xr:uid="{8ADB263C-9E9F-4DFB-BCA0-7E64D55A863B}"/>
    <cellStyle name="Normal 11 7 7 3 2 2" xfId="47621" xr:uid="{8EECDB83-E3D3-4842-AE5A-945AA8BAE119}"/>
    <cellStyle name="Normal 11 7 7 3 3" xfId="35030" xr:uid="{4705FDC3-4AB9-4712-A51A-456EA9AFF629}"/>
    <cellStyle name="Normal 11 7 7 4" xfId="15851" xr:uid="{E5D4A92A-4180-494D-B3E4-76D823B0F5E6}"/>
    <cellStyle name="Normal 11 7 7 4 2" xfId="41343" xr:uid="{ACDE1971-AA50-4F6F-B28B-848D18BFE4F4}"/>
    <cellStyle name="Normal 11 7 7 5" xfId="28752" xr:uid="{9F735079-AEF4-4A07-93D4-6DA95AA2DAA6}"/>
    <cellStyle name="Normal 11 7 8" xfId="3678" xr:uid="{9C3D9049-77BD-4684-9CE2-B140B0C0580A}"/>
    <cellStyle name="Normal 11 7 8 2" xfId="9971" xr:uid="{30A80371-1BAA-4F85-901D-D4D0508F9812}"/>
    <cellStyle name="Normal 11 7 8 2 2" xfId="22653" xr:uid="{62738015-94A7-4628-ABC2-A12C2843CF61}"/>
    <cellStyle name="Normal 11 7 8 2 2 2" xfId="48145" xr:uid="{D09E214F-D63E-4083-9279-57BE4A6B9D21}"/>
    <cellStyle name="Normal 11 7 8 2 3" xfId="35554" xr:uid="{6A80539B-65F0-4046-8C15-4A5146334980}"/>
    <cellStyle name="Normal 11 7 8 3" xfId="16375" xr:uid="{FA29572F-6A02-43B1-B7FB-1C7FEF83965A}"/>
    <cellStyle name="Normal 11 7 8 3 2" xfId="41867" xr:uid="{45FCF599-C379-4379-A936-1933A02E7BEC}"/>
    <cellStyle name="Normal 11 7 8 4" xfId="29276" xr:uid="{7B5D20F4-9CEA-4902-9CE7-1E4DFBBA9610}"/>
    <cellStyle name="Normal 11 7 9" xfId="6832" xr:uid="{29A9BBBA-4328-49F8-9C1D-19A8C9B6A7B6}"/>
    <cellStyle name="Normal 11 7 9 2" xfId="19514" xr:uid="{56B284FF-C0CB-4670-9715-78BC04493285}"/>
    <cellStyle name="Normal 11 7 9 2 2" xfId="45006" xr:uid="{A4600498-3BFA-4423-8509-23739F764EA7}"/>
    <cellStyle name="Normal 11 7 9 3" xfId="32415" xr:uid="{8BF4E590-8D64-4421-A453-687D66B5B19B}"/>
    <cellStyle name="Normal 11 8" xfId="945" xr:uid="{EBB79DD9-6405-480E-B373-1F23D81F6220}"/>
    <cellStyle name="Normal 11 8 2" xfId="2252" xr:uid="{B99890C1-F99C-435D-B0D5-138BCEA55B4A}"/>
    <cellStyle name="Normal 11 8 2 2" xfId="5406" xr:uid="{B56C2536-691C-452B-8118-B4B4F2A48E0E}"/>
    <cellStyle name="Normal 11 8 2 2 2" xfId="11699" xr:uid="{C5A1DF9F-EA67-403A-AB97-B2F7D73D516E}"/>
    <cellStyle name="Normal 11 8 2 2 2 2" xfId="24381" xr:uid="{AB91C2BA-65A9-4FE3-B54C-035571173483}"/>
    <cellStyle name="Normal 11 8 2 2 2 2 2" xfId="49873" xr:uid="{F64ABCD8-1BFF-4DB3-8F1C-AC76458B6451}"/>
    <cellStyle name="Normal 11 8 2 2 2 3" xfId="37282" xr:uid="{ACE7BC67-9ADC-4048-9997-700DFB1FF895}"/>
    <cellStyle name="Normal 11 8 2 2 3" xfId="18103" xr:uid="{CB45600C-7BD3-42A8-B4C7-3D0ACE95B9E1}"/>
    <cellStyle name="Normal 11 8 2 2 3 2" xfId="43595" xr:uid="{3F68F34A-1194-4152-A758-A0605B53A507}"/>
    <cellStyle name="Normal 11 8 2 2 4" xfId="31004" xr:uid="{0E9D7B4E-1B81-4B78-87C0-2712296F36E1}"/>
    <cellStyle name="Normal 11 8 2 3" xfId="8560" xr:uid="{6EBC328A-7E4D-4ED9-B917-C7755F4CE5F5}"/>
    <cellStyle name="Normal 11 8 2 3 2" xfId="21242" xr:uid="{891227CC-D271-44BB-A36A-1FEDD5719CE3}"/>
    <cellStyle name="Normal 11 8 2 3 2 2" xfId="46734" xr:uid="{2593C493-9187-41C1-B28D-BADC97F04D88}"/>
    <cellStyle name="Normal 11 8 2 3 3" xfId="34143" xr:uid="{9C267B51-6F3F-4DD0-B5BB-1C4650D1D9DC}"/>
    <cellStyle name="Normal 11 8 2 4" xfId="14964" xr:uid="{B221E7CF-090B-438A-BC6F-E12F45FC6815}"/>
    <cellStyle name="Normal 11 8 2 4 2" xfId="40456" xr:uid="{60C90ABF-FF15-40FE-B1A7-86216BFD90FE}"/>
    <cellStyle name="Normal 11 8 2 5" xfId="27865" xr:uid="{CE563331-2922-41E5-B46F-853B79C5939F}"/>
    <cellStyle name="Normal 11 8 3" xfId="1469" xr:uid="{4A485B36-A424-4487-9B2B-EEF79BD9053E}"/>
    <cellStyle name="Normal 11 8 3 2" xfId="4623" xr:uid="{1545FB2D-D544-4D07-98C7-D46C3FA2CB00}"/>
    <cellStyle name="Normal 11 8 3 2 2" xfId="10916" xr:uid="{D6BAFC79-1FCB-48C6-9DF3-FF10043BEC01}"/>
    <cellStyle name="Normal 11 8 3 2 2 2" xfId="23598" xr:uid="{5CC608C9-A0A7-4189-8DDB-A717C05F2472}"/>
    <cellStyle name="Normal 11 8 3 2 2 2 2" xfId="49090" xr:uid="{9E04BB41-E1C0-4A99-ACEA-F8729DA9BD01}"/>
    <cellStyle name="Normal 11 8 3 2 2 3" xfId="36499" xr:uid="{629803F2-635F-4367-A74F-94875F38FC19}"/>
    <cellStyle name="Normal 11 8 3 2 3" xfId="17320" xr:uid="{326D97A4-3018-4DFA-B6BC-33A77EA5F3EA}"/>
    <cellStyle name="Normal 11 8 3 2 3 2" xfId="42812" xr:uid="{266909FF-A76B-4BDF-8B30-76E24C6ACD02}"/>
    <cellStyle name="Normal 11 8 3 2 4" xfId="30221" xr:uid="{7ECCDD2A-AF51-4AFD-BF0D-27372C6B503E}"/>
    <cellStyle name="Normal 11 8 3 3" xfId="7777" xr:uid="{24526293-B7B8-49E7-B316-35072C8DBE83}"/>
    <cellStyle name="Normal 11 8 3 3 2" xfId="20459" xr:uid="{B0402B68-7C2B-44D7-B3E4-9DC43D099A3C}"/>
    <cellStyle name="Normal 11 8 3 3 2 2" xfId="45951" xr:uid="{0B07E15E-03DE-40AF-B47B-10A70DA38FDF}"/>
    <cellStyle name="Normal 11 8 3 3 3" xfId="33360" xr:uid="{884D50FD-2692-4308-A411-CA82AA74DF92}"/>
    <cellStyle name="Normal 11 8 3 4" xfId="14181" xr:uid="{D706B9A0-B679-4CD3-A8F7-A0063BF75329}"/>
    <cellStyle name="Normal 11 8 3 4 2" xfId="39673" xr:uid="{3FFAD40E-79ED-48AB-AF16-EACBE3E0B298}"/>
    <cellStyle name="Normal 11 8 3 5" xfId="27082" xr:uid="{D12A9D33-5C39-4610-9579-792DFD1FAAF9}"/>
    <cellStyle name="Normal 11 8 4" xfId="2776" xr:uid="{D73AA920-5D41-4BD5-9DEA-20A49481D337}"/>
    <cellStyle name="Normal 11 8 4 2" xfId="5930" xr:uid="{7028C011-6518-40FB-872A-903D2F95E22E}"/>
    <cellStyle name="Normal 11 8 4 2 2" xfId="12223" xr:uid="{4005A55B-6521-45AE-8FEC-44923FD644F1}"/>
    <cellStyle name="Normal 11 8 4 2 2 2" xfId="24905" xr:uid="{999E0124-E6F7-4BCF-B767-05210817B5CD}"/>
    <cellStyle name="Normal 11 8 4 2 2 2 2" xfId="50397" xr:uid="{C3488D26-50E0-4822-970F-BE601AF6211D}"/>
    <cellStyle name="Normal 11 8 4 2 2 3" xfId="37806" xr:uid="{19937A9B-259F-4AB8-9CF5-99DE90F87E63}"/>
    <cellStyle name="Normal 11 8 4 2 3" xfId="18627" xr:uid="{E5493556-DC7F-42A9-BC7A-553E69DD1B4C}"/>
    <cellStyle name="Normal 11 8 4 2 3 2" xfId="44119" xr:uid="{8A021087-6983-497F-83D7-CD6CADAF1614}"/>
    <cellStyle name="Normal 11 8 4 2 4" xfId="31528" xr:uid="{BC7E5358-E4BF-44CB-8A71-76B737DB3DE5}"/>
    <cellStyle name="Normal 11 8 4 3" xfId="9084" xr:uid="{6503F5C0-0768-4ED9-890E-47A25EC0AE00}"/>
    <cellStyle name="Normal 11 8 4 3 2" xfId="21766" xr:uid="{B2F8F548-DD0E-4B87-BBA2-F8FF8BC59727}"/>
    <cellStyle name="Normal 11 8 4 3 2 2" xfId="47258" xr:uid="{D2AEA140-B8A1-4151-BA39-07891F6CD0DD}"/>
    <cellStyle name="Normal 11 8 4 3 3" xfId="34667" xr:uid="{5995B99B-E425-4989-9456-BCDF90C7FE61}"/>
    <cellStyle name="Normal 11 8 4 4" xfId="15488" xr:uid="{6C67868B-1822-462F-A2BF-BAD4292E5060}"/>
    <cellStyle name="Normal 11 8 4 4 2" xfId="40980" xr:uid="{C97F69D9-CE6D-4BAF-8867-7430AEC5485E}"/>
    <cellStyle name="Normal 11 8 4 5" xfId="28389" xr:uid="{6FD6A81F-B658-410A-BB8E-48B704C8589F}"/>
    <cellStyle name="Normal 11 8 5" xfId="3299" xr:uid="{5F3D78AE-0A2C-41F9-B9CC-D79922DF9DBF}"/>
    <cellStyle name="Normal 11 8 5 2" xfId="6453" xr:uid="{43BB6E2E-4C09-42D4-A8F2-87DE0BD7BCEA}"/>
    <cellStyle name="Normal 11 8 5 2 2" xfId="12746" xr:uid="{50E5DB78-1164-43F7-A951-16C9CD3A7DB8}"/>
    <cellStyle name="Normal 11 8 5 2 2 2" xfId="25428" xr:uid="{BEC96257-4CA6-44A1-BCD8-D6887763FF44}"/>
    <cellStyle name="Normal 11 8 5 2 2 2 2" xfId="50920" xr:uid="{8FF19226-26AD-4775-878A-57236FE74E61}"/>
    <cellStyle name="Normal 11 8 5 2 2 3" xfId="38329" xr:uid="{C4599C82-BF59-44AD-9A1E-00435C8385F6}"/>
    <cellStyle name="Normal 11 8 5 2 3" xfId="19150" xr:uid="{99DB17F5-9EAA-414F-9B80-04745A7782B9}"/>
    <cellStyle name="Normal 11 8 5 2 3 2" xfId="44642" xr:uid="{7441283D-898D-49CC-841A-7852E1C9ACE3}"/>
    <cellStyle name="Normal 11 8 5 2 4" xfId="32051" xr:uid="{5022479A-844F-4AB7-84DB-0C0846175D29}"/>
    <cellStyle name="Normal 11 8 5 3" xfId="9607" xr:uid="{D444CE8A-79E7-4EA5-91BD-326F6E611C99}"/>
    <cellStyle name="Normal 11 8 5 3 2" xfId="22289" xr:uid="{5A72C81F-57FE-4EDC-BAAC-FC296C103CFF}"/>
    <cellStyle name="Normal 11 8 5 3 2 2" xfId="47781" xr:uid="{82EE9F29-EECD-4DAD-ABF7-C12D04DBC6E8}"/>
    <cellStyle name="Normal 11 8 5 3 3" xfId="35190" xr:uid="{F3099959-D7D5-4FA4-81A5-811310886195}"/>
    <cellStyle name="Normal 11 8 5 4" xfId="16011" xr:uid="{5D1B82F7-1163-4FBD-B5A9-E727EB034660}"/>
    <cellStyle name="Normal 11 8 5 4 2" xfId="41503" xr:uid="{AEF679C5-FDAE-4C38-A257-307956135C39}"/>
    <cellStyle name="Normal 11 8 5 5" xfId="28912" xr:uid="{BC67AE06-6F31-430C-8C97-BA978AE4C15F}"/>
    <cellStyle name="Normal 11 8 6" xfId="4099" xr:uid="{24A0E842-BC70-4FFB-A85D-49A5763F774C}"/>
    <cellStyle name="Normal 11 8 6 2" xfId="10392" xr:uid="{D9BC3D4E-63F0-4EF5-90B2-511B0FEE795F}"/>
    <cellStyle name="Normal 11 8 6 2 2" xfId="23074" xr:uid="{BC400BC9-E9C5-4BAA-A2AC-FBE60A6CCB8E}"/>
    <cellStyle name="Normal 11 8 6 2 2 2" xfId="48566" xr:uid="{F37E68CC-5ED6-483A-B377-56A8C7C119CB}"/>
    <cellStyle name="Normal 11 8 6 2 3" xfId="35975" xr:uid="{4C1225CA-782C-4202-AEAA-1DC5CA5D5F95}"/>
    <cellStyle name="Normal 11 8 6 3" xfId="16796" xr:uid="{02F809DA-19AD-4E75-89F5-A0922C178ED5}"/>
    <cellStyle name="Normal 11 8 6 3 2" xfId="42288" xr:uid="{64BE9267-CCF1-455E-9456-2CC1752F7283}"/>
    <cellStyle name="Normal 11 8 6 4" xfId="29697" xr:uid="{0D0CEFFF-327E-491C-ACCC-0486E0E91B2B}"/>
    <cellStyle name="Normal 11 8 7" xfId="7253" xr:uid="{0397DF66-96C5-44CC-873F-CC3D158E4A8A}"/>
    <cellStyle name="Normal 11 8 7 2" xfId="19935" xr:uid="{1B89AD3E-D6EE-43E0-A21D-7FD7706D5956}"/>
    <cellStyle name="Normal 11 8 7 2 2" xfId="45427" xr:uid="{929252DC-B456-4D4D-8377-8431A2205A16}"/>
    <cellStyle name="Normal 11 8 7 3" xfId="32836" xr:uid="{120B68C0-35AA-4A98-AA09-F761AF3B2377}"/>
    <cellStyle name="Normal 11 8 8" xfId="13657" xr:uid="{53689BE9-8922-48A0-A2B2-E115DAEA47F9}"/>
    <cellStyle name="Normal 11 8 8 2" xfId="39149" xr:uid="{40433F1A-CB1C-445F-9D02-84E4534F78E6}"/>
    <cellStyle name="Normal 11 8 9" xfId="26558" xr:uid="{B4F60BAF-DDD9-46E6-BE81-D8E49F8671A9}"/>
    <cellStyle name="Normal 11 9" xfId="685" xr:uid="{A3655322-2EAE-469A-8439-ADEC28D77AA5}"/>
    <cellStyle name="Normal 11 9 2" xfId="1992" xr:uid="{DF83DBC8-D901-417C-8FA6-F952F2375465}"/>
    <cellStyle name="Normal 11 9 2 2" xfId="5146" xr:uid="{BD188965-032C-4DFB-ACE8-3C8CA5D2D84F}"/>
    <cellStyle name="Normal 11 9 2 2 2" xfId="11439" xr:uid="{6A0039F2-FFB7-444D-9429-7ACD564E8339}"/>
    <cellStyle name="Normal 11 9 2 2 2 2" xfId="24121" xr:uid="{EFC3A712-1042-4316-BC42-E484069CE257}"/>
    <cellStyle name="Normal 11 9 2 2 2 2 2" xfId="49613" xr:uid="{ABA9D59D-D3B6-4219-A90E-E2E13B56C982}"/>
    <cellStyle name="Normal 11 9 2 2 2 3" xfId="37022" xr:uid="{5D9F78A6-572C-4C45-9B5E-2A0A99428D25}"/>
    <cellStyle name="Normal 11 9 2 2 3" xfId="17843" xr:uid="{E55C55F4-2423-4E9F-8648-80D4AC810C1E}"/>
    <cellStyle name="Normal 11 9 2 2 3 2" xfId="43335" xr:uid="{70B8779E-8CAC-4C77-9F33-DC41B37A9C8A}"/>
    <cellStyle name="Normal 11 9 2 2 4" xfId="30744" xr:uid="{60C152A4-FFA4-4D10-8803-BDF827EC6277}"/>
    <cellStyle name="Normal 11 9 2 3" xfId="8300" xr:uid="{587E8537-171D-4A77-981B-95478AC60447}"/>
    <cellStyle name="Normal 11 9 2 3 2" xfId="20982" xr:uid="{20892966-4D5F-4903-8DAE-AB7A67D20680}"/>
    <cellStyle name="Normal 11 9 2 3 2 2" xfId="46474" xr:uid="{87E4EA6A-B7F1-46E4-AECF-38F61DD870DC}"/>
    <cellStyle name="Normal 11 9 2 3 3" xfId="33883" xr:uid="{9B246524-15E3-4F16-9259-0242F60C924E}"/>
    <cellStyle name="Normal 11 9 2 4" xfId="14704" xr:uid="{FA0B31C1-124A-46E2-8111-68A36908ED4D}"/>
    <cellStyle name="Normal 11 9 2 4 2" xfId="40196" xr:uid="{6A8992F7-1081-420E-A020-D24182630ADD}"/>
    <cellStyle name="Normal 11 9 2 5" xfId="27605" xr:uid="{F3A349A6-AC1E-4F41-B2B8-2CFFFABCE9D8}"/>
    <cellStyle name="Normal 11 9 3" xfId="3839" xr:uid="{D6B88DF0-FFF8-44C1-8CCF-8947A98B052A}"/>
    <cellStyle name="Normal 11 9 3 2" xfId="10132" xr:uid="{37EE4D47-E9C0-4703-A114-608CAE95BB23}"/>
    <cellStyle name="Normal 11 9 3 2 2" xfId="22814" xr:uid="{FD8AE976-9F00-40D0-8EA4-337A56467753}"/>
    <cellStyle name="Normal 11 9 3 2 2 2" xfId="48306" xr:uid="{FF6CFA33-46DA-4ED6-BA87-B54F52019CAC}"/>
    <cellStyle name="Normal 11 9 3 2 3" xfId="35715" xr:uid="{591F0F6B-D48B-4DB7-8752-1AEDFDC324AE}"/>
    <cellStyle name="Normal 11 9 3 3" xfId="16536" xr:uid="{1AF00D24-338A-43F9-A0ED-C33354042FC5}"/>
    <cellStyle name="Normal 11 9 3 3 2" xfId="42028" xr:uid="{1C98ECAF-3168-4645-821B-4023EC9B1F7C}"/>
    <cellStyle name="Normal 11 9 3 4" xfId="29437" xr:uid="{BAA1893C-1709-4142-B5D5-FCCCB362252E}"/>
    <cellStyle name="Normal 11 9 4" xfId="6993" xr:uid="{AFC08011-9AA3-4C52-8CF4-738247ADBB73}"/>
    <cellStyle name="Normal 11 9 4 2" xfId="19675" xr:uid="{C4C11BDF-DA02-4DDD-96E2-40C483DA918D}"/>
    <cellStyle name="Normal 11 9 4 2 2" xfId="45167" xr:uid="{39EDB44D-C875-4A78-90D5-9052FB3A9D9C}"/>
    <cellStyle name="Normal 11 9 4 3" xfId="32576" xr:uid="{1E185C70-F08A-406C-B40D-8E4C24EDCAB7}"/>
    <cellStyle name="Normal 11 9 5" xfId="13397" xr:uid="{453195FC-5F0B-4328-8AC1-DBF633C0398B}"/>
    <cellStyle name="Normal 11 9 5 2" xfId="38889" xr:uid="{BE1D7613-9C82-43C4-829B-29B6FFA5A16A}"/>
    <cellStyle name="Normal 11 9 6" xfId="26298" xr:uid="{79D49479-19F4-4108-824A-56CE4B06A2C1}"/>
    <cellStyle name="Normal 12" xfId="145" xr:uid="{8DE08A58-6EE9-47F8-9C0A-D503545BFA07}"/>
    <cellStyle name="Normal 12 10" xfId="6769" xr:uid="{536CCB76-9118-471F-8ADE-C052BB828C2A}"/>
    <cellStyle name="Normal 12 10 2" xfId="19451" xr:uid="{1F49F025-B905-409F-BE92-35A3A49D1F3C}"/>
    <cellStyle name="Normal 12 10 2 2" xfId="44943" xr:uid="{41D27E84-0002-479B-8887-D1F3C9A040C3}"/>
    <cellStyle name="Normal 12 10 3" xfId="32352" xr:uid="{2AE5FE96-2BED-4642-A654-575302044894}"/>
    <cellStyle name="Normal 12 11" xfId="13173" xr:uid="{32D6C916-C618-40A2-8A94-B105E8A6DD52}"/>
    <cellStyle name="Normal 12 11 2" xfId="38665" xr:uid="{F8E2A034-7171-4686-9588-19C3CD57F0BA}"/>
    <cellStyle name="Normal 12 12" xfId="26074" xr:uid="{FEE21997-36DB-44AD-8432-80A24CCAFE9E}"/>
    <cellStyle name="Normal 12 13" xfId="446" xr:uid="{323EB5AF-752E-4272-AE02-B812334B7235}"/>
    <cellStyle name="Normal 12 14" xfId="51385" xr:uid="{2CC327A4-4D60-44BC-85B3-B4FD49018F8E}"/>
    <cellStyle name="Normal 12 2" xfId="605" xr:uid="{3038B3B4-E4B2-45E0-A34E-DCC844BB53EE}"/>
    <cellStyle name="Normal 12 2 10" xfId="13332" xr:uid="{253EA862-52FA-4D92-95D8-8B8ECD5E4520}"/>
    <cellStyle name="Normal 12 2 10 2" xfId="38824" xr:uid="{984EEB11-9DC5-47AB-8C43-112C847F0765}"/>
    <cellStyle name="Normal 12 2 11" xfId="26233" xr:uid="{6E23D5B2-9F2D-4CDA-86AB-02EAF9019F35}"/>
    <cellStyle name="Normal 12 2 2" xfId="1142" xr:uid="{88B2542D-81C1-4617-AA67-BE594B588065}"/>
    <cellStyle name="Normal 12 2 2 2" xfId="2449" xr:uid="{35956C82-1462-4838-BE14-11238F7E3E72}"/>
    <cellStyle name="Normal 12 2 2 2 2" xfId="5603" xr:uid="{66FB6488-2D42-405C-8579-D942DD653DB9}"/>
    <cellStyle name="Normal 12 2 2 2 2 2" xfId="11896" xr:uid="{9B3D1A3A-687E-4D79-AA02-FB3063B527FB}"/>
    <cellStyle name="Normal 12 2 2 2 2 2 2" xfId="24578" xr:uid="{50420BEB-CE29-436C-91BB-C4F1C44CF0F9}"/>
    <cellStyle name="Normal 12 2 2 2 2 2 2 2" xfId="50070" xr:uid="{DEF66399-325F-456F-9BDB-E04D440BD017}"/>
    <cellStyle name="Normal 12 2 2 2 2 2 3" xfId="37479" xr:uid="{E23B9D38-5B09-43C0-AD3E-BE950D03A3D8}"/>
    <cellStyle name="Normal 12 2 2 2 2 3" xfId="18300" xr:uid="{0F5D1644-9AAF-407D-B9DE-AF06290B3A96}"/>
    <cellStyle name="Normal 12 2 2 2 2 3 2" xfId="43792" xr:uid="{68082AF3-36CD-4F0F-B6E6-FBA545441BE8}"/>
    <cellStyle name="Normal 12 2 2 2 2 4" xfId="31201" xr:uid="{48606732-C2BC-494C-AA56-5608A50C82F8}"/>
    <cellStyle name="Normal 12 2 2 2 3" xfId="8757" xr:uid="{22885F31-024E-488E-A9E4-6ECB25D5C10E}"/>
    <cellStyle name="Normal 12 2 2 2 3 2" xfId="21439" xr:uid="{97800313-3E5C-4204-8F92-9BEB8B9252A3}"/>
    <cellStyle name="Normal 12 2 2 2 3 2 2" xfId="46931" xr:uid="{9F731505-1BBD-4FA7-BA69-C51863CBF5BA}"/>
    <cellStyle name="Normal 12 2 2 2 3 3" xfId="34340" xr:uid="{FD76ECB4-DA0C-48D2-9D31-47F7878CF0E5}"/>
    <cellStyle name="Normal 12 2 2 2 4" xfId="15161" xr:uid="{EBAA6A2A-206B-43B9-BF13-0449B529C3A4}"/>
    <cellStyle name="Normal 12 2 2 2 4 2" xfId="40653" xr:uid="{87A074EA-2127-4A2A-B99E-BBF598D9070D}"/>
    <cellStyle name="Normal 12 2 2 2 5" xfId="28062" xr:uid="{329E78D4-6398-4420-A824-4C9C73DDDAC1}"/>
    <cellStyle name="Normal 12 2 2 3" xfId="1666" xr:uid="{385C6D2F-5FC2-4D9D-B993-9A73611B64B8}"/>
    <cellStyle name="Normal 12 2 2 3 2" xfId="4820" xr:uid="{8A594DB3-557C-42DA-94DF-02C7EE44A425}"/>
    <cellStyle name="Normal 12 2 2 3 2 2" xfId="11113" xr:uid="{449B1164-6E2C-43DB-959D-2706CF723FC2}"/>
    <cellStyle name="Normal 12 2 2 3 2 2 2" xfId="23795" xr:uid="{179F3887-C6F3-48F5-8F30-D4B80BE1EC9F}"/>
    <cellStyle name="Normal 12 2 2 3 2 2 2 2" xfId="49287" xr:uid="{DF64D13C-F76D-4E5D-867D-8CCF2A4E412A}"/>
    <cellStyle name="Normal 12 2 2 3 2 2 3" xfId="36696" xr:uid="{999EBE4F-9822-4FF4-9199-16CA51C7A7EE}"/>
    <cellStyle name="Normal 12 2 2 3 2 3" xfId="17517" xr:uid="{E6BE9522-363C-4AC1-8F9B-2174377354A5}"/>
    <cellStyle name="Normal 12 2 2 3 2 3 2" xfId="43009" xr:uid="{F3D50790-AB27-4A39-9E47-FD361AA4CB5D}"/>
    <cellStyle name="Normal 12 2 2 3 2 4" xfId="30418" xr:uid="{A104914B-422B-4C99-84FD-E62EE57F8B65}"/>
    <cellStyle name="Normal 12 2 2 3 3" xfId="7974" xr:uid="{37EF7E43-08B6-4E15-9B69-FC9C7BA3A498}"/>
    <cellStyle name="Normal 12 2 2 3 3 2" xfId="20656" xr:uid="{414A85B9-6CD8-4C1B-9E45-DCAA11F5D101}"/>
    <cellStyle name="Normal 12 2 2 3 3 2 2" xfId="46148" xr:uid="{FA415F09-940B-4E8A-8B65-978C8CD071A3}"/>
    <cellStyle name="Normal 12 2 2 3 3 3" xfId="33557" xr:uid="{F0A4DD00-878F-4FA5-8B4F-E8B40FB7904B}"/>
    <cellStyle name="Normal 12 2 2 3 4" xfId="14378" xr:uid="{F15D9678-F0E5-4BDA-A76A-C1E97F23871B}"/>
    <cellStyle name="Normal 12 2 2 3 4 2" xfId="39870" xr:uid="{6065863E-C656-47A1-AF86-2EE1BA636C26}"/>
    <cellStyle name="Normal 12 2 2 3 5" xfId="27279" xr:uid="{3600AB57-9B40-4AFA-BB0F-A2EF4D55F677}"/>
    <cellStyle name="Normal 12 2 2 4" xfId="2973" xr:uid="{FA23AD81-0DAE-4458-8287-5D4C59024DF1}"/>
    <cellStyle name="Normal 12 2 2 4 2" xfId="6127" xr:uid="{BCA01CFC-1CB9-47AA-A7D2-224AB8518E7D}"/>
    <cellStyle name="Normal 12 2 2 4 2 2" xfId="12420" xr:uid="{537561BE-D92E-4A60-B076-A64450187C0C}"/>
    <cellStyle name="Normal 12 2 2 4 2 2 2" xfId="25102" xr:uid="{BCD73E66-7019-466A-B8E9-D7E2CEE9E1FB}"/>
    <cellStyle name="Normal 12 2 2 4 2 2 2 2" xfId="50594" xr:uid="{92BFEA0D-C508-49C4-9FCE-AF8058B1F904}"/>
    <cellStyle name="Normal 12 2 2 4 2 2 3" xfId="38003" xr:uid="{6EB19AEF-B3F7-44EE-869C-F3FB1481D034}"/>
    <cellStyle name="Normal 12 2 2 4 2 3" xfId="18824" xr:uid="{A5D5F1CC-A2EE-497C-9462-8D35588541BA}"/>
    <cellStyle name="Normal 12 2 2 4 2 3 2" xfId="44316" xr:uid="{9625E5F8-B12A-45ED-830F-777445022966}"/>
    <cellStyle name="Normal 12 2 2 4 2 4" xfId="31725" xr:uid="{53298A15-7F58-4321-AC08-BF5BDB09308A}"/>
    <cellStyle name="Normal 12 2 2 4 3" xfId="9281" xr:uid="{6960D74A-AFD5-4EA2-82DE-9A6C189DCD24}"/>
    <cellStyle name="Normal 12 2 2 4 3 2" xfId="21963" xr:uid="{CC76F9C4-09F5-43C2-B5DA-33F3ACB4A8E9}"/>
    <cellStyle name="Normal 12 2 2 4 3 2 2" xfId="47455" xr:uid="{040FDF8E-7F3F-4166-9D04-CECAE9A2AE9D}"/>
    <cellStyle name="Normal 12 2 2 4 3 3" xfId="34864" xr:uid="{4D903ACF-4CDB-455F-A088-F80269D6F59F}"/>
    <cellStyle name="Normal 12 2 2 4 4" xfId="15685" xr:uid="{B4414B14-D2F5-4505-B968-0AB0C9284337}"/>
    <cellStyle name="Normal 12 2 2 4 4 2" xfId="41177" xr:uid="{D4B694ED-DECB-4509-B2F8-174E03F98FCD}"/>
    <cellStyle name="Normal 12 2 2 4 5" xfId="28586" xr:uid="{77AE2391-69D5-494E-978D-424029F30106}"/>
    <cellStyle name="Normal 12 2 2 5" xfId="3496" xr:uid="{8DD50561-9B48-4A5C-BE80-D069BE4A403D}"/>
    <cellStyle name="Normal 12 2 2 5 2" xfId="6650" xr:uid="{5B7A0352-6B37-4273-BFC6-BEED9460658D}"/>
    <cellStyle name="Normal 12 2 2 5 2 2" xfId="12943" xr:uid="{CED4934C-3B21-41BE-8BAC-993BD1123A59}"/>
    <cellStyle name="Normal 12 2 2 5 2 2 2" xfId="25625" xr:uid="{14AE7AA4-9F2F-4D3F-AE40-36EC43523138}"/>
    <cellStyle name="Normal 12 2 2 5 2 2 2 2" xfId="51117" xr:uid="{3380AB15-98F3-4D28-8A13-3BE0556716C4}"/>
    <cellStyle name="Normal 12 2 2 5 2 2 3" xfId="38526" xr:uid="{3B82DE63-4D3D-4905-8FAC-A44CB5EC03CB}"/>
    <cellStyle name="Normal 12 2 2 5 2 3" xfId="19347" xr:uid="{BCA7F342-A3F8-4AD8-9F70-08077A1A3C99}"/>
    <cellStyle name="Normal 12 2 2 5 2 3 2" xfId="44839" xr:uid="{81E305AF-59D7-4E29-A823-3FB8623C0446}"/>
    <cellStyle name="Normal 12 2 2 5 2 4" xfId="32248" xr:uid="{B84F04C1-DBB6-4A1A-AA13-76BBFFC82339}"/>
    <cellStyle name="Normal 12 2 2 5 3" xfId="9804" xr:uid="{11FB663E-8F0E-4414-B2AD-D09CE2FC7604}"/>
    <cellStyle name="Normal 12 2 2 5 3 2" xfId="22486" xr:uid="{D07E2091-CFCB-4AF2-8B38-6E733D4BEAB3}"/>
    <cellStyle name="Normal 12 2 2 5 3 2 2" xfId="47978" xr:uid="{F0EF53FD-E522-49B5-BB83-D399A79D997D}"/>
    <cellStyle name="Normal 12 2 2 5 3 3" xfId="35387" xr:uid="{686B1A06-4B11-49B6-B036-0D09FC8AF926}"/>
    <cellStyle name="Normal 12 2 2 5 4" xfId="16208" xr:uid="{C4196ABB-B13E-4E54-B6AD-E2E03945366A}"/>
    <cellStyle name="Normal 12 2 2 5 4 2" xfId="41700" xr:uid="{A0B2411C-8954-41C7-82D3-AD1F50D60EF1}"/>
    <cellStyle name="Normal 12 2 2 5 5" xfId="29109" xr:uid="{DE2571D3-998D-4338-8BEC-793EAFE70738}"/>
    <cellStyle name="Normal 12 2 2 6" xfId="4296" xr:uid="{9FE1E1F8-CCE4-4588-AEB5-932D111E6107}"/>
    <cellStyle name="Normal 12 2 2 6 2" xfId="10589" xr:uid="{BBFF6DE5-029A-444E-B23A-8FEB6B08E9B2}"/>
    <cellStyle name="Normal 12 2 2 6 2 2" xfId="23271" xr:uid="{BC4554A8-472C-4F08-BBDE-F89A55903E4F}"/>
    <cellStyle name="Normal 12 2 2 6 2 2 2" xfId="48763" xr:uid="{1AFA94AB-6AC9-4CB6-8456-7A53C1162FE1}"/>
    <cellStyle name="Normal 12 2 2 6 2 3" xfId="36172" xr:uid="{9A249D04-84D2-4C5C-BC19-6ED04BC2B37E}"/>
    <cellStyle name="Normal 12 2 2 6 3" xfId="16993" xr:uid="{778266D3-93D9-486A-9921-0799A14E90B9}"/>
    <cellStyle name="Normal 12 2 2 6 3 2" xfId="42485" xr:uid="{DF6ED96C-345D-4AE9-80DD-BC093FF9E88C}"/>
    <cellStyle name="Normal 12 2 2 6 4" xfId="29894" xr:uid="{B1693D47-AC40-486B-BA68-0A025CF08E4B}"/>
    <cellStyle name="Normal 12 2 2 7" xfId="7450" xr:uid="{20EA34C0-340F-473E-98DC-38D0B40A3539}"/>
    <cellStyle name="Normal 12 2 2 7 2" xfId="20132" xr:uid="{0C3DEFAE-107A-4EE8-9C44-60733E7CAA46}"/>
    <cellStyle name="Normal 12 2 2 7 2 2" xfId="45624" xr:uid="{FF499DE4-1585-4D95-B894-4402D7AD1C11}"/>
    <cellStyle name="Normal 12 2 2 7 3" xfId="33033" xr:uid="{9F3667DE-BC10-4481-B4C7-341EC401F13A}"/>
    <cellStyle name="Normal 12 2 2 8" xfId="13854" xr:uid="{29E7F66C-70E8-47CB-A74A-C2E9AAEEE8FD}"/>
    <cellStyle name="Normal 12 2 2 8 2" xfId="39346" xr:uid="{ABB2D867-C5F2-4544-B7DF-3628893FFB96}"/>
    <cellStyle name="Normal 12 2 2 9" xfId="26755" xr:uid="{C61881D4-C67D-4EB0-9AC3-D886C48C44A4}"/>
    <cellStyle name="Normal 12 2 3" xfId="882" xr:uid="{C0DD7803-AC42-4641-94BE-48D14B95CC65}"/>
    <cellStyle name="Normal 12 2 3 2" xfId="2189" xr:uid="{4ADE3C2F-AAC8-4A68-B426-DCADBF929D61}"/>
    <cellStyle name="Normal 12 2 3 2 2" xfId="5343" xr:uid="{7B846D59-2C5B-4E53-AFD6-510FFBFF4135}"/>
    <cellStyle name="Normal 12 2 3 2 2 2" xfId="11636" xr:uid="{DB39C680-160F-478B-9D0F-3B761B047F96}"/>
    <cellStyle name="Normal 12 2 3 2 2 2 2" xfId="24318" xr:uid="{552C5BDD-2978-40AE-B380-E0F350F259CC}"/>
    <cellStyle name="Normal 12 2 3 2 2 2 2 2" xfId="49810" xr:uid="{2DC4E440-D733-485B-BCF7-067CBCDC5C35}"/>
    <cellStyle name="Normal 12 2 3 2 2 2 3" xfId="37219" xr:uid="{D145FC51-98F3-4DCA-8CB7-A5D1B03337B5}"/>
    <cellStyle name="Normal 12 2 3 2 2 3" xfId="18040" xr:uid="{7018A477-7F55-4C43-876D-DFC89E5C4559}"/>
    <cellStyle name="Normal 12 2 3 2 2 3 2" xfId="43532" xr:uid="{5A299B00-D1FD-4CEB-8811-22F262259307}"/>
    <cellStyle name="Normal 12 2 3 2 2 4" xfId="30941" xr:uid="{AC9720B5-9AE1-41D3-BDAE-A0E2CD756979}"/>
    <cellStyle name="Normal 12 2 3 2 3" xfId="8497" xr:uid="{FBD96499-C5C3-4696-9713-21D9BAB18653}"/>
    <cellStyle name="Normal 12 2 3 2 3 2" xfId="21179" xr:uid="{5DE12440-6E8D-4484-861F-5E0EF900184D}"/>
    <cellStyle name="Normal 12 2 3 2 3 2 2" xfId="46671" xr:uid="{D2868769-40B3-4188-ACDD-1F29A8E35B72}"/>
    <cellStyle name="Normal 12 2 3 2 3 3" xfId="34080" xr:uid="{F8C1C820-8194-4CB2-A28C-2EE122E2F4B0}"/>
    <cellStyle name="Normal 12 2 3 2 4" xfId="14901" xr:uid="{FA88F04B-B0A4-4724-9816-1EF06AAC2BB2}"/>
    <cellStyle name="Normal 12 2 3 2 4 2" xfId="40393" xr:uid="{5966E770-8C44-46D9-8145-1DE360A5A997}"/>
    <cellStyle name="Normal 12 2 3 2 5" xfId="27802" xr:uid="{71628C70-D0DD-4B84-9AFF-46C9900A15B8}"/>
    <cellStyle name="Normal 12 2 3 3" xfId="4036" xr:uid="{70294781-4197-4883-BE7A-135CF15567C4}"/>
    <cellStyle name="Normal 12 2 3 3 2" xfId="10329" xr:uid="{4E5B7791-3285-4C22-91FE-BAAC02326818}"/>
    <cellStyle name="Normal 12 2 3 3 2 2" xfId="23011" xr:uid="{01FA2CF4-B6A3-4F03-B018-FE8A34EC337A}"/>
    <cellStyle name="Normal 12 2 3 3 2 2 2" xfId="48503" xr:uid="{992EA480-228F-4E5B-B46C-9E14A3FD56A2}"/>
    <cellStyle name="Normal 12 2 3 3 2 3" xfId="35912" xr:uid="{53A58659-5D04-4B69-B4A6-D939EB77A846}"/>
    <cellStyle name="Normal 12 2 3 3 3" xfId="16733" xr:uid="{CC283716-EC7A-4F4F-BF30-9143328450C6}"/>
    <cellStyle name="Normal 12 2 3 3 3 2" xfId="42225" xr:uid="{459BED90-A66C-4874-84F3-2E387102AB5F}"/>
    <cellStyle name="Normal 12 2 3 3 4" xfId="29634" xr:uid="{75429263-3596-4BAE-9D50-FD8979FA9D11}"/>
    <cellStyle name="Normal 12 2 3 4" xfId="7190" xr:uid="{B0841839-C567-4296-9857-BD63E401AF25}"/>
    <cellStyle name="Normal 12 2 3 4 2" xfId="19872" xr:uid="{594EA61D-B95B-4273-B002-8996DA4079F4}"/>
    <cellStyle name="Normal 12 2 3 4 2 2" xfId="45364" xr:uid="{CD8E6732-48D0-46A1-AE91-5C16CE29C1D0}"/>
    <cellStyle name="Normal 12 2 3 4 3" xfId="32773" xr:uid="{65559A1F-820C-45C1-ACB3-EA24F233BAE5}"/>
    <cellStyle name="Normal 12 2 3 5" xfId="13594" xr:uid="{6807DC0B-B95E-4D89-A0AA-54843D5052AA}"/>
    <cellStyle name="Normal 12 2 3 5 2" xfId="39086" xr:uid="{F49622CE-62D4-46AF-AA7B-E499506A5C58}"/>
    <cellStyle name="Normal 12 2 3 6" xfId="26495" xr:uid="{352A1ACA-A672-4B80-9A52-CAD6D0A7EA43}"/>
    <cellStyle name="Normal 12 2 4" xfId="1927" xr:uid="{98C8C41E-E43F-4A92-96B1-FEBB4435E3B0}"/>
    <cellStyle name="Normal 12 2 4 2" xfId="5081" xr:uid="{168EAB53-334F-4C7E-B681-01072E0C5FEA}"/>
    <cellStyle name="Normal 12 2 4 2 2" xfId="11374" xr:uid="{139DC7BD-9052-4B66-B512-7A91E7122945}"/>
    <cellStyle name="Normal 12 2 4 2 2 2" xfId="24056" xr:uid="{22B11F91-DBE7-4D72-94D4-9A067AF02969}"/>
    <cellStyle name="Normal 12 2 4 2 2 2 2" xfId="49548" xr:uid="{88BCF15A-F17C-4604-85EC-914FF65D11AE}"/>
    <cellStyle name="Normal 12 2 4 2 2 3" xfId="36957" xr:uid="{174BB65E-352B-4087-8A8C-2FCE4C7106D0}"/>
    <cellStyle name="Normal 12 2 4 2 3" xfId="17778" xr:uid="{CFE05056-235F-4281-AF8A-BFCDB13AF86B}"/>
    <cellStyle name="Normal 12 2 4 2 3 2" xfId="43270" xr:uid="{D3B848E5-1498-4901-B2CC-14FD524D337C}"/>
    <cellStyle name="Normal 12 2 4 2 4" xfId="30679" xr:uid="{E9BA6275-03CB-4BF0-9719-7E19B33DC1E0}"/>
    <cellStyle name="Normal 12 2 4 3" xfId="8235" xr:uid="{271734F5-F512-46F9-8DE5-69551C5283B9}"/>
    <cellStyle name="Normal 12 2 4 3 2" xfId="20917" xr:uid="{17E74A4C-541A-44D4-B275-B5DC4EE4B9B1}"/>
    <cellStyle name="Normal 12 2 4 3 2 2" xfId="46409" xr:uid="{0A3F51EC-C83C-42B6-8DDE-C4BBF0E906EC}"/>
    <cellStyle name="Normal 12 2 4 3 3" xfId="33818" xr:uid="{399FFACF-502E-427D-ABA4-A65447BE1506}"/>
    <cellStyle name="Normal 12 2 4 4" xfId="14639" xr:uid="{3DFD7F97-2DF6-4EC7-AF11-954797F8BC43}"/>
    <cellStyle name="Normal 12 2 4 4 2" xfId="40131" xr:uid="{687D87AC-B865-4C20-ADD1-5BB6F7201F5D}"/>
    <cellStyle name="Normal 12 2 4 5" xfId="27540" xr:uid="{2EE9CC26-B535-4AE6-B2B1-7BE2D06686C8}"/>
    <cellStyle name="Normal 12 2 5" xfId="1405" xr:uid="{CECEAB26-416D-46D7-9304-3C1396AEF439}"/>
    <cellStyle name="Normal 12 2 5 2" xfId="4559" xr:uid="{6F2B039B-7A1E-414C-9FF8-72967E79D63F}"/>
    <cellStyle name="Normal 12 2 5 2 2" xfId="10852" xr:uid="{97DA6FC2-FC26-4BEE-B57B-8AA8FBD43558}"/>
    <cellStyle name="Normal 12 2 5 2 2 2" xfId="23534" xr:uid="{B0AA7AA9-6E8F-4230-A185-BCDEFE99031B}"/>
    <cellStyle name="Normal 12 2 5 2 2 2 2" xfId="49026" xr:uid="{0259405B-EAB5-43E8-B139-C9230D196463}"/>
    <cellStyle name="Normal 12 2 5 2 2 3" xfId="36435" xr:uid="{009C2357-D8E6-4124-90B6-DF53330219D4}"/>
    <cellStyle name="Normal 12 2 5 2 3" xfId="17256" xr:uid="{87C463EF-FCA9-4F65-A822-0ED6640A23EE}"/>
    <cellStyle name="Normal 12 2 5 2 3 2" xfId="42748" xr:uid="{438124E9-07BD-4B97-90FC-455AC06EC20D}"/>
    <cellStyle name="Normal 12 2 5 2 4" xfId="30157" xr:uid="{E34104DB-1CAE-446C-A6E1-8EE613F33F19}"/>
    <cellStyle name="Normal 12 2 5 3" xfId="7713" xr:uid="{D94AC469-B365-432E-BA9C-6221D7BF12D5}"/>
    <cellStyle name="Normal 12 2 5 3 2" xfId="20395" xr:uid="{A47AB275-0CEE-4E61-8B99-DD3660A2E7FA}"/>
    <cellStyle name="Normal 12 2 5 3 2 2" xfId="45887" xr:uid="{D5396E54-DE70-4361-865E-F8BCD815C8DF}"/>
    <cellStyle name="Normal 12 2 5 3 3" xfId="33296" xr:uid="{4A70AA3E-71A6-4D9B-9351-2B362CD00B6A}"/>
    <cellStyle name="Normal 12 2 5 4" xfId="14117" xr:uid="{C75D9A14-8FB2-488F-9BFD-1AA91A71B21B}"/>
    <cellStyle name="Normal 12 2 5 4 2" xfId="39609" xr:uid="{162A2147-8A67-4E1E-9399-96580B51D865}"/>
    <cellStyle name="Normal 12 2 5 5" xfId="27018" xr:uid="{C8CF7664-56ED-4910-BABD-8A3E798CC7CC}"/>
    <cellStyle name="Normal 12 2 6" xfId="2712" xr:uid="{87877FBC-E322-4C9B-BD88-78D67BC57B05}"/>
    <cellStyle name="Normal 12 2 6 2" xfId="5866" xr:uid="{2E638446-AD73-4DA7-96D6-1917938AE3C3}"/>
    <cellStyle name="Normal 12 2 6 2 2" xfId="12159" xr:uid="{3D09A426-378B-4CE3-A145-2BF28ECA9FEE}"/>
    <cellStyle name="Normal 12 2 6 2 2 2" xfId="24841" xr:uid="{BDF3BEB8-9214-40B7-82FB-6B79351BD42B}"/>
    <cellStyle name="Normal 12 2 6 2 2 2 2" xfId="50333" xr:uid="{7414F14B-B73D-42FB-96E2-E990B4605CEE}"/>
    <cellStyle name="Normal 12 2 6 2 2 3" xfId="37742" xr:uid="{BB27C9E5-BCAC-4405-B5AF-A2B17AE94D8A}"/>
    <cellStyle name="Normal 12 2 6 2 3" xfId="18563" xr:uid="{CE4D0B10-B3AA-43B2-9A0A-95B75188F274}"/>
    <cellStyle name="Normal 12 2 6 2 3 2" xfId="44055" xr:uid="{2768BC7A-23AB-42AC-800F-C0DA00352CBB}"/>
    <cellStyle name="Normal 12 2 6 2 4" xfId="31464" xr:uid="{68D30F43-9C76-4FD7-A76C-FAB3BA79D40A}"/>
    <cellStyle name="Normal 12 2 6 3" xfId="9020" xr:uid="{FEA475FB-4F41-45E0-95E1-DFF8CCEF0DED}"/>
    <cellStyle name="Normal 12 2 6 3 2" xfId="21702" xr:uid="{5DF99FBD-913B-474C-BCAA-AC1874B99F52}"/>
    <cellStyle name="Normal 12 2 6 3 2 2" xfId="47194" xr:uid="{13759897-BA51-4173-84A3-86B50F41939A}"/>
    <cellStyle name="Normal 12 2 6 3 3" xfId="34603" xr:uid="{F1D51DC8-4CE7-40B4-A3FE-442B22DCC3C0}"/>
    <cellStyle name="Normal 12 2 6 4" xfId="15424" xr:uid="{97358533-F476-4264-807F-8A1735577F63}"/>
    <cellStyle name="Normal 12 2 6 4 2" xfId="40916" xr:uid="{8057BB8E-C923-45C8-B585-9B2A75B2CAEB}"/>
    <cellStyle name="Normal 12 2 6 5" xfId="28325" xr:uid="{D8F76F96-AFCD-43B1-8D42-630251D8B5DE}"/>
    <cellStyle name="Normal 12 2 7" xfId="3235" xr:uid="{AE201013-0DF9-4833-A82F-0B4E80E4F945}"/>
    <cellStyle name="Normal 12 2 7 2" xfId="6389" xr:uid="{2F850FAD-9AC0-4EE5-BC78-5D88CFA0438E}"/>
    <cellStyle name="Normal 12 2 7 2 2" xfId="12682" xr:uid="{70EB9EFB-6605-4E9C-91F9-C7309919F421}"/>
    <cellStyle name="Normal 12 2 7 2 2 2" xfId="25364" xr:uid="{239FA288-983C-4D8F-8D07-D2316CDC4CA6}"/>
    <cellStyle name="Normal 12 2 7 2 2 2 2" xfId="50856" xr:uid="{DF532C35-85A4-48EB-84CD-0701AA462CD9}"/>
    <cellStyle name="Normal 12 2 7 2 2 3" xfId="38265" xr:uid="{6290E59C-4BC2-4480-9D0E-1766EA1062ED}"/>
    <cellStyle name="Normal 12 2 7 2 3" xfId="19086" xr:uid="{64ECB700-6171-4A23-88AA-9DA8E76C8B74}"/>
    <cellStyle name="Normal 12 2 7 2 3 2" xfId="44578" xr:uid="{560C591A-BA18-4FB4-8EAD-85E55A8D0556}"/>
    <cellStyle name="Normal 12 2 7 2 4" xfId="31987" xr:uid="{0D87857A-6F28-48D5-9D67-B4C14AB1C541}"/>
    <cellStyle name="Normal 12 2 7 3" xfId="9543" xr:uid="{203D0953-6FEF-4D24-875C-D8AF6A1A0DD0}"/>
    <cellStyle name="Normal 12 2 7 3 2" xfId="22225" xr:uid="{A979913E-0692-41D7-9C18-88C5BC4A0219}"/>
    <cellStyle name="Normal 12 2 7 3 2 2" xfId="47717" xr:uid="{FFBD3D7C-377A-488D-BCCE-794E42557857}"/>
    <cellStyle name="Normal 12 2 7 3 3" xfId="35126" xr:uid="{7978E5BC-44FF-4D04-9A31-4DAF8DA60BD8}"/>
    <cellStyle name="Normal 12 2 7 4" xfId="15947" xr:uid="{8FBA5A3C-19FB-4C2F-BBA1-CCA1F20073D1}"/>
    <cellStyle name="Normal 12 2 7 4 2" xfId="41439" xr:uid="{BEAEBBE4-D0FA-4DA5-BF82-AB1390D39516}"/>
    <cellStyle name="Normal 12 2 7 5" xfId="28848" xr:uid="{E9812258-BF5D-4EB8-B827-449D764531C6}"/>
    <cellStyle name="Normal 12 2 8" xfId="3774" xr:uid="{FE34DE3E-F189-4E23-A2FE-8287F9F50159}"/>
    <cellStyle name="Normal 12 2 8 2" xfId="10067" xr:uid="{0253129A-7BD5-45AC-ADC2-B5E24DCBBD4D}"/>
    <cellStyle name="Normal 12 2 8 2 2" xfId="22749" xr:uid="{8C5A7308-6591-42F4-B8C8-59335980B349}"/>
    <cellStyle name="Normal 12 2 8 2 2 2" xfId="48241" xr:uid="{9885F5BF-122D-410E-8252-EA69D4189115}"/>
    <cellStyle name="Normal 12 2 8 2 3" xfId="35650" xr:uid="{1F6A57D4-F75E-4C23-B1B5-7C186F649F81}"/>
    <cellStyle name="Normal 12 2 8 3" xfId="16471" xr:uid="{8C09B4B0-8C1D-40B3-A140-966C003AE00F}"/>
    <cellStyle name="Normal 12 2 8 3 2" xfId="41963" xr:uid="{24FEC994-0883-40E9-A529-CE9C506914F5}"/>
    <cellStyle name="Normal 12 2 8 4" xfId="29372" xr:uid="{56F9F5FB-AED0-405A-BD56-6B1DC1213099}"/>
    <cellStyle name="Normal 12 2 9" xfId="6928" xr:uid="{2F0B3F3E-430F-4AB4-946E-0223E66C4F4E}"/>
    <cellStyle name="Normal 12 2 9 2" xfId="19610" xr:uid="{581C6C64-8107-4914-B929-A111186D6A62}"/>
    <cellStyle name="Normal 12 2 9 2 2" xfId="45102" xr:uid="{2EE759A2-3161-4EE5-86F6-CC961DD48DC5}"/>
    <cellStyle name="Normal 12 2 9 3" xfId="32511" xr:uid="{744F9BA6-9521-4AAD-9DC1-AF268F3D5F23}"/>
    <cellStyle name="Normal 12 3" xfId="983" xr:uid="{82B636EE-2B9A-4EAC-A5FC-4AB059F77647}"/>
    <cellStyle name="Normal 12 3 2" xfId="2290" xr:uid="{1A227C4C-1F02-4460-ABFE-999FCF8A02BB}"/>
    <cellStyle name="Normal 12 3 2 2" xfId="5444" xr:uid="{C56C4ED0-D6F9-4E25-81E7-61F93E3DD2D5}"/>
    <cellStyle name="Normal 12 3 2 2 2" xfId="11737" xr:uid="{21B05878-AA49-494E-B00D-AD0500C8658F}"/>
    <cellStyle name="Normal 12 3 2 2 2 2" xfId="24419" xr:uid="{3C5C1DB6-407B-4FC5-B93E-E3AFEA5AF56E}"/>
    <cellStyle name="Normal 12 3 2 2 2 2 2" xfId="49911" xr:uid="{9EB96716-4DBE-4C1F-8AD3-988E077DD484}"/>
    <cellStyle name="Normal 12 3 2 2 2 3" xfId="37320" xr:uid="{3EB7D3C4-798A-422B-8EA5-2D8787EC7F4B}"/>
    <cellStyle name="Normal 12 3 2 2 3" xfId="18141" xr:uid="{1FC4B8F6-B32A-455A-8651-2D793C110A17}"/>
    <cellStyle name="Normal 12 3 2 2 3 2" xfId="43633" xr:uid="{F488FDA3-290E-4DB2-8C82-7480C1D336E5}"/>
    <cellStyle name="Normal 12 3 2 2 4" xfId="31042" xr:uid="{086B0B2F-049D-40F9-BF4B-A90AFF3AEABA}"/>
    <cellStyle name="Normal 12 3 2 3" xfId="8598" xr:uid="{0256E8C9-3B53-47C3-8F2F-3FBEEA70F779}"/>
    <cellStyle name="Normal 12 3 2 3 2" xfId="21280" xr:uid="{D0873397-233D-41FD-ACAE-C21CC7C69066}"/>
    <cellStyle name="Normal 12 3 2 3 2 2" xfId="46772" xr:uid="{74E70305-984B-4CBE-9A5F-715281F5B9BE}"/>
    <cellStyle name="Normal 12 3 2 3 3" xfId="34181" xr:uid="{291A7B4C-46B3-443C-A9CC-38938F725738}"/>
    <cellStyle name="Normal 12 3 2 4" xfId="15002" xr:uid="{3527F9A6-E749-4BF8-AC88-2BA70318F58B}"/>
    <cellStyle name="Normal 12 3 2 4 2" xfId="40494" xr:uid="{F346D0C9-E136-4E6B-9FB1-7611CB4E2114}"/>
    <cellStyle name="Normal 12 3 2 5" xfId="27903" xr:uid="{C41C00BA-7C6B-4FB7-A5C4-65F2CDD80084}"/>
    <cellStyle name="Normal 12 3 3" xfId="1507" xr:uid="{C0B91531-AF5F-463F-95A3-A79554279F33}"/>
    <cellStyle name="Normal 12 3 3 2" xfId="4661" xr:uid="{3DE8F553-3445-4447-AB61-81D49B212278}"/>
    <cellStyle name="Normal 12 3 3 2 2" xfId="10954" xr:uid="{BCEFBD51-91DB-4935-B967-FCED16E3C866}"/>
    <cellStyle name="Normal 12 3 3 2 2 2" xfId="23636" xr:uid="{E392E8D7-C3AB-4D29-8569-321B64496000}"/>
    <cellStyle name="Normal 12 3 3 2 2 2 2" xfId="49128" xr:uid="{18062A6C-6A50-4FB3-B28A-685B4A41F19F}"/>
    <cellStyle name="Normal 12 3 3 2 2 3" xfId="36537" xr:uid="{8B5C7F1A-3895-464D-A519-65A9E17D8B5D}"/>
    <cellStyle name="Normal 12 3 3 2 3" xfId="17358" xr:uid="{24F5716D-2D05-417D-B042-19A56268EF20}"/>
    <cellStyle name="Normal 12 3 3 2 3 2" xfId="42850" xr:uid="{FC3F3C40-F883-4D4A-9F33-DAF3B252BCCF}"/>
    <cellStyle name="Normal 12 3 3 2 4" xfId="30259" xr:uid="{30D67BAC-B126-44D1-AC70-6EFD8BED60E1}"/>
    <cellStyle name="Normal 12 3 3 3" xfId="7815" xr:uid="{061E32F7-2450-4115-90CE-0BFF479DD516}"/>
    <cellStyle name="Normal 12 3 3 3 2" xfId="20497" xr:uid="{F14AD46E-A3C4-4739-92BB-C98666AE0D20}"/>
    <cellStyle name="Normal 12 3 3 3 2 2" xfId="45989" xr:uid="{6A9B2FDB-3F85-4400-BF45-C877FCDFDA88}"/>
    <cellStyle name="Normal 12 3 3 3 3" xfId="33398" xr:uid="{B7A827DB-4686-42C8-95B0-9EF81C529A22}"/>
    <cellStyle name="Normal 12 3 3 4" xfId="14219" xr:uid="{B4765BFB-DB70-4DE7-A278-851E6D87A2F8}"/>
    <cellStyle name="Normal 12 3 3 4 2" xfId="39711" xr:uid="{4202AA65-6DDD-4953-9E46-AA8F24AD0B6B}"/>
    <cellStyle name="Normal 12 3 3 5" xfId="27120" xr:uid="{811DF357-AD92-4E31-84DC-A642A49DC2DD}"/>
    <cellStyle name="Normal 12 3 4" xfId="2814" xr:uid="{44032E3F-F310-4485-AB7E-0EC4D8045B7E}"/>
    <cellStyle name="Normal 12 3 4 2" xfId="5968" xr:uid="{BA80DE39-3AE1-4D54-997D-2DF9BFC9C29E}"/>
    <cellStyle name="Normal 12 3 4 2 2" xfId="12261" xr:uid="{FC68195B-E7A1-499E-8460-4A8F75ADBC06}"/>
    <cellStyle name="Normal 12 3 4 2 2 2" xfId="24943" xr:uid="{54F59E05-4271-4FD9-BE0A-B959C55E9A99}"/>
    <cellStyle name="Normal 12 3 4 2 2 2 2" xfId="50435" xr:uid="{3AF05811-EE87-4D8E-8A6B-332E36A3DCA0}"/>
    <cellStyle name="Normal 12 3 4 2 2 3" xfId="37844" xr:uid="{90EF0FB3-9A65-43C8-AB28-622560F56A7D}"/>
    <cellStyle name="Normal 12 3 4 2 3" xfId="18665" xr:uid="{AD6948A8-F8FE-47F0-9B2B-FF8C398B818A}"/>
    <cellStyle name="Normal 12 3 4 2 3 2" xfId="44157" xr:uid="{0250B63D-27AA-4160-AB0F-2E147F554CCF}"/>
    <cellStyle name="Normal 12 3 4 2 4" xfId="31566" xr:uid="{BC5FE96F-CC87-4B1A-B289-90A24397BD3E}"/>
    <cellStyle name="Normal 12 3 4 3" xfId="9122" xr:uid="{C450C430-990E-4034-A16F-8522D5C6E609}"/>
    <cellStyle name="Normal 12 3 4 3 2" xfId="21804" xr:uid="{90A48576-BB5C-47D7-B574-F1DED4C1C3AE}"/>
    <cellStyle name="Normal 12 3 4 3 2 2" xfId="47296" xr:uid="{F9476CA8-F8E3-4D09-9C21-62A5EFE56B8E}"/>
    <cellStyle name="Normal 12 3 4 3 3" xfId="34705" xr:uid="{BEFA7318-A181-410D-9721-E59E7343C0E5}"/>
    <cellStyle name="Normal 12 3 4 4" xfId="15526" xr:uid="{79EDD3F3-3F33-4C43-958F-B8D915FEA7AE}"/>
    <cellStyle name="Normal 12 3 4 4 2" xfId="41018" xr:uid="{95137EB3-4322-42BB-82B9-141724D8BF00}"/>
    <cellStyle name="Normal 12 3 4 5" xfId="28427" xr:uid="{FC226598-F20B-45B1-ACE2-4BEA225EF5D5}"/>
    <cellStyle name="Normal 12 3 5" xfId="3337" xr:uid="{D6DD2E39-773B-40EA-982B-EEC37FEE4997}"/>
    <cellStyle name="Normal 12 3 5 2" xfId="6491" xr:uid="{2732D93C-1A29-4CBD-81CF-6882FD0139FB}"/>
    <cellStyle name="Normal 12 3 5 2 2" xfId="12784" xr:uid="{BE147EF8-633F-4EE7-ADC2-E743FA4718C4}"/>
    <cellStyle name="Normal 12 3 5 2 2 2" xfId="25466" xr:uid="{0A4D4B8E-9AAE-4C1C-BC61-643B4B087CD4}"/>
    <cellStyle name="Normal 12 3 5 2 2 2 2" xfId="50958" xr:uid="{6723C454-6EA7-4B76-B4B6-EDB1B22B476E}"/>
    <cellStyle name="Normal 12 3 5 2 2 3" xfId="38367" xr:uid="{385E42CD-8B06-4439-9D60-191E21C5F43B}"/>
    <cellStyle name="Normal 12 3 5 2 3" xfId="19188" xr:uid="{45C7B5A7-F156-4ADF-A8A0-31A593B7ABC6}"/>
    <cellStyle name="Normal 12 3 5 2 3 2" xfId="44680" xr:uid="{78E0B8E9-3F4A-4D4F-A0A6-A3A3B1FEB900}"/>
    <cellStyle name="Normal 12 3 5 2 4" xfId="32089" xr:uid="{99921083-579B-451D-B52B-7C925C8D7055}"/>
    <cellStyle name="Normal 12 3 5 3" xfId="9645" xr:uid="{5669621D-8B2A-4E4C-BD02-E4C5199456C6}"/>
    <cellStyle name="Normal 12 3 5 3 2" xfId="22327" xr:uid="{73B31239-A975-4B78-B03C-5E5042918AEC}"/>
    <cellStyle name="Normal 12 3 5 3 2 2" xfId="47819" xr:uid="{46C47D19-48DE-4D5F-9DC3-0800E8FCE9EE}"/>
    <cellStyle name="Normal 12 3 5 3 3" xfId="35228" xr:uid="{4FC1DBD9-1160-441A-B12C-655882CE56EB}"/>
    <cellStyle name="Normal 12 3 5 4" xfId="16049" xr:uid="{5C2A0034-1BF7-47E6-BF46-8CDEA61C23FF}"/>
    <cellStyle name="Normal 12 3 5 4 2" xfId="41541" xr:uid="{54E7C285-B078-4BE0-BCAF-A0C3F6D17944}"/>
    <cellStyle name="Normal 12 3 5 5" xfId="28950" xr:uid="{0A894ECA-E0B9-4DD7-A45C-FED617400B22}"/>
    <cellStyle name="Normal 12 3 6" xfId="4137" xr:uid="{9104FE96-7E20-4AD1-BA8C-E87A062064E8}"/>
    <cellStyle name="Normal 12 3 6 2" xfId="10430" xr:uid="{27AC67BB-48AE-458B-A8F9-23D1CF540DA0}"/>
    <cellStyle name="Normal 12 3 6 2 2" xfId="23112" xr:uid="{5D78B61C-4C3E-4735-B564-F86319BD0A48}"/>
    <cellStyle name="Normal 12 3 6 2 2 2" xfId="48604" xr:uid="{935A9610-B933-4014-B0E6-D783D1834C3C}"/>
    <cellStyle name="Normal 12 3 6 2 3" xfId="36013" xr:uid="{A967FDE0-19E6-4605-A422-B4E09702A55A}"/>
    <cellStyle name="Normal 12 3 6 3" xfId="16834" xr:uid="{41FD2F8A-AE04-4734-9638-B6E587854E51}"/>
    <cellStyle name="Normal 12 3 6 3 2" xfId="42326" xr:uid="{3E2F3813-B082-48B0-B5EE-F4874F84AA99}"/>
    <cellStyle name="Normal 12 3 6 4" xfId="29735" xr:uid="{97A842EA-65F6-4727-A127-3776E0B56974}"/>
    <cellStyle name="Normal 12 3 7" xfId="7291" xr:uid="{2FE46F13-0B53-49A6-8740-8B33977854BF}"/>
    <cellStyle name="Normal 12 3 7 2" xfId="19973" xr:uid="{01B48063-4C07-48D7-B627-9DF57F311E85}"/>
    <cellStyle name="Normal 12 3 7 2 2" xfId="45465" xr:uid="{C1F4917B-99E7-43BD-AD9C-9848692BD968}"/>
    <cellStyle name="Normal 12 3 7 3" xfId="32874" xr:uid="{9B2F2F87-C294-45B3-87AB-B8C4EC460ED5}"/>
    <cellStyle name="Normal 12 3 8" xfId="13695" xr:uid="{A1A8BF2A-B6E2-4781-830A-53983A00FF88}"/>
    <cellStyle name="Normal 12 3 8 2" xfId="39187" xr:uid="{76216E69-AD17-444F-BBB2-87CAB402DCF0}"/>
    <cellStyle name="Normal 12 3 9" xfId="26596" xr:uid="{EE283ABD-A7DB-4543-B4FB-F6773688648B}"/>
    <cellStyle name="Normal 12 4" xfId="723" xr:uid="{5B616CB7-D909-4267-AC95-E3A99449A732}"/>
    <cellStyle name="Normal 12 4 2" xfId="2030" xr:uid="{259EA2E3-7DE7-4A7A-9E6D-6B8132EEA1E7}"/>
    <cellStyle name="Normal 12 4 2 2" xfId="5184" xr:uid="{6B7E94E5-74D3-4D37-8981-C75E94CCC165}"/>
    <cellStyle name="Normal 12 4 2 2 2" xfId="11477" xr:uid="{89009C42-DB4A-4380-8D4C-97000783BD88}"/>
    <cellStyle name="Normal 12 4 2 2 2 2" xfId="24159" xr:uid="{4DF0EE9D-D0E5-420F-804B-B77B072B32AD}"/>
    <cellStyle name="Normal 12 4 2 2 2 2 2" xfId="49651" xr:uid="{F7A51AB8-EE5B-4B68-AD36-9439193E4EE7}"/>
    <cellStyle name="Normal 12 4 2 2 2 3" xfId="37060" xr:uid="{86AC93EA-615F-41B5-82D1-AF6FE1F75885}"/>
    <cellStyle name="Normal 12 4 2 2 3" xfId="17881" xr:uid="{64DCA49E-4340-4A7E-A132-2BF7633E0C52}"/>
    <cellStyle name="Normal 12 4 2 2 3 2" xfId="43373" xr:uid="{07EF372E-7A34-4295-8808-29B939603ABF}"/>
    <cellStyle name="Normal 12 4 2 2 4" xfId="30782" xr:uid="{859637E1-777D-489E-AFCE-110A0A4936AD}"/>
    <cellStyle name="Normal 12 4 2 3" xfId="8338" xr:uid="{C3709F8E-72D0-48CB-9C09-F069401B08CC}"/>
    <cellStyle name="Normal 12 4 2 3 2" xfId="21020" xr:uid="{39353AF6-A5BC-4E51-96BE-CFBAA1641ED2}"/>
    <cellStyle name="Normal 12 4 2 3 2 2" xfId="46512" xr:uid="{487EE75C-C134-4BFA-8892-89F851E3E81E}"/>
    <cellStyle name="Normal 12 4 2 3 3" xfId="33921" xr:uid="{6F515CC0-2AF5-4D13-B78F-3AE15A54FA52}"/>
    <cellStyle name="Normal 12 4 2 4" xfId="14742" xr:uid="{BCAA1C29-86E8-451A-ACC0-F3CF031D67BB}"/>
    <cellStyle name="Normal 12 4 2 4 2" xfId="40234" xr:uid="{E849C944-3616-47BB-A812-3A00AB799B50}"/>
    <cellStyle name="Normal 12 4 2 5" xfId="27643" xr:uid="{7E7DFCBF-E109-4ECC-93AC-A8E12059E7BA}"/>
    <cellStyle name="Normal 12 4 3" xfId="3877" xr:uid="{1805DE38-4313-4772-A00B-F0049A5539EB}"/>
    <cellStyle name="Normal 12 4 3 2" xfId="10170" xr:uid="{7F910BC9-17AA-4FD4-9E7A-885D0BFF8301}"/>
    <cellStyle name="Normal 12 4 3 2 2" xfId="22852" xr:uid="{29E806A7-5A9A-41E4-8237-7A1A0C114202}"/>
    <cellStyle name="Normal 12 4 3 2 2 2" xfId="48344" xr:uid="{1C1F190A-FD50-4191-85CF-A79C4E9BFFD5}"/>
    <cellStyle name="Normal 12 4 3 2 3" xfId="35753" xr:uid="{281A092A-26A6-4D29-9995-7D5060B92066}"/>
    <cellStyle name="Normal 12 4 3 3" xfId="16574" xr:uid="{D88F5C17-8E1A-4454-995F-AC6E4A7E922F}"/>
    <cellStyle name="Normal 12 4 3 3 2" xfId="42066" xr:uid="{09DE531A-413C-481C-AEF2-AC424F257B63}"/>
    <cellStyle name="Normal 12 4 3 4" xfId="29475" xr:uid="{AD954B04-F80E-4F70-BD13-FF8DEDA71438}"/>
    <cellStyle name="Normal 12 4 4" xfId="7031" xr:uid="{BBAC3A6E-E702-4915-B8CA-E22F5A85D210}"/>
    <cellStyle name="Normal 12 4 4 2" xfId="19713" xr:uid="{CE4545D2-E47A-447F-9322-0032EE700C2C}"/>
    <cellStyle name="Normal 12 4 4 2 2" xfId="45205" xr:uid="{25FC628F-2201-47CB-93FC-9888EEE14C84}"/>
    <cellStyle name="Normal 12 4 4 3" xfId="32614" xr:uid="{829FF0B9-7F63-49F7-9CE8-E4E06D6CD6E5}"/>
    <cellStyle name="Normal 12 4 5" xfId="13435" xr:uid="{A48C341B-2C65-41AC-99A8-D9E0DA4D976D}"/>
    <cellStyle name="Normal 12 4 5 2" xfId="38927" xr:uid="{60EAB9D6-FBE5-4506-B07A-50F890AEC2AB}"/>
    <cellStyle name="Normal 12 4 6" xfId="26336" xr:uid="{4AC602F8-7906-4148-B952-AD33394B89B4}"/>
    <cellStyle name="Normal 12 5" xfId="1768" xr:uid="{B4DD6DF3-4EC2-4588-A44A-A50836F6644F}"/>
    <cellStyle name="Normal 12 5 2" xfId="4922" xr:uid="{3F422EE4-8366-4D3D-B87D-219AF846AA0A}"/>
    <cellStyle name="Normal 12 5 2 2" xfId="11215" xr:uid="{867E031F-8773-4E59-BBCE-5DF38090B8D3}"/>
    <cellStyle name="Normal 12 5 2 2 2" xfId="23897" xr:uid="{B36983DB-62CE-47FB-B978-0E217AAA653F}"/>
    <cellStyle name="Normal 12 5 2 2 2 2" xfId="49389" xr:uid="{7231C1F0-1667-4345-9FD7-71F5B10F260C}"/>
    <cellStyle name="Normal 12 5 2 2 3" xfId="36798" xr:uid="{F3FFE074-94A1-4CA4-B08D-9397773C38B8}"/>
    <cellStyle name="Normal 12 5 2 3" xfId="17619" xr:uid="{CFABBA5A-4B69-4A48-B570-AF28B250B95A}"/>
    <cellStyle name="Normal 12 5 2 3 2" xfId="43111" xr:uid="{0632FF5B-C6D8-413C-AD32-54D4A9FD8293}"/>
    <cellStyle name="Normal 12 5 2 4" xfId="30520" xr:uid="{0B2F724B-5892-46AF-A542-D442514A3E5D}"/>
    <cellStyle name="Normal 12 5 3" xfId="8076" xr:uid="{7D3574E9-A5E6-4612-B5AC-E6425378B92A}"/>
    <cellStyle name="Normal 12 5 3 2" xfId="20758" xr:uid="{50EA1588-2FCF-49D0-977E-77FEA48AF0C3}"/>
    <cellStyle name="Normal 12 5 3 2 2" xfId="46250" xr:uid="{501A38E1-3AF9-4341-A0B6-749FE5B62193}"/>
    <cellStyle name="Normal 12 5 3 3" xfId="33659" xr:uid="{9D139214-EDD1-4389-8A50-67C9AD8C7EAB}"/>
    <cellStyle name="Normal 12 5 4" xfId="14480" xr:uid="{E07E8287-4D75-46CD-9184-EA1CE8A68608}"/>
    <cellStyle name="Normal 12 5 4 2" xfId="39972" xr:uid="{6FDAC461-65C8-4E70-AC4C-D966E42CE21B}"/>
    <cellStyle name="Normal 12 5 5" xfId="27381" xr:uid="{11DF6E3A-5D11-428F-B644-18D5C543340E}"/>
    <cellStyle name="Normal 12 6" xfId="1246" xr:uid="{E3524AAA-AC6D-429A-9250-99FEDA6143AA}"/>
    <cellStyle name="Normal 12 6 2" xfId="4400" xr:uid="{3B6C55EC-156B-4A77-90B3-A668C2DC2174}"/>
    <cellStyle name="Normal 12 6 2 2" xfId="10693" xr:uid="{4C2F90E9-7C89-4F64-89FE-D209389244E8}"/>
    <cellStyle name="Normal 12 6 2 2 2" xfId="23375" xr:uid="{D04B706F-7379-42AF-BC77-EBF375DB8730}"/>
    <cellStyle name="Normal 12 6 2 2 2 2" xfId="48867" xr:uid="{0A4EC247-C2F3-4426-AAA6-9F6DB17F754D}"/>
    <cellStyle name="Normal 12 6 2 2 3" xfId="36276" xr:uid="{8DD94E15-80B9-446C-AF23-A8CDD4D63F92}"/>
    <cellStyle name="Normal 12 6 2 3" xfId="17097" xr:uid="{EB9B0819-3909-43FA-A913-A7C9E2F01B06}"/>
    <cellStyle name="Normal 12 6 2 3 2" xfId="42589" xr:uid="{B0EA9C9C-0762-4610-8828-30807259062C}"/>
    <cellStyle name="Normal 12 6 2 4" xfId="29998" xr:uid="{50CF8877-898D-424E-A57E-C3F708373ACF}"/>
    <cellStyle name="Normal 12 6 3" xfId="7554" xr:uid="{4377F1EA-1BFF-4B31-9D8B-AE26A17DC38E}"/>
    <cellStyle name="Normal 12 6 3 2" xfId="20236" xr:uid="{FDF2DD5D-3D17-44AD-8C61-370C9B68A148}"/>
    <cellStyle name="Normal 12 6 3 2 2" xfId="45728" xr:uid="{23BAC278-E241-4369-8D9D-DF8A22AFB4A6}"/>
    <cellStyle name="Normal 12 6 3 3" xfId="33137" xr:uid="{28D4888A-A10E-474F-BED3-F689F608F736}"/>
    <cellStyle name="Normal 12 6 4" xfId="13958" xr:uid="{CE567E72-326A-4107-AF37-37EA9FDAE0C2}"/>
    <cellStyle name="Normal 12 6 4 2" xfId="39450" xr:uid="{563EAB51-B58D-4036-B0D9-406FFDC54038}"/>
    <cellStyle name="Normal 12 6 5" xfId="26859" xr:uid="{0CE03E3B-8AE6-4DB9-8224-BF08E73301C0}"/>
    <cellStyle name="Normal 12 7" xfId="2553" xr:uid="{62A16FE9-5EA2-4AF5-952F-F1FEB8CF437A}"/>
    <cellStyle name="Normal 12 7 2" xfId="5707" xr:uid="{0EEB4C50-7A15-4134-96C8-ABEB99C7AF81}"/>
    <cellStyle name="Normal 12 7 2 2" xfId="12000" xr:uid="{04D7077F-6650-4DBC-9C09-BF530AC00D44}"/>
    <cellStyle name="Normal 12 7 2 2 2" xfId="24682" xr:uid="{3DFDC11D-63CA-4C1B-8C68-BD5282728536}"/>
    <cellStyle name="Normal 12 7 2 2 2 2" xfId="50174" xr:uid="{5B69F5D6-9678-4B3F-A927-543A06887356}"/>
    <cellStyle name="Normal 12 7 2 2 3" xfId="37583" xr:uid="{B09D337B-100E-4941-895F-25E4A2FE17B6}"/>
    <cellStyle name="Normal 12 7 2 3" xfId="18404" xr:uid="{DCA8658B-CE46-40E8-9C05-2AB2E72A69CF}"/>
    <cellStyle name="Normal 12 7 2 3 2" xfId="43896" xr:uid="{3C2E5E78-62D4-4FC6-B5DB-1A86912782C4}"/>
    <cellStyle name="Normal 12 7 2 4" xfId="31305" xr:uid="{18DC3794-24D9-4916-BA51-4943F49D4AF3}"/>
    <cellStyle name="Normal 12 7 3" xfId="8861" xr:uid="{F28D0E0D-1650-475A-B803-B9D2D8ED8964}"/>
    <cellStyle name="Normal 12 7 3 2" xfId="21543" xr:uid="{6489D9DA-C60D-4358-8337-0877D39ECB5E}"/>
    <cellStyle name="Normal 12 7 3 2 2" xfId="47035" xr:uid="{1937C74F-1B5E-46C2-91E9-49A3916459FF}"/>
    <cellStyle name="Normal 12 7 3 3" xfId="34444" xr:uid="{31C639CB-56C0-426A-866E-1186A28BABF2}"/>
    <cellStyle name="Normal 12 7 4" xfId="15265" xr:uid="{D2A5691D-1A2A-43EB-BAE5-345463934265}"/>
    <cellStyle name="Normal 12 7 4 2" xfId="40757" xr:uid="{6D1C739C-8A27-403A-AA0A-98B41B84E30C}"/>
    <cellStyle name="Normal 12 7 5" xfId="28166" xr:uid="{881DBF37-0DFF-4F0C-8869-A9DCB007EEC0}"/>
    <cellStyle name="Normal 12 8" xfId="3076" xr:uid="{42A37998-764C-43B5-BEF3-FFD1F8941CB7}"/>
    <cellStyle name="Normal 12 8 2" xfId="6230" xr:uid="{86221B47-D376-4C73-A7E1-11A68A39EA87}"/>
    <cellStyle name="Normal 12 8 2 2" xfId="12523" xr:uid="{1F2F8FF1-6E61-42C7-8E31-A436F0C4D5DB}"/>
    <cellStyle name="Normal 12 8 2 2 2" xfId="25205" xr:uid="{CE41E31E-6A3E-445A-BA01-C92783A17F5E}"/>
    <cellStyle name="Normal 12 8 2 2 2 2" xfId="50697" xr:uid="{8DBE0CB4-D886-4363-AECF-FA053588DE43}"/>
    <cellStyle name="Normal 12 8 2 2 3" xfId="38106" xr:uid="{E5877951-4938-45AE-B2BC-59F94C0F0BF4}"/>
    <cellStyle name="Normal 12 8 2 3" xfId="18927" xr:uid="{26267B33-817B-426C-8AA8-73114A2274DF}"/>
    <cellStyle name="Normal 12 8 2 3 2" xfId="44419" xr:uid="{B587B28A-DAEA-49C1-B074-E96FBD786C6C}"/>
    <cellStyle name="Normal 12 8 2 4" xfId="31828" xr:uid="{A8AFA54C-CEF9-4C82-83F2-3BFE6930AE74}"/>
    <cellStyle name="Normal 12 8 3" xfId="9384" xr:uid="{616CFE2F-8A07-43AE-854A-E0ABBD643C26}"/>
    <cellStyle name="Normal 12 8 3 2" xfId="22066" xr:uid="{F2834E79-4E70-421A-9862-4FBE31557A38}"/>
    <cellStyle name="Normal 12 8 3 2 2" xfId="47558" xr:uid="{0CDF1181-C94B-46E0-A374-7D90F5C1E0BE}"/>
    <cellStyle name="Normal 12 8 3 3" xfId="34967" xr:uid="{C8DBB87D-9E8F-4483-B160-6B65A684131D}"/>
    <cellStyle name="Normal 12 8 4" xfId="15788" xr:uid="{A43E191A-3A6A-45CF-B652-05F98C70ADF8}"/>
    <cellStyle name="Normal 12 8 4 2" xfId="41280" xr:uid="{3CD36845-1761-45B0-82D7-163D07F72241}"/>
    <cellStyle name="Normal 12 8 5" xfId="28689" xr:uid="{208FD26E-D15E-4487-873A-C05173E01811}"/>
    <cellStyle name="Normal 12 9" xfId="3615" xr:uid="{37AB9FE6-75E4-4BEF-81F2-89A3D7C18B75}"/>
    <cellStyle name="Normal 12 9 2" xfId="9908" xr:uid="{158F0366-7361-42C0-A55A-B700E15D72E2}"/>
    <cellStyle name="Normal 12 9 2 2" xfId="22590" xr:uid="{D4D09D53-C49E-41BA-94B2-F33AC07B94C6}"/>
    <cellStyle name="Normal 12 9 2 2 2" xfId="48082" xr:uid="{3A45B99D-DC9E-470E-9890-29192C704F31}"/>
    <cellStyle name="Normal 12 9 2 3" xfId="35491" xr:uid="{8B6C2A1F-547D-4D64-96B8-8D3CD8D0A8CD}"/>
    <cellStyle name="Normal 12 9 3" xfId="16312" xr:uid="{0D2715A5-509A-46BA-9ACB-53A5649685FB}"/>
    <cellStyle name="Normal 12 9 3 2" xfId="41804" xr:uid="{CA451D47-221A-4DD7-9A27-ACE2228C4B0B}"/>
    <cellStyle name="Normal 12 9 4" xfId="29213" xr:uid="{47EB6F7E-5A7B-456C-9E76-BA9DEA7FD439}"/>
    <cellStyle name="Normal 13" xfId="147" xr:uid="{D189C2BA-7E01-4B16-8AC7-5989496FC10C}"/>
    <cellStyle name="Normal 13 10" xfId="26295" xr:uid="{F0A7C259-5D9B-429C-A5C5-E82B297EA538}"/>
    <cellStyle name="Normal 13 11" xfId="667" xr:uid="{49AB5F36-B48C-4C51-B25C-A350AACFFD51}"/>
    <cellStyle name="Normal 13 2" xfId="1204" xr:uid="{A8A3D221-F2BE-4E77-89C5-06EBE53FCEFE}"/>
    <cellStyle name="Normal 13 2 2" xfId="2511" xr:uid="{20FD811F-1704-438D-8414-CB38DC9DCE29}"/>
    <cellStyle name="Normal 13 2 2 2" xfId="5665" xr:uid="{EC6D036C-349A-4654-B35B-A91E5B3886A0}"/>
    <cellStyle name="Normal 13 2 2 2 2" xfId="11958" xr:uid="{E2CFBE19-7A12-4139-A0BC-133AC57948E1}"/>
    <cellStyle name="Normal 13 2 2 2 2 2" xfId="24640" xr:uid="{DF8D7C3D-9EFF-4A4D-B83D-2E2289A30312}"/>
    <cellStyle name="Normal 13 2 2 2 2 2 2" xfId="50132" xr:uid="{7E478E6B-8587-4C4D-86C7-22D8275FC157}"/>
    <cellStyle name="Normal 13 2 2 2 2 3" xfId="37541" xr:uid="{E30D5508-AB8B-40E7-A52A-20970912BCF8}"/>
    <cellStyle name="Normal 13 2 2 2 3" xfId="18362" xr:uid="{9439C906-9452-4D22-94D9-11C4EA835E97}"/>
    <cellStyle name="Normal 13 2 2 2 3 2" xfId="43854" xr:uid="{214C9532-A97F-448B-9E36-4995AC68104A}"/>
    <cellStyle name="Normal 13 2 2 2 4" xfId="31263" xr:uid="{F92A1071-EBDE-4666-B7C5-0F2A7A650655}"/>
    <cellStyle name="Normal 13 2 2 3" xfId="8819" xr:uid="{7915E4E3-565F-45B4-8CB1-3A0CAE215BBF}"/>
    <cellStyle name="Normal 13 2 2 3 2" xfId="21501" xr:uid="{AE9482A6-852F-4920-8105-01812677AB10}"/>
    <cellStyle name="Normal 13 2 2 3 2 2" xfId="46993" xr:uid="{1C7D3CFA-2F7A-4DE6-876D-AFA421E6A8F1}"/>
    <cellStyle name="Normal 13 2 2 3 3" xfId="34402" xr:uid="{1C49638D-AD2C-4567-86DF-70B7665E4E24}"/>
    <cellStyle name="Normal 13 2 2 4" xfId="15223" xr:uid="{3885A55A-25D4-4434-9ACA-C0D7E3DC8D94}"/>
    <cellStyle name="Normal 13 2 2 4 2" xfId="40715" xr:uid="{F940FEFF-0D1A-4BFD-939E-FF089B356129}"/>
    <cellStyle name="Normal 13 2 2 5" xfId="28124" xr:uid="{65CB2C8E-15BE-406B-BFF0-250961F5F7F5}"/>
    <cellStyle name="Normal 13 2 3" xfId="1728" xr:uid="{52C26A80-0B7C-4996-A2C3-A964AE6A1D60}"/>
    <cellStyle name="Normal 13 2 3 2" xfId="4882" xr:uid="{9303A15F-367F-4543-8C65-7F8AED83A360}"/>
    <cellStyle name="Normal 13 2 3 2 2" xfId="11175" xr:uid="{5D5543C8-0A9D-45BE-B62F-EC33BDC49197}"/>
    <cellStyle name="Normal 13 2 3 2 2 2" xfId="23857" xr:uid="{710FEB1B-7E2D-4628-8613-2C7C8EB98408}"/>
    <cellStyle name="Normal 13 2 3 2 2 2 2" xfId="49349" xr:uid="{75BABD08-F832-4254-B3BF-4E825D621E91}"/>
    <cellStyle name="Normal 13 2 3 2 2 3" xfId="36758" xr:uid="{5BCB9843-ED40-4EDB-B4AB-23E76344BD68}"/>
    <cellStyle name="Normal 13 2 3 2 3" xfId="17579" xr:uid="{DAADC56C-66C6-472A-B00C-B7F6756ED3A5}"/>
    <cellStyle name="Normal 13 2 3 2 3 2" xfId="43071" xr:uid="{D5A7A206-D339-40AA-8781-8249D90954DB}"/>
    <cellStyle name="Normal 13 2 3 2 4" xfId="30480" xr:uid="{F80280B8-D2B2-485A-A036-0C56B30EB4CD}"/>
    <cellStyle name="Normal 13 2 3 3" xfId="8036" xr:uid="{59C724C3-644C-4F43-B56B-72F351BB9A51}"/>
    <cellStyle name="Normal 13 2 3 3 2" xfId="20718" xr:uid="{7AC5AB2F-2FB8-4F34-A594-7B99D615CE43}"/>
    <cellStyle name="Normal 13 2 3 3 2 2" xfId="46210" xr:uid="{64A665F2-7307-4DED-921E-2CD8540B5E52}"/>
    <cellStyle name="Normal 13 2 3 3 3" xfId="33619" xr:uid="{0A0B3082-0A72-4108-AC62-FAE33807CBCF}"/>
    <cellStyle name="Normal 13 2 3 4" xfId="14440" xr:uid="{633712B3-027A-4EBA-B131-36529E8FE4AA}"/>
    <cellStyle name="Normal 13 2 3 4 2" xfId="39932" xr:uid="{4C64B411-8762-4954-B8CA-79310D412027}"/>
    <cellStyle name="Normal 13 2 3 5" xfId="27341" xr:uid="{377CA7C7-66E5-4165-A391-783C05B13556}"/>
    <cellStyle name="Normal 13 2 4" xfId="3035" xr:uid="{0BC011AB-88E3-47B9-9867-20DB32EA53FF}"/>
    <cellStyle name="Normal 13 2 4 2" xfId="6189" xr:uid="{02C6B9DF-323E-4B2B-B986-32F79BF2B524}"/>
    <cellStyle name="Normal 13 2 4 2 2" xfId="12482" xr:uid="{70E2C155-512E-40AF-9321-3F084F1D230F}"/>
    <cellStyle name="Normal 13 2 4 2 2 2" xfId="25164" xr:uid="{9B69158A-E4AC-464C-B977-335A6267EC52}"/>
    <cellStyle name="Normal 13 2 4 2 2 2 2" xfId="50656" xr:uid="{AFB1F73E-FFAF-491C-A7E9-AFD67FB4178F}"/>
    <cellStyle name="Normal 13 2 4 2 2 3" xfId="38065" xr:uid="{97F0BB0C-0766-45AD-BBB9-DF099C73051B}"/>
    <cellStyle name="Normal 13 2 4 2 3" xfId="18886" xr:uid="{B0305BC9-2C70-40F4-B62A-C28BE45133D5}"/>
    <cellStyle name="Normal 13 2 4 2 3 2" xfId="44378" xr:uid="{D0F3FD70-A444-4478-91F2-7CC4B2F7A438}"/>
    <cellStyle name="Normal 13 2 4 2 4" xfId="31787" xr:uid="{C07CEBEF-D859-4537-BC07-21FA28120B5C}"/>
    <cellStyle name="Normal 13 2 4 3" xfId="9343" xr:uid="{F95C39F8-E4F3-4099-86EF-9272C88E856D}"/>
    <cellStyle name="Normal 13 2 4 3 2" xfId="22025" xr:uid="{E61F59E1-7F73-4CB8-A71F-F9C41121C5C2}"/>
    <cellStyle name="Normal 13 2 4 3 2 2" xfId="47517" xr:uid="{E6AF17B4-9D15-48B6-8569-5F862827A80A}"/>
    <cellStyle name="Normal 13 2 4 3 3" xfId="34926" xr:uid="{647533CD-2F59-4945-AAF9-89F66E57FE09}"/>
    <cellStyle name="Normal 13 2 4 4" xfId="15747" xr:uid="{9095764C-7F53-4B09-A334-A5F4325B6EBD}"/>
    <cellStyle name="Normal 13 2 4 4 2" xfId="41239" xr:uid="{7CB752BD-4DFD-405B-A47F-B9F66987F91E}"/>
    <cellStyle name="Normal 13 2 4 5" xfId="28648" xr:uid="{863E0035-15CE-46E4-B39C-B892D20D8BB6}"/>
    <cellStyle name="Normal 13 2 5" xfId="3558" xr:uid="{9F87228B-278C-4E14-9845-31E1ADE1DCEA}"/>
    <cellStyle name="Normal 13 2 5 2" xfId="6712" xr:uid="{AB05A241-D176-4C0C-B491-D5A7DBA12D24}"/>
    <cellStyle name="Normal 13 2 5 2 2" xfId="13005" xr:uid="{C17D23A2-274A-4B1C-8286-FD5481B507DA}"/>
    <cellStyle name="Normal 13 2 5 2 2 2" xfId="25687" xr:uid="{BA9CF26E-C06B-4306-BB22-BADCE159B321}"/>
    <cellStyle name="Normal 13 2 5 2 2 2 2" xfId="51179" xr:uid="{4FA9B3C8-BA6A-4F40-9864-01385468D150}"/>
    <cellStyle name="Normal 13 2 5 2 2 3" xfId="38588" xr:uid="{92EB5956-BA3D-42B5-AD59-BCD66CDE8E2E}"/>
    <cellStyle name="Normal 13 2 5 2 3" xfId="19409" xr:uid="{F1874CD0-FFE8-4F92-A03B-5616BB71935C}"/>
    <cellStyle name="Normal 13 2 5 2 3 2" xfId="44901" xr:uid="{6E82E122-7F96-44E1-9800-B84E5940CAD9}"/>
    <cellStyle name="Normal 13 2 5 2 4" xfId="32310" xr:uid="{EC04743F-D369-40B1-AD45-977D48AF9944}"/>
    <cellStyle name="Normal 13 2 5 3" xfId="9866" xr:uid="{B3DB9191-79F7-46EF-8C19-480DAAB23C80}"/>
    <cellStyle name="Normal 13 2 5 3 2" xfId="22548" xr:uid="{084A96D5-8354-4F05-8D9F-74EB41D0C497}"/>
    <cellStyle name="Normal 13 2 5 3 2 2" xfId="48040" xr:uid="{3486B54A-FBB2-4103-9CB1-2397CA4ACA49}"/>
    <cellStyle name="Normal 13 2 5 3 3" xfId="35449" xr:uid="{09DBBB68-E3D8-4C80-B046-AB94EE2F8D0E}"/>
    <cellStyle name="Normal 13 2 5 4" xfId="16270" xr:uid="{B89228FC-CDAD-4AA7-8484-D5259B16E000}"/>
    <cellStyle name="Normal 13 2 5 4 2" xfId="41762" xr:uid="{36E58BEE-D9B7-481C-A169-A24D5EF53C34}"/>
    <cellStyle name="Normal 13 2 5 5" xfId="29171" xr:uid="{2B27AD04-5BF1-4467-8817-4042E37BF544}"/>
    <cellStyle name="Normal 13 2 6" xfId="4358" xr:uid="{6652A7F2-690E-4773-BA40-9E4607699852}"/>
    <cellStyle name="Normal 13 2 6 2" xfId="10651" xr:uid="{131A1D6C-0F5B-4159-8195-E1176412AEBD}"/>
    <cellStyle name="Normal 13 2 6 2 2" xfId="23333" xr:uid="{5C0E41E5-DF8F-4C41-B5A4-68197DE889B5}"/>
    <cellStyle name="Normal 13 2 6 2 2 2" xfId="48825" xr:uid="{C51A0666-C011-4A0B-BEE9-843F711C58A0}"/>
    <cellStyle name="Normal 13 2 6 2 3" xfId="36234" xr:uid="{E0E3B867-E9A4-4082-BE84-C368FF028D2D}"/>
    <cellStyle name="Normal 13 2 6 3" xfId="17055" xr:uid="{3E05718E-A978-49D8-BF7F-ECEF3FFEDD04}"/>
    <cellStyle name="Normal 13 2 6 3 2" xfId="42547" xr:uid="{46119D45-7205-4AEF-A8CF-B857D5019D34}"/>
    <cellStyle name="Normal 13 2 6 4" xfId="29956" xr:uid="{5E71B6A7-EAB2-4D75-B6D3-6BACCB7DF51D}"/>
    <cellStyle name="Normal 13 2 7" xfId="7512" xr:uid="{D4E99539-52B6-45D5-8FB1-72EAF8BCB6D5}"/>
    <cellStyle name="Normal 13 2 7 2" xfId="20194" xr:uid="{56071765-7EB4-44DC-A9D9-21EB7E8FA8B8}"/>
    <cellStyle name="Normal 13 2 7 2 2" xfId="45686" xr:uid="{25AC8313-4A0B-4742-AB6E-EB92DB1DE73D}"/>
    <cellStyle name="Normal 13 2 7 3" xfId="33095" xr:uid="{BFC98B90-8A12-4D95-99AF-7C2ECA4BDAB3}"/>
    <cellStyle name="Normal 13 2 8" xfId="13916" xr:uid="{3AECB947-5C96-4918-B525-74936514A46D}"/>
    <cellStyle name="Normal 13 2 8 2" xfId="39408" xr:uid="{80708A45-B15E-4821-96B4-0B0856B59436}"/>
    <cellStyle name="Normal 13 2 9" xfId="26817" xr:uid="{1DF8B8E1-027D-4643-BED1-AC8151510179}"/>
    <cellStyle name="Normal 13 3" xfId="1989" xr:uid="{078A6112-CA29-4799-8635-F4B3A9924ACA}"/>
    <cellStyle name="Normal 13 3 2" xfId="5143" xr:uid="{1ABE53E5-FB95-4AC1-B732-CF68426330DA}"/>
    <cellStyle name="Normal 13 3 2 2" xfId="11436" xr:uid="{A381A15A-A6F0-44E7-B10A-BAB0F28DCCDE}"/>
    <cellStyle name="Normal 13 3 2 2 2" xfId="24118" xr:uid="{0AFACBA5-FB60-43B4-8AD1-FBCB02BB0A52}"/>
    <cellStyle name="Normal 13 3 2 2 2 2" xfId="49610" xr:uid="{4E3EEAEE-3BF6-4828-885A-CC4D29D8DE5E}"/>
    <cellStyle name="Normal 13 3 2 2 3" xfId="37019" xr:uid="{739E1438-3AB3-43EA-9F31-A8A149E4A7B8}"/>
    <cellStyle name="Normal 13 3 2 3" xfId="17840" xr:uid="{B09861EC-7872-40B1-9993-2957EAFFC805}"/>
    <cellStyle name="Normal 13 3 2 3 2" xfId="43332" xr:uid="{88ED4813-DA70-404E-892C-4699253A00DB}"/>
    <cellStyle name="Normal 13 3 2 4" xfId="30741" xr:uid="{C7745D78-E37C-492E-8D40-E8F58B5E9489}"/>
    <cellStyle name="Normal 13 3 3" xfId="8297" xr:uid="{670E9BD6-F934-46AA-B3EF-5A764F5A334E}"/>
    <cellStyle name="Normal 13 3 3 2" xfId="20979" xr:uid="{CE601D74-4489-41F9-9F4F-A01D2329107A}"/>
    <cellStyle name="Normal 13 3 3 2 2" xfId="46471" xr:uid="{256BD10A-D9C4-4BA5-B377-980B1AB3CD61}"/>
    <cellStyle name="Normal 13 3 3 3" xfId="33880" xr:uid="{085E2CF6-7EC1-470A-A580-274CDB1682D9}"/>
    <cellStyle name="Normal 13 3 4" xfId="14701" xr:uid="{8F898867-FD1F-4173-962F-80E4D77DF333}"/>
    <cellStyle name="Normal 13 3 4 2" xfId="40193" xr:uid="{FB7290CA-62A1-473F-AFFA-BC152EE2523D}"/>
    <cellStyle name="Normal 13 3 5" xfId="27602" xr:uid="{95521437-449E-4281-9F28-B36132EDE127}"/>
    <cellStyle name="Normal 13 4" xfId="1467" xr:uid="{20471AC8-F71C-4C44-BDE4-11F000B882C2}"/>
    <cellStyle name="Normal 13 4 2" xfId="4621" xr:uid="{949EED40-15AD-41C8-B585-B5F96761B4FA}"/>
    <cellStyle name="Normal 13 4 2 2" xfId="10914" xr:uid="{8CC6900B-DAB6-4DCC-8107-2FE954B2FEDD}"/>
    <cellStyle name="Normal 13 4 2 2 2" xfId="23596" xr:uid="{5FE90198-F622-4BDC-94F8-5F72BBFD7E1E}"/>
    <cellStyle name="Normal 13 4 2 2 2 2" xfId="49088" xr:uid="{1176EB0B-594D-44F2-A40B-CEA8F78C71D1}"/>
    <cellStyle name="Normal 13 4 2 2 3" xfId="36497" xr:uid="{846F669F-9ABC-4449-8A97-D8B001FFEDD2}"/>
    <cellStyle name="Normal 13 4 2 3" xfId="17318" xr:uid="{D1564F9C-9A6F-4EC0-BDBC-C06377C8E00E}"/>
    <cellStyle name="Normal 13 4 2 3 2" xfId="42810" xr:uid="{E97777AD-7AB5-412F-BF3C-8DDF51C71A05}"/>
    <cellStyle name="Normal 13 4 2 4" xfId="30219" xr:uid="{D741AFC2-F1A5-415B-858E-FF07AD97146A}"/>
    <cellStyle name="Normal 13 4 3" xfId="7775" xr:uid="{B85AFADA-B1DC-49C9-8A3F-E5BFBCFD1D01}"/>
    <cellStyle name="Normal 13 4 3 2" xfId="20457" xr:uid="{1C181802-EEEC-40D3-95D6-B21E135CE001}"/>
    <cellStyle name="Normal 13 4 3 2 2" xfId="45949" xr:uid="{42ED5D52-6D92-46F4-89A2-7F7256DD8F53}"/>
    <cellStyle name="Normal 13 4 3 3" xfId="33358" xr:uid="{8DD7A278-CA2E-447F-BCB5-61F2D2369B4E}"/>
    <cellStyle name="Normal 13 4 4" xfId="14179" xr:uid="{5D204E31-F4BD-44AE-AE77-D618131DB5C5}"/>
    <cellStyle name="Normal 13 4 4 2" xfId="39671" xr:uid="{A269996D-3599-4C8E-B333-1EB063E36EA4}"/>
    <cellStyle name="Normal 13 4 5" xfId="27080" xr:uid="{FC462E88-1308-48BD-8494-C330262DDD5A}"/>
    <cellStyle name="Normal 13 5" xfId="2774" xr:uid="{7AC222BD-2715-4CF2-BCFB-085B28C5EC64}"/>
    <cellStyle name="Normal 13 5 2" xfId="5928" xr:uid="{16757E5B-2C95-4A9A-A6B9-84BC92007AA3}"/>
    <cellStyle name="Normal 13 5 2 2" xfId="12221" xr:uid="{1EAD1763-E583-47D1-BDEA-3B24786E6C21}"/>
    <cellStyle name="Normal 13 5 2 2 2" xfId="24903" xr:uid="{4EEEB9E5-ACBC-4804-BD90-E33276D09D77}"/>
    <cellStyle name="Normal 13 5 2 2 2 2" xfId="50395" xr:uid="{2B4241FB-EAA6-4692-9620-800A749E0BE8}"/>
    <cellStyle name="Normal 13 5 2 2 3" xfId="37804" xr:uid="{52A64B01-947E-4551-A748-CF63A27C6C25}"/>
    <cellStyle name="Normal 13 5 2 3" xfId="18625" xr:uid="{DC371C18-5278-4F87-9879-0C4CFE210F3D}"/>
    <cellStyle name="Normal 13 5 2 3 2" xfId="44117" xr:uid="{4CAA1588-5C3F-4F56-9E57-91060D13C653}"/>
    <cellStyle name="Normal 13 5 2 4" xfId="31526" xr:uid="{1EDD65FF-0576-43F1-9AFA-2472732B061F}"/>
    <cellStyle name="Normal 13 5 3" xfId="9082" xr:uid="{CD651711-5CDC-47C4-8C9C-428DAC69C784}"/>
    <cellStyle name="Normal 13 5 3 2" xfId="21764" xr:uid="{CCAA2B87-260D-429A-A7BE-BF66179852D1}"/>
    <cellStyle name="Normal 13 5 3 2 2" xfId="47256" xr:uid="{D779FE57-A359-4635-9C42-5A5AE1525869}"/>
    <cellStyle name="Normal 13 5 3 3" xfId="34665" xr:uid="{CDC4B54E-BB6C-4C97-AB4B-8D5D30B41D17}"/>
    <cellStyle name="Normal 13 5 4" xfId="15486" xr:uid="{7489B58C-01BD-4FB2-A584-89D3024E10F4}"/>
    <cellStyle name="Normal 13 5 4 2" xfId="40978" xr:uid="{84D5EAD0-757B-4C06-A28A-7D91E10AD7B3}"/>
    <cellStyle name="Normal 13 5 5" xfId="28387" xr:uid="{AFCF7282-F273-4CA6-B341-95FBFE684A88}"/>
    <cellStyle name="Normal 13 6" xfId="3297" xr:uid="{F2BBF312-7CA2-4C6C-A2CF-7F2871768547}"/>
    <cellStyle name="Normal 13 6 2" xfId="6451" xr:uid="{781F5509-6FAB-4248-AD41-4C4EDED987D5}"/>
    <cellStyle name="Normal 13 6 2 2" xfId="12744" xr:uid="{AFC77BA5-379B-4013-84DE-0D8676EFB425}"/>
    <cellStyle name="Normal 13 6 2 2 2" xfId="25426" xr:uid="{566B9AB1-A77D-425B-BCA0-AD5FAA0FD4DC}"/>
    <cellStyle name="Normal 13 6 2 2 2 2" xfId="50918" xr:uid="{2B0BA2B9-7B1F-4B9D-A809-EFA207B8F026}"/>
    <cellStyle name="Normal 13 6 2 2 3" xfId="38327" xr:uid="{76D7163B-4704-4910-A5C5-7E079CE7D444}"/>
    <cellStyle name="Normal 13 6 2 3" xfId="19148" xr:uid="{C077EB4C-13EC-4C17-AF31-C8634174EF5F}"/>
    <cellStyle name="Normal 13 6 2 3 2" xfId="44640" xr:uid="{7EEC55D7-3432-4AF6-A797-ADAC2F8D52E2}"/>
    <cellStyle name="Normal 13 6 2 4" xfId="32049" xr:uid="{AEAF21DF-7814-4D86-B530-433D64610735}"/>
    <cellStyle name="Normal 13 6 3" xfId="9605" xr:uid="{3A7C8BCC-2DB2-441C-8EAE-0848C8975B4A}"/>
    <cellStyle name="Normal 13 6 3 2" xfId="22287" xr:uid="{59CA2B8A-63E5-4A13-ABFD-05BB8DBFD94B}"/>
    <cellStyle name="Normal 13 6 3 2 2" xfId="47779" xr:uid="{A569D440-3A2F-4302-86E4-E4738CF3A176}"/>
    <cellStyle name="Normal 13 6 3 3" xfId="35188" xr:uid="{75A403BF-D0F4-4A9D-927C-648A71CA85D5}"/>
    <cellStyle name="Normal 13 6 4" xfId="16009" xr:uid="{03F1993B-3CE9-4D2E-A4BC-82D5DEA9B4A2}"/>
    <cellStyle name="Normal 13 6 4 2" xfId="41501" xr:uid="{AF013CE9-DA5D-41D0-8D2E-C238B60BD905}"/>
    <cellStyle name="Normal 13 6 5" xfId="28910" xr:uid="{85702619-E8B5-4F4C-840C-A5DFC3C571DE}"/>
    <cellStyle name="Normal 13 7" xfId="3836" xr:uid="{42ECF1F0-7A55-4FB2-A69C-B9BCF650BAE6}"/>
    <cellStyle name="Normal 13 7 2" xfId="10129" xr:uid="{6A0FEA3E-D8E9-4C4E-928A-FA3FD46E6F19}"/>
    <cellStyle name="Normal 13 7 2 2" xfId="22811" xr:uid="{507A129F-34E2-4558-A592-53C7C5EB9573}"/>
    <cellStyle name="Normal 13 7 2 2 2" xfId="48303" xr:uid="{CA5F348B-1F68-4BDD-8285-B03B18DF68FC}"/>
    <cellStyle name="Normal 13 7 2 3" xfId="35712" xr:uid="{E03AB81F-FDC6-4603-AD16-FF5A64675D31}"/>
    <cellStyle name="Normal 13 7 3" xfId="16533" xr:uid="{B357C29A-27E6-4848-9845-D8844B45DB8D}"/>
    <cellStyle name="Normal 13 7 3 2" xfId="42025" xr:uid="{65DD97E9-20E9-4932-9EEA-B4E9032B8763}"/>
    <cellStyle name="Normal 13 7 4" xfId="29434" xr:uid="{C9F745F5-3FA2-44A4-8B17-7E492946105F}"/>
    <cellStyle name="Normal 13 8" xfId="6990" xr:uid="{14CB4719-2D68-4535-B6E8-C081E22C92C7}"/>
    <cellStyle name="Normal 13 8 2" xfId="19672" xr:uid="{0601B7E6-5998-4D17-9438-9C0E0A66DDB5}"/>
    <cellStyle name="Normal 13 8 2 2" xfId="45164" xr:uid="{3A5B8260-67BC-40A5-BF90-7839D9A71E99}"/>
    <cellStyle name="Normal 13 8 3" xfId="32573" xr:uid="{F3D79A85-C33E-45C9-958E-4390C8BE719E}"/>
    <cellStyle name="Normal 13 9" xfId="13394" xr:uid="{8AB68D69-E27B-4804-9F3C-39B62E16306D}"/>
    <cellStyle name="Normal 13 9 2" xfId="38886" xr:uid="{8EA4A025-4EC6-423F-BA5D-7D786D3F4E00}"/>
    <cellStyle name="Normal 14" xfId="148" xr:uid="{22D7628A-22F8-486B-BEAE-BFFDB7A44E2C}"/>
    <cellStyle name="Normal 14 2" xfId="669" xr:uid="{4409FAFC-9730-4E84-A733-753F4AD10780}"/>
    <cellStyle name="Normal 15" xfId="150" xr:uid="{E953B970-5D7C-43F3-88E7-D9E138D4D7B0}"/>
    <cellStyle name="Normal 15 2" xfId="3561" xr:uid="{12CA8F87-A859-4D8B-A2D7-4D6B7EA5DA66}"/>
    <cellStyle name="Normal 15 3" xfId="51387" xr:uid="{E5F69B32-1687-4A31-A1EC-E541AF59053A}"/>
    <cellStyle name="Normal 16" xfId="151" xr:uid="{53FA8647-EEDC-4A0E-852F-ACE8B2DA7A17}"/>
    <cellStyle name="Normal 16 2" xfId="6715" xr:uid="{D041B40C-7F4F-405B-8D91-335CC3CFB0F6}"/>
    <cellStyle name="Normal 17" xfId="152" xr:uid="{F58ECAFF-76CE-4D86-AD57-0DF867541489}"/>
    <cellStyle name="Normal 17 2" xfId="51352" xr:uid="{2975E096-C1AA-4829-BFC1-F85EEA841043}"/>
    <cellStyle name="Normal 18" xfId="153" xr:uid="{A12933BE-965C-48EF-BA95-DA9A60FE3C34}"/>
    <cellStyle name="Normal 18 2" xfId="51353" xr:uid="{6EBDCC42-CABA-4DA1-9440-2AE0225051D7}"/>
    <cellStyle name="Normal 19" xfId="154" xr:uid="{42EA41B8-5A34-4702-B008-6269DFF238BB}"/>
    <cellStyle name="Normal 2" xfId="4" xr:uid="{00000000-0005-0000-0000-000004000000}"/>
    <cellStyle name="Normal 2 10" xfId="507" xr:uid="{2DF0B6EB-1FB7-4112-B165-CB4276614484}"/>
    <cellStyle name="Normal 2 10 10" xfId="13234" xr:uid="{38D98942-6CC3-439D-BC62-EAF20620A0F1}"/>
    <cellStyle name="Normal 2 10 10 2" xfId="38726" xr:uid="{F59A1CB5-1031-4229-BA34-47F76E84F0D8}"/>
    <cellStyle name="Normal 2 10 11" xfId="26135" xr:uid="{CCEE6604-CCCF-4B73-AD4F-31B10CF060A5}"/>
    <cellStyle name="Normal 2 10 2" xfId="1044" xr:uid="{8F2342FA-DCFF-4AD8-B39A-A8A2252AA5E4}"/>
    <cellStyle name="Normal 2 10 2 2" xfId="2351" xr:uid="{C029691C-ED0F-4D46-A693-F27C1A2B063E}"/>
    <cellStyle name="Normal 2 10 2 2 2" xfId="5505" xr:uid="{7B491CA8-40D1-4C79-81A8-790E3C73D461}"/>
    <cellStyle name="Normal 2 10 2 2 2 2" xfId="11798" xr:uid="{464352E1-5947-4C73-BBC3-538B7116EBE1}"/>
    <cellStyle name="Normal 2 10 2 2 2 2 2" xfId="24480" xr:uid="{0E44FC44-2F55-42C7-8739-C72E37785BD9}"/>
    <cellStyle name="Normal 2 10 2 2 2 2 2 2" xfId="49972" xr:uid="{D108EE08-B24E-4EB3-9366-53FF694A4CF0}"/>
    <cellStyle name="Normal 2 10 2 2 2 2 3" xfId="37381" xr:uid="{446335F0-F966-477B-AFD9-60B618BCCFE1}"/>
    <cellStyle name="Normal 2 10 2 2 2 3" xfId="18202" xr:uid="{7FE45722-12DE-4278-ADAE-A7DF5BDFBCC4}"/>
    <cellStyle name="Normal 2 10 2 2 2 3 2" xfId="43694" xr:uid="{314C7E5B-71BB-4750-84EF-B673C912CA63}"/>
    <cellStyle name="Normal 2 10 2 2 2 4" xfId="31103" xr:uid="{FDF440A4-5CA1-46E2-92A4-0794992FB48F}"/>
    <cellStyle name="Normal 2 10 2 2 3" xfId="8659" xr:uid="{B6E9D30E-F999-4AAE-BA33-03C7131A6B0C}"/>
    <cellStyle name="Normal 2 10 2 2 3 2" xfId="21341" xr:uid="{416D652A-020A-4AD3-B9BA-39CB657E9F8C}"/>
    <cellStyle name="Normal 2 10 2 2 3 2 2" xfId="46833" xr:uid="{C5CCDE01-7CBB-4E64-96FC-0FBD9785703E}"/>
    <cellStyle name="Normal 2 10 2 2 3 3" xfId="34242" xr:uid="{10C5C09C-1646-48E7-A68B-168C47F982C4}"/>
    <cellStyle name="Normal 2 10 2 2 4" xfId="15063" xr:uid="{7374F22E-66FA-4F33-A7E7-F36A41B50F1A}"/>
    <cellStyle name="Normal 2 10 2 2 4 2" xfId="40555" xr:uid="{B45EDFC6-A760-43CD-9CBD-9C20D5160DAA}"/>
    <cellStyle name="Normal 2 10 2 2 5" xfId="27964" xr:uid="{5CCBBC7E-8753-4E56-9ED4-52CB2C40D9C9}"/>
    <cellStyle name="Normal 2 10 2 3" xfId="1568" xr:uid="{1063D676-98DD-4AF0-9225-B5F600C22B95}"/>
    <cellStyle name="Normal 2 10 2 3 2" xfId="4722" xr:uid="{C9A00113-18B3-4087-9BF4-8F7017139C6A}"/>
    <cellStyle name="Normal 2 10 2 3 2 2" xfId="11015" xr:uid="{C6615105-2F98-4A7B-9D4B-9D08C4545487}"/>
    <cellStyle name="Normal 2 10 2 3 2 2 2" xfId="23697" xr:uid="{EA9ABDAC-A002-4EFD-B6E3-F8C957D8B47D}"/>
    <cellStyle name="Normal 2 10 2 3 2 2 2 2" xfId="49189" xr:uid="{BC46CEA0-04E5-4ED8-9113-BAEB7AFA19EC}"/>
    <cellStyle name="Normal 2 10 2 3 2 2 3" xfId="36598" xr:uid="{87FDC0F3-410C-45C1-AD76-5D5324E0D413}"/>
    <cellStyle name="Normal 2 10 2 3 2 3" xfId="17419" xr:uid="{0CA1E8A8-A0D5-4277-AB52-CEAD0632DD19}"/>
    <cellStyle name="Normal 2 10 2 3 2 3 2" xfId="42911" xr:uid="{918115E1-2366-4EC5-AA36-DE6C9A78229E}"/>
    <cellStyle name="Normal 2 10 2 3 2 4" xfId="30320" xr:uid="{B97EC64F-2326-4310-8FEC-4695009ED088}"/>
    <cellStyle name="Normal 2 10 2 3 3" xfId="7876" xr:uid="{822A0E25-1B8E-405A-8F70-152709AE1F2B}"/>
    <cellStyle name="Normal 2 10 2 3 3 2" xfId="20558" xr:uid="{60DB1263-2550-4016-AEBD-91DB9C76B0DF}"/>
    <cellStyle name="Normal 2 10 2 3 3 2 2" xfId="46050" xr:uid="{936299AD-757F-425C-AEC9-1259F638F936}"/>
    <cellStyle name="Normal 2 10 2 3 3 3" xfId="33459" xr:uid="{E68CEB02-CCA7-47DB-8AEE-756980B47834}"/>
    <cellStyle name="Normal 2 10 2 3 4" xfId="14280" xr:uid="{FDB2A24F-F30A-4F1D-BDFE-13E8414D42BE}"/>
    <cellStyle name="Normal 2 10 2 3 4 2" xfId="39772" xr:uid="{A5CCD9BD-1696-4574-8585-7038D52FFB5E}"/>
    <cellStyle name="Normal 2 10 2 3 5" xfId="27181" xr:uid="{44A4120D-A8EF-4541-935E-CCF567FF78A4}"/>
    <cellStyle name="Normal 2 10 2 4" xfId="2875" xr:uid="{2789DB72-CF2B-4358-B1C7-324DBFE70147}"/>
    <cellStyle name="Normal 2 10 2 4 2" xfId="6029" xr:uid="{D471E69E-9121-4FFD-A925-D23E820A4886}"/>
    <cellStyle name="Normal 2 10 2 4 2 2" xfId="12322" xr:uid="{8774B31F-2157-4FF1-A914-D1355CF88A5D}"/>
    <cellStyle name="Normal 2 10 2 4 2 2 2" xfId="25004" xr:uid="{D9885DD9-F2B7-4FE2-854A-A55906A5B53A}"/>
    <cellStyle name="Normal 2 10 2 4 2 2 2 2" xfId="50496" xr:uid="{D65BF054-82EF-4419-9671-EEE87B7CDA79}"/>
    <cellStyle name="Normal 2 10 2 4 2 2 3" xfId="37905" xr:uid="{B8270444-BC86-467A-BA6E-376366DC77B1}"/>
    <cellStyle name="Normal 2 10 2 4 2 3" xfId="18726" xr:uid="{1F2C5215-1F97-4F99-AE3E-C511DB1E5672}"/>
    <cellStyle name="Normal 2 10 2 4 2 3 2" xfId="44218" xr:uid="{6460FEEA-7073-42DA-849E-C4C8BBC9A014}"/>
    <cellStyle name="Normal 2 10 2 4 2 4" xfId="31627" xr:uid="{31BB82DE-6167-4936-AF42-B9EC506A4D42}"/>
    <cellStyle name="Normal 2 10 2 4 3" xfId="9183" xr:uid="{C3842080-BC7C-4A18-AFCD-44E5D8999E6A}"/>
    <cellStyle name="Normal 2 10 2 4 3 2" xfId="21865" xr:uid="{F2C848C0-5DA6-4E2C-A50D-9DE47CA1010A}"/>
    <cellStyle name="Normal 2 10 2 4 3 2 2" xfId="47357" xr:uid="{B14CEACC-E210-4093-8FBB-59A6E1CD8FF2}"/>
    <cellStyle name="Normal 2 10 2 4 3 3" xfId="34766" xr:uid="{DF9658A9-211F-4BDD-8750-469A9A77EE8E}"/>
    <cellStyle name="Normal 2 10 2 4 4" xfId="15587" xr:uid="{F20E7CBC-2475-4135-B51B-54B107700BA8}"/>
    <cellStyle name="Normal 2 10 2 4 4 2" xfId="41079" xr:uid="{46CB4CA8-129B-4A79-9FB1-A7260870E46D}"/>
    <cellStyle name="Normal 2 10 2 4 5" xfId="28488" xr:uid="{F71BF7B2-4BC9-4094-936D-497F6869C0B9}"/>
    <cellStyle name="Normal 2 10 2 5" xfId="3398" xr:uid="{B45CB5BA-70CF-4F4F-8E74-7ACD0D09A1FD}"/>
    <cellStyle name="Normal 2 10 2 5 2" xfId="6552" xr:uid="{B634429D-4A34-4C4D-8E00-BADF3E43795B}"/>
    <cellStyle name="Normal 2 10 2 5 2 2" xfId="12845" xr:uid="{56AD12A6-A988-4F35-81E7-5D3131BA2202}"/>
    <cellStyle name="Normal 2 10 2 5 2 2 2" xfId="25527" xr:uid="{62B68660-1EF4-4BB4-8C37-8C44CA371421}"/>
    <cellStyle name="Normal 2 10 2 5 2 2 2 2" xfId="51019" xr:uid="{E9CC852E-D3DC-4070-A7DC-1744B260E009}"/>
    <cellStyle name="Normal 2 10 2 5 2 2 3" xfId="38428" xr:uid="{B74D294D-91D7-4844-B869-6489FD9295E6}"/>
    <cellStyle name="Normal 2 10 2 5 2 3" xfId="19249" xr:uid="{8BFEF549-0B0F-4C0D-A143-EE51F6A76538}"/>
    <cellStyle name="Normal 2 10 2 5 2 3 2" xfId="44741" xr:uid="{4E96CA25-8D92-4BBF-8C6F-727A126D4C40}"/>
    <cellStyle name="Normal 2 10 2 5 2 4" xfId="32150" xr:uid="{CE358BD4-B512-47D8-9E21-A2BC7F6B4118}"/>
    <cellStyle name="Normal 2 10 2 5 3" xfId="9706" xr:uid="{AF88FBAA-61CB-45A6-8F7A-674583C6144F}"/>
    <cellStyle name="Normal 2 10 2 5 3 2" xfId="22388" xr:uid="{FB83DE61-E8F5-44B9-9661-72A0B23142E0}"/>
    <cellStyle name="Normal 2 10 2 5 3 2 2" xfId="47880" xr:uid="{27CC315A-2487-4741-9AEE-8B4D515E7A47}"/>
    <cellStyle name="Normal 2 10 2 5 3 3" xfId="35289" xr:uid="{4F2B924B-1649-49FB-B441-6AC6B8AEE056}"/>
    <cellStyle name="Normal 2 10 2 5 4" xfId="16110" xr:uid="{A3EE1BEB-5C6A-430C-A989-2FC9BC34BE87}"/>
    <cellStyle name="Normal 2 10 2 5 4 2" xfId="41602" xr:uid="{20522FE7-0401-47DE-BCB9-78F5B5CBAB9C}"/>
    <cellStyle name="Normal 2 10 2 5 5" xfId="29011" xr:uid="{BFEEB217-2611-49D8-BCDB-CD9E9977B158}"/>
    <cellStyle name="Normal 2 10 2 6" xfId="4198" xr:uid="{B7C76B8A-541A-48DB-912A-260F5893BC90}"/>
    <cellStyle name="Normal 2 10 2 6 2" xfId="10491" xr:uid="{2A636C00-7845-4904-9CFE-BD107DF19C93}"/>
    <cellStyle name="Normal 2 10 2 6 2 2" xfId="23173" xr:uid="{03AB1E65-E510-4F39-8E66-6D63249A45F4}"/>
    <cellStyle name="Normal 2 10 2 6 2 2 2" xfId="48665" xr:uid="{5D9B0087-0DF1-402E-872C-A88DA0DE7CAE}"/>
    <cellStyle name="Normal 2 10 2 6 2 3" xfId="36074" xr:uid="{B2F4A8A7-1709-4593-8C9F-F9A093629F87}"/>
    <cellStyle name="Normal 2 10 2 6 3" xfId="16895" xr:uid="{5D01A89A-AD1C-48A9-A0B5-64B398893C4C}"/>
    <cellStyle name="Normal 2 10 2 6 3 2" xfId="42387" xr:uid="{E5913CA0-4604-4212-B8FE-7902CA56FEF1}"/>
    <cellStyle name="Normal 2 10 2 6 4" xfId="29796" xr:uid="{35A8BEB2-DD3A-449B-BE2C-A90B3CA8DDB8}"/>
    <cellStyle name="Normal 2 10 2 7" xfId="7352" xr:uid="{AEEEE6F0-2FFD-43E7-8DA9-D329FA36475B}"/>
    <cellStyle name="Normal 2 10 2 7 2" xfId="20034" xr:uid="{D7334844-AEEE-4371-9367-DC885057C7C9}"/>
    <cellStyle name="Normal 2 10 2 7 2 2" xfId="45526" xr:uid="{D1538F1D-8E77-43AF-8F3E-816F14175557}"/>
    <cellStyle name="Normal 2 10 2 7 3" xfId="32935" xr:uid="{148A9CA4-4FAC-4F64-8DBD-C49DBD4C3850}"/>
    <cellStyle name="Normal 2 10 2 8" xfId="13756" xr:uid="{E0560A28-6C8A-4A2D-975D-B82AE3CD2F1E}"/>
    <cellStyle name="Normal 2 10 2 8 2" xfId="39248" xr:uid="{73403179-E606-4980-B855-2ACF4ECEC10C}"/>
    <cellStyle name="Normal 2 10 2 9" xfId="26657" xr:uid="{0EF949DA-6171-4DAA-9B13-83A04303B952}"/>
    <cellStyle name="Normal 2 10 3" xfId="784" xr:uid="{C4457044-25E7-4A9B-9D3D-0F5A620D7939}"/>
    <cellStyle name="Normal 2 10 3 2" xfId="2091" xr:uid="{B585E952-F627-426B-BF59-DB952465A691}"/>
    <cellStyle name="Normal 2 10 3 2 2" xfId="5245" xr:uid="{71016A24-93F6-4872-9FF4-07DB6D425CAF}"/>
    <cellStyle name="Normal 2 10 3 2 2 2" xfId="11538" xr:uid="{15A50F6B-29DB-4D32-A6CC-4C8547CCE11C}"/>
    <cellStyle name="Normal 2 10 3 2 2 2 2" xfId="24220" xr:uid="{AB103E59-2B8A-4259-BD16-75AD28DA587F}"/>
    <cellStyle name="Normal 2 10 3 2 2 2 2 2" xfId="49712" xr:uid="{0490C03F-7266-4F5C-A7A3-84F64BA94A18}"/>
    <cellStyle name="Normal 2 10 3 2 2 2 3" xfId="37121" xr:uid="{95B85CB9-01B7-46C5-85DB-245B2CFF465B}"/>
    <cellStyle name="Normal 2 10 3 2 2 3" xfId="17942" xr:uid="{D05B4AB4-28B8-4AE3-97F7-5DA3DEFEE9B9}"/>
    <cellStyle name="Normal 2 10 3 2 2 3 2" xfId="43434" xr:uid="{4E474A05-6A6E-4916-B29C-8D9F00BDA4EA}"/>
    <cellStyle name="Normal 2 10 3 2 2 4" xfId="30843" xr:uid="{6AF426E9-8168-49AF-8D98-9D4D6654B5F5}"/>
    <cellStyle name="Normal 2 10 3 2 3" xfId="8399" xr:uid="{6FE0436B-0E38-46E3-A268-BFFCEFDEF0D7}"/>
    <cellStyle name="Normal 2 10 3 2 3 2" xfId="21081" xr:uid="{7CF05597-ACA4-4104-B3C3-3A51DE739E45}"/>
    <cellStyle name="Normal 2 10 3 2 3 2 2" xfId="46573" xr:uid="{49399DD3-87D8-4993-B43C-319FE1BC0BB4}"/>
    <cellStyle name="Normal 2 10 3 2 3 3" xfId="33982" xr:uid="{623FD734-8E71-4FA9-93C2-7B28A92A75C0}"/>
    <cellStyle name="Normal 2 10 3 2 4" xfId="14803" xr:uid="{7F157E08-CE6F-4C64-8DB3-6E497024336F}"/>
    <cellStyle name="Normal 2 10 3 2 4 2" xfId="40295" xr:uid="{6171045C-AB3E-4EB6-AF32-B856DE3FA5AB}"/>
    <cellStyle name="Normal 2 10 3 2 5" xfId="27704" xr:uid="{FD5089E4-2C56-45D6-8628-47D55CCB265A}"/>
    <cellStyle name="Normal 2 10 3 3" xfId="3938" xr:uid="{C58F4E71-A6E0-44C2-8DBE-DADC8FE86689}"/>
    <cellStyle name="Normal 2 10 3 3 2" xfId="10231" xr:uid="{E65FB556-5D19-4660-A63F-204FFE898D1F}"/>
    <cellStyle name="Normal 2 10 3 3 2 2" xfId="22913" xr:uid="{43B57C17-3325-43DC-AD56-C7CCB757F9B0}"/>
    <cellStyle name="Normal 2 10 3 3 2 2 2" xfId="48405" xr:uid="{2877618B-91A5-432A-8734-A7E4C9AF65D2}"/>
    <cellStyle name="Normal 2 10 3 3 2 3" xfId="35814" xr:uid="{F7A1F592-5313-4FC6-ACC9-D6839CA77991}"/>
    <cellStyle name="Normal 2 10 3 3 3" xfId="16635" xr:uid="{0EF48BDB-A68F-4E28-AC36-7676AA9996BC}"/>
    <cellStyle name="Normal 2 10 3 3 3 2" xfId="42127" xr:uid="{46D0CBB7-75CC-4FCD-9530-1A55A5C49914}"/>
    <cellStyle name="Normal 2 10 3 3 4" xfId="29536" xr:uid="{5A61EECD-2B6D-4715-BC66-EC0D63DA724D}"/>
    <cellStyle name="Normal 2 10 3 4" xfId="7092" xr:uid="{6CDE509C-39CA-4F8F-A343-9A35C66FF263}"/>
    <cellStyle name="Normal 2 10 3 4 2" xfId="19774" xr:uid="{A958E70D-D2F9-497C-B6F4-0B67BB273541}"/>
    <cellStyle name="Normal 2 10 3 4 2 2" xfId="45266" xr:uid="{C29696B4-1029-4167-91F0-1290C07DF8D0}"/>
    <cellStyle name="Normal 2 10 3 4 3" xfId="32675" xr:uid="{4134DC07-6D9C-4E67-AE1D-509B3FA5FDEB}"/>
    <cellStyle name="Normal 2 10 3 5" xfId="13496" xr:uid="{A4371953-2055-4EFE-AD45-B1696E487246}"/>
    <cellStyle name="Normal 2 10 3 5 2" xfId="38988" xr:uid="{5EA08AE4-A85B-42B5-93B8-07AE19D0FD34}"/>
    <cellStyle name="Normal 2 10 3 6" xfId="26397" xr:uid="{525A8A34-9D5B-4984-995F-229733B67E6F}"/>
    <cellStyle name="Normal 2 10 4" xfId="1829" xr:uid="{762A7C2D-E60F-4F9A-9236-0C8A6B0F4AF4}"/>
    <cellStyle name="Normal 2 10 4 2" xfId="4983" xr:uid="{0921115E-851B-4379-ADE4-ACEE2587A193}"/>
    <cellStyle name="Normal 2 10 4 2 2" xfId="11276" xr:uid="{9E451B85-8AA3-46FF-84C8-58076AEB8C10}"/>
    <cellStyle name="Normal 2 10 4 2 2 2" xfId="23958" xr:uid="{25054724-CC6B-44D9-8D46-275E642B1CB1}"/>
    <cellStyle name="Normal 2 10 4 2 2 2 2" xfId="49450" xr:uid="{3AE39AA7-8069-4430-A505-7DB02426C688}"/>
    <cellStyle name="Normal 2 10 4 2 2 3" xfId="36859" xr:uid="{71C8D5FD-DB07-4D09-BE25-19E909A8A5A4}"/>
    <cellStyle name="Normal 2 10 4 2 3" xfId="17680" xr:uid="{55C922DD-8455-40DA-B8CC-85E0D44B7704}"/>
    <cellStyle name="Normal 2 10 4 2 3 2" xfId="43172" xr:uid="{76D5226E-01BF-4789-8C30-995052C40960}"/>
    <cellStyle name="Normal 2 10 4 2 4" xfId="30581" xr:uid="{2906B373-BF67-467C-810F-0421E7EE08E9}"/>
    <cellStyle name="Normal 2 10 4 3" xfId="8137" xr:uid="{99EE3321-2F4B-4196-8E88-B9CA34ACD892}"/>
    <cellStyle name="Normal 2 10 4 3 2" xfId="20819" xr:uid="{9E892B4C-0C57-4C80-A593-673E2DD98781}"/>
    <cellStyle name="Normal 2 10 4 3 2 2" xfId="46311" xr:uid="{1B2A23C1-2176-45BA-AE5C-A22ABD7BC2E0}"/>
    <cellStyle name="Normal 2 10 4 3 3" xfId="33720" xr:uid="{E7288F64-F591-4275-9D6A-9DE7F1F2F223}"/>
    <cellStyle name="Normal 2 10 4 4" xfId="14541" xr:uid="{A0327116-6A98-4EC3-B033-BB52F62FC8BD}"/>
    <cellStyle name="Normal 2 10 4 4 2" xfId="40033" xr:uid="{96BF08FC-0BB1-4787-81C4-5036E19BD4D1}"/>
    <cellStyle name="Normal 2 10 4 5" xfId="27442" xr:uid="{1C20B869-1C80-4414-A27B-3471DCEE56A2}"/>
    <cellStyle name="Normal 2 10 5" xfId="1307" xr:uid="{2DAFF2D9-6FED-49A2-9BB5-DFED1C89995C}"/>
    <cellStyle name="Normal 2 10 5 2" xfId="4461" xr:uid="{87783666-F345-4B34-A0B9-52B0092CEE42}"/>
    <cellStyle name="Normal 2 10 5 2 2" xfId="10754" xr:uid="{59B42CFB-D5E8-4128-AC49-CD33550FDC5C}"/>
    <cellStyle name="Normal 2 10 5 2 2 2" xfId="23436" xr:uid="{A9266614-49D8-40AB-B20B-39BC516A29EC}"/>
    <cellStyle name="Normal 2 10 5 2 2 2 2" xfId="48928" xr:uid="{C83DC796-7B2E-4DB6-9372-42BE30C2E290}"/>
    <cellStyle name="Normal 2 10 5 2 2 3" xfId="36337" xr:uid="{B1A258C7-0D34-4764-BF37-BAAC6E2E467C}"/>
    <cellStyle name="Normal 2 10 5 2 3" xfId="17158" xr:uid="{054D245C-4B1D-4D8F-B4C0-D45269C06A6E}"/>
    <cellStyle name="Normal 2 10 5 2 3 2" xfId="42650" xr:uid="{3F70CE12-65FC-4482-967B-4DD861098516}"/>
    <cellStyle name="Normal 2 10 5 2 4" xfId="30059" xr:uid="{EC31AB54-4D3F-4387-ACB2-6DD4A8E4AE4D}"/>
    <cellStyle name="Normal 2 10 5 3" xfId="7615" xr:uid="{D4A692D8-ABF3-410E-A8AF-F3FD6C5804D4}"/>
    <cellStyle name="Normal 2 10 5 3 2" xfId="20297" xr:uid="{76E5E939-1B2F-42B6-B099-FBE5F2704FEC}"/>
    <cellStyle name="Normal 2 10 5 3 2 2" xfId="45789" xr:uid="{7DD20B84-F960-4787-85AE-B3939A0DA0EC}"/>
    <cellStyle name="Normal 2 10 5 3 3" xfId="33198" xr:uid="{DA79358D-DD52-40F5-899D-FB6B39211387}"/>
    <cellStyle name="Normal 2 10 5 4" xfId="14019" xr:uid="{0F637ACB-D020-477E-A09B-EDFC902C4489}"/>
    <cellStyle name="Normal 2 10 5 4 2" xfId="39511" xr:uid="{2D06A550-C949-4323-AF16-CF11B394ACCE}"/>
    <cellStyle name="Normal 2 10 5 5" xfId="26920" xr:uid="{ED0339A6-1EB4-4501-B7D4-EFD3C165442A}"/>
    <cellStyle name="Normal 2 10 6" xfId="2614" xr:uid="{08D95642-BAC1-441D-A556-CDC6397AFDE5}"/>
    <cellStyle name="Normal 2 10 6 2" xfId="5768" xr:uid="{5C2A3B62-5D0C-477A-B052-25313F104AA9}"/>
    <cellStyle name="Normal 2 10 6 2 2" xfId="12061" xr:uid="{0AE9FC5E-CAE6-4BAA-8EB4-D9CF1533AB38}"/>
    <cellStyle name="Normal 2 10 6 2 2 2" xfId="24743" xr:uid="{7EED7E06-58C5-41DB-AE74-7C532D5BC5CF}"/>
    <cellStyle name="Normal 2 10 6 2 2 2 2" xfId="50235" xr:uid="{2050E5BA-EF54-43F2-985F-5018682FF7CC}"/>
    <cellStyle name="Normal 2 10 6 2 2 3" xfId="37644" xr:uid="{FC2EE56C-0A5C-4163-B0CA-C60B4DD13A67}"/>
    <cellStyle name="Normal 2 10 6 2 3" xfId="18465" xr:uid="{193DF0E4-DDFE-4731-A9F3-63E69EB2DB78}"/>
    <cellStyle name="Normal 2 10 6 2 3 2" xfId="43957" xr:uid="{419C78E8-11DE-47C3-855B-64F4B73B2DE1}"/>
    <cellStyle name="Normal 2 10 6 2 4" xfId="31366" xr:uid="{67716481-380E-47B8-93E6-4FC39EA86202}"/>
    <cellStyle name="Normal 2 10 6 3" xfId="8922" xr:uid="{9D0D641D-DE6D-4369-9064-51C50DD4EEBB}"/>
    <cellStyle name="Normal 2 10 6 3 2" xfId="21604" xr:uid="{DBADEE8F-E78D-4DA0-85C5-8027A2C882FB}"/>
    <cellStyle name="Normal 2 10 6 3 2 2" xfId="47096" xr:uid="{1E95ADA7-333D-4EC5-8B55-B263CAF2CEDE}"/>
    <cellStyle name="Normal 2 10 6 3 3" xfId="34505" xr:uid="{001C2658-BB1B-4507-8F28-4E9A65038D6E}"/>
    <cellStyle name="Normal 2 10 6 4" xfId="15326" xr:uid="{BE98FBE2-9FF3-4D33-A63E-6546DF75E30D}"/>
    <cellStyle name="Normal 2 10 6 4 2" xfId="40818" xr:uid="{FECCB18B-C1A6-47AC-80BB-7081A6B05F34}"/>
    <cellStyle name="Normal 2 10 6 5" xfId="28227" xr:uid="{FDEA6C84-B676-4B36-8F14-8710A381D9BA}"/>
    <cellStyle name="Normal 2 10 7" xfId="3137" xr:uid="{823F65D0-42B2-498F-9B5B-E1FB62D6B3AD}"/>
    <cellStyle name="Normal 2 10 7 2" xfId="6291" xr:uid="{E0C2C39C-A5FD-4D2A-8527-7411986E38CE}"/>
    <cellStyle name="Normal 2 10 7 2 2" xfId="12584" xr:uid="{CB7ABA30-E9FC-4886-A1C5-2F18E427A67D}"/>
    <cellStyle name="Normal 2 10 7 2 2 2" xfId="25266" xr:uid="{E2125652-D9A8-483F-A25C-36D815EC8DF1}"/>
    <cellStyle name="Normal 2 10 7 2 2 2 2" xfId="50758" xr:uid="{D88BF106-9D1F-465E-B79B-6D5F45DDA8AB}"/>
    <cellStyle name="Normal 2 10 7 2 2 3" xfId="38167" xr:uid="{2DC46CA3-8F2D-45CC-9C41-39D52EE2AF15}"/>
    <cellStyle name="Normal 2 10 7 2 3" xfId="18988" xr:uid="{02F21A60-7B6E-4434-BA5E-5E086C251B38}"/>
    <cellStyle name="Normal 2 10 7 2 3 2" xfId="44480" xr:uid="{5DDD4F8E-5A42-409E-A6E6-6A60BB37B8B3}"/>
    <cellStyle name="Normal 2 10 7 2 4" xfId="31889" xr:uid="{0AD537B1-2141-4E22-8FD7-13ADB4C6B8A6}"/>
    <cellStyle name="Normal 2 10 7 3" xfId="9445" xr:uid="{A2D06477-897E-4370-AC24-F2FAE179BAFA}"/>
    <cellStyle name="Normal 2 10 7 3 2" xfId="22127" xr:uid="{CBA21A71-4B9D-4A60-823E-F2EFEC62EF8B}"/>
    <cellStyle name="Normal 2 10 7 3 2 2" xfId="47619" xr:uid="{C196C16E-4E54-46F3-93E9-C53F549A2560}"/>
    <cellStyle name="Normal 2 10 7 3 3" xfId="35028" xr:uid="{0063E05C-B7D9-4722-B17A-F6255AB22DE5}"/>
    <cellStyle name="Normal 2 10 7 4" xfId="15849" xr:uid="{A959809D-32BB-46DB-A398-E6C0FEC4D64D}"/>
    <cellStyle name="Normal 2 10 7 4 2" xfId="41341" xr:uid="{FA0223CC-8A23-4103-8347-858EBA44EE09}"/>
    <cellStyle name="Normal 2 10 7 5" xfId="28750" xr:uid="{70D268C6-6A7B-4254-A094-F8529F4C1463}"/>
    <cellStyle name="Normal 2 10 8" xfId="3676" xr:uid="{5BAE4C72-8581-4EE8-8B65-EF48B5ADE7AB}"/>
    <cellStyle name="Normal 2 10 8 2" xfId="9969" xr:uid="{5F3D75F1-3DB7-4214-B134-E2B0E543E2C8}"/>
    <cellStyle name="Normal 2 10 8 2 2" xfId="22651" xr:uid="{10A9CE52-86E8-44D5-81C9-FEF4026C0CDB}"/>
    <cellStyle name="Normal 2 10 8 2 2 2" xfId="48143" xr:uid="{08622594-2122-460A-BB43-79ABF00590C1}"/>
    <cellStyle name="Normal 2 10 8 2 3" xfId="35552" xr:uid="{BF64BF87-4442-4ADC-96DB-CD96B9F6E66A}"/>
    <cellStyle name="Normal 2 10 8 3" xfId="16373" xr:uid="{F142B0D2-B5A1-42EC-9EFD-D30582A90D31}"/>
    <cellStyle name="Normal 2 10 8 3 2" xfId="41865" xr:uid="{DE1511E4-10A6-4234-B618-F831A324AD5F}"/>
    <cellStyle name="Normal 2 10 8 4" xfId="29274" xr:uid="{99D207F2-9BA5-4B84-B508-EC6EA72AE07B}"/>
    <cellStyle name="Normal 2 10 9" xfId="6830" xr:uid="{61319DC2-8FFB-481F-8087-16C9DD35051F}"/>
    <cellStyle name="Normal 2 10 9 2" xfId="19512" xr:uid="{F0B87559-656C-46CB-B2E3-DA209BDFC447}"/>
    <cellStyle name="Normal 2 10 9 2 2" xfId="45004" xr:uid="{0B6E20A2-C870-4EBD-BCF4-3E5CC826198B}"/>
    <cellStyle name="Normal 2 10 9 3" xfId="32413" xr:uid="{718098F4-D3D8-4ABF-8966-D640CCFEC76D}"/>
    <cellStyle name="Normal 2 11" xfId="666" xr:uid="{499B0FE5-2313-4B87-B540-B31C8EAE17A1}"/>
    <cellStyle name="Normal 2 11 10" xfId="13393" xr:uid="{43EAF864-0335-42D1-A212-D365677DAF6D}"/>
    <cellStyle name="Normal 2 11 10 2" xfId="38885" xr:uid="{942A2CEE-B404-4305-AFF8-F3999DF3A590}"/>
    <cellStyle name="Normal 2 11 11" xfId="26294" xr:uid="{928C55AB-82C8-4EC4-862E-1BC3CA45325E}"/>
    <cellStyle name="Normal 2 11 2" xfId="1203" xr:uid="{E5871FF6-EF4F-4EDB-A961-0B37F3190EC2}"/>
    <cellStyle name="Normal 2 11 2 2" xfId="2510" xr:uid="{75C0E0B0-2981-442A-A6E8-1B76B829B1F4}"/>
    <cellStyle name="Normal 2 11 2 2 2" xfId="5664" xr:uid="{0AD02902-690C-4A10-AAC7-FACAF55ECD05}"/>
    <cellStyle name="Normal 2 11 2 2 2 2" xfId="11957" xr:uid="{F108C4E1-B4BB-410D-8CE7-E4E36418EFD7}"/>
    <cellStyle name="Normal 2 11 2 2 2 2 2" xfId="24639" xr:uid="{9C8A5ADD-57CE-45B9-99A0-2D510D06CEB0}"/>
    <cellStyle name="Normal 2 11 2 2 2 2 2 2" xfId="50131" xr:uid="{69176E27-D4CD-4ECE-9080-E902D59EF54E}"/>
    <cellStyle name="Normal 2 11 2 2 2 2 3" xfId="37540" xr:uid="{6E1E128D-FD67-4971-B438-DA76AA6A3017}"/>
    <cellStyle name="Normal 2 11 2 2 2 3" xfId="18361" xr:uid="{72860477-3BDF-4A17-9B18-485D6E2CCC44}"/>
    <cellStyle name="Normal 2 11 2 2 2 3 2" xfId="43853" xr:uid="{87EAE6DB-E936-482F-95C9-0F4B37967944}"/>
    <cellStyle name="Normal 2 11 2 2 2 4" xfId="31262" xr:uid="{0B7215FE-0ED2-4D88-87DA-EF9CFECCBA9C}"/>
    <cellStyle name="Normal 2 11 2 2 3" xfId="8818" xr:uid="{8505A429-8F00-4D44-9E44-C088DF536428}"/>
    <cellStyle name="Normal 2 11 2 2 3 2" xfId="21500" xr:uid="{AD73B57F-3580-4C00-9AA8-F512D1AFC69F}"/>
    <cellStyle name="Normal 2 11 2 2 3 2 2" xfId="46992" xr:uid="{3A25268B-61E4-4B9E-914C-84AAF08479D9}"/>
    <cellStyle name="Normal 2 11 2 2 3 3" xfId="34401" xr:uid="{1BE09510-78DA-443A-A2F1-1BF38240D733}"/>
    <cellStyle name="Normal 2 11 2 2 4" xfId="15222" xr:uid="{EE767DA1-5A23-4DDD-AD85-66A3C6F17881}"/>
    <cellStyle name="Normal 2 11 2 2 4 2" xfId="40714" xr:uid="{25AD8088-B93A-4B4C-B598-8ACD51EDA3D5}"/>
    <cellStyle name="Normal 2 11 2 2 5" xfId="28123" xr:uid="{577D638C-1722-4DF2-A4B9-65AFD1479D3A}"/>
    <cellStyle name="Normal 2 11 2 3" xfId="1727" xr:uid="{1B3BC5CE-4F5E-4C72-8457-0E68D8E8ADCD}"/>
    <cellStyle name="Normal 2 11 2 3 2" xfId="4881" xr:uid="{37F57C96-56A9-49C8-B336-DA9CA53EBB98}"/>
    <cellStyle name="Normal 2 11 2 3 2 2" xfId="11174" xr:uid="{44B0D87D-4C21-465D-8D66-8A0080960555}"/>
    <cellStyle name="Normal 2 11 2 3 2 2 2" xfId="23856" xr:uid="{042D4D73-066B-4FC1-B728-0FFD6F6C7A4A}"/>
    <cellStyle name="Normal 2 11 2 3 2 2 2 2" xfId="49348" xr:uid="{08345507-BC91-49B3-818C-5768047724A9}"/>
    <cellStyle name="Normal 2 11 2 3 2 2 3" xfId="36757" xr:uid="{4D8847D9-42CF-46D3-B600-C9D18F9A108A}"/>
    <cellStyle name="Normal 2 11 2 3 2 3" xfId="17578" xr:uid="{461E69E4-E3C3-4CA2-AD3D-9F0204392B96}"/>
    <cellStyle name="Normal 2 11 2 3 2 3 2" xfId="43070" xr:uid="{D2A36290-38DE-402B-8DB6-8099F9E3F3AE}"/>
    <cellStyle name="Normal 2 11 2 3 2 4" xfId="30479" xr:uid="{99873FFF-B57B-448E-8A63-495B71A589AC}"/>
    <cellStyle name="Normal 2 11 2 3 3" xfId="8035" xr:uid="{0F40113D-E79E-48CA-8A7F-ADAC58F1DCB2}"/>
    <cellStyle name="Normal 2 11 2 3 3 2" xfId="20717" xr:uid="{E3775A53-0BD1-4A1D-8281-13F90BD7C11F}"/>
    <cellStyle name="Normal 2 11 2 3 3 2 2" xfId="46209" xr:uid="{F2AE36FC-84C9-4117-8BC6-BF1CD63E7444}"/>
    <cellStyle name="Normal 2 11 2 3 3 3" xfId="33618" xr:uid="{0388A912-800E-4CDB-934D-68C6476128D3}"/>
    <cellStyle name="Normal 2 11 2 3 4" xfId="14439" xr:uid="{BC40F0AD-F976-4230-B654-1D90D0149C23}"/>
    <cellStyle name="Normal 2 11 2 3 4 2" xfId="39931" xr:uid="{894FFAAF-1B8F-4246-93E3-9124DDD81259}"/>
    <cellStyle name="Normal 2 11 2 3 5" xfId="27340" xr:uid="{F585A24A-304C-44F3-B701-64433DAD61F6}"/>
    <cellStyle name="Normal 2 11 2 4" xfId="3034" xr:uid="{FD305197-0127-4884-8F98-9F8C5B292476}"/>
    <cellStyle name="Normal 2 11 2 4 2" xfId="6188" xr:uid="{4361308E-19ED-452D-915C-C299FF73498C}"/>
    <cellStyle name="Normal 2 11 2 4 2 2" xfId="12481" xr:uid="{390F8096-AB4A-48C1-9D38-F0627CBEFD6A}"/>
    <cellStyle name="Normal 2 11 2 4 2 2 2" xfId="25163" xr:uid="{B1E429BB-3A7F-4A1F-8AA8-276A0E88DD98}"/>
    <cellStyle name="Normal 2 11 2 4 2 2 2 2" xfId="50655" xr:uid="{D37AB5CE-A4DC-4D49-BE69-28C5021C8A6B}"/>
    <cellStyle name="Normal 2 11 2 4 2 2 3" xfId="38064" xr:uid="{3BDEF9C9-463C-4571-B994-6687C9A9AF39}"/>
    <cellStyle name="Normal 2 11 2 4 2 3" xfId="18885" xr:uid="{59F0E627-C887-4DBC-9EB5-F5E247AE3E3D}"/>
    <cellStyle name="Normal 2 11 2 4 2 3 2" xfId="44377" xr:uid="{F2D18867-2293-408D-B4D2-C7F2C7AF75D3}"/>
    <cellStyle name="Normal 2 11 2 4 2 4" xfId="31786" xr:uid="{608CBB3C-C0AA-4AC1-A61E-53811A0F14B7}"/>
    <cellStyle name="Normal 2 11 2 4 3" xfId="9342" xr:uid="{E6AB7E2E-2E0D-4F4E-BF52-50E8E23075DE}"/>
    <cellStyle name="Normal 2 11 2 4 3 2" xfId="22024" xr:uid="{359BE8B0-4CFC-4C98-B3B9-50D1F1CC6A05}"/>
    <cellStyle name="Normal 2 11 2 4 3 2 2" xfId="47516" xr:uid="{C1972258-9D37-4EC8-80F7-13A232A88E04}"/>
    <cellStyle name="Normal 2 11 2 4 3 3" xfId="34925" xr:uid="{28A5274B-55DF-40F1-AA33-50943DD0E055}"/>
    <cellStyle name="Normal 2 11 2 4 4" xfId="15746" xr:uid="{EB586D24-3E82-4A1E-8245-C12593C1C5A0}"/>
    <cellStyle name="Normal 2 11 2 4 4 2" xfId="41238" xr:uid="{861C859A-AEC4-415B-81C1-45DC77FEBC62}"/>
    <cellStyle name="Normal 2 11 2 4 5" xfId="28647" xr:uid="{2072EA70-A76F-4C44-B32C-94A72561E02C}"/>
    <cellStyle name="Normal 2 11 2 5" xfId="3557" xr:uid="{15957938-81FF-4BAA-9E97-78A06BF611AC}"/>
    <cellStyle name="Normal 2 11 2 5 2" xfId="6711" xr:uid="{D7949E55-963C-4451-A4EB-72182A5D8E78}"/>
    <cellStyle name="Normal 2 11 2 5 2 2" xfId="13004" xr:uid="{DDF2B549-BDC8-4604-9EB3-D386110D051E}"/>
    <cellStyle name="Normal 2 11 2 5 2 2 2" xfId="25686" xr:uid="{829A4BEC-09FF-4928-84DA-CC011A0C9781}"/>
    <cellStyle name="Normal 2 11 2 5 2 2 2 2" xfId="51178" xr:uid="{3F9FE684-B2E9-4926-BC19-E7557911C609}"/>
    <cellStyle name="Normal 2 11 2 5 2 2 3" xfId="38587" xr:uid="{5071B7DD-7B4C-4135-A53A-877E6622E583}"/>
    <cellStyle name="Normal 2 11 2 5 2 3" xfId="19408" xr:uid="{6D76F334-F161-49A7-9894-8505F84D685F}"/>
    <cellStyle name="Normal 2 11 2 5 2 3 2" xfId="44900" xr:uid="{8D4C8005-4DCD-4B3E-9210-FD7823C20A73}"/>
    <cellStyle name="Normal 2 11 2 5 2 4" xfId="32309" xr:uid="{E451809F-F2DB-44F4-8ACB-1FB2F0F9B69A}"/>
    <cellStyle name="Normal 2 11 2 5 3" xfId="9865" xr:uid="{CA999A38-20E3-4625-B155-201F706817BA}"/>
    <cellStyle name="Normal 2 11 2 5 3 2" xfId="22547" xr:uid="{131D31C5-0E41-4ABD-8D90-5A7E0E498FCE}"/>
    <cellStyle name="Normal 2 11 2 5 3 2 2" xfId="48039" xr:uid="{4A3EDACB-EF71-4BF3-A086-27BD21122A51}"/>
    <cellStyle name="Normal 2 11 2 5 3 3" xfId="35448" xr:uid="{85DAD41D-D5C0-410A-9033-3B7F11869C84}"/>
    <cellStyle name="Normal 2 11 2 5 4" xfId="16269" xr:uid="{E264C49B-A4E1-4B32-AFF6-F5C729B0A591}"/>
    <cellStyle name="Normal 2 11 2 5 4 2" xfId="41761" xr:uid="{33F70A0A-CE4E-45B4-AA9C-FB938C9E4597}"/>
    <cellStyle name="Normal 2 11 2 5 5" xfId="29170" xr:uid="{4BAF432B-4A4C-44C1-BDB9-9EBB3A8647D6}"/>
    <cellStyle name="Normal 2 11 2 6" xfId="4357" xr:uid="{1BC5656E-8D18-4909-B86D-18B057FCA997}"/>
    <cellStyle name="Normal 2 11 2 6 2" xfId="10650" xr:uid="{7D948FC8-AFCC-477E-88BC-F17CBEFA111C}"/>
    <cellStyle name="Normal 2 11 2 6 2 2" xfId="23332" xr:uid="{0C72D0FE-ABD5-41A1-8860-A4AEC9B641DD}"/>
    <cellStyle name="Normal 2 11 2 6 2 2 2" xfId="48824" xr:uid="{FB061B65-7498-4DC5-A01F-88A328FCA9C2}"/>
    <cellStyle name="Normal 2 11 2 6 2 3" xfId="36233" xr:uid="{EA30A4BE-9740-414A-8052-6FEC4B5525C4}"/>
    <cellStyle name="Normal 2 11 2 6 3" xfId="17054" xr:uid="{DD56262E-9B73-451A-B0E3-C9B08DC49185}"/>
    <cellStyle name="Normal 2 11 2 6 3 2" xfId="42546" xr:uid="{958B7928-9E61-405E-B398-71E80FB56255}"/>
    <cellStyle name="Normal 2 11 2 6 4" xfId="29955" xr:uid="{8420E4D9-0412-4616-9FC9-F5692AE70C59}"/>
    <cellStyle name="Normal 2 11 2 7" xfId="7511" xr:uid="{7246072A-4B22-4532-8BC9-CD1E3FB8731C}"/>
    <cellStyle name="Normal 2 11 2 7 2" xfId="20193" xr:uid="{1E8A048C-E539-40E9-AB83-8875ED01FBBF}"/>
    <cellStyle name="Normal 2 11 2 7 2 2" xfId="45685" xr:uid="{D880E98E-5389-4B8B-8903-CAFB20C56F67}"/>
    <cellStyle name="Normal 2 11 2 7 3" xfId="33094" xr:uid="{4D40009D-0D19-4FC0-A6CC-BAD5487CC6EE}"/>
    <cellStyle name="Normal 2 11 2 8" xfId="13915" xr:uid="{25CB4BAC-E388-413D-8FF7-CABBB3F943FB}"/>
    <cellStyle name="Normal 2 11 2 8 2" xfId="39407" xr:uid="{C45BB3CA-0F7F-4950-84C8-CA1DF012102B}"/>
    <cellStyle name="Normal 2 11 2 9" xfId="26816" xr:uid="{522D2A53-5528-4A0C-ADF9-F51AA60AE083}"/>
    <cellStyle name="Normal 2 11 3" xfId="943" xr:uid="{0E485397-9573-43A2-94A3-2131D071CBE1}"/>
    <cellStyle name="Normal 2 11 3 2" xfId="2250" xr:uid="{5BB701C5-7DA8-4199-9F84-7F036308D69D}"/>
    <cellStyle name="Normal 2 11 3 2 2" xfId="5404" xr:uid="{CD6F76AA-063B-429C-A5A8-6506FAF8772E}"/>
    <cellStyle name="Normal 2 11 3 2 2 2" xfId="11697" xr:uid="{3D364D80-D956-4392-8EA3-F1271DB0768B}"/>
    <cellStyle name="Normal 2 11 3 2 2 2 2" xfId="24379" xr:uid="{F67BC311-D81B-484E-82E7-902582FFEBD9}"/>
    <cellStyle name="Normal 2 11 3 2 2 2 2 2" xfId="49871" xr:uid="{5B54F9EC-A32A-4E57-B716-B0CE1B35ED0C}"/>
    <cellStyle name="Normal 2 11 3 2 2 2 3" xfId="37280" xr:uid="{37335189-7250-4542-A5E4-66C4F68581C3}"/>
    <cellStyle name="Normal 2 11 3 2 2 3" xfId="18101" xr:uid="{1B825ADD-A11D-4980-8315-5BF99C2602D0}"/>
    <cellStyle name="Normal 2 11 3 2 2 3 2" xfId="43593" xr:uid="{9100F5C3-1157-4164-BE7D-EB900993A48F}"/>
    <cellStyle name="Normal 2 11 3 2 2 4" xfId="31002" xr:uid="{C4C62B6E-3387-4F4F-9E9E-2F5AFA2C1593}"/>
    <cellStyle name="Normal 2 11 3 2 3" xfId="8558" xr:uid="{907F8326-82C8-435D-A77F-5B1A7F3501CB}"/>
    <cellStyle name="Normal 2 11 3 2 3 2" xfId="21240" xr:uid="{1508E3D7-F0BA-4183-9ECF-A5898D0CAA3C}"/>
    <cellStyle name="Normal 2 11 3 2 3 2 2" xfId="46732" xr:uid="{B75970E0-9234-4E14-8BB3-4089E1E1D0A4}"/>
    <cellStyle name="Normal 2 11 3 2 3 3" xfId="34141" xr:uid="{FE10990E-F091-4829-905B-152E6B1C6A93}"/>
    <cellStyle name="Normal 2 11 3 2 4" xfId="14962" xr:uid="{97B34478-D593-4E8B-B9C5-5A3AC55EA234}"/>
    <cellStyle name="Normal 2 11 3 2 4 2" xfId="40454" xr:uid="{C63CE207-DC6E-41BC-B512-BD2E62FD6354}"/>
    <cellStyle name="Normal 2 11 3 2 5" xfId="27863" xr:uid="{61CA2EDF-0510-4F91-A454-C7B356015317}"/>
    <cellStyle name="Normal 2 11 3 3" xfId="4097" xr:uid="{2876D55B-2AC4-4ED3-8F24-CACF9C1443A4}"/>
    <cellStyle name="Normal 2 11 3 3 2" xfId="10390" xr:uid="{436C0836-B45C-4587-AE79-83DE216EBA86}"/>
    <cellStyle name="Normal 2 11 3 3 2 2" xfId="23072" xr:uid="{9A3F9004-87DE-4823-856F-934CBACAD8FC}"/>
    <cellStyle name="Normal 2 11 3 3 2 2 2" xfId="48564" xr:uid="{AA7F592E-625F-4CEB-A2E3-67E7EE090BF2}"/>
    <cellStyle name="Normal 2 11 3 3 2 3" xfId="35973" xr:uid="{F4B70788-999B-48B6-B67A-5F007CF05717}"/>
    <cellStyle name="Normal 2 11 3 3 3" xfId="16794" xr:uid="{20CF7A23-6A7B-4496-9609-81EABE89E317}"/>
    <cellStyle name="Normal 2 11 3 3 3 2" xfId="42286" xr:uid="{74AED34D-BA14-4321-B716-624B9CD9425F}"/>
    <cellStyle name="Normal 2 11 3 3 4" xfId="29695" xr:uid="{D990AAA3-923B-4C31-88C1-87609C9BD36E}"/>
    <cellStyle name="Normal 2 11 3 4" xfId="7251" xr:uid="{7C97DE74-3BC3-43F1-BAB7-70B8369A74D2}"/>
    <cellStyle name="Normal 2 11 3 4 2" xfId="19933" xr:uid="{114CF47D-B2CB-420A-BD86-922A564D0109}"/>
    <cellStyle name="Normal 2 11 3 4 2 2" xfId="45425" xr:uid="{D22D9ED9-BDD1-4BC0-8004-9B2C02661539}"/>
    <cellStyle name="Normal 2 11 3 4 3" xfId="32834" xr:uid="{CF8D3B59-8FE3-4C09-A9C5-0065FD95077F}"/>
    <cellStyle name="Normal 2 11 3 5" xfId="13655" xr:uid="{2F0D868C-7071-40F1-A90E-C2A972ADE102}"/>
    <cellStyle name="Normal 2 11 3 5 2" xfId="39147" xr:uid="{43B574CE-9166-460C-8725-70235285D923}"/>
    <cellStyle name="Normal 2 11 3 6" xfId="26556" xr:uid="{813D174E-E003-42F9-8430-8B5CDA9640FD}"/>
    <cellStyle name="Normal 2 11 4" xfId="1988" xr:uid="{F287FDFA-B3EF-49D0-83C1-1BED11DAE7DA}"/>
    <cellStyle name="Normal 2 11 4 2" xfId="5142" xr:uid="{9CF49F61-D7F0-447E-8AD1-F6F1070C1000}"/>
    <cellStyle name="Normal 2 11 4 2 2" xfId="11435" xr:uid="{C9AC6B5C-1696-4B90-A604-C4792994844C}"/>
    <cellStyle name="Normal 2 11 4 2 2 2" xfId="24117" xr:uid="{AACC1532-4F72-44D6-8CC5-C9605C8748B2}"/>
    <cellStyle name="Normal 2 11 4 2 2 2 2" xfId="49609" xr:uid="{CDD74217-008F-42F6-B5F7-5F7DB43D51B4}"/>
    <cellStyle name="Normal 2 11 4 2 2 3" xfId="37018" xr:uid="{7966C288-9260-4827-B6AC-0C14625AFAEB}"/>
    <cellStyle name="Normal 2 11 4 2 3" xfId="17839" xr:uid="{1C413ABD-CD91-4E79-8AE8-F4F29D5BA25B}"/>
    <cellStyle name="Normal 2 11 4 2 3 2" xfId="43331" xr:uid="{2D15DF57-6C8C-4568-A607-DA1FCB1502CB}"/>
    <cellStyle name="Normal 2 11 4 2 4" xfId="30740" xr:uid="{2946AA24-0A72-422A-832E-3CEEBA675F32}"/>
    <cellStyle name="Normal 2 11 4 3" xfId="8296" xr:uid="{BBEE57A2-1437-429D-9422-3825227DC6C3}"/>
    <cellStyle name="Normal 2 11 4 3 2" xfId="20978" xr:uid="{3C3D5221-D68B-4D66-BEA2-DCE945A9FAAB}"/>
    <cellStyle name="Normal 2 11 4 3 2 2" xfId="46470" xr:uid="{BB389F89-0CFF-41FD-98D5-C6885B582EB8}"/>
    <cellStyle name="Normal 2 11 4 3 3" xfId="33879" xr:uid="{2DCB491E-152C-4868-AB3F-2D92DC829A67}"/>
    <cellStyle name="Normal 2 11 4 4" xfId="14700" xr:uid="{8C4C45E0-E684-4607-BA16-C4030E23DF46}"/>
    <cellStyle name="Normal 2 11 4 4 2" xfId="40192" xr:uid="{2DBEC298-B2D7-40B0-858C-03A6CE69699F}"/>
    <cellStyle name="Normal 2 11 4 5" xfId="27601" xr:uid="{F8344926-28D6-4FDD-BDD1-6C5777DD084E}"/>
    <cellStyle name="Normal 2 11 5" xfId="1466" xr:uid="{4B753D85-3465-45C9-AB7E-0E05E8739A95}"/>
    <cellStyle name="Normal 2 11 5 2" xfId="4620" xr:uid="{7A656B7F-1FBC-4141-BF04-7718A97F1EE1}"/>
    <cellStyle name="Normal 2 11 5 2 2" xfId="10913" xr:uid="{E649786C-4BB2-459B-9B30-17EEF4E7039D}"/>
    <cellStyle name="Normal 2 11 5 2 2 2" xfId="23595" xr:uid="{8398AA13-556F-4D21-89C8-7B30C3F451F2}"/>
    <cellStyle name="Normal 2 11 5 2 2 2 2" xfId="49087" xr:uid="{A8EAB8EA-6F21-4ACD-AFBA-A4DFC34FA8B5}"/>
    <cellStyle name="Normal 2 11 5 2 2 3" xfId="36496" xr:uid="{77208000-EB43-4EFC-A101-B2DA915BD182}"/>
    <cellStyle name="Normal 2 11 5 2 3" xfId="17317" xr:uid="{83F63FC6-F41D-4723-AB98-6D8CA62DC81A}"/>
    <cellStyle name="Normal 2 11 5 2 3 2" xfId="42809" xr:uid="{39B10C26-83AC-4F60-B7A0-8795DC48F44B}"/>
    <cellStyle name="Normal 2 11 5 2 4" xfId="30218" xr:uid="{140971B0-4C60-4294-BFD0-420C2E14CAEE}"/>
    <cellStyle name="Normal 2 11 5 3" xfId="7774" xr:uid="{22BA03CD-DD23-413F-8928-E21A36C2F900}"/>
    <cellStyle name="Normal 2 11 5 3 2" xfId="20456" xr:uid="{BD79B003-F5D9-4B68-937B-8800A404C6BB}"/>
    <cellStyle name="Normal 2 11 5 3 2 2" xfId="45948" xr:uid="{83C7A86E-034D-4B54-83D8-64544C5A1CC7}"/>
    <cellStyle name="Normal 2 11 5 3 3" xfId="33357" xr:uid="{7A8A5006-B53A-4C88-AE0C-4F4155655D57}"/>
    <cellStyle name="Normal 2 11 5 4" xfId="14178" xr:uid="{6D8C26DB-1807-4903-ADC0-3348CB1E521C}"/>
    <cellStyle name="Normal 2 11 5 4 2" xfId="39670" xr:uid="{BB668365-2DA4-4FA3-A249-183A3617AC4F}"/>
    <cellStyle name="Normal 2 11 5 5" xfId="27079" xr:uid="{350F3F98-94B9-4CC5-8FAA-4B9DE7C6A223}"/>
    <cellStyle name="Normal 2 11 6" xfId="2773" xr:uid="{2C2E9E6D-1FF6-4492-828E-DE51E4C21CCA}"/>
    <cellStyle name="Normal 2 11 6 2" xfId="5927" xr:uid="{406CE788-51ED-4B01-8DDA-C27E056A6D00}"/>
    <cellStyle name="Normal 2 11 6 2 2" xfId="12220" xr:uid="{A464ECAB-7139-492F-AA03-EF722E4CDEA4}"/>
    <cellStyle name="Normal 2 11 6 2 2 2" xfId="24902" xr:uid="{622F1343-0CA0-49F7-8C1A-19D62838353F}"/>
    <cellStyle name="Normal 2 11 6 2 2 2 2" xfId="50394" xr:uid="{17B02773-DFFF-4DF2-9050-3AB514A7D62C}"/>
    <cellStyle name="Normal 2 11 6 2 2 3" xfId="37803" xr:uid="{26E9E88D-81E7-461E-9085-71964DBFC0CD}"/>
    <cellStyle name="Normal 2 11 6 2 3" xfId="18624" xr:uid="{8631F68C-1F01-4C5D-9F39-973147FDDDEB}"/>
    <cellStyle name="Normal 2 11 6 2 3 2" xfId="44116" xr:uid="{F501251F-6084-4DB3-A99E-7E0763198EAA}"/>
    <cellStyle name="Normal 2 11 6 2 4" xfId="31525" xr:uid="{90EF16B2-19A9-4086-B7CB-9772737F21D4}"/>
    <cellStyle name="Normal 2 11 6 3" xfId="9081" xr:uid="{3F714107-DAB4-4BF1-A535-344167811EBE}"/>
    <cellStyle name="Normal 2 11 6 3 2" xfId="21763" xr:uid="{D27EB730-FC37-4656-BEA9-5E2F38B151AB}"/>
    <cellStyle name="Normal 2 11 6 3 2 2" xfId="47255" xr:uid="{18B35172-C910-429D-B80A-E8C779EE980C}"/>
    <cellStyle name="Normal 2 11 6 3 3" xfId="34664" xr:uid="{0086AA6E-B219-4916-B913-9D7D1C540F22}"/>
    <cellStyle name="Normal 2 11 6 4" xfId="15485" xr:uid="{18BE62DF-FC31-4901-A2B9-AC6ECF9F1CBD}"/>
    <cellStyle name="Normal 2 11 6 4 2" xfId="40977" xr:uid="{C806C2B4-6977-4744-B7B4-8FAF6BE3B4AE}"/>
    <cellStyle name="Normal 2 11 6 5" xfId="28386" xr:uid="{2548D25B-EA64-44E4-8193-3DC0BDAF3041}"/>
    <cellStyle name="Normal 2 11 7" xfId="3296" xr:uid="{BB7A1246-E6A8-417E-89BE-F8660B2B9064}"/>
    <cellStyle name="Normal 2 11 7 2" xfId="6450" xr:uid="{4285F783-1067-473C-B796-52488D15AE96}"/>
    <cellStyle name="Normal 2 11 7 2 2" xfId="12743" xr:uid="{D6F9CDED-41F6-4541-82E6-C1C03D1DFD2F}"/>
    <cellStyle name="Normal 2 11 7 2 2 2" xfId="25425" xr:uid="{E9F8B2E1-660E-40ED-884B-3F8722C44ECE}"/>
    <cellStyle name="Normal 2 11 7 2 2 2 2" xfId="50917" xr:uid="{918FC394-220E-47A1-B332-65D4FA40785C}"/>
    <cellStyle name="Normal 2 11 7 2 2 3" xfId="38326" xr:uid="{A9481D35-C371-46BC-BB30-DBC1AE6AF8EC}"/>
    <cellStyle name="Normal 2 11 7 2 3" xfId="19147" xr:uid="{D83703F8-A59E-47E8-885A-11029E4A12DD}"/>
    <cellStyle name="Normal 2 11 7 2 3 2" xfId="44639" xr:uid="{E3DB5A72-85CE-465E-ABB2-98888C66D622}"/>
    <cellStyle name="Normal 2 11 7 2 4" xfId="32048" xr:uid="{9FD42AA2-2A7F-49AC-9309-AB34C6349C38}"/>
    <cellStyle name="Normal 2 11 7 3" xfId="9604" xr:uid="{98B6263F-A2F1-4998-95EE-06F69FE05F2C}"/>
    <cellStyle name="Normal 2 11 7 3 2" xfId="22286" xr:uid="{C1AF8C4F-1D66-4D16-B5E8-8309E5913E5E}"/>
    <cellStyle name="Normal 2 11 7 3 2 2" xfId="47778" xr:uid="{C94E7658-8F4E-449B-ACC2-60C6CCD58DF4}"/>
    <cellStyle name="Normal 2 11 7 3 3" xfId="35187" xr:uid="{0DFB7376-70EE-47EC-9B50-2195174E313F}"/>
    <cellStyle name="Normal 2 11 7 4" xfId="16008" xr:uid="{8DA3FBDB-D157-4FE3-8589-CA9C54BD2A01}"/>
    <cellStyle name="Normal 2 11 7 4 2" xfId="41500" xr:uid="{5DC8918B-65F2-4CDE-B376-F14881206BAA}"/>
    <cellStyle name="Normal 2 11 7 5" xfId="28909" xr:uid="{146B9D9E-86DF-490E-8931-2AE9A18E688F}"/>
    <cellStyle name="Normal 2 11 8" xfId="3835" xr:uid="{2BD206A9-56A7-4A3E-86FB-78C74FFE53CE}"/>
    <cellStyle name="Normal 2 11 8 2" xfId="10128" xr:uid="{1238E55B-1025-4A7F-A9E6-1223C511D792}"/>
    <cellStyle name="Normal 2 11 8 2 2" xfId="22810" xr:uid="{94E181BD-A1C3-4AAD-A69D-257B3B06C03B}"/>
    <cellStyle name="Normal 2 11 8 2 2 2" xfId="48302" xr:uid="{8C3C5D10-AA43-48E5-9EAF-D42DD8280CFE}"/>
    <cellStyle name="Normal 2 11 8 2 3" xfId="35711" xr:uid="{20EAA605-704F-460C-8E08-6678203ED621}"/>
    <cellStyle name="Normal 2 11 8 3" xfId="16532" xr:uid="{1C0E52B4-2BF0-4D67-9EB5-2D64302AD90D}"/>
    <cellStyle name="Normal 2 11 8 3 2" xfId="42024" xr:uid="{471F48B9-31D7-49B7-A9C8-07BAF07F3070}"/>
    <cellStyle name="Normal 2 11 8 4" xfId="29433" xr:uid="{B0BDF5FB-A119-4777-8651-6DE20B2C45F1}"/>
    <cellStyle name="Normal 2 11 9" xfId="6989" xr:uid="{EAC0C851-5A75-4C58-BA9C-D948ADE3EF11}"/>
    <cellStyle name="Normal 2 11 9 2" xfId="19671" xr:uid="{932591A1-7A74-483E-A739-6483AF68BECE}"/>
    <cellStyle name="Normal 2 11 9 2 2" xfId="45163" xr:uid="{44A4D180-CDA3-4529-87CF-751D7D922F28}"/>
    <cellStyle name="Normal 2 11 9 3" xfId="32572" xr:uid="{E14B7C70-173E-4588-8F8B-8DF938159789}"/>
    <cellStyle name="Normal 2 12" xfId="682" xr:uid="{0A49F834-9FDB-4985-9D6C-4CEB0CF06F2F}"/>
    <cellStyle name="Normal 2 12 10" xfId="26297" xr:uid="{F8F40536-95F3-4667-928F-CC05002ED10D}"/>
    <cellStyle name="Normal 2 12 2" xfId="1205" xr:uid="{A8DB5532-79B3-4AC8-B999-A9FEF355D632}"/>
    <cellStyle name="Normal 2 12 2 2" xfId="2512" xr:uid="{93BCC0E0-A1BA-4BFF-91FF-8CEA3376F2FD}"/>
    <cellStyle name="Normal 2 12 2 2 2" xfId="5666" xr:uid="{0BB196C5-A0FC-4DBC-A1D2-2BD9C87E7383}"/>
    <cellStyle name="Normal 2 12 2 2 2 2" xfId="11959" xr:uid="{BB25E7A1-2EBE-4C0C-B0B1-5AC3E2237122}"/>
    <cellStyle name="Normal 2 12 2 2 2 2 2" xfId="24641" xr:uid="{800BE597-2FD4-4064-BEEE-D8A81CAA1E4A}"/>
    <cellStyle name="Normal 2 12 2 2 2 2 2 2" xfId="50133" xr:uid="{0E65686E-8F01-4A98-BD72-684B2F12F72A}"/>
    <cellStyle name="Normal 2 12 2 2 2 2 3" xfId="37542" xr:uid="{F595281E-8C7E-4A42-985A-38AEA3B94ECC}"/>
    <cellStyle name="Normal 2 12 2 2 2 3" xfId="18363" xr:uid="{DF2D0C4F-783F-4BC6-B587-E5FD1B8AAF2D}"/>
    <cellStyle name="Normal 2 12 2 2 2 3 2" xfId="43855" xr:uid="{25CF4214-72EC-487A-93E5-1E46FCEEA196}"/>
    <cellStyle name="Normal 2 12 2 2 2 4" xfId="31264" xr:uid="{124A85E8-E2B3-4845-B874-0661E5AA35BB}"/>
    <cellStyle name="Normal 2 12 2 2 3" xfId="8820" xr:uid="{83E266DB-4E4D-48B9-AB5C-547B61F04F90}"/>
    <cellStyle name="Normal 2 12 2 2 3 2" xfId="21502" xr:uid="{8ABA47E8-7912-4610-973F-6A7A8A8B6BAB}"/>
    <cellStyle name="Normal 2 12 2 2 3 2 2" xfId="46994" xr:uid="{D2607F76-2F98-4514-9F79-D08702986D19}"/>
    <cellStyle name="Normal 2 12 2 2 3 3" xfId="34403" xr:uid="{B93C8540-C962-4905-A933-ECDEE24161E5}"/>
    <cellStyle name="Normal 2 12 2 2 4" xfId="15224" xr:uid="{62D090C3-470E-43FE-940B-F2E5BC2EF526}"/>
    <cellStyle name="Normal 2 12 2 2 4 2" xfId="40716" xr:uid="{1F7CBDF0-61F0-4FEB-9D28-5761D3A47909}"/>
    <cellStyle name="Normal 2 12 2 2 5" xfId="28125" xr:uid="{C63FE53A-0F68-49EB-B923-0DC8844CFCD6}"/>
    <cellStyle name="Normal 2 12 2 3" xfId="4359" xr:uid="{2C5E12B5-C28D-4051-BD6C-3C357EB62AE8}"/>
    <cellStyle name="Normal 2 12 2 3 2" xfId="10652" xr:uid="{2B4581E4-F6B5-4FEC-BB4A-8FAE123DC93E}"/>
    <cellStyle name="Normal 2 12 2 3 2 2" xfId="23334" xr:uid="{6BD39ACC-C7AB-4BA1-BAA9-CBEE6A36DD50}"/>
    <cellStyle name="Normal 2 12 2 3 2 2 2" xfId="48826" xr:uid="{685852EE-5A68-4176-84FF-7D6924E57BF6}"/>
    <cellStyle name="Normal 2 12 2 3 2 3" xfId="36235" xr:uid="{7114B9D8-CD45-4148-BC2E-F827AAF3A9EA}"/>
    <cellStyle name="Normal 2 12 2 3 3" xfId="17056" xr:uid="{04C3B8F4-8B6D-4793-A089-2F01CAF9DEF7}"/>
    <cellStyle name="Normal 2 12 2 3 3 2" xfId="42548" xr:uid="{8B92DA9C-BE4C-4473-AC8E-3211A588EDA8}"/>
    <cellStyle name="Normal 2 12 2 3 4" xfId="29957" xr:uid="{30FA3DF8-2579-4C19-A1BF-FFF2A1DB12C5}"/>
    <cellStyle name="Normal 2 12 2 4" xfId="7513" xr:uid="{56831A98-2884-401D-8098-A949627AAADA}"/>
    <cellStyle name="Normal 2 12 2 4 2" xfId="20195" xr:uid="{EC94CBFE-65E1-4CA1-B562-30586D5DA151}"/>
    <cellStyle name="Normal 2 12 2 4 2 2" xfId="45687" xr:uid="{6270D86E-93AB-4110-A11A-CB959BDE0179}"/>
    <cellStyle name="Normal 2 12 2 4 3" xfId="33096" xr:uid="{25DE7AF6-9D9D-49E2-AC1D-C9BDFE61545E}"/>
    <cellStyle name="Normal 2 12 2 5" xfId="13917" xr:uid="{4B05D6CE-7E14-4E61-B74D-AA6CFE97B1F4}"/>
    <cellStyle name="Normal 2 12 2 5 2" xfId="39409" xr:uid="{0D6E674E-C8FF-4BA0-B1B0-94951AEEB094}"/>
    <cellStyle name="Normal 2 12 2 6" xfId="26818" xr:uid="{3A1182B3-B589-4E33-A3BD-1A84E2948EEF}"/>
    <cellStyle name="Normal 2 12 3" xfId="1991" xr:uid="{C77256AB-6071-46F1-BF1C-F1A428F4A5CA}"/>
    <cellStyle name="Normal 2 12 3 2" xfId="5145" xr:uid="{32867348-31DE-4BB9-AAB3-79CB853FA189}"/>
    <cellStyle name="Normal 2 12 3 2 2" xfId="11438" xr:uid="{EA49A949-53F8-4867-98F9-6B5AD1105090}"/>
    <cellStyle name="Normal 2 12 3 2 2 2" xfId="24120" xr:uid="{FB3D4349-8925-4E98-9C15-BD4B42213C2B}"/>
    <cellStyle name="Normal 2 12 3 2 2 2 2" xfId="49612" xr:uid="{5BD0F9FA-6754-44B3-AF21-027AC1D2476D}"/>
    <cellStyle name="Normal 2 12 3 2 2 3" xfId="37021" xr:uid="{0F517781-738E-4970-8879-CCB8A3F15EE3}"/>
    <cellStyle name="Normal 2 12 3 2 3" xfId="17842" xr:uid="{3827E1B7-A7EA-4C3D-B55A-2312B11A97B5}"/>
    <cellStyle name="Normal 2 12 3 2 3 2" xfId="43334" xr:uid="{463E4E56-9B67-47AB-BE74-FD00544BA0D9}"/>
    <cellStyle name="Normal 2 12 3 2 4" xfId="30743" xr:uid="{46F0139B-CCCD-4E7C-AB01-2CEEE1C1196F}"/>
    <cellStyle name="Normal 2 12 3 3" xfId="8299" xr:uid="{73B56896-C05F-45EC-8ADE-6B63BA55C934}"/>
    <cellStyle name="Normal 2 12 3 3 2" xfId="20981" xr:uid="{741C28FC-86B3-4923-9923-F211D03C640E}"/>
    <cellStyle name="Normal 2 12 3 3 2 2" xfId="46473" xr:uid="{53855490-EFC3-4936-BB43-A32F858BFBE2}"/>
    <cellStyle name="Normal 2 12 3 3 3" xfId="33882" xr:uid="{2BF3ACAC-201C-473E-8612-B5880BA64B3C}"/>
    <cellStyle name="Normal 2 12 3 4" xfId="14703" xr:uid="{B664EC93-D26D-4991-9ABA-DD2CA0EF2C28}"/>
    <cellStyle name="Normal 2 12 3 4 2" xfId="40195" xr:uid="{BEC68C9F-404E-4B0D-8CE3-679F90CE2F6F}"/>
    <cellStyle name="Normal 2 12 3 5" xfId="27604" xr:uid="{C198893F-27F6-4E3E-9FEB-2E185DC51367}"/>
    <cellStyle name="Normal 2 12 4" xfId="1207" xr:uid="{0ADE9184-8576-47DE-83E8-EBBC9FFA3D91}"/>
    <cellStyle name="Normal 2 12 4 2" xfId="4361" xr:uid="{08B749C5-0F9B-421E-9178-5F02C17747FA}"/>
    <cellStyle name="Normal 2 12 4 2 2" xfId="10654" xr:uid="{035D16DE-6DB0-4017-9CC6-A95F67E49CC9}"/>
    <cellStyle name="Normal 2 12 4 2 2 2" xfId="23336" xr:uid="{E0EE15A3-D844-4EB5-A44F-ECD2A6DF814F}"/>
    <cellStyle name="Normal 2 12 4 2 2 2 2" xfId="48828" xr:uid="{8DA2BAB9-EFC7-46A2-8275-2D9A3E782C02}"/>
    <cellStyle name="Normal 2 12 4 2 2 3" xfId="36237" xr:uid="{A957A983-3545-49C4-BB60-C49387F7E58E}"/>
    <cellStyle name="Normal 2 12 4 2 3" xfId="17058" xr:uid="{9F727824-5A4F-4014-92A4-6E53828FA777}"/>
    <cellStyle name="Normal 2 12 4 2 3 2" xfId="42550" xr:uid="{0877BCCD-6E87-4B01-870D-47C0CFDF08F6}"/>
    <cellStyle name="Normal 2 12 4 2 4" xfId="29959" xr:uid="{7CBD557F-43D6-42D2-BEA1-A443BE951660}"/>
    <cellStyle name="Normal 2 12 4 3" xfId="7515" xr:uid="{2523DCAE-2B9F-4F9D-B96E-7C39ADD4CCE4}"/>
    <cellStyle name="Normal 2 12 4 3 2" xfId="20197" xr:uid="{E9E0234B-5A30-437E-AFDB-76EF7D25E08E}"/>
    <cellStyle name="Normal 2 12 4 3 2 2" xfId="45689" xr:uid="{CD8BA6E3-44FA-4C5A-A214-849D95A7B529}"/>
    <cellStyle name="Normal 2 12 4 3 3" xfId="33098" xr:uid="{1B4C8BF3-CB71-41E2-B744-15F7EBC4188C}"/>
    <cellStyle name="Normal 2 12 4 4" xfId="13919" xr:uid="{4D810791-1E2B-4388-B858-B9D8D61C9DBF}"/>
    <cellStyle name="Normal 2 12 4 4 2" xfId="39411" xr:uid="{FB5C00A6-D7B2-43CE-9DFF-CD44F3528E2C}"/>
    <cellStyle name="Normal 2 12 4 5" xfId="26820" xr:uid="{8FE0DA09-D0BD-4E01-AF8C-7F202DA1BF75}"/>
    <cellStyle name="Normal 2 12 5" xfId="2514" xr:uid="{7A49DBB1-D9ED-4B8C-B9EF-1ABBF38775E5}"/>
    <cellStyle name="Normal 2 12 5 2" xfId="5668" xr:uid="{09324FF4-C85D-447B-963F-50EF06EC5EF9}"/>
    <cellStyle name="Normal 2 12 5 2 2" xfId="11961" xr:uid="{C983AE77-6255-47F4-B213-63F5FD1DB7BC}"/>
    <cellStyle name="Normal 2 12 5 2 2 2" xfId="24643" xr:uid="{7C89296E-B3CB-4B2B-981B-B758FE496772}"/>
    <cellStyle name="Normal 2 12 5 2 2 2 2" xfId="50135" xr:uid="{DA365FA1-2C5E-4F24-8DB9-BD6D94EDC5AE}"/>
    <cellStyle name="Normal 2 12 5 2 2 3" xfId="37544" xr:uid="{9B36E535-A32B-4C06-81DE-D22F0F558E41}"/>
    <cellStyle name="Normal 2 12 5 2 3" xfId="18365" xr:uid="{B48B9716-1AB7-47E1-AB8F-A3A71622CD78}"/>
    <cellStyle name="Normal 2 12 5 2 3 2" xfId="43857" xr:uid="{B21980B9-69D7-4CF9-9EDD-FACBA5FE8133}"/>
    <cellStyle name="Normal 2 12 5 2 4" xfId="31266" xr:uid="{E0F5E352-CA81-4B48-A500-3125A31B9D81}"/>
    <cellStyle name="Normal 2 12 5 3" xfId="8822" xr:uid="{C116097D-A97C-4C48-977E-35366EF0E564}"/>
    <cellStyle name="Normal 2 12 5 3 2" xfId="21504" xr:uid="{350BF81A-5008-4AB2-8D07-FDEDA80C820B}"/>
    <cellStyle name="Normal 2 12 5 3 2 2" xfId="46996" xr:uid="{D450653A-CD15-4921-A4CE-A8D536DC1EAD}"/>
    <cellStyle name="Normal 2 12 5 3 3" xfId="34405" xr:uid="{43EE4E68-D4D3-41B9-8F9F-A45C04CEA0BA}"/>
    <cellStyle name="Normal 2 12 5 4" xfId="15226" xr:uid="{F033630A-60FC-4B1D-ACDB-736D48D7CFD7}"/>
    <cellStyle name="Normal 2 12 5 4 2" xfId="40718" xr:uid="{10AD0818-C789-4293-B830-BF0D207C11A0}"/>
    <cellStyle name="Normal 2 12 5 5" xfId="28127" xr:uid="{70786476-C659-4F6F-B3A6-6022C3B40376}"/>
    <cellStyle name="Normal 2 12 6" xfId="3037" xr:uid="{863CE2CD-8FF8-41B3-A834-3B44D4D12B9B}"/>
    <cellStyle name="Normal 2 12 6 2" xfId="6191" xr:uid="{98DFE5AF-B32B-47F4-8BF5-E88AB63E4CDE}"/>
    <cellStyle name="Normal 2 12 6 2 2" xfId="12484" xr:uid="{08EBDB0C-3B9D-4A9B-8336-E82D7113DFC4}"/>
    <cellStyle name="Normal 2 12 6 2 2 2" xfId="25166" xr:uid="{61D55422-F4F9-4D7F-B196-498D5272DA8A}"/>
    <cellStyle name="Normal 2 12 6 2 2 2 2" xfId="50658" xr:uid="{7B8CDDBF-5871-4B04-A34E-B3D69DFEF862}"/>
    <cellStyle name="Normal 2 12 6 2 2 3" xfId="38067" xr:uid="{726AC440-2383-4446-B206-2EFDE189E8CB}"/>
    <cellStyle name="Normal 2 12 6 2 3" xfId="18888" xr:uid="{0AA60A26-0024-4D85-9253-2D5E08264657}"/>
    <cellStyle name="Normal 2 12 6 2 3 2" xfId="44380" xr:uid="{F83E0754-1A3A-4896-8128-D93DC57207DF}"/>
    <cellStyle name="Normal 2 12 6 2 4" xfId="31789" xr:uid="{E369A92A-19F7-4E0F-852B-206A1F0F420F}"/>
    <cellStyle name="Normal 2 12 6 3" xfId="9345" xr:uid="{5EB07482-1091-4ECE-987A-F0199BAB3229}"/>
    <cellStyle name="Normal 2 12 6 3 2" xfId="22027" xr:uid="{21601745-C431-46E8-AD2D-0F9F94E96602}"/>
    <cellStyle name="Normal 2 12 6 3 2 2" xfId="47519" xr:uid="{87BB35A1-4ED5-4C03-B240-C593DEA8D747}"/>
    <cellStyle name="Normal 2 12 6 3 3" xfId="34928" xr:uid="{4B6171A1-AB07-4BC4-8AE7-F411F3C91283}"/>
    <cellStyle name="Normal 2 12 6 4" xfId="15749" xr:uid="{F0918697-F4E8-453A-88AA-80971613A723}"/>
    <cellStyle name="Normal 2 12 6 4 2" xfId="41241" xr:uid="{11671A15-FAA9-44C5-8D8D-AA1444BD7828}"/>
    <cellStyle name="Normal 2 12 6 5" xfId="28650" xr:uid="{DE9D433F-7779-4A03-8A58-83FEF1A82459}"/>
    <cellStyle name="Normal 2 12 7" xfId="3838" xr:uid="{9F3CA74C-ADC0-49EF-B28D-3B4C8D8B7B70}"/>
    <cellStyle name="Normal 2 12 7 2" xfId="10131" xr:uid="{68C0E989-DA13-43EA-942D-91E4494BB2C6}"/>
    <cellStyle name="Normal 2 12 7 2 2" xfId="22813" xr:uid="{2870B27B-6E95-469D-90F6-BB1CF7046A02}"/>
    <cellStyle name="Normal 2 12 7 2 2 2" xfId="48305" xr:uid="{760B5B8E-8A80-44CF-9F31-E4C7F5CB10BC}"/>
    <cellStyle name="Normal 2 12 7 2 3" xfId="35714" xr:uid="{97A8BE30-748E-46DE-B1D5-4A9F643DEBFF}"/>
    <cellStyle name="Normal 2 12 7 3" xfId="16535" xr:uid="{75E46EE5-CCAE-4E64-A247-E4FDAB8E9833}"/>
    <cellStyle name="Normal 2 12 7 3 2" xfId="42027" xr:uid="{247667FB-FD7A-4A28-8433-C49BEFC9F90C}"/>
    <cellStyle name="Normal 2 12 7 4" xfId="29436" xr:uid="{4C8AD7D4-9631-456A-9F38-2F20EA396944}"/>
    <cellStyle name="Normal 2 12 8" xfId="6992" xr:uid="{C5BAD0B9-51D2-4EAE-8BAF-7520DDA89180}"/>
    <cellStyle name="Normal 2 12 8 2" xfId="19674" xr:uid="{8AB7860A-AC52-4BC4-AF1D-02829D4EB27D}"/>
    <cellStyle name="Normal 2 12 8 2 2" xfId="45166" xr:uid="{DB95334D-3EAE-4DC5-9AA9-928BCDF9B699}"/>
    <cellStyle name="Normal 2 12 8 3" xfId="32575" xr:uid="{9E567CE8-3F82-4F4A-9592-0782D7CBE456}"/>
    <cellStyle name="Normal 2 12 9" xfId="13396" xr:uid="{195F0BF3-67D4-4C23-A689-8DD4292CF419}"/>
    <cellStyle name="Normal 2 12 9 2" xfId="38888" xr:uid="{3971E910-EEE5-44CA-87C4-56B389F7F92A}"/>
    <cellStyle name="Normal 2 13" xfId="944" xr:uid="{4875E9D5-6584-4B23-B471-497BAEE2F473}"/>
    <cellStyle name="Normal 2 13 2" xfId="2251" xr:uid="{4DC7E426-B585-4529-ACB1-7BB6AA11FC1B}"/>
    <cellStyle name="Normal 2 13 2 2" xfId="5405" xr:uid="{F18A3339-8D80-46FD-BFBD-62564C212CF6}"/>
    <cellStyle name="Normal 2 13 2 2 2" xfId="11698" xr:uid="{7FD064CD-CC1A-4114-8241-8BC3F3F848F0}"/>
    <cellStyle name="Normal 2 13 2 2 2 2" xfId="24380" xr:uid="{6A286266-CB7B-421D-8371-2491CFFBCA48}"/>
    <cellStyle name="Normal 2 13 2 2 2 2 2" xfId="49872" xr:uid="{7D7170CB-EB27-47CD-A0ED-7BF5CF0873F7}"/>
    <cellStyle name="Normal 2 13 2 2 2 3" xfId="37281" xr:uid="{4E5F2F68-C608-489F-A635-D5560AFA547D}"/>
    <cellStyle name="Normal 2 13 2 2 3" xfId="18102" xr:uid="{CF559AD8-2640-42DA-9D82-CD911D26ACD7}"/>
    <cellStyle name="Normal 2 13 2 2 3 2" xfId="43594" xr:uid="{25E8F102-479D-475C-871B-0904B1DD6A31}"/>
    <cellStyle name="Normal 2 13 2 2 4" xfId="31003" xr:uid="{E21955D3-3DEB-41C4-BC39-894108988F43}"/>
    <cellStyle name="Normal 2 13 2 3" xfId="8559" xr:uid="{E257CBE5-23A0-4348-B654-D1A7638910D2}"/>
    <cellStyle name="Normal 2 13 2 3 2" xfId="21241" xr:uid="{EFF12524-94A4-4EFB-8907-EDE6D096F65B}"/>
    <cellStyle name="Normal 2 13 2 3 2 2" xfId="46733" xr:uid="{A50EC91A-4654-4502-ABCA-58ED190F676F}"/>
    <cellStyle name="Normal 2 13 2 3 3" xfId="34142" xr:uid="{CB676FDA-F80F-4752-8B3A-0D49C0BDF597}"/>
    <cellStyle name="Normal 2 13 2 4" xfId="14963" xr:uid="{B57B374B-96C8-4F8F-87D2-3A8BED16461E}"/>
    <cellStyle name="Normal 2 13 2 4 2" xfId="40455" xr:uid="{70D25A15-8681-4750-83F1-9D026A118B2C}"/>
    <cellStyle name="Normal 2 13 2 5" xfId="27864" xr:uid="{6EA6392A-D685-48D9-96EF-3BA1DCF6088D}"/>
    <cellStyle name="Normal 2 13 3" xfId="1468" xr:uid="{39179E21-DA23-496E-BF88-50507E7E6AAD}"/>
    <cellStyle name="Normal 2 13 3 2" xfId="4622" xr:uid="{4190E0E0-430F-4665-9140-DACACC88FC1D}"/>
    <cellStyle name="Normal 2 13 3 2 2" xfId="10915" xr:uid="{EF5CFE11-8AFA-43AC-B717-D658D76E9A82}"/>
    <cellStyle name="Normal 2 13 3 2 2 2" xfId="23597" xr:uid="{F5C38797-62EC-4DB6-B86F-C56DAB5178F2}"/>
    <cellStyle name="Normal 2 13 3 2 2 2 2" xfId="49089" xr:uid="{EF7F0189-1C4E-421C-A6C2-B4372CE9AC25}"/>
    <cellStyle name="Normal 2 13 3 2 2 3" xfId="36498" xr:uid="{7A20337C-5A5A-4BDC-923B-774BBCBFE05F}"/>
    <cellStyle name="Normal 2 13 3 2 3" xfId="17319" xr:uid="{E4554268-80A9-4C44-AB94-CC1C4DEF803A}"/>
    <cellStyle name="Normal 2 13 3 2 3 2" xfId="42811" xr:uid="{5FB4CD75-6BFA-429A-83D1-CDA0B795834E}"/>
    <cellStyle name="Normal 2 13 3 2 4" xfId="30220" xr:uid="{299BEDE2-3F0E-45B5-B7AA-A6115E6D9395}"/>
    <cellStyle name="Normal 2 13 3 3" xfId="7776" xr:uid="{72F9FEDD-4935-4784-9124-884F29807BC7}"/>
    <cellStyle name="Normal 2 13 3 3 2" xfId="20458" xr:uid="{EAF8D054-18A2-490E-8D64-ACEC9541C0AA}"/>
    <cellStyle name="Normal 2 13 3 3 2 2" xfId="45950" xr:uid="{76F5E4FD-AE41-4619-8C8C-656E5ACD1FFF}"/>
    <cellStyle name="Normal 2 13 3 3 3" xfId="33359" xr:uid="{56AD78BC-8327-4B02-94C2-A72968BB39E2}"/>
    <cellStyle name="Normal 2 13 3 4" xfId="14180" xr:uid="{7A9929F2-4BC9-486B-B74A-04DCC8D8F657}"/>
    <cellStyle name="Normal 2 13 3 4 2" xfId="39672" xr:uid="{7E346589-AEC1-4205-A621-DA885F325592}"/>
    <cellStyle name="Normal 2 13 3 5" xfId="27081" xr:uid="{DED0A861-FBB8-4792-91CB-3546D5DEB5A3}"/>
    <cellStyle name="Normal 2 13 4" xfId="2775" xr:uid="{02E8D23D-AEB1-45D5-88EC-C08A1621F546}"/>
    <cellStyle name="Normal 2 13 4 2" xfId="5929" xr:uid="{A4134426-B9A8-4579-B908-8B37F3B5A054}"/>
    <cellStyle name="Normal 2 13 4 2 2" xfId="12222" xr:uid="{2D1FA3D7-9050-4486-89DE-F5DDBBFC793E}"/>
    <cellStyle name="Normal 2 13 4 2 2 2" xfId="24904" xr:uid="{23B46A84-B2C1-459D-BBC8-C6E4B19DC08B}"/>
    <cellStyle name="Normal 2 13 4 2 2 2 2" xfId="50396" xr:uid="{0CE3529B-7A11-4BB5-997D-97B121C0D6F4}"/>
    <cellStyle name="Normal 2 13 4 2 2 3" xfId="37805" xr:uid="{9C42EB78-0EFB-4A82-98D7-4959D9B30F58}"/>
    <cellStyle name="Normal 2 13 4 2 3" xfId="18626" xr:uid="{E2876310-F1AE-4DC7-82C3-D0EFDD5051A6}"/>
    <cellStyle name="Normal 2 13 4 2 3 2" xfId="44118" xr:uid="{23927523-36A4-4C23-B638-D225B027624E}"/>
    <cellStyle name="Normal 2 13 4 2 4" xfId="31527" xr:uid="{5A7A52C2-19D9-482F-A5D2-DDBB66EFC88A}"/>
    <cellStyle name="Normal 2 13 4 3" xfId="9083" xr:uid="{58E88175-4EFB-4D27-B9F3-0B7631A25670}"/>
    <cellStyle name="Normal 2 13 4 3 2" xfId="21765" xr:uid="{C02C7C4F-180F-4B93-98ED-F7F687817486}"/>
    <cellStyle name="Normal 2 13 4 3 2 2" xfId="47257" xr:uid="{BA7074DB-2894-4FD6-8156-13BB7F799278}"/>
    <cellStyle name="Normal 2 13 4 3 3" xfId="34666" xr:uid="{9D83B566-7D69-4DE3-933C-84275D50B6E7}"/>
    <cellStyle name="Normal 2 13 4 4" xfId="15487" xr:uid="{EC8B03A5-F789-4D24-A014-C54BE1E554C2}"/>
    <cellStyle name="Normal 2 13 4 4 2" xfId="40979" xr:uid="{CDFCFED3-8759-4F17-B2D7-6DCE6CF57777}"/>
    <cellStyle name="Normal 2 13 4 5" xfId="28388" xr:uid="{8FF3E2A5-E6BF-422C-B166-10FA282284DF}"/>
    <cellStyle name="Normal 2 13 5" xfId="3298" xr:uid="{8F84593C-2291-45E0-892D-D0D17B6C6A7A}"/>
    <cellStyle name="Normal 2 13 5 2" xfId="6452" xr:uid="{E8622675-E7C2-45EE-8B68-AFED6A006C23}"/>
    <cellStyle name="Normal 2 13 5 2 2" xfId="12745" xr:uid="{5F9F0DBD-199E-4ED2-A445-DBF863712445}"/>
    <cellStyle name="Normal 2 13 5 2 2 2" xfId="25427" xr:uid="{826D0DBE-1A82-4228-96B0-87863AD1EF6C}"/>
    <cellStyle name="Normal 2 13 5 2 2 2 2" xfId="50919" xr:uid="{403AA592-3729-492D-9D5A-9D178861DF6F}"/>
    <cellStyle name="Normal 2 13 5 2 2 3" xfId="38328" xr:uid="{5287CE2E-CE6D-460A-9066-2AA7F6AACF71}"/>
    <cellStyle name="Normal 2 13 5 2 3" xfId="19149" xr:uid="{3B7D71A2-6FF9-4904-B5CF-A88A00F6EC22}"/>
    <cellStyle name="Normal 2 13 5 2 3 2" xfId="44641" xr:uid="{57374064-53CE-4266-BC23-40688AB9D873}"/>
    <cellStyle name="Normal 2 13 5 2 4" xfId="32050" xr:uid="{302CAD04-99E6-47BC-BB86-FAEF22ED47A5}"/>
    <cellStyle name="Normal 2 13 5 3" xfId="9606" xr:uid="{B1A3BBF2-6943-4B95-A559-6B1143F8FD9E}"/>
    <cellStyle name="Normal 2 13 5 3 2" xfId="22288" xr:uid="{F8892F5B-0BA1-43AE-9332-35D4D7BD48BE}"/>
    <cellStyle name="Normal 2 13 5 3 2 2" xfId="47780" xr:uid="{A9E702AB-8496-49A5-BFB3-C2E7CB00C89E}"/>
    <cellStyle name="Normal 2 13 5 3 3" xfId="35189" xr:uid="{F95ACC1D-C67F-4603-A2E5-701367F4BC28}"/>
    <cellStyle name="Normal 2 13 5 4" xfId="16010" xr:uid="{8DCFF9EE-111C-49CD-8F66-BA54C2D1FB6B}"/>
    <cellStyle name="Normal 2 13 5 4 2" xfId="41502" xr:uid="{673A49FD-FB1E-46C4-BB38-DCB4A38A7F30}"/>
    <cellStyle name="Normal 2 13 5 5" xfId="28911" xr:uid="{729A36FF-5F98-49F0-9E52-04AF51AE2772}"/>
    <cellStyle name="Normal 2 13 6" xfId="4098" xr:uid="{37D72586-C494-442C-B0D9-94A2E87B955B}"/>
    <cellStyle name="Normal 2 13 6 2" xfId="10391" xr:uid="{6496C7A5-322A-477E-A591-ABED54727425}"/>
    <cellStyle name="Normal 2 13 6 2 2" xfId="23073" xr:uid="{A2B6D66E-AC3B-4550-B20B-2AFD2AD2E556}"/>
    <cellStyle name="Normal 2 13 6 2 2 2" xfId="48565" xr:uid="{2AFDF777-ECF3-4084-A829-16CD2C3DAC4B}"/>
    <cellStyle name="Normal 2 13 6 2 3" xfId="35974" xr:uid="{14E626BE-4F5B-4020-B42B-62B8D5EA78F3}"/>
    <cellStyle name="Normal 2 13 6 3" xfId="16795" xr:uid="{C43F6924-04DA-4373-9F9C-29EAEDC2F85D}"/>
    <cellStyle name="Normal 2 13 6 3 2" xfId="42287" xr:uid="{81B93AB8-0ED3-486F-B771-59E7062C508B}"/>
    <cellStyle name="Normal 2 13 6 4" xfId="29696" xr:uid="{C093EB89-13B7-48DA-95DC-786333744B99}"/>
    <cellStyle name="Normal 2 13 7" xfId="7252" xr:uid="{9D7FB987-690C-4FC9-A837-D85B7FFE77F7}"/>
    <cellStyle name="Normal 2 13 7 2" xfId="19934" xr:uid="{106325CB-CFCC-445F-8F05-E628C2A2BD81}"/>
    <cellStyle name="Normal 2 13 7 2 2" xfId="45426" xr:uid="{8E32D273-155C-41C1-A9A3-7C8304A701BA}"/>
    <cellStyle name="Normal 2 13 7 3" xfId="32835" xr:uid="{6E999288-FF9F-479A-8E0F-57C9F631AAFB}"/>
    <cellStyle name="Normal 2 13 8" xfId="13656" xr:uid="{AB23E136-5127-48E1-A25C-45B7E77C167D}"/>
    <cellStyle name="Normal 2 13 8 2" xfId="39148" xr:uid="{CA5821EA-4E64-4256-92CE-A7700D478FA7}"/>
    <cellStyle name="Normal 2 13 9" xfId="26557" xr:uid="{4C365087-7B0A-42EB-89EC-6E923542E693}"/>
    <cellStyle name="Normal 2 14" xfId="668" xr:uid="{EB8F38E0-BC29-490C-A42F-156C1E72D274}"/>
    <cellStyle name="Normal 2 14 2" xfId="1990" xr:uid="{F8534281-F3D1-4998-9AF4-37A3FFCCE1AB}"/>
    <cellStyle name="Normal 2 14 2 2" xfId="5144" xr:uid="{06F468EE-D611-4531-9F56-178A00EF156B}"/>
    <cellStyle name="Normal 2 14 2 2 2" xfId="11437" xr:uid="{FF959FB2-69F0-400E-9C0E-FFB8D13B2DED}"/>
    <cellStyle name="Normal 2 14 2 2 2 2" xfId="24119" xr:uid="{1C1D8C53-3C20-47E4-A84D-BFD4315ED895}"/>
    <cellStyle name="Normal 2 14 2 2 2 2 2" xfId="49611" xr:uid="{61F68CBD-C6A6-4BD6-AA30-73A1B9F81F7F}"/>
    <cellStyle name="Normal 2 14 2 2 2 3" xfId="37020" xr:uid="{EBD9CE2A-1B68-4DFD-9BD2-FCE46720845D}"/>
    <cellStyle name="Normal 2 14 2 2 3" xfId="17841" xr:uid="{CC96AF15-7879-4C4A-8665-6EB185301936}"/>
    <cellStyle name="Normal 2 14 2 2 3 2" xfId="43333" xr:uid="{94DBD69E-8DC1-4723-9436-B0DF9CA54480}"/>
    <cellStyle name="Normal 2 14 2 2 4" xfId="30742" xr:uid="{9F183AC5-17B5-4283-B6C4-7253EBF04E54}"/>
    <cellStyle name="Normal 2 14 2 3" xfId="8298" xr:uid="{6CADB6C5-B740-4304-B4BC-39DE718C9BEA}"/>
    <cellStyle name="Normal 2 14 2 3 2" xfId="20980" xr:uid="{9EFF8999-9875-49F4-BCFB-FB9EB86DFDA6}"/>
    <cellStyle name="Normal 2 14 2 3 2 2" xfId="46472" xr:uid="{BB344492-9109-44B1-A770-59AC8E45E0A1}"/>
    <cellStyle name="Normal 2 14 2 3 3" xfId="33881" xr:uid="{9FA9C04C-6C6D-4DEB-A33D-6E4C3F2BAA32}"/>
    <cellStyle name="Normal 2 14 2 4" xfId="14702" xr:uid="{FDB0B8B4-EECD-4392-AE16-93FBAF749AE5}"/>
    <cellStyle name="Normal 2 14 2 4 2" xfId="40194" xr:uid="{B85D7891-994C-4A68-8ED8-BDE1615E2126}"/>
    <cellStyle name="Normal 2 14 2 5" xfId="27603" xr:uid="{37DADA79-8C3C-44CC-9553-D8C35F25DCFD}"/>
    <cellStyle name="Normal 2 14 3" xfId="3837" xr:uid="{BFCC68F0-FC42-4C1F-8F4B-3A9C365D36A8}"/>
    <cellStyle name="Normal 2 14 3 2" xfId="10130" xr:uid="{A6D08841-E1A8-4AF6-ADB7-E17456119ECE}"/>
    <cellStyle name="Normal 2 14 3 2 2" xfId="22812" xr:uid="{CCB3DAA0-8EDC-48DE-89DC-580472C76BEB}"/>
    <cellStyle name="Normal 2 14 3 2 2 2" xfId="48304" xr:uid="{AEABEA81-FFC1-4F1F-8B79-8E98346B65AD}"/>
    <cellStyle name="Normal 2 14 3 2 3" xfId="35713" xr:uid="{40B863A6-36CA-4AE9-A0B6-D37B38C51C78}"/>
    <cellStyle name="Normal 2 14 3 3" xfId="16534" xr:uid="{88BF527E-9B05-4B04-A434-C8A2E422625F}"/>
    <cellStyle name="Normal 2 14 3 3 2" xfId="42026" xr:uid="{09D99033-E961-4418-812B-A9B4D46E035F}"/>
    <cellStyle name="Normal 2 14 3 4" xfId="29435" xr:uid="{E3828393-D6FC-4771-B6AB-54C018111565}"/>
    <cellStyle name="Normal 2 14 4" xfId="6991" xr:uid="{02DA3FF8-93A9-4E43-B5B9-FC40E9A17EC3}"/>
    <cellStyle name="Normal 2 14 4 2" xfId="19673" xr:uid="{47C0F567-86F2-4A6F-A5C8-9055F497683F}"/>
    <cellStyle name="Normal 2 14 4 2 2" xfId="45165" xr:uid="{1B37D92A-F4CC-46D4-B2A8-39E6F83C20AF}"/>
    <cellStyle name="Normal 2 14 4 3" xfId="32574" xr:uid="{303490D1-BAC4-4C90-B248-14F8FF632870}"/>
    <cellStyle name="Normal 2 14 5" xfId="13395" xr:uid="{50C2FE28-2F8A-4F5B-BE74-AF63CF6095B6}"/>
    <cellStyle name="Normal 2 14 5 2" xfId="38887" xr:uid="{88C03998-DBB4-4374-A5BB-9ECF05669D32}"/>
    <cellStyle name="Normal 2 14 6" xfId="26296" xr:uid="{A27FC906-71F2-4FAC-8313-564465B22D12}"/>
    <cellStyle name="Normal 2 15" xfId="1729" xr:uid="{AC61DFEB-03DA-4714-A730-64E9ABE7DD0B}"/>
    <cellStyle name="Normal 2 15 2" xfId="4883" xr:uid="{E05DA3B7-031C-4D56-8979-FE951A4EAEF0}"/>
    <cellStyle name="Normal 2 15 2 2" xfId="11176" xr:uid="{F09DD5BA-329C-458B-B899-239272EBB6F1}"/>
    <cellStyle name="Normal 2 15 2 2 2" xfId="23858" xr:uid="{4A485065-7777-4100-85D3-16B4B71A57EC}"/>
    <cellStyle name="Normal 2 15 2 2 2 2" xfId="49350" xr:uid="{65AB4CD7-F721-4A91-9E3A-A2CC859D0998}"/>
    <cellStyle name="Normal 2 15 2 2 3" xfId="36759" xr:uid="{678C63D0-6964-4C18-A7B0-72B41C5939E9}"/>
    <cellStyle name="Normal 2 15 2 3" xfId="17580" xr:uid="{DFD9BC69-CA28-4C7B-A4FF-65EA99FCE698}"/>
    <cellStyle name="Normal 2 15 2 3 2" xfId="43072" xr:uid="{F66C57BE-A621-42E7-95E5-3DED04CBE5C8}"/>
    <cellStyle name="Normal 2 15 2 4" xfId="30481" xr:uid="{58BBF792-A906-4219-AA20-83377759A335}"/>
    <cellStyle name="Normal 2 15 3" xfId="8037" xr:uid="{37C17984-4007-49F3-AD4B-DB8A8A5AA334}"/>
    <cellStyle name="Normal 2 15 3 2" xfId="20719" xr:uid="{8671EE30-46CB-417E-8D52-8D6CA024A1A8}"/>
    <cellStyle name="Normal 2 15 3 2 2" xfId="46211" xr:uid="{5D948FE0-6AF6-416B-BB5F-BD257BD3DDA8}"/>
    <cellStyle name="Normal 2 15 3 3" xfId="33620" xr:uid="{61C0D49B-B4B1-4631-B1B1-7B3EA14438B8}"/>
    <cellStyle name="Normal 2 15 4" xfId="14441" xr:uid="{35688C16-2B9C-477C-95CE-0430010BB469}"/>
    <cellStyle name="Normal 2 15 4 2" xfId="39933" xr:uid="{B6EA3FEB-E816-489D-B32E-DAA69F5B46F6}"/>
    <cellStyle name="Normal 2 15 5" xfId="27342" xr:uid="{8F65CDD1-489F-4403-87CD-EBF55ADB0B59}"/>
    <cellStyle name="Normal 2 16" xfId="1206" xr:uid="{51A42D9A-0047-4945-A599-49D4CF2CB8CA}"/>
    <cellStyle name="Normal 2 16 2" xfId="4360" xr:uid="{802030B1-C763-4B20-91AE-982B46FE0C0C}"/>
    <cellStyle name="Normal 2 16 2 2" xfId="10653" xr:uid="{0069DD13-7923-4E48-8057-190429C8869B}"/>
    <cellStyle name="Normal 2 16 2 2 2" xfId="23335" xr:uid="{7EF176CE-211E-401F-9343-13A6F26DF868}"/>
    <cellStyle name="Normal 2 16 2 2 2 2" xfId="48827" xr:uid="{6C5B8A71-DDAE-4D9D-A42A-41927CBDB735}"/>
    <cellStyle name="Normal 2 16 2 2 3" xfId="36236" xr:uid="{6B2F6675-18E7-4B77-BA34-064B252BAE8F}"/>
    <cellStyle name="Normal 2 16 2 3" xfId="17057" xr:uid="{2FC90DF1-997A-4BEF-9982-29312A0A5473}"/>
    <cellStyle name="Normal 2 16 2 3 2" xfId="42549" xr:uid="{29EEC63D-325E-44A9-BDE6-B069303E11CA}"/>
    <cellStyle name="Normal 2 16 2 4" xfId="29958" xr:uid="{81DAE213-B29A-4D28-8569-45E862FEDA55}"/>
    <cellStyle name="Normal 2 16 3" xfId="7514" xr:uid="{19F7139A-54AF-4370-BFBB-11DF10797B05}"/>
    <cellStyle name="Normal 2 16 3 2" xfId="20196" xr:uid="{F8B5A9F7-5163-49CF-AD75-76773E4C26BA}"/>
    <cellStyle name="Normal 2 16 3 2 2" xfId="45688" xr:uid="{E031022F-35CB-4E75-BAED-A4CDAC363D4A}"/>
    <cellStyle name="Normal 2 16 3 3" xfId="33097" xr:uid="{664FD49A-3839-43F4-A979-CBB410E2C145}"/>
    <cellStyle name="Normal 2 16 4" xfId="13918" xr:uid="{3BA28B61-C7BE-461B-BDDD-F64D661D6D82}"/>
    <cellStyle name="Normal 2 16 4 2" xfId="39410" xr:uid="{82023E2E-19B1-4C46-A473-94859996FE08}"/>
    <cellStyle name="Normal 2 16 5" xfId="26819" xr:uid="{935D88DB-B53B-41E5-BA8B-B4CA60611084}"/>
    <cellStyle name="Normal 2 17" xfId="2513" xr:uid="{A38B1F6D-F767-4538-9E65-F9C8C1ACF532}"/>
    <cellStyle name="Normal 2 17 2" xfId="5667" xr:uid="{13A6F1AD-06C7-480E-9DCD-BEC496B7C172}"/>
    <cellStyle name="Normal 2 17 2 2" xfId="11960" xr:uid="{766074E2-7293-49BE-9E97-667A57A15748}"/>
    <cellStyle name="Normal 2 17 2 2 2" xfId="24642" xr:uid="{06B8AF2A-E25D-4E9B-8DC7-28F5B6DEFCF9}"/>
    <cellStyle name="Normal 2 17 2 2 2 2" xfId="50134" xr:uid="{D2620A44-CC8B-4EE9-B255-8523656091AD}"/>
    <cellStyle name="Normal 2 17 2 2 3" xfId="37543" xr:uid="{0C5E8E1C-3CD4-441D-85A6-B32E8DF1B2A4}"/>
    <cellStyle name="Normal 2 17 2 3" xfId="18364" xr:uid="{A66095FE-BF4F-4C9F-A4FF-F5B8BFC4CBFE}"/>
    <cellStyle name="Normal 2 17 2 3 2" xfId="43856" xr:uid="{E216D11F-BF86-44DD-A741-A7CCBAD31DE5}"/>
    <cellStyle name="Normal 2 17 2 4" xfId="31265" xr:uid="{C129866D-8407-4A19-A422-8D169FFA63B7}"/>
    <cellStyle name="Normal 2 17 3" xfId="8821" xr:uid="{BB0F3ED9-81D2-4A0E-88FB-CF255DAD717D}"/>
    <cellStyle name="Normal 2 17 3 2" xfId="21503" xr:uid="{0BDA66E9-4332-407C-B7B4-AAB05D206FEF}"/>
    <cellStyle name="Normal 2 17 3 2 2" xfId="46995" xr:uid="{9139CD43-EE6C-4075-B7E1-91DD439D30F5}"/>
    <cellStyle name="Normal 2 17 3 3" xfId="34404" xr:uid="{98BC2E45-92DE-4584-A9F5-08FADD53A59F}"/>
    <cellStyle name="Normal 2 17 4" xfId="15225" xr:uid="{96EEC35F-80DC-42DF-BB08-6035DC0D7434}"/>
    <cellStyle name="Normal 2 17 4 2" xfId="40717" xr:uid="{D67A74B6-F325-48FF-AE6D-FA4EB0F6AF3A}"/>
    <cellStyle name="Normal 2 17 5" xfId="28126" xr:uid="{E37BB08F-EC78-4A17-844E-0C20888D248C}"/>
    <cellStyle name="Normal 2 18" xfId="3036" xr:uid="{169CA07A-697B-495C-9C34-CC51903CEF98}"/>
    <cellStyle name="Normal 2 18 2" xfId="6190" xr:uid="{5700F2D1-2784-4DA8-AE22-8E18E3B132C5}"/>
    <cellStyle name="Normal 2 18 2 2" xfId="12483" xr:uid="{F11496EA-7C72-41AA-9A60-6A5A429A5A9E}"/>
    <cellStyle name="Normal 2 18 2 2 2" xfId="25165" xr:uid="{6B481C73-CBE5-4D71-860C-F5402861650F}"/>
    <cellStyle name="Normal 2 18 2 2 2 2" xfId="50657" xr:uid="{68D06B5D-0DBB-4CD0-9FE8-FB0C3980EC9B}"/>
    <cellStyle name="Normal 2 18 2 2 3" xfId="38066" xr:uid="{510E6418-077D-48E5-A117-096DD08B69B8}"/>
    <cellStyle name="Normal 2 18 2 3" xfId="18887" xr:uid="{44DBC5FA-BCCB-4BCB-94FB-E7400C17D113}"/>
    <cellStyle name="Normal 2 18 2 3 2" xfId="44379" xr:uid="{D70600B2-CCA1-4300-9E10-E10F68C53AE9}"/>
    <cellStyle name="Normal 2 18 2 4" xfId="31788" xr:uid="{E6C67284-F5E6-472A-99BA-6A0302965F66}"/>
    <cellStyle name="Normal 2 18 3" xfId="9344" xr:uid="{9BD0F602-20BA-4EF3-8DB9-7FE40470680E}"/>
    <cellStyle name="Normal 2 18 3 2" xfId="22026" xr:uid="{77F1111F-71D2-4912-8C37-6AD70C0D98FB}"/>
    <cellStyle name="Normal 2 18 3 2 2" xfId="47518" xr:uid="{090F7EF7-18F6-4D5A-B6E0-E54E21C2A718}"/>
    <cellStyle name="Normal 2 18 3 3" xfId="34927" xr:uid="{B2CC2941-1523-41CE-90E3-F2E1E57D8B28}"/>
    <cellStyle name="Normal 2 18 4" xfId="15748" xr:uid="{06B8FE0F-B14D-462A-91AF-BB5F5E7F399F}"/>
    <cellStyle name="Normal 2 18 4 2" xfId="41240" xr:uid="{CE76A78F-DDD2-4756-8CD8-8E0D4EF78723}"/>
    <cellStyle name="Normal 2 18 5" xfId="28649" xr:uid="{7B6A8401-B7BF-4B3E-84B1-A350D55EC9CB}"/>
    <cellStyle name="Normal 2 19" xfId="3559" xr:uid="{2447B70C-BDAE-4547-B1A1-E50BDF26219D}"/>
    <cellStyle name="Normal 2 19 2" xfId="6713" xr:uid="{DE09C7EA-A9CC-44DB-9F06-088A676CF949}"/>
    <cellStyle name="Normal 2 19 2 2" xfId="13006" xr:uid="{46B163FC-F46F-4974-9972-EF6A10320E51}"/>
    <cellStyle name="Normal 2 19 2 2 2" xfId="25688" xr:uid="{54968D18-3155-4D06-BFA3-013C62B655CA}"/>
    <cellStyle name="Normal 2 19 2 2 2 2" xfId="51180" xr:uid="{DB8482C8-2AEB-4058-8B53-27B1EB883942}"/>
    <cellStyle name="Normal 2 19 2 2 3" xfId="38589" xr:uid="{B945ADDD-31CD-4981-8902-0DA5B9C26C7E}"/>
    <cellStyle name="Normal 2 19 2 3" xfId="19410" xr:uid="{D1CCDC83-AFE3-4B2D-BE9D-B0AF34F465FC}"/>
    <cellStyle name="Normal 2 19 2 3 2" xfId="44902" xr:uid="{25567EC1-589E-462B-97C3-1A26144F1E09}"/>
    <cellStyle name="Normal 2 19 2 4" xfId="32311" xr:uid="{5F5A5C59-25C0-4145-BE73-8E4791104E66}"/>
    <cellStyle name="Normal 2 19 3" xfId="9867" xr:uid="{DC00AE0D-3BE3-4F95-BCAB-505BDCD76998}"/>
    <cellStyle name="Normal 2 19 3 2" xfId="22549" xr:uid="{2F7FC0AD-F7FF-4A0C-8283-16A516F8B6D0}"/>
    <cellStyle name="Normal 2 19 3 2 2" xfId="48041" xr:uid="{8C83C975-7617-4CC1-A49A-ED4DFAA19F49}"/>
    <cellStyle name="Normal 2 19 3 3" xfId="35450" xr:uid="{EDE90DDC-43EB-45DE-BBBA-4700E3278D1E}"/>
    <cellStyle name="Normal 2 19 4" xfId="16271" xr:uid="{3D43AB20-DE1C-40CA-8B83-BE470FE2554D}"/>
    <cellStyle name="Normal 2 19 4 2" xfId="41763" xr:uid="{D61C8FEA-74E3-46E9-9C0E-26EFB255AC4D}"/>
    <cellStyle name="Normal 2 19 5" xfId="29172" xr:uid="{76CC9080-C7DD-491F-86B8-8E343974C77B}"/>
    <cellStyle name="Normal 2 2" xfId="13" xr:uid="{F5583BC5-6D41-423A-A5F7-0C4DB5A75F10}"/>
    <cellStyle name="Normal 2 2 10" xfId="1216" xr:uid="{1FEC5102-43A9-43D7-B3B2-434D7D404D55}"/>
    <cellStyle name="Normal 2 2 10 2" xfId="4370" xr:uid="{35E85155-796A-417F-AF91-45B3625F5405}"/>
    <cellStyle name="Normal 2 2 10 2 2" xfId="10663" xr:uid="{EA7CF092-7352-483F-9E7A-C12626E64162}"/>
    <cellStyle name="Normal 2 2 10 2 2 2" xfId="23345" xr:uid="{E0B4B7CD-F386-4D7B-9B6E-968F455B9760}"/>
    <cellStyle name="Normal 2 2 10 2 2 2 2" xfId="48837" xr:uid="{750BDAC4-7EA2-4546-97DB-3BDB95756E52}"/>
    <cellStyle name="Normal 2 2 10 2 2 3" xfId="36246" xr:uid="{29294558-2ED6-4CB7-901B-5DB1A51532B8}"/>
    <cellStyle name="Normal 2 2 10 2 3" xfId="17067" xr:uid="{EF0BBFDD-C8FC-4952-AC31-18FCF9EE420E}"/>
    <cellStyle name="Normal 2 2 10 2 3 2" xfId="42559" xr:uid="{0D27197C-0BA7-4B37-B509-A58F1E175A61}"/>
    <cellStyle name="Normal 2 2 10 2 4" xfId="29968" xr:uid="{D5C8C6A4-5A63-49EC-9046-A8A8A8168F2A}"/>
    <cellStyle name="Normal 2 2 10 3" xfId="7524" xr:uid="{25470BED-90AB-4AC8-B216-FA3728DA3FDA}"/>
    <cellStyle name="Normal 2 2 10 3 2" xfId="20206" xr:uid="{9FEEBB4D-7F9C-40B2-9223-800FBDDFC658}"/>
    <cellStyle name="Normal 2 2 10 3 2 2" xfId="45698" xr:uid="{E9651A3C-EBC4-4C0A-A25E-67DE4A585F0D}"/>
    <cellStyle name="Normal 2 2 10 3 3" xfId="33107" xr:uid="{C5103770-3E97-472F-AB9A-FCD6060E8829}"/>
    <cellStyle name="Normal 2 2 10 4" xfId="13928" xr:uid="{E827AC35-905A-41B8-A3BA-8911AFE85B83}"/>
    <cellStyle name="Normal 2 2 10 4 2" xfId="39420" xr:uid="{67D8CECE-0BE9-43E0-A3A6-E6055172ADC9}"/>
    <cellStyle name="Normal 2 2 10 5" xfId="26829" xr:uid="{F26D9747-6205-4135-A690-C679E5CF9037}"/>
    <cellStyle name="Normal 2 2 11" xfId="2523" xr:uid="{FD7BA6E0-17A4-4A1A-82E3-11D51DC52E85}"/>
    <cellStyle name="Normal 2 2 11 2" xfId="5677" xr:uid="{7BCF440D-49AB-4789-A2FB-E4E98490CC8E}"/>
    <cellStyle name="Normal 2 2 11 2 2" xfId="11970" xr:uid="{AF6AA2BA-198F-450F-9A5C-6C88E8C25AF5}"/>
    <cellStyle name="Normal 2 2 11 2 2 2" xfId="24652" xr:uid="{5E99972D-5494-4015-B9D5-7D01A1CB65D9}"/>
    <cellStyle name="Normal 2 2 11 2 2 2 2" xfId="50144" xr:uid="{8890CEED-8DE7-4E98-A3C5-B344E316310B}"/>
    <cellStyle name="Normal 2 2 11 2 2 3" xfId="37553" xr:uid="{F66AE965-6A8A-4384-8061-6A29FB7B0E55}"/>
    <cellStyle name="Normal 2 2 11 2 3" xfId="18374" xr:uid="{945126F3-A555-492B-AEC1-669C2DC47F5F}"/>
    <cellStyle name="Normal 2 2 11 2 3 2" xfId="43866" xr:uid="{6E851232-6B37-4BD0-877A-249A0103674F}"/>
    <cellStyle name="Normal 2 2 11 2 4" xfId="31275" xr:uid="{830435D6-603B-4ABB-B4B1-503C6556DF28}"/>
    <cellStyle name="Normal 2 2 11 3" xfId="8831" xr:uid="{9CE0B7AA-3E3E-477E-A9C0-555F24338769}"/>
    <cellStyle name="Normal 2 2 11 3 2" xfId="21513" xr:uid="{BBF90741-516C-4579-AEFC-E19F889C7506}"/>
    <cellStyle name="Normal 2 2 11 3 2 2" xfId="47005" xr:uid="{956B7249-AD38-47BD-B7D0-6FE891717934}"/>
    <cellStyle name="Normal 2 2 11 3 3" xfId="34414" xr:uid="{8C42489F-D8A1-44BA-B4DA-9A3E871D249A}"/>
    <cellStyle name="Normal 2 2 11 4" xfId="15235" xr:uid="{3E0C907D-1959-4BE2-AF47-365E4122401E}"/>
    <cellStyle name="Normal 2 2 11 4 2" xfId="40727" xr:uid="{75D55B5E-A466-445A-BD65-A14166A0400F}"/>
    <cellStyle name="Normal 2 2 11 5" xfId="28136" xr:uid="{AF676557-9E83-4026-80F0-54C3B09E2045}"/>
    <cellStyle name="Normal 2 2 12" xfId="3046" xr:uid="{8EBAF706-B107-4FB8-8B03-2BAC2F75D730}"/>
    <cellStyle name="Normal 2 2 12 2" xfId="6200" xr:uid="{7E7A88C9-110A-4968-8E18-BD718C392BDF}"/>
    <cellStyle name="Normal 2 2 12 2 2" xfId="12493" xr:uid="{BD695A0B-0DE1-41E9-B18E-343BCA6BDDC3}"/>
    <cellStyle name="Normal 2 2 12 2 2 2" xfId="25175" xr:uid="{768F6261-9133-4506-B2AF-AFFA00E15F81}"/>
    <cellStyle name="Normal 2 2 12 2 2 2 2" xfId="50667" xr:uid="{5E0B0B78-8584-4112-99A7-8CB9BDB35F9B}"/>
    <cellStyle name="Normal 2 2 12 2 2 3" xfId="38076" xr:uid="{8BA519B6-1A96-4424-B639-C4DCA9F50DD7}"/>
    <cellStyle name="Normal 2 2 12 2 3" xfId="18897" xr:uid="{D2D8C01D-CB6A-4CDE-9E05-90AD21B9B33F}"/>
    <cellStyle name="Normal 2 2 12 2 3 2" xfId="44389" xr:uid="{74F11966-0606-4A94-B170-03A91A7FF8B5}"/>
    <cellStyle name="Normal 2 2 12 2 4" xfId="31798" xr:uid="{F5C8579F-1B20-4E43-916C-058E9FAE61F7}"/>
    <cellStyle name="Normal 2 2 12 3" xfId="9354" xr:uid="{E1E5A5E4-48DC-41BF-854D-C01631B16A9B}"/>
    <cellStyle name="Normal 2 2 12 3 2" xfId="22036" xr:uid="{785A983B-B200-49BA-A7AC-BEAB4B1DBB1B}"/>
    <cellStyle name="Normal 2 2 12 3 2 2" xfId="47528" xr:uid="{6A5F7A35-E5DD-4B78-A0A2-E71164DC7510}"/>
    <cellStyle name="Normal 2 2 12 3 3" xfId="34937" xr:uid="{4239E530-0199-478A-9AA3-467F4F59346B}"/>
    <cellStyle name="Normal 2 2 12 4" xfId="15758" xr:uid="{97F88009-F560-453D-816E-7C478769880B}"/>
    <cellStyle name="Normal 2 2 12 4 2" xfId="41250" xr:uid="{937D87D6-BD78-4CBA-9F3F-CE7481C63360}"/>
    <cellStyle name="Normal 2 2 12 5" xfId="28659" xr:uid="{6A56D3D9-6DA8-4972-A8A7-E5D519EF4F0F}"/>
    <cellStyle name="Normal 2 2 13" xfId="3585" xr:uid="{BDEB32C2-FA9B-4494-BF55-E8CA185C6A23}"/>
    <cellStyle name="Normal 2 2 13 2" xfId="9878" xr:uid="{0C6C8501-EFFE-489A-9472-5265B14EBEB1}"/>
    <cellStyle name="Normal 2 2 13 2 2" xfId="22560" xr:uid="{D5475C87-737F-43D1-9E3B-64B5455D7A18}"/>
    <cellStyle name="Normal 2 2 13 2 2 2" xfId="48052" xr:uid="{04841795-D7BF-41FE-8EAF-9CA342FB7685}"/>
    <cellStyle name="Normal 2 2 13 2 3" xfId="35461" xr:uid="{44998092-59DB-40FF-89A2-548B6C6B0F72}"/>
    <cellStyle name="Normal 2 2 13 3" xfId="16282" xr:uid="{A4485819-EC83-4D71-994E-5AF325420ACD}"/>
    <cellStyle name="Normal 2 2 13 3 2" xfId="41774" xr:uid="{D60DCBFB-2A47-4702-87A5-2FA7C073653F}"/>
    <cellStyle name="Normal 2 2 13 4" xfId="29183" xr:uid="{C55F6783-F49C-4E1A-97D3-B9BDC0C19CFD}"/>
    <cellStyle name="Normal 2 2 14" xfId="6739" xr:uid="{B3539B5A-B467-4481-A047-6FA57EDD2300}"/>
    <cellStyle name="Normal 2 2 14 2" xfId="19421" xr:uid="{1FE8EAF3-7A39-4B92-9B99-00DA0962EB44}"/>
    <cellStyle name="Normal 2 2 14 2 2" xfId="44913" xr:uid="{82047772-A65C-423B-A52B-ADC43C3DF793}"/>
    <cellStyle name="Normal 2 2 14 3" xfId="32322" xr:uid="{69D7BD1E-0E71-4962-961A-93C6C49DF2D8}"/>
    <cellStyle name="Normal 2 2 15" xfId="13140" xr:uid="{B2B57E00-D738-4F8B-81B7-A35E19A3362D}"/>
    <cellStyle name="Normal 2 2 15 2" xfId="38634" xr:uid="{4563D1F9-8523-48B6-B358-61CE2D5D5B9E}"/>
    <cellStyle name="Normal 2 2 16" xfId="13058" xr:uid="{2AC796E9-9577-459C-B2FC-D2FAEA113C74}"/>
    <cellStyle name="Normal 2 2 17" xfId="26042" xr:uid="{02E07E15-3EE3-4913-B65A-22BBB9F6907A}"/>
    <cellStyle name="Normal 2 2 18" xfId="400" xr:uid="{D42ECE4A-0D20-4D8A-9A6B-EB0F2B7D8C31}"/>
    <cellStyle name="Normal 2 2 19" xfId="219" xr:uid="{0B7E9AA4-5FAD-45D4-A6A7-E25BF0919368}"/>
    <cellStyle name="Normal 2 2 2" xfId="436" xr:uid="{8BE25D8A-5CC3-49D1-AC75-116D3EA40D82}"/>
    <cellStyle name="Normal 2 2 2 10" xfId="3066" xr:uid="{A25D3AEB-8D2E-4CB1-B527-B038B6FA6F6C}"/>
    <cellStyle name="Normal 2 2 2 10 2" xfId="6220" xr:uid="{242E3743-D481-4866-A8BA-5635D78659E2}"/>
    <cellStyle name="Normal 2 2 2 10 2 2" xfId="12513" xr:uid="{6F187DEC-A64C-41CD-B17F-1D4A07EDC55B}"/>
    <cellStyle name="Normal 2 2 2 10 2 2 2" xfId="25195" xr:uid="{A96A2A5D-4D79-45F3-849B-480F1037BC8F}"/>
    <cellStyle name="Normal 2 2 2 10 2 2 2 2" xfId="50687" xr:uid="{8C4BD1F0-19AB-4E02-AA71-A55EDA68A929}"/>
    <cellStyle name="Normal 2 2 2 10 2 2 3" xfId="38096" xr:uid="{16524399-913D-468D-AF80-8E0503057FCE}"/>
    <cellStyle name="Normal 2 2 2 10 2 3" xfId="18917" xr:uid="{838E8BC8-E2A5-4B50-8D44-78E9BBEE022C}"/>
    <cellStyle name="Normal 2 2 2 10 2 3 2" xfId="44409" xr:uid="{69A9A694-446F-4C1D-84F2-4D7D1A6A55AF}"/>
    <cellStyle name="Normal 2 2 2 10 2 4" xfId="31818" xr:uid="{73A3F97E-FDBB-47E9-9305-613F6DCB026F}"/>
    <cellStyle name="Normal 2 2 2 10 3" xfId="9374" xr:uid="{F4D63CDF-7A31-4971-AC61-C1BF8D2733FD}"/>
    <cellStyle name="Normal 2 2 2 10 3 2" xfId="22056" xr:uid="{ACCDBD94-436F-4FE0-BF1A-D2E1F135C559}"/>
    <cellStyle name="Normal 2 2 2 10 3 2 2" xfId="47548" xr:uid="{FB8C7DD5-A6CE-44C4-A35F-BDFEAC435197}"/>
    <cellStyle name="Normal 2 2 2 10 3 3" xfId="34957" xr:uid="{2448288F-0FDE-464B-926C-3E911A42DE86}"/>
    <cellStyle name="Normal 2 2 2 10 4" xfId="15778" xr:uid="{F925CA67-B8BC-46B1-99C1-0AB207E100B6}"/>
    <cellStyle name="Normal 2 2 2 10 4 2" xfId="41270" xr:uid="{2758C300-DEEB-46B4-B288-A017CD3A216F}"/>
    <cellStyle name="Normal 2 2 2 10 5" xfId="28679" xr:uid="{45986191-FE90-4680-B589-2BF3BBDF92F9}"/>
    <cellStyle name="Normal 2 2 2 11" xfId="3605" xr:uid="{044BBADE-9461-40BF-AE10-230F8CD8CAA2}"/>
    <cellStyle name="Normal 2 2 2 11 2" xfId="9898" xr:uid="{BFC092BB-935A-4B07-BF2D-207B4F3D7E3A}"/>
    <cellStyle name="Normal 2 2 2 11 2 2" xfId="22580" xr:uid="{9EBC4B07-F9D5-42B6-AA32-017CDA2780FC}"/>
    <cellStyle name="Normal 2 2 2 11 2 2 2" xfId="48072" xr:uid="{73C41199-5FA6-4DA2-82E9-432DF7EB68C5}"/>
    <cellStyle name="Normal 2 2 2 11 2 3" xfId="35481" xr:uid="{2CB25840-8C9F-443D-A307-4FB59F66F2AB}"/>
    <cellStyle name="Normal 2 2 2 11 3" xfId="16302" xr:uid="{6AA4CC0D-E3E8-433D-B130-56D2C144D28A}"/>
    <cellStyle name="Normal 2 2 2 11 3 2" xfId="41794" xr:uid="{F46B9AFE-DF16-4283-8CE9-4D1AA15F2EB9}"/>
    <cellStyle name="Normal 2 2 2 11 4" xfId="29203" xr:uid="{799B3A1C-FBD3-4461-B89A-3C4ABAA139B3}"/>
    <cellStyle name="Normal 2 2 2 12" xfId="6759" xr:uid="{535A7EE6-A725-4BBA-BF21-4FBCB564B66E}"/>
    <cellStyle name="Normal 2 2 2 12 2" xfId="19441" xr:uid="{AE9414AD-C02E-435D-840A-AA4E9A64CA30}"/>
    <cellStyle name="Normal 2 2 2 12 2 2" xfId="44933" xr:uid="{FF4B697B-D2FD-4AB1-8DAF-3E6B73888ED5}"/>
    <cellStyle name="Normal 2 2 2 12 3" xfId="32342" xr:uid="{70344886-E49F-4203-85DC-CBA60A528863}"/>
    <cellStyle name="Normal 2 2 2 13" xfId="13163" xr:uid="{6ABE998E-8A07-4228-BEFF-0ECC19CFC349}"/>
    <cellStyle name="Normal 2 2 2 13 2" xfId="38655" xr:uid="{BF0FEDAE-CA6B-40BC-81BD-47CE35600DD0}"/>
    <cellStyle name="Normal 2 2 2 14" xfId="26064" xr:uid="{4A1F4954-1E5B-4B45-B547-C3563BB4B333}"/>
    <cellStyle name="Normal 2 2 2 15" xfId="51390" xr:uid="{ADF25C4C-9995-49BA-BB76-51355330A71E}"/>
    <cellStyle name="Normal 2 2 2 2" xfId="497" xr:uid="{73B0F5F7-6D4A-475A-8FDA-B2310599DFBF}"/>
    <cellStyle name="Normal 2 2 2 2 10" xfId="6820" xr:uid="{65CB4555-D5AD-45CF-8214-2EB2F1CF5DE9}"/>
    <cellStyle name="Normal 2 2 2 2 10 2" xfId="19502" xr:uid="{1BFDA200-CC86-4701-843F-40127EEDCD44}"/>
    <cellStyle name="Normal 2 2 2 2 10 2 2" xfId="44994" xr:uid="{9D871F90-825C-447D-8253-907DE31524E5}"/>
    <cellStyle name="Normal 2 2 2 2 10 3" xfId="32403" xr:uid="{8896D2A8-026B-44E2-BA54-96677F6E7876}"/>
    <cellStyle name="Normal 2 2 2 2 11" xfId="13224" xr:uid="{78AAF37C-BC62-4978-AB4A-2A74A8C350D3}"/>
    <cellStyle name="Normal 2 2 2 2 11 2" xfId="38716" xr:uid="{514B554F-41D6-434E-AE50-6EDF80B478A4}"/>
    <cellStyle name="Normal 2 2 2 2 12" xfId="26125" xr:uid="{B98BDBE6-EFE5-40C1-B27C-F4FF52C5D3B6}"/>
    <cellStyle name="Normal 2 2 2 2 2" xfId="656" xr:uid="{1A1431F3-68F9-4581-AA38-37828493BC78}"/>
    <cellStyle name="Normal 2 2 2 2 2 10" xfId="13383" xr:uid="{7054C7D4-8A21-48D2-8F65-270712097F62}"/>
    <cellStyle name="Normal 2 2 2 2 2 10 2" xfId="38875" xr:uid="{F929EEB0-3B88-43F5-A50C-3C65FAA3E4CD}"/>
    <cellStyle name="Normal 2 2 2 2 2 11" xfId="26284" xr:uid="{842F1390-3F81-4159-B531-7F5027A9F768}"/>
    <cellStyle name="Normal 2 2 2 2 2 2" xfId="1193" xr:uid="{71EDEBFE-A7CE-4709-9920-2FED40949AD3}"/>
    <cellStyle name="Normal 2 2 2 2 2 2 2" xfId="2500" xr:uid="{108A2795-AAAC-47A2-993C-980C506FB733}"/>
    <cellStyle name="Normal 2 2 2 2 2 2 2 2" xfId="5654" xr:uid="{29E57FFC-1DFA-4D60-AA00-F5157ADD7C31}"/>
    <cellStyle name="Normal 2 2 2 2 2 2 2 2 2" xfId="11947" xr:uid="{FD49D0C7-7900-4BF4-BA28-1BE016B019BA}"/>
    <cellStyle name="Normal 2 2 2 2 2 2 2 2 2 2" xfId="24629" xr:uid="{5CE3AD2D-5213-47A8-986E-A9F22BAEFEBF}"/>
    <cellStyle name="Normal 2 2 2 2 2 2 2 2 2 2 2" xfId="50121" xr:uid="{42DCB125-53C0-4FB9-BBCA-955C7E186E56}"/>
    <cellStyle name="Normal 2 2 2 2 2 2 2 2 2 3" xfId="37530" xr:uid="{8DA81B37-CF25-41E0-99C8-925118204136}"/>
    <cellStyle name="Normal 2 2 2 2 2 2 2 2 3" xfId="18351" xr:uid="{7A59CA2E-D9B4-4817-ADFF-26B08C38ADA8}"/>
    <cellStyle name="Normal 2 2 2 2 2 2 2 2 3 2" xfId="43843" xr:uid="{92E5A1C2-B55A-4A7B-BE29-C4991D2B6B7F}"/>
    <cellStyle name="Normal 2 2 2 2 2 2 2 2 4" xfId="31252" xr:uid="{CB957DC8-5CA3-426D-9832-29AF5A994AD9}"/>
    <cellStyle name="Normal 2 2 2 2 2 2 2 3" xfId="8808" xr:uid="{F32FC0E0-1E86-419B-AB06-7C178DC5BBE5}"/>
    <cellStyle name="Normal 2 2 2 2 2 2 2 3 2" xfId="21490" xr:uid="{E9D5C1E7-01CB-4CB3-B29B-26B18FC6A099}"/>
    <cellStyle name="Normal 2 2 2 2 2 2 2 3 2 2" xfId="46982" xr:uid="{3AC6391B-E42E-4467-BAC3-DD21A73709C1}"/>
    <cellStyle name="Normal 2 2 2 2 2 2 2 3 3" xfId="34391" xr:uid="{98BD00A7-7466-466E-AD4D-DE889E2B6551}"/>
    <cellStyle name="Normal 2 2 2 2 2 2 2 4" xfId="15212" xr:uid="{2960BE30-BDB1-4406-9029-FECACA428689}"/>
    <cellStyle name="Normal 2 2 2 2 2 2 2 4 2" xfId="40704" xr:uid="{574960C0-5DD3-46BC-BAA6-C945745E9CE0}"/>
    <cellStyle name="Normal 2 2 2 2 2 2 2 5" xfId="28113" xr:uid="{5005F9DE-A9DE-4B04-BAAA-0B439B26C69E}"/>
    <cellStyle name="Normal 2 2 2 2 2 2 3" xfId="1717" xr:uid="{54156718-4AA7-4ACB-A734-F111A5E49024}"/>
    <cellStyle name="Normal 2 2 2 2 2 2 3 2" xfId="4871" xr:uid="{905E7096-62D4-4008-B083-90E90E05D1F0}"/>
    <cellStyle name="Normal 2 2 2 2 2 2 3 2 2" xfId="11164" xr:uid="{1D38CBA0-44CC-4487-BF61-0E063E1B27A7}"/>
    <cellStyle name="Normal 2 2 2 2 2 2 3 2 2 2" xfId="23846" xr:uid="{6221EC7E-4988-4FDA-871C-A040334B4412}"/>
    <cellStyle name="Normal 2 2 2 2 2 2 3 2 2 2 2" xfId="49338" xr:uid="{A24C3F96-5B8B-4835-A96D-75602FE5EB67}"/>
    <cellStyle name="Normal 2 2 2 2 2 2 3 2 2 3" xfId="36747" xr:uid="{F59C7FA1-2CA3-4216-ADB9-BD264DDB2336}"/>
    <cellStyle name="Normal 2 2 2 2 2 2 3 2 3" xfId="17568" xr:uid="{8A0C2853-3C58-411E-9C4A-C8266CE4F63F}"/>
    <cellStyle name="Normal 2 2 2 2 2 2 3 2 3 2" xfId="43060" xr:uid="{BEC6D71F-35F6-4765-965D-732B5038D724}"/>
    <cellStyle name="Normal 2 2 2 2 2 2 3 2 4" xfId="30469" xr:uid="{6755AEE2-DB9C-42B2-B7E2-0EF287ECB041}"/>
    <cellStyle name="Normal 2 2 2 2 2 2 3 3" xfId="8025" xr:uid="{03C57B1F-8EB1-4845-BA05-70E4DCF9ED71}"/>
    <cellStyle name="Normal 2 2 2 2 2 2 3 3 2" xfId="20707" xr:uid="{5D57B603-DF2B-4BD9-9A32-BB12C6A5698E}"/>
    <cellStyle name="Normal 2 2 2 2 2 2 3 3 2 2" xfId="46199" xr:uid="{1AD03052-7AD7-40CD-A07E-6DB656592CB8}"/>
    <cellStyle name="Normal 2 2 2 2 2 2 3 3 3" xfId="33608" xr:uid="{C99D8302-2B93-4D04-A658-726AB26D4A9F}"/>
    <cellStyle name="Normal 2 2 2 2 2 2 3 4" xfId="14429" xr:uid="{61C90304-5346-423F-9737-85D36B67837B}"/>
    <cellStyle name="Normal 2 2 2 2 2 2 3 4 2" xfId="39921" xr:uid="{A1D2FE35-A2D8-4A9C-A48E-55F2FFD4F2AC}"/>
    <cellStyle name="Normal 2 2 2 2 2 2 3 5" xfId="27330" xr:uid="{80193D6C-FE23-44F5-8304-F0D44275DC64}"/>
    <cellStyle name="Normal 2 2 2 2 2 2 4" xfId="3024" xr:uid="{CCF746D4-168D-4C39-880A-C19BBC0BD07D}"/>
    <cellStyle name="Normal 2 2 2 2 2 2 4 2" xfId="6178" xr:uid="{58FB19F2-FD86-4D21-813E-609E06CECAF3}"/>
    <cellStyle name="Normal 2 2 2 2 2 2 4 2 2" xfId="12471" xr:uid="{AE8805B6-91BB-4247-87B7-84BF9CF18E37}"/>
    <cellStyle name="Normal 2 2 2 2 2 2 4 2 2 2" xfId="25153" xr:uid="{0418B40F-B63A-41C8-A2C4-DFE3E86C0EEE}"/>
    <cellStyle name="Normal 2 2 2 2 2 2 4 2 2 2 2" xfId="50645" xr:uid="{A22DCE0C-2F72-4183-93C4-65B6BC4A94B0}"/>
    <cellStyle name="Normal 2 2 2 2 2 2 4 2 2 3" xfId="38054" xr:uid="{7919A506-C33B-41BA-94F9-90C4B6E28AC2}"/>
    <cellStyle name="Normal 2 2 2 2 2 2 4 2 3" xfId="18875" xr:uid="{39D5FE0B-20D2-4FCE-B40B-764A125BC52A}"/>
    <cellStyle name="Normal 2 2 2 2 2 2 4 2 3 2" xfId="44367" xr:uid="{A4219B40-068F-41C1-A0FC-CA4DDF240C4D}"/>
    <cellStyle name="Normal 2 2 2 2 2 2 4 2 4" xfId="31776" xr:uid="{452AB322-B6DC-4BFB-9226-320213021F61}"/>
    <cellStyle name="Normal 2 2 2 2 2 2 4 3" xfId="9332" xr:uid="{B144FBDC-9795-4000-AA30-EA5A2F280DA4}"/>
    <cellStyle name="Normal 2 2 2 2 2 2 4 3 2" xfId="22014" xr:uid="{16B81BFC-99E9-4D05-9C11-5FEC9367962C}"/>
    <cellStyle name="Normal 2 2 2 2 2 2 4 3 2 2" xfId="47506" xr:uid="{316002BD-F6CD-4FDF-9DCA-1C5874170226}"/>
    <cellStyle name="Normal 2 2 2 2 2 2 4 3 3" xfId="34915" xr:uid="{78AB88B4-C395-4096-960B-E1B01A900C26}"/>
    <cellStyle name="Normal 2 2 2 2 2 2 4 4" xfId="15736" xr:uid="{566811A0-B52F-46B8-951F-2D274C76C445}"/>
    <cellStyle name="Normal 2 2 2 2 2 2 4 4 2" xfId="41228" xr:uid="{95FA0F45-38CD-4230-8F40-FDE75AF07757}"/>
    <cellStyle name="Normal 2 2 2 2 2 2 4 5" xfId="28637" xr:uid="{057B1D4D-3013-4795-89FA-F02C0BF9A5A1}"/>
    <cellStyle name="Normal 2 2 2 2 2 2 5" xfId="3547" xr:uid="{67E98B39-52B1-47C1-90ED-30403195E547}"/>
    <cellStyle name="Normal 2 2 2 2 2 2 5 2" xfId="6701" xr:uid="{A311FBAF-9F28-41BF-9DA5-6526220C93EC}"/>
    <cellStyle name="Normal 2 2 2 2 2 2 5 2 2" xfId="12994" xr:uid="{70887FAA-DC94-436A-8790-C222EFA051AD}"/>
    <cellStyle name="Normal 2 2 2 2 2 2 5 2 2 2" xfId="25676" xr:uid="{A594EF5E-7269-4FBF-AAAA-FB67D5E53C1D}"/>
    <cellStyle name="Normal 2 2 2 2 2 2 5 2 2 2 2" xfId="51168" xr:uid="{1ACED652-A945-4547-8171-AC9D959AC084}"/>
    <cellStyle name="Normal 2 2 2 2 2 2 5 2 2 3" xfId="38577" xr:uid="{AAF7B5D3-2507-42A7-8E9D-35E66118CE55}"/>
    <cellStyle name="Normal 2 2 2 2 2 2 5 2 3" xfId="19398" xr:uid="{E2584E4C-ABD8-4251-8A43-CC9CB6310C3C}"/>
    <cellStyle name="Normal 2 2 2 2 2 2 5 2 3 2" xfId="44890" xr:uid="{6E4ABB46-57AB-4F8A-9DFB-AED38DC9280A}"/>
    <cellStyle name="Normal 2 2 2 2 2 2 5 2 4" xfId="32299" xr:uid="{DD440ECB-FEF8-4A5C-9F44-E5CD7F91DFCD}"/>
    <cellStyle name="Normal 2 2 2 2 2 2 5 3" xfId="9855" xr:uid="{2764D092-7003-4630-80E4-3A758AF95829}"/>
    <cellStyle name="Normal 2 2 2 2 2 2 5 3 2" xfId="22537" xr:uid="{D9A8671D-66C7-404A-8532-66ED628FFFFC}"/>
    <cellStyle name="Normal 2 2 2 2 2 2 5 3 2 2" xfId="48029" xr:uid="{14AC3847-7138-471C-B4B4-C0A822CFC297}"/>
    <cellStyle name="Normal 2 2 2 2 2 2 5 3 3" xfId="35438" xr:uid="{733C4FDB-FB11-4528-AA43-0F7B0470836C}"/>
    <cellStyle name="Normal 2 2 2 2 2 2 5 4" xfId="16259" xr:uid="{6369B496-4D7B-4843-B152-2206ACB3B4A6}"/>
    <cellStyle name="Normal 2 2 2 2 2 2 5 4 2" xfId="41751" xr:uid="{0099997D-905A-4C4D-BE8B-EF4A18888D6D}"/>
    <cellStyle name="Normal 2 2 2 2 2 2 5 5" xfId="29160" xr:uid="{55932612-7C91-40B5-9C75-6E63DFEA8DD1}"/>
    <cellStyle name="Normal 2 2 2 2 2 2 6" xfId="4347" xr:uid="{BD8ABE17-06D4-4543-B470-9C27253C8C35}"/>
    <cellStyle name="Normal 2 2 2 2 2 2 6 2" xfId="10640" xr:uid="{ACC91BEA-311B-44E8-A526-6C8EB2E6D7B5}"/>
    <cellStyle name="Normal 2 2 2 2 2 2 6 2 2" xfId="23322" xr:uid="{38DF3AA4-D8F3-4A47-959F-B6EE8505ED56}"/>
    <cellStyle name="Normal 2 2 2 2 2 2 6 2 2 2" xfId="48814" xr:uid="{57E885A1-9D56-4CB7-BE96-3C25EABD5053}"/>
    <cellStyle name="Normal 2 2 2 2 2 2 6 2 3" xfId="36223" xr:uid="{3B933E80-3E5F-4E36-AF2A-C0A6F38EE1E1}"/>
    <cellStyle name="Normal 2 2 2 2 2 2 6 3" xfId="17044" xr:uid="{D8CFE5B7-D996-498B-9913-8E7BFD796451}"/>
    <cellStyle name="Normal 2 2 2 2 2 2 6 3 2" xfId="42536" xr:uid="{157AAF47-BEEA-4BBF-91A0-1C7EBEAF4A42}"/>
    <cellStyle name="Normal 2 2 2 2 2 2 6 4" xfId="29945" xr:uid="{C9909DFC-AAF3-45C3-A10A-A667E7C53C19}"/>
    <cellStyle name="Normal 2 2 2 2 2 2 7" xfId="7501" xr:uid="{9DBB9B94-C6E1-4059-8E57-36C1B3D71C85}"/>
    <cellStyle name="Normal 2 2 2 2 2 2 7 2" xfId="20183" xr:uid="{E5D0EB02-1AAD-4B8E-B4E3-FFEF3C12E53D}"/>
    <cellStyle name="Normal 2 2 2 2 2 2 7 2 2" xfId="45675" xr:uid="{5C89C768-FDC7-4B5C-9AD0-6A8E12E3954E}"/>
    <cellStyle name="Normal 2 2 2 2 2 2 7 3" xfId="33084" xr:uid="{0C100105-B7BF-4916-A15E-361872ACC323}"/>
    <cellStyle name="Normal 2 2 2 2 2 2 8" xfId="13905" xr:uid="{14FFE085-FFDA-4158-BF2A-FE3A003FA2F7}"/>
    <cellStyle name="Normal 2 2 2 2 2 2 8 2" xfId="39397" xr:uid="{26D9838D-ED2A-4B6B-B9B3-64FFFE0C0C0C}"/>
    <cellStyle name="Normal 2 2 2 2 2 2 9" xfId="26806" xr:uid="{37E7D0F6-AAAF-436C-A0CE-653835EA165E}"/>
    <cellStyle name="Normal 2 2 2 2 2 3" xfId="933" xr:uid="{863813AD-6518-4BDA-BC5F-70FFBA22D81E}"/>
    <cellStyle name="Normal 2 2 2 2 2 3 2" xfId="2240" xr:uid="{6B9FB58F-FD91-4423-9BC8-9662A1BEDF4C}"/>
    <cellStyle name="Normal 2 2 2 2 2 3 2 2" xfId="5394" xr:uid="{83A54B33-C15E-476A-8C96-C045009A2D01}"/>
    <cellStyle name="Normal 2 2 2 2 2 3 2 2 2" xfId="11687" xr:uid="{26AC42AF-125F-453D-851E-822F5AC0A922}"/>
    <cellStyle name="Normal 2 2 2 2 2 3 2 2 2 2" xfId="24369" xr:uid="{CE8EFBE4-8955-49AF-84A6-CADD32DED424}"/>
    <cellStyle name="Normal 2 2 2 2 2 3 2 2 2 2 2" xfId="49861" xr:uid="{5CAD2A93-52A3-4520-A928-10EFE9AA4E3D}"/>
    <cellStyle name="Normal 2 2 2 2 2 3 2 2 2 3" xfId="37270" xr:uid="{4F385D75-3527-435A-9082-BCBD7C08373A}"/>
    <cellStyle name="Normal 2 2 2 2 2 3 2 2 3" xfId="18091" xr:uid="{347B540D-D39F-495B-888B-F01FAC15B44C}"/>
    <cellStyle name="Normal 2 2 2 2 2 3 2 2 3 2" xfId="43583" xr:uid="{F11E62ED-42EF-4B34-B6D7-804FCC238CE4}"/>
    <cellStyle name="Normal 2 2 2 2 2 3 2 2 4" xfId="30992" xr:uid="{F5504AB2-E37D-4933-BD40-765CED2A8CAD}"/>
    <cellStyle name="Normal 2 2 2 2 2 3 2 3" xfId="8548" xr:uid="{F3DBD90C-12FC-4C4D-A1FA-88F5D11E8584}"/>
    <cellStyle name="Normal 2 2 2 2 2 3 2 3 2" xfId="21230" xr:uid="{3289AC57-790B-4003-B48D-6FDAA01520C4}"/>
    <cellStyle name="Normal 2 2 2 2 2 3 2 3 2 2" xfId="46722" xr:uid="{C4193565-760B-4054-B43B-E54D232DE721}"/>
    <cellStyle name="Normal 2 2 2 2 2 3 2 3 3" xfId="34131" xr:uid="{EDB33C1C-D37C-44DE-8144-006DCBBBE266}"/>
    <cellStyle name="Normal 2 2 2 2 2 3 2 4" xfId="14952" xr:uid="{3B3C54AE-9395-464B-863E-7730A1BCB55C}"/>
    <cellStyle name="Normal 2 2 2 2 2 3 2 4 2" xfId="40444" xr:uid="{1AC6D255-4A43-4320-BA37-570DB16ECA0B}"/>
    <cellStyle name="Normal 2 2 2 2 2 3 2 5" xfId="27853" xr:uid="{40741EE0-0764-4A84-9B5A-181BB356046F}"/>
    <cellStyle name="Normal 2 2 2 2 2 3 3" xfId="4087" xr:uid="{4C05B56C-F014-485D-B7FC-341257368E5F}"/>
    <cellStyle name="Normal 2 2 2 2 2 3 3 2" xfId="10380" xr:uid="{83EBB14F-7FE9-4DAF-B1D0-7C5A4F01CCDD}"/>
    <cellStyle name="Normal 2 2 2 2 2 3 3 2 2" xfId="23062" xr:uid="{9379EB8D-AD33-4148-B251-DC0844C9E54E}"/>
    <cellStyle name="Normal 2 2 2 2 2 3 3 2 2 2" xfId="48554" xr:uid="{325C2D6D-EF12-4258-A938-655CABDF135F}"/>
    <cellStyle name="Normal 2 2 2 2 2 3 3 2 3" xfId="35963" xr:uid="{5857FA70-7A2E-4B63-9457-1BFC1C370A61}"/>
    <cellStyle name="Normal 2 2 2 2 2 3 3 3" xfId="16784" xr:uid="{5A74A031-6689-4E12-AA45-00EFACB441B6}"/>
    <cellStyle name="Normal 2 2 2 2 2 3 3 3 2" xfId="42276" xr:uid="{FD29C23C-4CB0-427E-AEDE-C21134D142AD}"/>
    <cellStyle name="Normal 2 2 2 2 2 3 3 4" xfId="29685" xr:uid="{A7A1F0CE-84B5-4670-9FAB-AF9A25F80D6B}"/>
    <cellStyle name="Normal 2 2 2 2 2 3 4" xfId="7241" xr:uid="{4BC0D08A-7B37-4C5B-8653-BE5C63DD1938}"/>
    <cellStyle name="Normal 2 2 2 2 2 3 4 2" xfId="19923" xr:uid="{88C10BE9-513D-42BD-B09D-DCB03FCCCA47}"/>
    <cellStyle name="Normal 2 2 2 2 2 3 4 2 2" xfId="45415" xr:uid="{E2A3C86E-D934-4AE0-8B58-08E8577F5543}"/>
    <cellStyle name="Normal 2 2 2 2 2 3 4 3" xfId="32824" xr:uid="{B295F86D-50C3-480B-B0D8-3CAFD02F189C}"/>
    <cellStyle name="Normal 2 2 2 2 2 3 5" xfId="13645" xr:uid="{D04D5E30-878B-4BC7-A213-84D45340B1CD}"/>
    <cellStyle name="Normal 2 2 2 2 2 3 5 2" xfId="39137" xr:uid="{8487DA52-519B-408D-A322-1AB397C7F711}"/>
    <cellStyle name="Normal 2 2 2 2 2 3 6" xfId="26546" xr:uid="{4899D1D0-F47C-4CEE-BBBD-4CCC30248864}"/>
    <cellStyle name="Normal 2 2 2 2 2 4" xfId="1978" xr:uid="{8574C6A4-4C7B-4A3E-87EB-E2C3169C78B6}"/>
    <cellStyle name="Normal 2 2 2 2 2 4 2" xfId="5132" xr:uid="{B7EE8E03-C363-4AD3-9AA7-A92234B82881}"/>
    <cellStyle name="Normal 2 2 2 2 2 4 2 2" xfId="11425" xr:uid="{DD1C5468-0C9B-4EF7-BCDF-E311CBF5B54A}"/>
    <cellStyle name="Normal 2 2 2 2 2 4 2 2 2" xfId="24107" xr:uid="{344668B8-F160-41A0-9231-EDF6602B06C7}"/>
    <cellStyle name="Normal 2 2 2 2 2 4 2 2 2 2" xfId="49599" xr:uid="{AFB3DB52-E333-4920-9BBD-7A8496E7064C}"/>
    <cellStyle name="Normal 2 2 2 2 2 4 2 2 3" xfId="37008" xr:uid="{8610B26A-90FE-44BF-A322-1A15BBCF5811}"/>
    <cellStyle name="Normal 2 2 2 2 2 4 2 3" xfId="17829" xr:uid="{C9D1A8FF-0CFE-42BF-B8E3-F9CAB9098CC3}"/>
    <cellStyle name="Normal 2 2 2 2 2 4 2 3 2" xfId="43321" xr:uid="{95D136A7-C95A-4C10-998A-0BE8FFF48ABB}"/>
    <cellStyle name="Normal 2 2 2 2 2 4 2 4" xfId="30730" xr:uid="{372DE7B7-1C4A-4B67-8E45-33CB4ED3DD49}"/>
    <cellStyle name="Normal 2 2 2 2 2 4 3" xfId="8286" xr:uid="{E2D6B131-E128-4859-ADDC-1C051D683D01}"/>
    <cellStyle name="Normal 2 2 2 2 2 4 3 2" xfId="20968" xr:uid="{4DA90F5C-89CB-4D94-B0E4-94EF6C9012E9}"/>
    <cellStyle name="Normal 2 2 2 2 2 4 3 2 2" xfId="46460" xr:uid="{05A83DA4-6049-4AFE-A27A-425CBC87B5D1}"/>
    <cellStyle name="Normal 2 2 2 2 2 4 3 3" xfId="33869" xr:uid="{12CA7DA5-83BC-4131-8046-3F6F558C138D}"/>
    <cellStyle name="Normal 2 2 2 2 2 4 4" xfId="14690" xr:uid="{F29C269F-D676-4C8A-8661-182F8F28E0F7}"/>
    <cellStyle name="Normal 2 2 2 2 2 4 4 2" xfId="40182" xr:uid="{93FD6E96-C7EE-4569-92FA-78240293166D}"/>
    <cellStyle name="Normal 2 2 2 2 2 4 5" xfId="27591" xr:uid="{417B60E0-851F-4BE2-8491-B31DCCA5F296}"/>
    <cellStyle name="Normal 2 2 2 2 2 5" xfId="1456" xr:uid="{A469BE74-6CF0-4A41-BC6D-69D54E160A55}"/>
    <cellStyle name="Normal 2 2 2 2 2 5 2" xfId="4610" xr:uid="{26832905-17C2-4D35-87CD-9BC0B5C3612E}"/>
    <cellStyle name="Normal 2 2 2 2 2 5 2 2" xfId="10903" xr:uid="{27CE28E8-1BAB-4989-A875-687219656310}"/>
    <cellStyle name="Normal 2 2 2 2 2 5 2 2 2" xfId="23585" xr:uid="{9961D5AC-00B2-4CD3-B4A8-771CD8A9399B}"/>
    <cellStyle name="Normal 2 2 2 2 2 5 2 2 2 2" xfId="49077" xr:uid="{CAC0929F-E7D1-4D7A-BCE5-E55A542FA382}"/>
    <cellStyle name="Normal 2 2 2 2 2 5 2 2 3" xfId="36486" xr:uid="{953608C4-F9D4-4EB4-9934-03AD5B3518D0}"/>
    <cellStyle name="Normal 2 2 2 2 2 5 2 3" xfId="17307" xr:uid="{4019ADCE-99E9-46EC-9925-7001C375040A}"/>
    <cellStyle name="Normal 2 2 2 2 2 5 2 3 2" xfId="42799" xr:uid="{4C347FA7-A13E-4957-9D10-3A7BBC336AC8}"/>
    <cellStyle name="Normal 2 2 2 2 2 5 2 4" xfId="30208" xr:uid="{C5B68228-1A45-4628-A1D1-64CB746C4B8D}"/>
    <cellStyle name="Normal 2 2 2 2 2 5 3" xfId="7764" xr:uid="{5ED32A13-B63E-4095-A2EE-E4C91315C9F5}"/>
    <cellStyle name="Normal 2 2 2 2 2 5 3 2" xfId="20446" xr:uid="{7ACDC1FE-32F2-4803-ACBB-4130F3D97C46}"/>
    <cellStyle name="Normal 2 2 2 2 2 5 3 2 2" xfId="45938" xr:uid="{7DCB5997-7314-4B25-8625-E4E889467ADA}"/>
    <cellStyle name="Normal 2 2 2 2 2 5 3 3" xfId="33347" xr:uid="{01327E18-1DC4-4169-8EAD-D4A62DA0E9C0}"/>
    <cellStyle name="Normal 2 2 2 2 2 5 4" xfId="14168" xr:uid="{01526E75-CE7C-4AC5-8AA9-776473E54A38}"/>
    <cellStyle name="Normal 2 2 2 2 2 5 4 2" xfId="39660" xr:uid="{E8E9D0CF-C039-4EE6-992C-CDD47EFC2D82}"/>
    <cellStyle name="Normal 2 2 2 2 2 5 5" xfId="27069" xr:uid="{478D35C3-79C9-490D-8C7F-06E6D2552C26}"/>
    <cellStyle name="Normal 2 2 2 2 2 6" xfId="2763" xr:uid="{E15C4C63-5943-407F-A59B-1966B06A3D30}"/>
    <cellStyle name="Normal 2 2 2 2 2 6 2" xfId="5917" xr:uid="{641657A3-E3FC-440B-89A7-0CAE85BE954D}"/>
    <cellStyle name="Normal 2 2 2 2 2 6 2 2" xfId="12210" xr:uid="{E261C9D5-3C0B-4772-BE2D-3CD494F52D49}"/>
    <cellStyle name="Normal 2 2 2 2 2 6 2 2 2" xfId="24892" xr:uid="{D4BB4E1F-625F-4D4F-AFF3-684B8EF2B7EF}"/>
    <cellStyle name="Normal 2 2 2 2 2 6 2 2 2 2" xfId="50384" xr:uid="{7CCBD403-31EE-4C92-820E-F99C66FD1994}"/>
    <cellStyle name="Normal 2 2 2 2 2 6 2 2 3" xfId="37793" xr:uid="{6D9A30E3-757E-4A5C-B6EA-7FE525C38875}"/>
    <cellStyle name="Normal 2 2 2 2 2 6 2 3" xfId="18614" xr:uid="{8B320C13-F4ED-487B-BE45-904F70E722DC}"/>
    <cellStyle name="Normal 2 2 2 2 2 6 2 3 2" xfId="44106" xr:uid="{300BB5A3-C328-43F7-9FA8-252547C9996D}"/>
    <cellStyle name="Normal 2 2 2 2 2 6 2 4" xfId="31515" xr:uid="{46E733E7-ED93-4EC6-AB61-F89BF11C46FD}"/>
    <cellStyle name="Normal 2 2 2 2 2 6 3" xfId="9071" xr:uid="{97E18818-014D-4468-83B7-3F3DEF9B4E8B}"/>
    <cellStyle name="Normal 2 2 2 2 2 6 3 2" xfId="21753" xr:uid="{70221DDD-8EFF-49E8-8B18-77E18DB323F3}"/>
    <cellStyle name="Normal 2 2 2 2 2 6 3 2 2" xfId="47245" xr:uid="{BDA1AC2A-19DC-4DD5-9FFD-67055AE12AA7}"/>
    <cellStyle name="Normal 2 2 2 2 2 6 3 3" xfId="34654" xr:uid="{3F817318-B88E-4785-A413-05B156E1ECDE}"/>
    <cellStyle name="Normal 2 2 2 2 2 6 4" xfId="15475" xr:uid="{D856039A-7F48-4234-A37D-262F602F7764}"/>
    <cellStyle name="Normal 2 2 2 2 2 6 4 2" xfId="40967" xr:uid="{D1E74C60-4252-4FBE-B3C7-9E0FF4EA6564}"/>
    <cellStyle name="Normal 2 2 2 2 2 6 5" xfId="28376" xr:uid="{5E978491-F790-48BC-A0F7-BEC38FF78CD9}"/>
    <cellStyle name="Normal 2 2 2 2 2 7" xfId="3286" xr:uid="{F31C4129-5AD5-4C77-9C72-ED993B9090DF}"/>
    <cellStyle name="Normal 2 2 2 2 2 7 2" xfId="6440" xr:uid="{06F58BE9-BB56-4465-8192-51FA509BCBD1}"/>
    <cellStyle name="Normal 2 2 2 2 2 7 2 2" xfId="12733" xr:uid="{71A217AC-97B1-4169-BD1E-2BF34BA3A708}"/>
    <cellStyle name="Normal 2 2 2 2 2 7 2 2 2" xfId="25415" xr:uid="{B993880F-14F6-4193-AB92-2B817CFCC118}"/>
    <cellStyle name="Normal 2 2 2 2 2 7 2 2 2 2" xfId="50907" xr:uid="{66AEA1F3-3AD4-433F-A86C-C4A15C59846C}"/>
    <cellStyle name="Normal 2 2 2 2 2 7 2 2 3" xfId="38316" xr:uid="{AEDA1EA2-291D-4AFE-986A-2A39E1870FD4}"/>
    <cellStyle name="Normal 2 2 2 2 2 7 2 3" xfId="19137" xr:uid="{679F5C56-948B-413C-A456-1213A71537DF}"/>
    <cellStyle name="Normal 2 2 2 2 2 7 2 3 2" xfId="44629" xr:uid="{61C10207-21BB-4E3D-951E-ECCEB7C039E0}"/>
    <cellStyle name="Normal 2 2 2 2 2 7 2 4" xfId="32038" xr:uid="{592EE737-26A4-47CB-BFB8-C0327027BACC}"/>
    <cellStyle name="Normal 2 2 2 2 2 7 3" xfId="9594" xr:uid="{132D6E3D-752D-418C-AB83-AD3829BE9CA7}"/>
    <cellStyle name="Normal 2 2 2 2 2 7 3 2" xfId="22276" xr:uid="{8947D1AA-CDBE-4928-B804-8FEEBEA104A3}"/>
    <cellStyle name="Normal 2 2 2 2 2 7 3 2 2" xfId="47768" xr:uid="{CDA92434-2EE2-4F67-A593-B401F66B3A3A}"/>
    <cellStyle name="Normal 2 2 2 2 2 7 3 3" xfId="35177" xr:uid="{683575F4-BC11-4E2C-BE65-F274602CAA1D}"/>
    <cellStyle name="Normal 2 2 2 2 2 7 4" xfId="15998" xr:uid="{5E4CF8C7-EAB7-4619-8404-A9C76723C49D}"/>
    <cellStyle name="Normal 2 2 2 2 2 7 4 2" xfId="41490" xr:uid="{132E0FC1-AA59-4827-B1AB-DECC548185C2}"/>
    <cellStyle name="Normal 2 2 2 2 2 7 5" xfId="28899" xr:uid="{796E401C-E48A-45BE-A915-DD8B1DC315CA}"/>
    <cellStyle name="Normal 2 2 2 2 2 8" xfId="3825" xr:uid="{81C10932-5032-4EEE-AC7E-7586F9E0FAB9}"/>
    <cellStyle name="Normal 2 2 2 2 2 8 2" xfId="10118" xr:uid="{A3F2618E-B35B-48BF-A457-0BACFBCBCA96}"/>
    <cellStyle name="Normal 2 2 2 2 2 8 2 2" xfId="22800" xr:uid="{9FBD6181-20DE-4479-9E06-D976342860F0}"/>
    <cellStyle name="Normal 2 2 2 2 2 8 2 2 2" xfId="48292" xr:uid="{809620C5-CBD7-4641-84C7-B31DFCD02E66}"/>
    <cellStyle name="Normal 2 2 2 2 2 8 2 3" xfId="35701" xr:uid="{552A4635-DA06-468D-9C77-7AA6DFF32E6C}"/>
    <cellStyle name="Normal 2 2 2 2 2 8 3" xfId="16522" xr:uid="{CC9FF58A-BA14-4AFA-8AEC-E55AB4B69CEB}"/>
    <cellStyle name="Normal 2 2 2 2 2 8 3 2" xfId="42014" xr:uid="{4611875A-DE47-4866-863C-E452A3C61A0B}"/>
    <cellStyle name="Normal 2 2 2 2 2 8 4" xfId="29423" xr:uid="{8B521CC1-23E0-4633-9807-A78796441795}"/>
    <cellStyle name="Normal 2 2 2 2 2 9" xfId="6979" xr:uid="{CCFC4452-689C-45A8-9858-6967D2CF8E41}"/>
    <cellStyle name="Normal 2 2 2 2 2 9 2" xfId="19661" xr:uid="{21D5F1EC-AEFF-467A-905E-0A313AD3DEAF}"/>
    <cellStyle name="Normal 2 2 2 2 2 9 2 2" xfId="45153" xr:uid="{8AF9D6FB-DA38-49F3-9B56-CCE516DD6A8A}"/>
    <cellStyle name="Normal 2 2 2 2 2 9 3" xfId="32562" xr:uid="{2D125F6A-0677-4114-9322-5D88E1EFD67F}"/>
    <cellStyle name="Normal 2 2 2 2 3" xfId="1034" xr:uid="{F78A9E4B-50DC-406D-AC1E-419F5400AE09}"/>
    <cellStyle name="Normal 2 2 2 2 3 2" xfId="2341" xr:uid="{D8A861A1-39C3-4B7B-985D-D1A739EED9D5}"/>
    <cellStyle name="Normal 2 2 2 2 3 2 2" xfId="5495" xr:uid="{3229C44A-3C70-4D6F-8E2B-7F7AE4C65559}"/>
    <cellStyle name="Normal 2 2 2 2 3 2 2 2" xfId="11788" xr:uid="{F764BFA9-57B7-452C-B513-FBFFBCD4B8B1}"/>
    <cellStyle name="Normal 2 2 2 2 3 2 2 2 2" xfId="24470" xr:uid="{E56D10F9-C47D-4F72-840D-DFC931CB9321}"/>
    <cellStyle name="Normal 2 2 2 2 3 2 2 2 2 2" xfId="49962" xr:uid="{9FBD8FD7-0592-4F2A-B276-B9ACAEFDC56B}"/>
    <cellStyle name="Normal 2 2 2 2 3 2 2 2 3" xfId="37371" xr:uid="{12C1E99E-1D4C-4360-9309-8C8F654DDF17}"/>
    <cellStyle name="Normal 2 2 2 2 3 2 2 3" xfId="18192" xr:uid="{B69F01C5-C3C2-4C9B-ACA2-B9E3A07D4FE1}"/>
    <cellStyle name="Normal 2 2 2 2 3 2 2 3 2" xfId="43684" xr:uid="{9E2B3C7F-4920-476E-914E-20140F27C059}"/>
    <cellStyle name="Normal 2 2 2 2 3 2 2 4" xfId="31093" xr:uid="{AA2C3BCA-C53C-428A-B756-912024F9B7AF}"/>
    <cellStyle name="Normal 2 2 2 2 3 2 3" xfId="8649" xr:uid="{9C23DBBA-A720-4229-A98B-5223F2191406}"/>
    <cellStyle name="Normal 2 2 2 2 3 2 3 2" xfId="21331" xr:uid="{D63866CF-7419-42AE-AD56-083F1CECEB0A}"/>
    <cellStyle name="Normal 2 2 2 2 3 2 3 2 2" xfId="46823" xr:uid="{B445935A-0B14-444F-B008-B9A90A27B952}"/>
    <cellStyle name="Normal 2 2 2 2 3 2 3 3" xfId="34232" xr:uid="{F3FB4E02-D3EF-41AE-91C4-F96AD934ADEB}"/>
    <cellStyle name="Normal 2 2 2 2 3 2 4" xfId="15053" xr:uid="{5704306E-5441-4137-97FE-90BF979AA0C3}"/>
    <cellStyle name="Normal 2 2 2 2 3 2 4 2" xfId="40545" xr:uid="{4E486B8F-87A0-4F91-8CB7-25CA2D668AA4}"/>
    <cellStyle name="Normal 2 2 2 2 3 2 5" xfId="27954" xr:uid="{FE759E5E-C7E8-4CA7-98A8-51DEF36C29D3}"/>
    <cellStyle name="Normal 2 2 2 2 3 3" xfId="1558" xr:uid="{31F8887E-E97C-4BA1-B405-CC0B461BB4D5}"/>
    <cellStyle name="Normal 2 2 2 2 3 3 2" xfId="4712" xr:uid="{71301F00-7786-4778-8E55-82EC10F0D280}"/>
    <cellStyle name="Normal 2 2 2 2 3 3 2 2" xfId="11005" xr:uid="{F2BE9FF3-557D-48DB-BF57-D24E62740E19}"/>
    <cellStyle name="Normal 2 2 2 2 3 3 2 2 2" xfId="23687" xr:uid="{4AFBD998-2B24-4A3D-AD8B-2563CD376BF2}"/>
    <cellStyle name="Normal 2 2 2 2 3 3 2 2 2 2" xfId="49179" xr:uid="{0DDED256-7CE5-4476-811C-4782BA2DB290}"/>
    <cellStyle name="Normal 2 2 2 2 3 3 2 2 3" xfId="36588" xr:uid="{322FFE66-0BF4-4557-8110-97E03B03C23A}"/>
    <cellStyle name="Normal 2 2 2 2 3 3 2 3" xfId="17409" xr:uid="{40248137-8A05-4D22-A85D-0682142B73D9}"/>
    <cellStyle name="Normal 2 2 2 2 3 3 2 3 2" xfId="42901" xr:uid="{C8F687AA-B315-44A8-8CC0-B079D4B615B4}"/>
    <cellStyle name="Normal 2 2 2 2 3 3 2 4" xfId="30310" xr:uid="{D15876BC-A5CC-4799-855E-83766249EF8D}"/>
    <cellStyle name="Normal 2 2 2 2 3 3 3" xfId="7866" xr:uid="{717B6127-3212-4A21-9E54-872D459F947C}"/>
    <cellStyle name="Normal 2 2 2 2 3 3 3 2" xfId="20548" xr:uid="{6FCF95F5-BD14-46BD-AAB8-559B0467D98A}"/>
    <cellStyle name="Normal 2 2 2 2 3 3 3 2 2" xfId="46040" xr:uid="{802C83A9-F3FF-4F44-A95F-BB759023FAD2}"/>
    <cellStyle name="Normal 2 2 2 2 3 3 3 3" xfId="33449" xr:uid="{3FC8AFA9-13EF-45FC-A3DD-CA91FDE1EA60}"/>
    <cellStyle name="Normal 2 2 2 2 3 3 4" xfId="14270" xr:uid="{39BCA186-FB66-4CB7-996E-538488E47C2A}"/>
    <cellStyle name="Normal 2 2 2 2 3 3 4 2" xfId="39762" xr:uid="{FB55231A-A8CE-469C-A27C-61A158206DD5}"/>
    <cellStyle name="Normal 2 2 2 2 3 3 5" xfId="27171" xr:uid="{CB4EFBD3-5DA4-470E-8E0E-C2CD6623F90F}"/>
    <cellStyle name="Normal 2 2 2 2 3 4" xfId="2865" xr:uid="{1DA4D1D6-D89B-4584-8319-9408CDE8EF24}"/>
    <cellStyle name="Normal 2 2 2 2 3 4 2" xfId="6019" xr:uid="{3889C0AA-C13E-4DB0-9FAB-62909400A966}"/>
    <cellStyle name="Normal 2 2 2 2 3 4 2 2" xfId="12312" xr:uid="{88375B3C-B19D-4D9D-B19E-5025676A2183}"/>
    <cellStyle name="Normal 2 2 2 2 3 4 2 2 2" xfId="24994" xr:uid="{825B2706-81C4-4878-9958-3F5DFD6C0901}"/>
    <cellStyle name="Normal 2 2 2 2 3 4 2 2 2 2" xfId="50486" xr:uid="{0066159C-D4EA-47C6-8C1D-13EF08EC6936}"/>
    <cellStyle name="Normal 2 2 2 2 3 4 2 2 3" xfId="37895" xr:uid="{042C12D3-A8E8-4E3B-8BCC-DCD9CE52187D}"/>
    <cellStyle name="Normal 2 2 2 2 3 4 2 3" xfId="18716" xr:uid="{77EC4D72-2814-4BC1-912A-DB19BFE87A8B}"/>
    <cellStyle name="Normal 2 2 2 2 3 4 2 3 2" xfId="44208" xr:uid="{9078900D-EB4B-4779-B156-E20BE81CEFF5}"/>
    <cellStyle name="Normal 2 2 2 2 3 4 2 4" xfId="31617" xr:uid="{B90A387C-FEE8-486E-9CB4-7306ED2420B9}"/>
    <cellStyle name="Normal 2 2 2 2 3 4 3" xfId="9173" xr:uid="{26B4216C-4376-428D-992D-21C7BAA94167}"/>
    <cellStyle name="Normal 2 2 2 2 3 4 3 2" xfId="21855" xr:uid="{1DD74EE2-38BD-4EB7-AB2E-EF05DBCBE04D}"/>
    <cellStyle name="Normal 2 2 2 2 3 4 3 2 2" xfId="47347" xr:uid="{FC24B511-983B-4DE5-B1A9-F76FD6622E49}"/>
    <cellStyle name="Normal 2 2 2 2 3 4 3 3" xfId="34756" xr:uid="{C3CE7692-6786-4A9B-BA84-96C0833C9D59}"/>
    <cellStyle name="Normal 2 2 2 2 3 4 4" xfId="15577" xr:uid="{CF3194A2-DAB7-4ED4-8825-E8F6C2AEC68A}"/>
    <cellStyle name="Normal 2 2 2 2 3 4 4 2" xfId="41069" xr:uid="{5CFDE8D3-1C55-472C-8B96-4DAB56BBF75E}"/>
    <cellStyle name="Normal 2 2 2 2 3 4 5" xfId="28478" xr:uid="{40DA11EC-3A32-4F37-84BF-CFC41FAEFD5B}"/>
    <cellStyle name="Normal 2 2 2 2 3 5" xfId="3388" xr:uid="{6ADE999E-B65C-43A0-A2C8-DA4549E21081}"/>
    <cellStyle name="Normal 2 2 2 2 3 5 2" xfId="6542" xr:uid="{DF8658BD-4659-426F-94AB-EC6856C21471}"/>
    <cellStyle name="Normal 2 2 2 2 3 5 2 2" xfId="12835" xr:uid="{1B4B877D-72F6-4420-A7A6-8F50A1B7415E}"/>
    <cellStyle name="Normal 2 2 2 2 3 5 2 2 2" xfId="25517" xr:uid="{CDC82A71-2E5F-4B04-AFC5-DE77AA798900}"/>
    <cellStyle name="Normal 2 2 2 2 3 5 2 2 2 2" xfId="51009" xr:uid="{2B2D5E3D-7437-4BC9-A967-EEA927BC90D8}"/>
    <cellStyle name="Normal 2 2 2 2 3 5 2 2 3" xfId="38418" xr:uid="{41DFABC4-529D-493F-BBE1-E936699874EE}"/>
    <cellStyle name="Normal 2 2 2 2 3 5 2 3" xfId="19239" xr:uid="{029E029A-1F14-472B-B611-69E4A8517CE9}"/>
    <cellStyle name="Normal 2 2 2 2 3 5 2 3 2" xfId="44731" xr:uid="{38CE6192-FF73-4651-AEB0-E5AFF0AE1339}"/>
    <cellStyle name="Normal 2 2 2 2 3 5 2 4" xfId="32140" xr:uid="{E8D8634A-FAA8-4E44-BDEC-01FA7614D443}"/>
    <cellStyle name="Normal 2 2 2 2 3 5 3" xfId="9696" xr:uid="{DDFCBB84-1A12-48A0-8728-9E40ABE1649F}"/>
    <cellStyle name="Normal 2 2 2 2 3 5 3 2" xfId="22378" xr:uid="{F856F8D5-9C25-4F3F-8152-854340D1B1A6}"/>
    <cellStyle name="Normal 2 2 2 2 3 5 3 2 2" xfId="47870" xr:uid="{39C15128-03C4-4A63-A69A-32DC9DE330DC}"/>
    <cellStyle name="Normal 2 2 2 2 3 5 3 3" xfId="35279" xr:uid="{FCA5AA10-3F7B-45E3-9D21-D49637432552}"/>
    <cellStyle name="Normal 2 2 2 2 3 5 4" xfId="16100" xr:uid="{CCA02726-11DF-4683-822E-DFD35F190D6B}"/>
    <cellStyle name="Normal 2 2 2 2 3 5 4 2" xfId="41592" xr:uid="{CCA20511-16D8-4E02-8FC0-ACB2E090865C}"/>
    <cellStyle name="Normal 2 2 2 2 3 5 5" xfId="29001" xr:uid="{B4086A39-21DB-41E5-A792-25F33742167A}"/>
    <cellStyle name="Normal 2 2 2 2 3 6" xfId="4188" xr:uid="{52F21479-6C44-4176-9B0B-55D9FE017C5A}"/>
    <cellStyle name="Normal 2 2 2 2 3 6 2" xfId="10481" xr:uid="{5C71A169-97B7-4C87-B2D0-B8E07BC4B4E5}"/>
    <cellStyle name="Normal 2 2 2 2 3 6 2 2" xfId="23163" xr:uid="{C891E1D5-809D-4708-8A0B-4D7A5BEA9E29}"/>
    <cellStyle name="Normal 2 2 2 2 3 6 2 2 2" xfId="48655" xr:uid="{F8E16C97-C029-4B71-BF24-24DFCBF43AEB}"/>
    <cellStyle name="Normal 2 2 2 2 3 6 2 3" xfId="36064" xr:uid="{EF6F28AF-6723-4240-B250-FC1E79E1A93E}"/>
    <cellStyle name="Normal 2 2 2 2 3 6 3" xfId="16885" xr:uid="{2A5A48FE-5123-47DA-BB13-41FA47479F44}"/>
    <cellStyle name="Normal 2 2 2 2 3 6 3 2" xfId="42377" xr:uid="{E32F99F7-8CBF-46D9-B650-E9888106FCCB}"/>
    <cellStyle name="Normal 2 2 2 2 3 6 4" xfId="29786" xr:uid="{EEF312F3-89C9-48EB-8A69-5EDA9C1C342A}"/>
    <cellStyle name="Normal 2 2 2 2 3 7" xfId="7342" xr:uid="{3213D868-F4C2-40CD-986C-BEAA7C3EA72E}"/>
    <cellStyle name="Normal 2 2 2 2 3 7 2" xfId="20024" xr:uid="{7A5A79CD-8995-4CBF-AE24-937A65F59681}"/>
    <cellStyle name="Normal 2 2 2 2 3 7 2 2" xfId="45516" xr:uid="{B3CFABE0-4B36-45E6-824C-A2299107F296}"/>
    <cellStyle name="Normal 2 2 2 2 3 7 3" xfId="32925" xr:uid="{E7120BBE-A6A2-435B-B4F4-6DD1C643148D}"/>
    <cellStyle name="Normal 2 2 2 2 3 8" xfId="13746" xr:uid="{58423EFD-5CD2-460A-9DC6-B970548EDA80}"/>
    <cellStyle name="Normal 2 2 2 2 3 8 2" xfId="39238" xr:uid="{13C3349A-0986-4420-8F46-5C81770A383E}"/>
    <cellStyle name="Normal 2 2 2 2 3 9" xfId="26647" xr:uid="{D98EB5C9-A958-47DA-A704-1F8640C2CE61}"/>
    <cellStyle name="Normal 2 2 2 2 4" xfId="774" xr:uid="{F08BC42B-783B-4CB0-A93D-3B64D0F16BAF}"/>
    <cellStyle name="Normal 2 2 2 2 4 2" xfId="2081" xr:uid="{39D0DE23-E7CD-43A5-BAC2-678B5EE8F381}"/>
    <cellStyle name="Normal 2 2 2 2 4 2 2" xfId="5235" xr:uid="{9D268462-D17E-4582-ACB2-1C1F41F8C866}"/>
    <cellStyle name="Normal 2 2 2 2 4 2 2 2" xfId="11528" xr:uid="{EA609FBD-DD36-4593-9C10-B6E34B6C3FB1}"/>
    <cellStyle name="Normal 2 2 2 2 4 2 2 2 2" xfId="24210" xr:uid="{68D948E9-48E9-45B0-BD3C-D30E4FC1E5A1}"/>
    <cellStyle name="Normal 2 2 2 2 4 2 2 2 2 2" xfId="49702" xr:uid="{B4EDB116-D4B2-46FF-9FE8-6DE373C6515A}"/>
    <cellStyle name="Normal 2 2 2 2 4 2 2 2 3" xfId="37111" xr:uid="{5BB4AE29-85E3-46C4-83C8-13514F8EA0D9}"/>
    <cellStyle name="Normal 2 2 2 2 4 2 2 3" xfId="17932" xr:uid="{260E8D7F-5001-4C58-9724-BCEDBF984026}"/>
    <cellStyle name="Normal 2 2 2 2 4 2 2 3 2" xfId="43424" xr:uid="{6D64105C-EEC3-43A3-8A4C-95FF66552CC2}"/>
    <cellStyle name="Normal 2 2 2 2 4 2 2 4" xfId="30833" xr:uid="{B22F1B5F-68FA-4590-8481-D1FE13BB8F8F}"/>
    <cellStyle name="Normal 2 2 2 2 4 2 3" xfId="8389" xr:uid="{784A3F12-A2CF-4811-9494-1E6255F3F349}"/>
    <cellStyle name="Normal 2 2 2 2 4 2 3 2" xfId="21071" xr:uid="{6191F90A-0C11-444A-93C8-8B776ABCEA02}"/>
    <cellStyle name="Normal 2 2 2 2 4 2 3 2 2" xfId="46563" xr:uid="{546B4871-F9FA-4F7C-9E04-1A57104AE5D8}"/>
    <cellStyle name="Normal 2 2 2 2 4 2 3 3" xfId="33972" xr:uid="{6BDF97AB-DAB9-4C7A-AD90-15D72968EE6A}"/>
    <cellStyle name="Normal 2 2 2 2 4 2 4" xfId="14793" xr:uid="{3D740C83-3AE1-4C53-A06F-31D4C0FFD1D5}"/>
    <cellStyle name="Normal 2 2 2 2 4 2 4 2" xfId="40285" xr:uid="{8CF88B5F-C325-4A28-836C-FC908277E529}"/>
    <cellStyle name="Normal 2 2 2 2 4 2 5" xfId="27694" xr:uid="{E4217D18-EB6B-4273-A92E-7A0C351F821A}"/>
    <cellStyle name="Normal 2 2 2 2 4 3" xfId="3928" xr:uid="{2DB7AFB4-692C-4241-9B7D-AB84588E616A}"/>
    <cellStyle name="Normal 2 2 2 2 4 3 2" xfId="10221" xr:uid="{EA67CEEC-8BF2-41C0-9764-CE939D63C30C}"/>
    <cellStyle name="Normal 2 2 2 2 4 3 2 2" xfId="22903" xr:uid="{CD7A1F55-99E6-45B3-AF1D-EEC6353D1219}"/>
    <cellStyle name="Normal 2 2 2 2 4 3 2 2 2" xfId="48395" xr:uid="{444C6843-2108-40E6-AA9C-82C6E7E2642F}"/>
    <cellStyle name="Normal 2 2 2 2 4 3 2 3" xfId="35804" xr:uid="{CE794112-1EE0-49C9-8098-12BA435F42E4}"/>
    <cellStyle name="Normal 2 2 2 2 4 3 3" xfId="16625" xr:uid="{2E288FD9-A4BC-43A7-89DE-C42B2EB016D9}"/>
    <cellStyle name="Normal 2 2 2 2 4 3 3 2" xfId="42117" xr:uid="{25DC685A-97F9-4AE0-8E6A-19E20C7DF394}"/>
    <cellStyle name="Normal 2 2 2 2 4 3 4" xfId="29526" xr:uid="{77B393A0-F20B-4E59-8E3B-ECA81A305425}"/>
    <cellStyle name="Normal 2 2 2 2 4 4" xfId="7082" xr:uid="{7501D19F-1F4A-4D3B-B2ED-ABE97569D8F8}"/>
    <cellStyle name="Normal 2 2 2 2 4 4 2" xfId="19764" xr:uid="{70FD583D-9172-4D22-8955-1E2163C00385}"/>
    <cellStyle name="Normal 2 2 2 2 4 4 2 2" xfId="45256" xr:uid="{1CB4BF9A-6514-4240-97BA-C24FC53F1A2B}"/>
    <cellStyle name="Normal 2 2 2 2 4 4 3" xfId="32665" xr:uid="{CB007F27-5118-48B8-A7F5-2A34E65E3034}"/>
    <cellStyle name="Normal 2 2 2 2 4 5" xfId="13486" xr:uid="{3F4BEF16-15DD-442B-BBCC-5A3B4943B1B8}"/>
    <cellStyle name="Normal 2 2 2 2 4 5 2" xfId="38978" xr:uid="{7C63E96F-A058-45F4-ACC6-B1FB63EE7090}"/>
    <cellStyle name="Normal 2 2 2 2 4 6" xfId="26387" xr:uid="{756B921C-737A-44F9-82E4-D6084303DCB6}"/>
    <cellStyle name="Normal 2 2 2 2 5" xfId="1819" xr:uid="{63F319C7-2BA0-4B1E-B6DA-2F3AC79BAD25}"/>
    <cellStyle name="Normal 2 2 2 2 5 2" xfId="4973" xr:uid="{F6F2FD70-2081-4542-B36E-76917E83B4C3}"/>
    <cellStyle name="Normal 2 2 2 2 5 2 2" xfId="11266" xr:uid="{B7F96E21-278F-4646-9BBD-067C2D73D9F0}"/>
    <cellStyle name="Normal 2 2 2 2 5 2 2 2" xfId="23948" xr:uid="{572668DD-E3F0-4CE9-AB6D-D62979A5BC66}"/>
    <cellStyle name="Normal 2 2 2 2 5 2 2 2 2" xfId="49440" xr:uid="{A8966151-51FC-4E7E-8BD7-5F126C74A779}"/>
    <cellStyle name="Normal 2 2 2 2 5 2 2 3" xfId="36849" xr:uid="{68319305-2507-4C1A-A8DF-4645040D9892}"/>
    <cellStyle name="Normal 2 2 2 2 5 2 3" xfId="17670" xr:uid="{42BE1BF1-DE65-4C31-A170-BD42BB1EA7A6}"/>
    <cellStyle name="Normal 2 2 2 2 5 2 3 2" xfId="43162" xr:uid="{3B00ED4F-BE48-4543-8E82-007D4B26197A}"/>
    <cellStyle name="Normal 2 2 2 2 5 2 4" xfId="30571" xr:uid="{66E7273D-FA4A-477D-9F86-5E037D383EDB}"/>
    <cellStyle name="Normal 2 2 2 2 5 3" xfId="8127" xr:uid="{0255175A-1FC8-4E41-9D72-2C71A8880402}"/>
    <cellStyle name="Normal 2 2 2 2 5 3 2" xfId="20809" xr:uid="{DC640632-953B-4E77-8314-6A92137115BB}"/>
    <cellStyle name="Normal 2 2 2 2 5 3 2 2" xfId="46301" xr:uid="{7D4E4BE9-BDE7-48B3-BCEF-622D3A234A03}"/>
    <cellStyle name="Normal 2 2 2 2 5 3 3" xfId="33710" xr:uid="{1422F0FE-8355-4341-A91F-274BC6A81367}"/>
    <cellStyle name="Normal 2 2 2 2 5 4" xfId="14531" xr:uid="{36E4E8F7-09C7-4F62-9420-3A2AAB515B29}"/>
    <cellStyle name="Normal 2 2 2 2 5 4 2" xfId="40023" xr:uid="{0C42C3EC-9EFD-4FB8-B9AA-A63216E4652E}"/>
    <cellStyle name="Normal 2 2 2 2 5 5" xfId="27432" xr:uid="{C5E95A4B-9AD2-4A18-B551-4E7B57BC1AEB}"/>
    <cellStyle name="Normal 2 2 2 2 6" xfId="1297" xr:uid="{1B24B000-2911-4CC9-8209-029406296897}"/>
    <cellStyle name="Normal 2 2 2 2 6 2" xfId="4451" xr:uid="{ED611297-122D-41A8-8F02-4D701FBA82E8}"/>
    <cellStyle name="Normal 2 2 2 2 6 2 2" xfId="10744" xr:uid="{229B3E32-0429-4154-8C50-D513064607D8}"/>
    <cellStyle name="Normal 2 2 2 2 6 2 2 2" xfId="23426" xr:uid="{7508CA85-ED06-477A-A39B-F15693317651}"/>
    <cellStyle name="Normal 2 2 2 2 6 2 2 2 2" xfId="48918" xr:uid="{6F481866-36E8-46A3-8FD0-3A06AB233606}"/>
    <cellStyle name="Normal 2 2 2 2 6 2 2 3" xfId="36327" xr:uid="{084D7E93-A18D-4E5D-A5D5-14BA852DFD39}"/>
    <cellStyle name="Normal 2 2 2 2 6 2 3" xfId="17148" xr:uid="{FE9F6568-9F7F-4149-8CD9-8B4C264C6D0F}"/>
    <cellStyle name="Normal 2 2 2 2 6 2 3 2" xfId="42640" xr:uid="{FFAE7068-6711-44E9-BDCA-2291AF46E779}"/>
    <cellStyle name="Normal 2 2 2 2 6 2 4" xfId="30049" xr:uid="{01163BD1-2E2B-47A0-B00A-C3772C729343}"/>
    <cellStyle name="Normal 2 2 2 2 6 3" xfId="7605" xr:uid="{2064CD10-23A3-4C98-A8AD-EBD556B7C404}"/>
    <cellStyle name="Normal 2 2 2 2 6 3 2" xfId="20287" xr:uid="{DBF1CA78-736C-4730-BB2F-601FE7999BC2}"/>
    <cellStyle name="Normal 2 2 2 2 6 3 2 2" xfId="45779" xr:uid="{E9637E99-EEE5-46E7-A1D9-68D78ED718B6}"/>
    <cellStyle name="Normal 2 2 2 2 6 3 3" xfId="33188" xr:uid="{47046FF7-8380-414E-8CBC-563EA98ACDE0}"/>
    <cellStyle name="Normal 2 2 2 2 6 4" xfId="14009" xr:uid="{53001CB6-AA33-4EFF-BE71-6C121A21870F}"/>
    <cellStyle name="Normal 2 2 2 2 6 4 2" xfId="39501" xr:uid="{222961A7-F32C-4A67-81F8-9703F191C899}"/>
    <cellStyle name="Normal 2 2 2 2 6 5" xfId="26910" xr:uid="{0831CEAA-DE08-4752-8F2F-D819DFE40F74}"/>
    <cellStyle name="Normal 2 2 2 2 7" xfId="2604" xr:uid="{6DA8A2DA-0533-470F-98BA-6AAA71411A76}"/>
    <cellStyle name="Normal 2 2 2 2 7 2" xfId="5758" xr:uid="{8C15D50E-E4AE-4A2F-9981-6739BAABD0EF}"/>
    <cellStyle name="Normal 2 2 2 2 7 2 2" xfId="12051" xr:uid="{4064A1ED-10CB-4E9C-9D48-A8076BD09900}"/>
    <cellStyle name="Normal 2 2 2 2 7 2 2 2" xfId="24733" xr:uid="{16732139-6FE8-453F-9A6F-0858ECC152C9}"/>
    <cellStyle name="Normal 2 2 2 2 7 2 2 2 2" xfId="50225" xr:uid="{8D2DA703-CC6C-4D04-99EE-1FB3AAF65817}"/>
    <cellStyle name="Normal 2 2 2 2 7 2 2 3" xfId="37634" xr:uid="{00BEE461-A7B6-4EAF-A0D9-48B2A2468171}"/>
    <cellStyle name="Normal 2 2 2 2 7 2 3" xfId="18455" xr:uid="{A9102EF8-B981-4C2E-8DBB-97AEB959B7C6}"/>
    <cellStyle name="Normal 2 2 2 2 7 2 3 2" xfId="43947" xr:uid="{1033C9CB-BCBB-43CF-85E0-8458E7CA913F}"/>
    <cellStyle name="Normal 2 2 2 2 7 2 4" xfId="31356" xr:uid="{D2EF01C0-92D3-478C-A6F2-7441DD19A8F8}"/>
    <cellStyle name="Normal 2 2 2 2 7 3" xfId="8912" xr:uid="{44F8BD2C-7787-4EB9-A61C-759219015E2A}"/>
    <cellStyle name="Normal 2 2 2 2 7 3 2" xfId="21594" xr:uid="{B0119F12-F06B-4666-87AA-F0A6C820F5F5}"/>
    <cellStyle name="Normal 2 2 2 2 7 3 2 2" xfId="47086" xr:uid="{B9C42D48-1278-4CC7-8C0B-23DDAD7C92BF}"/>
    <cellStyle name="Normal 2 2 2 2 7 3 3" xfId="34495" xr:uid="{956E052F-06AD-43A5-8899-FB61EBBA23A2}"/>
    <cellStyle name="Normal 2 2 2 2 7 4" xfId="15316" xr:uid="{7F27F18B-620E-4E59-9C93-D98C28335B1C}"/>
    <cellStyle name="Normal 2 2 2 2 7 4 2" xfId="40808" xr:uid="{7096A52E-203A-4483-8AF5-74125A507604}"/>
    <cellStyle name="Normal 2 2 2 2 7 5" xfId="28217" xr:uid="{EED291CB-0746-4B65-BDF2-0C9235468075}"/>
    <cellStyle name="Normal 2 2 2 2 8" xfId="3127" xr:uid="{8996524E-70F8-49C7-AC05-071C1DAA8163}"/>
    <cellStyle name="Normal 2 2 2 2 8 2" xfId="6281" xr:uid="{83F79874-8B52-4482-90DC-C97CAF3869EB}"/>
    <cellStyle name="Normal 2 2 2 2 8 2 2" xfId="12574" xr:uid="{E590FA34-BF98-471F-8D42-25A68E71154F}"/>
    <cellStyle name="Normal 2 2 2 2 8 2 2 2" xfId="25256" xr:uid="{E3DFD310-DE0E-4CBD-8EC3-6214F3C34CA4}"/>
    <cellStyle name="Normal 2 2 2 2 8 2 2 2 2" xfId="50748" xr:uid="{6A7ED24B-D5D2-45FA-B2A4-06158FC96705}"/>
    <cellStyle name="Normal 2 2 2 2 8 2 2 3" xfId="38157" xr:uid="{7C1BAE28-A4EE-4FCF-8357-1FBB6887C286}"/>
    <cellStyle name="Normal 2 2 2 2 8 2 3" xfId="18978" xr:uid="{DBD878DA-AE48-49CA-A2D1-94615CEFA800}"/>
    <cellStyle name="Normal 2 2 2 2 8 2 3 2" xfId="44470" xr:uid="{6D96040C-1EF1-4275-9A12-A6CED28362C4}"/>
    <cellStyle name="Normal 2 2 2 2 8 2 4" xfId="31879" xr:uid="{EE5EE1E3-8BDE-4030-B289-3C34B9FC337B}"/>
    <cellStyle name="Normal 2 2 2 2 8 3" xfId="9435" xr:uid="{FB376EAD-794F-4F6E-9953-919851DED5E8}"/>
    <cellStyle name="Normal 2 2 2 2 8 3 2" xfId="22117" xr:uid="{592076F1-9C48-4B10-AFCB-6DF06FAD822D}"/>
    <cellStyle name="Normal 2 2 2 2 8 3 2 2" xfId="47609" xr:uid="{02480856-D848-4901-8728-97657EFE91C7}"/>
    <cellStyle name="Normal 2 2 2 2 8 3 3" xfId="35018" xr:uid="{D7977F34-750A-4E7D-B99A-72EA7E953048}"/>
    <cellStyle name="Normal 2 2 2 2 8 4" xfId="15839" xr:uid="{81F8C824-F093-4FDB-9D30-AC2DA6A40C64}"/>
    <cellStyle name="Normal 2 2 2 2 8 4 2" xfId="41331" xr:uid="{6EB75B45-23F8-4EA1-B60D-ACD2E3CDFED2}"/>
    <cellStyle name="Normal 2 2 2 2 8 5" xfId="28740" xr:uid="{41F9248D-9598-4A3A-AF30-3A2402C472F7}"/>
    <cellStyle name="Normal 2 2 2 2 9" xfId="3666" xr:uid="{33D19BA9-EE47-4D10-8426-C3DFE5FFECD9}"/>
    <cellStyle name="Normal 2 2 2 2 9 2" xfId="9959" xr:uid="{4ED75A58-F792-4ECD-B429-F626001CCB3E}"/>
    <cellStyle name="Normal 2 2 2 2 9 2 2" xfId="22641" xr:uid="{E66A1423-D667-4A55-8CF5-8726CC232F6C}"/>
    <cellStyle name="Normal 2 2 2 2 9 2 2 2" xfId="48133" xr:uid="{48E20AB1-0850-4914-B054-21C5C8F71BD7}"/>
    <cellStyle name="Normal 2 2 2 2 9 2 3" xfId="35542" xr:uid="{B47972A7-9541-4AA8-AA70-4604130C24DB}"/>
    <cellStyle name="Normal 2 2 2 2 9 3" xfId="16363" xr:uid="{3077ACCC-94F4-4BA0-9519-85714B686881}"/>
    <cellStyle name="Normal 2 2 2 2 9 3 2" xfId="41855" xr:uid="{04A1D328-0654-42EF-9700-8CB88D1E4B93}"/>
    <cellStyle name="Normal 2 2 2 2 9 4" xfId="29264" xr:uid="{A6A848F9-47B4-405C-AFB2-70332E969625}"/>
    <cellStyle name="Normal 2 2 2 3" xfId="595" xr:uid="{3B66C8F0-986E-42F3-B716-52D6223C1259}"/>
    <cellStyle name="Normal 2 2 2 3 10" xfId="13322" xr:uid="{3415694D-6E06-4D22-9538-60524EEF23E4}"/>
    <cellStyle name="Normal 2 2 2 3 10 2" xfId="38814" xr:uid="{81B19880-1C79-4C92-9B25-367820C7BE4E}"/>
    <cellStyle name="Normal 2 2 2 3 11" xfId="26223" xr:uid="{96DDB0E3-32C6-4000-9748-63264A04BE06}"/>
    <cellStyle name="Normal 2 2 2 3 2" xfId="1132" xr:uid="{6DD96C61-A785-4A40-83E2-D72C1625870A}"/>
    <cellStyle name="Normal 2 2 2 3 2 2" xfId="2439" xr:uid="{7EC9E078-A942-4DE6-B1DC-0A11550E9CE3}"/>
    <cellStyle name="Normal 2 2 2 3 2 2 2" xfId="5593" xr:uid="{68988A5D-2AC2-457A-A5B9-83A442B53994}"/>
    <cellStyle name="Normal 2 2 2 3 2 2 2 2" xfId="11886" xr:uid="{2EC4964E-4E6E-4D66-904E-1E87E6ED46AE}"/>
    <cellStyle name="Normal 2 2 2 3 2 2 2 2 2" xfId="24568" xr:uid="{F8F151FE-D1C2-497A-8A98-D1B86F8914AD}"/>
    <cellStyle name="Normal 2 2 2 3 2 2 2 2 2 2" xfId="50060" xr:uid="{1DB173DA-82F6-4A66-894F-ECEDECBCE08E}"/>
    <cellStyle name="Normal 2 2 2 3 2 2 2 2 3" xfId="37469" xr:uid="{8F42DB0E-3EBF-47EC-9438-E31C4F22DC89}"/>
    <cellStyle name="Normal 2 2 2 3 2 2 2 3" xfId="18290" xr:uid="{2D026363-4D9C-47F3-A882-A6CD45C4BEA2}"/>
    <cellStyle name="Normal 2 2 2 3 2 2 2 3 2" xfId="43782" xr:uid="{265CDB92-F1AB-4C1D-938E-E063F0C60A2C}"/>
    <cellStyle name="Normal 2 2 2 3 2 2 2 4" xfId="31191" xr:uid="{C528BD2E-9985-4958-AD71-A8FE60FAEDB9}"/>
    <cellStyle name="Normal 2 2 2 3 2 2 3" xfId="8747" xr:uid="{75D8DC48-4D12-4D89-B255-B342502C5B59}"/>
    <cellStyle name="Normal 2 2 2 3 2 2 3 2" xfId="21429" xr:uid="{58EBA364-A69D-46E2-B4F2-8CA3BF41836D}"/>
    <cellStyle name="Normal 2 2 2 3 2 2 3 2 2" xfId="46921" xr:uid="{678FBAE3-7F0C-4287-8ABD-BD172A3BF977}"/>
    <cellStyle name="Normal 2 2 2 3 2 2 3 3" xfId="34330" xr:uid="{66A5442B-2929-4E4D-8782-86C69A88366F}"/>
    <cellStyle name="Normal 2 2 2 3 2 2 4" xfId="15151" xr:uid="{9CD4BB19-C4A1-46D4-A2A7-26C46D90A2EC}"/>
    <cellStyle name="Normal 2 2 2 3 2 2 4 2" xfId="40643" xr:uid="{963B84E0-9B30-4221-9275-851080AFBD66}"/>
    <cellStyle name="Normal 2 2 2 3 2 2 5" xfId="28052" xr:uid="{572D68C3-0B72-405D-8A23-97AAECB0FEA1}"/>
    <cellStyle name="Normal 2 2 2 3 2 3" xfId="1656" xr:uid="{B33F0239-CDBF-4CFA-8885-7110B10DA028}"/>
    <cellStyle name="Normal 2 2 2 3 2 3 2" xfId="4810" xr:uid="{451A6E84-E9D5-4FA9-AA03-D18487FE427C}"/>
    <cellStyle name="Normal 2 2 2 3 2 3 2 2" xfId="11103" xr:uid="{81DB0A7D-525B-4A58-87B2-8FFB6EF80822}"/>
    <cellStyle name="Normal 2 2 2 3 2 3 2 2 2" xfId="23785" xr:uid="{9D94CAE7-5A53-4951-8B75-A27B2FD5F7AE}"/>
    <cellStyle name="Normal 2 2 2 3 2 3 2 2 2 2" xfId="49277" xr:uid="{C2C44E1C-05CD-4709-9B88-E8C9F139F7E8}"/>
    <cellStyle name="Normal 2 2 2 3 2 3 2 2 3" xfId="36686" xr:uid="{97E1EA5B-83E4-424F-B71C-3C9424A38176}"/>
    <cellStyle name="Normal 2 2 2 3 2 3 2 3" xfId="17507" xr:uid="{750E677E-D832-426E-AA1E-810B5756CCBC}"/>
    <cellStyle name="Normal 2 2 2 3 2 3 2 3 2" xfId="42999" xr:uid="{C45C55CC-DE31-4BEA-9C8A-D5D6E752D1E3}"/>
    <cellStyle name="Normal 2 2 2 3 2 3 2 4" xfId="30408" xr:uid="{1590BDE9-FD19-4D46-AB8F-BB78BAD05899}"/>
    <cellStyle name="Normal 2 2 2 3 2 3 3" xfId="7964" xr:uid="{41BE3196-4331-4AF7-A00D-2236A14067C9}"/>
    <cellStyle name="Normal 2 2 2 3 2 3 3 2" xfId="20646" xr:uid="{CBE48E9C-AD8E-404B-8B53-830584AD883F}"/>
    <cellStyle name="Normal 2 2 2 3 2 3 3 2 2" xfId="46138" xr:uid="{771E86DD-EDF5-4608-A5DE-558E5A3C78CF}"/>
    <cellStyle name="Normal 2 2 2 3 2 3 3 3" xfId="33547" xr:uid="{D8EA7C5C-D53B-4E99-AC5F-2424D6D3CC94}"/>
    <cellStyle name="Normal 2 2 2 3 2 3 4" xfId="14368" xr:uid="{E61CF29A-4541-4AA9-B218-43A5858AB8EC}"/>
    <cellStyle name="Normal 2 2 2 3 2 3 4 2" xfId="39860" xr:uid="{1D838AA1-328F-453B-A150-C26ABF10F8BD}"/>
    <cellStyle name="Normal 2 2 2 3 2 3 5" xfId="27269" xr:uid="{E5091021-152B-4F0E-99F8-16F1B11F3A1B}"/>
    <cellStyle name="Normal 2 2 2 3 2 4" xfId="2963" xr:uid="{3D792C53-2A20-468D-BA79-569A211419FD}"/>
    <cellStyle name="Normal 2 2 2 3 2 4 2" xfId="6117" xr:uid="{A6C82AAB-AAC0-44E4-80B9-87BA99BF3845}"/>
    <cellStyle name="Normal 2 2 2 3 2 4 2 2" xfId="12410" xr:uid="{8C8C17B9-33FA-4087-9B6D-19A6C53F5E4C}"/>
    <cellStyle name="Normal 2 2 2 3 2 4 2 2 2" xfId="25092" xr:uid="{41765710-6253-43F9-BD9D-17A890CFA716}"/>
    <cellStyle name="Normal 2 2 2 3 2 4 2 2 2 2" xfId="50584" xr:uid="{981BFEAE-672F-4F2C-B80C-263900EA63FC}"/>
    <cellStyle name="Normal 2 2 2 3 2 4 2 2 3" xfId="37993" xr:uid="{CBCB7A0B-2CDB-456A-81B9-7A4119373478}"/>
    <cellStyle name="Normal 2 2 2 3 2 4 2 3" xfId="18814" xr:uid="{9150F898-A154-49CC-8A66-72B5398A8092}"/>
    <cellStyle name="Normal 2 2 2 3 2 4 2 3 2" xfId="44306" xr:uid="{EA33C2AA-A8D2-48C0-99DE-36A22EFD2595}"/>
    <cellStyle name="Normal 2 2 2 3 2 4 2 4" xfId="31715" xr:uid="{BFC1E4CF-424F-4E0B-B35E-3D615A0C620F}"/>
    <cellStyle name="Normal 2 2 2 3 2 4 3" xfId="9271" xr:uid="{1FC073AF-BACB-43B4-B19A-689CC16DAF58}"/>
    <cellStyle name="Normal 2 2 2 3 2 4 3 2" xfId="21953" xr:uid="{5101F33C-51FB-43CF-AF63-D689AFEA5810}"/>
    <cellStyle name="Normal 2 2 2 3 2 4 3 2 2" xfId="47445" xr:uid="{431D2615-D447-4632-8B3D-9D3A535B89A9}"/>
    <cellStyle name="Normal 2 2 2 3 2 4 3 3" xfId="34854" xr:uid="{86D367E9-BC36-4791-AFA3-D88C44A171FC}"/>
    <cellStyle name="Normal 2 2 2 3 2 4 4" xfId="15675" xr:uid="{0A80D6BD-75CE-4728-9394-FF22AF771089}"/>
    <cellStyle name="Normal 2 2 2 3 2 4 4 2" xfId="41167" xr:uid="{AD8D9E22-F760-434F-8F44-0E8579FBA4DD}"/>
    <cellStyle name="Normal 2 2 2 3 2 4 5" xfId="28576" xr:uid="{FB5F6D40-B5F1-4079-A681-FB402C01C41D}"/>
    <cellStyle name="Normal 2 2 2 3 2 5" xfId="3486" xr:uid="{1BB143A2-BA05-4A2F-A7E4-F5EF43255CF8}"/>
    <cellStyle name="Normal 2 2 2 3 2 5 2" xfId="6640" xr:uid="{2C01FE08-E166-47E4-B9D8-20B25D9333A9}"/>
    <cellStyle name="Normal 2 2 2 3 2 5 2 2" xfId="12933" xr:uid="{3069A54B-AFFB-40AF-AACD-E4A6F62B6CF0}"/>
    <cellStyle name="Normal 2 2 2 3 2 5 2 2 2" xfId="25615" xr:uid="{BC711F29-CB6E-4FD4-88E5-60F90133972F}"/>
    <cellStyle name="Normal 2 2 2 3 2 5 2 2 2 2" xfId="51107" xr:uid="{88BDF3B9-C6B0-4BC2-968C-A95728C24E2B}"/>
    <cellStyle name="Normal 2 2 2 3 2 5 2 2 3" xfId="38516" xr:uid="{9A73C8CD-8B0E-421D-AD03-3E707B539480}"/>
    <cellStyle name="Normal 2 2 2 3 2 5 2 3" xfId="19337" xr:uid="{61B71557-744B-487F-869B-1A8F3F75788F}"/>
    <cellStyle name="Normal 2 2 2 3 2 5 2 3 2" xfId="44829" xr:uid="{5C9229FD-2792-4EAA-BFF9-69ECF3F1AFE1}"/>
    <cellStyle name="Normal 2 2 2 3 2 5 2 4" xfId="32238" xr:uid="{995B14B2-20EC-4836-9500-8D0DF4D2EF74}"/>
    <cellStyle name="Normal 2 2 2 3 2 5 3" xfId="9794" xr:uid="{2CEB1649-E148-476D-B9C7-1EF79674AFCD}"/>
    <cellStyle name="Normal 2 2 2 3 2 5 3 2" xfId="22476" xr:uid="{3D3BA454-6DE4-4D17-9E29-61F66A8A482F}"/>
    <cellStyle name="Normal 2 2 2 3 2 5 3 2 2" xfId="47968" xr:uid="{2A15443A-DB79-4400-9BE1-ED9569925EA3}"/>
    <cellStyle name="Normal 2 2 2 3 2 5 3 3" xfId="35377" xr:uid="{A6E51916-9225-417C-928F-353B386E9CA6}"/>
    <cellStyle name="Normal 2 2 2 3 2 5 4" xfId="16198" xr:uid="{82667012-EE65-477E-997C-5D8667FB602C}"/>
    <cellStyle name="Normal 2 2 2 3 2 5 4 2" xfId="41690" xr:uid="{B9FAC604-D278-4A3F-B55C-9B15FE28B8E4}"/>
    <cellStyle name="Normal 2 2 2 3 2 5 5" xfId="29099" xr:uid="{85819251-D067-4A49-A977-5BD5191093EC}"/>
    <cellStyle name="Normal 2 2 2 3 2 6" xfId="4286" xr:uid="{D14B93E4-6509-457E-9366-46E2B4541234}"/>
    <cellStyle name="Normal 2 2 2 3 2 6 2" xfId="10579" xr:uid="{06953200-08FB-4625-A434-0FA9F28D51BE}"/>
    <cellStyle name="Normal 2 2 2 3 2 6 2 2" xfId="23261" xr:uid="{2F5832C4-2907-4E7C-8E41-36E4B200AD69}"/>
    <cellStyle name="Normal 2 2 2 3 2 6 2 2 2" xfId="48753" xr:uid="{47626BB1-B8C1-4A53-AA7B-86146067C19C}"/>
    <cellStyle name="Normal 2 2 2 3 2 6 2 3" xfId="36162" xr:uid="{4AE56CDF-ACED-487D-A4BF-237116920821}"/>
    <cellStyle name="Normal 2 2 2 3 2 6 3" xfId="16983" xr:uid="{63E5332A-C3E0-47A1-AEFE-33CA54BFC64A}"/>
    <cellStyle name="Normal 2 2 2 3 2 6 3 2" xfId="42475" xr:uid="{301243A1-0336-4AE0-9647-2206F80E9C83}"/>
    <cellStyle name="Normal 2 2 2 3 2 6 4" xfId="29884" xr:uid="{BD296A96-FA25-4019-ABA6-DD54B4076F26}"/>
    <cellStyle name="Normal 2 2 2 3 2 7" xfId="7440" xr:uid="{39626EC6-8569-4234-9AE6-9403087D093C}"/>
    <cellStyle name="Normal 2 2 2 3 2 7 2" xfId="20122" xr:uid="{0ACCBE0C-45CC-49A8-B62B-16339DC39ADA}"/>
    <cellStyle name="Normal 2 2 2 3 2 7 2 2" xfId="45614" xr:uid="{C1877741-1A87-4FBE-9B8E-C1927E87C66F}"/>
    <cellStyle name="Normal 2 2 2 3 2 7 3" xfId="33023" xr:uid="{D9D510C4-368B-4509-95C0-47978A2FB956}"/>
    <cellStyle name="Normal 2 2 2 3 2 8" xfId="13844" xr:uid="{886F1C24-B00D-4904-9A9F-85DDECDA9759}"/>
    <cellStyle name="Normal 2 2 2 3 2 8 2" xfId="39336" xr:uid="{FEF91BE1-5491-4661-A704-639798D496FA}"/>
    <cellStyle name="Normal 2 2 2 3 2 9" xfId="26745" xr:uid="{B52561B9-142D-42BD-91EB-928672362C11}"/>
    <cellStyle name="Normal 2 2 2 3 3" xfId="872" xr:uid="{A1B36F13-F10D-4DB1-9A15-9132CA0D4512}"/>
    <cellStyle name="Normal 2 2 2 3 3 2" xfId="2179" xr:uid="{1F8E4C8C-EB33-4AD1-B133-031CD8633365}"/>
    <cellStyle name="Normal 2 2 2 3 3 2 2" xfId="5333" xr:uid="{E5DE95A6-6F16-4FEE-95E4-487F514370A1}"/>
    <cellStyle name="Normal 2 2 2 3 3 2 2 2" xfId="11626" xr:uid="{3AD2E46A-CF01-44D8-9124-F6BB1412EBE1}"/>
    <cellStyle name="Normal 2 2 2 3 3 2 2 2 2" xfId="24308" xr:uid="{019F9E85-186D-4F87-B6DB-3D4D34120D24}"/>
    <cellStyle name="Normal 2 2 2 3 3 2 2 2 2 2" xfId="49800" xr:uid="{5105ECE6-1358-4BB8-8ED8-B8605925059C}"/>
    <cellStyle name="Normal 2 2 2 3 3 2 2 2 3" xfId="37209" xr:uid="{890C5BB1-6B37-4D93-8293-44715150599B}"/>
    <cellStyle name="Normal 2 2 2 3 3 2 2 3" xfId="18030" xr:uid="{B196861E-8DA6-4657-81AF-790E7F470BAF}"/>
    <cellStyle name="Normal 2 2 2 3 3 2 2 3 2" xfId="43522" xr:uid="{FFDE202F-3DD0-4F51-9D72-C15A292A276B}"/>
    <cellStyle name="Normal 2 2 2 3 3 2 2 4" xfId="30931" xr:uid="{DE87AE7A-F977-4B37-9F68-739566BCF2F2}"/>
    <cellStyle name="Normal 2 2 2 3 3 2 3" xfId="8487" xr:uid="{A663C7CB-787D-4A3C-AF8E-9A3112743552}"/>
    <cellStyle name="Normal 2 2 2 3 3 2 3 2" xfId="21169" xr:uid="{E01846D9-8CD8-4151-A2DE-961A9A5BD427}"/>
    <cellStyle name="Normal 2 2 2 3 3 2 3 2 2" xfId="46661" xr:uid="{F37DF187-A1A8-4FE0-9BEC-4B27BF377B9F}"/>
    <cellStyle name="Normal 2 2 2 3 3 2 3 3" xfId="34070" xr:uid="{8074880B-B002-4C70-8B4D-6AC4BE80740A}"/>
    <cellStyle name="Normal 2 2 2 3 3 2 4" xfId="14891" xr:uid="{D6FAC76C-0D97-4A9D-92AB-49F83B14304E}"/>
    <cellStyle name="Normal 2 2 2 3 3 2 4 2" xfId="40383" xr:uid="{564B2614-E639-4730-ACF6-488515D2EC9C}"/>
    <cellStyle name="Normal 2 2 2 3 3 2 5" xfId="27792" xr:uid="{E80F9E5F-4023-454B-89EA-8F9DFCF22435}"/>
    <cellStyle name="Normal 2 2 2 3 3 3" xfId="4026" xr:uid="{7756750C-4E2A-4DFE-905B-FEC569D43EF8}"/>
    <cellStyle name="Normal 2 2 2 3 3 3 2" xfId="10319" xr:uid="{97962F2E-33C5-4CDE-B2DF-F97A2AA1A80D}"/>
    <cellStyle name="Normal 2 2 2 3 3 3 2 2" xfId="23001" xr:uid="{67C943DF-6FC6-463C-8BE0-241E3ADFCDA3}"/>
    <cellStyle name="Normal 2 2 2 3 3 3 2 2 2" xfId="48493" xr:uid="{6AE2EE36-016C-4ABE-9A0F-09FE6B8EBD27}"/>
    <cellStyle name="Normal 2 2 2 3 3 3 2 3" xfId="35902" xr:uid="{BD026577-C75D-43EC-87B3-C0FFD2488754}"/>
    <cellStyle name="Normal 2 2 2 3 3 3 3" xfId="16723" xr:uid="{64962640-B626-457F-BC4C-C67FE9C078CA}"/>
    <cellStyle name="Normal 2 2 2 3 3 3 3 2" xfId="42215" xr:uid="{0D36B443-1A96-48FF-A751-9C0AEBDB3A5D}"/>
    <cellStyle name="Normal 2 2 2 3 3 3 4" xfId="29624" xr:uid="{4BB62C31-C4F1-407C-9617-3D7945646713}"/>
    <cellStyle name="Normal 2 2 2 3 3 4" xfId="7180" xr:uid="{DB6EE3F5-6098-4133-A479-4C6D889B3871}"/>
    <cellStyle name="Normal 2 2 2 3 3 4 2" xfId="19862" xr:uid="{950CDE2F-549E-4744-8D9B-65E6FDBF6C49}"/>
    <cellStyle name="Normal 2 2 2 3 3 4 2 2" xfId="45354" xr:uid="{28715EAF-0B6F-492A-9417-AC3D78BCB0E0}"/>
    <cellStyle name="Normal 2 2 2 3 3 4 3" xfId="32763" xr:uid="{33EFE0B6-C909-41D8-B361-C5E315148CA7}"/>
    <cellStyle name="Normal 2 2 2 3 3 5" xfId="13584" xr:uid="{D68C6990-D575-40CE-8FD9-DFF90DEF7A87}"/>
    <cellStyle name="Normal 2 2 2 3 3 5 2" xfId="39076" xr:uid="{FAE91390-6E9F-4629-A033-6E44F7F88527}"/>
    <cellStyle name="Normal 2 2 2 3 3 6" xfId="26485" xr:uid="{BBD08E92-DF8D-4A86-8A56-4037B5078A8F}"/>
    <cellStyle name="Normal 2 2 2 3 4" xfId="1917" xr:uid="{73172956-131C-4C0D-95DF-B7BF8AC4A95E}"/>
    <cellStyle name="Normal 2 2 2 3 4 2" xfId="5071" xr:uid="{D164DF7C-B103-42BF-86EE-CFBE356C5E0B}"/>
    <cellStyle name="Normal 2 2 2 3 4 2 2" xfId="11364" xr:uid="{E72C03A5-7AE2-43A3-B356-B28ECAFFD0C1}"/>
    <cellStyle name="Normal 2 2 2 3 4 2 2 2" xfId="24046" xr:uid="{AE6C8802-CD25-4484-8F9C-AA4F2C659E5E}"/>
    <cellStyle name="Normal 2 2 2 3 4 2 2 2 2" xfId="49538" xr:uid="{E1047D23-F769-4B74-9424-A7B6FCAE1D0E}"/>
    <cellStyle name="Normal 2 2 2 3 4 2 2 3" xfId="36947" xr:uid="{F04141B1-AB54-4FC7-8D84-257BC6A2C358}"/>
    <cellStyle name="Normal 2 2 2 3 4 2 3" xfId="17768" xr:uid="{80CD3C03-ACDF-4C9D-9118-0DAC572FCDAC}"/>
    <cellStyle name="Normal 2 2 2 3 4 2 3 2" xfId="43260" xr:uid="{0DDCF5E6-5AA5-40A1-B72E-75D39243981E}"/>
    <cellStyle name="Normal 2 2 2 3 4 2 4" xfId="30669" xr:uid="{AF9BFA42-758A-4F44-B31D-3DF8D02566FB}"/>
    <cellStyle name="Normal 2 2 2 3 4 3" xfId="8225" xr:uid="{F595DFBB-9270-4CEF-B36B-C2886F13E85D}"/>
    <cellStyle name="Normal 2 2 2 3 4 3 2" xfId="20907" xr:uid="{01DBB844-62E6-4C09-A27E-CC7093E2141B}"/>
    <cellStyle name="Normal 2 2 2 3 4 3 2 2" xfId="46399" xr:uid="{DA39D106-2EC3-4B84-9C31-2F5A7AFDDC3A}"/>
    <cellStyle name="Normal 2 2 2 3 4 3 3" xfId="33808" xr:uid="{C5B041A4-0AC3-4968-8DD7-F7501AB73884}"/>
    <cellStyle name="Normal 2 2 2 3 4 4" xfId="14629" xr:uid="{0D201AA1-8849-487B-85F1-26DAFA780690}"/>
    <cellStyle name="Normal 2 2 2 3 4 4 2" xfId="40121" xr:uid="{C31D7E3E-CA21-4F07-97D2-AA625E9FBCDD}"/>
    <cellStyle name="Normal 2 2 2 3 4 5" xfId="27530" xr:uid="{BC8CDD96-EC1B-4BD7-924F-72346061C765}"/>
    <cellStyle name="Normal 2 2 2 3 5" xfId="1395" xr:uid="{8662EE1A-B91F-4C27-8597-BB5BD271561B}"/>
    <cellStyle name="Normal 2 2 2 3 5 2" xfId="4549" xr:uid="{464AB106-D2D6-4584-BD24-644651DA3713}"/>
    <cellStyle name="Normal 2 2 2 3 5 2 2" xfId="10842" xr:uid="{DA63EE57-3D55-4B2E-9337-D4EC6946DC6C}"/>
    <cellStyle name="Normal 2 2 2 3 5 2 2 2" xfId="23524" xr:uid="{7CA1E46B-7168-4C0D-B9B6-629ED1CEF25F}"/>
    <cellStyle name="Normal 2 2 2 3 5 2 2 2 2" xfId="49016" xr:uid="{D65D31DE-8A78-4396-8C78-64B05C977B9A}"/>
    <cellStyle name="Normal 2 2 2 3 5 2 2 3" xfId="36425" xr:uid="{FE2018F4-C4F5-439F-96F5-D191F3C9C62F}"/>
    <cellStyle name="Normal 2 2 2 3 5 2 3" xfId="17246" xr:uid="{F4793A52-7B1C-4E06-87A0-9B9EBED40946}"/>
    <cellStyle name="Normal 2 2 2 3 5 2 3 2" xfId="42738" xr:uid="{9C02E882-1907-410E-93E6-9727D03A7B85}"/>
    <cellStyle name="Normal 2 2 2 3 5 2 4" xfId="30147" xr:uid="{C89F5FE1-67E9-4845-B9CA-C60A73F19CEE}"/>
    <cellStyle name="Normal 2 2 2 3 5 3" xfId="7703" xr:uid="{831E960F-A4B2-45EB-95D9-48E1739C35CA}"/>
    <cellStyle name="Normal 2 2 2 3 5 3 2" xfId="20385" xr:uid="{04DCA360-BE39-44E7-96B4-9142EC96BF3A}"/>
    <cellStyle name="Normal 2 2 2 3 5 3 2 2" xfId="45877" xr:uid="{6354E657-16D1-41E1-863A-23C25E317CEB}"/>
    <cellStyle name="Normal 2 2 2 3 5 3 3" xfId="33286" xr:uid="{E573851D-D305-4930-B1D3-A804B01409B5}"/>
    <cellStyle name="Normal 2 2 2 3 5 4" xfId="14107" xr:uid="{BDA36962-0005-4D3E-923F-05B2DC787284}"/>
    <cellStyle name="Normal 2 2 2 3 5 4 2" xfId="39599" xr:uid="{A52B4905-3145-468B-B34D-02CFFA6FB077}"/>
    <cellStyle name="Normal 2 2 2 3 5 5" xfId="27008" xr:uid="{89837F02-BBC1-4E80-8272-AA87E16F37EB}"/>
    <cellStyle name="Normal 2 2 2 3 6" xfId="2702" xr:uid="{A4B81573-7451-4C88-AC2F-32069AEBEA28}"/>
    <cellStyle name="Normal 2 2 2 3 6 2" xfId="5856" xr:uid="{D322F92A-32A8-438F-82CA-76AAA815E1A5}"/>
    <cellStyle name="Normal 2 2 2 3 6 2 2" xfId="12149" xr:uid="{D59959A9-11F3-4B3C-84B0-1A0C3A46E99B}"/>
    <cellStyle name="Normal 2 2 2 3 6 2 2 2" xfId="24831" xr:uid="{2928D71B-F616-4ACB-B291-7ABD5AE6457B}"/>
    <cellStyle name="Normal 2 2 2 3 6 2 2 2 2" xfId="50323" xr:uid="{287234EE-AA63-4960-9723-916563CEC3EA}"/>
    <cellStyle name="Normal 2 2 2 3 6 2 2 3" xfId="37732" xr:uid="{5D6FC77B-F89A-4689-83FE-8092363EF793}"/>
    <cellStyle name="Normal 2 2 2 3 6 2 3" xfId="18553" xr:uid="{86693281-202B-4D9A-9EFC-84E28B414EDC}"/>
    <cellStyle name="Normal 2 2 2 3 6 2 3 2" xfId="44045" xr:uid="{CFE7469E-9164-4483-A228-1F24842FB28D}"/>
    <cellStyle name="Normal 2 2 2 3 6 2 4" xfId="31454" xr:uid="{3338C3FE-6D81-4F5C-AB97-E6C8D75735AB}"/>
    <cellStyle name="Normal 2 2 2 3 6 3" xfId="9010" xr:uid="{DFFB10B4-A72D-4FC1-B9F5-A9F2098925AF}"/>
    <cellStyle name="Normal 2 2 2 3 6 3 2" xfId="21692" xr:uid="{8B48794E-D4CD-44C0-A45E-46ED14B6EC35}"/>
    <cellStyle name="Normal 2 2 2 3 6 3 2 2" xfId="47184" xr:uid="{28FDF39E-3A78-47E1-8A43-7602A39E1F24}"/>
    <cellStyle name="Normal 2 2 2 3 6 3 3" xfId="34593" xr:uid="{E1D373DC-0E1C-4880-8701-207814BD6048}"/>
    <cellStyle name="Normal 2 2 2 3 6 4" xfId="15414" xr:uid="{5FDD5000-DB6D-43DB-9678-40C7AD752DCE}"/>
    <cellStyle name="Normal 2 2 2 3 6 4 2" xfId="40906" xr:uid="{D52CE13C-5422-43BB-8C5E-3A489BAE0DB1}"/>
    <cellStyle name="Normal 2 2 2 3 6 5" xfId="28315" xr:uid="{10C6059F-DB46-44C9-A29E-7A07627F7B8D}"/>
    <cellStyle name="Normal 2 2 2 3 7" xfId="3225" xr:uid="{35FAEEEE-1BE0-49DA-92DD-5FF3A480D9C3}"/>
    <cellStyle name="Normal 2 2 2 3 7 2" xfId="6379" xr:uid="{BFB64517-96BF-4CAF-9979-673B1FA9E388}"/>
    <cellStyle name="Normal 2 2 2 3 7 2 2" xfId="12672" xr:uid="{DD8C8D3E-1FB6-456E-B326-AF976128DFEE}"/>
    <cellStyle name="Normal 2 2 2 3 7 2 2 2" xfId="25354" xr:uid="{456DE48E-E072-4E97-9736-0478F8EC05AF}"/>
    <cellStyle name="Normal 2 2 2 3 7 2 2 2 2" xfId="50846" xr:uid="{81EFB656-E8D3-40CF-B816-DC9DAB20926D}"/>
    <cellStyle name="Normal 2 2 2 3 7 2 2 3" xfId="38255" xr:uid="{F0FFF3C3-F637-465D-B02A-0BB9D31F9AA8}"/>
    <cellStyle name="Normal 2 2 2 3 7 2 3" xfId="19076" xr:uid="{D03271BC-CF3A-457B-B446-CFA73E27C1E3}"/>
    <cellStyle name="Normal 2 2 2 3 7 2 3 2" xfId="44568" xr:uid="{74D58EDD-CC8D-41C9-AC96-E31AF47B635C}"/>
    <cellStyle name="Normal 2 2 2 3 7 2 4" xfId="31977" xr:uid="{42275190-9BDA-4CF7-AEE1-4B216986CC6F}"/>
    <cellStyle name="Normal 2 2 2 3 7 3" xfId="9533" xr:uid="{1F12E9E5-1FEE-4BA7-959C-CC5EA773915D}"/>
    <cellStyle name="Normal 2 2 2 3 7 3 2" xfId="22215" xr:uid="{029212DA-A5E6-4B12-9679-2329C23E5EFB}"/>
    <cellStyle name="Normal 2 2 2 3 7 3 2 2" xfId="47707" xr:uid="{2CFE006A-A862-4191-97A7-17A3D5093722}"/>
    <cellStyle name="Normal 2 2 2 3 7 3 3" xfId="35116" xr:uid="{D0A00A11-D2B3-45EC-ABBD-7381F897AC73}"/>
    <cellStyle name="Normal 2 2 2 3 7 4" xfId="15937" xr:uid="{59C039BD-F296-44A4-8419-747DE1517273}"/>
    <cellStyle name="Normal 2 2 2 3 7 4 2" xfId="41429" xr:uid="{33219FD3-CF0E-4875-8DD8-5A539965202D}"/>
    <cellStyle name="Normal 2 2 2 3 7 5" xfId="28838" xr:uid="{EFA6689D-9F54-4356-BF1A-06587C41D95F}"/>
    <cellStyle name="Normal 2 2 2 3 8" xfId="3764" xr:uid="{71E37EFB-5C46-40A5-AA9C-F252E728AFE8}"/>
    <cellStyle name="Normal 2 2 2 3 8 2" xfId="10057" xr:uid="{DAD3C2D2-E504-49FF-A119-7AF261D7364A}"/>
    <cellStyle name="Normal 2 2 2 3 8 2 2" xfId="22739" xr:uid="{D035CC9B-C8D7-433E-A11F-6EC02B8AB1E0}"/>
    <cellStyle name="Normal 2 2 2 3 8 2 2 2" xfId="48231" xr:uid="{B081BD27-C1BC-4606-B878-0F036520E0BD}"/>
    <cellStyle name="Normal 2 2 2 3 8 2 3" xfId="35640" xr:uid="{AE56A65C-E394-47F5-8F61-749273A5F913}"/>
    <cellStyle name="Normal 2 2 2 3 8 3" xfId="16461" xr:uid="{789057C1-C015-465D-8738-5223169B2E3B}"/>
    <cellStyle name="Normal 2 2 2 3 8 3 2" xfId="41953" xr:uid="{FEBAD745-B682-49B5-AAB1-3C241DB66576}"/>
    <cellStyle name="Normal 2 2 2 3 8 4" xfId="29362" xr:uid="{FD6F4F9A-892A-47AB-87ED-3A12A483201E}"/>
    <cellStyle name="Normal 2 2 2 3 9" xfId="6918" xr:uid="{AC51FF49-ED46-4C54-AF62-45053D62D128}"/>
    <cellStyle name="Normal 2 2 2 3 9 2" xfId="19600" xr:uid="{DD41BBFF-E7D2-4B89-BB75-2E75C54DED90}"/>
    <cellStyle name="Normal 2 2 2 3 9 2 2" xfId="45092" xr:uid="{6E231EA4-74BD-457B-86A9-6A70C88B8766}"/>
    <cellStyle name="Normal 2 2 2 3 9 3" xfId="32501" xr:uid="{6A860E53-1244-4331-A0C4-CB70A7512ED8}"/>
    <cellStyle name="Normal 2 2 2 4" xfId="556" xr:uid="{F1293494-E2BF-4514-B554-DCFC2F970766}"/>
    <cellStyle name="Normal 2 2 2 4 10" xfId="13283" xr:uid="{CD96A168-AB01-44D9-946A-43C0CEEA0794}"/>
    <cellStyle name="Normal 2 2 2 4 10 2" xfId="38775" xr:uid="{7176B10E-E550-4110-A9DF-FC3F0664F16A}"/>
    <cellStyle name="Normal 2 2 2 4 11" xfId="26184" xr:uid="{F281AEFC-6A43-436A-8012-2A3FA14D29D9}"/>
    <cellStyle name="Normal 2 2 2 4 2" xfId="1093" xr:uid="{739E5A07-882B-4177-8F3B-21574A2F7B40}"/>
    <cellStyle name="Normal 2 2 2 4 2 2" xfId="2400" xr:uid="{9EC7FD53-6369-445A-8CA9-CDBA270CF61A}"/>
    <cellStyle name="Normal 2 2 2 4 2 2 2" xfId="5554" xr:uid="{680CB1D7-7F7D-453B-BB7F-760AF2AE915A}"/>
    <cellStyle name="Normal 2 2 2 4 2 2 2 2" xfId="11847" xr:uid="{6BE17A31-C224-4FBF-AB41-2F522E7D2F67}"/>
    <cellStyle name="Normal 2 2 2 4 2 2 2 2 2" xfId="24529" xr:uid="{AB493FE5-2DDA-43ED-800E-921C741DBC83}"/>
    <cellStyle name="Normal 2 2 2 4 2 2 2 2 2 2" xfId="50021" xr:uid="{CFD73E70-4670-4891-A914-77D23F2A0B94}"/>
    <cellStyle name="Normal 2 2 2 4 2 2 2 2 3" xfId="37430" xr:uid="{27CE8D83-CD05-4778-A695-055E1B54A1EC}"/>
    <cellStyle name="Normal 2 2 2 4 2 2 2 3" xfId="18251" xr:uid="{FECC039B-7A8B-4631-9817-CBCFD2248F92}"/>
    <cellStyle name="Normal 2 2 2 4 2 2 2 3 2" xfId="43743" xr:uid="{E1A54BA0-21B2-4F8D-B1C0-40057A2F8117}"/>
    <cellStyle name="Normal 2 2 2 4 2 2 2 4" xfId="31152" xr:uid="{533E8BE2-5F51-419C-962F-9A807710508A}"/>
    <cellStyle name="Normal 2 2 2 4 2 2 3" xfId="8708" xr:uid="{C28CBDDD-0C40-4CC7-A238-5E9D38E0F02C}"/>
    <cellStyle name="Normal 2 2 2 4 2 2 3 2" xfId="21390" xr:uid="{D6B32E78-02DE-44FC-891C-6D1B8F74F8EF}"/>
    <cellStyle name="Normal 2 2 2 4 2 2 3 2 2" xfId="46882" xr:uid="{23FF567C-D6C7-48A9-8873-4DCDF946FB99}"/>
    <cellStyle name="Normal 2 2 2 4 2 2 3 3" xfId="34291" xr:uid="{BD9C6646-4A12-4378-91B8-AD25C0914637}"/>
    <cellStyle name="Normal 2 2 2 4 2 2 4" xfId="15112" xr:uid="{B7D34328-6B31-486C-B975-DF106B497F3A}"/>
    <cellStyle name="Normal 2 2 2 4 2 2 4 2" xfId="40604" xr:uid="{3F6596F0-AE59-4C75-9B79-CAF531F160A6}"/>
    <cellStyle name="Normal 2 2 2 4 2 2 5" xfId="28013" xr:uid="{AC6DAD45-C96E-422E-B46D-50728CF1670D}"/>
    <cellStyle name="Normal 2 2 2 4 2 3" xfId="1617" xr:uid="{46432DEB-716A-49C5-AD0F-E0E4746ECBEE}"/>
    <cellStyle name="Normal 2 2 2 4 2 3 2" xfId="4771" xr:uid="{F38411B1-380E-49ED-B229-EE1D0B107725}"/>
    <cellStyle name="Normal 2 2 2 4 2 3 2 2" xfId="11064" xr:uid="{094FE755-D338-40EA-9F70-69E0BF27CF5A}"/>
    <cellStyle name="Normal 2 2 2 4 2 3 2 2 2" xfId="23746" xr:uid="{D62AA014-C5D1-43EC-825C-67DA0974A322}"/>
    <cellStyle name="Normal 2 2 2 4 2 3 2 2 2 2" xfId="49238" xr:uid="{877880B8-EE26-46B2-A731-B4D3956DD25A}"/>
    <cellStyle name="Normal 2 2 2 4 2 3 2 2 3" xfId="36647" xr:uid="{7B72870C-15F6-4EC9-BDB9-7D745FD034AE}"/>
    <cellStyle name="Normal 2 2 2 4 2 3 2 3" xfId="17468" xr:uid="{B815E001-BE7E-45A0-BA94-A83CE0515E19}"/>
    <cellStyle name="Normal 2 2 2 4 2 3 2 3 2" xfId="42960" xr:uid="{E2149235-E00D-4D57-9E8E-BD1A7D3900C6}"/>
    <cellStyle name="Normal 2 2 2 4 2 3 2 4" xfId="30369" xr:uid="{6719CD12-02A7-48A5-A12D-5F3C940FB045}"/>
    <cellStyle name="Normal 2 2 2 4 2 3 3" xfId="7925" xr:uid="{68CE8C34-E0AA-4739-ACC1-F1808B2B1ED6}"/>
    <cellStyle name="Normal 2 2 2 4 2 3 3 2" xfId="20607" xr:uid="{2A63107A-AF27-470F-88E6-169F975BB2B6}"/>
    <cellStyle name="Normal 2 2 2 4 2 3 3 2 2" xfId="46099" xr:uid="{914CB7D0-1E71-4070-BB24-A7369CB6CB33}"/>
    <cellStyle name="Normal 2 2 2 4 2 3 3 3" xfId="33508" xr:uid="{CE9175C8-66EE-4D67-8758-6AD71199832A}"/>
    <cellStyle name="Normal 2 2 2 4 2 3 4" xfId="14329" xr:uid="{BC4A8988-75FE-438A-9E00-232DDDA9BC70}"/>
    <cellStyle name="Normal 2 2 2 4 2 3 4 2" xfId="39821" xr:uid="{8164CDB9-71E9-46C3-B529-D61CD9D621ED}"/>
    <cellStyle name="Normal 2 2 2 4 2 3 5" xfId="27230" xr:uid="{2FA85214-4B3B-4CFE-A79D-FBDA995936FA}"/>
    <cellStyle name="Normal 2 2 2 4 2 4" xfId="2924" xr:uid="{0D9E917C-C9E2-4213-A59E-5E351929426F}"/>
    <cellStyle name="Normal 2 2 2 4 2 4 2" xfId="6078" xr:uid="{DE1784DA-68F7-4842-809E-009CB4B9FA44}"/>
    <cellStyle name="Normal 2 2 2 4 2 4 2 2" xfId="12371" xr:uid="{C754722A-521F-4B60-804D-2F24B64BE1CE}"/>
    <cellStyle name="Normal 2 2 2 4 2 4 2 2 2" xfId="25053" xr:uid="{23683FAE-C526-4028-AE4D-C8E8DD6AAF50}"/>
    <cellStyle name="Normal 2 2 2 4 2 4 2 2 2 2" xfId="50545" xr:uid="{001D8E3C-7A6A-4E4F-A734-8166BF5F4FF9}"/>
    <cellStyle name="Normal 2 2 2 4 2 4 2 2 3" xfId="37954" xr:uid="{18FB9815-0892-402E-A196-9C9C6DF9DA28}"/>
    <cellStyle name="Normal 2 2 2 4 2 4 2 3" xfId="18775" xr:uid="{342B2DAA-E016-44FB-9726-943D63263F91}"/>
    <cellStyle name="Normal 2 2 2 4 2 4 2 3 2" xfId="44267" xr:uid="{279FD212-D688-4459-BF1D-DBCB4B6C4DB3}"/>
    <cellStyle name="Normal 2 2 2 4 2 4 2 4" xfId="31676" xr:uid="{E50614EB-DD9D-4149-BBE3-999C27DD4021}"/>
    <cellStyle name="Normal 2 2 2 4 2 4 3" xfId="9232" xr:uid="{6118BD03-35B2-44B0-B6C8-AA43C4AD3BA7}"/>
    <cellStyle name="Normal 2 2 2 4 2 4 3 2" xfId="21914" xr:uid="{1CC94F9B-42E8-4C1A-9812-446D5389B002}"/>
    <cellStyle name="Normal 2 2 2 4 2 4 3 2 2" xfId="47406" xr:uid="{19AF8D81-558C-4E23-B574-D28A2FC16B3F}"/>
    <cellStyle name="Normal 2 2 2 4 2 4 3 3" xfId="34815" xr:uid="{4232E4A9-B4AC-48F7-90CD-7C682535E351}"/>
    <cellStyle name="Normal 2 2 2 4 2 4 4" xfId="15636" xr:uid="{8FE3E290-E5F3-4B1C-9F99-419C63066266}"/>
    <cellStyle name="Normal 2 2 2 4 2 4 4 2" xfId="41128" xr:uid="{7118A7A7-7A0C-4C51-9E16-CD237DB6E422}"/>
    <cellStyle name="Normal 2 2 2 4 2 4 5" xfId="28537" xr:uid="{7F481EF3-57AD-4B00-8D51-E2208B26BAE1}"/>
    <cellStyle name="Normal 2 2 2 4 2 5" xfId="3447" xr:uid="{ED45A332-8C74-4478-8AAE-A3EEDC9A5BB9}"/>
    <cellStyle name="Normal 2 2 2 4 2 5 2" xfId="6601" xr:uid="{1F8325E4-4AF9-4E2B-A540-943FFB6A553B}"/>
    <cellStyle name="Normal 2 2 2 4 2 5 2 2" xfId="12894" xr:uid="{4D2ADE97-7942-4052-9324-8493C64E7CED}"/>
    <cellStyle name="Normal 2 2 2 4 2 5 2 2 2" xfId="25576" xr:uid="{F9F81315-27A9-4FF0-8728-7E2369F5B1F9}"/>
    <cellStyle name="Normal 2 2 2 4 2 5 2 2 2 2" xfId="51068" xr:uid="{A90C06C4-890B-4E54-88E7-4EA109A3A744}"/>
    <cellStyle name="Normal 2 2 2 4 2 5 2 2 3" xfId="38477" xr:uid="{1FE95689-069C-475E-BFBF-65DDFB15AD6D}"/>
    <cellStyle name="Normal 2 2 2 4 2 5 2 3" xfId="19298" xr:uid="{A6E4752B-0A45-4EB9-80B2-B5FFC4AE5F8C}"/>
    <cellStyle name="Normal 2 2 2 4 2 5 2 3 2" xfId="44790" xr:uid="{20BBF8F3-0767-49F6-A50F-50FCDEDE426C}"/>
    <cellStyle name="Normal 2 2 2 4 2 5 2 4" xfId="32199" xr:uid="{CEFCA627-919F-4064-A267-B31BB025888E}"/>
    <cellStyle name="Normal 2 2 2 4 2 5 3" xfId="9755" xr:uid="{EBA8C05E-F182-438D-A6BF-73B6872775B7}"/>
    <cellStyle name="Normal 2 2 2 4 2 5 3 2" xfId="22437" xr:uid="{15CBFF6E-531A-4F23-A1AC-D9C110317E5B}"/>
    <cellStyle name="Normal 2 2 2 4 2 5 3 2 2" xfId="47929" xr:uid="{13E9719C-022A-43C4-8573-BBE187D16C81}"/>
    <cellStyle name="Normal 2 2 2 4 2 5 3 3" xfId="35338" xr:uid="{8EBF6F61-0969-45FA-9C55-423B02B5E928}"/>
    <cellStyle name="Normal 2 2 2 4 2 5 4" xfId="16159" xr:uid="{F8FB24C9-5169-4802-B46B-DCBC4D14E3DA}"/>
    <cellStyle name="Normal 2 2 2 4 2 5 4 2" xfId="41651" xr:uid="{F6EB6B5A-996A-4161-8F67-B707006BF6C9}"/>
    <cellStyle name="Normal 2 2 2 4 2 5 5" xfId="29060" xr:uid="{0EBF876D-E867-4229-BEED-40BCA9E63272}"/>
    <cellStyle name="Normal 2 2 2 4 2 6" xfId="4247" xr:uid="{8618BB4C-5F15-4B03-BFCA-20F3F7874EC8}"/>
    <cellStyle name="Normal 2 2 2 4 2 6 2" xfId="10540" xr:uid="{E8D3B9E3-4933-408D-904F-F4EF34314FA0}"/>
    <cellStyle name="Normal 2 2 2 4 2 6 2 2" xfId="23222" xr:uid="{5B87F9B6-26B3-4C85-BB75-724AA80D033F}"/>
    <cellStyle name="Normal 2 2 2 4 2 6 2 2 2" xfId="48714" xr:uid="{7F5F042D-71D7-4E66-BF91-BAE2DF6E37FA}"/>
    <cellStyle name="Normal 2 2 2 4 2 6 2 3" xfId="36123" xr:uid="{C91E0A2E-7A8D-410C-92A4-D8222CA9F203}"/>
    <cellStyle name="Normal 2 2 2 4 2 6 3" xfId="16944" xr:uid="{F09E6F0A-1BFD-4CCE-967A-ECC606255D9C}"/>
    <cellStyle name="Normal 2 2 2 4 2 6 3 2" xfId="42436" xr:uid="{811F6800-25C2-49BE-BD55-B4BE784151F9}"/>
    <cellStyle name="Normal 2 2 2 4 2 6 4" xfId="29845" xr:uid="{0A89A378-F32F-4377-8949-933894089A64}"/>
    <cellStyle name="Normal 2 2 2 4 2 7" xfId="7401" xr:uid="{E36DC25C-F2A4-45AE-B3C8-BBAB53C599FD}"/>
    <cellStyle name="Normal 2 2 2 4 2 7 2" xfId="20083" xr:uid="{F2E98A8F-05FB-430C-A95C-E51EAD87AEA8}"/>
    <cellStyle name="Normal 2 2 2 4 2 7 2 2" xfId="45575" xr:uid="{DAC0A0C8-67E6-4C7E-957F-1D3BDF01B0A8}"/>
    <cellStyle name="Normal 2 2 2 4 2 7 3" xfId="32984" xr:uid="{C9EC3040-1C30-44FE-8ECA-5C99DF3DA289}"/>
    <cellStyle name="Normal 2 2 2 4 2 8" xfId="13805" xr:uid="{AD202A1A-81BC-4E3C-94D8-C7EDA01C3E1A}"/>
    <cellStyle name="Normal 2 2 2 4 2 8 2" xfId="39297" xr:uid="{2D990047-3F27-41A4-A022-215B46C76826}"/>
    <cellStyle name="Normal 2 2 2 4 2 9" xfId="26706" xr:uid="{99AFB150-D334-4C62-B9B3-158169612910}"/>
    <cellStyle name="Normal 2 2 2 4 3" xfId="833" xr:uid="{B91830CF-05CD-4556-B078-9A4064138E14}"/>
    <cellStyle name="Normal 2 2 2 4 3 2" xfId="2140" xr:uid="{2D30D7C6-11A6-4C95-B2B3-E8AB3D8BEFBF}"/>
    <cellStyle name="Normal 2 2 2 4 3 2 2" xfId="5294" xr:uid="{B2B2F916-F4CC-4A53-84B4-E1C0BCC2192D}"/>
    <cellStyle name="Normal 2 2 2 4 3 2 2 2" xfId="11587" xr:uid="{386FEB77-8546-4DA1-9EFE-D4F78B2A5191}"/>
    <cellStyle name="Normal 2 2 2 4 3 2 2 2 2" xfId="24269" xr:uid="{A07AB4B0-CF6F-4931-AE4B-7ACC247E835F}"/>
    <cellStyle name="Normal 2 2 2 4 3 2 2 2 2 2" xfId="49761" xr:uid="{6DB98628-FB52-4A2D-AC0B-C7B0716A818D}"/>
    <cellStyle name="Normal 2 2 2 4 3 2 2 2 3" xfId="37170" xr:uid="{0D4713B4-830F-4F8D-AB27-EEC03E58377F}"/>
    <cellStyle name="Normal 2 2 2 4 3 2 2 3" xfId="17991" xr:uid="{8CB16119-A80E-4099-954B-055064FD95D6}"/>
    <cellStyle name="Normal 2 2 2 4 3 2 2 3 2" xfId="43483" xr:uid="{D7D0015F-9BF2-4AE4-BE1B-0B2B0F075BE2}"/>
    <cellStyle name="Normal 2 2 2 4 3 2 2 4" xfId="30892" xr:uid="{887189E8-8D52-43B8-BCAF-E2F684C8B603}"/>
    <cellStyle name="Normal 2 2 2 4 3 2 3" xfId="8448" xr:uid="{FE8C3BC2-A2B6-4EB9-B483-CB1741240EFA}"/>
    <cellStyle name="Normal 2 2 2 4 3 2 3 2" xfId="21130" xr:uid="{6AE02C4F-DED8-401F-B4BD-633BA4E601C6}"/>
    <cellStyle name="Normal 2 2 2 4 3 2 3 2 2" xfId="46622" xr:uid="{84967B16-0051-436F-A197-72852E2633A4}"/>
    <cellStyle name="Normal 2 2 2 4 3 2 3 3" xfId="34031" xr:uid="{5B00FC36-C9D5-4FA5-82B8-9D49E12E3653}"/>
    <cellStyle name="Normal 2 2 2 4 3 2 4" xfId="14852" xr:uid="{1B4F3959-15DD-4108-850C-D5A6C1F8B2ED}"/>
    <cellStyle name="Normal 2 2 2 4 3 2 4 2" xfId="40344" xr:uid="{B9963510-C31E-4A07-A779-51A281F9049F}"/>
    <cellStyle name="Normal 2 2 2 4 3 2 5" xfId="27753" xr:uid="{D3F30B6C-D177-4448-AAD1-B0DF255BFC92}"/>
    <cellStyle name="Normal 2 2 2 4 3 3" xfId="3987" xr:uid="{24F1EB4D-DCFD-47A9-BA38-3E1312E63107}"/>
    <cellStyle name="Normal 2 2 2 4 3 3 2" xfId="10280" xr:uid="{6599362B-DEFC-42B2-B80F-FBF2259B0D1C}"/>
    <cellStyle name="Normal 2 2 2 4 3 3 2 2" xfId="22962" xr:uid="{4DA238EA-1519-4457-8E53-6597D2622A47}"/>
    <cellStyle name="Normal 2 2 2 4 3 3 2 2 2" xfId="48454" xr:uid="{279BBCA1-5B85-4CB4-8D7A-75D844F7581A}"/>
    <cellStyle name="Normal 2 2 2 4 3 3 2 3" xfId="35863" xr:uid="{10DE9128-4F89-44E6-874A-5AF263B9F078}"/>
    <cellStyle name="Normal 2 2 2 4 3 3 3" xfId="16684" xr:uid="{66BE8CB9-711E-4998-B7AB-BDB6EB3ADFA6}"/>
    <cellStyle name="Normal 2 2 2 4 3 3 3 2" xfId="42176" xr:uid="{9329022D-4181-4C79-96BC-49437623A800}"/>
    <cellStyle name="Normal 2 2 2 4 3 3 4" xfId="29585" xr:uid="{5A4BE8A9-8F51-48EC-8B72-B2E70F5C5871}"/>
    <cellStyle name="Normal 2 2 2 4 3 4" xfId="7141" xr:uid="{81861C85-472C-49BE-89F2-C78617E02221}"/>
    <cellStyle name="Normal 2 2 2 4 3 4 2" xfId="19823" xr:uid="{D7057703-40E0-433D-9009-1E1BA51159BC}"/>
    <cellStyle name="Normal 2 2 2 4 3 4 2 2" xfId="45315" xr:uid="{2FF5A250-CACA-4B6C-995E-DDE700DF4A5C}"/>
    <cellStyle name="Normal 2 2 2 4 3 4 3" xfId="32724" xr:uid="{392C0B4B-005F-4628-963A-0E6A487C464B}"/>
    <cellStyle name="Normal 2 2 2 4 3 5" xfId="13545" xr:uid="{B480E828-F22F-4111-BBC0-EC762D52BDD8}"/>
    <cellStyle name="Normal 2 2 2 4 3 5 2" xfId="39037" xr:uid="{F614F7CD-B519-4BB9-A8FF-BAC89AC09555}"/>
    <cellStyle name="Normal 2 2 2 4 3 6" xfId="26446" xr:uid="{32A6373D-98B2-4A2C-8180-31A253FEA5D5}"/>
    <cellStyle name="Normal 2 2 2 4 4" xfId="1878" xr:uid="{B63EA6B7-29FB-416E-8673-B6B2E0E132BB}"/>
    <cellStyle name="Normal 2 2 2 4 4 2" xfId="5032" xr:uid="{65443A1E-EB74-4769-B0A6-40544FA0FBE8}"/>
    <cellStyle name="Normal 2 2 2 4 4 2 2" xfId="11325" xr:uid="{60F15E00-83D7-4B1C-9F43-95C815048A9C}"/>
    <cellStyle name="Normal 2 2 2 4 4 2 2 2" xfId="24007" xr:uid="{4F2E35D8-1D0B-4F8B-BD30-1D0FFB308C8B}"/>
    <cellStyle name="Normal 2 2 2 4 4 2 2 2 2" xfId="49499" xr:uid="{54BE6DCB-F0E8-4C38-96CE-D0F74B925EE7}"/>
    <cellStyle name="Normal 2 2 2 4 4 2 2 3" xfId="36908" xr:uid="{9FD3C7A1-3588-40C8-9579-93531ED95A32}"/>
    <cellStyle name="Normal 2 2 2 4 4 2 3" xfId="17729" xr:uid="{4EC337DF-4117-4F1E-A9F0-0642BDF7E6B5}"/>
    <cellStyle name="Normal 2 2 2 4 4 2 3 2" xfId="43221" xr:uid="{9C2C45AD-48D7-4969-8507-C915A5DC2D1B}"/>
    <cellStyle name="Normal 2 2 2 4 4 2 4" xfId="30630" xr:uid="{628B3DF8-B4EC-4F37-B71A-A361E0AD788C}"/>
    <cellStyle name="Normal 2 2 2 4 4 3" xfId="8186" xr:uid="{173FDF56-57B6-45E9-86AB-CD11E04F5E7D}"/>
    <cellStyle name="Normal 2 2 2 4 4 3 2" xfId="20868" xr:uid="{10AFCCA3-5BC1-4A1D-8478-FE4A2CAFFA02}"/>
    <cellStyle name="Normal 2 2 2 4 4 3 2 2" xfId="46360" xr:uid="{6882F78E-18BF-4D86-A4A5-7FA427F8AA1D}"/>
    <cellStyle name="Normal 2 2 2 4 4 3 3" xfId="33769" xr:uid="{DBACE79F-DD66-4396-9D43-17A7F14F1E33}"/>
    <cellStyle name="Normal 2 2 2 4 4 4" xfId="14590" xr:uid="{6FC759AB-FAB8-47E4-85D3-1209E0CE8B81}"/>
    <cellStyle name="Normal 2 2 2 4 4 4 2" xfId="40082" xr:uid="{0E2867E5-EEC2-40C5-AA8D-D2D269096482}"/>
    <cellStyle name="Normal 2 2 2 4 4 5" xfId="27491" xr:uid="{5EE35454-F05C-4468-AAB2-2B2BF2D46E5A}"/>
    <cellStyle name="Normal 2 2 2 4 5" xfId="1356" xr:uid="{438E2D28-9B4C-43EC-A13E-9FED4BEDCAAA}"/>
    <cellStyle name="Normal 2 2 2 4 5 2" xfId="4510" xr:uid="{E60A3585-6B95-4071-9055-9E043CAE2EAE}"/>
    <cellStyle name="Normal 2 2 2 4 5 2 2" xfId="10803" xr:uid="{F123B1AD-03D7-4845-9FE2-EED3343F5BC6}"/>
    <cellStyle name="Normal 2 2 2 4 5 2 2 2" xfId="23485" xr:uid="{D616ACE9-B9BE-40E6-ABF2-6E24B248F6D1}"/>
    <cellStyle name="Normal 2 2 2 4 5 2 2 2 2" xfId="48977" xr:uid="{6FEB175D-4677-4BFC-9086-54BD7282A01E}"/>
    <cellStyle name="Normal 2 2 2 4 5 2 2 3" xfId="36386" xr:uid="{D903366C-F8BC-4E00-BAE9-3807EBA3C2AF}"/>
    <cellStyle name="Normal 2 2 2 4 5 2 3" xfId="17207" xr:uid="{C695F91D-9E8C-429C-AC5B-E8072E14FB1A}"/>
    <cellStyle name="Normal 2 2 2 4 5 2 3 2" xfId="42699" xr:uid="{84180588-5631-4A9C-B9DC-FFDF88474532}"/>
    <cellStyle name="Normal 2 2 2 4 5 2 4" xfId="30108" xr:uid="{1B18337E-586B-497D-8DF6-0A97497358B6}"/>
    <cellStyle name="Normal 2 2 2 4 5 3" xfId="7664" xr:uid="{C0609B8F-FB46-43A0-BF97-979A7B4F56DD}"/>
    <cellStyle name="Normal 2 2 2 4 5 3 2" xfId="20346" xr:uid="{25EC0A8C-7E30-4A0E-8EEA-F482284129B9}"/>
    <cellStyle name="Normal 2 2 2 4 5 3 2 2" xfId="45838" xr:uid="{9AB34611-3921-4D8C-A633-28DF985FEB5A}"/>
    <cellStyle name="Normal 2 2 2 4 5 3 3" xfId="33247" xr:uid="{D08DADCD-762A-4080-8F12-D5C9316F218D}"/>
    <cellStyle name="Normal 2 2 2 4 5 4" xfId="14068" xr:uid="{369C0F47-1B24-4CE5-A7E7-382E1F8DFDE6}"/>
    <cellStyle name="Normal 2 2 2 4 5 4 2" xfId="39560" xr:uid="{85C131A7-B274-4308-962B-4C92AB4FB42C}"/>
    <cellStyle name="Normal 2 2 2 4 5 5" xfId="26969" xr:uid="{F090E6F8-1B27-42C3-9042-17BC1A5CCABF}"/>
    <cellStyle name="Normal 2 2 2 4 6" xfId="2663" xr:uid="{39F45E90-49D6-4245-BE16-83D675387F5E}"/>
    <cellStyle name="Normal 2 2 2 4 6 2" xfId="5817" xr:uid="{8A7A0CC0-E2E4-4D87-AFE8-C864660B2779}"/>
    <cellStyle name="Normal 2 2 2 4 6 2 2" xfId="12110" xr:uid="{B69246C0-84C6-4965-8D0C-96C1ED9A1BB4}"/>
    <cellStyle name="Normal 2 2 2 4 6 2 2 2" xfId="24792" xr:uid="{D5DD69F5-E11F-47A5-9D66-9FE5EE0FA320}"/>
    <cellStyle name="Normal 2 2 2 4 6 2 2 2 2" xfId="50284" xr:uid="{C6517256-E2AB-4A5B-8F3B-47104C4A8C01}"/>
    <cellStyle name="Normal 2 2 2 4 6 2 2 3" xfId="37693" xr:uid="{2B5A2A52-13CF-430D-B0CF-9A89C0BED8FC}"/>
    <cellStyle name="Normal 2 2 2 4 6 2 3" xfId="18514" xr:uid="{4446A2CD-2461-434B-B71D-09E66156EE79}"/>
    <cellStyle name="Normal 2 2 2 4 6 2 3 2" xfId="44006" xr:uid="{CF806132-1C19-4B89-926D-8E22826FCD13}"/>
    <cellStyle name="Normal 2 2 2 4 6 2 4" xfId="31415" xr:uid="{E90C9B68-5855-402D-9050-930B8DFF7220}"/>
    <cellStyle name="Normal 2 2 2 4 6 3" xfId="8971" xr:uid="{C09899D7-6788-4E1A-ADF2-B2885863905C}"/>
    <cellStyle name="Normal 2 2 2 4 6 3 2" xfId="21653" xr:uid="{9AE4E03A-D8CC-4199-8A2E-5BF2ED023810}"/>
    <cellStyle name="Normal 2 2 2 4 6 3 2 2" xfId="47145" xr:uid="{9FFFD485-D2E1-44F3-8459-DBCA720380FF}"/>
    <cellStyle name="Normal 2 2 2 4 6 3 3" xfId="34554" xr:uid="{1717B7A4-411B-453F-8BCF-1E4F6AF2EC31}"/>
    <cellStyle name="Normal 2 2 2 4 6 4" xfId="15375" xr:uid="{143FE6D2-58A4-4850-9AD9-F8CB52195C05}"/>
    <cellStyle name="Normal 2 2 2 4 6 4 2" xfId="40867" xr:uid="{28CE2D95-DFEC-4EBA-A918-AFA968EBD33B}"/>
    <cellStyle name="Normal 2 2 2 4 6 5" xfId="28276" xr:uid="{90F87826-2948-4073-B2A7-5DBB3ECBD486}"/>
    <cellStyle name="Normal 2 2 2 4 7" xfId="3186" xr:uid="{78B0FB9E-B94D-43BB-8C60-7244C16E0FF2}"/>
    <cellStyle name="Normal 2 2 2 4 7 2" xfId="6340" xr:uid="{EDD28662-5A0C-45A8-9850-E6A645D2B8FD}"/>
    <cellStyle name="Normal 2 2 2 4 7 2 2" xfId="12633" xr:uid="{6BAABACC-7691-4578-A340-CA287F057E07}"/>
    <cellStyle name="Normal 2 2 2 4 7 2 2 2" xfId="25315" xr:uid="{28B44E7E-34A3-4D31-8904-4A4872140316}"/>
    <cellStyle name="Normal 2 2 2 4 7 2 2 2 2" xfId="50807" xr:uid="{E06DD75D-DA49-4B80-B57F-93FEE928C982}"/>
    <cellStyle name="Normal 2 2 2 4 7 2 2 3" xfId="38216" xr:uid="{41E1CAA2-43FF-445D-A69F-C2EB15F07EDC}"/>
    <cellStyle name="Normal 2 2 2 4 7 2 3" xfId="19037" xr:uid="{8B3B23F7-17D7-45D6-B910-0B17893A33C0}"/>
    <cellStyle name="Normal 2 2 2 4 7 2 3 2" xfId="44529" xr:uid="{2385CFDD-F37E-477D-9E2D-CDA6A266883B}"/>
    <cellStyle name="Normal 2 2 2 4 7 2 4" xfId="31938" xr:uid="{8AC11D2F-D5D1-474C-9780-86F02067C567}"/>
    <cellStyle name="Normal 2 2 2 4 7 3" xfId="9494" xr:uid="{8915EBBB-21F2-400A-A233-F54EC983FC7C}"/>
    <cellStyle name="Normal 2 2 2 4 7 3 2" xfId="22176" xr:uid="{8B6E586C-5E76-42B4-9E45-DCC46CB3E18B}"/>
    <cellStyle name="Normal 2 2 2 4 7 3 2 2" xfId="47668" xr:uid="{5269C699-5545-41EB-9093-C0EA2ED80DD4}"/>
    <cellStyle name="Normal 2 2 2 4 7 3 3" xfId="35077" xr:uid="{BCA86CAE-A5D4-451A-8DC3-CC087A30C55A}"/>
    <cellStyle name="Normal 2 2 2 4 7 4" xfId="15898" xr:uid="{AE3B9692-AAC8-4946-95E6-17A62C97DA37}"/>
    <cellStyle name="Normal 2 2 2 4 7 4 2" xfId="41390" xr:uid="{E1753040-4DF9-4D77-BAB0-D4797F7A9BC3}"/>
    <cellStyle name="Normal 2 2 2 4 7 5" xfId="28799" xr:uid="{2A5C7EB2-362B-4D46-B678-54B90BC5199C}"/>
    <cellStyle name="Normal 2 2 2 4 8" xfId="3725" xr:uid="{99248547-531B-4BBB-BB5E-F7B7D8CD9AF1}"/>
    <cellStyle name="Normal 2 2 2 4 8 2" xfId="10018" xr:uid="{3F6F6A02-2AC5-4C1F-9611-D28AD3624375}"/>
    <cellStyle name="Normal 2 2 2 4 8 2 2" xfId="22700" xr:uid="{A248694A-55A3-4335-9588-5A4F9EBE4689}"/>
    <cellStyle name="Normal 2 2 2 4 8 2 2 2" xfId="48192" xr:uid="{D5DCADCF-3873-4DF2-9361-7B58D3F3EEBC}"/>
    <cellStyle name="Normal 2 2 2 4 8 2 3" xfId="35601" xr:uid="{366EDDE6-38D9-408F-BF59-5D9FF45CC9ED}"/>
    <cellStyle name="Normal 2 2 2 4 8 3" xfId="16422" xr:uid="{1AC78188-5A86-4B7D-9759-1B541B0E4F3E}"/>
    <cellStyle name="Normal 2 2 2 4 8 3 2" xfId="41914" xr:uid="{0B5CB3BC-0625-4A83-9E52-6A2728304F20}"/>
    <cellStyle name="Normal 2 2 2 4 8 4" xfId="29323" xr:uid="{372763F3-73B7-4C56-93F4-A992C5F9070C}"/>
    <cellStyle name="Normal 2 2 2 4 9" xfId="6879" xr:uid="{02C03847-2913-4B8B-A97E-685746BDEB04}"/>
    <cellStyle name="Normal 2 2 2 4 9 2" xfId="19561" xr:uid="{A639C2B3-4AE8-4783-A965-5419021F2B63}"/>
    <cellStyle name="Normal 2 2 2 4 9 2 2" xfId="45053" xr:uid="{560E64EF-8875-4413-9197-49ECB3C78243}"/>
    <cellStyle name="Normal 2 2 2 4 9 3" xfId="32462" xr:uid="{98F8C350-F792-425F-B9C9-AC99926999ED}"/>
    <cellStyle name="Normal 2 2 2 5" xfId="973" xr:uid="{190BA81E-E8BB-4C56-A276-3C11E2906573}"/>
    <cellStyle name="Normal 2 2 2 5 2" xfId="2280" xr:uid="{AFBFA6CB-4036-40A4-AEAC-947086228E60}"/>
    <cellStyle name="Normal 2 2 2 5 2 2" xfId="5434" xr:uid="{5EEF18C7-494D-4A89-80F1-45C5E846D42E}"/>
    <cellStyle name="Normal 2 2 2 5 2 2 2" xfId="11727" xr:uid="{42E54B50-6282-407B-889F-AC89A4560765}"/>
    <cellStyle name="Normal 2 2 2 5 2 2 2 2" xfId="24409" xr:uid="{595A151F-A04D-4FAA-952D-3A69C5845DB6}"/>
    <cellStyle name="Normal 2 2 2 5 2 2 2 2 2" xfId="49901" xr:uid="{E9003F7A-7895-4A9B-9281-FAB566F75F35}"/>
    <cellStyle name="Normal 2 2 2 5 2 2 2 3" xfId="37310" xr:uid="{E60D3E6F-77BA-4C2D-AFF4-1DF8CD1A7D57}"/>
    <cellStyle name="Normal 2 2 2 5 2 2 3" xfId="18131" xr:uid="{3749BCDD-CBFE-4C8E-B50C-7B6F65C3B865}"/>
    <cellStyle name="Normal 2 2 2 5 2 2 3 2" xfId="43623" xr:uid="{AD062ABC-5DC0-4F98-A440-2CEE4D2650E0}"/>
    <cellStyle name="Normal 2 2 2 5 2 2 4" xfId="31032" xr:uid="{B89116A5-116E-410D-AC68-FFF5C62E5454}"/>
    <cellStyle name="Normal 2 2 2 5 2 3" xfId="8588" xr:uid="{B784F2D9-6624-4824-BCDB-F36EBB406C0F}"/>
    <cellStyle name="Normal 2 2 2 5 2 3 2" xfId="21270" xr:uid="{2D4030CD-A913-4547-85EC-DB2BC64DA6C6}"/>
    <cellStyle name="Normal 2 2 2 5 2 3 2 2" xfId="46762" xr:uid="{945C62FC-C64B-429D-84EA-8F15F26CF481}"/>
    <cellStyle name="Normal 2 2 2 5 2 3 3" xfId="34171" xr:uid="{CD696B2C-3241-4419-B287-557AF4715ADC}"/>
    <cellStyle name="Normal 2 2 2 5 2 4" xfId="14992" xr:uid="{7BFA9643-9FAE-4551-B3E8-9B54DF24F1F7}"/>
    <cellStyle name="Normal 2 2 2 5 2 4 2" xfId="40484" xr:uid="{B37A6E61-D6C7-44B3-95CC-E6A2B05FA1E4}"/>
    <cellStyle name="Normal 2 2 2 5 2 5" xfId="27893" xr:uid="{93A3DAD3-3636-4AAC-9651-38959DE6B44E}"/>
    <cellStyle name="Normal 2 2 2 5 3" xfId="1497" xr:uid="{F24F1219-2129-4C14-97E6-F731E35E7E91}"/>
    <cellStyle name="Normal 2 2 2 5 3 2" xfId="4651" xr:uid="{D452CD53-BB5E-418C-B817-30CDDABE43FB}"/>
    <cellStyle name="Normal 2 2 2 5 3 2 2" xfId="10944" xr:uid="{937B9644-23C9-4074-8FA1-BFB8A67A4096}"/>
    <cellStyle name="Normal 2 2 2 5 3 2 2 2" xfId="23626" xr:uid="{C22BC808-C315-4453-A3E3-9960EC6710FD}"/>
    <cellStyle name="Normal 2 2 2 5 3 2 2 2 2" xfId="49118" xr:uid="{0D033EFE-7D68-4C5A-B5AE-8D6863071633}"/>
    <cellStyle name="Normal 2 2 2 5 3 2 2 3" xfId="36527" xr:uid="{350E30CF-6946-49A1-B00B-4623112A4877}"/>
    <cellStyle name="Normal 2 2 2 5 3 2 3" xfId="17348" xr:uid="{B004B2C3-6D3B-4C3E-9E6C-5FBA3D3401FA}"/>
    <cellStyle name="Normal 2 2 2 5 3 2 3 2" xfId="42840" xr:uid="{B2CD6117-4D81-48AD-95B2-6E2BCE964EFB}"/>
    <cellStyle name="Normal 2 2 2 5 3 2 4" xfId="30249" xr:uid="{6045CB73-2E1C-4B9C-8169-DE8007702427}"/>
    <cellStyle name="Normal 2 2 2 5 3 3" xfId="7805" xr:uid="{31C5021C-CED6-43D9-93FE-02B52DF684CC}"/>
    <cellStyle name="Normal 2 2 2 5 3 3 2" xfId="20487" xr:uid="{D3A87E6A-8977-46DC-96E7-D5242B4C41CC}"/>
    <cellStyle name="Normal 2 2 2 5 3 3 2 2" xfId="45979" xr:uid="{70468EB4-549E-45E8-B84C-811D6EE7D944}"/>
    <cellStyle name="Normal 2 2 2 5 3 3 3" xfId="33388" xr:uid="{62689E7F-7975-49CB-AAEE-3E4E2EAEB503}"/>
    <cellStyle name="Normal 2 2 2 5 3 4" xfId="14209" xr:uid="{7074467F-ACBC-433D-8593-8A4AD6F814B9}"/>
    <cellStyle name="Normal 2 2 2 5 3 4 2" xfId="39701" xr:uid="{3D4CFDA2-03BE-4149-BF9B-87A527DCAD14}"/>
    <cellStyle name="Normal 2 2 2 5 3 5" xfId="27110" xr:uid="{051BA6D4-D446-40B6-A5E4-3B81873A0A73}"/>
    <cellStyle name="Normal 2 2 2 5 4" xfId="2804" xr:uid="{FD05F9A9-2BBA-439C-BAC1-A537C7E15150}"/>
    <cellStyle name="Normal 2 2 2 5 4 2" xfId="5958" xr:uid="{3E173245-9458-4791-A30D-63898FC9A4D3}"/>
    <cellStyle name="Normal 2 2 2 5 4 2 2" xfId="12251" xr:uid="{4B845F04-A5AB-4483-83F5-D55A9FEE19EA}"/>
    <cellStyle name="Normal 2 2 2 5 4 2 2 2" xfId="24933" xr:uid="{698ECEF7-0D0F-4F07-866B-1BA4A154E53C}"/>
    <cellStyle name="Normal 2 2 2 5 4 2 2 2 2" xfId="50425" xr:uid="{AB03E2EA-C92D-4CF9-8A44-68394DFAE305}"/>
    <cellStyle name="Normal 2 2 2 5 4 2 2 3" xfId="37834" xr:uid="{9B613878-F10E-49CE-9EF9-CE7B65895019}"/>
    <cellStyle name="Normal 2 2 2 5 4 2 3" xfId="18655" xr:uid="{D61366EA-9626-4EB6-BEE6-03CD9F75105D}"/>
    <cellStyle name="Normal 2 2 2 5 4 2 3 2" xfId="44147" xr:uid="{2C2A8BD0-5221-4C79-8DF5-BD7D4298D21E}"/>
    <cellStyle name="Normal 2 2 2 5 4 2 4" xfId="31556" xr:uid="{93DDC293-DA62-459F-A55A-B0FD4693F6B3}"/>
    <cellStyle name="Normal 2 2 2 5 4 3" xfId="9112" xr:uid="{1507073B-0050-4052-98E9-25BC286FA457}"/>
    <cellStyle name="Normal 2 2 2 5 4 3 2" xfId="21794" xr:uid="{9DFA3D18-AFAB-41F5-AB40-E1124DD14276}"/>
    <cellStyle name="Normal 2 2 2 5 4 3 2 2" xfId="47286" xr:uid="{A9AD9559-8B9D-4EE6-AE92-4037DC3A95A8}"/>
    <cellStyle name="Normal 2 2 2 5 4 3 3" xfId="34695" xr:uid="{25565E92-EDB7-4BE4-93F3-A8D63FBF49EC}"/>
    <cellStyle name="Normal 2 2 2 5 4 4" xfId="15516" xr:uid="{D8ACC588-2DB8-4700-8F76-7DAED8768BE2}"/>
    <cellStyle name="Normal 2 2 2 5 4 4 2" xfId="41008" xr:uid="{E1246B25-41D1-457D-90F0-250DD6F10B71}"/>
    <cellStyle name="Normal 2 2 2 5 4 5" xfId="28417" xr:uid="{7AF39A49-EC6E-4CCB-87F0-8AF35FEDB18D}"/>
    <cellStyle name="Normal 2 2 2 5 5" xfId="3327" xr:uid="{270976A4-7861-47DD-A47C-9E5751FBE3B1}"/>
    <cellStyle name="Normal 2 2 2 5 5 2" xfId="6481" xr:uid="{DDBCC345-6E16-455A-A55C-25890E624895}"/>
    <cellStyle name="Normal 2 2 2 5 5 2 2" xfId="12774" xr:uid="{AE2D022F-AC81-4D1C-B7F7-6B16C81ABB55}"/>
    <cellStyle name="Normal 2 2 2 5 5 2 2 2" xfId="25456" xr:uid="{6B3EBDE1-B092-438F-A7EB-CFE1F067B356}"/>
    <cellStyle name="Normal 2 2 2 5 5 2 2 2 2" xfId="50948" xr:uid="{6EAB85C4-0569-4147-A5FC-6F2973B1B557}"/>
    <cellStyle name="Normal 2 2 2 5 5 2 2 3" xfId="38357" xr:uid="{10AA3405-6806-4635-A714-C3521D165EAE}"/>
    <cellStyle name="Normal 2 2 2 5 5 2 3" xfId="19178" xr:uid="{57AD74AB-793E-4229-8857-D65464A8E694}"/>
    <cellStyle name="Normal 2 2 2 5 5 2 3 2" xfId="44670" xr:uid="{4E243749-14F6-4BD0-8FCD-78B0038F858F}"/>
    <cellStyle name="Normal 2 2 2 5 5 2 4" xfId="32079" xr:uid="{2097C04E-3289-423B-8A28-AF0F01227C4A}"/>
    <cellStyle name="Normal 2 2 2 5 5 3" xfId="9635" xr:uid="{0F991EF9-25F8-425C-865A-806C51C2E6D2}"/>
    <cellStyle name="Normal 2 2 2 5 5 3 2" xfId="22317" xr:uid="{10C367F4-EA35-4DCE-95F0-3C666F276673}"/>
    <cellStyle name="Normal 2 2 2 5 5 3 2 2" xfId="47809" xr:uid="{5A73C8A7-599B-4509-9616-0B5C840F5A7C}"/>
    <cellStyle name="Normal 2 2 2 5 5 3 3" xfId="35218" xr:uid="{87B674A3-0B80-43EF-8DB5-ADF5D47AE26F}"/>
    <cellStyle name="Normal 2 2 2 5 5 4" xfId="16039" xr:uid="{9779C34A-9CA0-49CB-AE99-4710779CEA30}"/>
    <cellStyle name="Normal 2 2 2 5 5 4 2" xfId="41531" xr:uid="{C526395E-C7B8-465C-BBA3-07CEDF6E6879}"/>
    <cellStyle name="Normal 2 2 2 5 5 5" xfId="28940" xr:uid="{121097EA-E6F2-456A-8A64-43D52AAA750A}"/>
    <cellStyle name="Normal 2 2 2 5 6" xfId="4127" xr:uid="{C18B0D24-7098-47C1-9BD7-E73A6FDD16B4}"/>
    <cellStyle name="Normal 2 2 2 5 6 2" xfId="10420" xr:uid="{BEFAB399-EDD3-4FE7-BB06-2A6E8F9697E9}"/>
    <cellStyle name="Normal 2 2 2 5 6 2 2" xfId="23102" xr:uid="{8FF90E2C-CDDF-4CD8-A4ED-023C6C86758B}"/>
    <cellStyle name="Normal 2 2 2 5 6 2 2 2" xfId="48594" xr:uid="{1449723F-67F1-47AB-80FC-12867CFFF253}"/>
    <cellStyle name="Normal 2 2 2 5 6 2 3" xfId="36003" xr:uid="{C6E10192-887F-42B2-9DB9-480E7D41CBC6}"/>
    <cellStyle name="Normal 2 2 2 5 6 3" xfId="16824" xr:uid="{D2E5FBFE-629D-4B6D-B5AC-9CDDAE5DB2C2}"/>
    <cellStyle name="Normal 2 2 2 5 6 3 2" xfId="42316" xr:uid="{55EBE5A1-56ED-4950-AF35-C6D355526689}"/>
    <cellStyle name="Normal 2 2 2 5 6 4" xfId="29725" xr:uid="{E7FB92FB-7698-4086-985A-132380B7C0DD}"/>
    <cellStyle name="Normal 2 2 2 5 7" xfId="7281" xr:uid="{908A6C95-73AC-48CD-A9C8-267C81EDC244}"/>
    <cellStyle name="Normal 2 2 2 5 7 2" xfId="19963" xr:uid="{EE081D43-7525-4B93-941B-72C56C77EB72}"/>
    <cellStyle name="Normal 2 2 2 5 7 2 2" xfId="45455" xr:uid="{443AB1F6-E827-43F5-9EA3-A12B7A2B5674}"/>
    <cellStyle name="Normal 2 2 2 5 7 3" xfId="32864" xr:uid="{B6D63C51-451E-4037-9F29-1E7C70093AD9}"/>
    <cellStyle name="Normal 2 2 2 5 8" xfId="13685" xr:uid="{D8445B29-77A3-4B2E-818F-5C5475BBEBA5}"/>
    <cellStyle name="Normal 2 2 2 5 8 2" xfId="39177" xr:uid="{E4C147E2-0DB9-48FE-9669-A8149C3F45E1}"/>
    <cellStyle name="Normal 2 2 2 5 9" xfId="26586" xr:uid="{C872E4CC-B225-4678-AB9C-710E31E72790}"/>
    <cellStyle name="Normal 2 2 2 6" xfId="713" xr:uid="{8AD62830-E6AA-44EC-8F97-32996F7E11B1}"/>
    <cellStyle name="Normal 2 2 2 6 2" xfId="2020" xr:uid="{417770A8-BEBB-4257-8F5F-43D6D1A14874}"/>
    <cellStyle name="Normal 2 2 2 6 2 2" xfId="5174" xr:uid="{5F24CA71-DC2F-406F-84ED-D9703F2ACFFC}"/>
    <cellStyle name="Normal 2 2 2 6 2 2 2" xfId="11467" xr:uid="{0F683A09-A42A-4243-BEEB-C1ECA0BBFF71}"/>
    <cellStyle name="Normal 2 2 2 6 2 2 2 2" xfId="24149" xr:uid="{90B865E7-5F86-4238-8A60-C6B97B145D01}"/>
    <cellStyle name="Normal 2 2 2 6 2 2 2 2 2" xfId="49641" xr:uid="{49B64839-7D12-4F0F-B07B-EC56F1F0FE5F}"/>
    <cellStyle name="Normal 2 2 2 6 2 2 2 3" xfId="37050" xr:uid="{A0879D7A-8413-4F18-9642-C7C39757A9AE}"/>
    <cellStyle name="Normal 2 2 2 6 2 2 3" xfId="17871" xr:uid="{4DE40DC5-D02D-4285-94AA-0DF3B0C4161F}"/>
    <cellStyle name="Normal 2 2 2 6 2 2 3 2" xfId="43363" xr:uid="{8950D65D-3003-46C6-AC25-2102261F132D}"/>
    <cellStyle name="Normal 2 2 2 6 2 2 4" xfId="30772" xr:uid="{7E172EB7-3B5E-49AB-B2C3-02560035DDF1}"/>
    <cellStyle name="Normal 2 2 2 6 2 3" xfId="8328" xr:uid="{DA020116-8AA7-480E-9315-51BE4437F6E7}"/>
    <cellStyle name="Normal 2 2 2 6 2 3 2" xfId="21010" xr:uid="{CCC0D139-46D1-4751-940A-DFEE76D93F4B}"/>
    <cellStyle name="Normal 2 2 2 6 2 3 2 2" xfId="46502" xr:uid="{B375ECB4-1D18-4F36-951B-E9337A9F4C9F}"/>
    <cellStyle name="Normal 2 2 2 6 2 3 3" xfId="33911" xr:uid="{06866025-0C7E-4C26-9824-5216C889AFB4}"/>
    <cellStyle name="Normal 2 2 2 6 2 4" xfId="14732" xr:uid="{42D7E751-BB79-429E-9995-1F98ECD6044E}"/>
    <cellStyle name="Normal 2 2 2 6 2 4 2" xfId="40224" xr:uid="{AE80F515-79B7-4F1C-BDF1-33D881F53A31}"/>
    <cellStyle name="Normal 2 2 2 6 2 5" xfId="27633" xr:uid="{34139348-3502-4B5F-AB7D-9AAB1F3E11CD}"/>
    <cellStyle name="Normal 2 2 2 6 3" xfId="3867" xr:uid="{BA0960FC-835E-4E63-B3E9-6E7124979EE3}"/>
    <cellStyle name="Normal 2 2 2 6 3 2" xfId="10160" xr:uid="{9957F8BE-9BDA-4FF7-855D-962E695F3246}"/>
    <cellStyle name="Normal 2 2 2 6 3 2 2" xfId="22842" xr:uid="{5F7C5C3C-53AA-477F-A912-6D09EF5967B8}"/>
    <cellStyle name="Normal 2 2 2 6 3 2 2 2" xfId="48334" xr:uid="{DC5E001A-30C7-4590-B027-3F58AE2E6DBF}"/>
    <cellStyle name="Normal 2 2 2 6 3 2 3" xfId="35743" xr:uid="{7F3362FA-9FF6-4D8C-B9F3-E9C3604AC3FA}"/>
    <cellStyle name="Normal 2 2 2 6 3 3" xfId="16564" xr:uid="{D6D819D7-54D4-4361-B335-620EBD0A6820}"/>
    <cellStyle name="Normal 2 2 2 6 3 3 2" xfId="42056" xr:uid="{7FF4FA87-A6A2-48E7-9B61-54DE4FD3519F}"/>
    <cellStyle name="Normal 2 2 2 6 3 4" xfId="29465" xr:uid="{87E4E67A-7E28-4036-901B-FA182B1B7A9F}"/>
    <cellStyle name="Normal 2 2 2 6 4" xfId="7021" xr:uid="{B63035B4-F0FD-4FA8-AFAC-42C33FEC69C7}"/>
    <cellStyle name="Normal 2 2 2 6 4 2" xfId="19703" xr:uid="{64D3EB21-A88C-47FF-A606-C0C2B6DD6587}"/>
    <cellStyle name="Normal 2 2 2 6 4 2 2" xfId="45195" xr:uid="{CE2A0CC6-6F2E-45AD-855C-D9476CF02B0D}"/>
    <cellStyle name="Normal 2 2 2 6 4 3" xfId="32604" xr:uid="{D864E26F-9978-4820-90BE-5AE4A6BCE8E9}"/>
    <cellStyle name="Normal 2 2 2 6 5" xfId="13425" xr:uid="{52AE34D3-94AC-4DC6-80EB-BFDA41797E69}"/>
    <cellStyle name="Normal 2 2 2 6 5 2" xfId="38917" xr:uid="{4B001805-CDE7-41C1-A830-330E087E1E40}"/>
    <cellStyle name="Normal 2 2 2 6 6" xfId="26326" xr:uid="{62BD45DD-4707-4D95-AA2F-884749CAD5C3}"/>
    <cellStyle name="Normal 2 2 2 7" xfId="1758" xr:uid="{45AED1F6-AB01-4900-918B-4B6CE5F5452A}"/>
    <cellStyle name="Normal 2 2 2 7 2" xfId="4912" xr:uid="{369C7788-A9AA-4238-8F0D-7B7CBF8F967B}"/>
    <cellStyle name="Normal 2 2 2 7 2 2" xfId="11205" xr:uid="{6973D02F-FBBA-48A4-A783-02E92079B1F0}"/>
    <cellStyle name="Normal 2 2 2 7 2 2 2" xfId="23887" xr:uid="{A933FF39-959C-490C-A0CC-7E34E03B0CFF}"/>
    <cellStyle name="Normal 2 2 2 7 2 2 2 2" xfId="49379" xr:uid="{B70CCF8E-D5DC-4DE7-8B03-D3265DF3D3FE}"/>
    <cellStyle name="Normal 2 2 2 7 2 2 3" xfId="36788" xr:uid="{DDEF5643-5D27-469A-B9BC-69490864CB06}"/>
    <cellStyle name="Normal 2 2 2 7 2 3" xfId="17609" xr:uid="{74DA1431-5423-4768-9690-6B7D37709F59}"/>
    <cellStyle name="Normal 2 2 2 7 2 3 2" xfId="43101" xr:uid="{79965250-0B5E-4F60-B7FB-F28ECCFF9E12}"/>
    <cellStyle name="Normal 2 2 2 7 2 4" xfId="30510" xr:uid="{9E9485D1-FDB4-4D47-B7F2-344060D7DA82}"/>
    <cellStyle name="Normal 2 2 2 7 3" xfId="8066" xr:uid="{590C6C67-579C-41C6-848E-3C14D0148E4D}"/>
    <cellStyle name="Normal 2 2 2 7 3 2" xfId="20748" xr:uid="{832A9C9F-DB8A-49A7-9C74-763B46664A34}"/>
    <cellStyle name="Normal 2 2 2 7 3 2 2" xfId="46240" xr:uid="{101596DF-1D87-4AA3-B2C0-A04192F678E2}"/>
    <cellStyle name="Normal 2 2 2 7 3 3" xfId="33649" xr:uid="{981CF276-C9D8-4AF0-9FEB-D02A7269FEBF}"/>
    <cellStyle name="Normal 2 2 2 7 4" xfId="14470" xr:uid="{62C4A197-6415-490E-93A1-F14B3B6B7303}"/>
    <cellStyle name="Normal 2 2 2 7 4 2" xfId="39962" xr:uid="{A5D3FB71-738D-403A-B5F8-357D869BBAB0}"/>
    <cellStyle name="Normal 2 2 2 7 5" xfId="27371" xr:uid="{1D6EB24C-0A8D-45F3-9C53-B5776BEAD86F}"/>
    <cellStyle name="Normal 2 2 2 8" xfId="1236" xr:uid="{1C454367-8296-4B92-9823-A6026E7EE3B1}"/>
    <cellStyle name="Normal 2 2 2 8 2" xfId="4390" xr:uid="{F73BCA19-5B42-42BF-8ED4-4C41ADA062F7}"/>
    <cellStyle name="Normal 2 2 2 8 2 2" xfId="10683" xr:uid="{0CD45553-282E-4BDC-99D9-A6520620BC23}"/>
    <cellStyle name="Normal 2 2 2 8 2 2 2" xfId="23365" xr:uid="{864ECC23-6CCD-459C-8DE6-AD25229AD12B}"/>
    <cellStyle name="Normal 2 2 2 8 2 2 2 2" xfId="48857" xr:uid="{710D923C-2F9C-4248-AB6A-64F803F8AB18}"/>
    <cellStyle name="Normal 2 2 2 8 2 2 3" xfId="36266" xr:uid="{0C1A0FA7-0B75-474A-A37C-CEC65574073F}"/>
    <cellStyle name="Normal 2 2 2 8 2 3" xfId="17087" xr:uid="{F4AA856E-FC91-4A66-9AF3-B31565A01AFF}"/>
    <cellStyle name="Normal 2 2 2 8 2 3 2" xfId="42579" xr:uid="{E3F18A33-E8C8-4717-B656-21FD252BC2BC}"/>
    <cellStyle name="Normal 2 2 2 8 2 4" xfId="29988" xr:uid="{86166A90-8FBC-493F-95F7-96CD0454CC01}"/>
    <cellStyle name="Normal 2 2 2 8 3" xfId="7544" xr:uid="{A421EF22-AE0B-4D3F-83B6-0664D6B01ED0}"/>
    <cellStyle name="Normal 2 2 2 8 3 2" xfId="20226" xr:uid="{F748EF29-45F6-4D40-BE3C-EAE95BE6A0CF}"/>
    <cellStyle name="Normal 2 2 2 8 3 2 2" xfId="45718" xr:uid="{446C941E-8AE9-42C3-BFCA-51902E602D64}"/>
    <cellStyle name="Normal 2 2 2 8 3 3" xfId="33127" xr:uid="{4E46061A-34ED-4D27-99FA-6BEEB1E5A77D}"/>
    <cellStyle name="Normal 2 2 2 8 4" xfId="13948" xr:uid="{2EB547E7-E1C4-41D4-A959-97B4B27E44AB}"/>
    <cellStyle name="Normal 2 2 2 8 4 2" xfId="39440" xr:uid="{C1BD2682-3978-40B6-815A-C238DD7DF873}"/>
    <cellStyle name="Normal 2 2 2 8 5" xfId="26849" xr:uid="{E2E953E5-36DA-44EC-94E4-332C2FB8D6DE}"/>
    <cellStyle name="Normal 2 2 2 9" xfId="2543" xr:uid="{B9DF1136-BAE4-46B6-AA58-1EC0F1D118DA}"/>
    <cellStyle name="Normal 2 2 2 9 2" xfId="5697" xr:uid="{CFE47C9C-8B7E-4E6D-BCAE-5C097AC63722}"/>
    <cellStyle name="Normal 2 2 2 9 2 2" xfId="11990" xr:uid="{13734B0B-EC93-4B01-A83B-E7B9D591851F}"/>
    <cellStyle name="Normal 2 2 2 9 2 2 2" xfId="24672" xr:uid="{CD87E5A6-8334-40B2-BFD2-2FA894558680}"/>
    <cellStyle name="Normal 2 2 2 9 2 2 2 2" xfId="50164" xr:uid="{082FF045-328F-44F9-A204-F23CBBECAA2D}"/>
    <cellStyle name="Normal 2 2 2 9 2 2 3" xfId="37573" xr:uid="{81AB2F07-A6FE-4D99-A346-90C87D2118A1}"/>
    <cellStyle name="Normal 2 2 2 9 2 3" xfId="18394" xr:uid="{DF6057D3-8044-4877-A107-CBA97356AD64}"/>
    <cellStyle name="Normal 2 2 2 9 2 3 2" xfId="43886" xr:uid="{8E259257-3773-43A8-A072-430BF926A1DD}"/>
    <cellStyle name="Normal 2 2 2 9 2 4" xfId="31295" xr:uid="{A14BA468-07F0-4711-AC5A-2361A5D4B5D8}"/>
    <cellStyle name="Normal 2 2 2 9 3" xfId="8851" xr:uid="{99094E3A-7F39-4592-9B4B-41882B762B96}"/>
    <cellStyle name="Normal 2 2 2 9 3 2" xfId="21533" xr:uid="{D0F49FAB-90DD-4641-817E-E583D47BAD88}"/>
    <cellStyle name="Normal 2 2 2 9 3 2 2" xfId="47025" xr:uid="{6F86C973-AECF-4030-8FC5-AE7E46C029DF}"/>
    <cellStyle name="Normal 2 2 2 9 3 3" xfId="34434" xr:uid="{140E8CEF-455B-44BA-BEAE-F7E80B5B20F4}"/>
    <cellStyle name="Normal 2 2 2 9 4" xfId="15255" xr:uid="{486D0668-1DD2-4E57-B043-310213C33395}"/>
    <cellStyle name="Normal 2 2 2 9 4 2" xfId="40747" xr:uid="{4709BBD5-51C5-4D97-98DA-9CB45BFA66BB}"/>
    <cellStyle name="Normal 2 2 2 9 5" xfId="28156" xr:uid="{FCD9AF0E-B3B0-4F82-97DE-CEE0A87B3909}"/>
    <cellStyle name="Normal 2 2 3" xfId="477" xr:uid="{1A97D708-BE52-4D48-AE5E-928111A401E1}"/>
    <cellStyle name="Normal 2 2 3 10" xfId="3646" xr:uid="{C2CD92B1-A2CD-4317-B068-CBC76D5AA2E8}"/>
    <cellStyle name="Normal 2 2 3 10 2" xfId="9939" xr:uid="{277A04BD-18EB-4ED9-A51E-F22FD7C8FBF0}"/>
    <cellStyle name="Normal 2 2 3 10 2 2" xfId="22621" xr:uid="{5C0B8DF2-A196-4E22-BE81-9A263D22ACB8}"/>
    <cellStyle name="Normal 2 2 3 10 2 2 2" xfId="48113" xr:uid="{0D7456DE-6089-44FA-9E1A-5E8666C281A2}"/>
    <cellStyle name="Normal 2 2 3 10 2 3" xfId="35522" xr:uid="{C93C6577-BE79-43F9-8E7E-7E3A6C8FBC55}"/>
    <cellStyle name="Normal 2 2 3 10 3" xfId="16343" xr:uid="{1699D6DA-402E-4129-A904-A0BFE5427640}"/>
    <cellStyle name="Normal 2 2 3 10 3 2" xfId="41835" xr:uid="{594DBF94-A770-46A1-9AA2-7FB4EE6F09EB}"/>
    <cellStyle name="Normal 2 2 3 10 4" xfId="29244" xr:uid="{0B55E408-F647-4172-9BCD-2342D7E88F6F}"/>
    <cellStyle name="Normal 2 2 3 11" xfId="6800" xr:uid="{1D6904BB-BDB8-43EF-AEF7-8439957C0E7A}"/>
    <cellStyle name="Normal 2 2 3 11 2" xfId="19482" xr:uid="{88DFAC0D-323A-4E32-8E1B-A0690FD60F81}"/>
    <cellStyle name="Normal 2 2 3 11 2 2" xfId="44974" xr:uid="{F9100FCC-9C08-4A6B-B560-A43763A833F7}"/>
    <cellStyle name="Normal 2 2 3 11 3" xfId="32383" xr:uid="{7E23CF08-B49F-4505-BD04-BDD19D056FCE}"/>
    <cellStyle name="Normal 2 2 3 12" xfId="13204" xr:uid="{1E819E0C-81A7-4263-8DB7-9703052BCF5C}"/>
    <cellStyle name="Normal 2 2 3 12 2" xfId="38696" xr:uid="{2FA172D5-C807-4BC7-B3D5-391AC9E3230C}"/>
    <cellStyle name="Normal 2 2 3 13" xfId="26105" xr:uid="{124A1F8A-DAA7-4FFF-B3F8-9CFFA0ED4BFE}"/>
    <cellStyle name="Normal 2 2 3 2" xfId="636" xr:uid="{8B924D4E-F8A4-4730-A621-8B639187B32B}"/>
    <cellStyle name="Normal 2 2 3 2 10" xfId="13363" xr:uid="{72C3002C-AC14-4EBC-89B4-C09A283FED78}"/>
    <cellStyle name="Normal 2 2 3 2 10 2" xfId="38855" xr:uid="{14E45D2A-404A-4E32-8D14-2DEBFF4AC35B}"/>
    <cellStyle name="Normal 2 2 3 2 11" xfId="26264" xr:uid="{6B320086-A8F6-4EA8-9CF0-18F2211B5264}"/>
    <cellStyle name="Normal 2 2 3 2 2" xfId="1173" xr:uid="{9B053166-B942-48A7-A51F-C393915ACD8A}"/>
    <cellStyle name="Normal 2 2 3 2 2 2" xfId="2480" xr:uid="{5EA93D5B-307B-4A93-9E74-73600B44472B}"/>
    <cellStyle name="Normal 2 2 3 2 2 2 2" xfId="5634" xr:uid="{9806C976-5DD3-435F-82C8-B6A5CB97313B}"/>
    <cellStyle name="Normal 2 2 3 2 2 2 2 2" xfId="11927" xr:uid="{07E20F5E-54B6-4081-A202-CAE33CA6B0BF}"/>
    <cellStyle name="Normal 2 2 3 2 2 2 2 2 2" xfId="24609" xr:uid="{9EB10BB0-3ABC-4B0E-AD1A-74FF9D50F937}"/>
    <cellStyle name="Normal 2 2 3 2 2 2 2 2 2 2" xfId="50101" xr:uid="{693AF6BE-8F64-42A5-8305-563AA721D339}"/>
    <cellStyle name="Normal 2 2 3 2 2 2 2 2 3" xfId="37510" xr:uid="{AA7BD598-BF49-4016-A2F6-DFAAA8B7433A}"/>
    <cellStyle name="Normal 2 2 3 2 2 2 2 3" xfId="18331" xr:uid="{C865494C-A7F4-4A7A-A58C-CE1B6AD018A0}"/>
    <cellStyle name="Normal 2 2 3 2 2 2 2 3 2" xfId="43823" xr:uid="{337CD167-E9D4-41E3-9038-9078B5BADD43}"/>
    <cellStyle name="Normal 2 2 3 2 2 2 2 4" xfId="31232" xr:uid="{7802F4E0-905E-4EB5-8BCC-6312C6EDC48D}"/>
    <cellStyle name="Normal 2 2 3 2 2 2 3" xfId="8788" xr:uid="{76FB9E16-F917-4F5F-A10B-16A0BC41DB50}"/>
    <cellStyle name="Normal 2 2 3 2 2 2 3 2" xfId="21470" xr:uid="{D42132C2-5027-4E4C-A998-73EB1858B95E}"/>
    <cellStyle name="Normal 2 2 3 2 2 2 3 2 2" xfId="46962" xr:uid="{1E343E1A-589D-45E1-9BE7-23F09A7C849E}"/>
    <cellStyle name="Normal 2 2 3 2 2 2 3 3" xfId="34371" xr:uid="{DB99CB0F-B8B8-45AB-9A81-9F450F252EF8}"/>
    <cellStyle name="Normal 2 2 3 2 2 2 4" xfId="15192" xr:uid="{FA8C07A8-33DD-48A4-9740-248AAAAA6271}"/>
    <cellStyle name="Normal 2 2 3 2 2 2 4 2" xfId="40684" xr:uid="{55798A85-EE02-49DB-93A7-F6CB11BFB807}"/>
    <cellStyle name="Normal 2 2 3 2 2 2 5" xfId="28093" xr:uid="{01461C3F-A870-4B00-9293-13E56533F781}"/>
    <cellStyle name="Normal 2 2 3 2 2 3" xfId="1697" xr:uid="{CC15C590-A5C5-497A-89DA-4D89A4D1E3BB}"/>
    <cellStyle name="Normal 2 2 3 2 2 3 2" xfId="4851" xr:uid="{936CADF5-CD0E-48F1-9B65-062B7D8CD355}"/>
    <cellStyle name="Normal 2 2 3 2 2 3 2 2" xfId="11144" xr:uid="{CEE21D72-A71E-4377-AF6D-753509547C65}"/>
    <cellStyle name="Normal 2 2 3 2 2 3 2 2 2" xfId="23826" xr:uid="{A7D0A1DF-31B4-4448-B565-10499A680DEA}"/>
    <cellStyle name="Normal 2 2 3 2 2 3 2 2 2 2" xfId="49318" xr:uid="{E93986F3-C72A-42D2-A4DD-BDD86E79D784}"/>
    <cellStyle name="Normal 2 2 3 2 2 3 2 2 3" xfId="36727" xr:uid="{9141D92B-C01B-458F-A161-95E75381646F}"/>
    <cellStyle name="Normal 2 2 3 2 2 3 2 3" xfId="17548" xr:uid="{574DA8AB-229C-44B1-90BC-9124D449D6E8}"/>
    <cellStyle name="Normal 2 2 3 2 2 3 2 3 2" xfId="43040" xr:uid="{E37D3277-02D4-4B9D-BE56-C959E75A17B9}"/>
    <cellStyle name="Normal 2 2 3 2 2 3 2 4" xfId="30449" xr:uid="{158C8EEB-646E-4BE2-849E-C2E3414BCC43}"/>
    <cellStyle name="Normal 2 2 3 2 2 3 3" xfId="8005" xr:uid="{6E102840-B5F9-494F-A694-8B24214F758E}"/>
    <cellStyle name="Normal 2 2 3 2 2 3 3 2" xfId="20687" xr:uid="{D2A8C9D0-8FE2-43D1-B99C-B0EBE551BC85}"/>
    <cellStyle name="Normal 2 2 3 2 2 3 3 2 2" xfId="46179" xr:uid="{8DB2B5D3-302A-4C8A-9E48-06468E962157}"/>
    <cellStyle name="Normal 2 2 3 2 2 3 3 3" xfId="33588" xr:uid="{40D18E20-2AC4-447B-A858-3C41226CF054}"/>
    <cellStyle name="Normal 2 2 3 2 2 3 4" xfId="14409" xr:uid="{7833D88C-58BF-4661-96B9-E16429FDABAF}"/>
    <cellStyle name="Normal 2 2 3 2 2 3 4 2" xfId="39901" xr:uid="{517506B4-7A9B-4BEC-8A8D-238F36B9A0CC}"/>
    <cellStyle name="Normal 2 2 3 2 2 3 5" xfId="27310" xr:uid="{3000A0AB-0315-4C37-A2FC-83A9D170B8B0}"/>
    <cellStyle name="Normal 2 2 3 2 2 4" xfId="3004" xr:uid="{94952E61-26F7-4676-910F-FBD4ED028B32}"/>
    <cellStyle name="Normal 2 2 3 2 2 4 2" xfId="6158" xr:uid="{EC9777AD-4672-46E1-99AA-D0F2E78D605D}"/>
    <cellStyle name="Normal 2 2 3 2 2 4 2 2" xfId="12451" xr:uid="{C19D7067-C6DE-4818-97DA-ABD569D6547C}"/>
    <cellStyle name="Normal 2 2 3 2 2 4 2 2 2" xfId="25133" xr:uid="{B2C7C71B-01C0-4056-B2BC-66A6B3ADF3CE}"/>
    <cellStyle name="Normal 2 2 3 2 2 4 2 2 2 2" xfId="50625" xr:uid="{03FCE279-3076-4C57-A723-EE53CA11BED6}"/>
    <cellStyle name="Normal 2 2 3 2 2 4 2 2 3" xfId="38034" xr:uid="{9C1659AE-E810-4FA7-9CCE-6E2CB6B67045}"/>
    <cellStyle name="Normal 2 2 3 2 2 4 2 3" xfId="18855" xr:uid="{DB33EDA6-4C10-476A-B0AC-A64E11072487}"/>
    <cellStyle name="Normal 2 2 3 2 2 4 2 3 2" xfId="44347" xr:uid="{218E7987-551A-4366-AEBC-5FC66EBF6CB0}"/>
    <cellStyle name="Normal 2 2 3 2 2 4 2 4" xfId="31756" xr:uid="{95BE9031-2FCA-4AA4-A385-90A64917C3CF}"/>
    <cellStyle name="Normal 2 2 3 2 2 4 3" xfId="9312" xr:uid="{27B3823B-95EA-4696-8968-943D7FB90365}"/>
    <cellStyle name="Normal 2 2 3 2 2 4 3 2" xfId="21994" xr:uid="{A56B653E-7DD4-4DE7-838C-0796F024A07F}"/>
    <cellStyle name="Normal 2 2 3 2 2 4 3 2 2" xfId="47486" xr:uid="{34EEC847-409F-4E3C-A78C-01C3DFF4CEF8}"/>
    <cellStyle name="Normal 2 2 3 2 2 4 3 3" xfId="34895" xr:uid="{8EA16F99-20B2-48F9-8C64-72FBA8825E8C}"/>
    <cellStyle name="Normal 2 2 3 2 2 4 4" xfId="15716" xr:uid="{65EFB7F2-37D4-4D9A-8193-98824431130A}"/>
    <cellStyle name="Normal 2 2 3 2 2 4 4 2" xfId="41208" xr:uid="{FE4795E5-01B6-4117-BA31-FB5BDB00F0B4}"/>
    <cellStyle name="Normal 2 2 3 2 2 4 5" xfId="28617" xr:uid="{43858187-C5FA-480F-9AC4-F28C575A6495}"/>
    <cellStyle name="Normal 2 2 3 2 2 5" xfId="3527" xr:uid="{BA81F644-1FC9-45F0-BC84-7FBCD36737AF}"/>
    <cellStyle name="Normal 2 2 3 2 2 5 2" xfId="6681" xr:uid="{FC063CA5-EA6B-4862-891F-ABECF6229454}"/>
    <cellStyle name="Normal 2 2 3 2 2 5 2 2" xfId="12974" xr:uid="{3A56EF06-46D8-4E88-8CE7-1EBCEACDA9F2}"/>
    <cellStyle name="Normal 2 2 3 2 2 5 2 2 2" xfId="25656" xr:uid="{201561C3-8342-4610-95EF-AB817789BF60}"/>
    <cellStyle name="Normal 2 2 3 2 2 5 2 2 2 2" xfId="51148" xr:uid="{6F14C06E-B82E-4B09-BB87-3C7D20EDECC1}"/>
    <cellStyle name="Normal 2 2 3 2 2 5 2 2 3" xfId="38557" xr:uid="{8345B9A5-4FF6-413F-A16C-818761566587}"/>
    <cellStyle name="Normal 2 2 3 2 2 5 2 3" xfId="19378" xr:uid="{D62AF7F7-FE4B-49EE-94AD-BD5E63870B2F}"/>
    <cellStyle name="Normal 2 2 3 2 2 5 2 3 2" xfId="44870" xr:uid="{98D76897-693C-47D9-A750-8AF422CA97CB}"/>
    <cellStyle name="Normal 2 2 3 2 2 5 2 4" xfId="32279" xr:uid="{4BCEFC05-E5DD-4824-B442-9CBB89FE8AE6}"/>
    <cellStyle name="Normal 2 2 3 2 2 5 3" xfId="9835" xr:uid="{2A330703-A8F9-4AC0-917E-F27ABE8CAEEE}"/>
    <cellStyle name="Normal 2 2 3 2 2 5 3 2" xfId="22517" xr:uid="{37D3D541-A53E-43E6-8CFE-E927D56FDE14}"/>
    <cellStyle name="Normal 2 2 3 2 2 5 3 2 2" xfId="48009" xr:uid="{43EC0A9F-B2C8-455A-86D2-91563240F9CE}"/>
    <cellStyle name="Normal 2 2 3 2 2 5 3 3" xfId="35418" xr:uid="{06AE60E6-A81D-4CAB-8244-52A2AF4FDB41}"/>
    <cellStyle name="Normal 2 2 3 2 2 5 4" xfId="16239" xr:uid="{02E8CF61-7042-4E78-8394-472D0A5F631D}"/>
    <cellStyle name="Normal 2 2 3 2 2 5 4 2" xfId="41731" xr:uid="{C9E1D519-E01B-46CB-AD41-745F88EA2F08}"/>
    <cellStyle name="Normal 2 2 3 2 2 5 5" xfId="29140" xr:uid="{8877C64D-ED64-4769-8387-7AD42621010D}"/>
    <cellStyle name="Normal 2 2 3 2 2 6" xfId="4327" xr:uid="{778B4DFB-6A38-4F39-882A-C77C6F10C674}"/>
    <cellStyle name="Normal 2 2 3 2 2 6 2" xfId="10620" xr:uid="{98A28DA1-9D25-41A7-BBDB-A2BBB9ED8C37}"/>
    <cellStyle name="Normal 2 2 3 2 2 6 2 2" xfId="23302" xr:uid="{CE9BE4FB-71C4-496F-90D7-8908C40B297C}"/>
    <cellStyle name="Normal 2 2 3 2 2 6 2 2 2" xfId="48794" xr:uid="{91B0343F-F8EB-4D83-8D05-1E07113F8006}"/>
    <cellStyle name="Normal 2 2 3 2 2 6 2 3" xfId="36203" xr:uid="{4353903F-A75F-4CD6-9A35-331072B13BFE}"/>
    <cellStyle name="Normal 2 2 3 2 2 6 3" xfId="17024" xr:uid="{E14E5039-1DBF-42E9-920B-7CF808E00DD1}"/>
    <cellStyle name="Normal 2 2 3 2 2 6 3 2" xfId="42516" xr:uid="{E91D6D52-9BAC-4F1C-8E6C-FC308107AED9}"/>
    <cellStyle name="Normal 2 2 3 2 2 6 4" xfId="29925" xr:uid="{B1ED5B6A-A059-44D7-8FD5-CF53E1728C90}"/>
    <cellStyle name="Normal 2 2 3 2 2 7" xfId="7481" xr:uid="{58F3C316-717A-4FDB-953B-1C8CF122F74F}"/>
    <cellStyle name="Normal 2 2 3 2 2 7 2" xfId="20163" xr:uid="{94ED850C-902D-4438-B1FC-0F8DFCC6401D}"/>
    <cellStyle name="Normal 2 2 3 2 2 7 2 2" xfId="45655" xr:uid="{C4C28DDE-6B63-41BA-8447-95963CB112C8}"/>
    <cellStyle name="Normal 2 2 3 2 2 7 3" xfId="33064" xr:uid="{8832EC6C-7B67-4E72-8DA2-58099008939C}"/>
    <cellStyle name="Normal 2 2 3 2 2 8" xfId="13885" xr:uid="{D4704CA2-49FE-47DC-824C-1FEA2B70667E}"/>
    <cellStyle name="Normal 2 2 3 2 2 8 2" xfId="39377" xr:uid="{975B2C63-E8F3-4E11-BD62-32D1631FDB2A}"/>
    <cellStyle name="Normal 2 2 3 2 2 9" xfId="26786" xr:uid="{4B722566-8E0E-498D-9E28-1076FB9A9B98}"/>
    <cellStyle name="Normal 2 2 3 2 3" xfId="913" xr:uid="{E7FA1CAB-4DDB-47CD-93D3-E27A0159D549}"/>
    <cellStyle name="Normal 2 2 3 2 3 2" xfId="2220" xr:uid="{605563B5-BA44-4A8A-916F-58B121193C08}"/>
    <cellStyle name="Normal 2 2 3 2 3 2 2" xfId="5374" xr:uid="{AE86AC63-A7F1-465E-BB39-B42D5C985219}"/>
    <cellStyle name="Normal 2 2 3 2 3 2 2 2" xfId="11667" xr:uid="{2C2EE729-AC44-4392-980C-ECE6AE4F31C0}"/>
    <cellStyle name="Normal 2 2 3 2 3 2 2 2 2" xfId="24349" xr:uid="{7B12E70A-7324-4644-B026-28AFB4A54B9C}"/>
    <cellStyle name="Normal 2 2 3 2 3 2 2 2 2 2" xfId="49841" xr:uid="{BBC2D9BF-33EE-4701-84C0-043D5CF2F926}"/>
    <cellStyle name="Normal 2 2 3 2 3 2 2 2 3" xfId="37250" xr:uid="{8B7CC548-5993-4DD4-9062-A9AE8EAF2DEF}"/>
    <cellStyle name="Normal 2 2 3 2 3 2 2 3" xfId="18071" xr:uid="{CCD6B7FD-D7B6-445F-8222-A56C0C8EF782}"/>
    <cellStyle name="Normal 2 2 3 2 3 2 2 3 2" xfId="43563" xr:uid="{748BD461-951F-489A-9B39-A56C2DC8E911}"/>
    <cellStyle name="Normal 2 2 3 2 3 2 2 4" xfId="30972" xr:uid="{A6AF42BE-EFDC-442C-BF1D-BC76989E7570}"/>
    <cellStyle name="Normal 2 2 3 2 3 2 3" xfId="8528" xr:uid="{D8A222FD-4FCA-4B63-92E5-A527F52A55DD}"/>
    <cellStyle name="Normal 2 2 3 2 3 2 3 2" xfId="21210" xr:uid="{466A930D-FC79-49A6-A04B-797D33081216}"/>
    <cellStyle name="Normal 2 2 3 2 3 2 3 2 2" xfId="46702" xr:uid="{79933770-8552-4353-A00A-0448DAD8FCEE}"/>
    <cellStyle name="Normal 2 2 3 2 3 2 3 3" xfId="34111" xr:uid="{AAF9CB4E-DD16-4B3D-922B-EDC8C5450A25}"/>
    <cellStyle name="Normal 2 2 3 2 3 2 4" xfId="14932" xr:uid="{2EDAF313-1B21-4559-9BA7-A3DD2B35E891}"/>
    <cellStyle name="Normal 2 2 3 2 3 2 4 2" xfId="40424" xr:uid="{1BE21596-89B2-44EA-82F6-B2ECD60A165C}"/>
    <cellStyle name="Normal 2 2 3 2 3 2 5" xfId="27833" xr:uid="{C4EF9FD1-8BB0-4BE8-8096-B89DAA114071}"/>
    <cellStyle name="Normal 2 2 3 2 3 3" xfId="4067" xr:uid="{CE3CC68A-0863-41E2-8973-7C9F330FB2F9}"/>
    <cellStyle name="Normal 2 2 3 2 3 3 2" xfId="10360" xr:uid="{7F67D814-CA75-497B-A157-D90D432EF624}"/>
    <cellStyle name="Normal 2 2 3 2 3 3 2 2" xfId="23042" xr:uid="{876F0E75-2B42-4F71-A9FA-F7CB92A6EA6A}"/>
    <cellStyle name="Normal 2 2 3 2 3 3 2 2 2" xfId="48534" xr:uid="{FCA2C846-0D33-46DC-A602-F5D938DAFA7C}"/>
    <cellStyle name="Normal 2 2 3 2 3 3 2 3" xfId="35943" xr:uid="{2214803C-47F2-4AE1-9A34-3397D3B9E5C5}"/>
    <cellStyle name="Normal 2 2 3 2 3 3 3" xfId="16764" xr:uid="{7B5E950B-3031-487E-A199-AB84930F3CA0}"/>
    <cellStyle name="Normal 2 2 3 2 3 3 3 2" xfId="42256" xr:uid="{935D3C05-A916-454F-967D-149C4E6E4F47}"/>
    <cellStyle name="Normal 2 2 3 2 3 3 4" xfId="29665" xr:uid="{690DFB58-A2F3-4195-9243-24A5720FF856}"/>
    <cellStyle name="Normal 2 2 3 2 3 4" xfId="7221" xr:uid="{F321C559-35BF-42C2-82A9-88E595E6E14F}"/>
    <cellStyle name="Normal 2 2 3 2 3 4 2" xfId="19903" xr:uid="{533829B7-01F5-4B93-B59D-DCA96B3B73AD}"/>
    <cellStyle name="Normal 2 2 3 2 3 4 2 2" xfId="45395" xr:uid="{97AF56CF-FF00-45C7-AE62-4893486A5487}"/>
    <cellStyle name="Normal 2 2 3 2 3 4 3" xfId="32804" xr:uid="{F9890AA0-3819-4ACD-BA3C-68077451054F}"/>
    <cellStyle name="Normal 2 2 3 2 3 5" xfId="13625" xr:uid="{4EC920D9-B23B-4128-85C8-55AB4945E4CF}"/>
    <cellStyle name="Normal 2 2 3 2 3 5 2" xfId="39117" xr:uid="{EA122AA4-B758-4B01-BD01-74FD11B8CE8A}"/>
    <cellStyle name="Normal 2 2 3 2 3 6" xfId="26526" xr:uid="{5959E5A9-E94A-4C34-B135-A39F2A17F436}"/>
    <cellStyle name="Normal 2 2 3 2 4" xfId="1958" xr:uid="{4F400A1B-B176-459F-B870-21EEF21B7C38}"/>
    <cellStyle name="Normal 2 2 3 2 4 2" xfId="5112" xr:uid="{1C6037D6-D370-41FC-B744-F8D355D96512}"/>
    <cellStyle name="Normal 2 2 3 2 4 2 2" xfId="11405" xr:uid="{FA660B92-4837-404A-AD29-1E79BDB750B0}"/>
    <cellStyle name="Normal 2 2 3 2 4 2 2 2" xfId="24087" xr:uid="{1A50A8AA-8A72-49D7-BA9D-115C38CC4C7A}"/>
    <cellStyle name="Normal 2 2 3 2 4 2 2 2 2" xfId="49579" xr:uid="{B8FBCFCB-0632-49EE-AACB-7EF2439C4033}"/>
    <cellStyle name="Normal 2 2 3 2 4 2 2 3" xfId="36988" xr:uid="{143C664F-95F0-48C3-8272-055D2A475581}"/>
    <cellStyle name="Normal 2 2 3 2 4 2 3" xfId="17809" xr:uid="{1EEBAF14-3143-4A68-8A41-35A8E301A64F}"/>
    <cellStyle name="Normal 2 2 3 2 4 2 3 2" xfId="43301" xr:uid="{6AC735C5-53D0-46E7-A456-67598C044F1D}"/>
    <cellStyle name="Normal 2 2 3 2 4 2 4" xfId="30710" xr:uid="{ABB9A2A3-127C-4A1D-8F8E-A220895A7D65}"/>
    <cellStyle name="Normal 2 2 3 2 4 3" xfId="8266" xr:uid="{A7F6DC8B-EE48-4115-96E6-88036F781860}"/>
    <cellStyle name="Normal 2 2 3 2 4 3 2" xfId="20948" xr:uid="{6C05B7AC-F86B-476B-B91A-01A0A60ED183}"/>
    <cellStyle name="Normal 2 2 3 2 4 3 2 2" xfId="46440" xr:uid="{F9E185F0-7D2C-49A0-BC4F-3D82687D95C1}"/>
    <cellStyle name="Normal 2 2 3 2 4 3 3" xfId="33849" xr:uid="{532382CC-CA64-4555-98B3-79CD4294D4F6}"/>
    <cellStyle name="Normal 2 2 3 2 4 4" xfId="14670" xr:uid="{42346604-17C8-4DF3-98EF-E802C6E35046}"/>
    <cellStyle name="Normal 2 2 3 2 4 4 2" xfId="40162" xr:uid="{DFE786E1-2691-4D00-94F7-4F3B66CD16C3}"/>
    <cellStyle name="Normal 2 2 3 2 4 5" xfId="27571" xr:uid="{EDB1AF3A-1346-417E-9FFE-84887A6E0E97}"/>
    <cellStyle name="Normal 2 2 3 2 5" xfId="1436" xr:uid="{C2FFA9AB-930A-4B43-BE7B-C1225690C5C5}"/>
    <cellStyle name="Normal 2 2 3 2 5 2" xfId="4590" xr:uid="{810E16CF-6271-4D43-B103-C7DBE105FE91}"/>
    <cellStyle name="Normal 2 2 3 2 5 2 2" xfId="10883" xr:uid="{D187F2C9-E556-4EE9-BEB1-2CE43787E26B}"/>
    <cellStyle name="Normal 2 2 3 2 5 2 2 2" xfId="23565" xr:uid="{5D6DBCF8-7436-48FE-95B4-CF995202ADF0}"/>
    <cellStyle name="Normal 2 2 3 2 5 2 2 2 2" xfId="49057" xr:uid="{A0073D91-2412-4120-9F77-FA809F6C14F1}"/>
    <cellStyle name="Normal 2 2 3 2 5 2 2 3" xfId="36466" xr:uid="{4EE60A77-D1CD-4336-B3FA-76F40A25D030}"/>
    <cellStyle name="Normal 2 2 3 2 5 2 3" xfId="17287" xr:uid="{40370737-7BF3-40D8-9335-DEF4BED8CB87}"/>
    <cellStyle name="Normal 2 2 3 2 5 2 3 2" xfId="42779" xr:uid="{5FC84C6F-986B-4EC8-9486-438E118EB253}"/>
    <cellStyle name="Normal 2 2 3 2 5 2 4" xfId="30188" xr:uid="{CC26AE99-2CE0-44E9-85AF-054D3DF3695A}"/>
    <cellStyle name="Normal 2 2 3 2 5 3" xfId="7744" xr:uid="{816BFE6E-417F-4D94-80B0-4172536871AA}"/>
    <cellStyle name="Normal 2 2 3 2 5 3 2" xfId="20426" xr:uid="{A0403A63-7940-4080-B56C-3ED647F6601B}"/>
    <cellStyle name="Normal 2 2 3 2 5 3 2 2" xfId="45918" xr:uid="{4868D7E1-6E0C-4877-AE22-716C43DA0DD0}"/>
    <cellStyle name="Normal 2 2 3 2 5 3 3" xfId="33327" xr:uid="{CE4F1825-CDE5-43E7-B521-BECDE8DD4185}"/>
    <cellStyle name="Normal 2 2 3 2 5 4" xfId="14148" xr:uid="{269E61CD-2873-4518-94AB-6BB2D6675EE8}"/>
    <cellStyle name="Normal 2 2 3 2 5 4 2" xfId="39640" xr:uid="{5898B1DF-F37A-448F-9A56-59C81EEA1386}"/>
    <cellStyle name="Normal 2 2 3 2 5 5" xfId="27049" xr:uid="{34E33C2D-A4F9-4596-93BA-70CC586B67D7}"/>
    <cellStyle name="Normal 2 2 3 2 6" xfId="2743" xr:uid="{6D6A8809-8136-4DC5-B42E-A0D61C5EF48C}"/>
    <cellStyle name="Normal 2 2 3 2 6 2" xfId="5897" xr:uid="{CDD46ED2-4433-40CB-BCCF-693C30058351}"/>
    <cellStyle name="Normal 2 2 3 2 6 2 2" xfId="12190" xr:uid="{89649810-17BE-4C88-B78E-56A30FAFEE43}"/>
    <cellStyle name="Normal 2 2 3 2 6 2 2 2" xfId="24872" xr:uid="{238E02D1-B655-4F37-B5CB-44C3D28459EE}"/>
    <cellStyle name="Normal 2 2 3 2 6 2 2 2 2" xfId="50364" xr:uid="{F477B7DE-D85F-4136-8AC8-981B8A0E1101}"/>
    <cellStyle name="Normal 2 2 3 2 6 2 2 3" xfId="37773" xr:uid="{A5FC2731-D0C8-405C-9B6F-9F9A64D47EC7}"/>
    <cellStyle name="Normal 2 2 3 2 6 2 3" xfId="18594" xr:uid="{9F42D8F2-BA85-4802-A437-F0B3CFEE7281}"/>
    <cellStyle name="Normal 2 2 3 2 6 2 3 2" xfId="44086" xr:uid="{5FC302B5-4BB5-43D4-99A8-9A3230CD166A}"/>
    <cellStyle name="Normal 2 2 3 2 6 2 4" xfId="31495" xr:uid="{9257E9CC-DACA-40CF-A199-F397A3E90C26}"/>
    <cellStyle name="Normal 2 2 3 2 6 3" xfId="9051" xr:uid="{0E8F84BF-9846-4766-B67C-4A3634FB3E88}"/>
    <cellStyle name="Normal 2 2 3 2 6 3 2" xfId="21733" xr:uid="{97F1BAEC-5C2E-4CDC-80BE-2D18E4E99343}"/>
    <cellStyle name="Normal 2 2 3 2 6 3 2 2" xfId="47225" xr:uid="{66298386-EFEB-46FC-90E0-BFC58F2F3B68}"/>
    <cellStyle name="Normal 2 2 3 2 6 3 3" xfId="34634" xr:uid="{52772D94-CAF3-4E83-833E-3690E1C9B09A}"/>
    <cellStyle name="Normal 2 2 3 2 6 4" xfId="15455" xr:uid="{D679BDB5-ED5E-4910-99FE-96BED7F16BC2}"/>
    <cellStyle name="Normal 2 2 3 2 6 4 2" xfId="40947" xr:uid="{C90A1E1A-E203-49BE-BDD2-6F6CCF2D3050}"/>
    <cellStyle name="Normal 2 2 3 2 6 5" xfId="28356" xr:uid="{CB0B2A36-5A16-4B6E-B220-B9BE603970B6}"/>
    <cellStyle name="Normal 2 2 3 2 7" xfId="3266" xr:uid="{E2B5C128-70F5-4C3A-923C-BF8937C274E8}"/>
    <cellStyle name="Normal 2 2 3 2 7 2" xfId="6420" xr:uid="{BDA5644C-20A2-4582-9D52-DBE74AF4EC0C}"/>
    <cellStyle name="Normal 2 2 3 2 7 2 2" xfId="12713" xr:uid="{5CB6E029-019F-4138-BCC8-4BD5A279B989}"/>
    <cellStyle name="Normal 2 2 3 2 7 2 2 2" xfId="25395" xr:uid="{79843A68-1B76-4C1C-82F5-9EC38B9BD510}"/>
    <cellStyle name="Normal 2 2 3 2 7 2 2 2 2" xfId="50887" xr:uid="{0CCACF25-1190-400A-A039-D8011715EB46}"/>
    <cellStyle name="Normal 2 2 3 2 7 2 2 3" xfId="38296" xr:uid="{34D17F54-B0B2-47FB-B969-014C0663C36F}"/>
    <cellStyle name="Normal 2 2 3 2 7 2 3" xfId="19117" xr:uid="{711C67E4-BBAF-46FC-BB46-1334DBCABA18}"/>
    <cellStyle name="Normal 2 2 3 2 7 2 3 2" xfId="44609" xr:uid="{B272E37D-B423-4E2C-9399-F7133E547352}"/>
    <cellStyle name="Normal 2 2 3 2 7 2 4" xfId="32018" xr:uid="{62ECF0B1-6501-4226-8925-2830AAA1BC42}"/>
    <cellStyle name="Normal 2 2 3 2 7 3" xfId="9574" xr:uid="{70BA994C-A50C-4273-88FC-BDB9E4C4C3AC}"/>
    <cellStyle name="Normal 2 2 3 2 7 3 2" xfId="22256" xr:uid="{D0357E23-B5E8-48CD-8718-38D8C77B738A}"/>
    <cellStyle name="Normal 2 2 3 2 7 3 2 2" xfId="47748" xr:uid="{E1C98419-0867-43B3-B83C-F38DDDC7C67E}"/>
    <cellStyle name="Normal 2 2 3 2 7 3 3" xfId="35157" xr:uid="{B150C9E3-33B3-41B7-9063-BBF76E82397F}"/>
    <cellStyle name="Normal 2 2 3 2 7 4" xfId="15978" xr:uid="{60F87EB8-A8E6-4A18-BE35-66CA3D2A6B04}"/>
    <cellStyle name="Normal 2 2 3 2 7 4 2" xfId="41470" xr:uid="{56FA8F23-B53A-4B3F-8C1F-58BBAB781CCC}"/>
    <cellStyle name="Normal 2 2 3 2 7 5" xfId="28879" xr:uid="{C8E69332-8258-4D7E-86D7-C91FFED77E2B}"/>
    <cellStyle name="Normal 2 2 3 2 8" xfId="3805" xr:uid="{F257EC05-5DEB-45F8-AB5F-3D75AE7EAD78}"/>
    <cellStyle name="Normal 2 2 3 2 8 2" xfId="10098" xr:uid="{1C8EFA6B-3E46-4D1F-8E22-E75767FF312E}"/>
    <cellStyle name="Normal 2 2 3 2 8 2 2" xfId="22780" xr:uid="{D8CC386D-F197-430B-AD92-9A4B6EA2AF52}"/>
    <cellStyle name="Normal 2 2 3 2 8 2 2 2" xfId="48272" xr:uid="{BDA4A45C-255C-47AB-A28F-F5B555BBEC66}"/>
    <cellStyle name="Normal 2 2 3 2 8 2 3" xfId="35681" xr:uid="{00F66F6F-79AA-4613-AC20-B7CA8C0D36AF}"/>
    <cellStyle name="Normal 2 2 3 2 8 3" xfId="16502" xr:uid="{6345CFB7-401E-4075-BF90-FBA9658F419C}"/>
    <cellStyle name="Normal 2 2 3 2 8 3 2" xfId="41994" xr:uid="{4CB77E7F-3D87-40DC-AC74-8FF803CC9E78}"/>
    <cellStyle name="Normal 2 2 3 2 8 4" xfId="29403" xr:uid="{16C931D3-3AB7-4B51-A061-AC5AF8129A73}"/>
    <cellStyle name="Normal 2 2 3 2 9" xfId="6959" xr:uid="{3B8986CB-7C86-40D3-AE7F-0158357781AA}"/>
    <cellStyle name="Normal 2 2 3 2 9 2" xfId="19641" xr:uid="{49DD22C5-C6CB-4E0F-BD08-B9B8C8BFDBDE}"/>
    <cellStyle name="Normal 2 2 3 2 9 2 2" xfId="45133" xr:uid="{5DB60CCF-5D49-4961-88F0-C2C3CBADEAD4}"/>
    <cellStyle name="Normal 2 2 3 2 9 3" xfId="32542" xr:uid="{0639FFD4-AC65-4BC8-86DA-8764D2552BE6}"/>
    <cellStyle name="Normal 2 2 3 3" xfId="536" xr:uid="{AD6B553F-9244-4B47-80D9-99DA10006C51}"/>
    <cellStyle name="Normal 2 2 3 3 10" xfId="13263" xr:uid="{E22910EB-7278-4394-AF49-1BA1C54B2D14}"/>
    <cellStyle name="Normal 2 2 3 3 10 2" xfId="38755" xr:uid="{9109560E-37F6-43F5-83B6-966B1A1C0790}"/>
    <cellStyle name="Normal 2 2 3 3 11" xfId="26164" xr:uid="{5563BA40-3236-4923-B3E3-FFF7D9BF2580}"/>
    <cellStyle name="Normal 2 2 3 3 2" xfId="1073" xr:uid="{0A9408E7-D400-4C04-A4A3-EC5E18C3A278}"/>
    <cellStyle name="Normal 2 2 3 3 2 2" xfId="2380" xr:uid="{A8E71BD8-0E5D-49A1-AFC5-860BF9892927}"/>
    <cellStyle name="Normal 2 2 3 3 2 2 2" xfId="5534" xr:uid="{2FD9C216-C507-4E8D-BCD4-BE38477CF2C4}"/>
    <cellStyle name="Normal 2 2 3 3 2 2 2 2" xfId="11827" xr:uid="{2AB7DA50-79FD-49DC-9C62-FE533CC0809D}"/>
    <cellStyle name="Normal 2 2 3 3 2 2 2 2 2" xfId="24509" xr:uid="{FEDAA7AB-0965-4CCD-B4A0-27208F607223}"/>
    <cellStyle name="Normal 2 2 3 3 2 2 2 2 2 2" xfId="50001" xr:uid="{84C91554-5A9A-41D1-A1D3-5F6B312DAA42}"/>
    <cellStyle name="Normal 2 2 3 3 2 2 2 2 3" xfId="37410" xr:uid="{13BA09CC-DF32-48CF-9D35-69B16AA4BC77}"/>
    <cellStyle name="Normal 2 2 3 3 2 2 2 3" xfId="18231" xr:uid="{BE2A85D7-306E-4564-810D-6FCEF36B8CC5}"/>
    <cellStyle name="Normal 2 2 3 3 2 2 2 3 2" xfId="43723" xr:uid="{C20EB5ED-6038-4355-9683-966F38C66B7F}"/>
    <cellStyle name="Normal 2 2 3 3 2 2 2 4" xfId="31132" xr:uid="{EBB5BFFC-839D-4D7B-B1D2-334BB82B123F}"/>
    <cellStyle name="Normal 2 2 3 3 2 2 3" xfId="8688" xr:uid="{8473A917-75B2-4E00-AC33-BCDEC4DA1270}"/>
    <cellStyle name="Normal 2 2 3 3 2 2 3 2" xfId="21370" xr:uid="{DBE9C96B-FF1E-4D1C-9A8D-FDCF0DBB6297}"/>
    <cellStyle name="Normal 2 2 3 3 2 2 3 2 2" xfId="46862" xr:uid="{FA75C4C8-3118-416E-A366-6029890528FB}"/>
    <cellStyle name="Normal 2 2 3 3 2 2 3 3" xfId="34271" xr:uid="{8656E581-9DBF-41E7-BBDC-138569AAE818}"/>
    <cellStyle name="Normal 2 2 3 3 2 2 4" xfId="15092" xr:uid="{082E2390-8E77-4D91-A6CC-DB88F0F374AB}"/>
    <cellStyle name="Normal 2 2 3 3 2 2 4 2" xfId="40584" xr:uid="{4F90D7CE-7B95-4FB6-95CA-3814980BB623}"/>
    <cellStyle name="Normal 2 2 3 3 2 2 5" xfId="27993" xr:uid="{8D9D4070-D723-4B7C-896D-57D4890BE29C}"/>
    <cellStyle name="Normal 2 2 3 3 2 3" xfId="1597" xr:uid="{413CE3C5-C209-485F-B2F7-C38C5BD78670}"/>
    <cellStyle name="Normal 2 2 3 3 2 3 2" xfId="4751" xr:uid="{F9FD8CB9-B29F-429D-B678-AEF2F5A25D81}"/>
    <cellStyle name="Normal 2 2 3 3 2 3 2 2" xfId="11044" xr:uid="{F916D0B2-BD44-4C3D-A536-BE79E2A8F0E1}"/>
    <cellStyle name="Normal 2 2 3 3 2 3 2 2 2" xfId="23726" xr:uid="{36004679-B863-478E-BF0C-9E5528670744}"/>
    <cellStyle name="Normal 2 2 3 3 2 3 2 2 2 2" xfId="49218" xr:uid="{DA6C05D4-80C9-4DC6-82D8-6D84A6DA97BF}"/>
    <cellStyle name="Normal 2 2 3 3 2 3 2 2 3" xfId="36627" xr:uid="{EB26A166-AC95-4E93-AB13-E21EB5B5BFA8}"/>
    <cellStyle name="Normal 2 2 3 3 2 3 2 3" xfId="17448" xr:uid="{3C3AEB57-966D-4B4C-A0B8-B61EFF766B25}"/>
    <cellStyle name="Normal 2 2 3 3 2 3 2 3 2" xfId="42940" xr:uid="{FE37642A-36FC-4197-9CED-8AEFD6C662E8}"/>
    <cellStyle name="Normal 2 2 3 3 2 3 2 4" xfId="30349" xr:uid="{DF3003E5-226E-4A3B-AA80-E3D9042608F8}"/>
    <cellStyle name="Normal 2 2 3 3 2 3 3" xfId="7905" xr:uid="{71043C8D-9C91-4F0A-9ED7-8A165719A333}"/>
    <cellStyle name="Normal 2 2 3 3 2 3 3 2" xfId="20587" xr:uid="{D71FF7C3-A67D-4AC2-9309-E3048332A39F}"/>
    <cellStyle name="Normal 2 2 3 3 2 3 3 2 2" xfId="46079" xr:uid="{755FADE6-DCAC-4856-BA47-7614596EC83B}"/>
    <cellStyle name="Normal 2 2 3 3 2 3 3 3" xfId="33488" xr:uid="{F66C00A8-93ED-4EF4-9EF4-535716FCD69D}"/>
    <cellStyle name="Normal 2 2 3 3 2 3 4" xfId="14309" xr:uid="{C8EB660A-1E09-4845-81D2-ABF4DCCD8411}"/>
    <cellStyle name="Normal 2 2 3 3 2 3 4 2" xfId="39801" xr:uid="{412B2E00-FA97-48E6-997B-87806217CC31}"/>
    <cellStyle name="Normal 2 2 3 3 2 3 5" xfId="27210" xr:uid="{2B5CA0CB-A409-40E5-A3E6-537C08A04AAF}"/>
    <cellStyle name="Normal 2 2 3 3 2 4" xfId="2904" xr:uid="{BC50CA5B-009A-4854-A722-F4D2BECC3B2C}"/>
    <cellStyle name="Normal 2 2 3 3 2 4 2" xfId="6058" xr:uid="{681F8BD2-6652-4F56-A4A6-D3E5F35A017E}"/>
    <cellStyle name="Normal 2 2 3 3 2 4 2 2" xfId="12351" xr:uid="{D4438097-1394-4816-9C42-8708D2D5A90B}"/>
    <cellStyle name="Normal 2 2 3 3 2 4 2 2 2" xfId="25033" xr:uid="{5BAE0407-02AB-4FE6-AE9A-03E071EF0A75}"/>
    <cellStyle name="Normal 2 2 3 3 2 4 2 2 2 2" xfId="50525" xr:uid="{00E1D286-1069-4346-BDBE-18F0D7B2FA96}"/>
    <cellStyle name="Normal 2 2 3 3 2 4 2 2 3" xfId="37934" xr:uid="{007857A6-5C4C-4885-9878-199F324EBEAB}"/>
    <cellStyle name="Normal 2 2 3 3 2 4 2 3" xfId="18755" xr:uid="{A53F5289-031C-4156-813C-95FB37B6B41B}"/>
    <cellStyle name="Normal 2 2 3 3 2 4 2 3 2" xfId="44247" xr:uid="{775C9EC0-812E-4442-ABA5-88670EF36EFA}"/>
    <cellStyle name="Normal 2 2 3 3 2 4 2 4" xfId="31656" xr:uid="{CC595104-E8B4-439D-B358-CCB37DB16B43}"/>
    <cellStyle name="Normal 2 2 3 3 2 4 3" xfId="9212" xr:uid="{72D29DA6-506B-4CFB-8029-57CC350ACC9C}"/>
    <cellStyle name="Normal 2 2 3 3 2 4 3 2" xfId="21894" xr:uid="{8A6848D6-C21E-4380-9CA2-A2BE8FF1F234}"/>
    <cellStyle name="Normal 2 2 3 3 2 4 3 2 2" xfId="47386" xr:uid="{B6559C52-F9FE-4AF0-8289-D712A6EA335B}"/>
    <cellStyle name="Normal 2 2 3 3 2 4 3 3" xfId="34795" xr:uid="{5CE59D95-8972-42F3-BA51-AE8D4111C2E7}"/>
    <cellStyle name="Normal 2 2 3 3 2 4 4" xfId="15616" xr:uid="{79CDCA5E-1DAD-491F-B7C9-A27B042D1861}"/>
    <cellStyle name="Normal 2 2 3 3 2 4 4 2" xfId="41108" xr:uid="{8D810532-1D5D-4336-968F-805BEA43BD63}"/>
    <cellStyle name="Normal 2 2 3 3 2 4 5" xfId="28517" xr:uid="{18767BBB-7C80-48C3-BEA9-C54ED1DCA8DF}"/>
    <cellStyle name="Normal 2 2 3 3 2 5" xfId="3427" xr:uid="{93130120-26CC-4B76-AF38-FF2BF8D0D35D}"/>
    <cellStyle name="Normal 2 2 3 3 2 5 2" xfId="6581" xr:uid="{FD7408B4-BAD2-4E5B-BCCF-A65DC238C7B1}"/>
    <cellStyle name="Normal 2 2 3 3 2 5 2 2" xfId="12874" xr:uid="{F05FF32E-256A-479D-B6FD-9826EA3219A4}"/>
    <cellStyle name="Normal 2 2 3 3 2 5 2 2 2" xfId="25556" xr:uid="{2F334CD0-7ACB-4719-BD95-B13BEDA4BB6E}"/>
    <cellStyle name="Normal 2 2 3 3 2 5 2 2 2 2" xfId="51048" xr:uid="{10CFD9E1-0562-4C6A-AF74-728BFAB5DE0B}"/>
    <cellStyle name="Normal 2 2 3 3 2 5 2 2 3" xfId="38457" xr:uid="{3F7A699E-6B96-4391-BD2A-2C6AA0275C79}"/>
    <cellStyle name="Normal 2 2 3 3 2 5 2 3" xfId="19278" xr:uid="{5B45A959-0D6E-4529-82AE-44C786BB9008}"/>
    <cellStyle name="Normal 2 2 3 3 2 5 2 3 2" xfId="44770" xr:uid="{BF1F27B2-38A0-4EC3-BD0F-DB88A8094A90}"/>
    <cellStyle name="Normal 2 2 3 3 2 5 2 4" xfId="32179" xr:uid="{A449B30F-F82B-46E8-8400-11CCC1B7C98C}"/>
    <cellStyle name="Normal 2 2 3 3 2 5 3" xfId="9735" xr:uid="{7AF1EBD7-13E2-4C96-9F48-EACB239B5B08}"/>
    <cellStyle name="Normal 2 2 3 3 2 5 3 2" xfId="22417" xr:uid="{3F661CA0-757C-47F4-AFFF-68D22C1346D1}"/>
    <cellStyle name="Normal 2 2 3 3 2 5 3 2 2" xfId="47909" xr:uid="{92840EEA-8B07-4A2B-84B4-CB296A9796D8}"/>
    <cellStyle name="Normal 2 2 3 3 2 5 3 3" xfId="35318" xr:uid="{705A3652-A931-49DD-A94E-EB87AE654262}"/>
    <cellStyle name="Normal 2 2 3 3 2 5 4" xfId="16139" xr:uid="{9EA83116-14DD-4117-9C7F-FE56E1520939}"/>
    <cellStyle name="Normal 2 2 3 3 2 5 4 2" xfId="41631" xr:uid="{AF5A4948-7892-4EBC-80EE-34493FBA0626}"/>
    <cellStyle name="Normal 2 2 3 3 2 5 5" xfId="29040" xr:uid="{BAA5CCB0-FA83-4DE0-ABAB-BDF3F243A1B9}"/>
    <cellStyle name="Normal 2 2 3 3 2 6" xfId="4227" xr:uid="{74907F6D-8207-4D95-86F6-D1850E7212F5}"/>
    <cellStyle name="Normal 2 2 3 3 2 6 2" xfId="10520" xr:uid="{EF939B12-C963-42CE-9C28-0ED8979EA0BD}"/>
    <cellStyle name="Normal 2 2 3 3 2 6 2 2" xfId="23202" xr:uid="{38F71652-5D6B-4391-B981-99BAFD1BC870}"/>
    <cellStyle name="Normal 2 2 3 3 2 6 2 2 2" xfId="48694" xr:uid="{5A698A41-7FEB-4E79-ABFF-6211F6EEDA77}"/>
    <cellStyle name="Normal 2 2 3 3 2 6 2 3" xfId="36103" xr:uid="{19EEC6AC-2C6D-41B7-8C82-4950A4BC438A}"/>
    <cellStyle name="Normal 2 2 3 3 2 6 3" xfId="16924" xr:uid="{CD3053F8-3B82-423C-9E6E-2E2E15F5274B}"/>
    <cellStyle name="Normal 2 2 3 3 2 6 3 2" xfId="42416" xr:uid="{B3B394D4-A858-451D-83CA-F86A2CD65B07}"/>
    <cellStyle name="Normal 2 2 3 3 2 6 4" xfId="29825" xr:uid="{99AF3ADB-98E8-407F-8A4B-DBF3EBE87CD4}"/>
    <cellStyle name="Normal 2 2 3 3 2 7" xfId="7381" xr:uid="{70B2B3F9-D729-494A-BE1F-F2D6D3E0F52B}"/>
    <cellStyle name="Normal 2 2 3 3 2 7 2" xfId="20063" xr:uid="{FB7F53D2-A21B-4881-BAC6-14BFB68FE32B}"/>
    <cellStyle name="Normal 2 2 3 3 2 7 2 2" xfId="45555" xr:uid="{F56B25C4-A3F7-41C8-B2AB-9942B726B979}"/>
    <cellStyle name="Normal 2 2 3 3 2 7 3" xfId="32964" xr:uid="{A0DC9050-C988-44E4-BE04-8C434EDB58E2}"/>
    <cellStyle name="Normal 2 2 3 3 2 8" xfId="13785" xr:uid="{943D6144-93F9-40C6-B9F4-B079EFAE0504}"/>
    <cellStyle name="Normal 2 2 3 3 2 8 2" xfId="39277" xr:uid="{E038D941-F57F-464C-A492-18A1FBFEECA0}"/>
    <cellStyle name="Normal 2 2 3 3 2 9" xfId="26686" xr:uid="{3246843A-EB31-4629-8267-2C16ED78BEA5}"/>
    <cellStyle name="Normal 2 2 3 3 3" xfId="813" xr:uid="{BAEAF333-6059-42F8-B374-1EC96CB9ACC4}"/>
    <cellStyle name="Normal 2 2 3 3 3 2" xfId="2120" xr:uid="{C12C9FE7-3206-4388-BC1E-0F5BFF12DD28}"/>
    <cellStyle name="Normal 2 2 3 3 3 2 2" xfId="5274" xr:uid="{C46A747E-78DC-43DA-8336-441DE4F8022D}"/>
    <cellStyle name="Normal 2 2 3 3 3 2 2 2" xfId="11567" xr:uid="{6B4D8A55-BC88-4DE4-B6CA-1F7B5DBBA1A5}"/>
    <cellStyle name="Normal 2 2 3 3 3 2 2 2 2" xfId="24249" xr:uid="{AF738B26-F5F5-4C19-8A8B-D495AFBA0FE5}"/>
    <cellStyle name="Normal 2 2 3 3 3 2 2 2 2 2" xfId="49741" xr:uid="{EB6FFC51-1854-46B7-BDAB-1A20F88FA346}"/>
    <cellStyle name="Normal 2 2 3 3 3 2 2 2 3" xfId="37150" xr:uid="{361C3DD0-2B76-4FDB-BEB5-BB902E6ECE19}"/>
    <cellStyle name="Normal 2 2 3 3 3 2 2 3" xfId="17971" xr:uid="{B9EC5337-C6F9-437D-B9CE-49C3EDF1CB34}"/>
    <cellStyle name="Normal 2 2 3 3 3 2 2 3 2" xfId="43463" xr:uid="{14E44B8B-215D-437F-A12A-DB5ACCEB6F32}"/>
    <cellStyle name="Normal 2 2 3 3 3 2 2 4" xfId="30872" xr:uid="{D242AC9F-739B-4227-8D1F-0D5360209AA7}"/>
    <cellStyle name="Normal 2 2 3 3 3 2 3" xfId="8428" xr:uid="{EA785826-B062-4B23-85A4-38A9654CCD32}"/>
    <cellStyle name="Normal 2 2 3 3 3 2 3 2" xfId="21110" xr:uid="{1B6725F9-E9BA-41E0-9F64-0A84EDE39CFA}"/>
    <cellStyle name="Normal 2 2 3 3 3 2 3 2 2" xfId="46602" xr:uid="{6427E36B-F846-43E0-A02D-FE436F1D208F}"/>
    <cellStyle name="Normal 2 2 3 3 3 2 3 3" xfId="34011" xr:uid="{A9D3D452-D122-48D3-A784-019D841B991B}"/>
    <cellStyle name="Normal 2 2 3 3 3 2 4" xfId="14832" xr:uid="{9DA9E5D0-974C-48BB-A7F5-4D4DEE009F7F}"/>
    <cellStyle name="Normal 2 2 3 3 3 2 4 2" xfId="40324" xr:uid="{B0A19EE3-46CD-4010-8A13-8070D2F6ABD2}"/>
    <cellStyle name="Normal 2 2 3 3 3 2 5" xfId="27733" xr:uid="{2D63F191-3DC3-4D50-9E01-42EB00C38BD6}"/>
    <cellStyle name="Normal 2 2 3 3 3 3" xfId="3967" xr:uid="{EB0A2464-9791-42F3-85F4-CEA7F49DCA30}"/>
    <cellStyle name="Normal 2 2 3 3 3 3 2" xfId="10260" xr:uid="{7F6618F0-47FE-4794-91F8-33E855C4AAFB}"/>
    <cellStyle name="Normal 2 2 3 3 3 3 2 2" xfId="22942" xr:uid="{1E0972FF-0FE9-407A-A698-7C8EEE6DF7D5}"/>
    <cellStyle name="Normal 2 2 3 3 3 3 2 2 2" xfId="48434" xr:uid="{4D68B419-85C8-41D6-B6C8-480369E86FCC}"/>
    <cellStyle name="Normal 2 2 3 3 3 3 2 3" xfId="35843" xr:uid="{6374F47C-C956-4CC6-A13E-700499975885}"/>
    <cellStyle name="Normal 2 2 3 3 3 3 3" xfId="16664" xr:uid="{05CFFD28-83AB-4B70-BFAB-8DC05EF726D1}"/>
    <cellStyle name="Normal 2 2 3 3 3 3 3 2" xfId="42156" xr:uid="{D6EE03BE-A945-47C5-BE53-6161AAE7B548}"/>
    <cellStyle name="Normal 2 2 3 3 3 3 4" xfId="29565" xr:uid="{C1DE2C6A-9715-4235-847D-E3F83E75CB0D}"/>
    <cellStyle name="Normal 2 2 3 3 3 4" xfId="7121" xr:uid="{030EE845-21FE-49E8-9A6F-94F2686AAA17}"/>
    <cellStyle name="Normal 2 2 3 3 3 4 2" xfId="19803" xr:uid="{6A8ACAF9-E101-489F-96FA-260CCDDD52A2}"/>
    <cellStyle name="Normal 2 2 3 3 3 4 2 2" xfId="45295" xr:uid="{DE57254A-BEAC-4BB0-A449-32DF79F78B71}"/>
    <cellStyle name="Normal 2 2 3 3 3 4 3" xfId="32704" xr:uid="{D0DB34A4-4972-44D4-8FA0-0D05EAF1AE9A}"/>
    <cellStyle name="Normal 2 2 3 3 3 5" xfId="13525" xr:uid="{A2A8511B-833D-4776-841D-6E30FCF0D158}"/>
    <cellStyle name="Normal 2 2 3 3 3 5 2" xfId="39017" xr:uid="{52D00154-FDF3-4084-8644-DC030772DEAE}"/>
    <cellStyle name="Normal 2 2 3 3 3 6" xfId="26426" xr:uid="{DA6DC92A-1C3B-46A5-88C4-DB8835BAC632}"/>
    <cellStyle name="Normal 2 2 3 3 4" xfId="1858" xr:uid="{957BE931-2AB4-4C1A-BDF8-05329C190A71}"/>
    <cellStyle name="Normal 2 2 3 3 4 2" xfId="5012" xr:uid="{116071CC-A918-49A0-8622-73AD37863C01}"/>
    <cellStyle name="Normal 2 2 3 3 4 2 2" xfId="11305" xr:uid="{A530E5B9-A86E-4900-907A-82C4BE5E21D7}"/>
    <cellStyle name="Normal 2 2 3 3 4 2 2 2" xfId="23987" xr:uid="{B5E312AE-DBDE-4E2B-BB73-E109644DBD00}"/>
    <cellStyle name="Normal 2 2 3 3 4 2 2 2 2" xfId="49479" xr:uid="{8FA04B85-789D-406F-AF38-C5D7ABC2601E}"/>
    <cellStyle name="Normal 2 2 3 3 4 2 2 3" xfId="36888" xr:uid="{02A554EE-9485-4B2F-889A-80AFFA341A81}"/>
    <cellStyle name="Normal 2 2 3 3 4 2 3" xfId="17709" xr:uid="{7B7F602E-FC8D-4937-A438-3A2631F162B4}"/>
    <cellStyle name="Normal 2 2 3 3 4 2 3 2" xfId="43201" xr:uid="{71EC7B69-D817-4F59-B685-F318A42216E0}"/>
    <cellStyle name="Normal 2 2 3 3 4 2 4" xfId="30610" xr:uid="{DB76F78E-2B57-4AE4-9115-5A43D09A4403}"/>
    <cellStyle name="Normal 2 2 3 3 4 3" xfId="8166" xr:uid="{475D5512-94A7-41AD-B988-8723F194ABAD}"/>
    <cellStyle name="Normal 2 2 3 3 4 3 2" xfId="20848" xr:uid="{87447060-0693-4E1A-813D-3B2DC2CA43D5}"/>
    <cellStyle name="Normal 2 2 3 3 4 3 2 2" xfId="46340" xr:uid="{1820BFE0-C144-4D57-9C81-4317B7663A3E}"/>
    <cellStyle name="Normal 2 2 3 3 4 3 3" xfId="33749" xr:uid="{EBC55A67-EFA8-43C0-97F8-0C5F5A7E50F9}"/>
    <cellStyle name="Normal 2 2 3 3 4 4" xfId="14570" xr:uid="{2255E44A-1EBD-46FB-96E9-B01B93998B02}"/>
    <cellStyle name="Normal 2 2 3 3 4 4 2" xfId="40062" xr:uid="{9A1DD3B4-2E59-426F-A1C2-C191FEC7C9A2}"/>
    <cellStyle name="Normal 2 2 3 3 4 5" xfId="27471" xr:uid="{07802BC0-8F51-4C12-86B8-CCC2BF162DB7}"/>
    <cellStyle name="Normal 2 2 3 3 5" xfId="1336" xr:uid="{FE1EEE6E-E762-429A-847D-17A2BEF649DB}"/>
    <cellStyle name="Normal 2 2 3 3 5 2" xfId="4490" xr:uid="{A66F367A-9243-416F-A941-01807DFBF0BC}"/>
    <cellStyle name="Normal 2 2 3 3 5 2 2" xfId="10783" xr:uid="{46BD7526-17F7-4CA0-929A-550E57BB3DB1}"/>
    <cellStyle name="Normal 2 2 3 3 5 2 2 2" xfId="23465" xr:uid="{5B64C68D-8229-485A-91FA-8212592C9C18}"/>
    <cellStyle name="Normal 2 2 3 3 5 2 2 2 2" xfId="48957" xr:uid="{18E45F07-6643-427C-B0EF-C5FACA642674}"/>
    <cellStyle name="Normal 2 2 3 3 5 2 2 3" xfId="36366" xr:uid="{7F28E888-830F-4E80-8ABE-71E2D66918B4}"/>
    <cellStyle name="Normal 2 2 3 3 5 2 3" xfId="17187" xr:uid="{1FC0F1DE-20A0-45E1-87A2-10132E42DECC}"/>
    <cellStyle name="Normal 2 2 3 3 5 2 3 2" xfId="42679" xr:uid="{F43DD362-89EE-48CD-A356-8EAC0AF82362}"/>
    <cellStyle name="Normal 2 2 3 3 5 2 4" xfId="30088" xr:uid="{2FE61ABE-63E5-4214-8668-BABCD69E1FD1}"/>
    <cellStyle name="Normal 2 2 3 3 5 3" xfId="7644" xr:uid="{AD67403F-0B59-4E6C-B2D3-C1BDA23ECE05}"/>
    <cellStyle name="Normal 2 2 3 3 5 3 2" xfId="20326" xr:uid="{80779D0C-E368-464B-92B3-00A06B5EB0F2}"/>
    <cellStyle name="Normal 2 2 3 3 5 3 2 2" xfId="45818" xr:uid="{A188D76B-5E7B-4718-B760-1854877AE0C8}"/>
    <cellStyle name="Normal 2 2 3 3 5 3 3" xfId="33227" xr:uid="{73740FAC-BCCE-4FB3-A077-4E7092836D96}"/>
    <cellStyle name="Normal 2 2 3 3 5 4" xfId="14048" xr:uid="{D61776C4-64ED-4C64-905B-FD254854518F}"/>
    <cellStyle name="Normal 2 2 3 3 5 4 2" xfId="39540" xr:uid="{69912A7C-F55E-4F21-9CA5-45B51E150883}"/>
    <cellStyle name="Normal 2 2 3 3 5 5" xfId="26949" xr:uid="{3E13F5FF-AAE3-43F8-A1F6-E7A1987F8BB8}"/>
    <cellStyle name="Normal 2 2 3 3 6" xfId="2643" xr:uid="{E72FCE61-6CAB-4677-805E-EEF68F84EB6E}"/>
    <cellStyle name="Normal 2 2 3 3 6 2" xfId="5797" xr:uid="{1C76886F-B141-42E3-8412-9B895EEFAD76}"/>
    <cellStyle name="Normal 2 2 3 3 6 2 2" xfId="12090" xr:uid="{5FC93826-0883-4E0C-9C9C-D471E88CCA6E}"/>
    <cellStyle name="Normal 2 2 3 3 6 2 2 2" xfId="24772" xr:uid="{B6979C3B-9F1B-4883-8835-C0AC502895B0}"/>
    <cellStyle name="Normal 2 2 3 3 6 2 2 2 2" xfId="50264" xr:uid="{CD3309A9-8B8F-4D34-93C4-21483A924623}"/>
    <cellStyle name="Normal 2 2 3 3 6 2 2 3" xfId="37673" xr:uid="{085BE605-4719-428C-9F15-43B13FC55492}"/>
    <cellStyle name="Normal 2 2 3 3 6 2 3" xfId="18494" xr:uid="{5E68FE26-8AC6-48E7-93A5-F7E385171CE6}"/>
    <cellStyle name="Normal 2 2 3 3 6 2 3 2" xfId="43986" xr:uid="{0DE6E6CE-D235-4337-8798-3C04581728E7}"/>
    <cellStyle name="Normal 2 2 3 3 6 2 4" xfId="31395" xr:uid="{E8C6E340-16AF-4327-B34E-917D3BFAB147}"/>
    <cellStyle name="Normal 2 2 3 3 6 3" xfId="8951" xr:uid="{7DC23CD9-484B-4ABD-B8BC-44C52F258AC7}"/>
    <cellStyle name="Normal 2 2 3 3 6 3 2" xfId="21633" xr:uid="{6CE7943A-E253-456A-86B8-724606D17D71}"/>
    <cellStyle name="Normal 2 2 3 3 6 3 2 2" xfId="47125" xr:uid="{5060B5FA-9482-423B-A7D9-E7B0F5605FBE}"/>
    <cellStyle name="Normal 2 2 3 3 6 3 3" xfId="34534" xr:uid="{2B7111A6-F810-4F80-AD2D-523699CBD917}"/>
    <cellStyle name="Normal 2 2 3 3 6 4" xfId="15355" xr:uid="{293DC332-54AB-4CE4-AB61-1A1D6ED720AB}"/>
    <cellStyle name="Normal 2 2 3 3 6 4 2" xfId="40847" xr:uid="{6953A46D-7D20-4D85-BB31-1F0FF140F22B}"/>
    <cellStyle name="Normal 2 2 3 3 6 5" xfId="28256" xr:uid="{F1F670CD-C21C-489B-8A2E-8D00535AC0B2}"/>
    <cellStyle name="Normal 2 2 3 3 7" xfId="3166" xr:uid="{998A1144-1FCC-40B2-85FC-3BE438441F3A}"/>
    <cellStyle name="Normal 2 2 3 3 7 2" xfId="6320" xr:uid="{8208734E-BBB7-4A34-AD0D-4FE8CB7674F7}"/>
    <cellStyle name="Normal 2 2 3 3 7 2 2" xfId="12613" xr:uid="{0BA8653E-D8D0-4E4E-ABBA-AEF560428C72}"/>
    <cellStyle name="Normal 2 2 3 3 7 2 2 2" xfId="25295" xr:uid="{920F415F-1186-49D8-B90E-310144D42DE0}"/>
    <cellStyle name="Normal 2 2 3 3 7 2 2 2 2" xfId="50787" xr:uid="{DC22712C-437B-42BB-B99B-3E086BFC9AF5}"/>
    <cellStyle name="Normal 2 2 3 3 7 2 2 3" xfId="38196" xr:uid="{A9E3C6E5-F0BF-47D2-97E6-AFBFADEB8BC1}"/>
    <cellStyle name="Normal 2 2 3 3 7 2 3" xfId="19017" xr:uid="{CE9CC49B-348F-425E-9BF8-8A7809F5068C}"/>
    <cellStyle name="Normal 2 2 3 3 7 2 3 2" xfId="44509" xr:uid="{B1C095F7-E2CA-4DAF-915D-A329BB4E0EC4}"/>
    <cellStyle name="Normal 2 2 3 3 7 2 4" xfId="31918" xr:uid="{3A01C470-8E75-42FE-9CFA-52E6A6C53BBB}"/>
    <cellStyle name="Normal 2 2 3 3 7 3" xfId="9474" xr:uid="{30764EF1-BEFA-4184-BE09-ED88CC5AFC7E}"/>
    <cellStyle name="Normal 2 2 3 3 7 3 2" xfId="22156" xr:uid="{A70DBF6F-37EA-4E15-8CC8-C06358F4B172}"/>
    <cellStyle name="Normal 2 2 3 3 7 3 2 2" xfId="47648" xr:uid="{F248486F-BD97-4262-AF9A-6D2D3B6C0684}"/>
    <cellStyle name="Normal 2 2 3 3 7 3 3" xfId="35057" xr:uid="{D63141DE-1E97-46CD-8258-6C9FD763F91D}"/>
    <cellStyle name="Normal 2 2 3 3 7 4" xfId="15878" xr:uid="{90E3D803-6F34-4284-9B9C-2C1D70EC8FF2}"/>
    <cellStyle name="Normal 2 2 3 3 7 4 2" xfId="41370" xr:uid="{B12BC2D3-7DBC-4F35-B902-038DDBFF69AD}"/>
    <cellStyle name="Normal 2 2 3 3 7 5" xfId="28779" xr:uid="{FAD3CD5D-C2DD-4B76-9377-82939A21DDBC}"/>
    <cellStyle name="Normal 2 2 3 3 8" xfId="3705" xr:uid="{0673D6F2-7A57-46D7-A009-49832418633C}"/>
    <cellStyle name="Normal 2 2 3 3 8 2" xfId="9998" xr:uid="{D5C8E1B2-BD2A-4277-8345-9A1D99E58637}"/>
    <cellStyle name="Normal 2 2 3 3 8 2 2" xfId="22680" xr:uid="{A233043F-89CC-4F1F-9471-C711C01F0A8F}"/>
    <cellStyle name="Normal 2 2 3 3 8 2 2 2" xfId="48172" xr:uid="{79D5D7C5-343C-4759-BEA3-71B0B655C806}"/>
    <cellStyle name="Normal 2 2 3 3 8 2 3" xfId="35581" xr:uid="{36472F2B-7F26-43B5-83B3-0AF4D74FE704}"/>
    <cellStyle name="Normal 2 2 3 3 8 3" xfId="16402" xr:uid="{3F7C167D-360A-411E-8D69-F74C5F0223D9}"/>
    <cellStyle name="Normal 2 2 3 3 8 3 2" xfId="41894" xr:uid="{5DB63E7F-B98D-4B78-81FF-4B4BDE6543FE}"/>
    <cellStyle name="Normal 2 2 3 3 8 4" xfId="29303" xr:uid="{A01DA65B-8C6F-435E-A376-D0BC380D84B4}"/>
    <cellStyle name="Normal 2 2 3 3 9" xfId="6859" xr:uid="{D130E595-FBCE-442A-91DB-EB6C062931FB}"/>
    <cellStyle name="Normal 2 2 3 3 9 2" xfId="19541" xr:uid="{C434B6C3-5B4C-48A7-8A37-C7CD80417C54}"/>
    <cellStyle name="Normal 2 2 3 3 9 2 2" xfId="45033" xr:uid="{64BC79CA-1223-496D-B7F3-C40E99A86EE3}"/>
    <cellStyle name="Normal 2 2 3 3 9 3" xfId="32442" xr:uid="{CAB1DFBE-FD3B-4038-BE45-40C77CFD04F6}"/>
    <cellStyle name="Normal 2 2 3 4" xfId="1014" xr:uid="{EFE94319-6F57-411C-A315-9F8493E319A3}"/>
    <cellStyle name="Normal 2 2 3 4 2" xfId="2321" xr:uid="{EB0EA724-9CC7-48B5-A2FD-18AE41270B5A}"/>
    <cellStyle name="Normal 2 2 3 4 2 2" xfId="5475" xr:uid="{6F3E1488-86DC-47A9-82BA-9A4F1350619E}"/>
    <cellStyle name="Normal 2 2 3 4 2 2 2" xfId="11768" xr:uid="{A630875F-658D-4D81-AF0A-830B7B6E4E07}"/>
    <cellStyle name="Normal 2 2 3 4 2 2 2 2" xfId="24450" xr:uid="{2CD911CC-8A16-409A-9C79-31F25404C5CF}"/>
    <cellStyle name="Normal 2 2 3 4 2 2 2 2 2" xfId="49942" xr:uid="{5055453E-A654-4735-B107-71C399326AF1}"/>
    <cellStyle name="Normal 2 2 3 4 2 2 2 3" xfId="37351" xr:uid="{24A16504-AFB0-4507-B306-AB7ECCEE620F}"/>
    <cellStyle name="Normal 2 2 3 4 2 2 3" xfId="18172" xr:uid="{48B45C3C-D6A4-4A90-A974-A418A10FDBE4}"/>
    <cellStyle name="Normal 2 2 3 4 2 2 3 2" xfId="43664" xr:uid="{09931F14-B371-4AD5-BDE1-E963D95D7D8F}"/>
    <cellStyle name="Normal 2 2 3 4 2 2 4" xfId="31073" xr:uid="{6019F633-13EA-4F2F-A0AB-003BF2521B5F}"/>
    <cellStyle name="Normal 2 2 3 4 2 3" xfId="8629" xr:uid="{136EF693-76C5-4247-AA01-C43A0B5ACF60}"/>
    <cellStyle name="Normal 2 2 3 4 2 3 2" xfId="21311" xr:uid="{BBAB5574-86EE-464C-84BE-C0F172C89514}"/>
    <cellStyle name="Normal 2 2 3 4 2 3 2 2" xfId="46803" xr:uid="{82152A42-61F0-4695-8D06-75060580F37B}"/>
    <cellStyle name="Normal 2 2 3 4 2 3 3" xfId="34212" xr:uid="{FAF66188-A437-498E-B896-8E57925A5D98}"/>
    <cellStyle name="Normal 2 2 3 4 2 4" xfId="15033" xr:uid="{B62CBD90-CB10-49E9-BDF3-6DBF5FB162AF}"/>
    <cellStyle name="Normal 2 2 3 4 2 4 2" xfId="40525" xr:uid="{23D1BA14-7801-4CA2-9FF4-84F8459C3DE2}"/>
    <cellStyle name="Normal 2 2 3 4 2 5" xfId="27934" xr:uid="{B9436A70-3B82-4693-BB26-1012F405D71B}"/>
    <cellStyle name="Normal 2 2 3 4 3" xfId="1538" xr:uid="{AEFA5696-E8CA-4DF3-95B9-31DB6DC23C1A}"/>
    <cellStyle name="Normal 2 2 3 4 3 2" xfId="4692" xr:uid="{B84EC876-EF09-4221-9CA1-42BEF10F4181}"/>
    <cellStyle name="Normal 2 2 3 4 3 2 2" xfId="10985" xr:uid="{E6496AF5-3484-4DF7-BA15-603518E696A6}"/>
    <cellStyle name="Normal 2 2 3 4 3 2 2 2" xfId="23667" xr:uid="{55DC203B-C886-4CD8-979E-346B5F6A178A}"/>
    <cellStyle name="Normal 2 2 3 4 3 2 2 2 2" xfId="49159" xr:uid="{B2AE7F78-CC2D-4C62-B57B-9E5DCEE8127D}"/>
    <cellStyle name="Normal 2 2 3 4 3 2 2 3" xfId="36568" xr:uid="{5F3CC54F-BB88-4E1F-819F-0F61D2471370}"/>
    <cellStyle name="Normal 2 2 3 4 3 2 3" xfId="17389" xr:uid="{3F68857E-AACE-4D00-9EBE-235D63E2B742}"/>
    <cellStyle name="Normal 2 2 3 4 3 2 3 2" xfId="42881" xr:uid="{2911E34E-9278-45B4-9E90-A1955E5B9805}"/>
    <cellStyle name="Normal 2 2 3 4 3 2 4" xfId="30290" xr:uid="{33EF10B1-8AA3-44B5-8614-CDDDF642B65F}"/>
    <cellStyle name="Normal 2 2 3 4 3 3" xfId="7846" xr:uid="{F81DA212-A5F7-4F3C-BEB5-367574AC3010}"/>
    <cellStyle name="Normal 2 2 3 4 3 3 2" xfId="20528" xr:uid="{12DEDDD9-2BE5-4C7A-8BBC-9951DE725679}"/>
    <cellStyle name="Normal 2 2 3 4 3 3 2 2" xfId="46020" xr:uid="{0CC3FCC1-47C1-40BC-86C9-2CB5EFA00AFF}"/>
    <cellStyle name="Normal 2 2 3 4 3 3 3" xfId="33429" xr:uid="{5431CB54-BA39-44C4-B966-1B8F7026716E}"/>
    <cellStyle name="Normal 2 2 3 4 3 4" xfId="14250" xr:uid="{08D8BE8E-2AE0-4711-AA3B-105AA0EE1433}"/>
    <cellStyle name="Normal 2 2 3 4 3 4 2" xfId="39742" xr:uid="{5D2EE1A4-47F0-4D96-8875-A502A70EA6B6}"/>
    <cellStyle name="Normal 2 2 3 4 3 5" xfId="27151" xr:uid="{A2D55AEA-02D8-4215-B1AB-697EFD2E459F}"/>
    <cellStyle name="Normal 2 2 3 4 4" xfId="2845" xr:uid="{282D78AC-0540-4226-ADCB-52904BDE8414}"/>
    <cellStyle name="Normal 2 2 3 4 4 2" xfId="5999" xr:uid="{6B13809D-91D5-49C4-8824-56A606A71415}"/>
    <cellStyle name="Normal 2 2 3 4 4 2 2" xfId="12292" xr:uid="{2629FA5F-40B5-4596-A229-EA6B0BE9DDDB}"/>
    <cellStyle name="Normal 2 2 3 4 4 2 2 2" xfId="24974" xr:uid="{20CE91C5-F8E1-4A7E-ADE1-E01BA1364625}"/>
    <cellStyle name="Normal 2 2 3 4 4 2 2 2 2" xfId="50466" xr:uid="{B058162F-41AE-443D-8319-08D62832B783}"/>
    <cellStyle name="Normal 2 2 3 4 4 2 2 3" xfId="37875" xr:uid="{8D9148F5-0539-4E86-A355-7FCD43AB4C23}"/>
    <cellStyle name="Normal 2 2 3 4 4 2 3" xfId="18696" xr:uid="{2B57AE2A-7146-43E8-8775-1EF35A3F925F}"/>
    <cellStyle name="Normal 2 2 3 4 4 2 3 2" xfId="44188" xr:uid="{7B45E3A7-398B-485E-826B-678CF02045AB}"/>
    <cellStyle name="Normal 2 2 3 4 4 2 4" xfId="31597" xr:uid="{2E542BCE-32C8-4DB5-845B-7EBBEEF99BB3}"/>
    <cellStyle name="Normal 2 2 3 4 4 3" xfId="9153" xr:uid="{8EF7595A-4A0F-4448-A39B-88DD1D76C052}"/>
    <cellStyle name="Normal 2 2 3 4 4 3 2" xfId="21835" xr:uid="{7E44BBBD-C705-4D80-A2A1-3380184C1C58}"/>
    <cellStyle name="Normal 2 2 3 4 4 3 2 2" xfId="47327" xr:uid="{8B4EE075-BBC1-4940-B513-43071C5C4C92}"/>
    <cellStyle name="Normal 2 2 3 4 4 3 3" xfId="34736" xr:uid="{97AFE761-D169-42A9-BA3A-A928FCED1943}"/>
    <cellStyle name="Normal 2 2 3 4 4 4" xfId="15557" xr:uid="{206A253C-2726-4005-A2B7-0530802C8108}"/>
    <cellStyle name="Normal 2 2 3 4 4 4 2" xfId="41049" xr:uid="{4398DC82-6CD5-480E-83F4-767C79C7C399}"/>
    <cellStyle name="Normal 2 2 3 4 4 5" xfId="28458" xr:uid="{D292EF49-31EA-4663-BAB4-7F599261E760}"/>
    <cellStyle name="Normal 2 2 3 4 5" xfId="3368" xr:uid="{D13DB5E7-51F5-4528-B543-ABFD49855399}"/>
    <cellStyle name="Normal 2 2 3 4 5 2" xfId="6522" xr:uid="{4BEF343D-2A11-476C-9CD3-38277BA0FC0C}"/>
    <cellStyle name="Normal 2 2 3 4 5 2 2" xfId="12815" xr:uid="{5B49956D-2F2C-420C-B407-801524CDB8FF}"/>
    <cellStyle name="Normal 2 2 3 4 5 2 2 2" xfId="25497" xr:uid="{6ABEE231-F657-46B1-B314-D7B52EAC2FE7}"/>
    <cellStyle name="Normal 2 2 3 4 5 2 2 2 2" xfId="50989" xr:uid="{793139BE-DCD7-4E9F-93A2-920AE7001397}"/>
    <cellStyle name="Normal 2 2 3 4 5 2 2 3" xfId="38398" xr:uid="{027DDACC-C40F-492A-BE8D-716BCF8589EF}"/>
    <cellStyle name="Normal 2 2 3 4 5 2 3" xfId="19219" xr:uid="{9725267F-96A3-4EB7-9989-5076625E84BD}"/>
    <cellStyle name="Normal 2 2 3 4 5 2 3 2" xfId="44711" xr:uid="{7778F7E3-995A-4A0F-84DB-F7A98AF34A80}"/>
    <cellStyle name="Normal 2 2 3 4 5 2 4" xfId="32120" xr:uid="{B2603B49-7AB0-4999-9EAB-F2D79C335FD3}"/>
    <cellStyle name="Normal 2 2 3 4 5 3" xfId="9676" xr:uid="{035021BE-2E89-4F60-98FC-4DADEFA4EE54}"/>
    <cellStyle name="Normal 2 2 3 4 5 3 2" xfId="22358" xr:uid="{95023B1C-AC50-4A1C-B330-B900DA21A026}"/>
    <cellStyle name="Normal 2 2 3 4 5 3 2 2" xfId="47850" xr:uid="{2D349009-4D97-449C-90B5-003DFDD873B5}"/>
    <cellStyle name="Normal 2 2 3 4 5 3 3" xfId="35259" xr:uid="{F847D629-1DE9-493E-8353-E0B20A9E3045}"/>
    <cellStyle name="Normal 2 2 3 4 5 4" xfId="16080" xr:uid="{983D63EA-FAD2-47B5-B286-510B836046A7}"/>
    <cellStyle name="Normal 2 2 3 4 5 4 2" xfId="41572" xr:uid="{DA9429D7-E7DD-4CE2-ACDF-ED98A0151E23}"/>
    <cellStyle name="Normal 2 2 3 4 5 5" xfId="28981" xr:uid="{9B98430A-BF66-4389-BD15-1533D15B9F3C}"/>
    <cellStyle name="Normal 2 2 3 4 6" xfId="4168" xr:uid="{EB21954A-B8EF-4D07-BD7E-850C6136668C}"/>
    <cellStyle name="Normal 2 2 3 4 6 2" xfId="10461" xr:uid="{D7FBE011-D654-43AB-8F4E-D145C4482C77}"/>
    <cellStyle name="Normal 2 2 3 4 6 2 2" xfId="23143" xr:uid="{1F2A715B-8264-432D-B5A1-C6008750031C}"/>
    <cellStyle name="Normal 2 2 3 4 6 2 2 2" xfId="48635" xr:uid="{2B5796B8-0D9E-4EEF-A4DF-6C011A8B0C80}"/>
    <cellStyle name="Normal 2 2 3 4 6 2 3" xfId="36044" xr:uid="{66DC9188-2FE3-479B-8B50-817F2DDA83FC}"/>
    <cellStyle name="Normal 2 2 3 4 6 3" xfId="16865" xr:uid="{9DD10913-79A9-4B3D-AAC7-FC53A50F4C34}"/>
    <cellStyle name="Normal 2 2 3 4 6 3 2" xfId="42357" xr:uid="{BE0C70CF-FF4C-44D2-8A6D-30C5F1E62BCB}"/>
    <cellStyle name="Normal 2 2 3 4 6 4" xfId="29766" xr:uid="{54AD86D3-560C-4B15-9490-5C34A3DA1E64}"/>
    <cellStyle name="Normal 2 2 3 4 7" xfId="7322" xr:uid="{B290B0DA-E100-45D5-8861-E6832920750C}"/>
    <cellStyle name="Normal 2 2 3 4 7 2" xfId="20004" xr:uid="{07259B51-2C3B-46F7-967E-D3A394D99276}"/>
    <cellStyle name="Normal 2 2 3 4 7 2 2" xfId="45496" xr:uid="{BE5D8382-8250-414C-8A67-35B818E35922}"/>
    <cellStyle name="Normal 2 2 3 4 7 3" xfId="32905" xr:uid="{949F6B2D-E3B7-4CD2-9467-6A0892261B44}"/>
    <cellStyle name="Normal 2 2 3 4 8" xfId="13726" xr:uid="{47012CF3-DCB1-40FF-89CD-3D15861BF8D5}"/>
    <cellStyle name="Normal 2 2 3 4 8 2" xfId="39218" xr:uid="{74F0204F-1F2A-41DD-BCA4-7DE8271DE2A3}"/>
    <cellStyle name="Normal 2 2 3 4 9" xfId="26627" xr:uid="{EE2E371E-9F3A-4CE0-B687-9E3AC1DC34F6}"/>
    <cellStyle name="Normal 2 2 3 5" xfId="754" xr:uid="{EDCE0A34-F266-4C51-9066-DFCEAF5C72F3}"/>
    <cellStyle name="Normal 2 2 3 5 2" xfId="2061" xr:uid="{2D110F07-E866-40BD-9C8C-AFF9B3782FAA}"/>
    <cellStyle name="Normal 2 2 3 5 2 2" xfId="5215" xr:uid="{5C05C989-74CD-4D27-8886-F37D068BF5B8}"/>
    <cellStyle name="Normal 2 2 3 5 2 2 2" xfId="11508" xr:uid="{B4EC131B-3748-47FB-92D3-662D318F50A2}"/>
    <cellStyle name="Normal 2 2 3 5 2 2 2 2" xfId="24190" xr:uid="{A723102A-9809-49AA-801D-36685B18704E}"/>
    <cellStyle name="Normal 2 2 3 5 2 2 2 2 2" xfId="49682" xr:uid="{C0C7FAA7-FD77-4EBA-BB9B-BD3831E51EDA}"/>
    <cellStyle name="Normal 2 2 3 5 2 2 2 3" xfId="37091" xr:uid="{085ED940-7E2C-4A09-BBD4-E4555AF80AC6}"/>
    <cellStyle name="Normal 2 2 3 5 2 2 3" xfId="17912" xr:uid="{736160E0-5E6B-438F-9F17-984E826E10E9}"/>
    <cellStyle name="Normal 2 2 3 5 2 2 3 2" xfId="43404" xr:uid="{5CCA48BF-740A-4A67-B7C5-E49C051CC2B1}"/>
    <cellStyle name="Normal 2 2 3 5 2 2 4" xfId="30813" xr:uid="{DFFCD3EF-3DF8-4950-AC66-4966B14E834B}"/>
    <cellStyle name="Normal 2 2 3 5 2 3" xfId="8369" xr:uid="{3842247A-5C05-4918-88A9-F18B923708DC}"/>
    <cellStyle name="Normal 2 2 3 5 2 3 2" xfId="21051" xr:uid="{34731FBB-BF32-49EA-A667-1981E9778664}"/>
    <cellStyle name="Normal 2 2 3 5 2 3 2 2" xfId="46543" xr:uid="{39E4ADDA-36BD-4D7E-A411-54C073D9DBA3}"/>
    <cellStyle name="Normal 2 2 3 5 2 3 3" xfId="33952" xr:uid="{3C2BE47D-258C-4F17-B5E1-AA5747837584}"/>
    <cellStyle name="Normal 2 2 3 5 2 4" xfId="14773" xr:uid="{76E667A1-9D81-40D8-ABC4-A5B1FBB905A2}"/>
    <cellStyle name="Normal 2 2 3 5 2 4 2" xfId="40265" xr:uid="{1ECC8A68-B155-4181-832E-6D9AD09A1D3B}"/>
    <cellStyle name="Normal 2 2 3 5 2 5" xfId="27674" xr:uid="{A22BED35-A262-46B4-A7EB-D22437C13E11}"/>
    <cellStyle name="Normal 2 2 3 5 3" xfId="3908" xr:uid="{B01E07CB-4F51-46E0-B3F4-7F2B21F75C7A}"/>
    <cellStyle name="Normal 2 2 3 5 3 2" xfId="10201" xr:uid="{C1422788-28D5-49A8-928C-375780121C7C}"/>
    <cellStyle name="Normal 2 2 3 5 3 2 2" xfId="22883" xr:uid="{0E59E1D0-077C-427B-BAE7-A417403FFC49}"/>
    <cellStyle name="Normal 2 2 3 5 3 2 2 2" xfId="48375" xr:uid="{75F387EB-761E-43FA-AB8A-2218F5BDFDF1}"/>
    <cellStyle name="Normal 2 2 3 5 3 2 3" xfId="35784" xr:uid="{5CE1B2E9-DDDE-43ED-B48F-DF77A56390E3}"/>
    <cellStyle name="Normal 2 2 3 5 3 3" xfId="16605" xr:uid="{A81975C0-FCA9-4A4A-AB34-D395A5A3D9CB}"/>
    <cellStyle name="Normal 2 2 3 5 3 3 2" xfId="42097" xr:uid="{D9C72F59-439E-4063-94C4-021639612F58}"/>
    <cellStyle name="Normal 2 2 3 5 3 4" xfId="29506" xr:uid="{667E1A32-E8E9-4DCF-A51A-385473A077AB}"/>
    <cellStyle name="Normal 2 2 3 5 4" xfId="7062" xr:uid="{5535BFD1-EC89-44E2-925F-1D5AC70FC796}"/>
    <cellStyle name="Normal 2 2 3 5 4 2" xfId="19744" xr:uid="{FA79D82B-FF1B-43B6-98FF-D0537A7C4706}"/>
    <cellStyle name="Normal 2 2 3 5 4 2 2" xfId="45236" xr:uid="{21E3076F-8C0C-4545-BC5D-C38244F4B229}"/>
    <cellStyle name="Normal 2 2 3 5 4 3" xfId="32645" xr:uid="{EBF0E4AC-D50A-45F3-9CC5-471AAC2B433C}"/>
    <cellStyle name="Normal 2 2 3 5 5" xfId="13466" xr:uid="{CB130EFA-52C4-4934-99C5-837C58678E4B}"/>
    <cellStyle name="Normal 2 2 3 5 5 2" xfId="38958" xr:uid="{ADA3360F-B41C-40CC-8BA6-C0AFC804FC4B}"/>
    <cellStyle name="Normal 2 2 3 5 6" xfId="26367" xr:uid="{A213DEF1-7903-469C-A304-0C06FADA6BD6}"/>
    <cellStyle name="Normal 2 2 3 6" xfId="1799" xr:uid="{F3713C45-47FD-4717-A6CF-4414634E7016}"/>
    <cellStyle name="Normal 2 2 3 6 2" xfId="4953" xr:uid="{BB320EDC-8CEF-4D79-BF43-0AA257E1791E}"/>
    <cellStyle name="Normal 2 2 3 6 2 2" xfId="11246" xr:uid="{2FF3EA4F-2E38-474F-BAB2-4E04F84245A6}"/>
    <cellStyle name="Normal 2 2 3 6 2 2 2" xfId="23928" xr:uid="{2720E424-AB15-4BF1-A6A5-2A673D0224B7}"/>
    <cellStyle name="Normal 2 2 3 6 2 2 2 2" xfId="49420" xr:uid="{7B58FEFB-634B-4A12-8DA7-88CE999CFAC9}"/>
    <cellStyle name="Normal 2 2 3 6 2 2 3" xfId="36829" xr:uid="{B079BE78-65C6-4EEE-AADC-1874EF515009}"/>
    <cellStyle name="Normal 2 2 3 6 2 3" xfId="17650" xr:uid="{27CD41E2-624B-4899-9643-88C10E82888E}"/>
    <cellStyle name="Normal 2 2 3 6 2 3 2" xfId="43142" xr:uid="{01FB4A0C-9560-4CF7-A95A-0D7221508001}"/>
    <cellStyle name="Normal 2 2 3 6 2 4" xfId="30551" xr:uid="{AE50B802-217D-460A-B0A0-DEBBB6F17896}"/>
    <cellStyle name="Normal 2 2 3 6 3" xfId="8107" xr:uid="{DC16419E-D567-4A5F-9BD6-CF0D02326295}"/>
    <cellStyle name="Normal 2 2 3 6 3 2" xfId="20789" xr:uid="{0C69AD25-BBD8-4517-A272-4081D3CCD8BC}"/>
    <cellStyle name="Normal 2 2 3 6 3 2 2" xfId="46281" xr:uid="{E1D11FC4-1E46-4B91-9021-54B2C427EF1F}"/>
    <cellStyle name="Normal 2 2 3 6 3 3" xfId="33690" xr:uid="{D27F7FE8-7818-48FA-818A-CD77D49DDB9F}"/>
    <cellStyle name="Normal 2 2 3 6 4" xfId="14511" xr:uid="{C24FDD22-2047-4DE7-837B-A89361D2F946}"/>
    <cellStyle name="Normal 2 2 3 6 4 2" xfId="40003" xr:uid="{313C45EF-D3D7-4998-A38D-845D6C716838}"/>
    <cellStyle name="Normal 2 2 3 6 5" xfId="27412" xr:uid="{3A2150AF-B490-401C-9655-6B8999A44F46}"/>
    <cellStyle name="Normal 2 2 3 7" xfId="1277" xr:uid="{D39E6B03-9EB3-4F6C-B7EC-8C45D8660F1C}"/>
    <cellStyle name="Normal 2 2 3 7 2" xfId="4431" xr:uid="{36D4CE23-669F-4F24-89F3-D26CCB90442F}"/>
    <cellStyle name="Normal 2 2 3 7 2 2" xfId="10724" xr:uid="{FC42FD9C-D849-4A4A-9C88-F9EFC66A1A54}"/>
    <cellStyle name="Normal 2 2 3 7 2 2 2" xfId="23406" xr:uid="{B0A13A5E-1407-4425-9EE4-366E6E939DDD}"/>
    <cellStyle name="Normal 2 2 3 7 2 2 2 2" xfId="48898" xr:uid="{FF10B6FD-C6A5-44AD-BA63-7BA171947336}"/>
    <cellStyle name="Normal 2 2 3 7 2 2 3" xfId="36307" xr:uid="{23AD6F65-A324-4C46-BC30-4D5A4008CB7D}"/>
    <cellStyle name="Normal 2 2 3 7 2 3" xfId="17128" xr:uid="{28C8A593-493E-4286-84DE-AAEB54F02D14}"/>
    <cellStyle name="Normal 2 2 3 7 2 3 2" xfId="42620" xr:uid="{CD51EB51-458E-4195-87BE-4107E12DE291}"/>
    <cellStyle name="Normal 2 2 3 7 2 4" xfId="30029" xr:uid="{6B53B50F-BB76-417F-A8AB-67094112FBE0}"/>
    <cellStyle name="Normal 2 2 3 7 3" xfId="7585" xr:uid="{6577D78B-450B-4A94-BBBF-3ADA4DD45F53}"/>
    <cellStyle name="Normal 2 2 3 7 3 2" xfId="20267" xr:uid="{48AB9ABD-F134-46B7-9250-4649C801BC06}"/>
    <cellStyle name="Normal 2 2 3 7 3 2 2" xfId="45759" xr:uid="{23BD1C20-6B3C-4207-9CD8-9CE8D1D35DEA}"/>
    <cellStyle name="Normal 2 2 3 7 3 3" xfId="33168" xr:uid="{BC353747-F5FA-4D64-ACE9-B472213D140E}"/>
    <cellStyle name="Normal 2 2 3 7 4" xfId="13989" xr:uid="{173897EC-7A46-47DE-8CE8-318818D0F45D}"/>
    <cellStyle name="Normal 2 2 3 7 4 2" xfId="39481" xr:uid="{83349319-88EC-4210-85AD-E04702C41496}"/>
    <cellStyle name="Normal 2 2 3 7 5" xfId="26890" xr:uid="{0C342965-42B1-4C37-8A70-B264C6C49E48}"/>
    <cellStyle name="Normal 2 2 3 8" xfId="2584" xr:uid="{A4CCF79A-0485-4D4B-B6AD-AAE291D0AB6C}"/>
    <cellStyle name="Normal 2 2 3 8 2" xfId="5738" xr:uid="{22E09D54-13AD-4C86-B5F5-EFE31EA26503}"/>
    <cellStyle name="Normal 2 2 3 8 2 2" xfId="12031" xr:uid="{7E0675DD-6048-49EE-96DA-0494A972F723}"/>
    <cellStyle name="Normal 2 2 3 8 2 2 2" xfId="24713" xr:uid="{E1B9D518-C992-4AC7-B925-F8692D85A043}"/>
    <cellStyle name="Normal 2 2 3 8 2 2 2 2" xfId="50205" xr:uid="{1BD86758-08C6-4245-836E-C26D23673363}"/>
    <cellStyle name="Normal 2 2 3 8 2 2 3" xfId="37614" xr:uid="{DA73F0F2-9FFD-491A-8B12-F4B1857D3CBC}"/>
    <cellStyle name="Normal 2 2 3 8 2 3" xfId="18435" xr:uid="{C4518B7F-9043-41B7-8390-68D9E8B2F042}"/>
    <cellStyle name="Normal 2 2 3 8 2 3 2" xfId="43927" xr:uid="{1BA86762-5293-4839-90C7-5662B8391502}"/>
    <cellStyle name="Normal 2 2 3 8 2 4" xfId="31336" xr:uid="{48C3C3B9-816B-49DD-8DF8-16186713AAA9}"/>
    <cellStyle name="Normal 2 2 3 8 3" xfId="8892" xr:uid="{AFFDD49E-29F6-4E8C-A87F-D0C2B002E759}"/>
    <cellStyle name="Normal 2 2 3 8 3 2" xfId="21574" xr:uid="{785724CA-7A80-4FF7-9714-E63596BAEBE8}"/>
    <cellStyle name="Normal 2 2 3 8 3 2 2" xfId="47066" xr:uid="{B09000CB-5F11-4B77-831E-D1F98409BEBF}"/>
    <cellStyle name="Normal 2 2 3 8 3 3" xfId="34475" xr:uid="{280EB5AE-24D9-44F7-B2DB-4DDA8E4E8192}"/>
    <cellStyle name="Normal 2 2 3 8 4" xfId="15296" xr:uid="{C92BEDB1-732A-4A85-99A5-BF1B8D02C869}"/>
    <cellStyle name="Normal 2 2 3 8 4 2" xfId="40788" xr:uid="{C8C727A3-4EC9-4200-BE4D-AD25CC44E077}"/>
    <cellStyle name="Normal 2 2 3 8 5" xfId="28197" xr:uid="{49ADE9E0-D0DE-409E-BFA9-D5645285D316}"/>
    <cellStyle name="Normal 2 2 3 9" xfId="3107" xr:uid="{37126B04-5268-4B34-960B-905E6793248A}"/>
    <cellStyle name="Normal 2 2 3 9 2" xfId="6261" xr:uid="{FFE415A4-2EB6-4F64-A9B9-AC1E710FE2D7}"/>
    <cellStyle name="Normal 2 2 3 9 2 2" xfId="12554" xr:uid="{7C55282A-D7A9-48DD-B545-AFEDF840648B}"/>
    <cellStyle name="Normal 2 2 3 9 2 2 2" xfId="25236" xr:uid="{2BB47AFA-9487-4837-BBF7-95CF4CF1DBD3}"/>
    <cellStyle name="Normal 2 2 3 9 2 2 2 2" xfId="50728" xr:uid="{6CA70CEB-FEA5-45B8-965B-A18948AAF415}"/>
    <cellStyle name="Normal 2 2 3 9 2 2 3" xfId="38137" xr:uid="{E523EF96-6123-4E45-BF87-634E8426D6B7}"/>
    <cellStyle name="Normal 2 2 3 9 2 3" xfId="18958" xr:uid="{F7D07431-4FCF-4FBE-832F-E7F5CFBE4374}"/>
    <cellStyle name="Normal 2 2 3 9 2 3 2" xfId="44450" xr:uid="{ADE46C57-5DD1-48F2-AB0B-D3BF0BD78323}"/>
    <cellStyle name="Normal 2 2 3 9 2 4" xfId="31859" xr:uid="{CF02A4D7-992B-4687-807B-474739A131C1}"/>
    <cellStyle name="Normal 2 2 3 9 3" xfId="9415" xr:uid="{E59FC5D0-9B79-4E35-9788-82718589FD37}"/>
    <cellStyle name="Normal 2 2 3 9 3 2" xfId="22097" xr:uid="{FDA5890E-0873-4A5A-A4EC-44367A03F472}"/>
    <cellStyle name="Normal 2 2 3 9 3 2 2" xfId="47589" xr:uid="{8740DCDF-36EB-4235-9162-CEBBE5686011}"/>
    <cellStyle name="Normal 2 2 3 9 3 3" xfId="34998" xr:uid="{0481AA0A-AEB6-4C6C-8693-A160C5B667EE}"/>
    <cellStyle name="Normal 2 2 3 9 4" xfId="15819" xr:uid="{53559F22-3DCA-4BEA-B08A-1D0A04E4E2FF}"/>
    <cellStyle name="Normal 2 2 3 9 4 2" xfId="41311" xr:uid="{CC328931-55D8-4637-A72E-F057931B826C}"/>
    <cellStyle name="Normal 2 2 3 9 5" xfId="28720" xr:uid="{D81B62CC-57AE-4D2C-A0F4-527489EE0073}"/>
    <cellStyle name="Normal 2 2 4" xfId="458" xr:uid="{0BB76B53-9BDE-4435-B5E0-62DB7D8FA862}"/>
    <cellStyle name="Normal 2 2 4 10" xfId="6781" xr:uid="{7843B8A6-EAFA-420C-AB27-80DD0CAE8A33}"/>
    <cellStyle name="Normal 2 2 4 10 2" xfId="19463" xr:uid="{1F32AA9A-6BD5-4BE8-BC2A-1511C64458F2}"/>
    <cellStyle name="Normal 2 2 4 10 2 2" xfId="44955" xr:uid="{AED58DDC-3D54-4F88-BF57-AFF9952795A5}"/>
    <cellStyle name="Normal 2 2 4 10 3" xfId="32364" xr:uid="{08C6072B-5DB3-4157-AF0B-0C86D1CF2863}"/>
    <cellStyle name="Normal 2 2 4 11" xfId="13185" xr:uid="{3E9EBC7C-F8AE-4212-988D-1BBD81996140}"/>
    <cellStyle name="Normal 2 2 4 11 2" xfId="38677" xr:uid="{0E59D908-B70E-410B-B5A9-C2361522CB23}"/>
    <cellStyle name="Normal 2 2 4 12" xfId="26086" xr:uid="{A5B3254D-A583-4E70-80DD-F5F91CFE6927}"/>
    <cellStyle name="Normal 2 2 4 2" xfId="617" xr:uid="{64CFB2D2-1EF0-4EA6-943E-23642B635445}"/>
    <cellStyle name="Normal 2 2 4 2 10" xfId="13344" xr:uid="{499A0EFE-EFA1-44A4-9887-B647C26ED0B5}"/>
    <cellStyle name="Normal 2 2 4 2 10 2" xfId="38836" xr:uid="{16F53CF5-DEF8-410F-A668-11BBC8E8C294}"/>
    <cellStyle name="Normal 2 2 4 2 11" xfId="26245" xr:uid="{4B260AC2-9FC8-44E3-B5D5-E639331BCB2F}"/>
    <cellStyle name="Normal 2 2 4 2 2" xfId="1154" xr:uid="{B4E64187-2427-475D-8BAB-B09BD8185AC9}"/>
    <cellStyle name="Normal 2 2 4 2 2 2" xfId="2461" xr:uid="{4ECF1DC7-1CA0-496C-B797-6B87FE8451DC}"/>
    <cellStyle name="Normal 2 2 4 2 2 2 2" xfId="5615" xr:uid="{2024C05C-C0ED-4597-8172-B14BBB6DEE82}"/>
    <cellStyle name="Normal 2 2 4 2 2 2 2 2" xfId="11908" xr:uid="{8D9D5090-CD0A-4405-A640-EB49CE59C7FB}"/>
    <cellStyle name="Normal 2 2 4 2 2 2 2 2 2" xfId="24590" xr:uid="{596B56F7-F85D-487E-A957-1A2D0F5D5F17}"/>
    <cellStyle name="Normal 2 2 4 2 2 2 2 2 2 2" xfId="50082" xr:uid="{B2EF90D1-BA5C-4298-B8D0-BA548F5BECB5}"/>
    <cellStyle name="Normal 2 2 4 2 2 2 2 2 3" xfId="37491" xr:uid="{3AEB7B95-E4AC-4B89-9ADD-4B00F8F3169E}"/>
    <cellStyle name="Normal 2 2 4 2 2 2 2 3" xfId="18312" xr:uid="{9C8D31F7-FEE4-48E0-B7A0-72217998928E}"/>
    <cellStyle name="Normal 2 2 4 2 2 2 2 3 2" xfId="43804" xr:uid="{71EC3E41-8B17-45A5-BC51-1B2043E9C2DE}"/>
    <cellStyle name="Normal 2 2 4 2 2 2 2 4" xfId="31213" xr:uid="{ACEFF74C-4184-4B24-9EB7-15BCCD467362}"/>
    <cellStyle name="Normal 2 2 4 2 2 2 3" xfId="8769" xr:uid="{4DDC8ADE-ECE1-45B0-A00C-2F2ABE7768C8}"/>
    <cellStyle name="Normal 2 2 4 2 2 2 3 2" xfId="21451" xr:uid="{D017D969-FA62-4AD8-B318-7CE4EC67D1BE}"/>
    <cellStyle name="Normal 2 2 4 2 2 2 3 2 2" xfId="46943" xr:uid="{D8BB2134-0CB8-4A5E-B502-06A02C92BD9B}"/>
    <cellStyle name="Normal 2 2 4 2 2 2 3 3" xfId="34352" xr:uid="{75C165FF-A6F4-4395-9FF7-719FC27E9A66}"/>
    <cellStyle name="Normal 2 2 4 2 2 2 4" xfId="15173" xr:uid="{56A7E385-32E9-4D45-AEDF-00B76F34A897}"/>
    <cellStyle name="Normal 2 2 4 2 2 2 4 2" xfId="40665" xr:uid="{0960C3DA-CA5F-4EF9-A94C-6657F5200A1B}"/>
    <cellStyle name="Normal 2 2 4 2 2 2 5" xfId="28074" xr:uid="{11E9ECCA-F1A6-4FC9-BDCE-4DE69CA9E7FD}"/>
    <cellStyle name="Normal 2 2 4 2 2 3" xfId="1678" xr:uid="{7548D7E7-A795-4219-98D3-ECA4DC9018D0}"/>
    <cellStyle name="Normal 2 2 4 2 2 3 2" xfId="4832" xr:uid="{D3BBA01A-2E58-46BD-8ABB-A768AFBBC8D6}"/>
    <cellStyle name="Normal 2 2 4 2 2 3 2 2" xfId="11125" xr:uid="{11133E23-CCCE-4A4D-B4CE-51618780CBC7}"/>
    <cellStyle name="Normal 2 2 4 2 2 3 2 2 2" xfId="23807" xr:uid="{858B307D-3032-4BAE-B9D4-D59EEEE87CDE}"/>
    <cellStyle name="Normal 2 2 4 2 2 3 2 2 2 2" xfId="49299" xr:uid="{E014B9E5-A9E3-4646-A35A-12BDFDC8E751}"/>
    <cellStyle name="Normal 2 2 4 2 2 3 2 2 3" xfId="36708" xr:uid="{C457B190-96E7-4A35-999F-EC7084C9E092}"/>
    <cellStyle name="Normal 2 2 4 2 2 3 2 3" xfId="17529" xr:uid="{0540B002-BD74-43E8-83FE-7E98F62403EB}"/>
    <cellStyle name="Normal 2 2 4 2 2 3 2 3 2" xfId="43021" xr:uid="{FB5443E3-5C9A-4002-8259-7916706B6CBB}"/>
    <cellStyle name="Normal 2 2 4 2 2 3 2 4" xfId="30430" xr:uid="{30B1F328-FCE0-4D62-91A3-5509E2C0BA24}"/>
    <cellStyle name="Normal 2 2 4 2 2 3 3" xfId="7986" xr:uid="{9DDEED28-3023-4D73-94AD-C1813F2289E7}"/>
    <cellStyle name="Normal 2 2 4 2 2 3 3 2" xfId="20668" xr:uid="{DB7BCF95-7427-41F2-B024-E0AA81C390C8}"/>
    <cellStyle name="Normal 2 2 4 2 2 3 3 2 2" xfId="46160" xr:uid="{DD37A136-CA62-4FBA-A9FC-B2C3F6D79E9B}"/>
    <cellStyle name="Normal 2 2 4 2 2 3 3 3" xfId="33569" xr:uid="{0B53726B-3130-4404-AE8D-BBFEF5E42EC6}"/>
    <cellStyle name="Normal 2 2 4 2 2 3 4" xfId="14390" xr:uid="{28EBA00A-D182-4843-9F1E-0830E0256402}"/>
    <cellStyle name="Normal 2 2 4 2 2 3 4 2" xfId="39882" xr:uid="{0D7F73F9-6066-456A-B162-58B57B05C924}"/>
    <cellStyle name="Normal 2 2 4 2 2 3 5" xfId="27291" xr:uid="{EBDFDCE2-8BB3-4762-80CD-70C2ECB706C9}"/>
    <cellStyle name="Normal 2 2 4 2 2 4" xfId="2985" xr:uid="{D2A0CCCD-FD50-4B7A-A12E-35267D8FC998}"/>
    <cellStyle name="Normal 2 2 4 2 2 4 2" xfId="6139" xr:uid="{43999B69-8EF8-4438-B4AD-AE2DB25F3008}"/>
    <cellStyle name="Normal 2 2 4 2 2 4 2 2" xfId="12432" xr:uid="{DFAD297E-0511-4423-9159-4A8B858D8513}"/>
    <cellStyle name="Normal 2 2 4 2 2 4 2 2 2" xfId="25114" xr:uid="{09005219-EC68-4D11-8BC9-E9195FEA2617}"/>
    <cellStyle name="Normal 2 2 4 2 2 4 2 2 2 2" xfId="50606" xr:uid="{66F28813-07B6-465B-8EB5-F7553AC5D665}"/>
    <cellStyle name="Normal 2 2 4 2 2 4 2 2 3" xfId="38015" xr:uid="{14180A3B-8AF1-4F7F-A12B-6C8F88807A27}"/>
    <cellStyle name="Normal 2 2 4 2 2 4 2 3" xfId="18836" xr:uid="{C53E70F7-D756-4E61-8A11-D71026915211}"/>
    <cellStyle name="Normal 2 2 4 2 2 4 2 3 2" xfId="44328" xr:uid="{FA965364-98A8-40C6-88F5-BDC066F9B3E9}"/>
    <cellStyle name="Normal 2 2 4 2 2 4 2 4" xfId="31737" xr:uid="{A113D6E8-57C5-4206-8D62-0AFFCA952EA8}"/>
    <cellStyle name="Normal 2 2 4 2 2 4 3" xfId="9293" xr:uid="{0A95E56A-804B-44FE-BD29-2C631EF89A71}"/>
    <cellStyle name="Normal 2 2 4 2 2 4 3 2" xfId="21975" xr:uid="{3BACDBF8-5213-4C26-9F38-5F22BAE9DC05}"/>
    <cellStyle name="Normal 2 2 4 2 2 4 3 2 2" xfId="47467" xr:uid="{C5EF9058-4163-4834-8F79-6D555F1B5A2B}"/>
    <cellStyle name="Normal 2 2 4 2 2 4 3 3" xfId="34876" xr:uid="{F5528A7D-C1B1-4C1C-8768-0F58A2928639}"/>
    <cellStyle name="Normal 2 2 4 2 2 4 4" xfId="15697" xr:uid="{F42C694D-1A9B-4C44-BCBD-04186CF4B7E8}"/>
    <cellStyle name="Normal 2 2 4 2 2 4 4 2" xfId="41189" xr:uid="{B411CF25-3F14-4183-A444-10A30F67D904}"/>
    <cellStyle name="Normal 2 2 4 2 2 4 5" xfId="28598" xr:uid="{5783A125-D9D9-4A16-B9BE-2DA683F9F279}"/>
    <cellStyle name="Normal 2 2 4 2 2 5" xfId="3508" xr:uid="{A92E8E7F-4F5F-410B-9452-EB1200D35A68}"/>
    <cellStyle name="Normal 2 2 4 2 2 5 2" xfId="6662" xr:uid="{D8DADCD1-D97C-4364-AB96-B9DE3B7904A7}"/>
    <cellStyle name="Normal 2 2 4 2 2 5 2 2" xfId="12955" xr:uid="{39AD56DB-2867-41C8-9B82-825CFF2C62A7}"/>
    <cellStyle name="Normal 2 2 4 2 2 5 2 2 2" xfId="25637" xr:uid="{4621F00C-D741-43C2-9FE6-73AE434CC7CB}"/>
    <cellStyle name="Normal 2 2 4 2 2 5 2 2 2 2" xfId="51129" xr:uid="{DF46B202-4490-4194-81BF-812614D61251}"/>
    <cellStyle name="Normal 2 2 4 2 2 5 2 2 3" xfId="38538" xr:uid="{67883A47-73FA-4257-950E-81D8159FDB81}"/>
    <cellStyle name="Normal 2 2 4 2 2 5 2 3" xfId="19359" xr:uid="{02AE80C2-464F-47A4-A1E9-B30588DB34D7}"/>
    <cellStyle name="Normal 2 2 4 2 2 5 2 3 2" xfId="44851" xr:uid="{D068F767-1C71-4FFF-800B-75BCD720E500}"/>
    <cellStyle name="Normal 2 2 4 2 2 5 2 4" xfId="32260" xr:uid="{586D1A28-72C6-40DE-BB3C-99FD851A1264}"/>
    <cellStyle name="Normal 2 2 4 2 2 5 3" xfId="9816" xr:uid="{FA6C5874-12AF-43D6-8113-D10293F1F990}"/>
    <cellStyle name="Normal 2 2 4 2 2 5 3 2" xfId="22498" xr:uid="{869F2282-246E-4CB2-B83A-9AC292A5202C}"/>
    <cellStyle name="Normal 2 2 4 2 2 5 3 2 2" xfId="47990" xr:uid="{97325DC6-69DC-4CBB-83BD-4ACEDDA25025}"/>
    <cellStyle name="Normal 2 2 4 2 2 5 3 3" xfId="35399" xr:uid="{A28DDC31-43C8-4EE4-A0BF-34E92B5B47A5}"/>
    <cellStyle name="Normal 2 2 4 2 2 5 4" xfId="16220" xr:uid="{1D0F97BB-6136-4C56-A867-136A63C5C16A}"/>
    <cellStyle name="Normal 2 2 4 2 2 5 4 2" xfId="41712" xr:uid="{A685E840-4A40-4D8F-B009-0270A04DA58E}"/>
    <cellStyle name="Normal 2 2 4 2 2 5 5" xfId="29121" xr:uid="{B56336A6-65BA-4AB6-A189-3BCE87F7B6BC}"/>
    <cellStyle name="Normal 2 2 4 2 2 6" xfId="4308" xr:uid="{36703E3C-416B-4E1B-A227-793C178B505D}"/>
    <cellStyle name="Normal 2 2 4 2 2 6 2" xfId="10601" xr:uid="{99DB00A0-F6F4-46CE-AB5F-8C105F8AFA07}"/>
    <cellStyle name="Normal 2 2 4 2 2 6 2 2" xfId="23283" xr:uid="{6A606454-39C2-4382-8162-13ABC77FCAA1}"/>
    <cellStyle name="Normal 2 2 4 2 2 6 2 2 2" xfId="48775" xr:uid="{E262B7DD-57B2-4C40-9CC6-7FFCCC35940D}"/>
    <cellStyle name="Normal 2 2 4 2 2 6 2 3" xfId="36184" xr:uid="{FA634AAA-09FB-4882-A322-F7C8127B12E5}"/>
    <cellStyle name="Normal 2 2 4 2 2 6 3" xfId="17005" xr:uid="{A1355135-AC85-48F9-AE54-FCE267D87F00}"/>
    <cellStyle name="Normal 2 2 4 2 2 6 3 2" xfId="42497" xr:uid="{7676597C-CED3-4E5E-8169-89EA04C372D5}"/>
    <cellStyle name="Normal 2 2 4 2 2 6 4" xfId="29906" xr:uid="{E17F2D7E-ACE2-42E3-BB5B-A242003C7178}"/>
    <cellStyle name="Normal 2 2 4 2 2 7" xfId="7462" xr:uid="{832233CA-C8DE-4A87-A423-3483066EB55F}"/>
    <cellStyle name="Normal 2 2 4 2 2 7 2" xfId="20144" xr:uid="{36B2FE0B-FBA6-4057-B940-FBC6A5208DEF}"/>
    <cellStyle name="Normal 2 2 4 2 2 7 2 2" xfId="45636" xr:uid="{02A02CCD-AC89-4E43-B91B-00CF1DE2FEE1}"/>
    <cellStyle name="Normal 2 2 4 2 2 7 3" xfId="33045" xr:uid="{6DCE600D-4A3A-4991-889A-BA10CA3DD0E3}"/>
    <cellStyle name="Normal 2 2 4 2 2 8" xfId="13866" xr:uid="{1411ACF9-CED5-409E-AD93-D5BEAB72C7E2}"/>
    <cellStyle name="Normal 2 2 4 2 2 8 2" xfId="39358" xr:uid="{FAEEB5E0-15DB-46C0-B92E-0101007347D0}"/>
    <cellStyle name="Normal 2 2 4 2 2 9" xfId="26767" xr:uid="{73D14181-DD2A-4042-BC83-326D190ADC57}"/>
    <cellStyle name="Normal 2 2 4 2 3" xfId="894" xr:uid="{E2F0B9EF-49B2-40E3-A8D7-990F7E134A87}"/>
    <cellStyle name="Normal 2 2 4 2 3 2" xfId="2201" xr:uid="{E062E381-C9DA-4E4D-88FF-99FBF7BB8C97}"/>
    <cellStyle name="Normal 2 2 4 2 3 2 2" xfId="5355" xr:uid="{C36E214B-D98E-4C52-BE2A-6C7F1C2E85E7}"/>
    <cellStyle name="Normal 2 2 4 2 3 2 2 2" xfId="11648" xr:uid="{9B2CB461-33EB-4E52-9C86-07D3D97E1FB0}"/>
    <cellStyle name="Normal 2 2 4 2 3 2 2 2 2" xfId="24330" xr:uid="{F1107549-F7B4-4197-A387-7312B5725F26}"/>
    <cellStyle name="Normal 2 2 4 2 3 2 2 2 2 2" xfId="49822" xr:uid="{C06240DD-F836-43C2-904D-42E591978C6B}"/>
    <cellStyle name="Normal 2 2 4 2 3 2 2 2 3" xfId="37231" xr:uid="{AE57779B-BAB3-4526-BF7C-EB45145EBA32}"/>
    <cellStyle name="Normal 2 2 4 2 3 2 2 3" xfId="18052" xr:uid="{A7EFDC7A-DAB1-4EE7-A8B8-A4B06873580C}"/>
    <cellStyle name="Normal 2 2 4 2 3 2 2 3 2" xfId="43544" xr:uid="{60702270-2118-4531-BCC7-171024B99B96}"/>
    <cellStyle name="Normal 2 2 4 2 3 2 2 4" xfId="30953" xr:uid="{8ECB07D9-B5D1-4A33-9794-286F4733961F}"/>
    <cellStyle name="Normal 2 2 4 2 3 2 3" xfId="8509" xr:uid="{EFE382B9-8BDE-42F1-999C-CC307AAC076A}"/>
    <cellStyle name="Normal 2 2 4 2 3 2 3 2" xfId="21191" xr:uid="{85B6BF8D-BB5F-41CE-A3B7-D787954D04D6}"/>
    <cellStyle name="Normal 2 2 4 2 3 2 3 2 2" xfId="46683" xr:uid="{C5FB4308-5BC5-4A2B-95FC-FB774B062F3A}"/>
    <cellStyle name="Normal 2 2 4 2 3 2 3 3" xfId="34092" xr:uid="{79066DA3-7E29-4729-B658-D257AADF9C86}"/>
    <cellStyle name="Normal 2 2 4 2 3 2 4" xfId="14913" xr:uid="{155B0F5B-2B67-4B51-BF93-EBB214C14F27}"/>
    <cellStyle name="Normal 2 2 4 2 3 2 4 2" xfId="40405" xr:uid="{1F1BF3FB-6F0B-41D1-9BD3-74CCF2FDFDFE}"/>
    <cellStyle name="Normal 2 2 4 2 3 2 5" xfId="27814" xr:uid="{08148AAB-DA27-4FAD-803A-B23D4979BD06}"/>
    <cellStyle name="Normal 2 2 4 2 3 3" xfId="4048" xr:uid="{B1E9C7C1-BAF8-4CF0-96C0-C6FA6E882E8E}"/>
    <cellStyle name="Normal 2 2 4 2 3 3 2" xfId="10341" xr:uid="{3F5EED3E-CCB7-4870-A9EE-EE1E7F6F7E03}"/>
    <cellStyle name="Normal 2 2 4 2 3 3 2 2" xfId="23023" xr:uid="{8DF9F671-6DD4-43D1-BC5C-D2D8286ECCC0}"/>
    <cellStyle name="Normal 2 2 4 2 3 3 2 2 2" xfId="48515" xr:uid="{3EB6F8FE-9A27-4C25-AE76-0B1036682A30}"/>
    <cellStyle name="Normal 2 2 4 2 3 3 2 3" xfId="35924" xr:uid="{AF30859A-6B4F-4117-877C-1CBBF938B820}"/>
    <cellStyle name="Normal 2 2 4 2 3 3 3" xfId="16745" xr:uid="{E3437411-5971-40F4-8389-B7C43732702D}"/>
    <cellStyle name="Normal 2 2 4 2 3 3 3 2" xfId="42237" xr:uid="{9F4F81E7-8C5F-4C78-B384-AEB68A1939AF}"/>
    <cellStyle name="Normal 2 2 4 2 3 3 4" xfId="29646" xr:uid="{2CE7E6DA-300D-4C7D-B3E0-485C6EEF5750}"/>
    <cellStyle name="Normal 2 2 4 2 3 4" xfId="7202" xr:uid="{1763F4D9-4160-4C46-AD7D-1555438C1983}"/>
    <cellStyle name="Normal 2 2 4 2 3 4 2" xfId="19884" xr:uid="{D6540F7E-23CF-4395-B216-BBF0F36E0EA0}"/>
    <cellStyle name="Normal 2 2 4 2 3 4 2 2" xfId="45376" xr:uid="{081FFD10-13B6-4090-9FA9-1F140308A36D}"/>
    <cellStyle name="Normal 2 2 4 2 3 4 3" xfId="32785" xr:uid="{DAD7C1CA-3D5F-477A-8388-99633928ED94}"/>
    <cellStyle name="Normal 2 2 4 2 3 5" xfId="13606" xr:uid="{6C9AD311-52B2-4A95-B325-7CD38528FB5B}"/>
    <cellStyle name="Normal 2 2 4 2 3 5 2" xfId="39098" xr:uid="{0ADC872A-F4A7-4E92-AD77-23DFEB590274}"/>
    <cellStyle name="Normal 2 2 4 2 3 6" xfId="26507" xr:uid="{46500CA3-9E01-4F41-BA6A-911C461C0046}"/>
    <cellStyle name="Normal 2 2 4 2 4" xfId="1939" xr:uid="{F8FBD479-6B22-40B6-9209-0DD21DD545DA}"/>
    <cellStyle name="Normal 2 2 4 2 4 2" xfId="5093" xr:uid="{9470D3FB-8B29-43ED-A328-997FD3F9DDCF}"/>
    <cellStyle name="Normal 2 2 4 2 4 2 2" xfId="11386" xr:uid="{5977A3B8-DA61-42B0-BF1E-2038F12E9501}"/>
    <cellStyle name="Normal 2 2 4 2 4 2 2 2" xfId="24068" xr:uid="{646DEAFB-6448-4E61-BEB3-BF3F8C42092E}"/>
    <cellStyle name="Normal 2 2 4 2 4 2 2 2 2" xfId="49560" xr:uid="{AB269781-5E6B-40FD-85F9-F8C76F488800}"/>
    <cellStyle name="Normal 2 2 4 2 4 2 2 3" xfId="36969" xr:uid="{C7D08A4C-918C-4789-AB17-DF9EC7828F34}"/>
    <cellStyle name="Normal 2 2 4 2 4 2 3" xfId="17790" xr:uid="{8EA88656-9148-4591-BF5A-7FF4CF36A562}"/>
    <cellStyle name="Normal 2 2 4 2 4 2 3 2" xfId="43282" xr:uid="{CFED4D82-60F6-442B-B3CB-C85E32B26E38}"/>
    <cellStyle name="Normal 2 2 4 2 4 2 4" xfId="30691" xr:uid="{71279B72-7B51-4C11-A831-DB3AF3DEFFA9}"/>
    <cellStyle name="Normal 2 2 4 2 4 3" xfId="8247" xr:uid="{49BC24C6-3C15-4E2A-9AE6-B831F7A5E072}"/>
    <cellStyle name="Normal 2 2 4 2 4 3 2" xfId="20929" xr:uid="{69AF00F1-D207-49CE-8FE4-CDDDC603DFF6}"/>
    <cellStyle name="Normal 2 2 4 2 4 3 2 2" xfId="46421" xr:uid="{EA5ACA22-79BE-4AD0-AA82-1DEF31F6711C}"/>
    <cellStyle name="Normal 2 2 4 2 4 3 3" xfId="33830" xr:uid="{6E9A2439-9E1C-4FD0-AC9E-45C9B49579C6}"/>
    <cellStyle name="Normal 2 2 4 2 4 4" xfId="14651" xr:uid="{D1C8EED3-2B5D-4720-8CAB-B9EDB42291ED}"/>
    <cellStyle name="Normal 2 2 4 2 4 4 2" xfId="40143" xr:uid="{E61D9F15-D59E-4798-9570-9C163009211B}"/>
    <cellStyle name="Normal 2 2 4 2 4 5" xfId="27552" xr:uid="{0007D0F6-1D34-4205-B163-814627927AAF}"/>
    <cellStyle name="Normal 2 2 4 2 5" xfId="1417" xr:uid="{47C5DC3A-7C99-4AE1-A4CF-964B2F088ECA}"/>
    <cellStyle name="Normal 2 2 4 2 5 2" xfId="4571" xr:uid="{5C0BD16C-3822-4595-9060-7F4378E97970}"/>
    <cellStyle name="Normal 2 2 4 2 5 2 2" xfId="10864" xr:uid="{C70D972C-DF96-4B5F-9DEF-8DB4F0F1139C}"/>
    <cellStyle name="Normal 2 2 4 2 5 2 2 2" xfId="23546" xr:uid="{DA8EDBAD-9CBE-4EC2-BBBA-E043D674580B}"/>
    <cellStyle name="Normal 2 2 4 2 5 2 2 2 2" xfId="49038" xr:uid="{671B3B6B-4577-495C-9BDC-862905D2DE2F}"/>
    <cellStyle name="Normal 2 2 4 2 5 2 2 3" xfId="36447" xr:uid="{5BF525F9-9D9E-49EA-99AE-195B6660B12B}"/>
    <cellStyle name="Normal 2 2 4 2 5 2 3" xfId="17268" xr:uid="{6CEB6FD2-CDAC-4B61-9A86-EFE57D1BF57C}"/>
    <cellStyle name="Normal 2 2 4 2 5 2 3 2" xfId="42760" xr:uid="{B874C681-656E-44FA-9F4D-93F82AB2962A}"/>
    <cellStyle name="Normal 2 2 4 2 5 2 4" xfId="30169" xr:uid="{68CF5DB4-5D21-470E-8F20-1872FBD52C34}"/>
    <cellStyle name="Normal 2 2 4 2 5 3" xfId="7725" xr:uid="{64004715-46BC-4DFA-888F-B8622875A4AE}"/>
    <cellStyle name="Normal 2 2 4 2 5 3 2" xfId="20407" xr:uid="{9F765127-0144-46D9-B2E6-45A0CCD0EF36}"/>
    <cellStyle name="Normal 2 2 4 2 5 3 2 2" xfId="45899" xr:uid="{7CDFB389-81BE-4518-8F99-08983D3729C9}"/>
    <cellStyle name="Normal 2 2 4 2 5 3 3" xfId="33308" xr:uid="{11A7BBFF-6671-4166-A51C-5A50EA819A16}"/>
    <cellStyle name="Normal 2 2 4 2 5 4" xfId="14129" xr:uid="{4B1DB209-6535-4819-9FE6-7C590777CD0F}"/>
    <cellStyle name="Normal 2 2 4 2 5 4 2" xfId="39621" xr:uid="{48F7BA0E-4B42-449C-B1F3-22AA42A736FC}"/>
    <cellStyle name="Normal 2 2 4 2 5 5" xfId="27030" xr:uid="{F7638DF5-1BF9-4A81-AB3E-1990211EE018}"/>
    <cellStyle name="Normal 2 2 4 2 6" xfId="2724" xr:uid="{499D6BE1-DFD7-4A2A-8205-663F881D6907}"/>
    <cellStyle name="Normal 2 2 4 2 6 2" xfId="5878" xr:uid="{5D8F1160-F690-4AF4-83F7-951F09DEF7C4}"/>
    <cellStyle name="Normal 2 2 4 2 6 2 2" xfId="12171" xr:uid="{A1CD28C3-1E28-42E6-9B13-7F257ECF1DDF}"/>
    <cellStyle name="Normal 2 2 4 2 6 2 2 2" xfId="24853" xr:uid="{E441D329-B30B-4470-9D5E-89DE7B17385C}"/>
    <cellStyle name="Normal 2 2 4 2 6 2 2 2 2" xfId="50345" xr:uid="{3ED8BF99-09BD-44D9-8002-EABD6F4C5CA0}"/>
    <cellStyle name="Normal 2 2 4 2 6 2 2 3" xfId="37754" xr:uid="{9912E59A-B510-42B2-917C-5A57C087C3A6}"/>
    <cellStyle name="Normal 2 2 4 2 6 2 3" xfId="18575" xr:uid="{24E5595F-8788-46CC-8AD0-5559249AF97C}"/>
    <cellStyle name="Normal 2 2 4 2 6 2 3 2" xfId="44067" xr:uid="{4ECF617A-77CF-4362-8AE4-CF9405B2C985}"/>
    <cellStyle name="Normal 2 2 4 2 6 2 4" xfId="31476" xr:uid="{67926A3D-F077-41B1-A3EC-14B4579BE955}"/>
    <cellStyle name="Normal 2 2 4 2 6 3" xfId="9032" xr:uid="{1AD9A9DC-51AC-47F8-8A6C-2FBFC63AFE75}"/>
    <cellStyle name="Normal 2 2 4 2 6 3 2" xfId="21714" xr:uid="{40B1DCB6-47F6-496F-815C-E8BBD46867B6}"/>
    <cellStyle name="Normal 2 2 4 2 6 3 2 2" xfId="47206" xr:uid="{30A342D2-87D9-4C10-A64B-B1B9FF5F582C}"/>
    <cellStyle name="Normal 2 2 4 2 6 3 3" xfId="34615" xr:uid="{A6D945B4-26E0-4DC2-991F-0C666B427A60}"/>
    <cellStyle name="Normal 2 2 4 2 6 4" xfId="15436" xr:uid="{5F008723-D7D3-44B4-B758-C8DB9716D2A0}"/>
    <cellStyle name="Normal 2 2 4 2 6 4 2" xfId="40928" xr:uid="{7AEF70FE-063F-4F86-8600-57F2390027B9}"/>
    <cellStyle name="Normal 2 2 4 2 6 5" xfId="28337" xr:uid="{73CF553C-13B6-4055-8D28-4AF3340C5045}"/>
    <cellStyle name="Normal 2 2 4 2 7" xfId="3247" xr:uid="{EF66DDEB-FEA4-4309-BD9F-654A42003E85}"/>
    <cellStyle name="Normal 2 2 4 2 7 2" xfId="6401" xr:uid="{815A8F82-946F-4A7F-94AA-05B8F98EA6CE}"/>
    <cellStyle name="Normal 2 2 4 2 7 2 2" xfId="12694" xr:uid="{C4CAD7E9-F736-4D20-8DAE-D3417640A088}"/>
    <cellStyle name="Normal 2 2 4 2 7 2 2 2" xfId="25376" xr:uid="{65EE2115-A07E-48FC-B759-63FFA0B429BB}"/>
    <cellStyle name="Normal 2 2 4 2 7 2 2 2 2" xfId="50868" xr:uid="{D43304A9-3168-4EB5-9FB3-2D0E70001972}"/>
    <cellStyle name="Normal 2 2 4 2 7 2 2 3" xfId="38277" xr:uid="{3A49E93E-DFAE-4D51-A186-6420C7B7C4D3}"/>
    <cellStyle name="Normal 2 2 4 2 7 2 3" xfId="19098" xr:uid="{2DCD7A38-0EA1-4D41-8EB0-EC050753A9B0}"/>
    <cellStyle name="Normal 2 2 4 2 7 2 3 2" xfId="44590" xr:uid="{15FC42A4-B61B-418D-BE1B-458320D00AA0}"/>
    <cellStyle name="Normal 2 2 4 2 7 2 4" xfId="31999" xr:uid="{9EE20263-21D1-4AC0-8459-DA0B8EDB579D}"/>
    <cellStyle name="Normal 2 2 4 2 7 3" xfId="9555" xr:uid="{063EDE01-9B45-47A2-9D80-FC3F30D3F121}"/>
    <cellStyle name="Normal 2 2 4 2 7 3 2" xfId="22237" xr:uid="{4D63959D-06C0-40EB-A519-FE088EC49318}"/>
    <cellStyle name="Normal 2 2 4 2 7 3 2 2" xfId="47729" xr:uid="{5978C651-89BA-41D7-8C72-6E84983A2A9A}"/>
    <cellStyle name="Normal 2 2 4 2 7 3 3" xfId="35138" xr:uid="{2317DECA-FFF4-414D-8D06-94D34E7E1631}"/>
    <cellStyle name="Normal 2 2 4 2 7 4" xfId="15959" xr:uid="{9EF6DE12-2F5E-42C0-8DF8-4E46534ACE4C}"/>
    <cellStyle name="Normal 2 2 4 2 7 4 2" xfId="41451" xr:uid="{FD5C414B-9920-4BA1-83EE-DFED46E510F5}"/>
    <cellStyle name="Normal 2 2 4 2 7 5" xfId="28860" xr:uid="{68A43B15-FF48-4571-9385-646B36237E2C}"/>
    <cellStyle name="Normal 2 2 4 2 8" xfId="3786" xr:uid="{69551ED2-9D6E-47E2-97E0-722978D21442}"/>
    <cellStyle name="Normal 2 2 4 2 8 2" xfId="10079" xr:uid="{FAAB95AA-8871-4A30-834C-AB4FE0218285}"/>
    <cellStyle name="Normal 2 2 4 2 8 2 2" xfId="22761" xr:uid="{A32C8135-BE8C-4CCC-A5D6-400A5F0A3CF7}"/>
    <cellStyle name="Normal 2 2 4 2 8 2 2 2" xfId="48253" xr:uid="{327ADFCE-8E6C-43A5-809E-562CE72851C3}"/>
    <cellStyle name="Normal 2 2 4 2 8 2 3" xfId="35662" xr:uid="{73D0AE00-F733-43A5-B5EB-5718FD9B5A57}"/>
    <cellStyle name="Normal 2 2 4 2 8 3" xfId="16483" xr:uid="{CE0E3A11-85AE-495C-A6DF-A51550E7C4FC}"/>
    <cellStyle name="Normal 2 2 4 2 8 3 2" xfId="41975" xr:uid="{A330E563-218F-4F5E-9368-5300B4B9067F}"/>
    <cellStyle name="Normal 2 2 4 2 8 4" xfId="29384" xr:uid="{6A71F8EA-6C1B-4E51-A462-07C212D1BCB0}"/>
    <cellStyle name="Normal 2 2 4 2 9" xfId="6940" xr:uid="{F7F1B257-0565-413C-A7D3-D3D448392242}"/>
    <cellStyle name="Normal 2 2 4 2 9 2" xfId="19622" xr:uid="{D3258841-9730-414C-94C5-596A02753E2B}"/>
    <cellStyle name="Normal 2 2 4 2 9 2 2" xfId="45114" xr:uid="{0C82717D-93DD-48BD-A17F-29E43B6BE814}"/>
    <cellStyle name="Normal 2 2 4 2 9 3" xfId="32523" xr:uid="{92B345BC-6469-4373-A2E8-91E4670DDE71}"/>
    <cellStyle name="Normal 2 2 4 3" xfId="995" xr:uid="{9B8CDF3D-E63E-4C19-89D0-AA484082BC53}"/>
    <cellStyle name="Normal 2 2 4 3 2" xfId="2302" xr:uid="{17DE224A-E932-45BA-9A1C-238E262BDBA9}"/>
    <cellStyle name="Normal 2 2 4 3 2 2" xfId="5456" xr:uid="{1005D508-7F7F-4265-9F0D-2B577E9D372E}"/>
    <cellStyle name="Normal 2 2 4 3 2 2 2" xfId="11749" xr:uid="{E568D2DB-0905-4BB4-9279-0999D2FCC027}"/>
    <cellStyle name="Normal 2 2 4 3 2 2 2 2" xfId="24431" xr:uid="{AB7BA933-FED6-422C-A5A6-BFC4D913D9CA}"/>
    <cellStyle name="Normal 2 2 4 3 2 2 2 2 2" xfId="49923" xr:uid="{9E7348EE-6DA5-444B-B198-8405C4D729A1}"/>
    <cellStyle name="Normal 2 2 4 3 2 2 2 3" xfId="37332" xr:uid="{338D7046-71D4-4F2A-8738-BCB1398536AB}"/>
    <cellStyle name="Normal 2 2 4 3 2 2 3" xfId="18153" xr:uid="{81586ECB-F274-434F-BD18-15AA453F0E71}"/>
    <cellStyle name="Normal 2 2 4 3 2 2 3 2" xfId="43645" xr:uid="{16FE0226-243B-41C7-8041-DF0800985DFE}"/>
    <cellStyle name="Normal 2 2 4 3 2 2 4" xfId="31054" xr:uid="{C5288D61-55B2-431C-835D-FB5FAB6FF549}"/>
    <cellStyle name="Normal 2 2 4 3 2 3" xfId="8610" xr:uid="{16C8DB0F-2240-4295-BD86-86A43374E168}"/>
    <cellStyle name="Normal 2 2 4 3 2 3 2" xfId="21292" xr:uid="{FA361904-71FB-4109-81DE-D5D011E0BAB8}"/>
    <cellStyle name="Normal 2 2 4 3 2 3 2 2" xfId="46784" xr:uid="{272FDB7F-D0BB-4DE3-B745-3432575F0D15}"/>
    <cellStyle name="Normal 2 2 4 3 2 3 3" xfId="34193" xr:uid="{B0AD702B-2CB3-46F4-A59E-F83B1FEFAC5D}"/>
    <cellStyle name="Normal 2 2 4 3 2 4" xfId="15014" xr:uid="{734F71B8-2053-4DBE-A2C7-44844400C54E}"/>
    <cellStyle name="Normal 2 2 4 3 2 4 2" xfId="40506" xr:uid="{82927217-B17E-4085-81CD-D5EC1707FD0D}"/>
    <cellStyle name="Normal 2 2 4 3 2 5" xfId="27915" xr:uid="{47AF1B07-9E31-4514-A972-434F6DEAA26C}"/>
    <cellStyle name="Normal 2 2 4 3 3" xfId="1519" xr:uid="{71049F3B-8D66-40E3-962C-2F7A2D67DD75}"/>
    <cellStyle name="Normal 2 2 4 3 3 2" xfId="4673" xr:uid="{DC4E638E-96F3-41FF-9B4D-6FACB8C67CC6}"/>
    <cellStyle name="Normal 2 2 4 3 3 2 2" xfId="10966" xr:uid="{E65AB6FD-A08F-4A3F-9BF6-260BEF06142E}"/>
    <cellStyle name="Normal 2 2 4 3 3 2 2 2" xfId="23648" xr:uid="{DA8662F8-2836-4303-AF24-E0B33F733CE9}"/>
    <cellStyle name="Normal 2 2 4 3 3 2 2 2 2" xfId="49140" xr:uid="{8579A0D2-B923-4CFB-ADB0-21085E055D51}"/>
    <cellStyle name="Normal 2 2 4 3 3 2 2 3" xfId="36549" xr:uid="{C34D82D1-2322-4A36-8A6F-CBDF0DA3D92A}"/>
    <cellStyle name="Normal 2 2 4 3 3 2 3" xfId="17370" xr:uid="{F680552B-A462-4B32-96A2-D42879311DA6}"/>
    <cellStyle name="Normal 2 2 4 3 3 2 3 2" xfId="42862" xr:uid="{4B15253A-BD0E-4A28-92AF-25A2F4E3BA90}"/>
    <cellStyle name="Normal 2 2 4 3 3 2 4" xfId="30271" xr:uid="{D46C0FF0-41BD-4133-89CB-33B7A2513668}"/>
    <cellStyle name="Normal 2 2 4 3 3 3" xfId="7827" xr:uid="{2BFA7D31-2A11-4F21-9B08-A28CABC440A7}"/>
    <cellStyle name="Normal 2 2 4 3 3 3 2" xfId="20509" xr:uid="{81B758F1-0FDD-4871-95E0-5F3780D8722D}"/>
    <cellStyle name="Normal 2 2 4 3 3 3 2 2" xfId="46001" xr:uid="{BC6EC456-5F54-43CE-B65A-C87417FA2FDF}"/>
    <cellStyle name="Normal 2 2 4 3 3 3 3" xfId="33410" xr:uid="{7B021381-E694-4866-9000-9C2A82DD2C2D}"/>
    <cellStyle name="Normal 2 2 4 3 3 4" xfId="14231" xr:uid="{3C15AC2A-2EAB-462D-9E86-B2CD0E0926BE}"/>
    <cellStyle name="Normal 2 2 4 3 3 4 2" xfId="39723" xr:uid="{1E571203-3E9A-4DD9-9118-AFEC191680D0}"/>
    <cellStyle name="Normal 2 2 4 3 3 5" xfId="27132" xr:uid="{635A748C-06AE-4D98-B269-174B4E5617F6}"/>
    <cellStyle name="Normal 2 2 4 3 4" xfId="2826" xr:uid="{94D83CC4-7FE0-485C-94E5-6B2AAB7D5A38}"/>
    <cellStyle name="Normal 2 2 4 3 4 2" xfId="5980" xr:uid="{4C19FB23-D0C8-427B-8BEE-1963383D36EF}"/>
    <cellStyle name="Normal 2 2 4 3 4 2 2" xfId="12273" xr:uid="{B8F671D3-183D-481E-B253-B9DF69235410}"/>
    <cellStyle name="Normal 2 2 4 3 4 2 2 2" xfId="24955" xr:uid="{149D6C61-DBCD-4530-A3B7-B0E37B33A6AD}"/>
    <cellStyle name="Normal 2 2 4 3 4 2 2 2 2" xfId="50447" xr:uid="{AFCB3360-099C-48D9-89A7-3A37D97FE50F}"/>
    <cellStyle name="Normal 2 2 4 3 4 2 2 3" xfId="37856" xr:uid="{DBCA48AD-B48A-4D5D-BC23-BBF15C26DB52}"/>
    <cellStyle name="Normal 2 2 4 3 4 2 3" xfId="18677" xr:uid="{4EC88B27-ABF2-4B39-861C-BDCAE2F82B21}"/>
    <cellStyle name="Normal 2 2 4 3 4 2 3 2" xfId="44169" xr:uid="{AE6D4B21-B46B-49D5-8823-C84914344086}"/>
    <cellStyle name="Normal 2 2 4 3 4 2 4" xfId="31578" xr:uid="{B9135072-FB65-44D3-A766-6EA6F256C600}"/>
    <cellStyle name="Normal 2 2 4 3 4 3" xfId="9134" xr:uid="{3DE8F10F-F3B9-48DB-BC52-6398A7E03954}"/>
    <cellStyle name="Normal 2 2 4 3 4 3 2" xfId="21816" xr:uid="{FDF3B445-86A0-4E95-90AA-8739DD1087CE}"/>
    <cellStyle name="Normal 2 2 4 3 4 3 2 2" xfId="47308" xr:uid="{6F9F308E-278F-44D1-A4F7-F0A0BB16EE90}"/>
    <cellStyle name="Normal 2 2 4 3 4 3 3" xfId="34717" xr:uid="{EAF42CD6-7E6E-4BED-80A5-D4450A9D4F0E}"/>
    <cellStyle name="Normal 2 2 4 3 4 4" xfId="15538" xr:uid="{06072FFA-CAB4-4249-B924-E024ED111ECA}"/>
    <cellStyle name="Normal 2 2 4 3 4 4 2" xfId="41030" xr:uid="{73DA4A77-67E8-49A8-AC8B-B30310A9EB5A}"/>
    <cellStyle name="Normal 2 2 4 3 4 5" xfId="28439" xr:uid="{88CD3BA3-ECB3-47C3-B14F-4A3C9936B49A}"/>
    <cellStyle name="Normal 2 2 4 3 5" xfId="3349" xr:uid="{8A3122F9-3126-4C2A-BC1A-4FA1C4D265C5}"/>
    <cellStyle name="Normal 2 2 4 3 5 2" xfId="6503" xr:uid="{80CD3F82-0F5E-42FC-A6F6-CDE1A80067E5}"/>
    <cellStyle name="Normal 2 2 4 3 5 2 2" xfId="12796" xr:uid="{2FE0F27A-2710-437C-A559-69BF52D23EDA}"/>
    <cellStyle name="Normal 2 2 4 3 5 2 2 2" xfId="25478" xr:uid="{6A3C5E33-BBDE-441B-AB72-B3020B385CB6}"/>
    <cellStyle name="Normal 2 2 4 3 5 2 2 2 2" xfId="50970" xr:uid="{3347A50F-A7E5-41D9-B810-73D6A4795189}"/>
    <cellStyle name="Normal 2 2 4 3 5 2 2 3" xfId="38379" xr:uid="{2F634564-3505-462D-A53D-C1E203801CD8}"/>
    <cellStyle name="Normal 2 2 4 3 5 2 3" xfId="19200" xr:uid="{853EAB8B-8521-4342-8595-30A4A1D0E1FE}"/>
    <cellStyle name="Normal 2 2 4 3 5 2 3 2" xfId="44692" xr:uid="{09EC2745-F826-4333-9045-A08ACB9BF125}"/>
    <cellStyle name="Normal 2 2 4 3 5 2 4" xfId="32101" xr:uid="{82A1572B-8DC9-4918-9D4D-72078DBE42F2}"/>
    <cellStyle name="Normal 2 2 4 3 5 3" xfId="9657" xr:uid="{8727D676-4ADA-4124-9577-5E9B0CA3C8FA}"/>
    <cellStyle name="Normal 2 2 4 3 5 3 2" xfId="22339" xr:uid="{C81B3ACE-785E-4494-BE75-9A72E9432372}"/>
    <cellStyle name="Normal 2 2 4 3 5 3 2 2" xfId="47831" xr:uid="{CE4A3831-F660-4AAF-BC76-A2378ED6AC29}"/>
    <cellStyle name="Normal 2 2 4 3 5 3 3" xfId="35240" xr:uid="{966C4B4A-DEC5-4956-8CB9-B9C0E2A0EEFC}"/>
    <cellStyle name="Normal 2 2 4 3 5 4" xfId="16061" xr:uid="{4B003852-19B8-4A8F-A418-671D6A7FF56C}"/>
    <cellStyle name="Normal 2 2 4 3 5 4 2" xfId="41553" xr:uid="{E811C150-510F-49BF-81A8-C97B8D3BE500}"/>
    <cellStyle name="Normal 2 2 4 3 5 5" xfId="28962" xr:uid="{C778F86D-C288-459F-B11E-AF88DD3F75A7}"/>
    <cellStyle name="Normal 2 2 4 3 6" xfId="4149" xr:uid="{E7113CB4-E01A-4B07-803A-230E6D490CA9}"/>
    <cellStyle name="Normal 2 2 4 3 6 2" xfId="10442" xr:uid="{173448B5-D2EA-43B6-88B9-6AF86B0E3214}"/>
    <cellStyle name="Normal 2 2 4 3 6 2 2" xfId="23124" xr:uid="{EB7DD98F-A042-47B5-A8DC-5DEB87B83EA1}"/>
    <cellStyle name="Normal 2 2 4 3 6 2 2 2" xfId="48616" xr:uid="{FC0454E9-582B-412C-840C-6D7119B77608}"/>
    <cellStyle name="Normal 2 2 4 3 6 2 3" xfId="36025" xr:uid="{A6FDF417-7FB7-4F30-83F6-A51ABDAAAE38}"/>
    <cellStyle name="Normal 2 2 4 3 6 3" xfId="16846" xr:uid="{2CD9AC24-5CFC-46DC-A3C1-4DD6DB73B1F5}"/>
    <cellStyle name="Normal 2 2 4 3 6 3 2" xfId="42338" xr:uid="{AFF77649-F87F-41AD-8CAF-FE879E171B38}"/>
    <cellStyle name="Normal 2 2 4 3 6 4" xfId="29747" xr:uid="{073F226F-9046-4515-97B3-F1245D2E3041}"/>
    <cellStyle name="Normal 2 2 4 3 7" xfId="7303" xr:uid="{57C49C93-6927-4770-AFC9-C14D3D342841}"/>
    <cellStyle name="Normal 2 2 4 3 7 2" xfId="19985" xr:uid="{8F6B7897-32E7-4960-A6F2-29F98EED709C}"/>
    <cellStyle name="Normal 2 2 4 3 7 2 2" xfId="45477" xr:uid="{B6FF56B9-1E24-4756-9931-32FFE5DD39B4}"/>
    <cellStyle name="Normal 2 2 4 3 7 3" xfId="32886" xr:uid="{36A150A2-4DA9-4E0A-BB48-BF77680EC5D8}"/>
    <cellStyle name="Normal 2 2 4 3 8" xfId="13707" xr:uid="{40D74B4B-6C93-48FE-A52F-544EE5FB6FF0}"/>
    <cellStyle name="Normal 2 2 4 3 8 2" xfId="39199" xr:uid="{82E3B90E-572A-4C75-85F8-EEB3107B51D6}"/>
    <cellStyle name="Normal 2 2 4 3 9" xfId="26608" xr:uid="{34E04FFD-C53A-45A9-85C0-A925F9F344AB}"/>
    <cellStyle name="Normal 2 2 4 4" xfId="735" xr:uid="{CDE806A6-1356-4A3E-AEE2-6DA92771D903}"/>
    <cellStyle name="Normal 2 2 4 4 2" xfId="2042" xr:uid="{902D3FDF-71FE-41C7-8FB5-6322B5292968}"/>
    <cellStyle name="Normal 2 2 4 4 2 2" xfId="5196" xr:uid="{A8CD0BCD-0579-4E3D-A43D-464AF0C82C11}"/>
    <cellStyle name="Normal 2 2 4 4 2 2 2" xfId="11489" xr:uid="{F49DC823-6FA5-4344-A105-872794AE9DFC}"/>
    <cellStyle name="Normal 2 2 4 4 2 2 2 2" xfId="24171" xr:uid="{261143A8-C90F-4821-B543-C64D121A62C4}"/>
    <cellStyle name="Normal 2 2 4 4 2 2 2 2 2" xfId="49663" xr:uid="{AB02D6D0-B096-41A8-89C5-744697C79AC7}"/>
    <cellStyle name="Normal 2 2 4 4 2 2 2 3" xfId="37072" xr:uid="{94E7423E-B181-47DC-B37C-5B70938D6512}"/>
    <cellStyle name="Normal 2 2 4 4 2 2 3" xfId="17893" xr:uid="{79C2EEE2-BF17-4D52-A9F2-81131EC74579}"/>
    <cellStyle name="Normal 2 2 4 4 2 2 3 2" xfId="43385" xr:uid="{957BBCB5-8674-4703-9CFB-65B4DB494651}"/>
    <cellStyle name="Normal 2 2 4 4 2 2 4" xfId="30794" xr:uid="{3F6B97A7-352C-4E25-A76F-C7C7E7A6A1C2}"/>
    <cellStyle name="Normal 2 2 4 4 2 3" xfId="8350" xr:uid="{30EECAEC-9180-42E4-867F-10A55568235C}"/>
    <cellStyle name="Normal 2 2 4 4 2 3 2" xfId="21032" xr:uid="{41D71F54-3868-415D-AD85-DF924F24EB06}"/>
    <cellStyle name="Normal 2 2 4 4 2 3 2 2" xfId="46524" xr:uid="{BC128652-9015-4B9D-9CB8-053906FD3A9C}"/>
    <cellStyle name="Normal 2 2 4 4 2 3 3" xfId="33933" xr:uid="{A3ED358F-6184-4119-8325-6808DD657DEB}"/>
    <cellStyle name="Normal 2 2 4 4 2 4" xfId="14754" xr:uid="{8382F174-1D32-4B57-A24D-942FCB1E7A1B}"/>
    <cellStyle name="Normal 2 2 4 4 2 4 2" xfId="40246" xr:uid="{A67E65EA-D405-4BB8-A2B2-EBBD8A595545}"/>
    <cellStyle name="Normal 2 2 4 4 2 5" xfId="27655" xr:uid="{A9AF8090-047B-45E7-A5F0-7B29221627EC}"/>
    <cellStyle name="Normal 2 2 4 4 3" xfId="3889" xr:uid="{CD3F3B81-10EC-4586-81EC-0B8916322356}"/>
    <cellStyle name="Normal 2 2 4 4 3 2" xfId="10182" xr:uid="{2DE9DA86-399A-465C-A8DD-7CF5959CE859}"/>
    <cellStyle name="Normal 2 2 4 4 3 2 2" xfId="22864" xr:uid="{6EE895AA-334F-494A-B33E-AA8B12740143}"/>
    <cellStyle name="Normal 2 2 4 4 3 2 2 2" xfId="48356" xr:uid="{531B443A-202E-410D-92D4-AEEC6850FB48}"/>
    <cellStyle name="Normal 2 2 4 4 3 2 3" xfId="35765" xr:uid="{519BC3AC-3CD4-4F38-A1A4-1279E1ABB057}"/>
    <cellStyle name="Normal 2 2 4 4 3 3" xfId="16586" xr:uid="{7144C7D1-574F-4586-A23E-EC9986B0AE63}"/>
    <cellStyle name="Normal 2 2 4 4 3 3 2" xfId="42078" xr:uid="{2E628796-ECCA-4287-BBC7-6B96EBF933B5}"/>
    <cellStyle name="Normal 2 2 4 4 3 4" xfId="29487" xr:uid="{0E9E45A0-68AF-4A3D-A2C7-4BF7958A21FE}"/>
    <cellStyle name="Normal 2 2 4 4 4" xfId="7043" xr:uid="{89CEF9A4-57FB-48EB-9AD1-73AFE323677B}"/>
    <cellStyle name="Normal 2 2 4 4 4 2" xfId="19725" xr:uid="{56CC5FE9-6144-447D-AEAA-2BA5D0520E89}"/>
    <cellStyle name="Normal 2 2 4 4 4 2 2" xfId="45217" xr:uid="{42BFA055-AB63-41BF-B7D2-DB5A2AA1D3B8}"/>
    <cellStyle name="Normal 2 2 4 4 4 3" xfId="32626" xr:uid="{47B3DA6A-B3FF-4A35-A2D5-5A0637C2C835}"/>
    <cellStyle name="Normal 2 2 4 4 5" xfId="13447" xr:uid="{5D67059D-6A52-4355-8F8A-325EC6D2435E}"/>
    <cellStyle name="Normal 2 2 4 4 5 2" xfId="38939" xr:uid="{020F01C9-6CEF-4F87-8E4D-BAB2251DAA59}"/>
    <cellStyle name="Normal 2 2 4 4 6" xfId="26348" xr:uid="{37B27CC8-14F9-4A77-8B35-4711956E1890}"/>
    <cellStyle name="Normal 2 2 4 5" xfId="1780" xr:uid="{C13AAEC8-27C0-48DE-BEC1-7D866EFE058A}"/>
    <cellStyle name="Normal 2 2 4 5 2" xfId="4934" xr:uid="{EDD3EBFD-FC76-4B43-9952-0844688B0872}"/>
    <cellStyle name="Normal 2 2 4 5 2 2" xfId="11227" xr:uid="{AFAFF254-93C5-4AB6-88AE-1066CBDF09C6}"/>
    <cellStyle name="Normal 2 2 4 5 2 2 2" xfId="23909" xr:uid="{DB905935-8097-4006-B152-7B68DD5D5C4B}"/>
    <cellStyle name="Normal 2 2 4 5 2 2 2 2" xfId="49401" xr:uid="{2725A651-5202-4CBB-BC53-B0D68EE841A4}"/>
    <cellStyle name="Normal 2 2 4 5 2 2 3" xfId="36810" xr:uid="{D08664F2-A11E-4F91-8024-801BCA20982F}"/>
    <cellStyle name="Normal 2 2 4 5 2 3" xfId="17631" xr:uid="{D4F27735-8BB4-434F-B597-EC7406FAFE3C}"/>
    <cellStyle name="Normal 2 2 4 5 2 3 2" xfId="43123" xr:uid="{BB6072FB-76DB-4FBF-BF47-C5196FFA3EA6}"/>
    <cellStyle name="Normal 2 2 4 5 2 4" xfId="30532" xr:uid="{E4CDDA12-201B-45EC-B74C-545267363838}"/>
    <cellStyle name="Normal 2 2 4 5 3" xfId="8088" xr:uid="{E032CBE7-062E-4B77-8F05-5FEA3CC1522D}"/>
    <cellStyle name="Normal 2 2 4 5 3 2" xfId="20770" xr:uid="{32BD4A8A-9321-4498-8D79-8146246BB296}"/>
    <cellStyle name="Normal 2 2 4 5 3 2 2" xfId="46262" xr:uid="{71BBC3A5-1E8A-4589-BCB1-754626EC483E}"/>
    <cellStyle name="Normal 2 2 4 5 3 3" xfId="33671" xr:uid="{7AFCAE39-BD32-4E6F-B15D-553A939339AB}"/>
    <cellStyle name="Normal 2 2 4 5 4" xfId="14492" xr:uid="{B0756A10-1EEE-4CB6-8E1F-85C5DE8E67D4}"/>
    <cellStyle name="Normal 2 2 4 5 4 2" xfId="39984" xr:uid="{03647B62-7051-44C4-BB28-E5AA693C9A2A}"/>
    <cellStyle name="Normal 2 2 4 5 5" xfId="27393" xr:uid="{CAEBBFC3-0253-46CA-AE01-28B985BF9347}"/>
    <cellStyle name="Normal 2 2 4 6" xfId="1258" xr:uid="{11FE5AA0-E96F-49DB-B0FF-21C359A0B285}"/>
    <cellStyle name="Normal 2 2 4 6 2" xfId="4412" xr:uid="{8F65AA66-1635-460D-A318-FB48538F2575}"/>
    <cellStyle name="Normal 2 2 4 6 2 2" xfId="10705" xr:uid="{E80E164A-1CA3-41C9-A2FD-805A37E89C05}"/>
    <cellStyle name="Normal 2 2 4 6 2 2 2" xfId="23387" xr:uid="{4FFCA1BD-A17C-4C91-BA13-98909848587A}"/>
    <cellStyle name="Normal 2 2 4 6 2 2 2 2" xfId="48879" xr:uid="{0581EFAB-6295-4A2D-8D6F-E54714963710}"/>
    <cellStyle name="Normal 2 2 4 6 2 2 3" xfId="36288" xr:uid="{0CFB7AA0-324A-4C55-9E76-93A9EA32F24F}"/>
    <cellStyle name="Normal 2 2 4 6 2 3" xfId="17109" xr:uid="{381408A2-4E8B-45F5-88C2-32AC6F45B8A9}"/>
    <cellStyle name="Normal 2 2 4 6 2 3 2" xfId="42601" xr:uid="{CCC62ECF-FE6B-499A-B760-0C4E698043F7}"/>
    <cellStyle name="Normal 2 2 4 6 2 4" xfId="30010" xr:uid="{FBA3C0FD-7520-405A-83BC-5F8B54A9CAAF}"/>
    <cellStyle name="Normal 2 2 4 6 3" xfId="7566" xr:uid="{77531F8B-3696-44E0-A689-05A180619C47}"/>
    <cellStyle name="Normal 2 2 4 6 3 2" xfId="20248" xr:uid="{44F0887D-41E7-4D58-8D0E-A7A03FBA6788}"/>
    <cellStyle name="Normal 2 2 4 6 3 2 2" xfId="45740" xr:uid="{40415AE6-B4C3-464D-900D-1EC9916E283F}"/>
    <cellStyle name="Normal 2 2 4 6 3 3" xfId="33149" xr:uid="{523900CD-B05D-4F84-9541-359E105A0870}"/>
    <cellStyle name="Normal 2 2 4 6 4" xfId="13970" xr:uid="{3F0CCFAC-9AD5-42AC-9B7F-E594C3C8DDDA}"/>
    <cellStyle name="Normal 2 2 4 6 4 2" xfId="39462" xr:uid="{C6A5E64D-FA6B-414F-8822-C012B0D58999}"/>
    <cellStyle name="Normal 2 2 4 6 5" xfId="26871" xr:uid="{901B8F17-A232-4D99-8C29-02ACB2AE5D45}"/>
    <cellStyle name="Normal 2 2 4 7" xfId="2565" xr:uid="{175A5D63-7B92-4D88-8E2E-B22085DB3529}"/>
    <cellStyle name="Normal 2 2 4 7 2" xfId="5719" xr:uid="{724ED995-8C78-4488-A0AF-12C1981C4CD5}"/>
    <cellStyle name="Normal 2 2 4 7 2 2" xfId="12012" xr:uid="{6998272D-6C67-43E9-AFA5-A5665C331EA8}"/>
    <cellStyle name="Normal 2 2 4 7 2 2 2" xfId="24694" xr:uid="{41F51E37-6FA7-47C6-9CD6-E28CF6423091}"/>
    <cellStyle name="Normal 2 2 4 7 2 2 2 2" xfId="50186" xr:uid="{275B5275-262C-47DF-9400-9857770A5CC8}"/>
    <cellStyle name="Normal 2 2 4 7 2 2 3" xfId="37595" xr:uid="{7A86924E-FB5F-437B-BF23-0BDE95929E5E}"/>
    <cellStyle name="Normal 2 2 4 7 2 3" xfId="18416" xr:uid="{E8A7C3F4-4B05-46B1-8796-6B98BE19091A}"/>
    <cellStyle name="Normal 2 2 4 7 2 3 2" xfId="43908" xr:uid="{F16BEB91-1642-4810-8AC0-62B1C2CC45F3}"/>
    <cellStyle name="Normal 2 2 4 7 2 4" xfId="31317" xr:uid="{B9C87BC5-DBE5-4181-927D-25C5763B0BBB}"/>
    <cellStyle name="Normal 2 2 4 7 3" xfId="8873" xr:uid="{BA5C8487-2D6A-4990-93A0-0CCE16CD0286}"/>
    <cellStyle name="Normal 2 2 4 7 3 2" xfId="21555" xr:uid="{6ACD12A1-A5A4-4CDE-B803-59EB43C89039}"/>
    <cellStyle name="Normal 2 2 4 7 3 2 2" xfId="47047" xr:uid="{917FF004-7929-4089-8125-8DFC23DE742B}"/>
    <cellStyle name="Normal 2 2 4 7 3 3" xfId="34456" xr:uid="{75FAD273-38E8-4751-9367-B6964F8E190F}"/>
    <cellStyle name="Normal 2 2 4 7 4" xfId="15277" xr:uid="{687F7C23-188C-4800-B427-217EBC2D01E3}"/>
    <cellStyle name="Normal 2 2 4 7 4 2" xfId="40769" xr:uid="{68FC07B2-10D5-45E5-AA7E-20FDE76CCBAE}"/>
    <cellStyle name="Normal 2 2 4 7 5" xfId="28178" xr:uid="{3102CEA3-168D-46BA-80ED-61B8485A33CD}"/>
    <cellStyle name="Normal 2 2 4 8" xfId="3088" xr:uid="{FAB0312D-7506-424C-B634-0934CA22F771}"/>
    <cellStyle name="Normal 2 2 4 8 2" xfId="6242" xr:uid="{28C7372B-125A-4E67-989A-0A954DD684DD}"/>
    <cellStyle name="Normal 2 2 4 8 2 2" xfId="12535" xr:uid="{D50FFAB2-2B6C-4763-A28F-EFD2A8ABC2B7}"/>
    <cellStyle name="Normal 2 2 4 8 2 2 2" xfId="25217" xr:uid="{002DD56E-83D6-462B-B244-7B6BF151FE14}"/>
    <cellStyle name="Normal 2 2 4 8 2 2 2 2" xfId="50709" xr:uid="{1E053F74-8209-4BDA-8E8A-04AC864E4771}"/>
    <cellStyle name="Normal 2 2 4 8 2 2 3" xfId="38118" xr:uid="{D4D574A8-B792-4251-8FDB-AF03C61352C8}"/>
    <cellStyle name="Normal 2 2 4 8 2 3" xfId="18939" xr:uid="{0E542297-4E5C-422D-97B6-E159DE7D7FC0}"/>
    <cellStyle name="Normal 2 2 4 8 2 3 2" xfId="44431" xr:uid="{754CC9CA-380D-4242-8D39-4215985A84F1}"/>
    <cellStyle name="Normal 2 2 4 8 2 4" xfId="31840" xr:uid="{1137D15F-4D93-4784-817B-38BB9FCBA1B6}"/>
    <cellStyle name="Normal 2 2 4 8 3" xfId="9396" xr:uid="{3F80B53F-9237-4F2D-8CDE-047812DFA8DC}"/>
    <cellStyle name="Normal 2 2 4 8 3 2" xfId="22078" xr:uid="{03A849B8-68EC-4C65-973F-36E322AD494C}"/>
    <cellStyle name="Normal 2 2 4 8 3 2 2" xfId="47570" xr:uid="{C54FE76F-4CB4-4AC9-8E90-40D9AA9A3F2E}"/>
    <cellStyle name="Normal 2 2 4 8 3 3" xfId="34979" xr:uid="{87B4FABB-1522-44D5-93BE-740A4B5B8162}"/>
    <cellStyle name="Normal 2 2 4 8 4" xfId="15800" xr:uid="{BCBC6388-78D9-4913-9A9F-9D26861D9FA2}"/>
    <cellStyle name="Normal 2 2 4 8 4 2" xfId="41292" xr:uid="{248156DE-960D-40FE-9963-513E56E2A18A}"/>
    <cellStyle name="Normal 2 2 4 8 5" xfId="28701" xr:uid="{AB62D6DF-78A5-4260-AA76-B4CEEDEB7CEE}"/>
    <cellStyle name="Normal 2 2 4 9" xfId="3627" xr:uid="{2226F243-9D81-4D63-8545-83130EFA6314}"/>
    <cellStyle name="Normal 2 2 4 9 2" xfId="9920" xr:uid="{4C63D9C0-D8A5-411F-A426-6B092149523D}"/>
    <cellStyle name="Normal 2 2 4 9 2 2" xfId="22602" xr:uid="{B410608E-71C6-401D-9DAA-740B2B0E4812}"/>
    <cellStyle name="Normal 2 2 4 9 2 2 2" xfId="48094" xr:uid="{C71D08F5-0153-4AE6-9FD6-9D0D6A4B6E74}"/>
    <cellStyle name="Normal 2 2 4 9 2 3" xfId="35503" xr:uid="{324B0B2D-97C5-498A-94D7-F7F9FC34BB9B}"/>
    <cellStyle name="Normal 2 2 4 9 3" xfId="16324" xr:uid="{E23DEC3D-0555-493C-923F-C16201C60F97}"/>
    <cellStyle name="Normal 2 2 4 9 3 2" xfId="41816" xr:uid="{F113D2E8-366D-4B4B-8E82-8D2897E7BA1B}"/>
    <cellStyle name="Normal 2 2 4 9 4" xfId="29225" xr:uid="{FBB035D3-C81E-44F4-90CD-02D0B0FC87C9}"/>
    <cellStyle name="Normal 2 2 5" xfId="575" xr:uid="{84A4DD77-B4BE-48DC-A508-2B887CD2D148}"/>
    <cellStyle name="Normal 2 2 5 10" xfId="13302" xr:uid="{8916015D-DBEF-4394-BE2E-6E57621BF862}"/>
    <cellStyle name="Normal 2 2 5 10 2" xfId="38794" xr:uid="{4BEA0172-C3FC-439B-9130-ED846389E854}"/>
    <cellStyle name="Normal 2 2 5 11" xfId="26203" xr:uid="{9F96DBFE-3977-4F95-B630-AD5857A09241}"/>
    <cellStyle name="Normal 2 2 5 2" xfId="1112" xr:uid="{B75A69AD-8B5E-4082-AA7B-3F4117EA09C3}"/>
    <cellStyle name="Normal 2 2 5 2 2" xfId="2419" xr:uid="{21C39FF2-4FF0-48F2-B37E-CAFB9E90B124}"/>
    <cellStyle name="Normal 2 2 5 2 2 2" xfId="5573" xr:uid="{4465AD09-BE46-47A9-A05D-D20278CA51F9}"/>
    <cellStyle name="Normal 2 2 5 2 2 2 2" xfId="11866" xr:uid="{748A6006-0304-427E-BDCF-B79CDC6E0CB3}"/>
    <cellStyle name="Normal 2 2 5 2 2 2 2 2" xfId="24548" xr:uid="{FD57B285-15DA-41BF-BE6B-5FF60383C206}"/>
    <cellStyle name="Normal 2 2 5 2 2 2 2 2 2" xfId="50040" xr:uid="{E30B216B-9B71-442A-95C4-5EB755826A98}"/>
    <cellStyle name="Normal 2 2 5 2 2 2 2 3" xfId="37449" xr:uid="{DAD52073-4F7C-49AD-9E16-70F2540AC444}"/>
    <cellStyle name="Normal 2 2 5 2 2 2 3" xfId="18270" xr:uid="{0F9B8906-7DF3-45A0-8E01-97867EC86437}"/>
    <cellStyle name="Normal 2 2 5 2 2 2 3 2" xfId="43762" xr:uid="{50C8ED89-B1E7-4A54-B456-9F6903479768}"/>
    <cellStyle name="Normal 2 2 5 2 2 2 4" xfId="31171" xr:uid="{D323A637-DD1F-4F8C-9066-D9B6EC2E9171}"/>
    <cellStyle name="Normal 2 2 5 2 2 3" xfId="8727" xr:uid="{7FCFF628-C62E-4E3A-B135-E7DA8BA723F2}"/>
    <cellStyle name="Normal 2 2 5 2 2 3 2" xfId="21409" xr:uid="{B8E0588D-42E5-4FE3-A122-501B8CB8897E}"/>
    <cellStyle name="Normal 2 2 5 2 2 3 2 2" xfId="46901" xr:uid="{173E13C7-0C5D-4711-8D77-A4BEAF51EFBC}"/>
    <cellStyle name="Normal 2 2 5 2 2 3 3" xfId="34310" xr:uid="{280358BC-911F-4097-A1C4-53CE0C4747C2}"/>
    <cellStyle name="Normal 2 2 5 2 2 4" xfId="15131" xr:uid="{C22A57AB-2DE2-4CA7-BEF7-6244CF14EA51}"/>
    <cellStyle name="Normal 2 2 5 2 2 4 2" xfId="40623" xr:uid="{E6983359-384E-4B96-9248-76A778E82462}"/>
    <cellStyle name="Normal 2 2 5 2 2 5" xfId="28032" xr:uid="{7DCA4EB4-98CF-44AE-A955-113ECA615D17}"/>
    <cellStyle name="Normal 2 2 5 2 3" xfId="1636" xr:uid="{69B0D9DF-6A47-42C2-A1A3-8456636F4DE0}"/>
    <cellStyle name="Normal 2 2 5 2 3 2" xfId="4790" xr:uid="{0721C1F4-8871-431B-BFD8-3EE471D1327B}"/>
    <cellStyle name="Normal 2 2 5 2 3 2 2" xfId="11083" xr:uid="{4CE24ABB-769A-4D20-867A-F32399E8F0AE}"/>
    <cellStyle name="Normal 2 2 5 2 3 2 2 2" xfId="23765" xr:uid="{75D6AE84-178E-49DC-89B5-726EAD04365A}"/>
    <cellStyle name="Normal 2 2 5 2 3 2 2 2 2" xfId="49257" xr:uid="{3B9948FB-C09C-4754-8146-A6ADBDD5B893}"/>
    <cellStyle name="Normal 2 2 5 2 3 2 2 3" xfId="36666" xr:uid="{C2CC7BAF-D1D7-4809-B303-E90297C14600}"/>
    <cellStyle name="Normal 2 2 5 2 3 2 3" xfId="17487" xr:uid="{92CA3CDC-DD30-4195-9514-32EAD65EE84D}"/>
    <cellStyle name="Normal 2 2 5 2 3 2 3 2" xfId="42979" xr:uid="{9064012A-D669-469A-8A21-B5208F2F6905}"/>
    <cellStyle name="Normal 2 2 5 2 3 2 4" xfId="30388" xr:uid="{11ADD28A-A7D5-4763-BA1C-4A319607C421}"/>
    <cellStyle name="Normal 2 2 5 2 3 3" xfId="7944" xr:uid="{29FDB436-C6F5-41C5-9586-121F2DFCEFFB}"/>
    <cellStyle name="Normal 2 2 5 2 3 3 2" xfId="20626" xr:uid="{EA625B74-00E8-48A9-A1E6-6FDB91001EA9}"/>
    <cellStyle name="Normal 2 2 5 2 3 3 2 2" xfId="46118" xr:uid="{2A92CE47-A432-467B-B200-63AC4EA41705}"/>
    <cellStyle name="Normal 2 2 5 2 3 3 3" xfId="33527" xr:uid="{5F8BA104-D9B8-4945-94E8-447C43F2B543}"/>
    <cellStyle name="Normal 2 2 5 2 3 4" xfId="14348" xr:uid="{3D1796F4-1C2B-4AEF-95D0-394A88752E7D}"/>
    <cellStyle name="Normal 2 2 5 2 3 4 2" xfId="39840" xr:uid="{C634371E-8885-4916-AF5D-F081DA9D49A3}"/>
    <cellStyle name="Normal 2 2 5 2 3 5" xfId="27249" xr:uid="{FEF183D3-7436-4C21-9EB0-EB0723A41446}"/>
    <cellStyle name="Normal 2 2 5 2 4" xfId="2943" xr:uid="{6DF7D0E1-2764-47A6-94F1-CB4ECAE6F541}"/>
    <cellStyle name="Normal 2 2 5 2 4 2" xfId="6097" xr:uid="{9C825ED7-BDDF-4633-9992-D07E9348CABC}"/>
    <cellStyle name="Normal 2 2 5 2 4 2 2" xfId="12390" xr:uid="{4914304C-461A-4968-8A8A-12B893BDBD97}"/>
    <cellStyle name="Normal 2 2 5 2 4 2 2 2" xfId="25072" xr:uid="{FAD80760-3D65-48FA-970C-9B52ACE622A3}"/>
    <cellStyle name="Normal 2 2 5 2 4 2 2 2 2" xfId="50564" xr:uid="{0C254852-5DAA-48C1-95F5-CE2B71E9B612}"/>
    <cellStyle name="Normal 2 2 5 2 4 2 2 3" xfId="37973" xr:uid="{EBEC122B-7B28-4EA2-BBA8-89D7B458D281}"/>
    <cellStyle name="Normal 2 2 5 2 4 2 3" xfId="18794" xr:uid="{0E363143-E1FE-4127-8101-3A2825D429AB}"/>
    <cellStyle name="Normal 2 2 5 2 4 2 3 2" xfId="44286" xr:uid="{9200501D-1650-4B64-B19D-5E13C951FFFE}"/>
    <cellStyle name="Normal 2 2 5 2 4 2 4" xfId="31695" xr:uid="{4F9448B4-0180-44DA-948E-4E907C3CB858}"/>
    <cellStyle name="Normal 2 2 5 2 4 3" xfId="9251" xr:uid="{D769E00F-2D6A-471D-8FD9-DE0F46E7D0A9}"/>
    <cellStyle name="Normal 2 2 5 2 4 3 2" xfId="21933" xr:uid="{024F9A57-5B55-4F37-A403-9582EDB475F5}"/>
    <cellStyle name="Normal 2 2 5 2 4 3 2 2" xfId="47425" xr:uid="{2C32F286-AAE2-4E0F-9581-1E6090A39F8B}"/>
    <cellStyle name="Normal 2 2 5 2 4 3 3" xfId="34834" xr:uid="{4FD6D9B7-EA7F-4B17-91C3-7718750F8E88}"/>
    <cellStyle name="Normal 2 2 5 2 4 4" xfId="15655" xr:uid="{901497D1-AEFF-4A64-86FC-FE7C0CEF5ED5}"/>
    <cellStyle name="Normal 2 2 5 2 4 4 2" xfId="41147" xr:uid="{335C433E-DF7B-4158-8C53-A8EC55977C12}"/>
    <cellStyle name="Normal 2 2 5 2 4 5" xfId="28556" xr:uid="{ED50477B-61B8-4B47-B94B-1E2D94B1F291}"/>
    <cellStyle name="Normal 2 2 5 2 5" xfId="3466" xr:uid="{D3E6128A-256C-4FAF-81DB-A161B326DAE5}"/>
    <cellStyle name="Normal 2 2 5 2 5 2" xfId="6620" xr:uid="{69521AD8-C364-4B57-878A-9FC6123C5366}"/>
    <cellStyle name="Normal 2 2 5 2 5 2 2" xfId="12913" xr:uid="{3053A0B3-DBE9-47DE-9BF2-8D2DF1EC943A}"/>
    <cellStyle name="Normal 2 2 5 2 5 2 2 2" xfId="25595" xr:uid="{A3DB1E5E-A205-48A0-B74D-1FEB59B4D191}"/>
    <cellStyle name="Normal 2 2 5 2 5 2 2 2 2" xfId="51087" xr:uid="{9F1355FB-60AE-4B5B-ACDD-902E4B05194A}"/>
    <cellStyle name="Normal 2 2 5 2 5 2 2 3" xfId="38496" xr:uid="{D9C459D0-AF2C-4223-8874-3FE703589BC6}"/>
    <cellStyle name="Normal 2 2 5 2 5 2 3" xfId="19317" xr:uid="{E6EDF365-FECA-45F0-B4A8-1FE84EED5435}"/>
    <cellStyle name="Normal 2 2 5 2 5 2 3 2" xfId="44809" xr:uid="{488CD89C-9FA2-4CAC-ADD5-D7BA775DB977}"/>
    <cellStyle name="Normal 2 2 5 2 5 2 4" xfId="32218" xr:uid="{02BB9185-2C77-45CD-BE5F-66A2CA85DF0B}"/>
    <cellStyle name="Normal 2 2 5 2 5 3" xfId="9774" xr:uid="{70FCE146-46F1-4D2D-AEB0-3BA2ACEEF4D1}"/>
    <cellStyle name="Normal 2 2 5 2 5 3 2" xfId="22456" xr:uid="{54BE5EF1-2DCB-4F61-96EB-FC302B153EDC}"/>
    <cellStyle name="Normal 2 2 5 2 5 3 2 2" xfId="47948" xr:uid="{15AA8268-B78E-40C8-A352-EA5C211FEC2B}"/>
    <cellStyle name="Normal 2 2 5 2 5 3 3" xfId="35357" xr:uid="{1AE39137-4016-4424-A84F-BA4C5751A52E}"/>
    <cellStyle name="Normal 2 2 5 2 5 4" xfId="16178" xr:uid="{2EC1BC9C-DA06-4DBA-AFCC-166D357CF3AB}"/>
    <cellStyle name="Normal 2 2 5 2 5 4 2" xfId="41670" xr:uid="{F20CD78E-3A18-4E6C-B6EE-86F492874252}"/>
    <cellStyle name="Normal 2 2 5 2 5 5" xfId="29079" xr:uid="{1B381689-F722-4034-87B1-7F1F98943200}"/>
    <cellStyle name="Normal 2 2 5 2 6" xfId="4266" xr:uid="{BAF92033-4CC1-41AC-81FD-1AF8FDB1EA7B}"/>
    <cellStyle name="Normal 2 2 5 2 6 2" xfId="10559" xr:uid="{C7792941-A659-4A83-B7D3-A14B6CA1DD0F}"/>
    <cellStyle name="Normal 2 2 5 2 6 2 2" xfId="23241" xr:uid="{B2A5E416-5E16-4450-85E3-1F0B5679B52A}"/>
    <cellStyle name="Normal 2 2 5 2 6 2 2 2" xfId="48733" xr:uid="{7F3C6B9C-E576-4559-8E35-011EF19C312B}"/>
    <cellStyle name="Normal 2 2 5 2 6 2 3" xfId="36142" xr:uid="{85F4EBC9-7A6B-4E1A-8789-3E08BE4CF987}"/>
    <cellStyle name="Normal 2 2 5 2 6 3" xfId="16963" xr:uid="{9B53A666-4298-4B45-9E9D-77C96DF039A8}"/>
    <cellStyle name="Normal 2 2 5 2 6 3 2" xfId="42455" xr:uid="{C0283A73-7A02-4429-AE5B-32B9C6591708}"/>
    <cellStyle name="Normal 2 2 5 2 6 4" xfId="29864" xr:uid="{CBF0C2BF-BC3E-4580-8A3E-301F9A442101}"/>
    <cellStyle name="Normal 2 2 5 2 7" xfId="7420" xr:uid="{3BBEC411-5738-41FC-9B37-8B9AA46D822C}"/>
    <cellStyle name="Normal 2 2 5 2 7 2" xfId="20102" xr:uid="{DAEE2D6B-1B4D-4DA9-B14F-E00D684482DC}"/>
    <cellStyle name="Normal 2 2 5 2 7 2 2" xfId="45594" xr:uid="{A0EB020B-C76D-49F3-87C6-EDB0D0C5686B}"/>
    <cellStyle name="Normal 2 2 5 2 7 3" xfId="33003" xr:uid="{8495D5F6-6601-4CEC-8D88-7C5601CFFC10}"/>
    <cellStyle name="Normal 2 2 5 2 8" xfId="13824" xr:uid="{B8B62A57-E737-4A8D-B183-CEFC34EA623D}"/>
    <cellStyle name="Normal 2 2 5 2 8 2" xfId="39316" xr:uid="{D1C4D6F0-8C7E-46E6-875D-E4704878FB90}"/>
    <cellStyle name="Normal 2 2 5 2 9" xfId="26725" xr:uid="{88CD9CA4-E2B4-448B-A073-9EA10B18B0DF}"/>
    <cellStyle name="Normal 2 2 5 3" xfId="852" xr:uid="{BDC07B1A-EE5D-4A56-A641-BAC93DE1A377}"/>
    <cellStyle name="Normal 2 2 5 3 2" xfId="2159" xr:uid="{062873C9-CE84-434A-8FF4-F08B136E60C2}"/>
    <cellStyle name="Normal 2 2 5 3 2 2" xfId="5313" xr:uid="{416D0907-0A8D-4BB2-888D-A06779DF6AAC}"/>
    <cellStyle name="Normal 2 2 5 3 2 2 2" xfId="11606" xr:uid="{9466E0A3-7918-41CF-992A-F3FBF7C747FF}"/>
    <cellStyle name="Normal 2 2 5 3 2 2 2 2" xfId="24288" xr:uid="{F2C8BFD2-AB98-4226-AAA5-E3C7962EDD3F}"/>
    <cellStyle name="Normal 2 2 5 3 2 2 2 2 2" xfId="49780" xr:uid="{FC8BE3A1-3D4E-4A8F-9217-23F635169055}"/>
    <cellStyle name="Normal 2 2 5 3 2 2 2 3" xfId="37189" xr:uid="{68F0B47E-DC4E-4529-91D0-498B70942CA1}"/>
    <cellStyle name="Normal 2 2 5 3 2 2 3" xfId="18010" xr:uid="{6D49823B-F501-4485-ABE7-215045584447}"/>
    <cellStyle name="Normal 2 2 5 3 2 2 3 2" xfId="43502" xr:uid="{1AA50F46-54E9-4427-B527-E09A816AEA5C}"/>
    <cellStyle name="Normal 2 2 5 3 2 2 4" xfId="30911" xr:uid="{A90FC316-A50E-4B77-ABCF-BAECA3E83C36}"/>
    <cellStyle name="Normal 2 2 5 3 2 3" xfId="8467" xr:uid="{DE048E07-FEC7-4A8A-B4E8-F7C5C287F933}"/>
    <cellStyle name="Normal 2 2 5 3 2 3 2" xfId="21149" xr:uid="{87BA6DF4-7B68-4C5B-B445-0FCDE48E39D5}"/>
    <cellStyle name="Normal 2 2 5 3 2 3 2 2" xfId="46641" xr:uid="{E0D47AEB-BFD7-4DFD-ABED-0CBC502F182F}"/>
    <cellStyle name="Normal 2 2 5 3 2 3 3" xfId="34050" xr:uid="{C4548A4C-10BB-4C89-A85E-671291F4BEED}"/>
    <cellStyle name="Normal 2 2 5 3 2 4" xfId="14871" xr:uid="{0F9B3D8F-5C52-486B-93D1-D110A2A779AF}"/>
    <cellStyle name="Normal 2 2 5 3 2 4 2" xfId="40363" xr:uid="{BD9B196A-B4B8-4538-8361-332DC86153CA}"/>
    <cellStyle name="Normal 2 2 5 3 2 5" xfId="27772" xr:uid="{A2621916-21F1-42DA-B758-4F0A6F278381}"/>
    <cellStyle name="Normal 2 2 5 3 3" xfId="4006" xr:uid="{916766A4-5FCF-46C2-A1C3-BF9A3FC87C44}"/>
    <cellStyle name="Normal 2 2 5 3 3 2" xfId="10299" xr:uid="{DB654874-E4AB-4C96-8EA9-E42D1B49FFFB}"/>
    <cellStyle name="Normal 2 2 5 3 3 2 2" xfId="22981" xr:uid="{5EBE11EE-786C-481B-9849-8A01A107E845}"/>
    <cellStyle name="Normal 2 2 5 3 3 2 2 2" xfId="48473" xr:uid="{8EB24757-D270-45BF-ABE7-E32948843AE5}"/>
    <cellStyle name="Normal 2 2 5 3 3 2 3" xfId="35882" xr:uid="{E75C2ADD-C76A-4CD7-BA10-912AFC82C5C3}"/>
    <cellStyle name="Normal 2 2 5 3 3 3" xfId="16703" xr:uid="{69F44F60-0223-4890-9A19-886BC30A3F6F}"/>
    <cellStyle name="Normal 2 2 5 3 3 3 2" xfId="42195" xr:uid="{E2F872AE-0512-421A-BEA3-79A40F6B28A8}"/>
    <cellStyle name="Normal 2 2 5 3 3 4" xfId="29604" xr:uid="{D27A3D1F-A2F4-4432-85A8-7968A5C85567}"/>
    <cellStyle name="Normal 2 2 5 3 4" xfId="7160" xr:uid="{95CDDACD-75B4-462B-A5D4-BDD370645011}"/>
    <cellStyle name="Normal 2 2 5 3 4 2" xfId="19842" xr:uid="{49988E34-8E3B-4B6C-981A-394B33F99CE4}"/>
    <cellStyle name="Normal 2 2 5 3 4 2 2" xfId="45334" xr:uid="{569E7975-E54F-4C71-AA47-C3231E241D2B}"/>
    <cellStyle name="Normal 2 2 5 3 4 3" xfId="32743" xr:uid="{8D77D9A4-4A90-436A-A818-E824E6ED7C7F}"/>
    <cellStyle name="Normal 2 2 5 3 5" xfId="13564" xr:uid="{1D3D6778-EA37-49C8-BEA2-05AC04E127EC}"/>
    <cellStyle name="Normal 2 2 5 3 5 2" xfId="39056" xr:uid="{E7ECB91E-D06C-4564-A9B8-9878F80A2B8C}"/>
    <cellStyle name="Normal 2 2 5 3 6" xfId="26465" xr:uid="{98E20423-AB7E-4C32-9411-5C99000DE8B0}"/>
    <cellStyle name="Normal 2 2 5 4" xfId="1897" xr:uid="{E7BDEB73-4255-4D81-A2C0-13FA510D33DC}"/>
    <cellStyle name="Normal 2 2 5 4 2" xfId="5051" xr:uid="{71786CE0-90C1-44DB-80A7-2C5BB358C2B3}"/>
    <cellStyle name="Normal 2 2 5 4 2 2" xfId="11344" xr:uid="{417491A9-AA12-4619-A5CB-BACDDB9783A2}"/>
    <cellStyle name="Normal 2 2 5 4 2 2 2" xfId="24026" xr:uid="{913B8770-EDEC-42A1-BFD4-9F24DC82760E}"/>
    <cellStyle name="Normal 2 2 5 4 2 2 2 2" xfId="49518" xr:uid="{ADAB96F6-E032-4B79-9DC8-B61CDC5EC316}"/>
    <cellStyle name="Normal 2 2 5 4 2 2 3" xfId="36927" xr:uid="{4BF73911-788E-400F-922C-EB933F16C0AF}"/>
    <cellStyle name="Normal 2 2 5 4 2 3" xfId="17748" xr:uid="{FA1F7BD5-5015-4B9B-88BD-60C6D32C173E}"/>
    <cellStyle name="Normal 2 2 5 4 2 3 2" xfId="43240" xr:uid="{C7EB2108-BEF6-4ECF-9BDB-11B9F2D8AD1F}"/>
    <cellStyle name="Normal 2 2 5 4 2 4" xfId="30649" xr:uid="{DC199DF1-A7BF-4F74-AE4A-E77F2C1568CC}"/>
    <cellStyle name="Normal 2 2 5 4 3" xfId="8205" xr:uid="{C7D7904E-1A18-459B-857C-01161477CD58}"/>
    <cellStyle name="Normal 2 2 5 4 3 2" xfId="20887" xr:uid="{977FAA91-C747-469D-925D-E49EA6EB82B2}"/>
    <cellStyle name="Normal 2 2 5 4 3 2 2" xfId="46379" xr:uid="{F74CA09B-7E2B-431C-940A-BDA7E038A385}"/>
    <cellStyle name="Normal 2 2 5 4 3 3" xfId="33788" xr:uid="{8EE71066-D304-460C-8FF6-59766C458341}"/>
    <cellStyle name="Normal 2 2 5 4 4" xfId="14609" xr:uid="{5EF4C0DD-48EA-410F-A96C-56975BE78011}"/>
    <cellStyle name="Normal 2 2 5 4 4 2" xfId="40101" xr:uid="{093134AA-5C50-40DD-80E5-A0CEEA8FA6CE}"/>
    <cellStyle name="Normal 2 2 5 4 5" xfId="27510" xr:uid="{A0FEF341-49C9-421C-B373-1DB5D7A27E31}"/>
    <cellStyle name="Normal 2 2 5 5" xfId="1375" xr:uid="{616BACFA-DB0C-4E1E-AD6A-EAEFEE7C82F0}"/>
    <cellStyle name="Normal 2 2 5 5 2" xfId="4529" xr:uid="{40DB9DC0-1D4E-4EAF-8169-2797E5B3A20C}"/>
    <cellStyle name="Normal 2 2 5 5 2 2" xfId="10822" xr:uid="{4ACD7D76-AFCD-4B10-9676-1E11ADAF4805}"/>
    <cellStyle name="Normal 2 2 5 5 2 2 2" xfId="23504" xr:uid="{30A3C17C-3865-415B-ACDE-B4713B898295}"/>
    <cellStyle name="Normal 2 2 5 5 2 2 2 2" xfId="48996" xr:uid="{26F86572-E6B0-445B-B9BD-CBD7935570E3}"/>
    <cellStyle name="Normal 2 2 5 5 2 2 3" xfId="36405" xr:uid="{EE9ECB52-103E-494C-8028-E529757650B9}"/>
    <cellStyle name="Normal 2 2 5 5 2 3" xfId="17226" xr:uid="{2240ADCC-8436-43BF-89AC-FF7929CF2B6F}"/>
    <cellStyle name="Normal 2 2 5 5 2 3 2" xfId="42718" xr:uid="{7C0A4500-9689-4772-8F16-2F0966A6A9F6}"/>
    <cellStyle name="Normal 2 2 5 5 2 4" xfId="30127" xr:uid="{69059807-2FDC-487D-A9CF-ABC87AE8380E}"/>
    <cellStyle name="Normal 2 2 5 5 3" xfId="7683" xr:uid="{51020878-4D8A-494C-BDCF-67A9F14DD541}"/>
    <cellStyle name="Normal 2 2 5 5 3 2" xfId="20365" xr:uid="{5A3BBAA4-CE23-48F0-9C66-F34509EBF9E1}"/>
    <cellStyle name="Normal 2 2 5 5 3 2 2" xfId="45857" xr:uid="{653BEC6D-16DB-4A66-BD1A-E2B589DC309E}"/>
    <cellStyle name="Normal 2 2 5 5 3 3" xfId="33266" xr:uid="{CCD5BF0C-81F9-4FA5-984C-62C52E2548B1}"/>
    <cellStyle name="Normal 2 2 5 5 4" xfId="14087" xr:uid="{5E9CB4CA-437A-40C0-BA23-CD23BFE91C0D}"/>
    <cellStyle name="Normal 2 2 5 5 4 2" xfId="39579" xr:uid="{E54FAC03-6283-4E47-BB89-47FCDAB81651}"/>
    <cellStyle name="Normal 2 2 5 5 5" xfId="26988" xr:uid="{4D6BB49A-E415-4321-B73B-BD71DE2AA3C6}"/>
    <cellStyle name="Normal 2 2 5 6" xfId="2682" xr:uid="{3606E23E-1621-4C21-B293-626555455C17}"/>
    <cellStyle name="Normal 2 2 5 6 2" xfId="5836" xr:uid="{9B4E4CDD-80E2-4596-98CE-06383ABD43CC}"/>
    <cellStyle name="Normal 2 2 5 6 2 2" xfId="12129" xr:uid="{1EE50439-A030-46F0-9CA9-C468F08B2055}"/>
    <cellStyle name="Normal 2 2 5 6 2 2 2" xfId="24811" xr:uid="{83F6A142-8848-4884-AA7E-AB02036765CE}"/>
    <cellStyle name="Normal 2 2 5 6 2 2 2 2" xfId="50303" xr:uid="{E13F0BF2-560B-46B0-9A80-AE37F5656AF7}"/>
    <cellStyle name="Normal 2 2 5 6 2 2 3" xfId="37712" xr:uid="{27F84331-D668-448C-A320-FF1270E5486A}"/>
    <cellStyle name="Normal 2 2 5 6 2 3" xfId="18533" xr:uid="{6C2A97CD-A1F5-4DFC-AC96-82E13ACB8000}"/>
    <cellStyle name="Normal 2 2 5 6 2 3 2" xfId="44025" xr:uid="{CB611D3A-33F0-4CDE-8A20-D1BC8AD48739}"/>
    <cellStyle name="Normal 2 2 5 6 2 4" xfId="31434" xr:uid="{79A056C7-FF62-46C2-81ED-5F0CDFF77FCD}"/>
    <cellStyle name="Normal 2 2 5 6 3" xfId="8990" xr:uid="{5C36AC60-F948-4043-8166-14A7333DAC11}"/>
    <cellStyle name="Normal 2 2 5 6 3 2" xfId="21672" xr:uid="{DFDD2C2D-5092-4508-B5B9-55DCB0C93834}"/>
    <cellStyle name="Normal 2 2 5 6 3 2 2" xfId="47164" xr:uid="{DEABAB02-C6C6-4F81-80F0-1F2DEC58C8F0}"/>
    <cellStyle name="Normal 2 2 5 6 3 3" xfId="34573" xr:uid="{1D652BD7-7F01-4BAA-8A62-69396FFB7D7B}"/>
    <cellStyle name="Normal 2 2 5 6 4" xfId="15394" xr:uid="{23C4FC99-A2F8-4622-9C38-0325A1364968}"/>
    <cellStyle name="Normal 2 2 5 6 4 2" xfId="40886" xr:uid="{50FD1DC3-3FD0-40D3-A14A-A1313F821608}"/>
    <cellStyle name="Normal 2 2 5 6 5" xfId="28295" xr:uid="{F792ABD9-DF87-467F-8835-75A0093E0BF3}"/>
    <cellStyle name="Normal 2 2 5 7" xfId="3205" xr:uid="{CFBDBCC5-9331-4F46-84E7-ACF412C02BAD}"/>
    <cellStyle name="Normal 2 2 5 7 2" xfId="6359" xr:uid="{F1DF28BF-4D0E-4837-A710-D7D55E23092A}"/>
    <cellStyle name="Normal 2 2 5 7 2 2" xfId="12652" xr:uid="{CAAEAA69-6DFE-4309-BA8B-D704548BD993}"/>
    <cellStyle name="Normal 2 2 5 7 2 2 2" xfId="25334" xr:uid="{865EA031-DE50-40B1-881C-B72AEC9FBCAA}"/>
    <cellStyle name="Normal 2 2 5 7 2 2 2 2" xfId="50826" xr:uid="{F36CD8AF-A8DE-4438-959A-5E3DE105D3F7}"/>
    <cellStyle name="Normal 2 2 5 7 2 2 3" xfId="38235" xr:uid="{CDCFEC17-586E-4F2B-BE9F-6AB929866F14}"/>
    <cellStyle name="Normal 2 2 5 7 2 3" xfId="19056" xr:uid="{9435E19C-7DAE-48AC-8414-923861F02A64}"/>
    <cellStyle name="Normal 2 2 5 7 2 3 2" xfId="44548" xr:uid="{0F5EF502-12D6-4CD2-8FB9-71BF95EBCCF8}"/>
    <cellStyle name="Normal 2 2 5 7 2 4" xfId="31957" xr:uid="{EA46F5BC-491A-4E76-9D7F-B7B51782E8EC}"/>
    <cellStyle name="Normal 2 2 5 7 3" xfId="9513" xr:uid="{3F2F83E1-11A3-48CE-BD1A-6E5AF9FFC075}"/>
    <cellStyle name="Normal 2 2 5 7 3 2" xfId="22195" xr:uid="{91E3E699-31D8-4C8A-91D6-709FB324B1E8}"/>
    <cellStyle name="Normal 2 2 5 7 3 2 2" xfId="47687" xr:uid="{080582EA-647B-4014-A597-168864045585}"/>
    <cellStyle name="Normal 2 2 5 7 3 3" xfId="35096" xr:uid="{A746CC1F-BC2D-4EB7-B97E-6F49DB265A09}"/>
    <cellStyle name="Normal 2 2 5 7 4" xfId="15917" xr:uid="{AAEE8802-C17C-4E21-BECF-A44AD963C0C3}"/>
    <cellStyle name="Normal 2 2 5 7 4 2" xfId="41409" xr:uid="{73A10188-595D-473B-9D5F-BABDA0023750}"/>
    <cellStyle name="Normal 2 2 5 7 5" xfId="28818" xr:uid="{25A69FD0-CB48-43BF-AB9E-9694DB372DEE}"/>
    <cellStyle name="Normal 2 2 5 8" xfId="3744" xr:uid="{249486BB-43E2-4BAC-9674-19E49641C138}"/>
    <cellStyle name="Normal 2 2 5 8 2" xfId="10037" xr:uid="{B908583F-AD15-4CC6-A300-A9276570E776}"/>
    <cellStyle name="Normal 2 2 5 8 2 2" xfId="22719" xr:uid="{61BF502C-958E-484C-A356-128E4358BE3D}"/>
    <cellStyle name="Normal 2 2 5 8 2 2 2" xfId="48211" xr:uid="{F8FD94AA-CF0A-45FB-9897-C1C22C62CE5C}"/>
    <cellStyle name="Normal 2 2 5 8 2 3" xfId="35620" xr:uid="{18DC7A4F-18CB-4737-9C06-7C07B2736A52}"/>
    <cellStyle name="Normal 2 2 5 8 3" xfId="16441" xr:uid="{B212EE63-4B26-4546-8677-64DA474DD55A}"/>
    <cellStyle name="Normal 2 2 5 8 3 2" xfId="41933" xr:uid="{4C8197D5-4609-4ACB-9DC6-C7443D66F25D}"/>
    <cellStyle name="Normal 2 2 5 8 4" xfId="29342" xr:uid="{03666CCC-91CE-4A98-B467-BCAB22C79787}"/>
    <cellStyle name="Normal 2 2 5 9" xfId="6898" xr:uid="{273F563E-99DC-4A75-9BA2-600BC6B1F0FE}"/>
    <cellStyle name="Normal 2 2 5 9 2" xfId="19580" xr:uid="{3D3EEE3B-0D65-498C-9640-E8C3F497FFCB}"/>
    <cellStyle name="Normal 2 2 5 9 2 2" xfId="45072" xr:uid="{8370E405-1EB4-407C-8EC4-888E212AE06A}"/>
    <cellStyle name="Normal 2 2 5 9 3" xfId="32481" xr:uid="{CC3EACE4-B802-40DE-A5F9-A2DE0DDCB884}"/>
    <cellStyle name="Normal 2 2 6" xfId="517" xr:uid="{31090A22-A51D-4810-99EC-AB48276AA618}"/>
    <cellStyle name="Normal 2 2 6 10" xfId="13244" xr:uid="{05D01922-8E8A-4641-BBA6-1A086E7BA83F}"/>
    <cellStyle name="Normal 2 2 6 10 2" xfId="38736" xr:uid="{7ECD379F-65C7-4E2B-BC02-CBC7F8482DFC}"/>
    <cellStyle name="Normal 2 2 6 11" xfId="26145" xr:uid="{9F461E4C-A78B-490D-B3A2-DEB06B9BE662}"/>
    <cellStyle name="Normal 2 2 6 2" xfId="1054" xr:uid="{9AE534B7-B115-46E9-BA0D-89D01B432CE8}"/>
    <cellStyle name="Normal 2 2 6 2 2" xfId="2361" xr:uid="{1A96D888-377D-4BA5-831F-522DBA5F3745}"/>
    <cellStyle name="Normal 2 2 6 2 2 2" xfId="5515" xr:uid="{C937520D-D1FD-4D3B-BF48-6D580BA977FA}"/>
    <cellStyle name="Normal 2 2 6 2 2 2 2" xfId="11808" xr:uid="{254B1DE8-7179-4777-9284-CCDDF53679E6}"/>
    <cellStyle name="Normal 2 2 6 2 2 2 2 2" xfId="24490" xr:uid="{BE34A146-23A5-4616-BAEC-F21A30F278CB}"/>
    <cellStyle name="Normal 2 2 6 2 2 2 2 2 2" xfId="49982" xr:uid="{54391940-59C3-4D68-98E0-15A7B9719C51}"/>
    <cellStyle name="Normal 2 2 6 2 2 2 2 3" xfId="37391" xr:uid="{79E61CA3-C3B1-455D-ADDA-C89526704482}"/>
    <cellStyle name="Normal 2 2 6 2 2 2 3" xfId="18212" xr:uid="{53F51FB7-5B44-43FA-834D-6F89A7B3594D}"/>
    <cellStyle name="Normal 2 2 6 2 2 2 3 2" xfId="43704" xr:uid="{F1332401-C038-407A-A851-BA6FD7304059}"/>
    <cellStyle name="Normal 2 2 6 2 2 2 4" xfId="31113" xr:uid="{D8A7B03F-3079-4398-863B-F97F7A5A83D4}"/>
    <cellStyle name="Normal 2 2 6 2 2 3" xfId="8669" xr:uid="{E54C0211-49D8-4F2E-AD4A-695DA4DB2069}"/>
    <cellStyle name="Normal 2 2 6 2 2 3 2" xfId="21351" xr:uid="{E5CA0B95-FA59-49C9-8D40-6FBABDE7480F}"/>
    <cellStyle name="Normal 2 2 6 2 2 3 2 2" xfId="46843" xr:uid="{4216A9DA-DA76-4C2E-AC82-06BA33211D50}"/>
    <cellStyle name="Normal 2 2 6 2 2 3 3" xfId="34252" xr:uid="{93B4B1BF-251B-4359-B51F-66E6850E0B27}"/>
    <cellStyle name="Normal 2 2 6 2 2 4" xfId="15073" xr:uid="{6F577A62-17A6-4EFD-9EEE-0BC4210EFB14}"/>
    <cellStyle name="Normal 2 2 6 2 2 4 2" xfId="40565" xr:uid="{B800499D-5859-4992-9584-86CF58D0BB8D}"/>
    <cellStyle name="Normal 2 2 6 2 2 5" xfId="27974" xr:uid="{EA5ED6EB-EA1F-4F5C-B758-2C87BD4501A3}"/>
    <cellStyle name="Normal 2 2 6 2 3" xfId="1578" xr:uid="{3F3EDF59-C208-411E-91E7-C83A75F7BACE}"/>
    <cellStyle name="Normal 2 2 6 2 3 2" xfId="4732" xr:uid="{8C789C17-D849-4EF8-B2A1-7694BC47733A}"/>
    <cellStyle name="Normal 2 2 6 2 3 2 2" xfId="11025" xr:uid="{F9F9B5E3-4241-4CBE-93F4-D5A8F04392A0}"/>
    <cellStyle name="Normal 2 2 6 2 3 2 2 2" xfId="23707" xr:uid="{33495C29-EC17-4CE6-8F31-FFEBA5A03C3D}"/>
    <cellStyle name="Normal 2 2 6 2 3 2 2 2 2" xfId="49199" xr:uid="{16DC9156-11C6-4349-B1BB-181A61329215}"/>
    <cellStyle name="Normal 2 2 6 2 3 2 2 3" xfId="36608" xr:uid="{0C368745-174E-4C6C-B5C9-137A73E9B1C2}"/>
    <cellStyle name="Normal 2 2 6 2 3 2 3" xfId="17429" xr:uid="{F777922F-FBB1-4D54-AA72-764D0DF65DB7}"/>
    <cellStyle name="Normal 2 2 6 2 3 2 3 2" xfId="42921" xr:uid="{F4C3C119-6EB3-410E-90F2-3698681D09D7}"/>
    <cellStyle name="Normal 2 2 6 2 3 2 4" xfId="30330" xr:uid="{5F40F47A-D61F-4DDA-AEF6-26F274E1807B}"/>
    <cellStyle name="Normal 2 2 6 2 3 3" xfId="7886" xr:uid="{83CC54F3-3727-41AF-933B-5C9382D2E9A6}"/>
    <cellStyle name="Normal 2 2 6 2 3 3 2" xfId="20568" xr:uid="{CC06DD90-70FC-475A-BC9C-F8040C478AAC}"/>
    <cellStyle name="Normal 2 2 6 2 3 3 2 2" xfId="46060" xr:uid="{A3DDB7AD-BBD8-4D18-8417-A61E4992A401}"/>
    <cellStyle name="Normal 2 2 6 2 3 3 3" xfId="33469" xr:uid="{811ADED4-CE98-4218-AAF1-808D5AD66783}"/>
    <cellStyle name="Normal 2 2 6 2 3 4" xfId="14290" xr:uid="{1CA8B1B6-094A-48DE-A8A9-B9DC3C96BA5D}"/>
    <cellStyle name="Normal 2 2 6 2 3 4 2" xfId="39782" xr:uid="{F3F4ACA6-EB6B-483E-805E-039870EF9831}"/>
    <cellStyle name="Normal 2 2 6 2 3 5" xfId="27191" xr:uid="{4F83D323-1676-462C-84EB-9A602D8106E9}"/>
    <cellStyle name="Normal 2 2 6 2 4" xfId="2885" xr:uid="{AEA04C77-5D12-4A1B-8AA8-020A15216D17}"/>
    <cellStyle name="Normal 2 2 6 2 4 2" xfId="6039" xr:uid="{E1CB5F99-00FE-4883-919E-83D3EC4E7ECB}"/>
    <cellStyle name="Normal 2 2 6 2 4 2 2" xfId="12332" xr:uid="{37E1729B-FF4E-41F5-AEB2-D2FE420A6C1D}"/>
    <cellStyle name="Normal 2 2 6 2 4 2 2 2" xfId="25014" xr:uid="{BF3F3D07-4C5E-4B09-8FF5-84B26AFFADFC}"/>
    <cellStyle name="Normal 2 2 6 2 4 2 2 2 2" xfId="50506" xr:uid="{F092FEC4-1EAB-4CBD-AE3E-B70282847100}"/>
    <cellStyle name="Normal 2 2 6 2 4 2 2 3" xfId="37915" xr:uid="{514CD5CC-53B1-48D2-935D-95E3583A2428}"/>
    <cellStyle name="Normal 2 2 6 2 4 2 3" xfId="18736" xr:uid="{9F92A134-85A3-44F4-BD61-5F5673FB90D4}"/>
    <cellStyle name="Normal 2 2 6 2 4 2 3 2" xfId="44228" xr:uid="{610801E3-C28A-44BC-83A0-610809FF2198}"/>
    <cellStyle name="Normal 2 2 6 2 4 2 4" xfId="31637" xr:uid="{2B7C269C-4FDC-4425-A950-0218C96FC069}"/>
    <cellStyle name="Normal 2 2 6 2 4 3" xfId="9193" xr:uid="{B915BD50-1068-40BE-A081-5CD8557D6D0A}"/>
    <cellStyle name="Normal 2 2 6 2 4 3 2" xfId="21875" xr:uid="{0F09C059-581D-4CD8-AAD5-5F60CEE9E9CD}"/>
    <cellStyle name="Normal 2 2 6 2 4 3 2 2" xfId="47367" xr:uid="{9AB6DEDF-155C-43D2-A44E-82CB304FA274}"/>
    <cellStyle name="Normal 2 2 6 2 4 3 3" xfId="34776" xr:uid="{E42D10BA-4661-4DCA-AC37-C5E9011B3FDE}"/>
    <cellStyle name="Normal 2 2 6 2 4 4" xfId="15597" xr:uid="{EBB5218E-F7BA-410E-A435-B6C74C4133B2}"/>
    <cellStyle name="Normal 2 2 6 2 4 4 2" xfId="41089" xr:uid="{37AD6FDC-8217-477B-9FA0-BE9B3098D7BD}"/>
    <cellStyle name="Normal 2 2 6 2 4 5" xfId="28498" xr:uid="{0B8BCCD3-FEFE-46B6-80C5-C37A28BCF23D}"/>
    <cellStyle name="Normal 2 2 6 2 5" xfId="3408" xr:uid="{4E20AE1F-ECC1-4782-82D3-5B8CEFAA5F97}"/>
    <cellStyle name="Normal 2 2 6 2 5 2" xfId="6562" xr:uid="{B66A7191-7423-45A1-A278-878AF6B52CD8}"/>
    <cellStyle name="Normal 2 2 6 2 5 2 2" xfId="12855" xr:uid="{EC4303C0-53FC-4ECC-BC12-D1AD4D25D44B}"/>
    <cellStyle name="Normal 2 2 6 2 5 2 2 2" xfId="25537" xr:uid="{DA2E263F-D65C-4989-833A-5B3B6688AE69}"/>
    <cellStyle name="Normal 2 2 6 2 5 2 2 2 2" xfId="51029" xr:uid="{9A328FD3-735B-487E-AB47-68C590400246}"/>
    <cellStyle name="Normal 2 2 6 2 5 2 2 3" xfId="38438" xr:uid="{74B3AED7-64D6-41A3-A580-68844A44978C}"/>
    <cellStyle name="Normal 2 2 6 2 5 2 3" xfId="19259" xr:uid="{6036B267-1E03-4C63-B854-E6160270C161}"/>
    <cellStyle name="Normal 2 2 6 2 5 2 3 2" xfId="44751" xr:uid="{B4069DAE-D2F4-4F88-A0A3-8A147ABE325C}"/>
    <cellStyle name="Normal 2 2 6 2 5 2 4" xfId="32160" xr:uid="{0D808E80-46C6-4809-86C8-1DFEA60EB9F7}"/>
    <cellStyle name="Normal 2 2 6 2 5 3" xfId="9716" xr:uid="{750F57CC-DF05-44C2-A4EB-1DF53DACF7C9}"/>
    <cellStyle name="Normal 2 2 6 2 5 3 2" xfId="22398" xr:uid="{6386B823-29F9-4F44-9AB9-2B30DD91CCEA}"/>
    <cellStyle name="Normal 2 2 6 2 5 3 2 2" xfId="47890" xr:uid="{9B93E1C6-5E99-4715-B111-7246F33758E0}"/>
    <cellStyle name="Normal 2 2 6 2 5 3 3" xfId="35299" xr:uid="{5754D8F8-4226-4371-93C9-D81BEC4C25DB}"/>
    <cellStyle name="Normal 2 2 6 2 5 4" xfId="16120" xr:uid="{BCF74B3A-B1CA-4EBF-9E5B-0AD950A24241}"/>
    <cellStyle name="Normal 2 2 6 2 5 4 2" xfId="41612" xr:uid="{C7C8803F-253D-464E-B336-ED6359F0AA96}"/>
    <cellStyle name="Normal 2 2 6 2 5 5" xfId="29021" xr:uid="{8F798A86-FD29-4156-8FD0-368A82C6167F}"/>
    <cellStyle name="Normal 2 2 6 2 6" xfId="4208" xr:uid="{B6C53491-B205-4891-B927-6E6617124EA2}"/>
    <cellStyle name="Normal 2 2 6 2 6 2" xfId="10501" xr:uid="{54789FF0-989F-433D-8177-96F973E6242D}"/>
    <cellStyle name="Normal 2 2 6 2 6 2 2" xfId="23183" xr:uid="{8E30398C-9328-4CA3-BF83-A3B6B13B3288}"/>
    <cellStyle name="Normal 2 2 6 2 6 2 2 2" xfId="48675" xr:uid="{131AEF55-46AF-48E6-9E91-666B5DFFED2D}"/>
    <cellStyle name="Normal 2 2 6 2 6 2 3" xfId="36084" xr:uid="{B703DC6A-7B28-40D1-8C46-77A1C8202B8F}"/>
    <cellStyle name="Normal 2 2 6 2 6 3" xfId="16905" xr:uid="{BBD79EC7-88D8-42D6-9ED1-8061C4063A23}"/>
    <cellStyle name="Normal 2 2 6 2 6 3 2" xfId="42397" xr:uid="{C82C65C3-A46C-480E-8B56-F7020CADE5BB}"/>
    <cellStyle name="Normal 2 2 6 2 6 4" xfId="29806" xr:uid="{D8F91583-32D5-4E68-B305-95636A719107}"/>
    <cellStyle name="Normal 2 2 6 2 7" xfId="7362" xr:uid="{526F6976-C029-4B54-B999-AFC080A11EC7}"/>
    <cellStyle name="Normal 2 2 6 2 7 2" xfId="20044" xr:uid="{100E9AAF-FB05-4E58-86A8-21BFE319CFA4}"/>
    <cellStyle name="Normal 2 2 6 2 7 2 2" xfId="45536" xr:uid="{E90625B1-9344-4F80-9899-166A6C266359}"/>
    <cellStyle name="Normal 2 2 6 2 7 3" xfId="32945" xr:uid="{51459BF0-FB89-45AF-9287-3EEFEFC9B947}"/>
    <cellStyle name="Normal 2 2 6 2 8" xfId="13766" xr:uid="{8592D717-C8FB-47FF-98FB-3F0F40519FC4}"/>
    <cellStyle name="Normal 2 2 6 2 8 2" xfId="39258" xr:uid="{4AF1D682-C5F9-4343-A4B2-A5764428B31F}"/>
    <cellStyle name="Normal 2 2 6 2 9" xfId="26667" xr:uid="{C0FA9F0E-9E0F-4112-8568-5982C532A58C}"/>
    <cellStyle name="Normal 2 2 6 3" xfId="794" xr:uid="{D97A6FEE-DC24-4F8F-9F0F-6286D0A95DA4}"/>
    <cellStyle name="Normal 2 2 6 3 2" xfId="2101" xr:uid="{DE5C4D6D-B8A2-4C49-81A5-3EDEDC7C058A}"/>
    <cellStyle name="Normal 2 2 6 3 2 2" xfId="5255" xr:uid="{8762C787-7DEB-4A73-B863-A3E4E3AA032D}"/>
    <cellStyle name="Normal 2 2 6 3 2 2 2" xfId="11548" xr:uid="{A84F53D0-D2D8-4937-A37F-3EE43055A18E}"/>
    <cellStyle name="Normal 2 2 6 3 2 2 2 2" xfId="24230" xr:uid="{E6558139-618D-4960-B2DF-8B4A62C401A9}"/>
    <cellStyle name="Normal 2 2 6 3 2 2 2 2 2" xfId="49722" xr:uid="{0AECDD1A-A75D-425B-8D7B-749E720A4ABC}"/>
    <cellStyle name="Normal 2 2 6 3 2 2 2 3" xfId="37131" xr:uid="{AC415702-C8D5-4A92-801D-B3337FC70271}"/>
    <cellStyle name="Normal 2 2 6 3 2 2 3" xfId="17952" xr:uid="{D076E9EA-59FC-419C-9928-7BC850EC29B7}"/>
    <cellStyle name="Normal 2 2 6 3 2 2 3 2" xfId="43444" xr:uid="{85CF0ED9-377E-40E4-958E-64A89B5581D6}"/>
    <cellStyle name="Normal 2 2 6 3 2 2 4" xfId="30853" xr:uid="{BA54EF21-1AF9-4463-BD87-DE8B0E558EC0}"/>
    <cellStyle name="Normal 2 2 6 3 2 3" xfId="8409" xr:uid="{8EF57EB7-644B-4FC3-BCE4-BDE167DDF63B}"/>
    <cellStyle name="Normal 2 2 6 3 2 3 2" xfId="21091" xr:uid="{855530AD-4C49-4618-9D91-977743780482}"/>
    <cellStyle name="Normal 2 2 6 3 2 3 2 2" xfId="46583" xr:uid="{2AB82BF2-0DDC-403B-8534-7376B9744D7E}"/>
    <cellStyle name="Normal 2 2 6 3 2 3 3" xfId="33992" xr:uid="{73186415-6F00-4918-96AD-C635D9665F41}"/>
    <cellStyle name="Normal 2 2 6 3 2 4" xfId="14813" xr:uid="{5693BA72-4CAC-40B1-A95A-6C818A63798C}"/>
    <cellStyle name="Normal 2 2 6 3 2 4 2" xfId="40305" xr:uid="{872B8BCD-8EC3-490D-BAFC-7172DC1B28DD}"/>
    <cellStyle name="Normal 2 2 6 3 2 5" xfId="27714" xr:uid="{0BD6328F-0F19-4531-9327-0859E79616B5}"/>
    <cellStyle name="Normal 2 2 6 3 3" xfId="3948" xr:uid="{032D7453-E340-4CBC-A423-BBC4E9C605EF}"/>
    <cellStyle name="Normal 2 2 6 3 3 2" xfId="10241" xr:uid="{1FBAC270-BCD4-4868-BD61-D5049C8B9EF3}"/>
    <cellStyle name="Normal 2 2 6 3 3 2 2" xfId="22923" xr:uid="{B0A5C5CF-C0B0-478E-A1BA-D7CE8A90C289}"/>
    <cellStyle name="Normal 2 2 6 3 3 2 2 2" xfId="48415" xr:uid="{F3056F75-123E-420D-BE94-8477125D71EB}"/>
    <cellStyle name="Normal 2 2 6 3 3 2 3" xfId="35824" xr:uid="{E438DD72-B75F-4529-8919-465FEF97164A}"/>
    <cellStyle name="Normal 2 2 6 3 3 3" xfId="16645" xr:uid="{5D5AFCC6-2B98-4ECD-BE6B-038DA8A9D030}"/>
    <cellStyle name="Normal 2 2 6 3 3 3 2" xfId="42137" xr:uid="{DED11D3E-65BF-46E1-9481-CB8AFB65E0BB}"/>
    <cellStyle name="Normal 2 2 6 3 3 4" xfId="29546" xr:uid="{FA7F433D-43B0-4E7D-88D5-86D1828EE357}"/>
    <cellStyle name="Normal 2 2 6 3 4" xfId="7102" xr:uid="{A4A7BBBE-FBB2-44FC-9D9F-F64230C0FFF2}"/>
    <cellStyle name="Normal 2 2 6 3 4 2" xfId="19784" xr:uid="{95623B28-B472-43F3-9111-BFE10C16608F}"/>
    <cellStyle name="Normal 2 2 6 3 4 2 2" xfId="45276" xr:uid="{D9785B54-5873-40A4-A262-5A3DE6474FFC}"/>
    <cellStyle name="Normal 2 2 6 3 4 3" xfId="32685" xr:uid="{848C69F5-8909-45BC-8F62-E06092E99859}"/>
    <cellStyle name="Normal 2 2 6 3 5" xfId="13506" xr:uid="{0B271BE0-1494-4D28-85CA-61FB622F857C}"/>
    <cellStyle name="Normal 2 2 6 3 5 2" xfId="38998" xr:uid="{F92B8E2D-4680-43A1-B298-780BB46681D5}"/>
    <cellStyle name="Normal 2 2 6 3 6" xfId="26407" xr:uid="{7040F6F7-EDD3-4B74-B779-D2B6EE9AA569}"/>
    <cellStyle name="Normal 2 2 6 4" xfId="1839" xr:uid="{BC4979C6-6125-47F0-989A-4ADF881CADB0}"/>
    <cellStyle name="Normal 2 2 6 4 2" xfId="4993" xr:uid="{682112DC-57BB-498D-B35C-CF3D2614EBD1}"/>
    <cellStyle name="Normal 2 2 6 4 2 2" xfId="11286" xr:uid="{A275C122-851F-4C21-9BEA-BDBE7DCB2F11}"/>
    <cellStyle name="Normal 2 2 6 4 2 2 2" xfId="23968" xr:uid="{42F1120C-7376-41EE-8D5A-7970363662F6}"/>
    <cellStyle name="Normal 2 2 6 4 2 2 2 2" xfId="49460" xr:uid="{F342E87E-656F-47AB-9C5A-DC0F10D76F0D}"/>
    <cellStyle name="Normal 2 2 6 4 2 2 3" xfId="36869" xr:uid="{1DC736B8-5254-4B78-9AF6-98117B93446A}"/>
    <cellStyle name="Normal 2 2 6 4 2 3" xfId="17690" xr:uid="{0DC09BBB-7D89-43AB-8EB3-0AEF883703A1}"/>
    <cellStyle name="Normal 2 2 6 4 2 3 2" xfId="43182" xr:uid="{DB8D7996-2701-4BE0-8947-84673515DDED}"/>
    <cellStyle name="Normal 2 2 6 4 2 4" xfId="30591" xr:uid="{05486A4E-0064-4E26-8C9F-DB4153A409B3}"/>
    <cellStyle name="Normal 2 2 6 4 3" xfId="8147" xr:uid="{8587476B-3CDB-4FE3-AD1F-DB405F45AFC4}"/>
    <cellStyle name="Normal 2 2 6 4 3 2" xfId="20829" xr:uid="{805D3B6B-F658-4A64-A3B1-9626D4E36EFA}"/>
    <cellStyle name="Normal 2 2 6 4 3 2 2" xfId="46321" xr:uid="{EEFC5A21-87E1-441F-AFD1-E17C528D7B8B}"/>
    <cellStyle name="Normal 2 2 6 4 3 3" xfId="33730" xr:uid="{424EFA15-062D-401F-93CC-A68080B82019}"/>
    <cellStyle name="Normal 2 2 6 4 4" xfId="14551" xr:uid="{089D49AD-AC4C-499C-BE82-4D8D85D16A3D}"/>
    <cellStyle name="Normal 2 2 6 4 4 2" xfId="40043" xr:uid="{6ECBEA7E-3803-4B1C-B090-4ECD4CC8E458}"/>
    <cellStyle name="Normal 2 2 6 4 5" xfId="27452" xr:uid="{B1032C66-FE8F-405F-B8A3-71B055A7637E}"/>
    <cellStyle name="Normal 2 2 6 5" xfId="1317" xr:uid="{6BCFB9E3-8B17-4408-AF48-68631E902B74}"/>
    <cellStyle name="Normal 2 2 6 5 2" xfId="4471" xr:uid="{2047B6F9-3BE8-4ED1-9D1D-451B8D542EE2}"/>
    <cellStyle name="Normal 2 2 6 5 2 2" xfId="10764" xr:uid="{E1C87243-EB37-4054-90B1-1D4CB821DD2F}"/>
    <cellStyle name="Normal 2 2 6 5 2 2 2" xfId="23446" xr:uid="{B764901E-7892-49E8-A67B-B661F037D2DE}"/>
    <cellStyle name="Normal 2 2 6 5 2 2 2 2" xfId="48938" xr:uid="{9663BD0B-BFB3-4018-BA64-FD9E5265EC80}"/>
    <cellStyle name="Normal 2 2 6 5 2 2 3" xfId="36347" xr:uid="{CB445589-D35E-4814-80DA-ADCAE7389F49}"/>
    <cellStyle name="Normal 2 2 6 5 2 3" xfId="17168" xr:uid="{EF2D5887-2226-4BB9-A1DF-105EDA7B30FB}"/>
    <cellStyle name="Normal 2 2 6 5 2 3 2" xfId="42660" xr:uid="{7BB96FB3-A756-400A-A21C-65264E6D279F}"/>
    <cellStyle name="Normal 2 2 6 5 2 4" xfId="30069" xr:uid="{5D341A67-9B7E-4F8E-9BA3-6EC3F2729C74}"/>
    <cellStyle name="Normal 2 2 6 5 3" xfId="7625" xr:uid="{324C6154-EC35-46D6-8B10-6713DD1B3DC9}"/>
    <cellStyle name="Normal 2 2 6 5 3 2" xfId="20307" xr:uid="{7080802E-BA63-4B52-BC30-19FAAE5219CB}"/>
    <cellStyle name="Normal 2 2 6 5 3 2 2" xfId="45799" xr:uid="{9D10E60B-0384-47E0-8406-A8AF6D68625D}"/>
    <cellStyle name="Normal 2 2 6 5 3 3" xfId="33208" xr:uid="{F73E2CC4-DCC9-428C-80E5-ECEF2755BADE}"/>
    <cellStyle name="Normal 2 2 6 5 4" xfId="14029" xr:uid="{DC8C50FA-86B8-46A9-92DC-3A458CD908F1}"/>
    <cellStyle name="Normal 2 2 6 5 4 2" xfId="39521" xr:uid="{52B6A2F2-B27C-40EE-BDCE-DFE71DCD4CEB}"/>
    <cellStyle name="Normal 2 2 6 5 5" xfId="26930" xr:uid="{2A639BF5-E352-4D50-9200-92D8ACE19781}"/>
    <cellStyle name="Normal 2 2 6 6" xfId="2624" xr:uid="{640EBCB8-08B8-4370-A53D-D217BD4E9684}"/>
    <cellStyle name="Normal 2 2 6 6 2" xfId="5778" xr:uid="{315FEB03-4F7C-4B3E-A8C3-BFE1C3B070BD}"/>
    <cellStyle name="Normal 2 2 6 6 2 2" xfId="12071" xr:uid="{08625B90-82E5-4AF4-8B93-FD4E10BFC0EF}"/>
    <cellStyle name="Normal 2 2 6 6 2 2 2" xfId="24753" xr:uid="{16B831D9-F76A-4C44-AF5B-FB5E9259833E}"/>
    <cellStyle name="Normal 2 2 6 6 2 2 2 2" xfId="50245" xr:uid="{591BE93C-70E2-4B85-B2FE-7FE1201A5BD4}"/>
    <cellStyle name="Normal 2 2 6 6 2 2 3" xfId="37654" xr:uid="{E3D15A70-7D24-4B9E-A032-2A65BE0E41B3}"/>
    <cellStyle name="Normal 2 2 6 6 2 3" xfId="18475" xr:uid="{1495254C-9E33-47D7-B308-99C2BE712DE9}"/>
    <cellStyle name="Normal 2 2 6 6 2 3 2" xfId="43967" xr:uid="{5D510C6B-04AC-4ADB-813D-C331ABF58960}"/>
    <cellStyle name="Normal 2 2 6 6 2 4" xfId="31376" xr:uid="{8AE4B7E5-8267-4CC8-B034-41D1FE33B73B}"/>
    <cellStyle name="Normal 2 2 6 6 3" xfId="8932" xr:uid="{4FC4D7BD-D29B-461A-ADBB-2B325C737FBF}"/>
    <cellStyle name="Normal 2 2 6 6 3 2" xfId="21614" xr:uid="{349B1B42-AC29-48F2-9E4B-7243EC52136A}"/>
    <cellStyle name="Normal 2 2 6 6 3 2 2" xfId="47106" xr:uid="{EBE666FE-EC9B-45C7-82E3-796998BB2BFC}"/>
    <cellStyle name="Normal 2 2 6 6 3 3" xfId="34515" xr:uid="{732EF937-9816-4940-AD1A-6124706A88FC}"/>
    <cellStyle name="Normal 2 2 6 6 4" xfId="15336" xr:uid="{405B1445-FF0B-488C-88F1-000EE3238532}"/>
    <cellStyle name="Normal 2 2 6 6 4 2" xfId="40828" xr:uid="{A3F83D57-85FF-49AB-8D7B-7377CEE7073D}"/>
    <cellStyle name="Normal 2 2 6 6 5" xfId="28237" xr:uid="{C7120C9A-9275-4CCB-B7CC-30E22BFF8BA0}"/>
    <cellStyle name="Normal 2 2 6 7" xfId="3147" xr:uid="{1308E7BB-89E2-4DDC-897E-8B4D52DA991D}"/>
    <cellStyle name="Normal 2 2 6 7 2" xfId="6301" xr:uid="{C2AA7209-8E36-40E7-88E1-D39B54C38425}"/>
    <cellStyle name="Normal 2 2 6 7 2 2" xfId="12594" xr:uid="{5C920110-1116-40EF-A3DB-2A685E93DC8E}"/>
    <cellStyle name="Normal 2 2 6 7 2 2 2" xfId="25276" xr:uid="{6A94CBCC-452C-4B31-9EEC-E954D97F37F3}"/>
    <cellStyle name="Normal 2 2 6 7 2 2 2 2" xfId="50768" xr:uid="{C5B81502-9515-42D2-A47B-C60B6E0AC835}"/>
    <cellStyle name="Normal 2 2 6 7 2 2 3" xfId="38177" xr:uid="{3A077F88-F2F2-4750-8A55-1B8031188B67}"/>
    <cellStyle name="Normal 2 2 6 7 2 3" xfId="18998" xr:uid="{EB2E8D56-4D15-4D94-8859-4E5EC8FDA42C}"/>
    <cellStyle name="Normal 2 2 6 7 2 3 2" xfId="44490" xr:uid="{FDE5FD3E-1885-481F-9ED2-F701E7F6E267}"/>
    <cellStyle name="Normal 2 2 6 7 2 4" xfId="31899" xr:uid="{C19DA3E4-2226-466D-B262-BEF0689F4FE7}"/>
    <cellStyle name="Normal 2 2 6 7 3" xfId="9455" xr:uid="{D424522F-F860-438C-9550-49790BAB7C25}"/>
    <cellStyle name="Normal 2 2 6 7 3 2" xfId="22137" xr:uid="{884823B2-91A4-4E59-BFFF-605610EC2240}"/>
    <cellStyle name="Normal 2 2 6 7 3 2 2" xfId="47629" xr:uid="{CCDE4BCA-E1E6-45F0-AB98-74C8AE622117}"/>
    <cellStyle name="Normal 2 2 6 7 3 3" xfId="35038" xr:uid="{D5A31DEA-1094-4FF4-8CA1-5BDFB14CBBC5}"/>
    <cellStyle name="Normal 2 2 6 7 4" xfId="15859" xr:uid="{4CDB8689-8708-4F07-B96B-D9693C214A87}"/>
    <cellStyle name="Normal 2 2 6 7 4 2" xfId="41351" xr:uid="{144AF2E4-45CB-4F89-B8D7-6C8F26F813CA}"/>
    <cellStyle name="Normal 2 2 6 7 5" xfId="28760" xr:uid="{18EB5A11-29EC-4C91-86B3-A8896752A083}"/>
    <cellStyle name="Normal 2 2 6 8" xfId="3686" xr:uid="{06AF475C-3D95-4B96-96D9-76CEDDB33CD7}"/>
    <cellStyle name="Normal 2 2 6 8 2" xfId="9979" xr:uid="{3D2E8B44-0B20-4D6F-96FB-BCB69443F4D4}"/>
    <cellStyle name="Normal 2 2 6 8 2 2" xfId="22661" xr:uid="{9DE43D71-8AAD-4964-8D45-EB52ADACD91A}"/>
    <cellStyle name="Normal 2 2 6 8 2 2 2" xfId="48153" xr:uid="{FDB9E17F-EF6E-4617-A64C-B50C26C72425}"/>
    <cellStyle name="Normal 2 2 6 8 2 3" xfId="35562" xr:uid="{4BBBC95C-9C33-40CC-84AA-38EBD527A816}"/>
    <cellStyle name="Normal 2 2 6 8 3" xfId="16383" xr:uid="{9A0AAB7C-A60E-499E-BC38-7878C7BB1965}"/>
    <cellStyle name="Normal 2 2 6 8 3 2" xfId="41875" xr:uid="{227E1AD2-4D55-4E2E-AABC-D41FEA2CE1A8}"/>
    <cellStyle name="Normal 2 2 6 8 4" xfId="29284" xr:uid="{BDDF0C7D-0924-4796-8E60-999DE65FDDA7}"/>
    <cellStyle name="Normal 2 2 6 9" xfId="6840" xr:uid="{B2F829BF-F843-4A57-B9FA-7EEDE26D7BF3}"/>
    <cellStyle name="Normal 2 2 6 9 2" xfId="19522" xr:uid="{EA3955D0-2F8E-4BFE-A3BF-2C6E3EA57A93}"/>
    <cellStyle name="Normal 2 2 6 9 2 2" xfId="45014" xr:uid="{4D0F8C88-F89E-4AAF-8096-0F6590E9D753}"/>
    <cellStyle name="Normal 2 2 6 9 3" xfId="32423" xr:uid="{79807611-280B-4FE8-9F28-EB8FEDE44BBB}"/>
    <cellStyle name="Normal 2 2 7" xfId="953" xr:uid="{375B553A-88D4-4F41-A4CA-1B7DF8812D01}"/>
    <cellStyle name="Normal 2 2 7 2" xfId="2260" xr:uid="{72DB2517-E1F1-403C-9251-FC72326D9F5B}"/>
    <cellStyle name="Normal 2 2 7 2 2" xfId="5414" xr:uid="{71BB0E0F-B851-4F2D-AFEC-F8B961557877}"/>
    <cellStyle name="Normal 2 2 7 2 2 2" xfId="11707" xr:uid="{75407DD3-CA46-43CF-8DAE-C20AC8428888}"/>
    <cellStyle name="Normal 2 2 7 2 2 2 2" xfId="24389" xr:uid="{363F12B4-CD87-4349-BDF9-15E691370ED1}"/>
    <cellStyle name="Normal 2 2 7 2 2 2 2 2" xfId="49881" xr:uid="{88036B22-C075-447D-A358-ADC119097F2F}"/>
    <cellStyle name="Normal 2 2 7 2 2 2 3" xfId="37290" xr:uid="{AE786268-8C5E-4C8F-9B37-9F23EA985526}"/>
    <cellStyle name="Normal 2 2 7 2 2 3" xfId="18111" xr:uid="{BE7A0695-AC64-4411-AEF9-4FD92707937A}"/>
    <cellStyle name="Normal 2 2 7 2 2 3 2" xfId="43603" xr:uid="{8182A290-17E6-4693-A0C0-8752CDC5AC28}"/>
    <cellStyle name="Normal 2 2 7 2 2 4" xfId="31012" xr:uid="{323FD052-6C1C-48BD-A564-D65FA27A7165}"/>
    <cellStyle name="Normal 2 2 7 2 3" xfId="8568" xr:uid="{C8965CA3-DA00-4B14-B72E-F29985146FE6}"/>
    <cellStyle name="Normal 2 2 7 2 3 2" xfId="21250" xr:uid="{B91B0D66-C3C5-497D-A638-864FF83D65DF}"/>
    <cellStyle name="Normal 2 2 7 2 3 2 2" xfId="46742" xr:uid="{E6EAF3CE-7D45-4BB2-8C2C-77D29AFA0467}"/>
    <cellStyle name="Normal 2 2 7 2 3 3" xfId="34151" xr:uid="{96A058BB-4367-4A1C-96D5-003120A33DDA}"/>
    <cellStyle name="Normal 2 2 7 2 4" xfId="14972" xr:uid="{2F3BA939-8BCA-4F5E-905A-09F9FF60D06B}"/>
    <cellStyle name="Normal 2 2 7 2 4 2" xfId="40464" xr:uid="{4215205A-557D-4052-8DCF-D68A71244302}"/>
    <cellStyle name="Normal 2 2 7 2 5" xfId="27873" xr:uid="{8F02267C-4E57-41F4-859D-0201CD9C527B}"/>
    <cellStyle name="Normal 2 2 7 3" xfId="1477" xr:uid="{6FFF22AC-4307-48A4-A98F-588CA35953E6}"/>
    <cellStyle name="Normal 2 2 7 3 2" xfId="4631" xr:uid="{96D8251D-222D-439B-B34D-24D781013A80}"/>
    <cellStyle name="Normal 2 2 7 3 2 2" xfId="10924" xr:uid="{FF93838C-1F2A-4267-BBE7-BF88A95673F2}"/>
    <cellStyle name="Normal 2 2 7 3 2 2 2" xfId="23606" xr:uid="{5B112A8D-6AFA-4B34-B23F-04C7D13C27A5}"/>
    <cellStyle name="Normal 2 2 7 3 2 2 2 2" xfId="49098" xr:uid="{9722B228-EC91-4375-B31F-31CDAF8D5CA7}"/>
    <cellStyle name="Normal 2 2 7 3 2 2 3" xfId="36507" xr:uid="{C9B6632A-A7A8-4F87-BC35-4C860AF03E75}"/>
    <cellStyle name="Normal 2 2 7 3 2 3" xfId="17328" xr:uid="{DBE14FDE-41C9-45F6-8A2D-3B00E04AE313}"/>
    <cellStyle name="Normal 2 2 7 3 2 3 2" xfId="42820" xr:uid="{D14FF542-C925-4EB6-B707-50E201198783}"/>
    <cellStyle name="Normal 2 2 7 3 2 4" xfId="30229" xr:uid="{D452DD4B-8A93-43F5-9CBA-39A05916B5C0}"/>
    <cellStyle name="Normal 2 2 7 3 3" xfId="7785" xr:uid="{EF7AEB68-EF35-48B6-B974-A16CC1B4856D}"/>
    <cellStyle name="Normal 2 2 7 3 3 2" xfId="20467" xr:uid="{E0CB0896-5EC3-4F75-8EF7-043CABB3665B}"/>
    <cellStyle name="Normal 2 2 7 3 3 2 2" xfId="45959" xr:uid="{572781C6-4CB3-4C70-AADF-9E2E614A8460}"/>
    <cellStyle name="Normal 2 2 7 3 3 3" xfId="33368" xr:uid="{039D1C1F-DD27-4863-A144-E3753C587563}"/>
    <cellStyle name="Normal 2 2 7 3 4" xfId="14189" xr:uid="{C80B3D28-4E34-4088-B866-AAC9984EC626}"/>
    <cellStyle name="Normal 2 2 7 3 4 2" xfId="39681" xr:uid="{E89921CA-13AB-4ACD-8386-0F22B822EFEF}"/>
    <cellStyle name="Normal 2 2 7 3 5" xfId="27090" xr:uid="{F4E31C03-688D-4A75-9DB2-A5D2874D431C}"/>
    <cellStyle name="Normal 2 2 7 4" xfId="2784" xr:uid="{A16EC8EB-8C5C-4D50-BD71-B64969110ADF}"/>
    <cellStyle name="Normal 2 2 7 4 2" xfId="5938" xr:uid="{FE7879F0-C8F0-49DE-AE1E-ADEE24D96AE8}"/>
    <cellStyle name="Normal 2 2 7 4 2 2" xfId="12231" xr:uid="{A0556806-3510-46F5-ADEE-E51CE65498A4}"/>
    <cellStyle name="Normal 2 2 7 4 2 2 2" xfId="24913" xr:uid="{137CF1AC-14ED-46C1-9CA6-D3792F59E91C}"/>
    <cellStyle name="Normal 2 2 7 4 2 2 2 2" xfId="50405" xr:uid="{D81C91B7-5D22-4FC5-B03F-CD214024FB29}"/>
    <cellStyle name="Normal 2 2 7 4 2 2 3" xfId="37814" xr:uid="{FA5B93E4-A374-49B8-A5AF-777C2D469E56}"/>
    <cellStyle name="Normal 2 2 7 4 2 3" xfId="18635" xr:uid="{9F85833D-AE38-4FA9-8CB9-5DCC5C8E2CE1}"/>
    <cellStyle name="Normal 2 2 7 4 2 3 2" xfId="44127" xr:uid="{87F8C2CA-7DE3-41BA-A8FC-654A328A48FA}"/>
    <cellStyle name="Normal 2 2 7 4 2 4" xfId="31536" xr:uid="{047D83BD-0A78-4139-989C-239A639CD594}"/>
    <cellStyle name="Normal 2 2 7 4 3" xfId="9092" xr:uid="{F5E78C50-382B-4DB2-A834-E728E771772B}"/>
    <cellStyle name="Normal 2 2 7 4 3 2" xfId="21774" xr:uid="{FFB71459-9E5E-41F7-8C54-83C5C06F5D5D}"/>
    <cellStyle name="Normal 2 2 7 4 3 2 2" xfId="47266" xr:uid="{E048FC73-24C1-446A-8D97-BD4103DF8D30}"/>
    <cellStyle name="Normal 2 2 7 4 3 3" xfId="34675" xr:uid="{2FF6718F-D820-4E09-9B62-758460BCB454}"/>
    <cellStyle name="Normal 2 2 7 4 4" xfId="15496" xr:uid="{A0F28509-134E-418E-9C1F-402EDE66296F}"/>
    <cellStyle name="Normal 2 2 7 4 4 2" xfId="40988" xr:uid="{50C5A295-43DF-419C-A8BA-CC533108F3CA}"/>
    <cellStyle name="Normal 2 2 7 4 5" xfId="28397" xr:uid="{C0C79364-D1C0-4E9E-AA7E-ABA1A3D9B83E}"/>
    <cellStyle name="Normal 2 2 7 5" xfId="3307" xr:uid="{7A5D810F-7FE6-4B9A-8CE5-2B9F967FD5AF}"/>
    <cellStyle name="Normal 2 2 7 5 2" xfId="6461" xr:uid="{F0E02760-C34E-4456-B9EE-F5075D59DEBA}"/>
    <cellStyle name="Normal 2 2 7 5 2 2" xfId="12754" xr:uid="{B7BD7AA7-9093-48EF-BDF4-CCB5B74CE316}"/>
    <cellStyle name="Normal 2 2 7 5 2 2 2" xfId="25436" xr:uid="{A20EC4F5-7C7B-487F-A345-FBA3870E2923}"/>
    <cellStyle name="Normal 2 2 7 5 2 2 2 2" xfId="50928" xr:uid="{60408001-4D17-4427-B65D-8974D3406A96}"/>
    <cellStyle name="Normal 2 2 7 5 2 2 3" xfId="38337" xr:uid="{9AB39BE2-125D-4979-8DD9-6F28BB593CF1}"/>
    <cellStyle name="Normal 2 2 7 5 2 3" xfId="19158" xr:uid="{F3EB55A5-87A8-4F36-AC25-2BAB11FCDAC0}"/>
    <cellStyle name="Normal 2 2 7 5 2 3 2" xfId="44650" xr:uid="{FB9366BC-594D-4C39-8EDE-18F20FFB15D2}"/>
    <cellStyle name="Normal 2 2 7 5 2 4" xfId="32059" xr:uid="{B97F9C42-DA81-4275-BA36-3BA22642EE14}"/>
    <cellStyle name="Normal 2 2 7 5 3" xfId="9615" xr:uid="{E0B1712D-225D-4C1A-A33B-4F14FDC8D071}"/>
    <cellStyle name="Normal 2 2 7 5 3 2" xfId="22297" xr:uid="{657D1435-07E6-4B53-83BA-DC5FB6689312}"/>
    <cellStyle name="Normal 2 2 7 5 3 2 2" xfId="47789" xr:uid="{65829B58-C0AE-4217-97C0-055CB637A730}"/>
    <cellStyle name="Normal 2 2 7 5 3 3" xfId="35198" xr:uid="{AC661B2F-4A2E-4558-A38C-9C6272BE84B6}"/>
    <cellStyle name="Normal 2 2 7 5 4" xfId="16019" xr:uid="{76F7634F-5FC0-4361-8DE4-894C0E30EE09}"/>
    <cellStyle name="Normal 2 2 7 5 4 2" xfId="41511" xr:uid="{8E64731B-78BA-44D0-8840-E813DDF28270}"/>
    <cellStyle name="Normal 2 2 7 5 5" xfId="28920" xr:uid="{1FA1A56F-C09C-40E3-ABBA-F8DFD3F02330}"/>
    <cellStyle name="Normal 2 2 7 6" xfId="4107" xr:uid="{AF7813BD-27A3-483A-9796-3F88638696BA}"/>
    <cellStyle name="Normal 2 2 7 6 2" xfId="10400" xr:uid="{F2D18937-CCC8-4870-80E5-14BBEE4F67A2}"/>
    <cellStyle name="Normal 2 2 7 6 2 2" xfId="23082" xr:uid="{C9CBB8F5-C576-4136-8B89-3CE68FC9E4B5}"/>
    <cellStyle name="Normal 2 2 7 6 2 2 2" xfId="48574" xr:uid="{CCF4C5A7-44A1-4440-9EF2-7212AF482807}"/>
    <cellStyle name="Normal 2 2 7 6 2 3" xfId="35983" xr:uid="{EC68BED6-8F61-46B1-96DC-42C6F11402BE}"/>
    <cellStyle name="Normal 2 2 7 6 3" xfId="16804" xr:uid="{0E521B5D-D8D2-4DC9-8A06-24C38DE4070F}"/>
    <cellStyle name="Normal 2 2 7 6 3 2" xfId="42296" xr:uid="{1136A813-0048-4F1B-A0CB-BBEBAD072009}"/>
    <cellStyle name="Normal 2 2 7 6 4" xfId="29705" xr:uid="{48F9644B-8E6F-4286-856E-D693ECC7BD2D}"/>
    <cellStyle name="Normal 2 2 7 7" xfId="7261" xr:uid="{A1ED39DE-D99B-48A0-94B6-62F57F222298}"/>
    <cellStyle name="Normal 2 2 7 7 2" xfId="19943" xr:uid="{B9EBF23F-4B0A-459A-B351-D739FA7FE6C8}"/>
    <cellStyle name="Normal 2 2 7 7 2 2" xfId="45435" xr:uid="{8E7BC77E-D8A6-4A4A-A52F-5FFF95A1AB6B}"/>
    <cellStyle name="Normal 2 2 7 7 3" xfId="32844" xr:uid="{3E70DB35-0789-4344-A1E4-FC70BD90395C}"/>
    <cellStyle name="Normal 2 2 7 8" xfId="13665" xr:uid="{2F6388AB-265C-4863-B1E3-8D12D1445B02}"/>
    <cellStyle name="Normal 2 2 7 8 2" xfId="39157" xr:uid="{5128616E-BECB-4D83-9737-919071E9A035}"/>
    <cellStyle name="Normal 2 2 7 9" xfId="26566" xr:uid="{2E834796-A319-4478-B73E-F24672BFF09B}"/>
    <cellStyle name="Normal 2 2 8" xfId="693" xr:uid="{95E872A7-66AD-48E6-8866-20D1DC4FAECE}"/>
    <cellStyle name="Normal 2 2 8 2" xfId="2000" xr:uid="{7C02B20B-2475-4D30-B389-90ADBBD94469}"/>
    <cellStyle name="Normal 2 2 8 2 2" xfId="5154" xr:uid="{B6684861-818E-4B4C-A3A8-46434B86A89B}"/>
    <cellStyle name="Normal 2 2 8 2 2 2" xfId="11447" xr:uid="{E46461E7-2785-4AF6-9A8C-B6B8B2BAE112}"/>
    <cellStyle name="Normal 2 2 8 2 2 2 2" xfId="24129" xr:uid="{341A5B15-5EFA-49C3-9109-1077EC1DA273}"/>
    <cellStyle name="Normal 2 2 8 2 2 2 2 2" xfId="49621" xr:uid="{D42EA6C6-D06B-41C8-964B-3B51CE525A3C}"/>
    <cellStyle name="Normal 2 2 8 2 2 2 3" xfId="37030" xr:uid="{94CF8BF7-E813-4D4D-B5C8-97E73080CADE}"/>
    <cellStyle name="Normal 2 2 8 2 2 3" xfId="17851" xr:uid="{94128FB6-55ED-4063-8947-B170D58EA7F5}"/>
    <cellStyle name="Normal 2 2 8 2 2 3 2" xfId="43343" xr:uid="{4480793E-F421-4957-9E9F-7CDD8CA950C8}"/>
    <cellStyle name="Normal 2 2 8 2 2 4" xfId="30752" xr:uid="{B4DD2144-F7BE-4B3E-8FCF-C67CAF966FE4}"/>
    <cellStyle name="Normal 2 2 8 2 3" xfId="8308" xr:uid="{12871729-4744-4DA9-9706-3B82A1D5D5B4}"/>
    <cellStyle name="Normal 2 2 8 2 3 2" xfId="20990" xr:uid="{98AC2C86-E2F7-4899-B154-E86A3BF58DFF}"/>
    <cellStyle name="Normal 2 2 8 2 3 2 2" xfId="46482" xr:uid="{F7B12776-14C3-4AEA-9334-784B0903514F}"/>
    <cellStyle name="Normal 2 2 8 2 3 3" xfId="33891" xr:uid="{1EC9EABD-8CAD-4015-BDEA-CA7713FA67FF}"/>
    <cellStyle name="Normal 2 2 8 2 4" xfId="14712" xr:uid="{3CC5CE0E-11A4-48FC-85C2-34E1A4134A23}"/>
    <cellStyle name="Normal 2 2 8 2 4 2" xfId="40204" xr:uid="{3446BD22-67CC-4283-9A8F-5854595E5D8F}"/>
    <cellStyle name="Normal 2 2 8 2 5" xfId="27613" xr:uid="{534EBBFE-CFAC-4578-AA9B-E122910192E8}"/>
    <cellStyle name="Normal 2 2 8 3" xfId="3847" xr:uid="{8EE627E5-B245-4C0A-A423-A63B613180E2}"/>
    <cellStyle name="Normal 2 2 8 3 2" xfId="10140" xr:uid="{E01516EF-23C6-4565-B187-9658C2365229}"/>
    <cellStyle name="Normal 2 2 8 3 2 2" xfId="22822" xr:uid="{3DEA3F71-2454-465D-9442-26BC7AA129A1}"/>
    <cellStyle name="Normal 2 2 8 3 2 2 2" xfId="48314" xr:uid="{12AEB6EB-8B9C-4A96-9D9A-1C7E57F6C678}"/>
    <cellStyle name="Normal 2 2 8 3 2 3" xfId="35723" xr:uid="{D9E96CD8-BFE7-4C30-8BF3-CA295ADCE7B0}"/>
    <cellStyle name="Normal 2 2 8 3 3" xfId="16544" xr:uid="{5656B940-3E1D-4168-A600-290A35E99BA0}"/>
    <cellStyle name="Normal 2 2 8 3 3 2" xfId="42036" xr:uid="{838F31AA-9034-4CD0-890B-1A48A4076E1D}"/>
    <cellStyle name="Normal 2 2 8 3 4" xfId="29445" xr:uid="{55179FCD-22E2-46CD-910C-B9811D861800}"/>
    <cellStyle name="Normal 2 2 8 4" xfId="7001" xr:uid="{4C9C9728-557B-4FB6-BF26-28ADEA5E9CFA}"/>
    <cellStyle name="Normal 2 2 8 4 2" xfId="19683" xr:uid="{71C984EA-35A0-4730-B1D4-FD94E5B26232}"/>
    <cellStyle name="Normal 2 2 8 4 2 2" xfId="45175" xr:uid="{C7244532-08A7-400A-A424-4D73A7F973E6}"/>
    <cellStyle name="Normal 2 2 8 4 3" xfId="32584" xr:uid="{677BEA7F-4CC3-48CB-9D30-D26A05F7F804}"/>
    <cellStyle name="Normal 2 2 8 5" xfId="13405" xr:uid="{8F03346D-952C-4F97-BCEC-4BB8E360C545}"/>
    <cellStyle name="Normal 2 2 8 5 2" xfId="38897" xr:uid="{623CE9C8-CA0E-47D3-BEEA-120D210F8433}"/>
    <cellStyle name="Normal 2 2 8 6" xfId="26306" xr:uid="{6290A7B8-FCF2-4CCD-9503-7E1309DF1000}"/>
    <cellStyle name="Normal 2 2 9" xfId="1738" xr:uid="{9E5001C2-7F3D-456F-BEAA-2D6648731B93}"/>
    <cellStyle name="Normal 2 2 9 2" xfId="4892" xr:uid="{5322081B-0812-41EB-AC58-0066DD34FD49}"/>
    <cellStyle name="Normal 2 2 9 2 2" xfId="11185" xr:uid="{6C006FDE-8130-4601-9808-FD36B1731D33}"/>
    <cellStyle name="Normal 2 2 9 2 2 2" xfId="23867" xr:uid="{00263E7F-403D-4DF5-A351-2132D1DFA893}"/>
    <cellStyle name="Normal 2 2 9 2 2 2 2" xfId="49359" xr:uid="{E1EC1305-5BC5-4CB6-9C10-53045F9A6DAD}"/>
    <cellStyle name="Normal 2 2 9 2 2 3" xfId="36768" xr:uid="{BDE92A0B-8178-449A-A7F8-42B3F8855FEF}"/>
    <cellStyle name="Normal 2 2 9 2 3" xfId="17589" xr:uid="{9FBBD13E-226D-486A-A4AF-D0019887F5A0}"/>
    <cellStyle name="Normal 2 2 9 2 3 2" xfId="43081" xr:uid="{037F1BBC-BD71-4E6B-98D6-E70D0F6DA7D3}"/>
    <cellStyle name="Normal 2 2 9 2 4" xfId="30490" xr:uid="{D52B6411-F6C6-4905-BFBA-09D23D949011}"/>
    <cellStyle name="Normal 2 2 9 3" xfId="8046" xr:uid="{5009EF0A-C349-44B6-8E1C-9A05B7BCC1FA}"/>
    <cellStyle name="Normal 2 2 9 3 2" xfId="20728" xr:uid="{05925312-E8FD-45DE-A0D7-1DD022F6C8BF}"/>
    <cellStyle name="Normal 2 2 9 3 2 2" xfId="46220" xr:uid="{D2B749DB-5E90-4151-84E3-23DCBA5D9CE5}"/>
    <cellStyle name="Normal 2 2 9 3 3" xfId="33629" xr:uid="{8552399D-09E1-4688-ABD1-65C40BAC03B5}"/>
    <cellStyle name="Normal 2 2 9 4" xfId="14450" xr:uid="{4EB1B3E7-E6FE-4B04-B285-0B8700D24E2B}"/>
    <cellStyle name="Normal 2 2 9 4 2" xfId="39942" xr:uid="{162C0F25-5C75-4A0C-B1D4-3F62563B41EA}"/>
    <cellStyle name="Normal 2 2 9 5" xfId="27351" xr:uid="{2B24AF64-0107-4021-AC43-54323AC36A59}"/>
    <cellStyle name="Normal 2 20" xfId="3560" xr:uid="{66A904E9-7743-40FB-9ED5-456FFC2F6D1D}"/>
    <cellStyle name="Normal 2 20 2" xfId="9868" xr:uid="{B3789561-E01B-49B8-BB28-49240D13285B}"/>
    <cellStyle name="Normal 2 20 2 2" xfId="22550" xr:uid="{19BFE95A-69BC-455C-B5CF-5ED8A3D05FB5}"/>
    <cellStyle name="Normal 2 20 2 2 2" xfId="48042" xr:uid="{F91B346A-F432-4F5A-A9F2-22EA178194FC}"/>
    <cellStyle name="Normal 2 20 2 3" xfId="35451" xr:uid="{4C185633-02C1-4C91-8AC4-33B903C3490A}"/>
    <cellStyle name="Normal 2 20 3" xfId="16272" xr:uid="{601EB929-37C0-446B-B329-28225BEF456E}"/>
    <cellStyle name="Normal 2 20 3 2" xfId="41764" xr:uid="{99BBE3CF-9485-4FFF-B1E9-E85FC74EED48}"/>
    <cellStyle name="Normal 2 20 4" xfId="29173" xr:uid="{0AF780C5-D1EF-4F69-BC52-1752AFE5D0FC}"/>
    <cellStyle name="Normal 2 21" xfId="3574" xr:uid="{4468BA16-A2DD-4973-B972-9F78C992CFAC}"/>
    <cellStyle name="Normal 2 21 2" xfId="9869" xr:uid="{A0DF29CC-971C-4D4B-8ECE-CBF715399A68}"/>
    <cellStyle name="Normal 2 21 2 2" xfId="22551" xr:uid="{981FABF6-ABB5-4802-B352-97F71CDBD0D0}"/>
    <cellStyle name="Normal 2 21 2 2 2" xfId="48043" xr:uid="{FBD4485D-7126-48E2-AB0A-861B032B4DBA}"/>
    <cellStyle name="Normal 2 21 2 3" xfId="35452" xr:uid="{2BE9CB03-75FE-4BE7-9E6F-AF0A2B217537}"/>
    <cellStyle name="Normal 2 21 3" xfId="16273" xr:uid="{625D792F-BB70-4057-9C19-7B290EE518C8}"/>
    <cellStyle name="Normal 2 21 3 2" xfId="41765" xr:uid="{08C509A3-3A10-4006-9D0C-C9ACC5FE18C2}"/>
    <cellStyle name="Normal 2 21 4" xfId="29174" xr:uid="{85049016-787E-44BB-A36C-0AE8529A5B68}"/>
    <cellStyle name="Normal 2 22" xfId="6714" xr:uid="{C3B169BD-2FAA-4DBD-A73D-ED075D1192B1}"/>
    <cellStyle name="Normal 2 22 2" xfId="19411" xr:uid="{21106D1F-272F-42FD-93DF-26100E25F13E}"/>
    <cellStyle name="Normal 2 22 2 2" xfId="44903" xr:uid="{4A1E4152-E825-4332-BE15-A4B550B77220}"/>
    <cellStyle name="Normal 2 22 3" xfId="32312" xr:uid="{4F1287CF-0881-45BC-8189-BB50C6FACDA8}"/>
    <cellStyle name="Normal 2 23" xfId="6728" xr:uid="{F8611F32-061C-4705-9EA2-F68431E716DE}"/>
    <cellStyle name="Normal 2 23 2" xfId="19412" xr:uid="{0FBCD012-5ED7-4148-86CA-B36862958DCC}"/>
    <cellStyle name="Normal 2 23 2 2" xfId="44904" xr:uid="{4F97B2A9-7ACF-420D-8A77-69E80B0373E1}"/>
    <cellStyle name="Normal 2 23 3" xfId="32313" xr:uid="{CDBFE2E3-1314-468D-83F2-A5DAAF17C65F}"/>
    <cellStyle name="Normal 2 24" xfId="13114" xr:uid="{0FEA8CD1-B26C-4465-ADAD-206C6A3B7A20}"/>
    <cellStyle name="Normal 2 24 2" xfId="38624" xr:uid="{835C7332-229D-4A1D-88FB-05CCAA933B22}"/>
    <cellStyle name="Normal 2 25" xfId="13052" xr:uid="{C1A39442-5E5F-454D-B064-33D683B09663}"/>
    <cellStyle name="Normal 2 25 2" xfId="38595" xr:uid="{A95E4923-23C3-4E8F-BEB8-27D0EB927692}"/>
    <cellStyle name="Normal 2 26" xfId="25978" xr:uid="{58311C0B-F5FB-4A21-8A87-CC24265C3C88}"/>
    <cellStyle name="Normal 2 27" xfId="26017" xr:uid="{E57AC291-7DF0-4BCF-A9C6-0CF9FAFABE09}"/>
    <cellStyle name="Normal 2 28" xfId="362" xr:uid="{92FC352B-2249-49BA-A5CF-1F8AA3C80FBA}"/>
    <cellStyle name="Normal 2 29" xfId="198" xr:uid="{5F98D850-40AF-4E54-B826-E490C717F5A3}"/>
    <cellStyle name="Normal 2 3" xfId="218" xr:uid="{E77DDFE2-19C5-4832-8075-739BE56CA44D}"/>
    <cellStyle name="Normal 2 3 10" xfId="1215" xr:uid="{6009A244-2B10-42FC-9459-1A914CB6C611}"/>
    <cellStyle name="Normal 2 3 10 2" xfId="4369" xr:uid="{28F9A31C-8E86-422F-B82C-22A83CA2BD89}"/>
    <cellStyle name="Normal 2 3 10 2 2" xfId="10662" xr:uid="{0F66BFE5-5007-42E7-A58D-D3CF323AB890}"/>
    <cellStyle name="Normal 2 3 10 2 2 2" xfId="23344" xr:uid="{D0C120C9-9DAE-4A70-8175-52A570AA9F8E}"/>
    <cellStyle name="Normal 2 3 10 2 2 2 2" xfId="48836" xr:uid="{E0143DB0-33E6-4EEE-9759-1A575E1692AE}"/>
    <cellStyle name="Normal 2 3 10 2 2 3" xfId="36245" xr:uid="{FC519EAE-158F-49EC-AB7E-07E60579ECD6}"/>
    <cellStyle name="Normal 2 3 10 2 3" xfId="17066" xr:uid="{D487CBF8-F538-4638-BFD6-11872F6A2962}"/>
    <cellStyle name="Normal 2 3 10 2 3 2" xfId="42558" xr:uid="{12EE534F-918B-450B-BA68-9B03BFF78BA3}"/>
    <cellStyle name="Normal 2 3 10 2 4" xfId="29967" xr:uid="{A30B8E2D-C3E2-42B6-AF8D-CDCF67B4BF17}"/>
    <cellStyle name="Normal 2 3 10 3" xfId="7523" xr:uid="{27B4EC41-6F8E-4AEC-8C1C-C3DF317E2C3E}"/>
    <cellStyle name="Normal 2 3 10 3 2" xfId="20205" xr:uid="{9AC3EFB2-9FE0-4C8A-817B-3B69F8E869F1}"/>
    <cellStyle name="Normal 2 3 10 3 2 2" xfId="45697" xr:uid="{608FF842-4F0A-46C7-8AE9-C9721985A4C4}"/>
    <cellStyle name="Normal 2 3 10 3 3" xfId="33106" xr:uid="{F3F0110B-A8FD-425A-8B27-D203BFE00D76}"/>
    <cellStyle name="Normal 2 3 10 4" xfId="13927" xr:uid="{23958E78-82AE-499C-96D6-E0EC5BB8BC70}"/>
    <cellStyle name="Normal 2 3 10 4 2" xfId="39419" xr:uid="{FB9CC60F-B140-485A-B24E-B5F02535C988}"/>
    <cellStyle name="Normal 2 3 10 5" xfId="26828" xr:uid="{6F96D1C2-0FB7-42CD-8758-64A22D4CDB99}"/>
    <cellStyle name="Normal 2 3 11" xfId="2522" xr:uid="{4DD0F6AF-27E1-4F9E-9F43-8E6FF137BB9F}"/>
    <cellStyle name="Normal 2 3 11 2" xfId="5676" xr:uid="{A1EBE842-3549-4C7E-BBC0-B05A8C547615}"/>
    <cellStyle name="Normal 2 3 11 2 2" xfId="11969" xr:uid="{7FC2A60F-96F5-44ED-B77D-DD8463E64C51}"/>
    <cellStyle name="Normal 2 3 11 2 2 2" xfId="24651" xr:uid="{2153C7BA-D30B-4C48-AC93-7764C85C47B2}"/>
    <cellStyle name="Normal 2 3 11 2 2 2 2" xfId="50143" xr:uid="{11DB7845-92C2-4BAA-8CE6-52A7B487C39E}"/>
    <cellStyle name="Normal 2 3 11 2 2 3" xfId="37552" xr:uid="{A4DC1C70-5E6A-410C-A00E-34B2205D051F}"/>
    <cellStyle name="Normal 2 3 11 2 3" xfId="18373" xr:uid="{E0318C9C-1062-403B-94A1-0A6075B89772}"/>
    <cellStyle name="Normal 2 3 11 2 3 2" xfId="43865" xr:uid="{0B446E6C-F70C-453B-9486-EF892A9D9584}"/>
    <cellStyle name="Normal 2 3 11 2 4" xfId="31274" xr:uid="{632A850A-5A75-4769-8CC9-4805EF90B3F7}"/>
    <cellStyle name="Normal 2 3 11 3" xfId="8830" xr:uid="{36C0FC7D-3E17-4ECC-B195-21519A2DD9B9}"/>
    <cellStyle name="Normal 2 3 11 3 2" xfId="21512" xr:uid="{A9D56B19-489A-4102-93C4-E58035634DDE}"/>
    <cellStyle name="Normal 2 3 11 3 2 2" xfId="47004" xr:uid="{D3119EB6-C261-4ABA-B342-81EA89B8CEA7}"/>
    <cellStyle name="Normal 2 3 11 3 3" xfId="34413" xr:uid="{CCA67536-5855-4B20-AD7A-DCF56039D13D}"/>
    <cellStyle name="Normal 2 3 11 4" xfId="15234" xr:uid="{35AF960D-7871-4595-BBE9-718DF1BCDC3A}"/>
    <cellStyle name="Normal 2 3 11 4 2" xfId="40726" xr:uid="{420700B9-E9B2-40FC-99F7-5142B6970857}"/>
    <cellStyle name="Normal 2 3 11 5" xfId="28135" xr:uid="{5DC02DD8-DF4B-4B9D-B3EA-73334B02E3A6}"/>
    <cellStyle name="Normal 2 3 12" xfId="3045" xr:uid="{51E3A32E-D733-4ADA-834E-3545410EF9F0}"/>
    <cellStyle name="Normal 2 3 12 2" xfId="6199" xr:uid="{EBAC0B14-4750-41A7-8C58-D069185DE0BB}"/>
    <cellStyle name="Normal 2 3 12 2 2" xfId="12492" xr:uid="{CD5AC0C7-AE37-4075-81DC-065735B51535}"/>
    <cellStyle name="Normal 2 3 12 2 2 2" xfId="25174" xr:uid="{345145FA-CE32-426E-AEF3-CE800463D214}"/>
    <cellStyle name="Normal 2 3 12 2 2 2 2" xfId="50666" xr:uid="{15C013A7-FF8F-4769-A17C-181D863E0E7B}"/>
    <cellStyle name="Normal 2 3 12 2 2 3" xfId="38075" xr:uid="{DD89C1E8-FE0B-4DC6-867A-76B344D8DC98}"/>
    <cellStyle name="Normal 2 3 12 2 3" xfId="18896" xr:uid="{A7FD6673-B2F2-4BBC-AF97-401558F864D3}"/>
    <cellStyle name="Normal 2 3 12 2 3 2" xfId="44388" xr:uid="{EC03EBDE-E745-4AF8-B079-8636167E9906}"/>
    <cellStyle name="Normal 2 3 12 2 4" xfId="31797" xr:uid="{A9F5F8D9-F87E-4BE4-8BC1-7F77D9F7E560}"/>
    <cellStyle name="Normal 2 3 12 3" xfId="9353" xr:uid="{C2DF7FA6-90A2-45C5-8AB3-F382CA5ECA06}"/>
    <cellStyle name="Normal 2 3 12 3 2" xfId="22035" xr:uid="{BACE5FE8-C3A8-47C2-BA6A-796198B18227}"/>
    <cellStyle name="Normal 2 3 12 3 2 2" xfId="47527" xr:uid="{485FB38E-EC6D-4FD3-B90F-A8DC2C2FF793}"/>
    <cellStyle name="Normal 2 3 12 3 3" xfId="34936" xr:uid="{420FCDF5-9F5F-4B29-A85A-7C7D51852A18}"/>
    <cellStyle name="Normal 2 3 12 4" xfId="15757" xr:uid="{98C00AFC-B339-4DDA-8093-3BBB446F449A}"/>
    <cellStyle name="Normal 2 3 12 4 2" xfId="41249" xr:uid="{711EE500-5011-4E01-9DAB-911C359B1EEA}"/>
    <cellStyle name="Normal 2 3 12 5" xfId="28658" xr:uid="{DECD20E7-F765-482A-864A-9426696C5449}"/>
    <cellStyle name="Normal 2 3 13" xfId="3584" xr:uid="{C46DA2EA-2AB5-457F-84DA-175FD7F44087}"/>
    <cellStyle name="Normal 2 3 13 2" xfId="9877" xr:uid="{C2108E7B-55EA-4DF7-A288-6B36CB14DD97}"/>
    <cellStyle name="Normal 2 3 13 2 2" xfId="22559" xr:uid="{1355D0F2-4996-480D-A613-9B5B65818A23}"/>
    <cellStyle name="Normal 2 3 13 2 2 2" xfId="48051" xr:uid="{1EAA4A55-56EF-4CE8-AC12-1297AADA7242}"/>
    <cellStyle name="Normal 2 3 13 2 3" xfId="35460" xr:uid="{2758B541-87CF-4B57-85A8-03E78CC24302}"/>
    <cellStyle name="Normal 2 3 13 3" xfId="16281" xr:uid="{A2457EC9-3631-4D15-8B85-40C5328FD74D}"/>
    <cellStyle name="Normal 2 3 13 3 2" xfId="41773" xr:uid="{E98FB93C-AC1D-43FA-A7D9-C56562988A3D}"/>
    <cellStyle name="Normal 2 3 13 4" xfId="29182" xr:uid="{06D5F0AA-6077-44E0-8D1E-276AB5CBC482}"/>
    <cellStyle name="Normal 2 3 14" xfId="6738" xr:uid="{5AE38479-EB80-4C70-933E-5DD241B81209}"/>
    <cellStyle name="Normal 2 3 14 2" xfId="19420" xr:uid="{1C77586D-1921-47F4-9618-1C5660C92FDA}"/>
    <cellStyle name="Normal 2 3 14 2 2" xfId="44912" xr:uid="{483C53F9-439A-47F6-9B60-64257E3FF444}"/>
    <cellStyle name="Normal 2 3 14 3" xfId="32321" xr:uid="{0C614E1F-F980-47F1-A07F-4F9919FDFE00}"/>
    <cellStyle name="Normal 2 3 15" xfId="13126" xr:uid="{D563FD96-4703-4D60-8E1C-2B77D6E33E1B}"/>
    <cellStyle name="Normal 2 3 15 2" xfId="38633" xr:uid="{22124F91-5889-4F16-B7D4-8BFF4A7F31B3}"/>
    <cellStyle name="Normal 2 3 16" xfId="13057" xr:uid="{6715B6AF-9873-494E-850D-B5D41371A6E7}"/>
    <cellStyle name="Normal 2 3 17" xfId="26028" xr:uid="{25B5AED7-C34A-406E-A37E-EE49A5A1AE89}"/>
    <cellStyle name="Normal 2 3 18" xfId="385" xr:uid="{783FD1CE-B62A-437C-9A0D-EA4538624F57}"/>
    <cellStyle name="Normal 2 3 2" xfId="253" xr:uid="{F967BADA-7C32-439A-BBD4-F24EEE16C1CC}"/>
    <cellStyle name="Normal 2 3 2 10" xfId="3065" xr:uid="{38D23C67-6C97-4EBB-BA08-9F304208BE91}"/>
    <cellStyle name="Normal 2 3 2 10 2" xfId="6219" xr:uid="{EF3259A8-C213-4A12-8E7A-D8D7108DC50A}"/>
    <cellStyle name="Normal 2 3 2 10 2 2" xfId="12512" xr:uid="{E08B5FF7-2869-4E77-9EA5-157EEBEDF403}"/>
    <cellStyle name="Normal 2 3 2 10 2 2 2" xfId="25194" xr:uid="{6C1517C0-9FF1-4701-9AF8-8C0A53996FA8}"/>
    <cellStyle name="Normal 2 3 2 10 2 2 2 2" xfId="50686" xr:uid="{4403B8B6-002D-430F-9552-0D531A0319D5}"/>
    <cellStyle name="Normal 2 3 2 10 2 2 3" xfId="38095" xr:uid="{326B7EE0-6902-477B-8DDA-9842C5DBEE69}"/>
    <cellStyle name="Normal 2 3 2 10 2 3" xfId="18916" xr:uid="{252C0345-F31F-40FB-B01E-4579D989DCA5}"/>
    <cellStyle name="Normal 2 3 2 10 2 3 2" xfId="44408" xr:uid="{B5D13544-FEE2-4ED6-AA47-5CE9C1609A8B}"/>
    <cellStyle name="Normal 2 3 2 10 2 4" xfId="31817" xr:uid="{C873E11E-6611-45C5-8E79-1137E9EF16D3}"/>
    <cellStyle name="Normal 2 3 2 10 3" xfId="9373" xr:uid="{B8478049-AE8B-438C-9D8E-FDCAC805599E}"/>
    <cellStyle name="Normal 2 3 2 10 3 2" xfId="22055" xr:uid="{EE4F61D3-F63D-47D1-80DA-A8F8D3129962}"/>
    <cellStyle name="Normal 2 3 2 10 3 2 2" xfId="47547" xr:uid="{D6D2B166-4E48-4D64-BC9D-F013A7FE30E0}"/>
    <cellStyle name="Normal 2 3 2 10 3 3" xfId="34956" xr:uid="{6FEE36E3-4BFB-4488-9F90-246A8C6BD39A}"/>
    <cellStyle name="Normal 2 3 2 10 4" xfId="15777" xr:uid="{DA2A612A-197F-4CB9-84CF-DE8473AFFCD5}"/>
    <cellStyle name="Normal 2 3 2 10 4 2" xfId="41269" xr:uid="{F7D7A85B-1EC9-4088-A6B3-FBD01AB0E536}"/>
    <cellStyle name="Normal 2 3 2 10 5" xfId="28678" xr:uid="{D9F51BF8-BBF1-44EA-BB9C-EEA1D9D2CA37}"/>
    <cellStyle name="Normal 2 3 2 11" xfId="3604" xr:uid="{B8399E91-C7B9-45AC-B5CE-57E21121E2E1}"/>
    <cellStyle name="Normal 2 3 2 11 2" xfId="9897" xr:uid="{3BD7F664-9050-47F7-8809-E3E92938F2EB}"/>
    <cellStyle name="Normal 2 3 2 11 2 2" xfId="22579" xr:uid="{ABB711F4-6DEF-4224-91A8-31514395E4D2}"/>
    <cellStyle name="Normal 2 3 2 11 2 2 2" xfId="48071" xr:uid="{7A115D4F-5806-4BA4-96A7-E418F43D00A3}"/>
    <cellStyle name="Normal 2 3 2 11 2 3" xfId="35480" xr:uid="{4CDF98A0-89D2-46DF-9B3B-0BB6BBB00053}"/>
    <cellStyle name="Normal 2 3 2 11 3" xfId="16301" xr:uid="{66FA7D59-81EA-45C9-97C2-F7D61E3A7F51}"/>
    <cellStyle name="Normal 2 3 2 11 3 2" xfId="41793" xr:uid="{52C013DB-73A1-42B5-AC94-831A016E3875}"/>
    <cellStyle name="Normal 2 3 2 11 4" xfId="29202" xr:uid="{2D6535BB-0279-470C-AEE3-E5ABD0E5C9F5}"/>
    <cellStyle name="Normal 2 3 2 12" xfId="6758" xr:uid="{2D738DD7-A8D2-4441-8A1C-4672D28F24FB}"/>
    <cellStyle name="Normal 2 3 2 12 2" xfId="19440" xr:uid="{7EB88DEE-DF61-4366-8A21-142847B5E5F4}"/>
    <cellStyle name="Normal 2 3 2 12 2 2" xfId="44932" xr:uid="{F702D97E-0407-4440-A6EA-F4F37FFD39D2}"/>
    <cellStyle name="Normal 2 3 2 12 3" xfId="32341" xr:uid="{C7059B18-EF70-47C9-954D-9EABFB4DECBC}"/>
    <cellStyle name="Normal 2 3 2 13" xfId="13162" xr:uid="{31BC4C75-C046-479B-B2C8-1DAD2F54891D}"/>
    <cellStyle name="Normal 2 3 2 13 2" xfId="38654" xr:uid="{B62FAC14-6C84-45DF-9CE9-CA4827219048}"/>
    <cellStyle name="Normal 2 3 2 14" xfId="13066" xr:uid="{A9CE95C9-C11C-4F77-8702-50334D30114B}"/>
    <cellStyle name="Normal 2 3 2 15" xfId="26063" xr:uid="{FDF4C2AF-D4D9-46D3-800E-001B19EC8110}"/>
    <cellStyle name="Normal 2 3 2 16" xfId="435" xr:uid="{806A6C90-8993-4857-B5A7-BB8FE5344E6C}"/>
    <cellStyle name="Normal 2 3 2 2" xfId="496" xr:uid="{27DA4AF8-6249-4420-B3D3-A477278F3437}"/>
    <cellStyle name="Normal 2 3 2 2 10" xfId="6819" xr:uid="{E61B9222-D23B-48F3-8C04-5C60D8E00CBA}"/>
    <cellStyle name="Normal 2 3 2 2 10 2" xfId="19501" xr:uid="{00377CAF-ED3E-43CB-8027-BC1D97DBC392}"/>
    <cellStyle name="Normal 2 3 2 2 10 2 2" xfId="44993" xr:uid="{49FA6D5A-3763-4201-BBB7-2ADD7EAC5E1A}"/>
    <cellStyle name="Normal 2 3 2 2 10 3" xfId="32402" xr:uid="{A8AB40F7-5575-4D4B-A23A-13BF660CB460}"/>
    <cellStyle name="Normal 2 3 2 2 11" xfId="13223" xr:uid="{C4FB0D27-BC58-4E8C-9BA3-1D3790CBE725}"/>
    <cellStyle name="Normal 2 3 2 2 11 2" xfId="38715" xr:uid="{C8AB6DE9-8160-4495-960B-F09C9F2C69FC}"/>
    <cellStyle name="Normal 2 3 2 2 12" xfId="26124" xr:uid="{2DC934FB-24BD-43B4-BEEF-BA437217CB8B}"/>
    <cellStyle name="Normal 2 3 2 2 2" xfId="655" xr:uid="{6C85F662-AE4F-4C04-B14C-F72A84ABE5A6}"/>
    <cellStyle name="Normal 2 3 2 2 2 10" xfId="13382" xr:uid="{0D9C4860-56D4-4606-B115-9DFE0088F915}"/>
    <cellStyle name="Normal 2 3 2 2 2 10 2" xfId="38874" xr:uid="{3DFD728D-5996-409C-91C8-2CB284DE01E4}"/>
    <cellStyle name="Normal 2 3 2 2 2 11" xfId="26283" xr:uid="{3B0D4173-2D76-4ACB-87BF-525BC25F7B45}"/>
    <cellStyle name="Normal 2 3 2 2 2 2" xfId="1192" xr:uid="{60BA1D7D-5647-4AA8-A099-919331AA46ED}"/>
    <cellStyle name="Normal 2 3 2 2 2 2 2" xfId="2499" xr:uid="{8EDAD16D-AF9B-4C69-8130-D4A9211BD349}"/>
    <cellStyle name="Normal 2 3 2 2 2 2 2 2" xfId="5653" xr:uid="{0DF27438-1407-4CE3-BC23-27655052A5B2}"/>
    <cellStyle name="Normal 2 3 2 2 2 2 2 2 2" xfId="11946" xr:uid="{E8707E4F-13AF-47F9-8531-A5DB40E52AEF}"/>
    <cellStyle name="Normal 2 3 2 2 2 2 2 2 2 2" xfId="24628" xr:uid="{457E175F-571F-4D2C-A30F-A20C3750C312}"/>
    <cellStyle name="Normal 2 3 2 2 2 2 2 2 2 2 2" xfId="50120" xr:uid="{D7568FC1-9466-4EBC-A211-0F0229F086BB}"/>
    <cellStyle name="Normal 2 3 2 2 2 2 2 2 2 3" xfId="37529" xr:uid="{8E083E56-865A-4568-BCFB-A3DB3E193131}"/>
    <cellStyle name="Normal 2 3 2 2 2 2 2 2 3" xfId="18350" xr:uid="{7020CF39-260D-457A-B7B2-B513EF35FBBC}"/>
    <cellStyle name="Normal 2 3 2 2 2 2 2 2 3 2" xfId="43842" xr:uid="{CBDE7B76-FADA-42F2-AD6A-7EF4EFB1260F}"/>
    <cellStyle name="Normal 2 3 2 2 2 2 2 2 4" xfId="31251" xr:uid="{9A64C399-59AF-4867-B41C-D11CCD7B8AC6}"/>
    <cellStyle name="Normal 2 3 2 2 2 2 2 3" xfId="8807" xr:uid="{9BDFD33A-CE78-4D20-8679-DB80031C06CC}"/>
    <cellStyle name="Normal 2 3 2 2 2 2 2 3 2" xfId="21489" xr:uid="{053DC9EC-A020-46B6-BFC4-C0D7075600F7}"/>
    <cellStyle name="Normal 2 3 2 2 2 2 2 3 2 2" xfId="46981" xr:uid="{73B615A2-4ECB-4F0F-A42B-1B016888BE71}"/>
    <cellStyle name="Normal 2 3 2 2 2 2 2 3 3" xfId="34390" xr:uid="{D6EFC96A-BE68-4C95-B161-A4D85D80BBB7}"/>
    <cellStyle name="Normal 2 3 2 2 2 2 2 4" xfId="15211" xr:uid="{BA486ADC-2E3A-4DE2-A85C-AD7D30DA3985}"/>
    <cellStyle name="Normal 2 3 2 2 2 2 2 4 2" xfId="40703" xr:uid="{20954427-6665-469F-8928-6261A1BFC268}"/>
    <cellStyle name="Normal 2 3 2 2 2 2 2 5" xfId="28112" xr:uid="{E6B5D678-198B-4CE8-8D4B-6087EAB2CB5A}"/>
    <cellStyle name="Normal 2 3 2 2 2 2 3" xfId="1716" xr:uid="{81995A3F-637B-4756-BD79-F7D9518FFC1D}"/>
    <cellStyle name="Normal 2 3 2 2 2 2 3 2" xfId="4870" xr:uid="{734A107C-0DBD-4440-B7DE-43F1D07A9B19}"/>
    <cellStyle name="Normal 2 3 2 2 2 2 3 2 2" xfId="11163" xr:uid="{ED8C5224-2FA2-4ACA-AF14-89DB827352E1}"/>
    <cellStyle name="Normal 2 3 2 2 2 2 3 2 2 2" xfId="23845" xr:uid="{41252BDF-4E69-4A2E-9229-812E035F1292}"/>
    <cellStyle name="Normal 2 3 2 2 2 2 3 2 2 2 2" xfId="49337" xr:uid="{77A3C35B-4F3C-4EC0-849D-1F0D6691334C}"/>
    <cellStyle name="Normal 2 3 2 2 2 2 3 2 2 3" xfId="36746" xr:uid="{9B29C749-5AFA-45DF-85EE-E2CB94432EA6}"/>
    <cellStyle name="Normal 2 3 2 2 2 2 3 2 3" xfId="17567" xr:uid="{3ACA4860-D059-4F2F-A4E8-F2CA13499000}"/>
    <cellStyle name="Normal 2 3 2 2 2 2 3 2 3 2" xfId="43059" xr:uid="{9F715421-E4C0-4706-9F15-99D8FAB234D0}"/>
    <cellStyle name="Normal 2 3 2 2 2 2 3 2 4" xfId="30468" xr:uid="{432E442E-0A88-4DF6-839F-709E56A15C82}"/>
    <cellStyle name="Normal 2 3 2 2 2 2 3 3" xfId="8024" xr:uid="{9C39D809-33D2-4989-ADE8-4EB7C15C64A7}"/>
    <cellStyle name="Normal 2 3 2 2 2 2 3 3 2" xfId="20706" xr:uid="{64EC9433-9F7A-4B1A-B6F0-816CED536B7D}"/>
    <cellStyle name="Normal 2 3 2 2 2 2 3 3 2 2" xfId="46198" xr:uid="{1231D4D4-FEA4-4342-A1F5-3A3F8D13CD3A}"/>
    <cellStyle name="Normal 2 3 2 2 2 2 3 3 3" xfId="33607" xr:uid="{0180240C-AD16-4404-9F5B-A1E8182ADD5C}"/>
    <cellStyle name="Normal 2 3 2 2 2 2 3 4" xfId="14428" xr:uid="{CE61E81C-950A-4C9B-BFAA-E0E7CF1995D7}"/>
    <cellStyle name="Normal 2 3 2 2 2 2 3 4 2" xfId="39920" xr:uid="{A0FED451-A7F7-4D6B-AA6D-B1420A8366D9}"/>
    <cellStyle name="Normal 2 3 2 2 2 2 3 5" xfId="27329" xr:uid="{E7A56F7E-F974-48FF-9F5A-7DDD11E8B4E9}"/>
    <cellStyle name="Normal 2 3 2 2 2 2 4" xfId="3023" xr:uid="{2448B93B-53AB-4E93-A633-A55519BAD0EA}"/>
    <cellStyle name="Normal 2 3 2 2 2 2 4 2" xfId="6177" xr:uid="{3C7F466D-52F5-441A-8F35-69DC9FFB93F9}"/>
    <cellStyle name="Normal 2 3 2 2 2 2 4 2 2" xfId="12470" xr:uid="{B89ECB8F-1FBD-432E-9D7F-9B4847D09D36}"/>
    <cellStyle name="Normal 2 3 2 2 2 2 4 2 2 2" xfId="25152" xr:uid="{85BA40EB-4B2E-441F-8DCC-6DF9DF84E7D2}"/>
    <cellStyle name="Normal 2 3 2 2 2 2 4 2 2 2 2" xfId="50644" xr:uid="{A3EFD5D6-0DD6-49CF-81FF-F5C16DF5506C}"/>
    <cellStyle name="Normal 2 3 2 2 2 2 4 2 2 3" xfId="38053" xr:uid="{42D12687-9BAD-49EA-BFCF-E0DC20FE5E09}"/>
    <cellStyle name="Normal 2 3 2 2 2 2 4 2 3" xfId="18874" xr:uid="{0D4F6DBB-1B54-4117-90E1-0489C88CFC35}"/>
    <cellStyle name="Normal 2 3 2 2 2 2 4 2 3 2" xfId="44366" xr:uid="{1BF385FF-DAE1-4376-B00D-4BD0621FE80B}"/>
    <cellStyle name="Normal 2 3 2 2 2 2 4 2 4" xfId="31775" xr:uid="{A7D6E6FC-5BFB-4C28-BE99-12B5F1D9D7DF}"/>
    <cellStyle name="Normal 2 3 2 2 2 2 4 3" xfId="9331" xr:uid="{780D9266-643B-42AA-BD1D-994D19A2CA15}"/>
    <cellStyle name="Normal 2 3 2 2 2 2 4 3 2" xfId="22013" xr:uid="{BB00E556-DBB0-4B0F-BB21-6EA150BB0FA0}"/>
    <cellStyle name="Normal 2 3 2 2 2 2 4 3 2 2" xfId="47505" xr:uid="{FEB5F44F-E81B-4921-B4B2-B8081FE875DA}"/>
    <cellStyle name="Normal 2 3 2 2 2 2 4 3 3" xfId="34914" xr:uid="{891C5E72-F574-4D69-B702-C583909DD3C0}"/>
    <cellStyle name="Normal 2 3 2 2 2 2 4 4" xfId="15735" xr:uid="{99B7FA40-E258-43D3-8366-B400D0AE437E}"/>
    <cellStyle name="Normal 2 3 2 2 2 2 4 4 2" xfId="41227" xr:uid="{FA6C348E-721B-4A7A-B973-0502182CDF80}"/>
    <cellStyle name="Normal 2 3 2 2 2 2 4 5" xfId="28636" xr:uid="{100E5366-28C8-4866-BC88-D57BE3132A75}"/>
    <cellStyle name="Normal 2 3 2 2 2 2 5" xfId="3546" xr:uid="{2E70DB95-9B61-438D-8CEF-1483EEE08292}"/>
    <cellStyle name="Normal 2 3 2 2 2 2 5 2" xfId="6700" xr:uid="{48B858FA-C2FD-4A14-A572-09011B6F7499}"/>
    <cellStyle name="Normal 2 3 2 2 2 2 5 2 2" xfId="12993" xr:uid="{E8A6F047-D844-4137-A0AB-61CAB1ADD852}"/>
    <cellStyle name="Normal 2 3 2 2 2 2 5 2 2 2" xfId="25675" xr:uid="{3829B390-0CD1-45C5-A9C8-17CF9EFC3E01}"/>
    <cellStyle name="Normal 2 3 2 2 2 2 5 2 2 2 2" xfId="51167" xr:uid="{05F4E121-5E7E-46E7-8799-C958EDCDFF0E}"/>
    <cellStyle name="Normal 2 3 2 2 2 2 5 2 2 3" xfId="38576" xr:uid="{93B1047A-DAD8-425B-AD7E-EDFD44F9D3BA}"/>
    <cellStyle name="Normal 2 3 2 2 2 2 5 2 3" xfId="19397" xr:uid="{4B92A8BE-3C6C-42D5-9C81-BCBA9F5712ED}"/>
    <cellStyle name="Normal 2 3 2 2 2 2 5 2 3 2" xfId="44889" xr:uid="{659E1281-F8FA-4063-948D-A986F7D04F56}"/>
    <cellStyle name="Normal 2 3 2 2 2 2 5 2 4" xfId="32298" xr:uid="{BC99D116-52DE-4946-93AD-010BC10634C2}"/>
    <cellStyle name="Normal 2 3 2 2 2 2 5 3" xfId="9854" xr:uid="{C2A85F19-0810-4374-A3B1-85E1D5DDADF7}"/>
    <cellStyle name="Normal 2 3 2 2 2 2 5 3 2" xfId="22536" xr:uid="{39C65AEF-96C2-4111-8ECA-483E4DB16234}"/>
    <cellStyle name="Normal 2 3 2 2 2 2 5 3 2 2" xfId="48028" xr:uid="{997A814C-A99B-4667-B146-6F61FFCEBE6F}"/>
    <cellStyle name="Normal 2 3 2 2 2 2 5 3 3" xfId="35437" xr:uid="{0B563170-C85E-4B9F-86F2-0ABA6CF59597}"/>
    <cellStyle name="Normal 2 3 2 2 2 2 5 4" xfId="16258" xr:uid="{95652048-D3BB-4B1E-9BC3-09A3B94FC5FD}"/>
    <cellStyle name="Normal 2 3 2 2 2 2 5 4 2" xfId="41750" xr:uid="{8BBAE092-28F6-4AB9-9632-8F7D649A7590}"/>
    <cellStyle name="Normal 2 3 2 2 2 2 5 5" xfId="29159" xr:uid="{5DDB884A-2663-44A5-AD16-7F5EEB5A5E3A}"/>
    <cellStyle name="Normal 2 3 2 2 2 2 6" xfId="4346" xr:uid="{36D4EFB9-23BB-4CDB-88A9-6455422D82D5}"/>
    <cellStyle name="Normal 2 3 2 2 2 2 6 2" xfId="10639" xr:uid="{AD9C404B-88C4-464E-86FE-2C2937CD1DAD}"/>
    <cellStyle name="Normal 2 3 2 2 2 2 6 2 2" xfId="23321" xr:uid="{DEC0A8A1-E757-4B6D-B086-56B14EC35218}"/>
    <cellStyle name="Normal 2 3 2 2 2 2 6 2 2 2" xfId="48813" xr:uid="{A465A568-9A51-457F-A4FF-524FBD23C96A}"/>
    <cellStyle name="Normal 2 3 2 2 2 2 6 2 3" xfId="36222" xr:uid="{67C2BA1C-6E15-490F-A7E8-DB7FBFBECF04}"/>
    <cellStyle name="Normal 2 3 2 2 2 2 6 3" xfId="17043" xr:uid="{7CAA288A-C312-42DB-AD4E-7431180B1B11}"/>
    <cellStyle name="Normal 2 3 2 2 2 2 6 3 2" xfId="42535" xr:uid="{5E48E29D-F0C6-4F9C-A98E-48DD6E3D94C7}"/>
    <cellStyle name="Normal 2 3 2 2 2 2 6 4" xfId="29944" xr:uid="{8A09F64E-1ACD-405E-9B79-428815A5828C}"/>
    <cellStyle name="Normal 2 3 2 2 2 2 7" xfId="7500" xr:uid="{B85D3693-CCCE-4FE9-B27E-58142EFDBEEC}"/>
    <cellStyle name="Normal 2 3 2 2 2 2 7 2" xfId="20182" xr:uid="{E4579A51-22D8-4271-94A1-BB3397CF63B1}"/>
    <cellStyle name="Normal 2 3 2 2 2 2 7 2 2" xfId="45674" xr:uid="{FA933426-DCD6-4AE9-91F7-035E259FABC2}"/>
    <cellStyle name="Normal 2 3 2 2 2 2 7 3" xfId="33083" xr:uid="{3FFDEEC2-C4F2-4119-84AC-B84B62653FF6}"/>
    <cellStyle name="Normal 2 3 2 2 2 2 8" xfId="13904" xr:uid="{9C24E49B-B080-4A04-8BB1-0E5CD05F2193}"/>
    <cellStyle name="Normal 2 3 2 2 2 2 8 2" xfId="39396" xr:uid="{921DC7CE-6802-40AA-BDF0-FBE3FDD22357}"/>
    <cellStyle name="Normal 2 3 2 2 2 2 9" xfId="26805" xr:uid="{BC4FB0F4-6FBA-48A0-BBC3-6D51184B0E6A}"/>
    <cellStyle name="Normal 2 3 2 2 2 3" xfId="932" xr:uid="{B9BDAF24-DA51-4807-A273-DE7032F2FA2A}"/>
    <cellStyle name="Normal 2 3 2 2 2 3 2" xfId="2239" xr:uid="{DCA6CAA6-7A3D-4206-96EE-8056E26FB8C8}"/>
    <cellStyle name="Normal 2 3 2 2 2 3 2 2" xfId="5393" xr:uid="{0DDC181B-734C-4313-AE31-6DBF82974351}"/>
    <cellStyle name="Normal 2 3 2 2 2 3 2 2 2" xfId="11686" xr:uid="{6CEC68C9-572E-4F60-BEDB-995A620356A1}"/>
    <cellStyle name="Normal 2 3 2 2 2 3 2 2 2 2" xfId="24368" xr:uid="{3448FF3C-11EF-47FF-A8B6-4E3BDDA7676B}"/>
    <cellStyle name="Normal 2 3 2 2 2 3 2 2 2 2 2" xfId="49860" xr:uid="{0B6310B5-A185-40BA-B545-8574FA420499}"/>
    <cellStyle name="Normal 2 3 2 2 2 3 2 2 2 3" xfId="37269" xr:uid="{01271E8F-8E0A-4135-BD3E-6AB430879ACE}"/>
    <cellStyle name="Normal 2 3 2 2 2 3 2 2 3" xfId="18090" xr:uid="{7DFB5BBD-A19B-4090-97F9-9D15CCCDFB7B}"/>
    <cellStyle name="Normal 2 3 2 2 2 3 2 2 3 2" xfId="43582" xr:uid="{A26EEE70-5029-4553-A7D7-739447EA06A2}"/>
    <cellStyle name="Normal 2 3 2 2 2 3 2 2 4" xfId="30991" xr:uid="{908629AE-B99E-402D-930A-04D6E77ED4C2}"/>
    <cellStyle name="Normal 2 3 2 2 2 3 2 3" xfId="8547" xr:uid="{02616C88-9FB7-45E3-83D5-B141BCCF6B91}"/>
    <cellStyle name="Normal 2 3 2 2 2 3 2 3 2" xfId="21229" xr:uid="{D9125D13-0B40-467B-B45D-8AAFD068EB19}"/>
    <cellStyle name="Normal 2 3 2 2 2 3 2 3 2 2" xfId="46721" xr:uid="{543A386D-313B-40B4-A506-98A18A5A6DF7}"/>
    <cellStyle name="Normal 2 3 2 2 2 3 2 3 3" xfId="34130" xr:uid="{1ABC6528-CA6E-449D-9FC6-A950FD1DFA99}"/>
    <cellStyle name="Normal 2 3 2 2 2 3 2 4" xfId="14951" xr:uid="{61CE9E49-57C9-4525-908D-9C76D37CAF50}"/>
    <cellStyle name="Normal 2 3 2 2 2 3 2 4 2" xfId="40443" xr:uid="{0498BAEA-BFA7-4CDD-9404-FF32DA167664}"/>
    <cellStyle name="Normal 2 3 2 2 2 3 2 5" xfId="27852" xr:uid="{61334018-086D-4540-A6DE-615D79432A70}"/>
    <cellStyle name="Normal 2 3 2 2 2 3 3" xfId="4086" xr:uid="{2F7B3F40-77B6-4CBC-970E-07D0BE03D7DA}"/>
    <cellStyle name="Normal 2 3 2 2 2 3 3 2" xfId="10379" xr:uid="{2FF7793E-1305-4216-A145-148E33BAA6AC}"/>
    <cellStyle name="Normal 2 3 2 2 2 3 3 2 2" xfId="23061" xr:uid="{C1F0F643-BFD4-46BF-BB4B-CAE80CD644C4}"/>
    <cellStyle name="Normal 2 3 2 2 2 3 3 2 2 2" xfId="48553" xr:uid="{16EF45AD-79DA-4C54-A2E4-F3C0DA8826D9}"/>
    <cellStyle name="Normal 2 3 2 2 2 3 3 2 3" xfId="35962" xr:uid="{EC4609D1-07BE-4680-B295-FE1CD1605B8B}"/>
    <cellStyle name="Normal 2 3 2 2 2 3 3 3" xfId="16783" xr:uid="{C1EEAAFD-81DF-41D4-BF00-D3FC17351119}"/>
    <cellStyle name="Normal 2 3 2 2 2 3 3 3 2" xfId="42275" xr:uid="{B1A7BA9A-C9DA-4692-B6EB-A9B05AD75849}"/>
    <cellStyle name="Normal 2 3 2 2 2 3 3 4" xfId="29684" xr:uid="{0DCA5388-045A-4CFB-B69F-E0077EF12D48}"/>
    <cellStyle name="Normal 2 3 2 2 2 3 4" xfId="7240" xr:uid="{362BF9AF-01C2-40A6-AF3D-789D21134E47}"/>
    <cellStyle name="Normal 2 3 2 2 2 3 4 2" xfId="19922" xr:uid="{98B6473F-EFCD-44AD-9DF1-A851070AB46B}"/>
    <cellStyle name="Normal 2 3 2 2 2 3 4 2 2" xfId="45414" xr:uid="{22AE88B6-D7EF-44DC-A056-E416F1697D73}"/>
    <cellStyle name="Normal 2 3 2 2 2 3 4 3" xfId="32823" xr:uid="{5EB8652D-6191-4507-83EB-B7100416D681}"/>
    <cellStyle name="Normal 2 3 2 2 2 3 5" xfId="13644" xr:uid="{A32D0BDC-15DC-484A-B86B-C2F7B6A10A2F}"/>
    <cellStyle name="Normal 2 3 2 2 2 3 5 2" xfId="39136" xr:uid="{A8285344-686C-44C8-B7FB-A91D5D7E4704}"/>
    <cellStyle name="Normal 2 3 2 2 2 3 6" xfId="26545" xr:uid="{9D4CB397-EF81-4C67-A768-8272AA9AA312}"/>
    <cellStyle name="Normal 2 3 2 2 2 4" xfId="1977" xr:uid="{177FD010-0834-4FE4-A68B-82CDF17CDCC6}"/>
    <cellStyle name="Normal 2 3 2 2 2 4 2" xfId="5131" xr:uid="{844D538C-5C5B-41B7-8CB8-99251B6BF502}"/>
    <cellStyle name="Normal 2 3 2 2 2 4 2 2" xfId="11424" xr:uid="{E40ECA42-C4C0-4977-9529-973A591736E2}"/>
    <cellStyle name="Normal 2 3 2 2 2 4 2 2 2" xfId="24106" xr:uid="{D7B3DFEC-E027-4CF6-A19B-F9693D7B9339}"/>
    <cellStyle name="Normal 2 3 2 2 2 4 2 2 2 2" xfId="49598" xr:uid="{46577FCF-D412-44BF-842A-5C9A9A42EDCD}"/>
    <cellStyle name="Normal 2 3 2 2 2 4 2 2 3" xfId="37007" xr:uid="{E076E7E3-9AB5-4D81-AB17-A0B68EE2CEEC}"/>
    <cellStyle name="Normal 2 3 2 2 2 4 2 3" xfId="17828" xr:uid="{AC2406CC-864D-4A40-AD34-121B9EBEC7C2}"/>
    <cellStyle name="Normal 2 3 2 2 2 4 2 3 2" xfId="43320" xr:uid="{10FBEEBD-64CF-468C-956C-A431C5AA3372}"/>
    <cellStyle name="Normal 2 3 2 2 2 4 2 4" xfId="30729" xr:uid="{199C50A6-C4FD-414D-8FFB-CCDAD2156B6B}"/>
    <cellStyle name="Normal 2 3 2 2 2 4 3" xfId="8285" xr:uid="{1B907DFF-3AF9-44B9-A346-88B411BD563B}"/>
    <cellStyle name="Normal 2 3 2 2 2 4 3 2" xfId="20967" xr:uid="{9D3BEE96-4CE0-494F-AE16-66BC711EB1CE}"/>
    <cellStyle name="Normal 2 3 2 2 2 4 3 2 2" xfId="46459" xr:uid="{E6914E4C-7AA5-4D15-847C-9D66FDB88692}"/>
    <cellStyle name="Normal 2 3 2 2 2 4 3 3" xfId="33868" xr:uid="{11468DE1-8FF7-4958-96BB-5813D702B9DF}"/>
    <cellStyle name="Normal 2 3 2 2 2 4 4" xfId="14689" xr:uid="{2A56A564-6D49-488F-B976-75057747639A}"/>
    <cellStyle name="Normal 2 3 2 2 2 4 4 2" xfId="40181" xr:uid="{F7832AA6-960E-4E06-9AED-4AFAE013010B}"/>
    <cellStyle name="Normal 2 3 2 2 2 4 5" xfId="27590" xr:uid="{F3968733-9664-4152-BFD1-2B73014E0ABE}"/>
    <cellStyle name="Normal 2 3 2 2 2 5" xfId="1455" xr:uid="{0CEA097D-E6E7-451D-AD71-77A81B3322CC}"/>
    <cellStyle name="Normal 2 3 2 2 2 5 2" xfId="4609" xr:uid="{89A1283C-143E-48E6-A577-FBF013886D9E}"/>
    <cellStyle name="Normal 2 3 2 2 2 5 2 2" xfId="10902" xr:uid="{7B89A251-202E-4F1C-9A99-FCF7E8FFA025}"/>
    <cellStyle name="Normal 2 3 2 2 2 5 2 2 2" xfId="23584" xr:uid="{58045439-FE97-4A59-B4ED-A868E70138F2}"/>
    <cellStyle name="Normal 2 3 2 2 2 5 2 2 2 2" xfId="49076" xr:uid="{A4D176CC-74FA-4457-91B0-88FF253CBF4E}"/>
    <cellStyle name="Normal 2 3 2 2 2 5 2 2 3" xfId="36485" xr:uid="{1553FD66-F3DA-46F4-B1D7-FDE2B026A904}"/>
    <cellStyle name="Normal 2 3 2 2 2 5 2 3" xfId="17306" xr:uid="{A425EA34-D08B-4345-80D1-422AE07C607D}"/>
    <cellStyle name="Normal 2 3 2 2 2 5 2 3 2" xfId="42798" xr:uid="{9C3F638F-2167-45B8-BA28-7C4EC70455D8}"/>
    <cellStyle name="Normal 2 3 2 2 2 5 2 4" xfId="30207" xr:uid="{B998DA61-8A9C-438E-ADE9-601CF7BBC88C}"/>
    <cellStyle name="Normal 2 3 2 2 2 5 3" xfId="7763" xr:uid="{FE64A310-5C39-4DC4-A834-93471E7BAB71}"/>
    <cellStyle name="Normal 2 3 2 2 2 5 3 2" xfId="20445" xr:uid="{C7FC5F7C-48E6-4916-AE12-3345ED300D2E}"/>
    <cellStyle name="Normal 2 3 2 2 2 5 3 2 2" xfId="45937" xr:uid="{513EB834-F05F-42D0-9934-8AE5C728AE82}"/>
    <cellStyle name="Normal 2 3 2 2 2 5 3 3" xfId="33346" xr:uid="{FB23E72A-495D-4F8A-8403-E0D387DE9BEE}"/>
    <cellStyle name="Normal 2 3 2 2 2 5 4" xfId="14167" xr:uid="{3EB235F0-3003-46F8-BB34-1ED64703E588}"/>
    <cellStyle name="Normal 2 3 2 2 2 5 4 2" xfId="39659" xr:uid="{615FE199-224D-463D-A82C-77E1445A4495}"/>
    <cellStyle name="Normal 2 3 2 2 2 5 5" xfId="27068" xr:uid="{1AEC72A0-E954-4665-ACFD-C2591A3B98DE}"/>
    <cellStyle name="Normal 2 3 2 2 2 6" xfId="2762" xr:uid="{6F602E6E-3445-4142-A0DF-80D6613B9DC7}"/>
    <cellStyle name="Normal 2 3 2 2 2 6 2" xfId="5916" xr:uid="{24C7F27E-3B11-404D-A585-13AACFC6A5FE}"/>
    <cellStyle name="Normal 2 3 2 2 2 6 2 2" xfId="12209" xr:uid="{58CB64E5-D142-436B-8D07-0F9D88122B4B}"/>
    <cellStyle name="Normal 2 3 2 2 2 6 2 2 2" xfId="24891" xr:uid="{864364C1-13E8-499A-8A64-6137089823CD}"/>
    <cellStyle name="Normal 2 3 2 2 2 6 2 2 2 2" xfId="50383" xr:uid="{B956628B-F953-439A-861F-85279F7D7FBD}"/>
    <cellStyle name="Normal 2 3 2 2 2 6 2 2 3" xfId="37792" xr:uid="{23794402-C453-42E8-88CE-15BF60679D13}"/>
    <cellStyle name="Normal 2 3 2 2 2 6 2 3" xfId="18613" xr:uid="{C9D54DA9-73EC-471A-8746-0FAF5CDDC592}"/>
    <cellStyle name="Normal 2 3 2 2 2 6 2 3 2" xfId="44105" xr:uid="{F7F7BB75-204A-4E6D-BFF1-4D28E16408BE}"/>
    <cellStyle name="Normal 2 3 2 2 2 6 2 4" xfId="31514" xr:uid="{20824B7D-5B18-48F1-A57D-F9598422905D}"/>
    <cellStyle name="Normal 2 3 2 2 2 6 3" xfId="9070" xr:uid="{44C14204-E674-47F6-AD1C-C60C6CC17406}"/>
    <cellStyle name="Normal 2 3 2 2 2 6 3 2" xfId="21752" xr:uid="{C7B65FFE-90E5-4DAD-9E71-984FC80B430A}"/>
    <cellStyle name="Normal 2 3 2 2 2 6 3 2 2" xfId="47244" xr:uid="{4F2F1007-B358-41AE-9635-8383FB1927FB}"/>
    <cellStyle name="Normal 2 3 2 2 2 6 3 3" xfId="34653" xr:uid="{2136C277-B1FE-4F91-A6BA-039E9524F012}"/>
    <cellStyle name="Normal 2 3 2 2 2 6 4" xfId="15474" xr:uid="{E9E81286-F2A1-4A58-9AE1-945932810D8F}"/>
    <cellStyle name="Normal 2 3 2 2 2 6 4 2" xfId="40966" xr:uid="{351021B8-D78C-4693-9836-F16CFBDEEDB8}"/>
    <cellStyle name="Normal 2 3 2 2 2 6 5" xfId="28375" xr:uid="{2DC1FC02-84F7-4567-B64C-C259D519F42A}"/>
    <cellStyle name="Normal 2 3 2 2 2 7" xfId="3285" xr:uid="{405D81CB-F650-4113-B2C3-32C4190B5E16}"/>
    <cellStyle name="Normal 2 3 2 2 2 7 2" xfId="6439" xr:uid="{E9541BD3-D31F-4C20-82AE-2653B8692862}"/>
    <cellStyle name="Normal 2 3 2 2 2 7 2 2" xfId="12732" xr:uid="{606F6DC6-7059-4469-AF92-C30C01E3B741}"/>
    <cellStyle name="Normal 2 3 2 2 2 7 2 2 2" xfId="25414" xr:uid="{3EA414BD-2404-44AD-A53E-CAE8E0519C71}"/>
    <cellStyle name="Normal 2 3 2 2 2 7 2 2 2 2" xfId="50906" xr:uid="{3638A3C1-7A74-4564-B8EA-E6FE4CBC17CC}"/>
    <cellStyle name="Normal 2 3 2 2 2 7 2 2 3" xfId="38315" xr:uid="{DECC331A-2AFC-4932-8A01-2C97152CB614}"/>
    <cellStyle name="Normal 2 3 2 2 2 7 2 3" xfId="19136" xr:uid="{4D5BEFE0-334C-4B60-ABFB-25639093AEE2}"/>
    <cellStyle name="Normal 2 3 2 2 2 7 2 3 2" xfId="44628" xr:uid="{8D6B62F4-E94F-4601-9F22-A051D3A247BD}"/>
    <cellStyle name="Normal 2 3 2 2 2 7 2 4" xfId="32037" xr:uid="{CBE23B19-6D1F-4A0F-BFC6-B5E9CABCFCDC}"/>
    <cellStyle name="Normal 2 3 2 2 2 7 3" xfId="9593" xr:uid="{63EECEA8-98F8-409C-A8D7-FE6DBA77B5CF}"/>
    <cellStyle name="Normal 2 3 2 2 2 7 3 2" xfId="22275" xr:uid="{87BEE099-51AE-4482-BA33-E1248C5A6856}"/>
    <cellStyle name="Normal 2 3 2 2 2 7 3 2 2" xfId="47767" xr:uid="{92ED8CE7-DB78-4C18-B8CE-CA2FDDFCDD0B}"/>
    <cellStyle name="Normal 2 3 2 2 2 7 3 3" xfId="35176" xr:uid="{32BF1EA6-0DBB-4F0F-82A5-DBB0E471E4C2}"/>
    <cellStyle name="Normal 2 3 2 2 2 7 4" xfId="15997" xr:uid="{313608E5-A349-4A07-9904-8B3D70622BCF}"/>
    <cellStyle name="Normal 2 3 2 2 2 7 4 2" xfId="41489" xr:uid="{4C216D87-0EA4-44F4-A82A-F32AF9806C63}"/>
    <cellStyle name="Normal 2 3 2 2 2 7 5" xfId="28898" xr:uid="{A582B469-CD05-42A5-9682-CD30421CEA71}"/>
    <cellStyle name="Normal 2 3 2 2 2 8" xfId="3824" xr:uid="{91614D6F-5272-4995-8D87-042B40C25E33}"/>
    <cellStyle name="Normal 2 3 2 2 2 8 2" xfId="10117" xr:uid="{ABB62CB3-9BE7-4472-B595-66E40FA5E269}"/>
    <cellStyle name="Normal 2 3 2 2 2 8 2 2" xfId="22799" xr:uid="{0434023E-2424-419E-B717-05BABA08D2CB}"/>
    <cellStyle name="Normal 2 3 2 2 2 8 2 2 2" xfId="48291" xr:uid="{6F43A5BB-5EEF-4074-9ABE-3AE00B67F7B8}"/>
    <cellStyle name="Normal 2 3 2 2 2 8 2 3" xfId="35700" xr:uid="{3B013CEB-229D-4D80-B219-0F8C9D035D4E}"/>
    <cellStyle name="Normal 2 3 2 2 2 8 3" xfId="16521" xr:uid="{B553EF7F-F2DB-43E4-A7A2-CB089478FFAD}"/>
    <cellStyle name="Normal 2 3 2 2 2 8 3 2" xfId="42013" xr:uid="{D8FF4FC1-05A9-46D0-B00C-25B57814E43D}"/>
    <cellStyle name="Normal 2 3 2 2 2 8 4" xfId="29422" xr:uid="{FA012221-7EF3-4BF3-87A8-E71D57D847FD}"/>
    <cellStyle name="Normal 2 3 2 2 2 9" xfId="6978" xr:uid="{4FD874DB-03F3-49C9-A9B7-619F5984B61F}"/>
    <cellStyle name="Normal 2 3 2 2 2 9 2" xfId="19660" xr:uid="{F29B5848-4625-4CAC-A08F-034A3CE3F058}"/>
    <cellStyle name="Normal 2 3 2 2 2 9 2 2" xfId="45152" xr:uid="{97BDBAF2-8B54-4F9E-BA41-C0A410C2F0AB}"/>
    <cellStyle name="Normal 2 3 2 2 2 9 3" xfId="32561" xr:uid="{0D201E92-2FDB-44E9-B558-FCDA9B7C9D53}"/>
    <cellStyle name="Normal 2 3 2 2 3" xfId="1033" xr:uid="{56C3B6C1-4E61-4F37-80D6-35F15C377BEA}"/>
    <cellStyle name="Normal 2 3 2 2 3 2" xfId="2340" xr:uid="{0BDA77E3-65BD-4456-B70F-D18856715D56}"/>
    <cellStyle name="Normal 2 3 2 2 3 2 2" xfId="5494" xr:uid="{64D179F9-5516-4E4C-AE5A-82E6DF8B9310}"/>
    <cellStyle name="Normal 2 3 2 2 3 2 2 2" xfId="11787" xr:uid="{3BE5F4CC-7745-4A31-8239-E47B46A87360}"/>
    <cellStyle name="Normal 2 3 2 2 3 2 2 2 2" xfId="24469" xr:uid="{98FAE9FA-3164-4D13-858D-C5B37B82F0D3}"/>
    <cellStyle name="Normal 2 3 2 2 3 2 2 2 2 2" xfId="49961" xr:uid="{C8EC0A7A-11EB-46B9-857B-0FD9591EA2CE}"/>
    <cellStyle name="Normal 2 3 2 2 3 2 2 2 3" xfId="37370" xr:uid="{799D6A45-6F4B-4663-99E3-C073E7945F66}"/>
    <cellStyle name="Normal 2 3 2 2 3 2 2 3" xfId="18191" xr:uid="{5A55CB41-EFD1-40DE-A0A3-4032D5E07804}"/>
    <cellStyle name="Normal 2 3 2 2 3 2 2 3 2" xfId="43683" xr:uid="{AEFD0304-B76F-465F-849C-1A8332846469}"/>
    <cellStyle name="Normal 2 3 2 2 3 2 2 4" xfId="31092" xr:uid="{0741A781-1FF6-46BB-A6B2-C1ABA7601CFD}"/>
    <cellStyle name="Normal 2 3 2 2 3 2 3" xfId="8648" xr:uid="{042337AC-86AF-4053-AB55-184FF6E27206}"/>
    <cellStyle name="Normal 2 3 2 2 3 2 3 2" xfId="21330" xr:uid="{69B04AC2-129D-48C9-B39B-ADC7F252A097}"/>
    <cellStyle name="Normal 2 3 2 2 3 2 3 2 2" xfId="46822" xr:uid="{6BC6793A-2E15-4049-921E-FB54D1D6331C}"/>
    <cellStyle name="Normal 2 3 2 2 3 2 3 3" xfId="34231" xr:uid="{6E2C202F-AA94-49D1-82F6-4ADC34115ED0}"/>
    <cellStyle name="Normal 2 3 2 2 3 2 4" xfId="15052" xr:uid="{28539C7C-7BA3-4D7F-A61B-C46BCE6A0522}"/>
    <cellStyle name="Normal 2 3 2 2 3 2 4 2" xfId="40544" xr:uid="{275AB79C-8D51-4487-91E4-312C2AD6514A}"/>
    <cellStyle name="Normal 2 3 2 2 3 2 5" xfId="27953" xr:uid="{20F0D087-3364-456B-85F9-F5B7D81DECBD}"/>
    <cellStyle name="Normal 2 3 2 2 3 3" xfId="1557" xr:uid="{C345EFFF-9408-46C1-90B1-290DCABC42DA}"/>
    <cellStyle name="Normal 2 3 2 2 3 3 2" xfId="4711" xr:uid="{5A71D868-CC7F-4061-BBD4-F111D32AD935}"/>
    <cellStyle name="Normal 2 3 2 2 3 3 2 2" xfId="11004" xr:uid="{646C4C5A-AC37-442C-BEE3-942CD4C370EC}"/>
    <cellStyle name="Normal 2 3 2 2 3 3 2 2 2" xfId="23686" xr:uid="{EFE3C46B-DA83-470A-8436-CFF6A9242B00}"/>
    <cellStyle name="Normal 2 3 2 2 3 3 2 2 2 2" xfId="49178" xr:uid="{B7418A3A-06F2-46B7-B679-4CA098B47B4B}"/>
    <cellStyle name="Normal 2 3 2 2 3 3 2 2 3" xfId="36587" xr:uid="{C7A9774B-95EB-464B-99C3-AB81F0D50255}"/>
    <cellStyle name="Normal 2 3 2 2 3 3 2 3" xfId="17408" xr:uid="{F38DF481-1669-495E-9429-800628809642}"/>
    <cellStyle name="Normal 2 3 2 2 3 3 2 3 2" xfId="42900" xr:uid="{CF42CE92-C273-4C02-9BAC-97CFE801559A}"/>
    <cellStyle name="Normal 2 3 2 2 3 3 2 4" xfId="30309" xr:uid="{C6E1F074-8BA1-43E6-997A-27D4202FA0AF}"/>
    <cellStyle name="Normal 2 3 2 2 3 3 3" xfId="7865" xr:uid="{F9A70409-39C5-4185-B6D8-B68EF174C8BF}"/>
    <cellStyle name="Normal 2 3 2 2 3 3 3 2" xfId="20547" xr:uid="{9E9F9269-7E7E-488E-B323-491D03F18F50}"/>
    <cellStyle name="Normal 2 3 2 2 3 3 3 2 2" xfId="46039" xr:uid="{2513E91E-1B1F-4F1E-A30A-A19FFE317601}"/>
    <cellStyle name="Normal 2 3 2 2 3 3 3 3" xfId="33448" xr:uid="{3B8E65B1-FDDA-4F2B-B4E8-8E1F140CF73E}"/>
    <cellStyle name="Normal 2 3 2 2 3 3 4" xfId="14269" xr:uid="{3C635648-3E93-4C6B-8751-2E6B24C64BDD}"/>
    <cellStyle name="Normal 2 3 2 2 3 3 4 2" xfId="39761" xr:uid="{D982897B-559B-4065-80F3-F9E15CD2C314}"/>
    <cellStyle name="Normal 2 3 2 2 3 3 5" xfId="27170" xr:uid="{1F4D10EA-C8BF-490C-B2F5-8A6BF2DBAEA4}"/>
    <cellStyle name="Normal 2 3 2 2 3 4" xfId="2864" xr:uid="{6C4A45E5-3E28-43A8-8242-E1EB48C1E139}"/>
    <cellStyle name="Normal 2 3 2 2 3 4 2" xfId="6018" xr:uid="{81AC5383-52EC-410B-9A98-9A92F463E2A5}"/>
    <cellStyle name="Normal 2 3 2 2 3 4 2 2" xfId="12311" xr:uid="{A71C287D-4ADA-44D3-9388-F10E5DADF8AE}"/>
    <cellStyle name="Normal 2 3 2 2 3 4 2 2 2" xfId="24993" xr:uid="{6468CBB2-620D-42FD-92EE-B7B4A45F7947}"/>
    <cellStyle name="Normal 2 3 2 2 3 4 2 2 2 2" xfId="50485" xr:uid="{FD149C81-29B6-4418-9699-534719FDA955}"/>
    <cellStyle name="Normal 2 3 2 2 3 4 2 2 3" xfId="37894" xr:uid="{7C4E8AC9-D23A-4D34-BCD9-F58F6B5F1999}"/>
    <cellStyle name="Normal 2 3 2 2 3 4 2 3" xfId="18715" xr:uid="{D9937BDB-E47B-4C14-8869-C829311C4023}"/>
    <cellStyle name="Normal 2 3 2 2 3 4 2 3 2" xfId="44207" xr:uid="{AE762C71-21E2-42E7-BE31-8241F4C78059}"/>
    <cellStyle name="Normal 2 3 2 2 3 4 2 4" xfId="31616" xr:uid="{DD764CBF-0757-4647-82B5-340FBF62AFB7}"/>
    <cellStyle name="Normal 2 3 2 2 3 4 3" xfId="9172" xr:uid="{F94B4A59-AD57-4934-A688-7C3A96C4F671}"/>
    <cellStyle name="Normal 2 3 2 2 3 4 3 2" xfId="21854" xr:uid="{DFF4108F-A5D4-42D8-8830-560B5B24A649}"/>
    <cellStyle name="Normal 2 3 2 2 3 4 3 2 2" xfId="47346" xr:uid="{908BCD3A-D368-464B-971A-85E8EE8B857E}"/>
    <cellStyle name="Normal 2 3 2 2 3 4 3 3" xfId="34755" xr:uid="{2EA1D5A3-BC67-4536-BAD3-4A57FFBF06E4}"/>
    <cellStyle name="Normal 2 3 2 2 3 4 4" xfId="15576" xr:uid="{107F2504-364E-4FE6-86E1-2C3D828EC06F}"/>
    <cellStyle name="Normal 2 3 2 2 3 4 4 2" xfId="41068" xr:uid="{93ED917C-498D-4233-97E4-C66F1F0D6D88}"/>
    <cellStyle name="Normal 2 3 2 2 3 4 5" xfId="28477" xr:uid="{002928E6-A9D7-4963-89C4-51847DD19B6D}"/>
    <cellStyle name="Normal 2 3 2 2 3 5" xfId="3387" xr:uid="{744D2B7F-D542-4DAA-B827-F2D72FC5F50B}"/>
    <cellStyle name="Normal 2 3 2 2 3 5 2" xfId="6541" xr:uid="{3A0D676C-BABA-4730-85A6-43C652D7F6E1}"/>
    <cellStyle name="Normal 2 3 2 2 3 5 2 2" xfId="12834" xr:uid="{E8FF4C3F-7685-4950-B845-8674E03344BC}"/>
    <cellStyle name="Normal 2 3 2 2 3 5 2 2 2" xfId="25516" xr:uid="{7B6E1582-DAD1-4CE7-8A82-06F55AD694B0}"/>
    <cellStyle name="Normal 2 3 2 2 3 5 2 2 2 2" xfId="51008" xr:uid="{78AFCE19-CA71-457C-85C0-4E433336B06D}"/>
    <cellStyle name="Normal 2 3 2 2 3 5 2 2 3" xfId="38417" xr:uid="{777EEE48-2DCD-48B0-B36D-A794A5A2D178}"/>
    <cellStyle name="Normal 2 3 2 2 3 5 2 3" xfId="19238" xr:uid="{D1C70CB7-434E-42B0-8C9A-60DE083F2138}"/>
    <cellStyle name="Normal 2 3 2 2 3 5 2 3 2" xfId="44730" xr:uid="{B305A13B-8B71-461E-A9EF-A74077D7EBB5}"/>
    <cellStyle name="Normal 2 3 2 2 3 5 2 4" xfId="32139" xr:uid="{3E7CB137-E535-4982-901B-4D7FF62F1F41}"/>
    <cellStyle name="Normal 2 3 2 2 3 5 3" xfId="9695" xr:uid="{83DD6AC9-6F1F-4A29-B16E-EB9451785284}"/>
    <cellStyle name="Normal 2 3 2 2 3 5 3 2" xfId="22377" xr:uid="{DB742806-9281-4A91-8B05-6D22125B0543}"/>
    <cellStyle name="Normal 2 3 2 2 3 5 3 2 2" xfId="47869" xr:uid="{D2DF0263-758A-49EC-90F1-DB1E53F90BDF}"/>
    <cellStyle name="Normal 2 3 2 2 3 5 3 3" xfId="35278" xr:uid="{31A89BD2-35A4-4068-907F-301EB31029E0}"/>
    <cellStyle name="Normal 2 3 2 2 3 5 4" xfId="16099" xr:uid="{255D7741-625D-4B19-9852-020A38DA3953}"/>
    <cellStyle name="Normal 2 3 2 2 3 5 4 2" xfId="41591" xr:uid="{7CC4169A-F020-4B8C-AB63-BF5706DD253D}"/>
    <cellStyle name="Normal 2 3 2 2 3 5 5" xfId="29000" xr:uid="{BDABED3B-B449-453D-9E2A-3B5AAE21FA23}"/>
    <cellStyle name="Normal 2 3 2 2 3 6" xfId="4187" xr:uid="{5AB471BD-87E3-4C47-B8E7-734EC4684DE2}"/>
    <cellStyle name="Normal 2 3 2 2 3 6 2" xfId="10480" xr:uid="{85F353B8-DAF1-4E22-8568-519125D4148E}"/>
    <cellStyle name="Normal 2 3 2 2 3 6 2 2" xfId="23162" xr:uid="{974A7F83-DAD0-41DF-A6DD-7AF2266D1C55}"/>
    <cellStyle name="Normal 2 3 2 2 3 6 2 2 2" xfId="48654" xr:uid="{70D5683F-F647-4BC7-960F-F89C0CB04D58}"/>
    <cellStyle name="Normal 2 3 2 2 3 6 2 3" xfId="36063" xr:uid="{FEABE069-BC22-4012-A69B-8EAEF2A977A5}"/>
    <cellStyle name="Normal 2 3 2 2 3 6 3" xfId="16884" xr:uid="{4BC01A0B-E30F-4C72-9E52-3FC2E20219E9}"/>
    <cellStyle name="Normal 2 3 2 2 3 6 3 2" xfId="42376" xr:uid="{6C2A53D5-8D53-44E2-9372-B5852C16FFAB}"/>
    <cellStyle name="Normal 2 3 2 2 3 6 4" xfId="29785" xr:uid="{DC54DFB7-2DC2-40AF-B856-192BB495E473}"/>
    <cellStyle name="Normal 2 3 2 2 3 7" xfId="7341" xr:uid="{46D23797-ACB4-45A3-9F6A-7B9744C67394}"/>
    <cellStyle name="Normal 2 3 2 2 3 7 2" xfId="20023" xr:uid="{E86EF0AA-F9C5-47C8-B0EC-3D0AC2C8113B}"/>
    <cellStyle name="Normal 2 3 2 2 3 7 2 2" xfId="45515" xr:uid="{764256C4-9C09-4B9A-99DC-9DDC6FC02E02}"/>
    <cellStyle name="Normal 2 3 2 2 3 7 3" xfId="32924" xr:uid="{9584827C-0A31-410B-8DBA-23712A145806}"/>
    <cellStyle name="Normal 2 3 2 2 3 8" xfId="13745" xr:uid="{6045444E-8082-4CD7-AEE8-B2E45E513184}"/>
    <cellStyle name="Normal 2 3 2 2 3 8 2" xfId="39237" xr:uid="{D9CC4DAC-FB01-4A16-A4AA-CD0CFAF4E357}"/>
    <cellStyle name="Normal 2 3 2 2 3 9" xfId="26646" xr:uid="{75403975-93B8-42FB-BF84-68E2A7480222}"/>
    <cellStyle name="Normal 2 3 2 2 4" xfId="773" xr:uid="{1712F6F2-AD27-449A-B32A-17622086E6BE}"/>
    <cellStyle name="Normal 2 3 2 2 4 2" xfId="2080" xr:uid="{D0A1FB6D-A639-417B-9096-6F1814E2B5DA}"/>
    <cellStyle name="Normal 2 3 2 2 4 2 2" xfId="5234" xr:uid="{30FDCB5A-BC5E-4910-8206-888918795FC1}"/>
    <cellStyle name="Normal 2 3 2 2 4 2 2 2" xfId="11527" xr:uid="{582A8E43-43FD-4BB7-A3C7-077F779B3491}"/>
    <cellStyle name="Normal 2 3 2 2 4 2 2 2 2" xfId="24209" xr:uid="{DD2D8B60-6CEE-4F92-8A44-C10658700991}"/>
    <cellStyle name="Normal 2 3 2 2 4 2 2 2 2 2" xfId="49701" xr:uid="{186DF701-907A-4B44-B7A5-D9CE72C3161D}"/>
    <cellStyle name="Normal 2 3 2 2 4 2 2 2 3" xfId="37110" xr:uid="{6209052E-1B0A-46D8-8821-02685CB28FF4}"/>
    <cellStyle name="Normal 2 3 2 2 4 2 2 3" xfId="17931" xr:uid="{2F48A2FB-B4F3-406E-8D12-146D08812AA5}"/>
    <cellStyle name="Normal 2 3 2 2 4 2 2 3 2" xfId="43423" xr:uid="{8EF957AA-7CE3-41F0-96E1-2479178CFD2B}"/>
    <cellStyle name="Normal 2 3 2 2 4 2 2 4" xfId="30832" xr:uid="{F9A2300B-3EF1-48CC-9277-D812476654FE}"/>
    <cellStyle name="Normal 2 3 2 2 4 2 3" xfId="8388" xr:uid="{F8613B61-480C-48A1-80E3-82BBEE330A2D}"/>
    <cellStyle name="Normal 2 3 2 2 4 2 3 2" xfId="21070" xr:uid="{56D74F4F-A257-4C2F-97C6-F39493BBA038}"/>
    <cellStyle name="Normal 2 3 2 2 4 2 3 2 2" xfId="46562" xr:uid="{1302836C-0698-4C8C-8EB6-FBEF70CA1487}"/>
    <cellStyle name="Normal 2 3 2 2 4 2 3 3" xfId="33971" xr:uid="{C91EFFCC-4F4B-4AAB-9D6C-34A617885157}"/>
    <cellStyle name="Normal 2 3 2 2 4 2 4" xfId="14792" xr:uid="{B3754712-BEAF-4B2A-8EF3-6A354B9E5A3E}"/>
    <cellStyle name="Normal 2 3 2 2 4 2 4 2" xfId="40284" xr:uid="{3F1FD337-8EAE-4B4C-832B-CB4EB5351555}"/>
    <cellStyle name="Normal 2 3 2 2 4 2 5" xfId="27693" xr:uid="{A958FB40-BD35-4F0E-BF53-EE274E73AB54}"/>
    <cellStyle name="Normal 2 3 2 2 4 3" xfId="3927" xr:uid="{6A5CFB5A-3FDE-48A3-A740-857FFBD2CBC2}"/>
    <cellStyle name="Normal 2 3 2 2 4 3 2" xfId="10220" xr:uid="{0E7DF778-E9FA-4087-8D35-83C690CAFCA0}"/>
    <cellStyle name="Normal 2 3 2 2 4 3 2 2" xfId="22902" xr:uid="{3F1AA042-3909-46DE-B0D0-E7FC33BBE797}"/>
    <cellStyle name="Normal 2 3 2 2 4 3 2 2 2" xfId="48394" xr:uid="{51C6ECA5-9E22-4056-84C6-2FD4AEC42022}"/>
    <cellStyle name="Normal 2 3 2 2 4 3 2 3" xfId="35803" xr:uid="{04B7D9DF-FD4E-440F-9D67-78CA4D63096D}"/>
    <cellStyle name="Normal 2 3 2 2 4 3 3" xfId="16624" xr:uid="{3A860FDD-847A-459A-B60F-A3CFFE56C6F0}"/>
    <cellStyle name="Normal 2 3 2 2 4 3 3 2" xfId="42116" xr:uid="{98015D2B-F49B-45E5-BD60-33818C5560B1}"/>
    <cellStyle name="Normal 2 3 2 2 4 3 4" xfId="29525" xr:uid="{823A9184-B3BD-4842-8ECE-0437870017FD}"/>
    <cellStyle name="Normal 2 3 2 2 4 4" xfId="7081" xr:uid="{595876BC-542A-4511-88FF-3647910318A4}"/>
    <cellStyle name="Normal 2 3 2 2 4 4 2" xfId="19763" xr:uid="{246F5DEF-C7AA-4663-9C25-625FF159E0CF}"/>
    <cellStyle name="Normal 2 3 2 2 4 4 2 2" xfId="45255" xr:uid="{2CC1B0C9-E9FC-45C0-9C74-E333716B910E}"/>
    <cellStyle name="Normal 2 3 2 2 4 4 3" xfId="32664" xr:uid="{355012BD-8C3D-4803-81FC-B49D4F346E08}"/>
    <cellStyle name="Normal 2 3 2 2 4 5" xfId="13485" xr:uid="{6C2D8585-5755-4B6A-B830-C04FEFA9EDA3}"/>
    <cellStyle name="Normal 2 3 2 2 4 5 2" xfId="38977" xr:uid="{43A72B25-1BB4-48BC-89C1-B9305483CAF3}"/>
    <cellStyle name="Normal 2 3 2 2 4 6" xfId="26386" xr:uid="{62BBD9C0-42B8-4B8A-AC06-FD4ADCABF34D}"/>
    <cellStyle name="Normal 2 3 2 2 5" xfId="1818" xr:uid="{02ADB1B3-8BB6-4E6E-BCBB-AF044B4147F5}"/>
    <cellStyle name="Normal 2 3 2 2 5 2" xfId="4972" xr:uid="{58DA44B5-4FFD-4ABE-9052-40E5CE231FFF}"/>
    <cellStyle name="Normal 2 3 2 2 5 2 2" xfId="11265" xr:uid="{96F56A6C-8C19-470B-85E3-E243A88BF8FF}"/>
    <cellStyle name="Normal 2 3 2 2 5 2 2 2" xfId="23947" xr:uid="{707B485E-273D-4DD4-B77A-D5E11F3BFD60}"/>
    <cellStyle name="Normal 2 3 2 2 5 2 2 2 2" xfId="49439" xr:uid="{A85D3F73-6EDF-4D0C-AF4E-4A6C1589BD08}"/>
    <cellStyle name="Normal 2 3 2 2 5 2 2 3" xfId="36848" xr:uid="{2FB9575D-3CFF-4705-A25B-DD317E498F05}"/>
    <cellStyle name="Normal 2 3 2 2 5 2 3" xfId="17669" xr:uid="{DB76C94F-4400-4677-B287-72D3FCD06B3E}"/>
    <cellStyle name="Normal 2 3 2 2 5 2 3 2" xfId="43161" xr:uid="{921F760C-524E-401E-98EA-9D6A06481A60}"/>
    <cellStyle name="Normal 2 3 2 2 5 2 4" xfId="30570" xr:uid="{E0605E74-5A85-4CD9-9D7C-BE02D60C1A3C}"/>
    <cellStyle name="Normal 2 3 2 2 5 3" xfId="8126" xr:uid="{BB610CDC-5EF0-4BA3-AD15-45CA7D953ADE}"/>
    <cellStyle name="Normal 2 3 2 2 5 3 2" xfId="20808" xr:uid="{6362B2D0-33AB-48C1-962E-066BC37F26E8}"/>
    <cellStyle name="Normal 2 3 2 2 5 3 2 2" xfId="46300" xr:uid="{E6C33855-1008-4D54-A5FD-FEA9BB16A44A}"/>
    <cellStyle name="Normal 2 3 2 2 5 3 3" xfId="33709" xr:uid="{0EDFE5DC-F914-40F9-B3BB-564DC5EE5819}"/>
    <cellStyle name="Normal 2 3 2 2 5 4" xfId="14530" xr:uid="{0CAEE59E-D42D-4608-943C-5D8C58FFE564}"/>
    <cellStyle name="Normal 2 3 2 2 5 4 2" xfId="40022" xr:uid="{1D0AC7F3-84BB-4006-B7CB-643ED3588194}"/>
    <cellStyle name="Normal 2 3 2 2 5 5" xfId="27431" xr:uid="{A877342C-5B95-43AB-9F96-D154CC6D467C}"/>
    <cellStyle name="Normal 2 3 2 2 6" xfId="1296" xr:uid="{8F53C72E-28C5-4FEA-B50C-D50977EABEDA}"/>
    <cellStyle name="Normal 2 3 2 2 6 2" xfId="4450" xr:uid="{EFE26910-5118-4FE6-87F0-85DB8CD56539}"/>
    <cellStyle name="Normal 2 3 2 2 6 2 2" xfId="10743" xr:uid="{E2BE3175-FEAE-4B40-8AA5-5A85313011F7}"/>
    <cellStyle name="Normal 2 3 2 2 6 2 2 2" xfId="23425" xr:uid="{D579934D-8A27-4168-8AC0-AADDD13E0B60}"/>
    <cellStyle name="Normal 2 3 2 2 6 2 2 2 2" xfId="48917" xr:uid="{752FB3A1-7768-4527-A2CB-A7FBCF872FFB}"/>
    <cellStyle name="Normal 2 3 2 2 6 2 2 3" xfId="36326" xr:uid="{5556BFDD-3070-405D-B388-582C7F55B647}"/>
    <cellStyle name="Normal 2 3 2 2 6 2 3" xfId="17147" xr:uid="{146EDD32-4136-40ED-8903-AD7B8BE5E447}"/>
    <cellStyle name="Normal 2 3 2 2 6 2 3 2" xfId="42639" xr:uid="{A1F698F8-782E-4B05-9B6B-21DAFC916C99}"/>
    <cellStyle name="Normal 2 3 2 2 6 2 4" xfId="30048" xr:uid="{7CCF4390-40D7-4A7E-918A-49B4DE7167A5}"/>
    <cellStyle name="Normal 2 3 2 2 6 3" xfId="7604" xr:uid="{414DDA21-7817-4E68-A638-1F29111DA969}"/>
    <cellStyle name="Normal 2 3 2 2 6 3 2" xfId="20286" xr:uid="{2ADC0BC6-7684-41A0-AF0C-643ED73A4C86}"/>
    <cellStyle name="Normal 2 3 2 2 6 3 2 2" xfId="45778" xr:uid="{C9EE1424-406A-40CA-953E-A98244BCE456}"/>
    <cellStyle name="Normal 2 3 2 2 6 3 3" xfId="33187" xr:uid="{5C49A1B1-04F8-4663-954E-9442DBB29BD3}"/>
    <cellStyle name="Normal 2 3 2 2 6 4" xfId="14008" xr:uid="{F6E6F889-8D6E-4195-AAE6-B81BB59E680B}"/>
    <cellStyle name="Normal 2 3 2 2 6 4 2" xfId="39500" xr:uid="{8DA6C882-6872-4D47-A524-EBBF01970046}"/>
    <cellStyle name="Normal 2 3 2 2 6 5" xfId="26909" xr:uid="{D0CA27F1-CF52-4A2B-A624-E4F48D0BE314}"/>
    <cellStyle name="Normal 2 3 2 2 7" xfId="2603" xr:uid="{BBFE6ABB-1461-4078-884C-6828C05A9902}"/>
    <cellStyle name="Normal 2 3 2 2 7 2" xfId="5757" xr:uid="{E7A09704-8058-4953-8224-F65F97CE71CE}"/>
    <cellStyle name="Normal 2 3 2 2 7 2 2" xfId="12050" xr:uid="{3AB3C586-EBA1-4BDB-81FA-FA136C9E3332}"/>
    <cellStyle name="Normal 2 3 2 2 7 2 2 2" xfId="24732" xr:uid="{E3AEC7A3-DA02-4989-9C6B-70101FC73337}"/>
    <cellStyle name="Normal 2 3 2 2 7 2 2 2 2" xfId="50224" xr:uid="{4D677EEB-3903-422E-9C9B-59553B4F7F22}"/>
    <cellStyle name="Normal 2 3 2 2 7 2 2 3" xfId="37633" xr:uid="{03E895A2-AF77-48DD-AFD7-342A54972518}"/>
    <cellStyle name="Normal 2 3 2 2 7 2 3" xfId="18454" xr:uid="{8775BA81-928F-4B9E-9F4D-110C88EB3231}"/>
    <cellStyle name="Normal 2 3 2 2 7 2 3 2" xfId="43946" xr:uid="{8C9A4AEF-55CA-4EE7-8613-29EC6E5ADEDD}"/>
    <cellStyle name="Normal 2 3 2 2 7 2 4" xfId="31355" xr:uid="{BC1100E3-6FEC-4DC7-A057-9CF5B51DE15C}"/>
    <cellStyle name="Normal 2 3 2 2 7 3" xfId="8911" xr:uid="{141C6CF0-6DB9-408A-92D0-74F80038811C}"/>
    <cellStyle name="Normal 2 3 2 2 7 3 2" xfId="21593" xr:uid="{D41506EA-981A-40B8-92AE-31FE246B85A2}"/>
    <cellStyle name="Normal 2 3 2 2 7 3 2 2" xfId="47085" xr:uid="{B68A8778-1842-4645-8EEC-3209A1DD6672}"/>
    <cellStyle name="Normal 2 3 2 2 7 3 3" xfId="34494" xr:uid="{98DA83D0-5C75-404C-B41F-FD70AA9D4F66}"/>
    <cellStyle name="Normal 2 3 2 2 7 4" xfId="15315" xr:uid="{698A93ED-5987-4AF2-A2B4-A3B9EFF27133}"/>
    <cellStyle name="Normal 2 3 2 2 7 4 2" xfId="40807" xr:uid="{67339176-8136-43F7-8CCA-F3FE8423B7DD}"/>
    <cellStyle name="Normal 2 3 2 2 7 5" xfId="28216" xr:uid="{F080570A-D383-41A7-B198-4B6E87990021}"/>
    <cellStyle name="Normal 2 3 2 2 8" xfId="3126" xr:uid="{1B4F24F5-B5AB-45D9-A3FF-31CDD9F8149F}"/>
    <cellStyle name="Normal 2 3 2 2 8 2" xfId="6280" xr:uid="{144D0C23-BB3E-4819-A164-EDC12D30FEAF}"/>
    <cellStyle name="Normal 2 3 2 2 8 2 2" xfId="12573" xr:uid="{D7536890-B47C-436A-851F-024263A99BBF}"/>
    <cellStyle name="Normal 2 3 2 2 8 2 2 2" xfId="25255" xr:uid="{03AAE204-265A-45D4-8408-CE9FBE315B9D}"/>
    <cellStyle name="Normal 2 3 2 2 8 2 2 2 2" xfId="50747" xr:uid="{1544CDDB-D3B2-4CA8-8B96-99F20DF75B0A}"/>
    <cellStyle name="Normal 2 3 2 2 8 2 2 3" xfId="38156" xr:uid="{678DC2B0-D9C9-49A2-BE37-46B67B2269D1}"/>
    <cellStyle name="Normal 2 3 2 2 8 2 3" xfId="18977" xr:uid="{A065D3E7-C4C9-44D4-9B79-42DC6A307D64}"/>
    <cellStyle name="Normal 2 3 2 2 8 2 3 2" xfId="44469" xr:uid="{5AED27FD-0368-430F-B245-DCC26FB74AA2}"/>
    <cellStyle name="Normal 2 3 2 2 8 2 4" xfId="31878" xr:uid="{FDB15915-AB5A-462F-9440-BD304452D94C}"/>
    <cellStyle name="Normal 2 3 2 2 8 3" xfId="9434" xr:uid="{9271ED29-0F99-4634-8C54-B8B124C9FB4B}"/>
    <cellStyle name="Normal 2 3 2 2 8 3 2" xfId="22116" xr:uid="{FAAB6F06-251F-4B6C-9400-B81BC8F29810}"/>
    <cellStyle name="Normal 2 3 2 2 8 3 2 2" xfId="47608" xr:uid="{25E9579A-C3C0-404A-99A2-DED45DB9159C}"/>
    <cellStyle name="Normal 2 3 2 2 8 3 3" xfId="35017" xr:uid="{3DC417B4-AE0B-49D0-B444-A2CE69C3AF9F}"/>
    <cellStyle name="Normal 2 3 2 2 8 4" xfId="15838" xr:uid="{98355BE4-687B-46C3-97A9-AED74AB0208C}"/>
    <cellStyle name="Normal 2 3 2 2 8 4 2" xfId="41330" xr:uid="{807A8D78-4DB7-4E34-9862-8F8CE338C45D}"/>
    <cellStyle name="Normal 2 3 2 2 8 5" xfId="28739" xr:uid="{14B0C9F0-559F-4348-B23C-931D40E7D480}"/>
    <cellStyle name="Normal 2 3 2 2 9" xfId="3665" xr:uid="{1BFF6005-ACA7-4BAD-A6A3-8D8F18AC0455}"/>
    <cellStyle name="Normal 2 3 2 2 9 2" xfId="9958" xr:uid="{324CF342-3AAF-494C-B9E2-3640D403B954}"/>
    <cellStyle name="Normal 2 3 2 2 9 2 2" xfId="22640" xr:uid="{92E9E751-B514-4D75-BC80-F5B5911380E2}"/>
    <cellStyle name="Normal 2 3 2 2 9 2 2 2" xfId="48132" xr:uid="{81A7F2CC-971C-41A4-9B87-15407C033903}"/>
    <cellStyle name="Normal 2 3 2 2 9 2 3" xfId="35541" xr:uid="{89C3C9ED-98D6-442A-9521-785EDA0BADC4}"/>
    <cellStyle name="Normal 2 3 2 2 9 3" xfId="16362" xr:uid="{38EAB9FE-0F46-49A3-A014-C400B720726D}"/>
    <cellStyle name="Normal 2 3 2 2 9 3 2" xfId="41854" xr:uid="{08FA2E6F-E360-43F6-BB39-CA2DD5E4C1D9}"/>
    <cellStyle name="Normal 2 3 2 2 9 4" xfId="29263" xr:uid="{4E5A7A4F-F206-4A3A-893D-4356886881AC}"/>
    <cellStyle name="Normal 2 3 2 3" xfId="594" xr:uid="{1B5D8A48-656F-4CFF-BF5E-278357BB77C1}"/>
    <cellStyle name="Normal 2 3 2 3 10" xfId="13321" xr:uid="{3BD4F946-1712-4D88-8A8B-96FFF2DEF701}"/>
    <cellStyle name="Normal 2 3 2 3 10 2" xfId="38813" xr:uid="{7121F3A8-C807-4C4B-8D1B-A8F25ABA10EF}"/>
    <cellStyle name="Normal 2 3 2 3 11" xfId="26222" xr:uid="{E0ADE106-969B-463A-85C0-ECBCC96B4BBA}"/>
    <cellStyle name="Normal 2 3 2 3 2" xfId="1131" xr:uid="{C87D56CD-C06E-4A5E-8B96-86A2ED81DD93}"/>
    <cellStyle name="Normal 2 3 2 3 2 2" xfId="2438" xr:uid="{D951B523-F034-438C-A143-9FA6CAD72ACA}"/>
    <cellStyle name="Normal 2 3 2 3 2 2 2" xfId="5592" xr:uid="{0CDE136F-33FB-44C2-A684-817ECA5A2114}"/>
    <cellStyle name="Normal 2 3 2 3 2 2 2 2" xfId="11885" xr:uid="{EFD8B839-B72A-40DC-A5A0-C668145C6172}"/>
    <cellStyle name="Normal 2 3 2 3 2 2 2 2 2" xfId="24567" xr:uid="{A94EA567-B2BF-47E6-81DE-273667AE4C92}"/>
    <cellStyle name="Normal 2 3 2 3 2 2 2 2 2 2" xfId="50059" xr:uid="{2F75FB77-782B-4913-B96F-DEBA49838CCB}"/>
    <cellStyle name="Normal 2 3 2 3 2 2 2 2 3" xfId="37468" xr:uid="{BE811506-FA0A-4DDC-88CA-0AEC09ABB072}"/>
    <cellStyle name="Normal 2 3 2 3 2 2 2 3" xfId="18289" xr:uid="{6DA94229-F2E9-4ECC-B73C-BF1B02C000CC}"/>
    <cellStyle name="Normal 2 3 2 3 2 2 2 3 2" xfId="43781" xr:uid="{472B4683-DD89-490F-8F02-00C63C2D3292}"/>
    <cellStyle name="Normal 2 3 2 3 2 2 2 4" xfId="31190" xr:uid="{EED4B78C-1D96-4D80-9C52-09182F05DED1}"/>
    <cellStyle name="Normal 2 3 2 3 2 2 3" xfId="8746" xr:uid="{7EC8261E-8453-4482-87BE-859BA36B4BB5}"/>
    <cellStyle name="Normal 2 3 2 3 2 2 3 2" xfId="21428" xr:uid="{B581B6C8-F5FD-4B05-B60B-97F45CB039DE}"/>
    <cellStyle name="Normal 2 3 2 3 2 2 3 2 2" xfId="46920" xr:uid="{9A1143F3-8BE1-42BA-88DC-842AE6A026CE}"/>
    <cellStyle name="Normal 2 3 2 3 2 2 3 3" xfId="34329" xr:uid="{4B6F390E-7C71-4BEB-962C-9D4E8F4C39B5}"/>
    <cellStyle name="Normal 2 3 2 3 2 2 4" xfId="15150" xr:uid="{94B37174-88F1-4B28-96B2-A5CC17E22050}"/>
    <cellStyle name="Normal 2 3 2 3 2 2 4 2" xfId="40642" xr:uid="{5D9241C3-4CF9-4262-9090-2FB300505E63}"/>
    <cellStyle name="Normal 2 3 2 3 2 2 5" xfId="28051" xr:uid="{8BB3BC51-0940-4BD2-B478-556185E67C05}"/>
    <cellStyle name="Normal 2 3 2 3 2 3" xfId="1655" xr:uid="{22E51920-4EC1-4B09-8586-75ABE783865A}"/>
    <cellStyle name="Normal 2 3 2 3 2 3 2" xfId="4809" xr:uid="{7F514653-386A-43D8-AE69-D894B91675FD}"/>
    <cellStyle name="Normal 2 3 2 3 2 3 2 2" xfId="11102" xr:uid="{F02979BE-62B5-4074-A8B5-8A939A170CCC}"/>
    <cellStyle name="Normal 2 3 2 3 2 3 2 2 2" xfId="23784" xr:uid="{F61E3231-CCAC-4BD2-BC21-BAAD00E81061}"/>
    <cellStyle name="Normal 2 3 2 3 2 3 2 2 2 2" xfId="49276" xr:uid="{39AF4F20-CF20-4D1C-9C5E-BAD330287D87}"/>
    <cellStyle name="Normal 2 3 2 3 2 3 2 2 3" xfId="36685" xr:uid="{C1555699-BCC0-4D7E-AAFA-645B7FFBE9B3}"/>
    <cellStyle name="Normal 2 3 2 3 2 3 2 3" xfId="17506" xr:uid="{0E488944-CE8C-4359-B423-6F9BB08DB5D5}"/>
    <cellStyle name="Normal 2 3 2 3 2 3 2 3 2" xfId="42998" xr:uid="{B3D0D001-9006-4894-8269-B0A464CB828C}"/>
    <cellStyle name="Normal 2 3 2 3 2 3 2 4" xfId="30407" xr:uid="{699456D5-B6D0-445E-981F-496B270BA723}"/>
    <cellStyle name="Normal 2 3 2 3 2 3 3" xfId="7963" xr:uid="{1B24481C-482A-4F2C-A9D9-D3A2C9C70191}"/>
    <cellStyle name="Normal 2 3 2 3 2 3 3 2" xfId="20645" xr:uid="{1E105BCC-64E9-4D8B-B20D-71456BDD1E7E}"/>
    <cellStyle name="Normal 2 3 2 3 2 3 3 2 2" xfId="46137" xr:uid="{1DBD19E7-C5C1-49C4-96CD-A14611E16328}"/>
    <cellStyle name="Normal 2 3 2 3 2 3 3 3" xfId="33546" xr:uid="{ACF00C5C-6F9D-4BD6-B2A4-59CDE08846BD}"/>
    <cellStyle name="Normal 2 3 2 3 2 3 4" xfId="14367" xr:uid="{D0CD3E50-C922-43F5-AA39-785D8B7E98D5}"/>
    <cellStyle name="Normal 2 3 2 3 2 3 4 2" xfId="39859" xr:uid="{18FADC71-E664-4143-848C-80B2905B9CC8}"/>
    <cellStyle name="Normal 2 3 2 3 2 3 5" xfId="27268" xr:uid="{8044B9B9-2A73-4EBC-97B7-42E02EBC24D5}"/>
    <cellStyle name="Normal 2 3 2 3 2 4" xfId="2962" xr:uid="{269029ED-C44C-44D3-823F-6C915D383AC2}"/>
    <cellStyle name="Normal 2 3 2 3 2 4 2" xfId="6116" xr:uid="{0D11668B-9384-4A2D-9C89-669DB11B4ACC}"/>
    <cellStyle name="Normal 2 3 2 3 2 4 2 2" xfId="12409" xr:uid="{B2C073C3-A361-495D-B258-2627587253F1}"/>
    <cellStyle name="Normal 2 3 2 3 2 4 2 2 2" xfId="25091" xr:uid="{E9556200-B6CC-4D0E-A009-3BE9F94FEF1D}"/>
    <cellStyle name="Normal 2 3 2 3 2 4 2 2 2 2" xfId="50583" xr:uid="{0CB99656-99B1-40E3-878D-18AF969E81FD}"/>
    <cellStyle name="Normal 2 3 2 3 2 4 2 2 3" xfId="37992" xr:uid="{E2C2B573-4B2D-40F0-90CD-0A0F9731F139}"/>
    <cellStyle name="Normal 2 3 2 3 2 4 2 3" xfId="18813" xr:uid="{BDF5F94B-5615-4BC9-A8A6-1126598AC30C}"/>
    <cellStyle name="Normal 2 3 2 3 2 4 2 3 2" xfId="44305" xr:uid="{1AF8BCEC-59F4-42C6-867E-C95FA81201FF}"/>
    <cellStyle name="Normal 2 3 2 3 2 4 2 4" xfId="31714" xr:uid="{7D46873A-BC66-43CD-8E2A-F38325039B4D}"/>
    <cellStyle name="Normal 2 3 2 3 2 4 3" xfId="9270" xr:uid="{002E05E5-8E7C-49DB-B0E0-7CEBECED887B}"/>
    <cellStyle name="Normal 2 3 2 3 2 4 3 2" xfId="21952" xr:uid="{EC07F316-60EC-4BEB-A41E-4212577B7809}"/>
    <cellStyle name="Normal 2 3 2 3 2 4 3 2 2" xfId="47444" xr:uid="{4218691E-F5F4-4F52-9CFC-7BFDFAD52B6F}"/>
    <cellStyle name="Normal 2 3 2 3 2 4 3 3" xfId="34853" xr:uid="{777E95DE-36E1-4A14-8515-5A04C6357E24}"/>
    <cellStyle name="Normal 2 3 2 3 2 4 4" xfId="15674" xr:uid="{6E962DFF-8A8F-46FE-B8E3-8AB01C28B838}"/>
    <cellStyle name="Normal 2 3 2 3 2 4 4 2" xfId="41166" xr:uid="{D4417D73-98AD-4F86-8C92-A9E9394A7A17}"/>
    <cellStyle name="Normal 2 3 2 3 2 4 5" xfId="28575" xr:uid="{463D0F91-4EF4-40A1-8E59-C683F2C168D6}"/>
    <cellStyle name="Normal 2 3 2 3 2 5" xfId="3485" xr:uid="{21CE5CF2-00C0-4C50-9F16-369AAB05116D}"/>
    <cellStyle name="Normal 2 3 2 3 2 5 2" xfId="6639" xr:uid="{C6EA6F84-4D55-4850-B3D3-EB2AA657D50B}"/>
    <cellStyle name="Normal 2 3 2 3 2 5 2 2" xfId="12932" xr:uid="{FDA08B33-2117-4098-930F-0CD1A42774FA}"/>
    <cellStyle name="Normal 2 3 2 3 2 5 2 2 2" xfId="25614" xr:uid="{CF5DF30F-F3E8-44D2-9849-41FAC2BEB0CE}"/>
    <cellStyle name="Normal 2 3 2 3 2 5 2 2 2 2" xfId="51106" xr:uid="{B84615E4-120A-4B8E-83DB-E335E8CD9144}"/>
    <cellStyle name="Normal 2 3 2 3 2 5 2 2 3" xfId="38515" xr:uid="{19D4F2F8-2167-432B-8E9B-C28B8DB05B69}"/>
    <cellStyle name="Normal 2 3 2 3 2 5 2 3" xfId="19336" xr:uid="{E85EC912-D8D0-4D79-88A0-3C418F51E4A1}"/>
    <cellStyle name="Normal 2 3 2 3 2 5 2 3 2" xfId="44828" xr:uid="{6E66EEF1-18E2-480A-BFD8-58D9620CD87E}"/>
    <cellStyle name="Normal 2 3 2 3 2 5 2 4" xfId="32237" xr:uid="{80001A4B-6A7D-4C73-9EE3-40C8F9365FFE}"/>
    <cellStyle name="Normal 2 3 2 3 2 5 3" xfId="9793" xr:uid="{49BA5C70-F89E-4909-84BF-C866B9E09593}"/>
    <cellStyle name="Normal 2 3 2 3 2 5 3 2" xfId="22475" xr:uid="{24971096-C218-4E8A-9FA3-7C98D8FA6579}"/>
    <cellStyle name="Normal 2 3 2 3 2 5 3 2 2" xfId="47967" xr:uid="{CE98B28F-A058-44E4-B480-64FA60F596C4}"/>
    <cellStyle name="Normal 2 3 2 3 2 5 3 3" xfId="35376" xr:uid="{42C80560-9CC3-4914-91FC-738551B2AC4B}"/>
    <cellStyle name="Normal 2 3 2 3 2 5 4" xfId="16197" xr:uid="{A1E86021-EF71-4550-9B84-7E0F031AB525}"/>
    <cellStyle name="Normal 2 3 2 3 2 5 4 2" xfId="41689" xr:uid="{15E326E5-2DC3-4221-B1F6-D691C5F6438D}"/>
    <cellStyle name="Normal 2 3 2 3 2 5 5" xfId="29098" xr:uid="{9CEF49B8-B035-4AAB-8BD8-2FB1B861B6D7}"/>
    <cellStyle name="Normal 2 3 2 3 2 6" xfId="4285" xr:uid="{84923F0D-8F09-4F56-8AC5-688584797DBC}"/>
    <cellStyle name="Normal 2 3 2 3 2 6 2" xfId="10578" xr:uid="{1DE0D0A0-748D-4A22-B65F-7D912B59E757}"/>
    <cellStyle name="Normal 2 3 2 3 2 6 2 2" xfId="23260" xr:uid="{9F695D79-44D3-4734-823E-8C9C2A9482AB}"/>
    <cellStyle name="Normal 2 3 2 3 2 6 2 2 2" xfId="48752" xr:uid="{31E831FF-CF71-4616-935A-C5B88159334C}"/>
    <cellStyle name="Normal 2 3 2 3 2 6 2 3" xfId="36161" xr:uid="{AB079418-0E62-4FC3-9C10-47B41B021300}"/>
    <cellStyle name="Normal 2 3 2 3 2 6 3" xfId="16982" xr:uid="{870E0DB4-D3E1-4B86-8DFF-81A92AD4CC38}"/>
    <cellStyle name="Normal 2 3 2 3 2 6 3 2" xfId="42474" xr:uid="{C06A2136-6B81-4DF8-9312-8981EF677C23}"/>
    <cellStyle name="Normal 2 3 2 3 2 6 4" xfId="29883" xr:uid="{D8097E34-2715-4A01-A08D-814D28341D06}"/>
    <cellStyle name="Normal 2 3 2 3 2 7" xfId="7439" xr:uid="{390DAF35-9ADA-4DC9-BCD6-478FFD75A966}"/>
    <cellStyle name="Normal 2 3 2 3 2 7 2" xfId="20121" xr:uid="{942247B7-F9E1-4FFD-B67B-644DF8377869}"/>
    <cellStyle name="Normal 2 3 2 3 2 7 2 2" xfId="45613" xr:uid="{F3E7B881-D6D5-4C55-8C6E-923DF7A438AA}"/>
    <cellStyle name="Normal 2 3 2 3 2 7 3" xfId="33022" xr:uid="{56B6DD49-5608-4004-BCA0-7039375C4CDF}"/>
    <cellStyle name="Normal 2 3 2 3 2 8" xfId="13843" xr:uid="{14756454-1439-456E-99D7-DC38413C8A83}"/>
    <cellStyle name="Normal 2 3 2 3 2 8 2" xfId="39335" xr:uid="{CC218A22-2185-4719-ABF1-9043E484C1EF}"/>
    <cellStyle name="Normal 2 3 2 3 2 9" xfId="26744" xr:uid="{6D139F6C-762D-4BB0-B98A-B1B5EAB0463D}"/>
    <cellStyle name="Normal 2 3 2 3 3" xfId="871" xr:uid="{F72F3CB6-905F-4FC1-A6DA-E44DE20F6776}"/>
    <cellStyle name="Normal 2 3 2 3 3 2" xfId="2178" xr:uid="{3F9F6F31-2556-44FB-A3DE-10168AB8ECC3}"/>
    <cellStyle name="Normal 2 3 2 3 3 2 2" xfId="5332" xr:uid="{5B8862D9-5CFD-4C6A-AD43-F90F806A208F}"/>
    <cellStyle name="Normal 2 3 2 3 3 2 2 2" xfId="11625" xr:uid="{A4968D6D-DD84-45D0-97CD-D46677D49A01}"/>
    <cellStyle name="Normal 2 3 2 3 3 2 2 2 2" xfId="24307" xr:uid="{DCDD85A0-1313-47E2-BF6D-BD71F72557CD}"/>
    <cellStyle name="Normal 2 3 2 3 3 2 2 2 2 2" xfId="49799" xr:uid="{ECA9BE1B-232B-47C4-AC3B-A4D16CD039D3}"/>
    <cellStyle name="Normal 2 3 2 3 3 2 2 2 3" xfId="37208" xr:uid="{6E84509D-D8B8-42F7-8E69-4C8CF5C716DF}"/>
    <cellStyle name="Normal 2 3 2 3 3 2 2 3" xfId="18029" xr:uid="{02840001-A4AF-4957-8B1A-C2FCA6FE87D4}"/>
    <cellStyle name="Normal 2 3 2 3 3 2 2 3 2" xfId="43521" xr:uid="{DF852D44-9163-413C-A191-324387B66E81}"/>
    <cellStyle name="Normal 2 3 2 3 3 2 2 4" xfId="30930" xr:uid="{81ADCF07-703E-453B-96D2-775AE1B13D4E}"/>
    <cellStyle name="Normal 2 3 2 3 3 2 3" xfId="8486" xr:uid="{3FA198EE-4B75-4534-AC57-EEBD7F7C0022}"/>
    <cellStyle name="Normal 2 3 2 3 3 2 3 2" xfId="21168" xr:uid="{8453CC30-9D5A-4088-90AC-193CBDB84459}"/>
    <cellStyle name="Normal 2 3 2 3 3 2 3 2 2" xfId="46660" xr:uid="{8723915C-2170-46DE-88AC-9E6C57269212}"/>
    <cellStyle name="Normal 2 3 2 3 3 2 3 3" xfId="34069" xr:uid="{1A775ADE-8140-43CA-82DF-B21CCAFE2FBE}"/>
    <cellStyle name="Normal 2 3 2 3 3 2 4" xfId="14890" xr:uid="{EB38FA21-D3FE-4EE2-A52E-FF5FA25D4AA6}"/>
    <cellStyle name="Normal 2 3 2 3 3 2 4 2" xfId="40382" xr:uid="{57782527-E7CB-443B-9F7F-B19E963E4944}"/>
    <cellStyle name="Normal 2 3 2 3 3 2 5" xfId="27791" xr:uid="{B0C4AC77-4808-41DA-9586-3573FD1630C9}"/>
    <cellStyle name="Normal 2 3 2 3 3 3" xfId="4025" xr:uid="{A75C30DB-9A82-4635-92D9-F14CD2D4B364}"/>
    <cellStyle name="Normal 2 3 2 3 3 3 2" xfId="10318" xr:uid="{A60706EC-17A3-4039-9D4D-10F3E47E6522}"/>
    <cellStyle name="Normal 2 3 2 3 3 3 2 2" xfId="23000" xr:uid="{83A91816-F0C7-4C6C-876C-F75FD65E4960}"/>
    <cellStyle name="Normal 2 3 2 3 3 3 2 2 2" xfId="48492" xr:uid="{4E2A18EB-66FF-4155-99E3-D076C03D30CA}"/>
    <cellStyle name="Normal 2 3 2 3 3 3 2 3" xfId="35901" xr:uid="{C851BA12-F725-4037-8326-57BD541DB49E}"/>
    <cellStyle name="Normal 2 3 2 3 3 3 3" xfId="16722" xr:uid="{48106F36-0365-4592-B089-DE72E6A01976}"/>
    <cellStyle name="Normal 2 3 2 3 3 3 3 2" xfId="42214" xr:uid="{66580EB6-D013-4AEE-A377-A7B2E437CA66}"/>
    <cellStyle name="Normal 2 3 2 3 3 3 4" xfId="29623" xr:uid="{DA7C4796-2FAE-40F3-8488-B98BC175271D}"/>
    <cellStyle name="Normal 2 3 2 3 3 4" xfId="7179" xr:uid="{08FF0BA5-A8DA-4796-A7DB-042C74E76242}"/>
    <cellStyle name="Normal 2 3 2 3 3 4 2" xfId="19861" xr:uid="{8B94C572-A6F1-40BB-AE84-139CD05AFCBD}"/>
    <cellStyle name="Normal 2 3 2 3 3 4 2 2" xfId="45353" xr:uid="{7BBD4FE0-FA14-4429-850F-B3F8A3EEAB51}"/>
    <cellStyle name="Normal 2 3 2 3 3 4 3" xfId="32762" xr:uid="{87C78A60-35A3-4833-9CA1-F78C099F166D}"/>
    <cellStyle name="Normal 2 3 2 3 3 5" xfId="13583" xr:uid="{B58DC439-EF78-4176-98DC-5FCB9BFB5C6D}"/>
    <cellStyle name="Normal 2 3 2 3 3 5 2" xfId="39075" xr:uid="{B7B972C9-070B-4F43-9D0E-B5E43D0E0637}"/>
    <cellStyle name="Normal 2 3 2 3 3 6" xfId="26484" xr:uid="{AC41156C-2344-4FA5-978E-32C90A8E4392}"/>
    <cellStyle name="Normal 2 3 2 3 4" xfId="1916" xr:uid="{9853D264-A84A-4546-978A-05C9C5AECDB8}"/>
    <cellStyle name="Normal 2 3 2 3 4 2" xfId="5070" xr:uid="{9D928187-2E71-4390-837D-37C007016E09}"/>
    <cellStyle name="Normal 2 3 2 3 4 2 2" xfId="11363" xr:uid="{3A2E1749-E543-4754-AC21-D385E695450D}"/>
    <cellStyle name="Normal 2 3 2 3 4 2 2 2" xfId="24045" xr:uid="{C0A3FD3F-5F44-4A80-AD0A-1E9CD646D795}"/>
    <cellStyle name="Normal 2 3 2 3 4 2 2 2 2" xfId="49537" xr:uid="{C867E9D2-1DD2-4923-B75B-0B4CE029438B}"/>
    <cellStyle name="Normal 2 3 2 3 4 2 2 3" xfId="36946" xr:uid="{CF3A5DFE-A1B8-47C4-B619-FDB8D6DFE157}"/>
    <cellStyle name="Normal 2 3 2 3 4 2 3" xfId="17767" xr:uid="{F5E1301D-FD2C-4B32-B397-C0AF8D9835CA}"/>
    <cellStyle name="Normal 2 3 2 3 4 2 3 2" xfId="43259" xr:uid="{079EA146-D0D8-42FF-99B2-894D4213946D}"/>
    <cellStyle name="Normal 2 3 2 3 4 2 4" xfId="30668" xr:uid="{B341599A-BAEC-4CB6-AB0E-8CC5BB5F3AFA}"/>
    <cellStyle name="Normal 2 3 2 3 4 3" xfId="8224" xr:uid="{2E41763B-F2AB-4B47-812F-F183EB668320}"/>
    <cellStyle name="Normal 2 3 2 3 4 3 2" xfId="20906" xr:uid="{C5A9DA29-A157-4195-B980-F20717554618}"/>
    <cellStyle name="Normal 2 3 2 3 4 3 2 2" xfId="46398" xr:uid="{D7484827-9506-4866-B271-F6E1E69BD7B0}"/>
    <cellStyle name="Normal 2 3 2 3 4 3 3" xfId="33807" xr:uid="{2B5DDE2E-739A-4400-AA7B-0F4BA013FE2A}"/>
    <cellStyle name="Normal 2 3 2 3 4 4" xfId="14628" xr:uid="{5647379E-82C9-429F-82DB-64E08857196C}"/>
    <cellStyle name="Normal 2 3 2 3 4 4 2" xfId="40120" xr:uid="{4D087B48-05CC-4A35-9F6D-5B1222E9A6B9}"/>
    <cellStyle name="Normal 2 3 2 3 4 5" xfId="27529" xr:uid="{A715A87B-23E8-461C-BFB5-FE0E8FC6865D}"/>
    <cellStyle name="Normal 2 3 2 3 5" xfId="1394" xr:uid="{BE125E16-2C88-497E-9D15-966ECFCE202E}"/>
    <cellStyle name="Normal 2 3 2 3 5 2" xfId="4548" xr:uid="{059A4CD7-19B5-4A55-A43F-A1C0347E8677}"/>
    <cellStyle name="Normal 2 3 2 3 5 2 2" xfId="10841" xr:uid="{0751F377-093F-41D9-A04F-68A1B4E23DBA}"/>
    <cellStyle name="Normal 2 3 2 3 5 2 2 2" xfId="23523" xr:uid="{658C64E6-01BF-47A8-A74D-684A8A31AF6E}"/>
    <cellStyle name="Normal 2 3 2 3 5 2 2 2 2" xfId="49015" xr:uid="{449D6727-EFC3-457F-9E80-8638D84EF148}"/>
    <cellStyle name="Normal 2 3 2 3 5 2 2 3" xfId="36424" xr:uid="{773613F0-3DE0-4D76-9A2F-635FA50BCB27}"/>
    <cellStyle name="Normal 2 3 2 3 5 2 3" xfId="17245" xr:uid="{B6C13C1C-E1FD-4A9F-8D0D-97E6E7FE4C18}"/>
    <cellStyle name="Normal 2 3 2 3 5 2 3 2" xfId="42737" xr:uid="{8AFB6276-9B22-4D54-8F33-E9C2CF3355AC}"/>
    <cellStyle name="Normal 2 3 2 3 5 2 4" xfId="30146" xr:uid="{633F591D-B78F-4273-B884-3FB5CD9930ED}"/>
    <cellStyle name="Normal 2 3 2 3 5 3" xfId="7702" xr:uid="{B1685361-B19B-4E6F-957A-FD0618853D9F}"/>
    <cellStyle name="Normal 2 3 2 3 5 3 2" xfId="20384" xr:uid="{8CF5F096-2BDF-4092-91B1-9354C6213BCB}"/>
    <cellStyle name="Normal 2 3 2 3 5 3 2 2" xfId="45876" xr:uid="{52A8F7D2-756C-4719-9713-7AAD94A6146A}"/>
    <cellStyle name="Normal 2 3 2 3 5 3 3" xfId="33285" xr:uid="{EB3834E7-EC5D-4E77-83FB-79BEABE0E4C4}"/>
    <cellStyle name="Normal 2 3 2 3 5 4" xfId="14106" xr:uid="{30A253C2-7219-4BBE-AB26-B610043E97D2}"/>
    <cellStyle name="Normal 2 3 2 3 5 4 2" xfId="39598" xr:uid="{B7873FFB-88C7-4061-B022-07B54C155710}"/>
    <cellStyle name="Normal 2 3 2 3 5 5" xfId="27007" xr:uid="{52D555FF-6524-4DD0-88DD-5F74560CC925}"/>
    <cellStyle name="Normal 2 3 2 3 6" xfId="2701" xr:uid="{0B848371-1C8C-4ADE-95BE-C61F6668FA33}"/>
    <cellStyle name="Normal 2 3 2 3 6 2" xfId="5855" xr:uid="{F4794AFC-F496-47A4-8EDE-5F1DAD667E3E}"/>
    <cellStyle name="Normal 2 3 2 3 6 2 2" xfId="12148" xr:uid="{7C14084F-09D6-407C-956B-7A209C3E5276}"/>
    <cellStyle name="Normal 2 3 2 3 6 2 2 2" xfId="24830" xr:uid="{E1F4ACE2-3100-4367-B335-DD43513556A7}"/>
    <cellStyle name="Normal 2 3 2 3 6 2 2 2 2" xfId="50322" xr:uid="{C751EDDA-529A-4F12-B12C-857C485EF771}"/>
    <cellStyle name="Normal 2 3 2 3 6 2 2 3" xfId="37731" xr:uid="{5CFCA8B4-DE7C-4714-9471-E5F9E49CE27A}"/>
    <cellStyle name="Normal 2 3 2 3 6 2 3" xfId="18552" xr:uid="{1EDB5D06-FD0C-45D5-AF21-0BFFCFFA84B8}"/>
    <cellStyle name="Normal 2 3 2 3 6 2 3 2" xfId="44044" xr:uid="{337D1057-CAB3-477D-8B6F-39A4236C0C58}"/>
    <cellStyle name="Normal 2 3 2 3 6 2 4" xfId="31453" xr:uid="{01F94829-125F-48BB-95D8-3A9D9930537A}"/>
    <cellStyle name="Normal 2 3 2 3 6 3" xfId="9009" xr:uid="{854A7949-E1F0-4882-A980-B0F6FE10C1FC}"/>
    <cellStyle name="Normal 2 3 2 3 6 3 2" xfId="21691" xr:uid="{526F4BE5-BF75-44EA-9D04-8F3B460279EC}"/>
    <cellStyle name="Normal 2 3 2 3 6 3 2 2" xfId="47183" xr:uid="{B6CCF2F9-4457-4B7B-B417-6B770E738619}"/>
    <cellStyle name="Normal 2 3 2 3 6 3 3" xfId="34592" xr:uid="{1AA231FE-58B1-4300-89F4-235D0376D6B0}"/>
    <cellStyle name="Normal 2 3 2 3 6 4" xfId="15413" xr:uid="{2E590BDC-D32A-4373-947A-73C515F7E88D}"/>
    <cellStyle name="Normal 2 3 2 3 6 4 2" xfId="40905" xr:uid="{057278F5-DCC9-4B21-A4F5-CCF93FFF9C92}"/>
    <cellStyle name="Normal 2 3 2 3 6 5" xfId="28314" xr:uid="{55B09945-1886-4932-9E48-C21D1E301309}"/>
    <cellStyle name="Normal 2 3 2 3 7" xfId="3224" xr:uid="{A0FE56D5-4F57-4C18-9101-383B5C222C0E}"/>
    <cellStyle name="Normal 2 3 2 3 7 2" xfId="6378" xr:uid="{0246A53F-7AE9-4349-8429-55F33858A6AC}"/>
    <cellStyle name="Normal 2 3 2 3 7 2 2" xfId="12671" xr:uid="{43F977B3-EEF7-4230-8025-ABFE4CC4761F}"/>
    <cellStyle name="Normal 2 3 2 3 7 2 2 2" xfId="25353" xr:uid="{1789F7E9-4143-49EA-A1F9-201D3E4B8D26}"/>
    <cellStyle name="Normal 2 3 2 3 7 2 2 2 2" xfId="50845" xr:uid="{2753C8CD-82D9-48C6-BAED-C6FB28FD394E}"/>
    <cellStyle name="Normal 2 3 2 3 7 2 2 3" xfId="38254" xr:uid="{961FDDB3-D22B-4788-9ED5-1C1FF602A6BE}"/>
    <cellStyle name="Normal 2 3 2 3 7 2 3" xfId="19075" xr:uid="{791AD644-277F-4717-9568-9F3562125A4F}"/>
    <cellStyle name="Normal 2 3 2 3 7 2 3 2" xfId="44567" xr:uid="{EBA3E567-8BF1-4C67-968A-77739102B131}"/>
    <cellStyle name="Normal 2 3 2 3 7 2 4" xfId="31976" xr:uid="{42192EE8-5C15-4BDE-9541-D6B08532557E}"/>
    <cellStyle name="Normal 2 3 2 3 7 3" xfId="9532" xr:uid="{A7709409-6E09-4EBE-8854-5D516F6FB94C}"/>
    <cellStyle name="Normal 2 3 2 3 7 3 2" xfId="22214" xr:uid="{A86BEC5A-AF02-40C2-8B61-3EA6638C7958}"/>
    <cellStyle name="Normal 2 3 2 3 7 3 2 2" xfId="47706" xr:uid="{C4E2EFEB-1D82-4C17-85BB-D1A5AE97F6CD}"/>
    <cellStyle name="Normal 2 3 2 3 7 3 3" xfId="35115" xr:uid="{3AC1942D-860F-4203-9F39-43AFA816A110}"/>
    <cellStyle name="Normal 2 3 2 3 7 4" xfId="15936" xr:uid="{7D0B67DF-AEDB-49A7-AED9-FA9BE848218A}"/>
    <cellStyle name="Normal 2 3 2 3 7 4 2" xfId="41428" xr:uid="{F7F23204-7C2E-490D-AE0E-C5E4B89666B3}"/>
    <cellStyle name="Normal 2 3 2 3 7 5" xfId="28837" xr:uid="{8BF47DDF-6773-4D3C-8FDD-D5D141247BC6}"/>
    <cellStyle name="Normal 2 3 2 3 8" xfId="3763" xr:uid="{B06008E8-2AB7-46EA-9553-967021CD8FE9}"/>
    <cellStyle name="Normal 2 3 2 3 8 2" xfId="10056" xr:uid="{D0A88BE8-E545-4E0B-A4EE-D2535FC55605}"/>
    <cellStyle name="Normal 2 3 2 3 8 2 2" xfId="22738" xr:uid="{EF811BFE-972A-4796-A4F3-16557F757F91}"/>
    <cellStyle name="Normal 2 3 2 3 8 2 2 2" xfId="48230" xr:uid="{82C0A8F0-4027-4B4C-8C26-8382C636357B}"/>
    <cellStyle name="Normal 2 3 2 3 8 2 3" xfId="35639" xr:uid="{E820F6BD-63EC-4C34-A3B0-B78A86843B61}"/>
    <cellStyle name="Normal 2 3 2 3 8 3" xfId="16460" xr:uid="{77B49E9D-8265-46C3-9E93-20E093417AA5}"/>
    <cellStyle name="Normal 2 3 2 3 8 3 2" xfId="41952" xr:uid="{B1D2F22D-867A-4C9B-8CE8-92EAC31CAA40}"/>
    <cellStyle name="Normal 2 3 2 3 8 4" xfId="29361" xr:uid="{7E8FC9CA-238C-4ADA-BD0D-C91816B12953}"/>
    <cellStyle name="Normal 2 3 2 3 9" xfId="6917" xr:uid="{13B42243-098E-405C-88B5-080E1B00F6FC}"/>
    <cellStyle name="Normal 2 3 2 3 9 2" xfId="19599" xr:uid="{637FCFFC-D752-4E46-AE2E-84030FD83938}"/>
    <cellStyle name="Normal 2 3 2 3 9 2 2" xfId="45091" xr:uid="{9DEED3D0-66E9-40C3-910D-CCD63EC28F49}"/>
    <cellStyle name="Normal 2 3 2 3 9 3" xfId="32500" xr:uid="{644EE552-8C5D-465B-B8B4-73DFDA429640}"/>
    <cellStyle name="Normal 2 3 2 4" xfId="555" xr:uid="{A5740783-084B-4464-B3DF-A7CE6D18C4FE}"/>
    <cellStyle name="Normal 2 3 2 4 10" xfId="13282" xr:uid="{827C5223-E52F-42C1-A520-A391F2A3C0E1}"/>
    <cellStyle name="Normal 2 3 2 4 10 2" xfId="38774" xr:uid="{E7826350-3E4B-4622-9EA9-C4C721051218}"/>
    <cellStyle name="Normal 2 3 2 4 11" xfId="26183" xr:uid="{D6DAA96C-323D-4FA1-B828-C1E2CD8C9623}"/>
    <cellStyle name="Normal 2 3 2 4 2" xfId="1092" xr:uid="{C3DB5A47-6C61-471B-B297-7D9A61A29475}"/>
    <cellStyle name="Normal 2 3 2 4 2 2" xfId="2399" xr:uid="{F091349B-DCE9-44FE-839E-943DB61A2E02}"/>
    <cellStyle name="Normal 2 3 2 4 2 2 2" xfId="5553" xr:uid="{3CF2F51D-C89A-4B09-9AD7-38E775304491}"/>
    <cellStyle name="Normal 2 3 2 4 2 2 2 2" xfId="11846" xr:uid="{FF79813F-C951-4FC3-AC90-324A07CE250F}"/>
    <cellStyle name="Normal 2 3 2 4 2 2 2 2 2" xfId="24528" xr:uid="{EE85D6D8-F8C9-431A-919A-825B37C4AD46}"/>
    <cellStyle name="Normal 2 3 2 4 2 2 2 2 2 2" xfId="50020" xr:uid="{2526FA3F-AFFB-4817-95FC-26BD93726131}"/>
    <cellStyle name="Normal 2 3 2 4 2 2 2 2 3" xfId="37429" xr:uid="{01E4EEB8-747B-4FDC-B060-35DE1549376F}"/>
    <cellStyle name="Normal 2 3 2 4 2 2 2 3" xfId="18250" xr:uid="{94F2800B-F6CB-42BD-BF9F-AF741E6E0062}"/>
    <cellStyle name="Normal 2 3 2 4 2 2 2 3 2" xfId="43742" xr:uid="{38977682-472D-4D1B-B006-C5D07CE0A963}"/>
    <cellStyle name="Normal 2 3 2 4 2 2 2 4" xfId="31151" xr:uid="{73837DCA-B455-4206-BF18-D984C22A3E21}"/>
    <cellStyle name="Normal 2 3 2 4 2 2 3" xfId="8707" xr:uid="{1A359D8F-C0D5-4236-99EC-1A8806B67715}"/>
    <cellStyle name="Normal 2 3 2 4 2 2 3 2" xfId="21389" xr:uid="{D45D98B8-6002-4D04-9BEE-9A652DE95B9E}"/>
    <cellStyle name="Normal 2 3 2 4 2 2 3 2 2" xfId="46881" xr:uid="{E1F5A92C-845D-406E-9025-DAEAAA5557A9}"/>
    <cellStyle name="Normal 2 3 2 4 2 2 3 3" xfId="34290" xr:uid="{2FB90532-7DD2-403A-9AAE-1EFAB575F382}"/>
    <cellStyle name="Normal 2 3 2 4 2 2 4" xfId="15111" xr:uid="{288EFDF7-BAF6-4868-8E4D-80951C8C88A0}"/>
    <cellStyle name="Normal 2 3 2 4 2 2 4 2" xfId="40603" xr:uid="{D3DF7463-8C2B-47FB-9E6D-19AA095E5B6B}"/>
    <cellStyle name="Normal 2 3 2 4 2 2 5" xfId="28012" xr:uid="{144773F6-903F-49ED-9F0D-F1874206C045}"/>
    <cellStyle name="Normal 2 3 2 4 2 3" xfId="1616" xr:uid="{AC2E4817-5C3A-45D6-80D0-C49CB42276C1}"/>
    <cellStyle name="Normal 2 3 2 4 2 3 2" xfId="4770" xr:uid="{E0EE52AD-4CC6-452A-A129-F2279857783F}"/>
    <cellStyle name="Normal 2 3 2 4 2 3 2 2" xfId="11063" xr:uid="{3B947D0D-DD94-400B-A393-7CE61D4525F5}"/>
    <cellStyle name="Normal 2 3 2 4 2 3 2 2 2" xfId="23745" xr:uid="{5E362529-B239-498C-A74B-6FDF287C4447}"/>
    <cellStyle name="Normal 2 3 2 4 2 3 2 2 2 2" xfId="49237" xr:uid="{5FE3B238-DDE6-429C-A916-A961285FD4EA}"/>
    <cellStyle name="Normal 2 3 2 4 2 3 2 2 3" xfId="36646" xr:uid="{0E092F17-11C5-4FCF-A8FD-914563602F63}"/>
    <cellStyle name="Normal 2 3 2 4 2 3 2 3" xfId="17467" xr:uid="{DBF9FFBB-B299-4100-8889-32504E8386DE}"/>
    <cellStyle name="Normal 2 3 2 4 2 3 2 3 2" xfId="42959" xr:uid="{FA531652-9ED5-4630-9751-50947DC48BD1}"/>
    <cellStyle name="Normal 2 3 2 4 2 3 2 4" xfId="30368" xr:uid="{41AC829F-BDD7-43F0-95C4-96BE742C8B67}"/>
    <cellStyle name="Normal 2 3 2 4 2 3 3" xfId="7924" xr:uid="{CB9D4ADE-00BA-41DA-9C85-6A7CBB07F110}"/>
    <cellStyle name="Normal 2 3 2 4 2 3 3 2" xfId="20606" xr:uid="{3B0A2243-9307-4F03-8F4E-E4685B9F3282}"/>
    <cellStyle name="Normal 2 3 2 4 2 3 3 2 2" xfId="46098" xr:uid="{FB3CBEEF-E421-4837-A89E-C77667F27D74}"/>
    <cellStyle name="Normal 2 3 2 4 2 3 3 3" xfId="33507" xr:uid="{B09DCD7A-1FF1-4C2D-9B7A-1353C3450197}"/>
    <cellStyle name="Normal 2 3 2 4 2 3 4" xfId="14328" xr:uid="{F0F68463-EB90-4406-A81F-45AF89C550D7}"/>
    <cellStyle name="Normal 2 3 2 4 2 3 4 2" xfId="39820" xr:uid="{3F4F5EB5-7CD5-4685-8301-88BED35312CA}"/>
    <cellStyle name="Normal 2 3 2 4 2 3 5" xfId="27229" xr:uid="{51282A7D-F229-4DC6-8FF1-29C63CA9FC12}"/>
    <cellStyle name="Normal 2 3 2 4 2 4" xfId="2923" xr:uid="{47162224-5048-439F-A6C7-0E301F42AEC6}"/>
    <cellStyle name="Normal 2 3 2 4 2 4 2" xfId="6077" xr:uid="{8F281643-10CA-450E-955D-09BB7D6800BE}"/>
    <cellStyle name="Normal 2 3 2 4 2 4 2 2" xfId="12370" xr:uid="{5DD35F81-B0BB-4234-8FDF-012966DE76EF}"/>
    <cellStyle name="Normal 2 3 2 4 2 4 2 2 2" xfId="25052" xr:uid="{D74A6E6A-274C-4B37-ACEE-8412E58C9EC3}"/>
    <cellStyle name="Normal 2 3 2 4 2 4 2 2 2 2" xfId="50544" xr:uid="{AFCCB728-31E6-4A40-AAA2-CC5EB2E03275}"/>
    <cellStyle name="Normal 2 3 2 4 2 4 2 2 3" xfId="37953" xr:uid="{772B96D8-C6DA-4CF0-A506-F08682AF63B1}"/>
    <cellStyle name="Normal 2 3 2 4 2 4 2 3" xfId="18774" xr:uid="{6A898416-D3A3-47CF-89BF-3E2DD104813D}"/>
    <cellStyle name="Normal 2 3 2 4 2 4 2 3 2" xfId="44266" xr:uid="{5B16B6D1-7F39-438F-9FCB-B6BA0EA8A109}"/>
    <cellStyle name="Normal 2 3 2 4 2 4 2 4" xfId="31675" xr:uid="{B3FD4AD4-1BDB-4FD1-8B38-D96BB6BE1211}"/>
    <cellStyle name="Normal 2 3 2 4 2 4 3" xfId="9231" xr:uid="{5C03E7A8-D7F0-4767-B5C0-F5C066ADE91A}"/>
    <cellStyle name="Normal 2 3 2 4 2 4 3 2" xfId="21913" xr:uid="{CE5C8C84-82C7-4658-9909-D2ACBF5354E7}"/>
    <cellStyle name="Normal 2 3 2 4 2 4 3 2 2" xfId="47405" xr:uid="{7ABEEA5B-CD8A-4B0F-A71E-564E2D055406}"/>
    <cellStyle name="Normal 2 3 2 4 2 4 3 3" xfId="34814" xr:uid="{12284C6C-7CF2-4894-91F8-FDC1FE4E7E8C}"/>
    <cellStyle name="Normal 2 3 2 4 2 4 4" xfId="15635" xr:uid="{9C7CA649-559C-49BE-ABF4-247B8B8A76FE}"/>
    <cellStyle name="Normal 2 3 2 4 2 4 4 2" xfId="41127" xr:uid="{A391ADBF-D365-49DC-A7C7-4544812A701B}"/>
    <cellStyle name="Normal 2 3 2 4 2 4 5" xfId="28536" xr:uid="{5537586A-718F-4DC7-9570-B0EDA6B48F71}"/>
    <cellStyle name="Normal 2 3 2 4 2 5" xfId="3446" xr:uid="{830A3ACC-4B78-4D69-BD64-FF9E97BB558B}"/>
    <cellStyle name="Normal 2 3 2 4 2 5 2" xfId="6600" xr:uid="{C24C51CF-E0A1-4D13-982A-3F6616735DBD}"/>
    <cellStyle name="Normal 2 3 2 4 2 5 2 2" xfId="12893" xr:uid="{77F28FAA-6D80-4E97-9B70-D44E01596B1B}"/>
    <cellStyle name="Normal 2 3 2 4 2 5 2 2 2" xfId="25575" xr:uid="{20C841C3-9CF1-4041-9A45-5893E4890511}"/>
    <cellStyle name="Normal 2 3 2 4 2 5 2 2 2 2" xfId="51067" xr:uid="{5D8B46E8-BB3D-40E3-AE45-2C9F750C08E3}"/>
    <cellStyle name="Normal 2 3 2 4 2 5 2 2 3" xfId="38476" xr:uid="{30495A5C-6DE0-4F31-B541-EA729C37AB3B}"/>
    <cellStyle name="Normal 2 3 2 4 2 5 2 3" xfId="19297" xr:uid="{E74D3CA2-FDF3-4389-942B-B5BDB048A2E8}"/>
    <cellStyle name="Normal 2 3 2 4 2 5 2 3 2" xfId="44789" xr:uid="{4EAFF485-F775-4046-A353-CF047B857936}"/>
    <cellStyle name="Normal 2 3 2 4 2 5 2 4" xfId="32198" xr:uid="{44B8DFC0-675D-4AF0-8EB3-BF98EA60F00F}"/>
    <cellStyle name="Normal 2 3 2 4 2 5 3" xfId="9754" xr:uid="{C331E0B1-3C2C-424F-8FA9-137D3063F607}"/>
    <cellStyle name="Normal 2 3 2 4 2 5 3 2" xfId="22436" xr:uid="{3551AB6A-AEAF-45A0-B3C5-09ACE630C971}"/>
    <cellStyle name="Normal 2 3 2 4 2 5 3 2 2" xfId="47928" xr:uid="{21EA5305-961C-4C1B-95B7-398BEBAAB9D9}"/>
    <cellStyle name="Normal 2 3 2 4 2 5 3 3" xfId="35337" xr:uid="{E44D4BCA-6722-4537-B3A7-6F2EF97656BC}"/>
    <cellStyle name="Normal 2 3 2 4 2 5 4" xfId="16158" xr:uid="{38F77261-7E7E-4505-9F12-641099523F35}"/>
    <cellStyle name="Normal 2 3 2 4 2 5 4 2" xfId="41650" xr:uid="{C863C28E-F595-426D-A6D1-44AF0745400D}"/>
    <cellStyle name="Normal 2 3 2 4 2 5 5" xfId="29059" xr:uid="{CF942D70-D2B5-4B7E-80F2-813CE6F417EB}"/>
    <cellStyle name="Normal 2 3 2 4 2 6" xfId="4246" xr:uid="{3E12B09C-C1CC-406E-AEF1-FD94F5670C11}"/>
    <cellStyle name="Normal 2 3 2 4 2 6 2" xfId="10539" xr:uid="{2B95D792-8CD9-4396-8B03-905CDEC94D3C}"/>
    <cellStyle name="Normal 2 3 2 4 2 6 2 2" xfId="23221" xr:uid="{478C22FF-2DA1-4037-B58E-7F2F1763C9DD}"/>
    <cellStyle name="Normal 2 3 2 4 2 6 2 2 2" xfId="48713" xr:uid="{D3DB6468-C741-40EB-9720-278AEB6510E3}"/>
    <cellStyle name="Normal 2 3 2 4 2 6 2 3" xfId="36122" xr:uid="{5FF45C6C-DD05-4F7F-A129-69AB4B28084D}"/>
    <cellStyle name="Normal 2 3 2 4 2 6 3" xfId="16943" xr:uid="{35B1A3A6-2E59-4545-A74D-54D56B16C2B3}"/>
    <cellStyle name="Normal 2 3 2 4 2 6 3 2" xfId="42435" xr:uid="{883B231F-1C57-45E8-8FB2-EF8818D02C70}"/>
    <cellStyle name="Normal 2 3 2 4 2 6 4" xfId="29844" xr:uid="{805679EF-5B62-49E5-8142-00AA8E58D24F}"/>
    <cellStyle name="Normal 2 3 2 4 2 7" xfId="7400" xr:uid="{A831028E-9783-4359-9208-C53126454DFA}"/>
    <cellStyle name="Normal 2 3 2 4 2 7 2" xfId="20082" xr:uid="{1A354310-D9F0-4716-9E20-5453AFEB4E19}"/>
    <cellStyle name="Normal 2 3 2 4 2 7 2 2" xfId="45574" xr:uid="{470C271A-67EE-4C93-8BC7-83739259E6A4}"/>
    <cellStyle name="Normal 2 3 2 4 2 7 3" xfId="32983" xr:uid="{FFEF94CB-2CF2-4DBA-A7F6-77F3F2D07979}"/>
    <cellStyle name="Normal 2 3 2 4 2 8" xfId="13804" xr:uid="{F58CEDB3-6FDF-4FAE-8ECB-FC21C0965101}"/>
    <cellStyle name="Normal 2 3 2 4 2 8 2" xfId="39296" xr:uid="{595CBCF1-1147-4880-BEF7-A3E4839C5772}"/>
    <cellStyle name="Normal 2 3 2 4 2 9" xfId="26705" xr:uid="{A1289F44-621E-4FC5-90CB-043299BBFB0E}"/>
    <cellStyle name="Normal 2 3 2 4 3" xfId="832" xr:uid="{8AA2317C-5486-496C-A9F7-CBBAA7735142}"/>
    <cellStyle name="Normal 2 3 2 4 3 2" xfId="2139" xr:uid="{2EB560CD-51AC-46EA-B6B5-3CAB8F2CE433}"/>
    <cellStyle name="Normal 2 3 2 4 3 2 2" xfId="5293" xr:uid="{C847D2ED-59EF-4916-8EEC-3AB21344EBC0}"/>
    <cellStyle name="Normal 2 3 2 4 3 2 2 2" xfId="11586" xr:uid="{A2F81AAA-B722-4F58-93EF-964385867E4D}"/>
    <cellStyle name="Normal 2 3 2 4 3 2 2 2 2" xfId="24268" xr:uid="{BA862C12-4331-4A58-B7F5-0057E4BCCB2A}"/>
    <cellStyle name="Normal 2 3 2 4 3 2 2 2 2 2" xfId="49760" xr:uid="{67733CB1-630C-4A25-997B-29E975745760}"/>
    <cellStyle name="Normal 2 3 2 4 3 2 2 2 3" xfId="37169" xr:uid="{C572A5FC-2A0A-4C2B-BD4A-E62696956BDD}"/>
    <cellStyle name="Normal 2 3 2 4 3 2 2 3" xfId="17990" xr:uid="{CC12E3B3-F97D-42BB-B2CE-B50E0352CC20}"/>
    <cellStyle name="Normal 2 3 2 4 3 2 2 3 2" xfId="43482" xr:uid="{F116F6FB-1C5A-42BA-848D-A7E3CD88E533}"/>
    <cellStyle name="Normal 2 3 2 4 3 2 2 4" xfId="30891" xr:uid="{57882EB8-B72C-43B1-B47C-3A4783CA5906}"/>
    <cellStyle name="Normal 2 3 2 4 3 2 3" xfId="8447" xr:uid="{492F873D-9162-4D9B-830B-1B53DD05CD2C}"/>
    <cellStyle name="Normal 2 3 2 4 3 2 3 2" xfId="21129" xr:uid="{29A6A8E3-7557-42D7-BFC0-56EFF8233520}"/>
    <cellStyle name="Normal 2 3 2 4 3 2 3 2 2" xfId="46621" xr:uid="{99DC3B09-2C67-4584-B977-BCD37484ACCF}"/>
    <cellStyle name="Normal 2 3 2 4 3 2 3 3" xfId="34030" xr:uid="{8AEF097E-F7D8-4275-8EE2-169E22365BE7}"/>
    <cellStyle name="Normal 2 3 2 4 3 2 4" xfId="14851" xr:uid="{1819C331-5EFE-49A0-9D42-2FA646D7A315}"/>
    <cellStyle name="Normal 2 3 2 4 3 2 4 2" xfId="40343" xr:uid="{ABA5F675-0A72-48BB-AA76-D9A9BF59A544}"/>
    <cellStyle name="Normal 2 3 2 4 3 2 5" xfId="27752" xr:uid="{DC0EEC1F-E381-46FF-BB5B-8186F6428F69}"/>
    <cellStyle name="Normal 2 3 2 4 3 3" xfId="3986" xr:uid="{2F9E38A4-6659-48FB-941D-CF0E35D6D6AC}"/>
    <cellStyle name="Normal 2 3 2 4 3 3 2" xfId="10279" xr:uid="{590B886B-FB9F-4309-B823-BD703846F2C7}"/>
    <cellStyle name="Normal 2 3 2 4 3 3 2 2" xfId="22961" xr:uid="{D3BEE4C3-7404-486B-8FBD-00E139B0C4ED}"/>
    <cellStyle name="Normal 2 3 2 4 3 3 2 2 2" xfId="48453" xr:uid="{42831161-5962-44E9-BD2A-B0C3AA446144}"/>
    <cellStyle name="Normal 2 3 2 4 3 3 2 3" xfId="35862" xr:uid="{1E74A607-63C9-42A1-840E-9767E4E46E67}"/>
    <cellStyle name="Normal 2 3 2 4 3 3 3" xfId="16683" xr:uid="{60127BB3-E2E8-499C-B777-A6BAF6A73C48}"/>
    <cellStyle name="Normal 2 3 2 4 3 3 3 2" xfId="42175" xr:uid="{1EEB2A55-AC27-4023-A55E-975E586F8A43}"/>
    <cellStyle name="Normal 2 3 2 4 3 3 4" xfId="29584" xr:uid="{0549F484-6461-4A00-906E-AACB47C327CF}"/>
    <cellStyle name="Normal 2 3 2 4 3 4" xfId="7140" xr:uid="{497F616A-E794-498F-986F-2E70A1F9E280}"/>
    <cellStyle name="Normal 2 3 2 4 3 4 2" xfId="19822" xr:uid="{A6309151-FEAA-4F7A-8863-38DB0D89D80E}"/>
    <cellStyle name="Normal 2 3 2 4 3 4 2 2" xfId="45314" xr:uid="{75DE3D8B-5595-4524-A738-1B7ED3DEAD2F}"/>
    <cellStyle name="Normal 2 3 2 4 3 4 3" xfId="32723" xr:uid="{445FEBAD-44AD-4DEC-8DE5-6A69DDE856AF}"/>
    <cellStyle name="Normal 2 3 2 4 3 5" xfId="13544" xr:uid="{A2402171-B7B4-4235-A5D4-A67619E4B530}"/>
    <cellStyle name="Normal 2 3 2 4 3 5 2" xfId="39036" xr:uid="{E225349C-B868-4A0C-B84D-0298066AD170}"/>
    <cellStyle name="Normal 2 3 2 4 3 6" xfId="26445" xr:uid="{05853757-D5AC-42A5-A676-184726642A39}"/>
    <cellStyle name="Normal 2 3 2 4 4" xfId="1877" xr:uid="{AB4E0901-EFB4-43F5-B17E-3738397E260C}"/>
    <cellStyle name="Normal 2 3 2 4 4 2" xfId="5031" xr:uid="{6A6EF6CF-4878-4716-939C-54CD6AB78936}"/>
    <cellStyle name="Normal 2 3 2 4 4 2 2" xfId="11324" xr:uid="{2AF2A642-3D4A-4EC9-B391-09F761817001}"/>
    <cellStyle name="Normal 2 3 2 4 4 2 2 2" xfId="24006" xr:uid="{CCE4194D-7DF6-4FDC-9E32-D7FA080F9B82}"/>
    <cellStyle name="Normal 2 3 2 4 4 2 2 2 2" xfId="49498" xr:uid="{4B34600E-DE8C-4274-B9FF-AE78861AE924}"/>
    <cellStyle name="Normal 2 3 2 4 4 2 2 3" xfId="36907" xr:uid="{34AE61C3-4901-487C-B59E-09573C66515A}"/>
    <cellStyle name="Normal 2 3 2 4 4 2 3" xfId="17728" xr:uid="{6722C283-3B90-4E44-B56F-06E90894165D}"/>
    <cellStyle name="Normal 2 3 2 4 4 2 3 2" xfId="43220" xr:uid="{5B7FD8C3-1376-4A9E-8061-BD9618DE7DB0}"/>
    <cellStyle name="Normal 2 3 2 4 4 2 4" xfId="30629" xr:uid="{3D7495BD-AC78-4F6D-9B11-B9758F4EB019}"/>
    <cellStyle name="Normal 2 3 2 4 4 3" xfId="8185" xr:uid="{41987160-348F-42AB-8D9C-A179DC10BBF8}"/>
    <cellStyle name="Normal 2 3 2 4 4 3 2" xfId="20867" xr:uid="{2D71A2EE-AC70-4EEB-B79C-421313E5B681}"/>
    <cellStyle name="Normal 2 3 2 4 4 3 2 2" xfId="46359" xr:uid="{B4C964CA-3B6E-4AC6-B8A2-E69711F10237}"/>
    <cellStyle name="Normal 2 3 2 4 4 3 3" xfId="33768" xr:uid="{58303660-35CB-4C17-BD4E-16666E2780F1}"/>
    <cellStyle name="Normal 2 3 2 4 4 4" xfId="14589" xr:uid="{BEC63E28-835A-45C7-AAB6-47AF85C63ED9}"/>
    <cellStyle name="Normal 2 3 2 4 4 4 2" xfId="40081" xr:uid="{4E2599FD-8E38-47F5-A3C2-816413528C68}"/>
    <cellStyle name="Normal 2 3 2 4 4 5" xfId="27490" xr:uid="{0AC8D2F2-F3BD-4CF7-A692-0DD29EE8A70D}"/>
    <cellStyle name="Normal 2 3 2 4 5" xfId="1355" xr:uid="{68C63C66-1C0A-421E-8356-BC7BBB6DD19E}"/>
    <cellStyle name="Normal 2 3 2 4 5 2" xfId="4509" xr:uid="{8289C847-EBB2-4340-9965-670264C9375B}"/>
    <cellStyle name="Normal 2 3 2 4 5 2 2" xfId="10802" xr:uid="{6030CD71-9B74-46DE-A7FD-7C888A97036D}"/>
    <cellStyle name="Normal 2 3 2 4 5 2 2 2" xfId="23484" xr:uid="{B5D6D0EB-F193-465C-9D8E-2F41CAE79446}"/>
    <cellStyle name="Normal 2 3 2 4 5 2 2 2 2" xfId="48976" xr:uid="{10D1FF33-4057-4BEE-824D-92D5BEA6E2DE}"/>
    <cellStyle name="Normal 2 3 2 4 5 2 2 3" xfId="36385" xr:uid="{DAD3A1B2-F2EF-4D74-96A8-FF88CEC51365}"/>
    <cellStyle name="Normal 2 3 2 4 5 2 3" xfId="17206" xr:uid="{DCE36AA2-6C14-4CE6-BCD8-B1A56659F46B}"/>
    <cellStyle name="Normal 2 3 2 4 5 2 3 2" xfId="42698" xr:uid="{E43E8158-AD1A-4A81-B078-6A03089B2207}"/>
    <cellStyle name="Normal 2 3 2 4 5 2 4" xfId="30107" xr:uid="{F92DDC01-9B44-4513-AF67-0BD6AC94779B}"/>
    <cellStyle name="Normal 2 3 2 4 5 3" xfId="7663" xr:uid="{ECA3E382-F63B-4072-8DB8-CEAA706EC5EC}"/>
    <cellStyle name="Normal 2 3 2 4 5 3 2" xfId="20345" xr:uid="{ADA8A6EA-8241-4D23-AD70-A6BE51B79206}"/>
    <cellStyle name="Normal 2 3 2 4 5 3 2 2" xfId="45837" xr:uid="{B51CC483-CF5C-4FC5-9665-FCD4156491F1}"/>
    <cellStyle name="Normal 2 3 2 4 5 3 3" xfId="33246" xr:uid="{D67580D9-1906-4A1F-BD25-50E4C044B032}"/>
    <cellStyle name="Normal 2 3 2 4 5 4" xfId="14067" xr:uid="{541DD6B3-2D31-4960-BF19-8AA8D4BAC331}"/>
    <cellStyle name="Normal 2 3 2 4 5 4 2" xfId="39559" xr:uid="{36E91735-90F8-43AE-8E9E-BEB4E36FA3F9}"/>
    <cellStyle name="Normal 2 3 2 4 5 5" xfId="26968" xr:uid="{81111E4D-DB55-4CD4-B020-6E1040BDDE69}"/>
    <cellStyle name="Normal 2 3 2 4 6" xfId="2662" xr:uid="{636F9509-4DAF-4F5D-A744-6D598332414D}"/>
    <cellStyle name="Normal 2 3 2 4 6 2" xfId="5816" xr:uid="{FE92CD8A-F67D-49C9-A6A6-1F55B5D6D751}"/>
    <cellStyle name="Normal 2 3 2 4 6 2 2" xfId="12109" xr:uid="{C461466E-B308-41E7-A203-54EA31080EB2}"/>
    <cellStyle name="Normal 2 3 2 4 6 2 2 2" xfId="24791" xr:uid="{D46019F7-6E69-419E-AC45-BE6E91D0D8EF}"/>
    <cellStyle name="Normal 2 3 2 4 6 2 2 2 2" xfId="50283" xr:uid="{A6AA8196-0CB8-4132-A09F-084A306721AB}"/>
    <cellStyle name="Normal 2 3 2 4 6 2 2 3" xfId="37692" xr:uid="{8AB2A42F-FE9D-4BC9-8263-5639501AECE0}"/>
    <cellStyle name="Normal 2 3 2 4 6 2 3" xfId="18513" xr:uid="{737FC6FA-1AA0-4955-A832-97025DD765B9}"/>
    <cellStyle name="Normal 2 3 2 4 6 2 3 2" xfId="44005" xr:uid="{5C45C3FD-0F2E-4844-AB78-6C530C4C634D}"/>
    <cellStyle name="Normal 2 3 2 4 6 2 4" xfId="31414" xr:uid="{10E97F3A-C2C0-450C-9583-CB406BB8C50D}"/>
    <cellStyle name="Normal 2 3 2 4 6 3" xfId="8970" xr:uid="{A9939332-976E-4177-B7A3-0DDB06325528}"/>
    <cellStyle name="Normal 2 3 2 4 6 3 2" xfId="21652" xr:uid="{59E5BC26-8BE2-435A-B723-13451FB44DB1}"/>
    <cellStyle name="Normal 2 3 2 4 6 3 2 2" xfId="47144" xr:uid="{5A9FC2CC-7A66-467F-B167-0D7132F00085}"/>
    <cellStyle name="Normal 2 3 2 4 6 3 3" xfId="34553" xr:uid="{672EDB22-87A6-432D-BF99-FDCE99BB7C9A}"/>
    <cellStyle name="Normal 2 3 2 4 6 4" xfId="15374" xr:uid="{5319DE86-312D-4524-9A27-D7F0AD24CAF4}"/>
    <cellStyle name="Normal 2 3 2 4 6 4 2" xfId="40866" xr:uid="{223F5B01-5B4C-48C9-AF33-9DE0CCF36464}"/>
    <cellStyle name="Normal 2 3 2 4 6 5" xfId="28275" xr:uid="{7E3CC319-7878-440D-8576-5C2732CB16B8}"/>
    <cellStyle name="Normal 2 3 2 4 7" xfId="3185" xr:uid="{996D37D7-346A-44E2-9137-E40EBC6980E6}"/>
    <cellStyle name="Normal 2 3 2 4 7 2" xfId="6339" xr:uid="{2F8D58C7-991E-405E-BE8A-E70C87B78EC3}"/>
    <cellStyle name="Normal 2 3 2 4 7 2 2" xfId="12632" xr:uid="{A264DFD7-1773-4C0F-9D97-2DDB6C27B15E}"/>
    <cellStyle name="Normal 2 3 2 4 7 2 2 2" xfId="25314" xr:uid="{B612EE7F-6B05-4F72-AA58-52EE6744ADDA}"/>
    <cellStyle name="Normal 2 3 2 4 7 2 2 2 2" xfId="50806" xr:uid="{B82D6217-5EF7-47CF-926A-53C5980729F9}"/>
    <cellStyle name="Normal 2 3 2 4 7 2 2 3" xfId="38215" xr:uid="{89B4CFF3-59BD-438D-BB36-B0F9081DE0D1}"/>
    <cellStyle name="Normal 2 3 2 4 7 2 3" xfId="19036" xr:uid="{6311F48B-F51E-4F2A-BD59-4C205972F575}"/>
    <cellStyle name="Normal 2 3 2 4 7 2 3 2" xfId="44528" xr:uid="{2EC8AC59-53AA-441C-B41E-E8AB5A864B24}"/>
    <cellStyle name="Normal 2 3 2 4 7 2 4" xfId="31937" xr:uid="{CA871C3E-4E5B-488C-9787-E7E856BDB5FC}"/>
    <cellStyle name="Normal 2 3 2 4 7 3" xfId="9493" xr:uid="{B7495D9A-9CD8-4620-90A7-6C35151421DD}"/>
    <cellStyle name="Normal 2 3 2 4 7 3 2" xfId="22175" xr:uid="{31CF165B-6A5C-475A-915E-BA89D0B9E504}"/>
    <cellStyle name="Normal 2 3 2 4 7 3 2 2" xfId="47667" xr:uid="{4F5A5319-A154-45E7-8508-FC443348989B}"/>
    <cellStyle name="Normal 2 3 2 4 7 3 3" xfId="35076" xr:uid="{8F035415-D19C-4092-9199-C94C00F4C75D}"/>
    <cellStyle name="Normal 2 3 2 4 7 4" xfId="15897" xr:uid="{D4EFFB82-1787-4F0B-879C-97795A3B10D1}"/>
    <cellStyle name="Normal 2 3 2 4 7 4 2" xfId="41389" xr:uid="{99CD53D5-3288-49B7-A9D0-C5FC18111373}"/>
    <cellStyle name="Normal 2 3 2 4 7 5" xfId="28798" xr:uid="{4D51F511-A52E-4214-AD0B-9CC70A1D0157}"/>
    <cellStyle name="Normal 2 3 2 4 8" xfId="3724" xr:uid="{0BD76CF3-7F0C-47C0-BEC8-81633581C579}"/>
    <cellStyle name="Normal 2 3 2 4 8 2" xfId="10017" xr:uid="{E72BF839-AE19-4502-8E70-FFCE1EFA474A}"/>
    <cellStyle name="Normal 2 3 2 4 8 2 2" xfId="22699" xr:uid="{D635F327-CD2A-4D0A-9B2A-9D10E15D80D1}"/>
    <cellStyle name="Normal 2 3 2 4 8 2 2 2" xfId="48191" xr:uid="{AF5E74F7-ED1D-4DE5-884F-6D17002060B4}"/>
    <cellStyle name="Normal 2 3 2 4 8 2 3" xfId="35600" xr:uid="{09272B5E-B118-4BE8-B346-10BCA4883A00}"/>
    <cellStyle name="Normal 2 3 2 4 8 3" xfId="16421" xr:uid="{BAFF94F8-3A5E-4ACE-958D-B8902B861E94}"/>
    <cellStyle name="Normal 2 3 2 4 8 3 2" xfId="41913" xr:uid="{EA3E8B16-C4F0-4A21-AD84-3DC2DCA234CA}"/>
    <cellStyle name="Normal 2 3 2 4 8 4" xfId="29322" xr:uid="{6992C362-A315-4954-96EC-9C6F32EDF262}"/>
    <cellStyle name="Normal 2 3 2 4 9" xfId="6878" xr:uid="{C78EEF57-4163-4CF1-BDA5-ED3A83EEC18E}"/>
    <cellStyle name="Normal 2 3 2 4 9 2" xfId="19560" xr:uid="{74248FA4-6829-4301-A26D-177C798CB942}"/>
    <cellStyle name="Normal 2 3 2 4 9 2 2" xfId="45052" xr:uid="{573B659D-6B40-436A-B819-FDEF22D56A9A}"/>
    <cellStyle name="Normal 2 3 2 4 9 3" xfId="32461" xr:uid="{9AE39034-641D-44B1-B3C3-F971F3CEC466}"/>
    <cellStyle name="Normal 2 3 2 5" xfId="972" xr:uid="{01F888E4-E501-4E29-8F75-4E209E58BB63}"/>
    <cellStyle name="Normal 2 3 2 5 2" xfId="2279" xr:uid="{50615587-FDEF-4C27-811C-3B9E6EA662BB}"/>
    <cellStyle name="Normal 2 3 2 5 2 2" xfId="5433" xr:uid="{F0F1307F-EB9D-4A53-B58B-007BEA3916B6}"/>
    <cellStyle name="Normal 2 3 2 5 2 2 2" xfId="11726" xr:uid="{66E9D505-7C6B-4B5B-9EEC-79F409B3DF51}"/>
    <cellStyle name="Normal 2 3 2 5 2 2 2 2" xfId="24408" xr:uid="{557E6FC4-78AA-4655-9B7B-D7F961BFBAC0}"/>
    <cellStyle name="Normal 2 3 2 5 2 2 2 2 2" xfId="49900" xr:uid="{7FE05A89-9166-44B7-BAE2-DC9F26B0678C}"/>
    <cellStyle name="Normal 2 3 2 5 2 2 2 3" xfId="37309" xr:uid="{DB41DC40-6156-41F7-98CE-DE853BBA2418}"/>
    <cellStyle name="Normal 2 3 2 5 2 2 3" xfId="18130" xr:uid="{FACE7F82-5708-4552-B936-D79855DFF19F}"/>
    <cellStyle name="Normal 2 3 2 5 2 2 3 2" xfId="43622" xr:uid="{BAE12A28-8EF0-4246-B09A-30A73235553F}"/>
    <cellStyle name="Normal 2 3 2 5 2 2 4" xfId="31031" xr:uid="{A1BA249D-5315-4A3B-891F-291FD37E0111}"/>
    <cellStyle name="Normal 2 3 2 5 2 3" xfId="8587" xr:uid="{CCE4E39C-6A17-46FB-B44E-140BD7FB65FE}"/>
    <cellStyle name="Normal 2 3 2 5 2 3 2" xfId="21269" xr:uid="{C9FA7BE2-5D16-47FF-ADFE-21D045A9D97A}"/>
    <cellStyle name="Normal 2 3 2 5 2 3 2 2" xfId="46761" xr:uid="{70A87970-1F21-46F8-B9EA-9A1B90B1EA8C}"/>
    <cellStyle name="Normal 2 3 2 5 2 3 3" xfId="34170" xr:uid="{3901477B-5A69-4946-B611-BEC28C2FE69F}"/>
    <cellStyle name="Normal 2 3 2 5 2 4" xfId="14991" xr:uid="{D9255456-DDFB-4006-A282-BCCF237E4C12}"/>
    <cellStyle name="Normal 2 3 2 5 2 4 2" xfId="40483" xr:uid="{E3BE9929-1496-4FAF-87E6-12428C03C39E}"/>
    <cellStyle name="Normal 2 3 2 5 2 5" xfId="27892" xr:uid="{14530ED4-B3F9-49D2-9723-6308A75D649A}"/>
    <cellStyle name="Normal 2 3 2 5 3" xfId="1496" xr:uid="{73237FA2-F972-4B1B-BDAF-15A82CE99A8A}"/>
    <cellStyle name="Normal 2 3 2 5 3 2" xfId="4650" xr:uid="{4C7B11DA-C6F5-4A4C-AAE5-9E4143A880E3}"/>
    <cellStyle name="Normal 2 3 2 5 3 2 2" xfId="10943" xr:uid="{C87B95CB-3A36-47FF-B1ED-6D88761E7817}"/>
    <cellStyle name="Normal 2 3 2 5 3 2 2 2" xfId="23625" xr:uid="{24ACA48F-C3E4-4E54-BDB4-F48E69F07B71}"/>
    <cellStyle name="Normal 2 3 2 5 3 2 2 2 2" xfId="49117" xr:uid="{B9C9CF4A-F914-47FC-B111-96514B158376}"/>
    <cellStyle name="Normal 2 3 2 5 3 2 2 3" xfId="36526" xr:uid="{3F8DF4AC-5C74-400F-8067-277AC950AF0E}"/>
    <cellStyle name="Normal 2 3 2 5 3 2 3" xfId="17347" xr:uid="{FC69317B-63F1-4870-A637-2E8883FE649E}"/>
    <cellStyle name="Normal 2 3 2 5 3 2 3 2" xfId="42839" xr:uid="{BD3709E9-0361-404A-9C9E-069A09FF84D5}"/>
    <cellStyle name="Normal 2 3 2 5 3 2 4" xfId="30248" xr:uid="{459D3ECE-78B4-48BC-BC94-0FF0911C6C2F}"/>
    <cellStyle name="Normal 2 3 2 5 3 3" xfId="7804" xr:uid="{D6F08C6C-7119-40DB-AB5A-52B5090CB1F3}"/>
    <cellStyle name="Normal 2 3 2 5 3 3 2" xfId="20486" xr:uid="{0AAF785B-7CA8-4CAE-B52F-7B66338B906A}"/>
    <cellStyle name="Normal 2 3 2 5 3 3 2 2" xfId="45978" xr:uid="{918C7AA9-4EFD-4E4D-8D5D-5AC62CCF4783}"/>
    <cellStyle name="Normal 2 3 2 5 3 3 3" xfId="33387" xr:uid="{17E661A6-8DB1-4C8A-A658-13E7161807F1}"/>
    <cellStyle name="Normal 2 3 2 5 3 4" xfId="14208" xr:uid="{27B39A5D-BA1F-4181-BAC8-4E7243EB210A}"/>
    <cellStyle name="Normal 2 3 2 5 3 4 2" xfId="39700" xr:uid="{74B93372-89CF-40F4-AAE8-EC47ECD5F617}"/>
    <cellStyle name="Normal 2 3 2 5 3 5" xfId="27109" xr:uid="{B91779B5-6A10-4288-8F14-CF40A724DB19}"/>
    <cellStyle name="Normal 2 3 2 5 4" xfId="2803" xr:uid="{C9242A4E-BB11-4CD6-8381-1DF8342BB4C1}"/>
    <cellStyle name="Normal 2 3 2 5 4 2" xfId="5957" xr:uid="{093AF8AB-DE35-4748-A03B-499F9FFB6213}"/>
    <cellStyle name="Normal 2 3 2 5 4 2 2" xfId="12250" xr:uid="{EB8AAC9E-7118-4D87-9E7F-AD0CD67DA681}"/>
    <cellStyle name="Normal 2 3 2 5 4 2 2 2" xfId="24932" xr:uid="{61CC25BB-81D4-43B6-BB83-120B9F2D4081}"/>
    <cellStyle name="Normal 2 3 2 5 4 2 2 2 2" xfId="50424" xr:uid="{5C3AD471-5D68-44F4-A2D7-06A87F101FE2}"/>
    <cellStyle name="Normal 2 3 2 5 4 2 2 3" xfId="37833" xr:uid="{885E7363-4678-4507-8041-7772992EF85B}"/>
    <cellStyle name="Normal 2 3 2 5 4 2 3" xfId="18654" xr:uid="{D9A0EAC9-1605-4B01-85E7-3B9B7D6C444D}"/>
    <cellStyle name="Normal 2 3 2 5 4 2 3 2" xfId="44146" xr:uid="{E7F1D6F7-B815-4381-98CB-5323A7296A06}"/>
    <cellStyle name="Normal 2 3 2 5 4 2 4" xfId="31555" xr:uid="{0008976D-CBC7-451F-A073-F9CA565B3FEC}"/>
    <cellStyle name="Normal 2 3 2 5 4 3" xfId="9111" xr:uid="{8256D539-183C-4B1D-96DD-56BAA9337FBA}"/>
    <cellStyle name="Normal 2 3 2 5 4 3 2" xfId="21793" xr:uid="{05AB7CAF-C83D-497F-A88C-80432249F171}"/>
    <cellStyle name="Normal 2 3 2 5 4 3 2 2" xfId="47285" xr:uid="{F327B82A-C6EA-43C4-A773-92EB1BAA2C58}"/>
    <cellStyle name="Normal 2 3 2 5 4 3 3" xfId="34694" xr:uid="{A05F0123-209C-4A07-9096-C1AFFAEF57F2}"/>
    <cellStyle name="Normal 2 3 2 5 4 4" xfId="15515" xr:uid="{336ABBE3-B526-4993-866A-FC0B4C074E5B}"/>
    <cellStyle name="Normal 2 3 2 5 4 4 2" xfId="41007" xr:uid="{4AC26B17-059A-45D8-9353-794AFAAC1A00}"/>
    <cellStyle name="Normal 2 3 2 5 4 5" xfId="28416" xr:uid="{F30FC1E4-BB2E-4261-8B76-C28659A4F3D2}"/>
    <cellStyle name="Normal 2 3 2 5 5" xfId="3326" xr:uid="{59E88A87-A743-4A13-8073-1D68F292D42A}"/>
    <cellStyle name="Normal 2 3 2 5 5 2" xfId="6480" xr:uid="{EFA396B3-4FCD-4346-A270-B284B32D09A8}"/>
    <cellStyle name="Normal 2 3 2 5 5 2 2" xfId="12773" xr:uid="{CA4A65F3-7861-45E0-9750-9431C5637FF3}"/>
    <cellStyle name="Normal 2 3 2 5 5 2 2 2" xfId="25455" xr:uid="{601B334A-1856-4339-9A34-F5F8777B0ACE}"/>
    <cellStyle name="Normal 2 3 2 5 5 2 2 2 2" xfId="50947" xr:uid="{61492D71-71C3-41E1-A940-2B63515779CA}"/>
    <cellStyle name="Normal 2 3 2 5 5 2 2 3" xfId="38356" xr:uid="{A275846F-0196-4505-B375-60F24A07E23C}"/>
    <cellStyle name="Normal 2 3 2 5 5 2 3" xfId="19177" xr:uid="{5A3ABAD1-9868-4BB6-AA37-AF2329749AB3}"/>
    <cellStyle name="Normal 2 3 2 5 5 2 3 2" xfId="44669" xr:uid="{873C08E8-D2BD-42EA-BD73-97B119104597}"/>
    <cellStyle name="Normal 2 3 2 5 5 2 4" xfId="32078" xr:uid="{29B436E8-0B19-429E-909D-C52F472B4DD8}"/>
    <cellStyle name="Normal 2 3 2 5 5 3" xfId="9634" xr:uid="{8926A301-B367-4F4C-AAEA-5BBAA24586E1}"/>
    <cellStyle name="Normal 2 3 2 5 5 3 2" xfId="22316" xr:uid="{4C0704B7-259E-438D-99E2-F6A9D5E3226D}"/>
    <cellStyle name="Normal 2 3 2 5 5 3 2 2" xfId="47808" xr:uid="{F1D89C57-98D9-4314-ADAA-DDF029A079E6}"/>
    <cellStyle name="Normal 2 3 2 5 5 3 3" xfId="35217" xr:uid="{D838C59A-8499-4AF0-81EB-30DD6A452DAE}"/>
    <cellStyle name="Normal 2 3 2 5 5 4" xfId="16038" xr:uid="{9E716041-CAF5-4A00-A078-F59B79B1D19D}"/>
    <cellStyle name="Normal 2 3 2 5 5 4 2" xfId="41530" xr:uid="{3F0AD8A2-2F34-4372-9DC2-62D244B3CB42}"/>
    <cellStyle name="Normal 2 3 2 5 5 5" xfId="28939" xr:uid="{AA838900-7616-4694-934F-F8569219E49F}"/>
    <cellStyle name="Normal 2 3 2 5 6" xfId="4126" xr:uid="{B5FC852C-4B3D-4430-BB95-D40A635B842A}"/>
    <cellStyle name="Normal 2 3 2 5 6 2" xfId="10419" xr:uid="{8CCAD2FA-A3F7-4DD7-A150-528AF8F4D2C8}"/>
    <cellStyle name="Normal 2 3 2 5 6 2 2" xfId="23101" xr:uid="{875D0BF9-EBCD-4F4F-B99E-56E2469258E2}"/>
    <cellStyle name="Normal 2 3 2 5 6 2 2 2" xfId="48593" xr:uid="{637E1DF1-D746-484C-8175-C4E7777D11C0}"/>
    <cellStyle name="Normal 2 3 2 5 6 2 3" xfId="36002" xr:uid="{6885A7CD-E2CF-459D-A926-F5C762476617}"/>
    <cellStyle name="Normal 2 3 2 5 6 3" xfId="16823" xr:uid="{D385A914-6E21-4EF1-B844-FAC024830852}"/>
    <cellStyle name="Normal 2 3 2 5 6 3 2" xfId="42315" xr:uid="{035C8C29-4236-4392-A11D-4474B44329DB}"/>
    <cellStyle name="Normal 2 3 2 5 6 4" xfId="29724" xr:uid="{FF45493B-FE3F-4132-B984-67776939DD61}"/>
    <cellStyle name="Normal 2 3 2 5 7" xfId="7280" xr:uid="{9D162DA8-BE0D-413B-BFC3-14CAB3DC7197}"/>
    <cellStyle name="Normal 2 3 2 5 7 2" xfId="19962" xr:uid="{FD790A23-BEE8-492C-9ECE-3F5053120A95}"/>
    <cellStyle name="Normal 2 3 2 5 7 2 2" xfId="45454" xr:uid="{FBF5FD73-D2D4-4A8F-A5E8-370095ED1EDF}"/>
    <cellStyle name="Normal 2 3 2 5 7 3" xfId="32863" xr:uid="{E651E084-C438-4BA1-BBA6-03621E69E387}"/>
    <cellStyle name="Normal 2 3 2 5 8" xfId="13684" xr:uid="{3EA1CBEE-1FE6-43F8-B5E7-7521E414DEFA}"/>
    <cellStyle name="Normal 2 3 2 5 8 2" xfId="39176" xr:uid="{C7C768EA-DBE4-4BF2-9CEE-8A25257B0178}"/>
    <cellStyle name="Normal 2 3 2 5 9" xfId="26585" xr:uid="{0D3021CD-E83F-4ADE-8C8A-56027C239958}"/>
    <cellStyle name="Normal 2 3 2 6" xfId="712" xr:uid="{D61176CF-DD20-4396-AA0D-9C536946D4C6}"/>
    <cellStyle name="Normal 2 3 2 6 2" xfId="2019" xr:uid="{905E00BE-6697-4F27-9E34-6DD73A922A04}"/>
    <cellStyle name="Normal 2 3 2 6 2 2" xfId="5173" xr:uid="{E4ADEA50-C47D-44C2-A414-9F3638ED92BC}"/>
    <cellStyle name="Normal 2 3 2 6 2 2 2" xfId="11466" xr:uid="{151051DC-37B3-4454-9804-CAF2EE352C27}"/>
    <cellStyle name="Normal 2 3 2 6 2 2 2 2" xfId="24148" xr:uid="{C6BBCEEE-D5C0-4CEF-88E8-FB7E73FF82E3}"/>
    <cellStyle name="Normal 2 3 2 6 2 2 2 2 2" xfId="49640" xr:uid="{20C046D7-63B8-4860-BACC-5FC7B7AF2ABD}"/>
    <cellStyle name="Normal 2 3 2 6 2 2 2 3" xfId="37049" xr:uid="{E8B3BC0C-3C44-4F05-BA28-0929DD7858BD}"/>
    <cellStyle name="Normal 2 3 2 6 2 2 3" xfId="17870" xr:uid="{F14B8F98-F044-492F-A47A-A23134529114}"/>
    <cellStyle name="Normal 2 3 2 6 2 2 3 2" xfId="43362" xr:uid="{F5C96FF3-0F5A-46FF-96E2-08A96EA0FB23}"/>
    <cellStyle name="Normal 2 3 2 6 2 2 4" xfId="30771" xr:uid="{6A7CB21E-8E1F-4A98-9ECE-2D3C5F4B0C31}"/>
    <cellStyle name="Normal 2 3 2 6 2 3" xfId="8327" xr:uid="{9A1381DD-EA28-4BAE-95C3-CF5507AC5BFC}"/>
    <cellStyle name="Normal 2 3 2 6 2 3 2" xfId="21009" xr:uid="{4C8088D4-5221-4057-BFE9-CFDEB56D8AA9}"/>
    <cellStyle name="Normal 2 3 2 6 2 3 2 2" xfId="46501" xr:uid="{4329EEEA-36A0-4D44-807A-091B412BCFE2}"/>
    <cellStyle name="Normal 2 3 2 6 2 3 3" xfId="33910" xr:uid="{C23A40BE-1E80-48BE-8A01-329579E6EEF5}"/>
    <cellStyle name="Normal 2 3 2 6 2 4" xfId="14731" xr:uid="{60F1F64A-21A5-4205-9780-A3C3D68DACB0}"/>
    <cellStyle name="Normal 2 3 2 6 2 4 2" xfId="40223" xr:uid="{6A39866A-B9A8-4C74-AD13-E7D1571FFBF3}"/>
    <cellStyle name="Normal 2 3 2 6 2 5" xfId="27632" xr:uid="{C20A3D01-CB84-4E38-BD65-B83D7A53B1A3}"/>
    <cellStyle name="Normal 2 3 2 6 3" xfId="3866" xr:uid="{42A45E27-D3E2-487E-8502-06BACF9FA3E8}"/>
    <cellStyle name="Normal 2 3 2 6 3 2" xfId="10159" xr:uid="{8691EA3C-6353-4771-AE1B-19B537DAD22B}"/>
    <cellStyle name="Normal 2 3 2 6 3 2 2" xfId="22841" xr:uid="{F0B0065F-45D9-4BEA-98F9-FC06C0FF56DE}"/>
    <cellStyle name="Normal 2 3 2 6 3 2 2 2" xfId="48333" xr:uid="{C6782CB9-785B-4E67-B4CE-C6B46348569B}"/>
    <cellStyle name="Normal 2 3 2 6 3 2 3" xfId="35742" xr:uid="{7738306D-679F-4F01-81BB-7E7610EA1758}"/>
    <cellStyle name="Normal 2 3 2 6 3 3" xfId="16563" xr:uid="{1C3AC93C-438D-4326-8726-88B37EEA0B8C}"/>
    <cellStyle name="Normal 2 3 2 6 3 3 2" xfId="42055" xr:uid="{D57815E2-118E-4C5E-9E24-79CF62F05DF9}"/>
    <cellStyle name="Normal 2 3 2 6 3 4" xfId="29464" xr:uid="{2E5A3BED-E4A1-4B31-9461-70D6E06A9938}"/>
    <cellStyle name="Normal 2 3 2 6 4" xfId="7020" xr:uid="{F1BEAC98-B98A-4E73-90D3-CEF3B141293C}"/>
    <cellStyle name="Normal 2 3 2 6 4 2" xfId="19702" xr:uid="{230911E4-3209-4E16-88D2-AC380C6EECBD}"/>
    <cellStyle name="Normal 2 3 2 6 4 2 2" xfId="45194" xr:uid="{3D672E30-046F-4CC5-819B-A3829C3C9454}"/>
    <cellStyle name="Normal 2 3 2 6 4 3" xfId="32603" xr:uid="{84494629-83FB-463A-B369-FB566EDC3D35}"/>
    <cellStyle name="Normal 2 3 2 6 5" xfId="13424" xr:uid="{D8AA4A40-9063-4F36-A3A0-FE9B3D35C673}"/>
    <cellStyle name="Normal 2 3 2 6 5 2" xfId="38916" xr:uid="{E4E8C714-ACA2-473F-9F5F-7F5600079168}"/>
    <cellStyle name="Normal 2 3 2 6 6" xfId="26325" xr:uid="{EF3EF76D-5F15-40B0-96F6-A5448637F618}"/>
    <cellStyle name="Normal 2 3 2 7" xfId="1757" xr:uid="{7F7D2B06-7ADC-45E9-8BB0-E3EF08F551B5}"/>
    <cellStyle name="Normal 2 3 2 7 2" xfId="4911" xr:uid="{1F54D122-7323-4D81-A18F-DB13672C667E}"/>
    <cellStyle name="Normal 2 3 2 7 2 2" xfId="11204" xr:uid="{B416FF14-F4E8-4343-95A2-DE777B0E595E}"/>
    <cellStyle name="Normal 2 3 2 7 2 2 2" xfId="23886" xr:uid="{B095BF97-7542-4C4B-ADC1-21EE066084F4}"/>
    <cellStyle name="Normal 2 3 2 7 2 2 2 2" xfId="49378" xr:uid="{D2AA6C86-D318-47BC-9C19-9BAA02111A08}"/>
    <cellStyle name="Normal 2 3 2 7 2 2 3" xfId="36787" xr:uid="{B6B01E92-4EAA-43E0-BE76-268745F4813B}"/>
    <cellStyle name="Normal 2 3 2 7 2 3" xfId="17608" xr:uid="{2CF55090-AAC6-4259-9747-F536AFE7A65B}"/>
    <cellStyle name="Normal 2 3 2 7 2 3 2" xfId="43100" xr:uid="{91DDD148-2495-4A96-BFE7-F14CCEC46FAC}"/>
    <cellStyle name="Normal 2 3 2 7 2 4" xfId="30509" xr:uid="{4EE5D385-A8A7-4170-8309-E5B7AA033E11}"/>
    <cellStyle name="Normal 2 3 2 7 3" xfId="8065" xr:uid="{8E01BE76-88E8-4BD8-9E92-68101ED4AF2D}"/>
    <cellStyle name="Normal 2 3 2 7 3 2" xfId="20747" xr:uid="{B939963B-31D3-4451-A6C2-DC3A6D25844F}"/>
    <cellStyle name="Normal 2 3 2 7 3 2 2" xfId="46239" xr:uid="{392A0AC6-AB68-4430-A586-F07B3CEC1808}"/>
    <cellStyle name="Normal 2 3 2 7 3 3" xfId="33648" xr:uid="{2E32F594-A553-4C55-A7CA-9A8410F83863}"/>
    <cellStyle name="Normal 2 3 2 7 4" xfId="14469" xr:uid="{9CBA9CCD-5081-495F-9C39-B47B36A582CB}"/>
    <cellStyle name="Normal 2 3 2 7 4 2" xfId="39961" xr:uid="{A8C8C354-1FDB-4DD7-8F8D-BBA72DC9B265}"/>
    <cellStyle name="Normal 2 3 2 7 5" xfId="27370" xr:uid="{51ED52BC-FA46-41BA-895B-B44670FC9D62}"/>
    <cellStyle name="Normal 2 3 2 8" xfId="1235" xr:uid="{5847F814-D775-4B53-8095-5D675ECC9BC8}"/>
    <cellStyle name="Normal 2 3 2 8 2" xfId="4389" xr:uid="{488F7BE8-3AF6-4ABF-BA76-7E619D230D83}"/>
    <cellStyle name="Normal 2 3 2 8 2 2" xfId="10682" xr:uid="{5C07B105-15AB-454C-A913-C5DE99D04ADD}"/>
    <cellStyle name="Normal 2 3 2 8 2 2 2" xfId="23364" xr:uid="{35A96655-38BC-4E2D-94B0-760BC23E483C}"/>
    <cellStyle name="Normal 2 3 2 8 2 2 2 2" xfId="48856" xr:uid="{7A35A70E-17A4-47C3-A8B8-E0F6830982D2}"/>
    <cellStyle name="Normal 2 3 2 8 2 2 3" xfId="36265" xr:uid="{542EAFAC-00F3-4BF4-AA09-DCBAAB2A21AA}"/>
    <cellStyle name="Normal 2 3 2 8 2 3" xfId="17086" xr:uid="{AB90DCD8-CE6C-4173-A886-6320F7ACB84D}"/>
    <cellStyle name="Normal 2 3 2 8 2 3 2" xfId="42578" xr:uid="{5EDE133C-F538-4BAF-A417-1F7B7C708631}"/>
    <cellStyle name="Normal 2 3 2 8 2 4" xfId="29987" xr:uid="{654B2051-F09A-42AC-BC5D-584CAEC62D6C}"/>
    <cellStyle name="Normal 2 3 2 8 3" xfId="7543" xr:uid="{339BF6BB-1075-40C9-98F5-A994651CBA5F}"/>
    <cellStyle name="Normal 2 3 2 8 3 2" xfId="20225" xr:uid="{CEA9FB95-67A9-489B-BCC3-3EB79DFAFCF3}"/>
    <cellStyle name="Normal 2 3 2 8 3 2 2" xfId="45717" xr:uid="{53B63743-0B56-421E-9967-3D9A8FC0B3FC}"/>
    <cellStyle name="Normal 2 3 2 8 3 3" xfId="33126" xr:uid="{3DA43E5D-A127-4ED0-9550-AA0CEF6079AE}"/>
    <cellStyle name="Normal 2 3 2 8 4" xfId="13947" xr:uid="{E6A461B2-5ABE-4334-9DAF-BE43DC1A52E6}"/>
    <cellStyle name="Normal 2 3 2 8 4 2" xfId="39439" xr:uid="{8DF5F542-29A2-4C23-9809-AD3AAC86EC81}"/>
    <cellStyle name="Normal 2 3 2 8 5" xfId="26848" xr:uid="{F5B05D97-C828-4C07-BEB8-0F1D67C2BCCF}"/>
    <cellStyle name="Normal 2 3 2 9" xfId="2542" xr:uid="{D84499C4-ACA4-4F3A-BBDA-DF3ADBBF186F}"/>
    <cellStyle name="Normal 2 3 2 9 2" xfId="5696" xr:uid="{829EA2C8-702B-4D2C-A860-04F66649D9D2}"/>
    <cellStyle name="Normal 2 3 2 9 2 2" xfId="11989" xr:uid="{49EF899B-2882-44AA-9D37-F241484D4437}"/>
    <cellStyle name="Normal 2 3 2 9 2 2 2" xfId="24671" xr:uid="{FBF84728-BF49-4C38-99D4-10E77F68234F}"/>
    <cellStyle name="Normal 2 3 2 9 2 2 2 2" xfId="50163" xr:uid="{6B66BB89-A5BA-4CA6-B3C0-24E717DB2A1A}"/>
    <cellStyle name="Normal 2 3 2 9 2 2 3" xfId="37572" xr:uid="{36BD6256-DE33-4BEE-9965-220A3EC45D63}"/>
    <cellStyle name="Normal 2 3 2 9 2 3" xfId="18393" xr:uid="{020D709C-19E2-4E36-8ACD-84DACC12B79A}"/>
    <cellStyle name="Normal 2 3 2 9 2 3 2" xfId="43885" xr:uid="{0272AA45-5D1D-474E-9307-122D9BBDA325}"/>
    <cellStyle name="Normal 2 3 2 9 2 4" xfId="31294" xr:uid="{5613E04F-4E19-4A3A-B74F-6FB66B45C8D7}"/>
    <cellStyle name="Normal 2 3 2 9 3" xfId="8850" xr:uid="{C7D81695-67C7-4122-926B-3B74C6E2B25F}"/>
    <cellStyle name="Normal 2 3 2 9 3 2" xfId="21532" xr:uid="{0E0FD37B-4CB6-47AC-8DFA-85A456515A9A}"/>
    <cellStyle name="Normal 2 3 2 9 3 2 2" xfId="47024" xr:uid="{464E5E91-54AB-48C2-99E0-2361092F9938}"/>
    <cellStyle name="Normal 2 3 2 9 3 3" xfId="34433" xr:uid="{6D2C85FD-AFCB-4F83-B6A9-0DB6DA39C0FB}"/>
    <cellStyle name="Normal 2 3 2 9 4" xfId="15254" xr:uid="{1430479F-FDEB-4666-BF8A-56F2F85A9CCD}"/>
    <cellStyle name="Normal 2 3 2 9 4 2" xfId="40746" xr:uid="{7FDCB4D9-EB67-4A93-8D19-56BF0990FF99}"/>
    <cellStyle name="Normal 2 3 2 9 5" xfId="28155" xr:uid="{FE2559D8-2D0C-464D-8A4A-AD9A08A4EB50}"/>
    <cellStyle name="Normal 2 3 3" xfId="476" xr:uid="{E7BD4496-5FD7-4DCA-B2FD-DDC52A472993}"/>
    <cellStyle name="Normal 2 3 3 10" xfId="3645" xr:uid="{7A34230C-E4BD-4D4B-8AD1-0220BBAD653C}"/>
    <cellStyle name="Normal 2 3 3 10 2" xfId="9938" xr:uid="{E7D5A61F-E642-4F75-8C9D-7322FB8404C9}"/>
    <cellStyle name="Normal 2 3 3 10 2 2" xfId="22620" xr:uid="{9EC35348-902C-4ED1-8257-4D3F7F29FE35}"/>
    <cellStyle name="Normal 2 3 3 10 2 2 2" xfId="48112" xr:uid="{C94267BF-CACD-46C9-81D7-51EB87CD4111}"/>
    <cellStyle name="Normal 2 3 3 10 2 3" xfId="35521" xr:uid="{F97589B2-AA6D-4FB1-BCA8-EF6AE57AF0FC}"/>
    <cellStyle name="Normal 2 3 3 10 3" xfId="16342" xr:uid="{E65598BF-57F9-44CF-82F4-B066AC2FE79C}"/>
    <cellStyle name="Normal 2 3 3 10 3 2" xfId="41834" xr:uid="{F2751D12-06B2-41D8-9DDC-1EBF0D01677E}"/>
    <cellStyle name="Normal 2 3 3 10 4" xfId="29243" xr:uid="{9C1F624A-400D-41CE-819F-00D578422FAB}"/>
    <cellStyle name="Normal 2 3 3 11" xfId="6799" xr:uid="{FD549BCE-9034-4FD0-9C63-3A954CDB15EC}"/>
    <cellStyle name="Normal 2 3 3 11 2" xfId="19481" xr:uid="{C3C5177E-9B25-43EB-864F-6AC9FAEE207C}"/>
    <cellStyle name="Normal 2 3 3 11 2 2" xfId="44973" xr:uid="{3579EC45-E7DB-4896-8236-DC2F371305FB}"/>
    <cellStyle name="Normal 2 3 3 11 3" xfId="32382" xr:uid="{4AC79E51-F0B1-4B0E-BAB3-5054538EB7D5}"/>
    <cellStyle name="Normal 2 3 3 12" xfId="13203" xr:uid="{BF32228A-5028-46CB-8B2A-83425A0D6DEF}"/>
    <cellStyle name="Normal 2 3 3 12 2" xfId="38695" xr:uid="{F35FF36D-27F4-4623-8E53-C777E08F9186}"/>
    <cellStyle name="Normal 2 3 3 13" xfId="26104" xr:uid="{2A9FDC98-EC31-497A-B8AA-C1C59DB2BF39}"/>
    <cellStyle name="Normal 2 3 3 2" xfId="635" xr:uid="{923BEC2C-B213-430C-A9B7-B3E46A16778A}"/>
    <cellStyle name="Normal 2 3 3 2 10" xfId="13362" xr:uid="{16F7BA09-9283-4998-A9E4-44A2FC16CFAB}"/>
    <cellStyle name="Normal 2 3 3 2 10 2" xfId="38854" xr:uid="{CC0B3111-9AB5-46D4-B0E6-A4962A61315B}"/>
    <cellStyle name="Normal 2 3 3 2 11" xfId="26263" xr:uid="{76380512-86E1-4DF0-B556-CF2AB9897722}"/>
    <cellStyle name="Normal 2 3 3 2 2" xfId="1172" xr:uid="{0E086E15-7945-4B43-9EE0-109E468FC84F}"/>
    <cellStyle name="Normal 2 3 3 2 2 2" xfId="2479" xr:uid="{EB3D287E-E06F-4A6C-883A-CD8F900AB299}"/>
    <cellStyle name="Normal 2 3 3 2 2 2 2" xfId="5633" xr:uid="{6245E08C-A930-4A25-9356-D53CC9D1E4E3}"/>
    <cellStyle name="Normal 2 3 3 2 2 2 2 2" xfId="11926" xr:uid="{229D07B4-F16C-40FC-AA63-F441ADED217D}"/>
    <cellStyle name="Normal 2 3 3 2 2 2 2 2 2" xfId="24608" xr:uid="{FC460CD5-D5DF-4E6A-B357-7CAD1A3FBCE8}"/>
    <cellStyle name="Normal 2 3 3 2 2 2 2 2 2 2" xfId="50100" xr:uid="{A0071A74-E1B2-496D-9228-7F398811613A}"/>
    <cellStyle name="Normal 2 3 3 2 2 2 2 2 3" xfId="37509" xr:uid="{B1AADD60-1063-461A-A392-E6AA0A9BA224}"/>
    <cellStyle name="Normal 2 3 3 2 2 2 2 3" xfId="18330" xr:uid="{430C7DAB-9A6B-455D-9872-2271F5F83668}"/>
    <cellStyle name="Normal 2 3 3 2 2 2 2 3 2" xfId="43822" xr:uid="{D2769E1B-7804-484F-A8EB-58AA8EB028AA}"/>
    <cellStyle name="Normal 2 3 3 2 2 2 2 4" xfId="31231" xr:uid="{EDF62B96-1AD9-41B6-9CD2-299685FABF59}"/>
    <cellStyle name="Normal 2 3 3 2 2 2 3" xfId="8787" xr:uid="{333BA6F9-6AA2-459B-8034-AD6A5D7C67FE}"/>
    <cellStyle name="Normal 2 3 3 2 2 2 3 2" xfId="21469" xr:uid="{93C242C4-A020-4603-B9F9-4769C2DE4DA3}"/>
    <cellStyle name="Normal 2 3 3 2 2 2 3 2 2" xfId="46961" xr:uid="{569A5C47-5D2D-446A-8351-947C8DCB5E88}"/>
    <cellStyle name="Normal 2 3 3 2 2 2 3 3" xfId="34370" xr:uid="{B664107D-F578-48E1-9582-332F8AE9BAC0}"/>
    <cellStyle name="Normal 2 3 3 2 2 2 4" xfId="15191" xr:uid="{58A4B571-C3F4-4195-9EE4-1C27B0292BB1}"/>
    <cellStyle name="Normal 2 3 3 2 2 2 4 2" xfId="40683" xr:uid="{B4894231-153F-4E29-9EBA-372EF9EEC0C0}"/>
    <cellStyle name="Normal 2 3 3 2 2 2 5" xfId="28092" xr:uid="{5D544947-735C-4179-A0A2-FFAC7295C580}"/>
    <cellStyle name="Normal 2 3 3 2 2 3" xfId="1696" xr:uid="{0746FB99-D1FE-4562-9E64-9BC129EB66C6}"/>
    <cellStyle name="Normal 2 3 3 2 2 3 2" xfId="4850" xr:uid="{54425135-1D17-41A4-A3B8-FBAB0272F336}"/>
    <cellStyle name="Normal 2 3 3 2 2 3 2 2" xfId="11143" xr:uid="{6915F64C-DE69-462B-880C-C8017A1FED6F}"/>
    <cellStyle name="Normal 2 3 3 2 2 3 2 2 2" xfId="23825" xr:uid="{15BD98FA-EA58-4E80-9D32-804F4027206A}"/>
    <cellStyle name="Normal 2 3 3 2 2 3 2 2 2 2" xfId="49317" xr:uid="{44CD9B30-3F6F-42B0-8F22-52D1B04D32E3}"/>
    <cellStyle name="Normal 2 3 3 2 2 3 2 2 3" xfId="36726" xr:uid="{40FDC383-AE00-45BB-B762-AD17B4DA3DD8}"/>
    <cellStyle name="Normal 2 3 3 2 2 3 2 3" xfId="17547" xr:uid="{1C3F44C8-A11B-40A3-BE96-1D67A6D8A64E}"/>
    <cellStyle name="Normal 2 3 3 2 2 3 2 3 2" xfId="43039" xr:uid="{2B65EDD1-716D-4734-8F59-086283F7BCDA}"/>
    <cellStyle name="Normal 2 3 3 2 2 3 2 4" xfId="30448" xr:uid="{DA1531B0-D963-48BB-84BD-19A28EEA3334}"/>
    <cellStyle name="Normal 2 3 3 2 2 3 3" xfId="8004" xr:uid="{5CBE0D4A-DEF1-4AE7-A37E-D6ECFFEE731F}"/>
    <cellStyle name="Normal 2 3 3 2 2 3 3 2" xfId="20686" xr:uid="{A869926C-38FB-4FB6-87ED-2753FF595F1E}"/>
    <cellStyle name="Normal 2 3 3 2 2 3 3 2 2" xfId="46178" xr:uid="{326BDBEE-BB74-48D4-9C7D-C81ECC9FC4A1}"/>
    <cellStyle name="Normal 2 3 3 2 2 3 3 3" xfId="33587" xr:uid="{BB5D8B19-4BE8-43BB-B50B-1E4DCDFBD4F6}"/>
    <cellStyle name="Normal 2 3 3 2 2 3 4" xfId="14408" xr:uid="{8A588462-6AE8-4E35-B078-0195ECA86873}"/>
    <cellStyle name="Normal 2 3 3 2 2 3 4 2" xfId="39900" xr:uid="{F8CC23D7-1276-44A1-8517-F9E4FAA5AE4D}"/>
    <cellStyle name="Normal 2 3 3 2 2 3 5" xfId="27309" xr:uid="{E20C2420-61C3-48DD-8F66-8F4C6E14E43D}"/>
    <cellStyle name="Normal 2 3 3 2 2 4" xfId="3003" xr:uid="{1A9605FA-7603-49B3-B8C8-4E62FA2E573E}"/>
    <cellStyle name="Normal 2 3 3 2 2 4 2" xfId="6157" xr:uid="{C96B5816-0622-49B6-A79D-A1737C2A4A1E}"/>
    <cellStyle name="Normal 2 3 3 2 2 4 2 2" xfId="12450" xr:uid="{8C609BE6-2F1B-421E-A29A-FDFF7E0B81FF}"/>
    <cellStyle name="Normal 2 3 3 2 2 4 2 2 2" xfId="25132" xr:uid="{7B4842EE-0B91-4EA5-93CD-A90513CC87A4}"/>
    <cellStyle name="Normal 2 3 3 2 2 4 2 2 2 2" xfId="50624" xr:uid="{DD5B3E97-23E0-4178-914E-FC5D455B851A}"/>
    <cellStyle name="Normal 2 3 3 2 2 4 2 2 3" xfId="38033" xr:uid="{7BC7BEBE-CBA5-4264-AA7F-7F296EDBDEF4}"/>
    <cellStyle name="Normal 2 3 3 2 2 4 2 3" xfId="18854" xr:uid="{CD787F0B-C4B3-4260-980A-603661C4489F}"/>
    <cellStyle name="Normal 2 3 3 2 2 4 2 3 2" xfId="44346" xr:uid="{C2C74211-5969-4274-BC7E-781BD19C6662}"/>
    <cellStyle name="Normal 2 3 3 2 2 4 2 4" xfId="31755" xr:uid="{72DC8379-4E82-42DF-8BC3-637FA5DD906C}"/>
    <cellStyle name="Normal 2 3 3 2 2 4 3" xfId="9311" xr:uid="{F65DB7F2-BDAA-4AEB-BD4A-F61F155852A8}"/>
    <cellStyle name="Normal 2 3 3 2 2 4 3 2" xfId="21993" xr:uid="{750E0840-D606-40ED-BFAC-07F77E07A344}"/>
    <cellStyle name="Normal 2 3 3 2 2 4 3 2 2" xfId="47485" xr:uid="{1DE46F1F-60BF-4952-BC3C-769F4ACEED72}"/>
    <cellStyle name="Normal 2 3 3 2 2 4 3 3" xfId="34894" xr:uid="{699CBB7E-C4A5-429E-A637-0746923B4702}"/>
    <cellStyle name="Normal 2 3 3 2 2 4 4" xfId="15715" xr:uid="{81ACD3C2-1F4E-4D5F-A3B2-76441314031C}"/>
    <cellStyle name="Normal 2 3 3 2 2 4 4 2" xfId="41207" xr:uid="{97777005-5803-4676-A7EA-04DB6CD561C8}"/>
    <cellStyle name="Normal 2 3 3 2 2 4 5" xfId="28616" xr:uid="{CC9B99E9-A46E-4BF4-BA27-0C31FC5835B0}"/>
    <cellStyle name="Normal 2 3 3 2 2 5" xfId="3526" xr:uid="{0C853371-89C1-4C78-A278-559F6EB431B6}"/>
    <cellStyle name="Normal 2 3 3 2 2 5 2" xfId="6680" xr:uid="{91B195C5-3EBE-424C-93DE-5317B311E06B}"/>
    <cellStyle name="Normal 2 3 3 2 2 5 2 2" xfId="12973" xr:uid="{2AEF92EB-5524-482C-B3DC-D24CA6992B6F}"/>
    <cellStyle name="Normal 2 3 3 2 2 5 2 2 2" xfId="25655" xr:uid="{34384941-B6C8-45E4-9BCB-2EDAB6FD8FC4}"/>
    <cellStyle name="Normal 2 3 3 2 2 5 2 2 2 2" xfId="51147" xr:uid="{35EE8B29-92C3-4C67-A3B0-3E7D20B8BBA3}"/>
    <cellStyle name="Normal 2 3 3 2 2 5 2 2 3" xfId="38556" xr:uid="{22055BAD-DAED-4451-A891-9D498929980D}"/>
    <cellStyle name="Normal 2 3 3 2 2 5 2 3" xfId="19377" xr:uid="{9F5621B9-F823-4ABD-BC6F-FAB31A97311F}"/>
    <cellStyle name="Normal 2 3 3 2 2 5 2 3 2" xfId="44869" xr:uid="{1779538A-806F-450A-B9D4-35ED8A50C303}"/>
    <cellStyle name="Normal 2 3 3 2 2 5 2 4" xfId="32278" xr:uid="{C674D12F-A7D2-4C23-87B5-8FFB7520255A}"/>
    <cellStyle name="Normal 2 3 3 2 2 5 3" xfId="9834" xr:uid="{5840D11E-8D16-4D88-9696-1461BC3E870B}"/>
    <cellStyle name="Normal 2 3 3 2 2 5 3 2" xfId="22516" xr:uid="{9C0B3C2F-C715-440B-BA5A-2F87365023CB}"/>
    <cellStyle name="Normal 2 3 3 2 2 5 3 2 2" xfId="48008" xr:uid="{BA3ADF34-DB66-40F9-8BE8-D79EAF320CD1}"/>
    <cellStyle name="Normal 2 3 3 2 2 5 3 3" xfId="35417" xr:uid="{D9859B86-C9E2-4C54-B442-D01928601088}"/>
    <cellStyle name="Normal 2 3 3 2 2 5 4" xfId="16238" xr:uid="{ED0838AE-010E-4D71-94BA-19CE3F9F7F33}"/>
    <cellStyle name="Normal 2 3 3 2 2 5 4 2" xfId="41730" xr:uid="{F34F9148-0434-4334-9FBE-16A2079BE0A7}"/>
    <cellStyle name="Normal 2 3 3 2 2 5 5" xfId="29139" xr:uid="{346C32D2-DEB0-4828-B8ED-26565F32DE1F}"/>
    <cellStyle name="Normal 2 3 3 2 2 6" xfId="4326" xr:uid="{0874536A-A1FD-4C6B-8F5F-6DBDA042EE7F}"/>
    <cellStyle name="Normal 2 3 3 2 2 6 2" xfId="10619" xr:uid="{F7BDD42D-30ED-4CF7-9124-48ED7E82DB75}"/>
    <cellStyle name="Normal 2 3 3 2 2 6 2 2" xfId="23301" xr:uid="{EA521FF8-780E-4D12-BFC2-9FBAB6BD1169}"/>
    <cellStyle name="Normal 2 3 3 2 2 6 2 2 2" xfId="48793" xr:uid="{1C0C8A64-5FAE-4A31-8C28-370B0083DE79}"/>
    <cellStyle name="Normal 2 3 3 2 2 6 2 3" xfId="36202" xr:uid="{44035A4B-A055-4118-83B8-67C26AB12930}"/>
    <cellStyle name="Normal 2 3 3 2 2 6 3" xfId="17023" xr:uid="{B51E5F9B-A016-409F-A731-F693F87180A5}"/>
    <cellStyle name="Normal 2 3 3 2 2 6 3 2" xfId="42515" xr:uid="{E746788F-E4D7-475B-9C43-5E569F572756}"/>
    <cellStyle name="Normal 2 3 3 2 2 6 4" xfId="29924" xr:uid="{0CCE5028-3642-4421-A807-892BB78B0124}"/>
    <cellStyle name="Normal 2 3 3 2 2 7" xfId="7480" xr:uid="{7783AA12-5D49-4C55-A3D3-6D9F3BD659DB}"/>
    <cellStyle name="Normal 2 3 3 2 2 7 2" xfId="20162" xr:uid="{3C38BE0D-54B1-44D6-AB5B-5549EAC6D3AF}"/>
    <cellStyle name="Normal 2 3 3 2 2 7 2 2" xfId="45654" xr:uid="{02654B78-2118-4844-A466-C740DA913F9B}"/>
    <cellStyle name="Normal 2 3 3 2 2 7 3" xfId="33063" xr:uid="{B9A3E443-83FB-4828-9163-DDE95EC722B8}"/>
    <cellStyle name="Normal 2 3 3 2 2 8" xfId="13884" xr:uid="{D5C972F9-48C6-428D-A16A-982A6F69DBB8}"/>
    <cellStyle name="Normal 2 3 3 2 2 8 2" xfId="39376" xr:uid="{8F3C608A-BBAF-4E3E-A2B4-D8F1FB27D05A}"/>
    <cellStyle name="Normal 2 3 3 2 2 9" xfId="26785" xr:uid="{77904AEF-DB9E-4DFA-926C-DA3BF1E99572}"/>
    <cellStyle name="Normal 2 3 3 2 3" xfId="912" xr:uid="{EC9CBD74-5956-4BE0-9666-2CB5111384B2}"/>
    <cellStyle name="Normal 2 3 3 2 3 2" xfId="2219" xr:uid="{A0F8A4D5-7A9B-464D-B2E6-15E2B2D0900C}"/>
    <cellStyle name="Normal 2 3 3 2 3 2 2" xfId="5373" xr:uid="{A3C26B24-EC01-4E94-9908-CA8D2B172A6A}"/>
    <cellStyle name="Normal 2 3 3 2 3 2 2 2" xfId="11666" xr:uid="{032B0366-9B84-401C-BC0C-FA926804C931}"/>
    <cellStyle name="Normal 2 3 3 2 3 2 2 2 2" xfId="24348" xr:uid="{4D24A5DD-C065-41AD-BBB1-74208D7A00A2}"/>
    <cellStyle name="Normal 2 3 3 2 3 2 2 2 2 2" xfId="49840" xr:uid="{46AB658C-0C6E-47D4-B14A-8B6E586FFAF3}"/>
    <cellStyle name="Normal 2 3 3 2 3 2 2 2 3" xfId="37249" xr:uid="{D7962330-8154-485C-8236-BE060E48684C}"/>
    <cellStyle name="Normal 2 3 3 2 3 2 2 3" xfId="18070" xr:uid="{E5648B43-F8CB-4940-B3FF-E21577070B63}"/>
    <cellStyle name="Normal 2 3 3 2 3 2 2 3 2" xfId="43562" xr:uid="{1DE465BA-430D-4616-8F61-C211DFC4B97B}"/>
    <cellStyle name="Normal 2 3 3 2 3 2 2 4" xfId="30971" xr:uid="{C0C06E32-0921-47CA-A200-C36C4C8A2E71}"/>
    <cellStyle name="Normal 2 3 3 2 3 2 3" xfId="8527" xr:uid="{EEB3D6F7-E782-431C-A83B-839563F05785}"/>
    <cellStyle name="Normal 2 3 3 2 3 2 3 2" xfId="21209" xr:uid="{8BD88B2E-4FBA-44C1-8D28-170D743A1B25}"/>
    <cellStyle name="Normal 2 3 3 2 3 2 3 2 2" xfId="46701" xr:uid="{CAB1D890-8810-4EC7-8659-287EA0A61F04}"/>
    <cellStyle name="Normal 2 3 3 2 3 2 3 3" xfId="34110" xr:uid="{236D5033-B69F-4B07-AC3D-9BFA20CF2B71}"/>
    <cellStyle name="Normal 2 3 3 2 3 2 4" xfId="14931" xr:uid="{AB267D31-80DA-49A8-B80A-C8CFAAB8601F}"/>
    <cellStyle name="Normal 2 3 3 2 3 2 4 2" xfId="40423" xr:uid="{BC03E1DE-0B05-4073-BC7E-198EEFAEE904}"/>
    <cellStyle name="Normal 2 3 3 2 3 2 5" xfId="27832" xr:uid="{44C29DAE-654E-42C0-9760-54184F1B15DD}"/>
    <cellStyle name="Normal 2 3 3 2 3 3" xfId="4066" xr:uid="{CF374608-7933-4401-B3CE-696B811906C7}"/>
    <cellStyle name="Normal 2 3 3 2 3 3 2" xfId="10359" xr:uid="{D06BBDA3-2B0D-41D8-B8BC-C6B08FE910D3}"/>
    <cellStyle name="Normal 2 3 3 2 3 3 2 2" xfId="23041" xr:uid="{B7400F4A-CC20-4673-A85C-0355A7AD828B}"/>
    <cellStyle name="Normal 2 3 3 2 3 3 2 2 2" xfId="48533" xr:uid="{84DB49CC-5F05-4EFE-9D69-05C714E7D8E8}"/>
    <cellStyle name="Normal 2 3 3 2 3 3 2 3" xfId="35942" xr:uid="{54634A64-BCD9-4BEC-AC48-1328ECCFEE12}"/>
    <cellStyle name="Normal 2 3 3 2 3 3 3" xfId="16763" xr:uid="{860A7EF1-C51C-4781-95AF-A7B2094BF50E}"/>
    <cellStyle name="Normal 2 3 3 2 3 3 3 2" xfId="42255" xr:uid="{465CFE58-7234-4ABF-8E54-10830656C769}"/>
    <cellStyle name="Normal 2 3 3 2 3 3 4" xfId="29664" xr:uid="{ABF70B31-B283-4A4E-825A-D11F2AF94BD8}"/>
    <cellStyle name="Normal 2 3 3 2 3 4" xfId="7220" xr:uid="{6507227F-A110-463D-BE45-9683D2741FFD}"/>
    <cellStyle name="Normal 2 3 3 2 3 4 2" xfId="19902" xr:uid="{F78863F0-4F4F-4D06-BFEB-0FC63B5F102E}"/>
    <cellStyle name="Normal 2 3 3 2 3 4 2 2" xfId="45394" xr:uid="{5700CD7C-74BC-4F7C-A592-FCBDA973D54C}"/>
    <cellStyle name="Normal 2 3 3 2 3 4 3" xfId="32803" xr:uid="{8CF24921-BDEA-480D-ACA3-5A283B86AA57}"/>
    <cellStyle name="Normal 2 3 3 2 3 5" xfId="13624" xr:uid="{F6C746D7-048C-456B-A643-B56D8AB90425}"/>
    <cellStyle name="Normal 2 3 3 2 3 5 2" xfId="39116" xr:uid="{71ECA2C8-E723-4C5B-B98D-9600B36BAF57}"/>
    <cellStyle name="Normal 2 3 3 2 3 6" xfId="26525" xr:uid="{F3E16EDB-0DB6-479A-A179-811D90E963F1}"/>
    <cellStyle name="Normal 2 3 3 2 4" xfId="1957" xr:uid="{513A2293-B1F9-46B3-ADBB-74481089CE52}"/>
    <cellStyle name="Normal 2 3 3 2 4 2" xfId="5111" xr:uid="{4CA8A8ED-9F24-4D93-AEB3-8EC8A4AEC109}"/>
    <cellStyle name="Normal 2 3 3 2 4 2 2" xfId="11404" xr:uid="{B8A30E36-F7CD-4957-B74A-24F3204150C5}"/>
    <cellStyle name="Normal 2 3 3 2 4 2 2 2" xfId="24086" xr:uid="{22A450AC-F4C0-4540-A80A-412A3D536AC4}"/>
    <cellStyle name="Normal 2 3 3 2 4 2 2 2 2" xfId="49578" xr:uid="{B5F54E62-6AE5-4512-B816-0F9117EAFB15}"/>
    <cellStyle name="Normal 2 3 3 2 4 2 2 3" xfId="36987" xr:uid="{3E4964F6-07BC-43E6-8243-EAC4E2B7F0F4}"/>
    <cellStyle name="Normal 2 3 3 2 4 2 3" xfId="17808" xr:uid="{0C5FD759-DFFC-474E-BD93-910803045B2B}"/>
    <cellStyle name="Normal 2 3 3 2 4 2 3 2" xfId="43300" xr:uid="{908B1D7B-8E9D-4074-93AA-8F68640DAC4A}"/>
    <cellStyle name="Normal 2 3 3 2 4 2 4" xfId="30709" xr:uid="{A547AC08-5CF3-4561-AAA5-4CA2CD256D17}"/>
    <cellStyle name="Normal 2 3 3 2 4 3" xfId="8265" xr:uid="{75E606ED-8777-42D8-AE0D-A8E1FA4E9DE3}"/>
    <cellStyle name="Normal 2 3 3 2 4 3 2" xfId="20947" xr:uid="{DADB24F1-633C-4946-ABCC-B879F0B8B7ED}"/>
    <cellStyle name="Normal 2 3 3 2 4 3 2 2" xfId="46439" xr:uid="{1609D978-1C0C-4887-83D5-6F485C059FE1}"/>
    <cellStyle name="Normal 2 3 3 2 4 3 3" xfId="33848" xr:uid="{60AA494A-1BD4-429F-A627-77EE171BFD7F}"/>
    <cellStyle name="Normal 2 3 3 2 4 4" xfId="14669" xr:uid="{062C88CC-3D73-4AAF-845C-12CACC42EFAF}"/>
    <cellStyle name="Normal 2 3 3 2 4 4 2" xfId="40161" xr:uid="{F08CFAF3-CE68-45CA-BF5F-DF61125128AF}"/>
    <cellStyle name="Normal 2 3 3 2 4 5" xfId="27570" xr:uid="{58AB8511-68CA-4411-B2C2-08E01BE19DB4}"/>
    <cellStyle name="Normal 2 3 3 2 5" xfId="1435" xr:uid="{F8CD8A7F-4669-4C83-BE10-CA7BE52005FC}"/>
    <cellStyle name="Normal 2 3 3 2 5 2" xfId="4589" xr:uid="{0E822179-8089-448F-AC0A-B95A28E19D88}"/>
    <cellStyle name="Normal 2 3 3 2 5 2 2" xfId="10882" xr:uid="{5A70A645-CB72-4356-83A3-D3B8F82B041A}"/>
    <cellStyle name="Normal 2 3 3 2 5 2 2 2" xfId="23564" xr:uid="{FA9DE823-F1EF-4D91-84AB-89EF50E7AB96}"/>
    <cellStyle name="Normal 2 3 3 2 5 2 2 2 2" xfId="49056" xr:uid="{04542503-4F5C-4899-91F8-2BF62DCBF143}"/>
    <cellStyle name="Normal 2 3 3 2 5 2 2 3" xfId="36465" xr:uid="{71A68EAF-3403-4911-90B9-744EEE30D09E}"/>
    <cellStyle name="Normal 2 3 3 2 5 2 3" xfId="17286" xr:uid="{73F29CB2-A156-4DC8-A7D2-6C8E241165F9}"/>
    <cellStyle name="Normal 2 3 3 2 5 2 3 2" xfId="42778" xr:uid="{D05A2B98-69E3-4020-8B0F-4D9F71CC849F}"/>
    <cellStyle name="Normal 2 3 3 2 5 2 4" xfId="30187" xr:uid="{7F8E974B-6F49-4934-96E0-C48D4EE274D1}"/>
    <cellStyle name="Normal 2 3 3 2 5 3" xfId="7743" xr:uid="{9F5B13C7-4576-4339-96DB-696896AC68BE}"/>
    <cellStyle name="Normal 2 3 3 2 5 3 2" xfId="20425" xr:uid="{FA76AD6D-CA97-443B-A7CD-8214468E75F8}"/>
    <cellStyle name="Normal 2 3 3 2 5 3 2 2" xfId="45917" xr:uid="{EB5E2B46-C6BD-4664-9559-E7A8DE97D2A5}"/>
    <cellStyle name="Normal 2 3 3 2 5 3 3" xfId="33326" xr:uid="{A8159492-428B-4086-8367-7CBDD757892C}"/>
    <cellStyle name="Normal 2 3 3 2 5 4" xfId="14147" xr:uid="{A1ED69AF-7C1C-47CB-8262-963F30900147}"/>
    <cellStyle name="Normal 2 3 3 2 5 4 2" xfId="39639" xr:uid="{83A7B318-ECFC-404F-83EC-B71E89AE6344}"/>
    <cellStyle name="Normal 2 3 3 2 5 5" xfId="27048" xr:uid="{9702CAF8-EEF7-424A-8A89-E824184D8AD1}"/>
    <cellStyle name="Normal 2 3 3 2 6" xfId="2742" xr:uid="{C3AA5FEC-9EE3-4AEF-816B-38AC90671216}"/>
    <cellStyle name="Normal 2 3 3 2 6 2" xfId="5896" xr:uid="{3ECB1799-10D5-4F8E-AD9E-C3D62E1E9788}"/>
    <cellStyle name="Normal 2 3 3 2 6 2 2" xfId="12189" xr:uid="{1E2357CA-AFBD-4618-93B9-3262DAE89251}"/>
    <cellStyle name="Normal 2 3 3 2 6 2 2 2" xfId="24871" xr:uid="{4B9157D8-6A91-4249-89C3-E75AA610AA20}"/>
    <cellStyle name="Normal 2 3 3 2 6 2 2 2 2" xfId="50363" xr:uid="{4CA1675D-3960-436D-9F02-F1516BB93033}"/>
    <cellStyle name="Normal 2 3 3 2 6 2 2 3" xfId="37772" xr:uid="{089A0AB9-7147-4BC1-B92A-90ABC4D563B3}"/>
    <cellStyle name="Normal 2 3 3 2 6 2 3" xfId="18593" xr:uid="{ED05247C-0F19-481D-B0D6-BB6C9F905A5C}"/>
    <cellStyle name="Normal 2 3 3 2 6 2 3 2" xfId="44085" xr:uid="{53DA55A5-9268-4B1E-9CA3-0070B0EBC0F2}"/>
    <cellStyle name="Normal 2 3 3 2 6 2 4" xfId="31494" xr:uid="{2641481A-B460-4FD1-8C29-7FFB8B53AAC2}"/>
    <cellStyle name="Normal 2 3 3 2 6 3" xfId="9050" xr:uid="{C62A1050-6855-47CD-9915-163B19500F79}"/>
    <cellStyle name="Normal 2 3 3 2 6 3 2" xfId="21732" xr:uid="{775CD640-55E7-4B13-BAE3-C47E3B4348EA}"/>
    <cellStyle name="Normal 2 3 3 2 6 3 2 2" xfId="47224" xr:uid="{0E8AFE92-FFC4-48B3-8FF1-3E23034AFC1D}"/>
    <cellStyle name="Normal 2 3 3 2 6 3 3" xfId="34633" xr:uid="{BB677566-1AE8-4EE4-B0ED-76515E8F3B12}"/>
    <cellStyle name="Normal 2 3 3 2 6 4" xfId="15454" xr:uid="{10E387FB-E38E-407E-8656-79874CB836B7}"/>
    <cellStyle name="Normal 2 3 3 2 6 4 2" xfId="40946" xr:uid="{02B6FBCE-3A31-4AAC-98C5-9237FA3E9951}"/>
    <cellStyle name="Normal 2 3 3 2 6 5" xfId="28355" xr:uid="{6AFAC02D-1663-4DA9-B40E-47455951F5BC}"/>
    <cellStyle name="Normal 2 3 3 2 7" xfId="3265" xr:uid="{866DD9BC-A790-4D89-A992-B8B032ACB371}"/>
    <cellStyle name="Normal 2 3 3 2 7 2" xfId="6419" xr:uid="{EFB7B65C-529E-4CCC-A681-0041DF64E90E}"/>
    <cellStyle name="Normal 2 3 3 2 7 2 2" xfId="12712" xr:uid="{4EAA510C-0870-43BF-9B0F-32AE2E259808}"/>
    <cellStyle name="Normal 2 3 3 2 7 2 2 2" xfId="25394" xr:uid="{8A491D3A-F6CD-44D4-86E7-206B5CAB0031}"/>
    <cellStyle name="Normal 2 3 3 2 7 2 2 2 2" xfId="50886" xr:uid="{BC6C34F8-F520-4F35-9279-212A181A8ED4}"/>
    <cellStyle name="Normal 2 3 3 2 7 2 2 3" xfId="38295" xr:uid="{002E8A63-E63A-4B24-BA89-60249707E91C}"/>
    <cellStyle name="Normal 2 3 3 2 7 2 3" xfId="19116" xr:uid="{874B15D3-84D2-450F-A074-6B2EFB17CAA4}"/>
    <cellStyle name="Normal 2 3 3 2 7 2 3 2" xfId="44608" xr:uid="{EE9BD6B8-A9B2-48EA-BDE7-F4389D815C53}"/>
    <cellStyle name="Normal 2 3 3 2 7 2 4" xfId="32017" xr:uid="{B4C60417-05F6-4A5A-9888-A3D89F8F371E}"/>
    <cellStyle name="Normal 2 3 3 2 7 3" xfId="9573" xr:uid="{90D9A964-A7E8-4594-9947-05E96220521E}"/>
    <cellStyle name="Normal 2 3 3 2 7 3 2" xfId="22255" xr:uid="{539BCAA3-1858-4200-86F2-3E471FE7F138}"/>
    <cellStyle name="Normal 2 3 3 2 7 3 2 2" xfId="47747" xr:uid="{CC5A782A-866B-472D-94D0-A0C294FC6626}"/>
    <cellStyle name="Normal 2 3 3 2 7 3 3" xfId="35156" xr:uid="{EE39275A-5C52-4EF0-BAAD-555FA55AED4C}"/>
    <cellStyle name="Normal 2 3 3 2 7 4" xfId="15977" xr:uid="{39DADB35-ED8B-48F2-86E6-38AC86BAEF7F}"/>
    <cellStyle name="Normal 2 3 3 2 7 4 2" xfId="41469" xr:uid="{43BB4236-DC8D-4ED8-8C44-589BC56F3E89}"/>
    <cellStyle name="Normal 2 3 3 2 7 5" xfId="28878" xr:uid="{EE2241A5-41C1-4E01-A3DE-28BF872DDD6D}"/>
    <cellStyle name="Normal 2 3 3 2 8" xfId="3804" xr:uid="{2FCDAD70-0A31-4245-8001-82405DD2496E}"/>
    <cellStyle name="Normal 2 3 3 2 8 2" xfId="10097" xr:uid="{C23674C4-D805-41A3-BDD8-8C0BB4B88ED1}"/>
    <cellStyle name="Normal 2 3 3 2 8 2 2" xfId="22779" xr:uid="{BDE10260-AADD-41FE-AC34-D1B76B3ED874}"/>
    <cellStyle name="Normal 2 3 3 2 8 2 2 2" xfId="48271" xr:uid="{DC4F8CE5-2DD1-4186-9993-BF6C8D92C3EA}"/>
    <cellStyle name="Normal 2 3 3 2 8 2 3" xfId="35680" xr:uid="{403B5193-AF5E-43AA-8268-F41251FC1E6C}"/>
    <cellStyle name="Normal 2 3 3 2 8 3" xfId="16501" xr:uid="{573AA4AF-A5CA-4A63-A329-2791D7A02AD6}"/>
    <cellStyle name="Normal 2 3 3 2 8 3 2" xfId="41993" xr:uid="{EC6977AD-FAF2-40D9-AEF5-B56167C1DE82}"/>
    <cellStyle name="Normal 2 3 3 2 8 4" xfId="29402" xr:uid="{02B0EE0C-9D16-4AE5-B8BF-F9795D2899F0}"/>
    <cellStyle name="Normal 2 3 3 2 9" xfId="6958" xr:uid="{89881A9E-507A-41B0-9A47-366C38E0DF7B}"/>
    <cellStyle name="Normal 2 3 3 2 9 2" xfId="19640" xr:uid="{2D73CE5B-8678-4BB4-8965-031B6B3E9754}"/>
    <cellStyle name="Normal 2 3 3 2 9 2 2" xfId="45132" xr:uid="{86E22618-FA4C-4C0D-A5DE-576317C7C130}"/>
    <cellStyle name="Normal 2 3 3 2 9 3" xfId="32541" xr:uid="{31C4102E-AA43-4105-93BF-BB6D77864D85}"/>
    <cellStyle name="Normal 2 3 3 3" xfId="535" xr:uid="{8752BC19-2884-462D-AB82-57821FCD3AC0}"/>
    <cellStyle name="Normal 2 3 3 3 10" xfId="13262" xr:uid="{A0E6CB13-2D75-455B-9E4A-22AD41CD504C}"/>
    <cellStyle name="Normal 2 3 3 3 10 2" xfId="38754" xr:uid="{5D7AC2B8-4593-49CD-981E-9419DEB21443}"/>
    <cellStyle name="Normal 2 3 3 3 11" xfId="26163" xr:uid="{B3BADBB6-7E42-466C-B020-9229B2EB81B7}"/>
    <cellStyle name="Normal 2 3 3 3 2" xfId="1072" xr:uid="{3A58BF45-E993-46A9-8199-BC95304BC4EE}"/>
    <cellStyle name="Normal 2 3 3 3 2 2" xfId="2379" xr:uid="{6703C514-E55C-4177-BF37-3B36C3743554}"/>
    <cellStyle name="Normal 2 3 3 3 2 2 2" xfId="5533" xr:uid="{A8405F8E-7005-4C3B-B083-5167573375F2}"/>
    <cellStyle name="Normal 2 3 3 3 2 2 2 2" xfId="11826" xr:uid="{C0880872-5BE9-4AA1-A14F-F9620FC1694F}"/>
    <cellStyle name="Normal 2 3 3 3 2 2 2 2 2" xfId="24508" xr:uid="{944D633D-3DEA-4464-BCD3-27B1FE2CCB78}"/>
    <cellStyle name="Normal 2 3 3 3 2 2 2 2 2 2" xfId="50000" xr:uid="{1F14D532-A090-458F-8E86-F6B70F883B86}"/>
    <cellStyle name="Normal 2 3 3 3 2 2 2 2 3" xfId="37409" xr:uid="{53715ADF-DD7E-403B-B59D-2EF4631895DC}"/>
    <cellStyle name="Normal 2 3 3 3 2 2 2 3" xfId="18230" xr:uid="{42E2AE22-54D0-45A2-BC69-1F0F6B031136}"/>
    <cellStyle name="Normal 2 3 3 3 2 2 2 3 2" xfId="43722" xr:uid="{73A79438-93B3-4D3E-B0E2-7A4B7B2BBC16}"/>
    <cellStyle name="Normal 2 3 3 3 2 2 2 4" xfId="31131" xr:uid="{C9A77FF5-B67C-42C8-A859-C3F26A245645}"/>
    <cellStyle name="Normal 2 3 3 3 2 2 3" xfId="8687" xr:uid="{DF1486E8-7486-4407-B51F-C0C044C5C5A3}"/>
    <cellStyle name="Normal 2 3 3 3 2 2 3 2" xfId="21369" xr:uid="{14144E91-44B2-4015-A48B-8CCD22D9B22C}"/>
    <cellStyle name="Normal 2 3 3 3 2 2 3 2 2" xfId="46861" xr:uid="{FD5B03CD-6AD9-4C3B-A673-E0138B674280}"/>
    <cellStyle name="Normal 2 3 3 3 2 2 3 3" xfId="34270" xr:uid="{5A223843-9488-487E-8984-9693877DC9B1}"/>
    <cellStyle name="Normal 2 3 3 3 2 2 4" xfId="15091" xr:uid="{0D141F05-DE9F-4AE8-A3C6-2AE62B30BE2B}"/>
    <cellStyle name="Normal 2 3 3 3 2 2 4 2" xfId="40583" xr:uid="{0AAC4B8E-34A7-4AC4-91D3-FDBCE0CF9548}"/>
    <cellStyle name="Normal 2 3 3 3 2 2 5" xfId="27992" xr:uid="{6EE9C086-39B1-435D-8513-7DD5973B93CA}"/>
    <cellStyle name="Normal 2 3 3 3 2 3" xfId="1596" xr:uid="{59502387-EFDF-4EEC-83F8-105A0A689B46}"/>
    <cellStyle name="Normal 2 3 3 3 2 3 2" xfId="4750" xr:uid="{3F84FCB9-26F5-4ADE-81D0-D8CA26459029}"/>
    <cellStyle name="Normal 2 3 3 3 2 3 2 2" xfId="11043" xr:uid="{8312E3CA-BF13-427E-8C4C-B12DE2EF6685}"/>
    <cellStyle name="Normal 2 3 3 3 2 3 2 2 2" xfId="23725" xr:uid="{2102D67E-B813-4CE0-B3C2-671212CAA6B4}"/>
    <cellStyle name="Normal 2 3 3 3 2 3 2 2 2 2" xfId="49217" xr:uid="{E7C9EC10-4D59-44F3-834D-77B18495F841}"/>
    <cellStyle name="Normal 2 3 3 3 2 3 2 2 3" xfId="36626" xr:uid="{2654AA29-6F2A-4669-A793-4065A3DC20AF}"/>
    <cellStyle name="Normal 2 3 3 3 2 3 2 3" xfId="17447" xr:uid="{3127FA30-A320-4E3D-B77B-FA2EDFFC5330}"/>
    <cellStyle name="Normal 2 3 3 3 2 3 2 3 2" xfId="42939" xr:uid="{3E85021F-46BF-45E2-A300-263503C60EB0}"/>
    <cellStyle name="Normal 2 3 3 3 2 3 2 4" xfId="30348" xr:uid="{E71507B3-9DBB-4BB1-B440-76FC6311C911}"/>
    <cellStyle name="Normal 2 3 3 3 2 3 3" xfId="7904" xr:uid="{17232EBD-2AFF-4B77-9A10-EBCBD014129D}"/>
    <cellStyle name="Normal 2 3 3 3 2 3 3 2" xfId="20586" xr:uid="{03C96EC8-2E1C-42F2-B622-F556CC1C9B96}"/>
    <cellStyle name="Normal 2 3 3 3 2 3 3 2 2" xfId="46078" xr:uid="{149DA8FF-F066-4012-8D6F-54D3A902133F}"/>
    <cellStyle name="Normal 2 3 3 3 2 3 3 3" xfId="33487" xr:uid="{5264C9B6-915C-45E6-A471-2C08112DF352}"/>
    <cellStyle name="Normal 2 3 3 3 2 3 4" xfId="14308" xr:uid="{EEAE079E-3351-4E4C-9B77-94540AFE2545}"/>
    <cellStyle name="Normal 2 3 3 3 2 3 4 2" xfId="39800" xr:uid="{80B70AF9-DDF4-4031-8DD4-2871B9F883C0}"/>
    <cellStyle name="Normal 2 3 3 3 2 3 5" xfId="27209" xr:uid="{4164C9FE-B67F-4667-91D3-EC95CDC0DE0E}"/>
    <cellStyle name="Normal 2 3 3 3 2 4" xfId="2903" xr:uid="{D5B0836A-4113-4EAA-85E7-CD275C1F305E}"/>
    <cellStyle name="Normal 2 3 3 3 2 4 2" xfId="6057" xr:uid="{88A466DB-1CFB-4307-85F3-78D8D52BB6C6}"/>
    <cellStyle name="Normal 2 3 3 3 2 4 2 2" xfId="12350" xr:uid="{08FC49B0-5CBB-41C9-B0F2-8E9091C7E528}"/>
    <cellStyle name="Normal 2 3 3 3 2 4 2 2 2" xfId="25032" xr:uid="{893042F6-B107-41A4-B0FA-77397A9747F6}"/>
    <cellStyle name="Normal 2 3 3 3 2 4 2 2 2 2" xfId="50524" xr:uid="{1A713891-DDC6-4983-BA60-F0B21C0370B7}"/>
    <cellStyle name="Normal 2 3 3 3 2 4 2 2 3" xfId="37933" xr:uid="{8E7257F8-5A1B-425E-91AF-CD97E44D2FD3}"/>
    <cellStyle name="Normal 2 3 3 3 2 4 2 3" xfId="18754" xr:uid="{0931F9E8-9038-483F-8512-08B84862F12E}"/>
    <cellStyle name="Normal 2 3 3 3 2 4 2 3 2" xfId="44246" xr:uid="{7FD4B030-F0D3-4FE5-9B4D-6BB1AB9F30EC}"/>
    <cellStyle name="Normal 2 3 3 3 2 4 2 4" xfId="31655" xr:uid="{D804995C-5483-4296-9594-B72AE1F47BE2}"/>
    <cellStyle name="Normal 2 3 3 3 2 4 3" xfId="9211" xr:uid="{F787B18C-070D-4BFF-8240-1E8D630B44A8}"/>
    <cellStyle name="Normal 2 3 3 3 2 4 3 2" xfId="21893" xr:uid="{948872E6-2B4A-4DF1-A830-51D61F04BAD6}"/>
    <cellStyle name="Normal 2 3 3 3 2 4 3 2 2" xfId="47385" xr:uid="{F14663F5-A454-4AB7-915C-21EF4743A04C}"/>
    <cellStyle name="Normal 2 3 3 3 2 4 3 3" xfId="34794" xr:uid="{7BA481ED-BC6A-44A9-B52A-ACD502853173}"/>
    <cellStyle name="Normal 2 3 3 3 2 4 4" xfId="15615" xr:uid="{39772642-69AD-4C18-BCCD-09B754B9797A}"/>
    <cellStyle name="Normal 2 3 3 3 2 4 4 2" xfId="41107" xr:uid="{85F300B1-B85D-47BF-A9ED-86C31D11CF23}"/>
    <cellStyle name="Normal 2 3 3 3 2 4 5" xfId="28516" xr:uid="{8914F2B7-E258-4964-BF7F-0FF9015F9CF6}"/>
    <cellStyle name="Normal 2 3 3 3 2 5" xfId="3426" xr:uid="{B9038B71-7FE5-41CE-BD88-63AF654A5CB9}"/>
    <cellStyle name="Normal 2 3 3 3 2 5 2" xfId="6580" xr:uid="{7F5EE327-9A4C-443D-A754-2E4B48B85D9E}"/>
    <cellStyle name="Normal 2 3 3 3 2 5 2 2" xfId="12873" xr:uid="{59B588D1-682B-4271-BB0C-300270C1850B}"/>
    <cellStyle name="Normal 2 3 3 3 2 5 2 2 2" xfId="25555" xr:uid="{7D7A638F-7F0A-44D4-9E5D-BC0D33C18DC6}"/>
    <cellStyle name="Normal 2 3 3 3 2 5 2 2 2 2" xfId="51047" xr:uid="{DF3854CB-4E5C-45B2-8086-971A95570555}"/>
    <cellStyle name="Normal 2 3 3 3 2 5 2 2 3" xfId="38456" xr:uid="{C26A29B6-BC14-4176-9CE6-5F4EDD7E9700}"/>
    <cellStyle name="Normal 2 3 3 3 2 5 2 3" xfId="19277" xr:uid="{FADBA8B8-0464-49D8-9112-8121C3F7416E}"/>
    <cellStyle name="Normal 2 3 3 3 2 5 2 3 2" xfId="44769" xr:uid="{9882872A-2B07-4874-A9E9-C9F9F0F4DE4A}"/>
    <cellStyle name="Normal 2 3 3 3 2 5 2 4" xfId="32178" xr:uid="{7B527E2F-FA6E-4E04-9D2B-6633335E8DAD}"/>
    <cellStyle name="Normal 2 3 3 3 2 5 3" xfId="9734" xr:uid="{C8F6FF7D-A263-4AAC-9C56-304557D62944}"/>
    <cellStyle name="Normal 2 3 3 3 2 5 3 2" xfId="22416" xr:uid="{A4CDA0A7-4CAC-4E29-9858-1587377BE996}"/>
    <cellStyle name="Normal 2 3 3 3 2 5 3 2 2" xfId="47908" xr:uid="{667CAAA6-4080-451A-A5DB-865BC6E70857}"/>
    <cellStyle name="Normal 2 3 3 3 2 5 3 3" xfId="35317" xr:uid="{CFF56F10-8557-4F3D-A3C2-D6982FAF6F3C}"/>
    <cellStyle name="Normal 2 3 3 3 2 5 4" xfId="16138" xr:uid="{025F02F5-6137-4139-A633-ACDA76D71610}"/>
    <cellStyle name="Normal 2 3 3 3 2 5 4 2" xfId="41630" xr:uid="{3A5A0479-E920-40B4-AE73-1DAC0B7029DE}"/>
    <cellStyle name="Normal 2 3 3 3 2 5 5" xfId="29039" xr:uid="{1EF5FE47-9145-40C6-945C-579878C95E38}"/>
    <cellStyle name="Normal 2 3 3 3 2 6" xfId="4226" xr:uid="{7A49754F-4C5C-4DA4-BF4C-46402799A88D}"/>
    <cellStyle name="Normal 2 3 3 3 2 6 2" xfId="10519" xr:uid="{70D7D7F6-C459-43F8-AD6A-E8B0158A4EB3}"/>
    <cellStyle name="Normal 2 3 3 3 2 6 2 2" xfId="23201" xr:uid="{499A8E06-310C-486E-8C07-B258D85226E5}"/>
    <cellStyle name="Normal 2 3 3 3 2 6 2 2 2" xfId="48693" xr:uid="{611764F0-B15E-4235-A0CB-0E7A99F580B8}"/>
    <cellStyle name="Normal 2 3 3 3 2 6 2 3" xfId="36102" xr:uid="{8C512C0E-CAAC-406A-B36D-333E17AF4B27}"/>
    <cellStyle name="Normal 2 3 3 3 2 6 3" xfId="16923" xr:uid="{293A8CAC-5ADE-4FC1-BCF6-BC8B622522C3}"/>
    <cellStyle name="Normal 2 3 3 3 2 6 3 2" xfId="42415" xr:uid="{E8CA32AA-4E88-41DC-ADF9-1DC578114CEF}"/>
    <cellStyle name="Normal 2 3 3 3 2 6 4" xfId="29824" xr:uid="{240523FA-4055-494D-9074-7827460ECE5E}"/>
    <cellStyle name="Normal 2 3 3 3 2 7" xfId="7380" xr:uid="{CF2FFB74-DC2E-491B-89E9-4920A7699322}"/>
    <cellStyle name="Normal 2 3 3 3 2 7 2" xfId="20062" xr:uid="{D74CB82D-FC61-42CA-BB21-BDACF11F68FE}"/>
    <cellStyle name="Normal 2 3 3 3 2 7 2 2" xfId="45554" xr:uid="{A1862332-BE55-43D1-876A-A3E27BA67F5D}"/>
    <cellStyle name="Normal 2 3 3 3 2 7 3" xfId="32963" xr:uid="{06B58F28-F46E-4AB0-9CAD-894F8D5AD81C}"/>
    <cellStyle name="Normal 2 3 3 3 2 8" xfId="13784" xr:uid="{CDA581A4-0010-45EB-85A2-EACE28B2FEF5}"/>
    <cellStyle name="Normal 2 3 3 3 2 8 2" xfId="39276" xr:uid="{99D5EBFF-269E-4634-8C3A-167E4AEF8B66}"/>
    <cellStyle name="Normal 2 3 3 3 2 9" xfId="26685" xr:uid="{1E21309A-73FC-4BD5-9FD7-1AF72DC625C8}"/>
    <cellStyle name="Normal 2 3 3 3 3" xfId="812" xr:uid="{B3E4E18A-21A2-43B3-96C7-530938FFC32D}"/>
    <cellStyle name="Normal 2 3 3 3 3 2" xfId="2119" xr:uid="{6C0572ED-9807-455A-AD54-1DDF07F9BADF}"/>
    <cellStyle name="Normal 2 3 3 3 3 2 2" xfId="5273" xr:uid="{8516511E-86C0-497E-B5AB-045635B7AFCC}"/>
    <cellStyle name="Normal 2 3 3 3 3 2 2 2" xfId="11566" xr:uid="{39470FF4-BACB-4B9B-A48E-C860E03E3299}"/>
    <cellStyle name="Normal 2 3 3 3 3 2 2 2 2" xfId="24248" xr:uid="{68BEE02C-C60B-42FD-B770-AA1222744B9B}"/>
    <cellStyle name="Normal 2 3 3 3 3 2 2 2 2 2" xfId="49740" xr:uid="{5D432218-B9C2-4433-B0C6-CB6B61E078CF}"/>
    <cellStyle name="Normal 2 3 3 3 3 2 2 2 3" xfId="37149" xr:uid="{99D44CD7-0AD4-41E4-A009-075F5E8D22AB}"/>
    <cellStyle name="Normal 2 3 3 3 3 2 2 3" xfId="17970" xr:uid="{F75EC4D5-7FE9-4A0A-BF7D-6FA089DADA76}"/>
    <cellStyle name="Normal 2 3 3 3 3 2 2 3 2" xfId="43462" xr:uid="{34F621B7-E898-4DEE-9B50-7FF3103897F7}"/>
    <cellStyle name="Normal 2 3 3 3 3 2 2 4" xfId="30871" xr:uid="{70D95EDA-1095-4A40-A5EF-EA3DFD652048}"/>
    <cellStyle name="Normal 2 3 3 3 3 2 3" xfId="8427" xr:uid="{14DF4169-DEA9-4617-9686-73DB5207D331}"/>
    <cellStyle name="Normal 2 3 3 3 3 2 3 2" xfId="21109" xr:uid="{A895B745-C86D-48A6-81C2-8C672D52C075}"/>
    <cellStyle name="Normal 2 3 3 3 3 2 3 2 2" xfId="46601" xr:uid="{032F8FA3-1E26-4827-B05F-ED2C332750E1}"/>
    <cellStyle name="Normal 2 3 3 3 3 2 3 3" xfId="34010" xr:uid="{5E2DE47A-3033-4F2C-B0DE-4490397A511C}"/>
    <cellStyle name="Normal 2 3 3 3 3 2 4" xfId="14831" xr:uid="{9429C7AF-D818-4C73-B685-215C6D8B3D7C}"/>
    <cellStyle name="Normal 2 3 3 3 3 2 4 2" xfId="40323" xr:uid="{33F92F3B-1D37-4E88-B789-3ED8C3A2E501}"/>
    <cellStyle name="Normal 2 3 3 3 3 2 5" xfId="27732" xr:uid="{5775530E-1710-42B6-ABD1-0B8325652957}"/>
    <cellStyle name="Normal 2 3 3 3 3 3" xfId="3966" xr:uid="{D027F8C7-BF63-4F38-83D6-31831E807C57}"/>
    <cellStyle name="Normal 2 3 3 3 3 3 2" xfId="10259" xr:uid="{BAC6F18D-216F-4F74-BC47-51E3603851BB}"/>
    <cellStyle name="Normal 2 3 3 3 3 3 2 2" xfId="22941" xr:uid="{F0217F69-BB54-4BD9-9ADD-90F76984F81A}"/>
    <cellStyle name="Normal 2 3 3 3 3 3 2 2 2" xfId="48433" xr:uid="{02AEA650-6031-4C37-AC12-22571E8583FB}"/>
    <cellStyle name="Normal 2 3 3 3 3 3 2 3" xfId="35842" xr:uid="{1EF694D0-4B5B-4980-855B-0A8E99B23A30}"/>
    <cellStyle name="Normal 2 3 3 3 3 3 3" xfId="16663" xr:uid="{C3E02117-49C7-4A61-BD2D-E5F53349158A}"/>
    <cellStyle name="Normal 2 3 3 3 3 3 3 2" xfId="42155" xr:uid="{8950248C-8205-480A-9722-259FA0A712D5}"/>
    <cellStyle name="Normal 2 3 3 3 3 3 4" xfId="29564" xr:uid="{A699880F-9EAF-4266-B71C-6E8885B75594}"/>
    <cellStyle name="Normal 2 3 3 3 3 4" xfId="7120" xr:uid="{DC635733-66BC-46CD-9AD4-C401A4211265}"/>
    <cellStyle name="Normal 2 3 3 3 3 4 2" xfId="19802" xr:uid="{B2F1CDAD-1F9D-4CC3-9268-644B6D83C7D5}"/>
    <cellStyle name="Normal 2 3 3 3 3 4 2 2" xfId="45294" xr:uid="{10A90EA1-1227-439C-BFD4-B1E56E328DAD}"/>
    <cellStyle name="Normal 2 3 3 3 3 4 3" xfId="32703" xr:uid="{1A984128-7B9E-40C1-A510-F9451ABCBC02}"/>
    <cellStyle name="Normal 2 3 3 3 3 5" xfId="13524" xr:uid="{D4FA5ECB-77E7-4DC7-AA22-1FB2CF89CBFA}"/>
    <cellStyle name="Normal 2 3 3 3 3 5 2" xfId="39016" xr:uid="{4164CE83-4835-4C43-8FC8-A6197139B4B7}"/>
    <cellStyle name="Normal 2 3 3 3 3 6" xfId="26425" xr:uid="{D97324A9-7B61-4550-BC8F-1FA8B371BEFB}"/>
    <cellStyle name="Normal 2 3 3 3 4" xfId="1857" xr:uid="{301A47C5-D100-4FA7-BB5E-334934A8CCC2}"/>
    <cellStyle name="Normal 2 3 3 3 4 2" xfId="5011" xr:uid="{9D06A2E6-0EB4-4F73-921D-C4D585DE53FC}"/>
    <cellStyle name="Normal 2 3 3 3 4 2 2" xfId="11304" xr:uid="{D3AAC78E-165F-47AB-B399-71F5892FFA11}"/>
    <cellStyle name="Normal 2 3 3 3 4 2 2 2" xfId="23986" xr:uid="{C0A1C1A0-05F8-4662-859A-AC63CE1B7F2D}"/>
    <cellStyle name="Normal 2 3 3 3 4 2 2 2 2" xfId="49478" xr:uid="{4DCF7859-FE26-40BD-B92F-9A821BDFD253}"/>
    <cellStyle name="Normal 2 3 3 3 4 2 2 3" xfId="36887" xr:uid="{108921F5-CE72-409E-B86E-5EBDA8957DB6}"/>
    <cellStyle name="Normal 2 3 3 3 4 2 3" xfId="17708" xr:uid="{3FB2DCA2-D9D5-40F7-AB7D-7FED790AE92F}"/>
    <cellStyle name="Normal 2 3 3 3 4 2 3 2" xfId="43200" xr:uid="{1C92E19A-7770-4A6B-848C-C1B87C36C07D}"/>
    <cellStyle name="Normal 2 3 3 3 4 2 4" xfId="30609" xr:uid="{E4213C62-7847-45EB-9278-A5DDC51F73CF}"/>
    <cellStyle name="Normal 2 3 3 3 4 3" xfId="8165" xr:uid="{11B26A58-4272-40F8-9BC4-689CBFF3307E}"/>
    <cellStyle name="Normal 2 3 3 3 4 3 2" xfId="20847" xr:uid="{684A0431-D45E-4330-ABB6-911B9E965890}"/>
    <cellStyle name="Normal 2 3 3 3 4 3 2 2" xfId="46339" xr:uid="{6479C00F-7F0D-44B4-9589-A9FA16F72D5C}"/>
    <cellStyle name="Normal 2 3 3 3 4 3 3" xfId="33748" xr:uid="{38152582-D689-4D35-B2C9-637290EAFB7D}"/>
    <cellStyle name="Normal 2 3 3 3 4 4" xfId="14569" xr:uid="{015F75AF-917C-4887-B7DA-C6D3344CFA2E}"/>
    <cellStyle name="Normal 2 3 3 3 4 4 2" xfId="40061" xr:uid="{F2506267-080F-4D43-ACD5-D215885FD603}"/>
    <cellStyle name="Normal 2 3 3 3 4 5" xfId="27470" xr:uid="{1239F33B-A1AE-4D79-ABE2-C8DDC01E1931}"/>
    <cellStyle name="Normal 2 3 3 3 5" xfId="1335" xr:uid="{68A8F11A-8C2B-4174-9A1A-B4067A758165}"/>
    <cellStyle name="Normal 2 3 3 3 5 2" xfId="4489" xr:uid="{2698B6CF-834E-43D4-B666-94C4298795AB}"/>
    <cellStyle name="Normal 2 3 3 3 5 2 2" xfId="10782" xr:uid="{A8E5B1C4-716C-4A4B-AA65-BF069E0DD7EC}"/>
    <cellStyle name="Normal 2 3 3 3 5 2 2 2" xfId="23464" xr:uid="{1F11404C-4D3E-43CC-ACE5-716A1236C155}"/>
    <cellStyle name="Normal 2 3 3 3 5 2 2 2 2" xfId="48956" xr:uid="{4955837E-E7CC-4F2E-8F38-6C5DC6230F3F}"/>
    <cellStyle name="Normal 2 3 3 3 5 2 2 3" xfId="36365" xr:uid="{6CA8D99C-1752-474D-9BAB-92C80DA912F7}"/>
    <cellStyle name="Normal 2 3 3 3 5 2 3" xfId="17186" xr:uid="{B5C6AC93-1386-40BA-94BC-46A3A332AD2F}"/>
    <cellStyle name="Normal 2 3 3 3 5 2 3 2" xfId="42678" xr:uid="{2EA9BA72-57F5-4CAF-BE21-B117E5B1144C}"/>
    <cellStyle name="Normal 2 3 3 3 5 2 4" xfId="30087" xr:uid="{6F3378F7-843C-48D1-90A8-899314ECA263}"/>
    <cellStyle name="Normal 2 3 3 3 5 3" xfId="7643" xr:uid="{36BCF212-DDC6-40B2-B30B-0F90D0D77C77}"/>
    <cellStyle name="Normal 2 3 3 3 5 3 2" xfId="20325" xr:uid="{0BB1D264-C52F-4A88-AD1E-37860BD344C8}"/>
    <cellStyle name="Normal 2 3 3 3 5 3 2 2" xfId="45817" xr:uid="{D6A9D37D-540C-4E21-9AAE-992A86BD3529}"/>
    <cellStyle name="Normal 2 3 3 3 5 3 3" xfId="33226" xr:uid="{C468FCB2-6EF8-4F67-8830-57C11A5EE48B}"/>
    <cellStyle name="Normal 2 3 3 3 5 4" xfId="14047" xr:uid="{5608443E-D855-48B4-8868-CE40BF5E1765}"/>
    <cellStyle name="Normal 2 3 3 3 5 4 2" xfId="39539" xr:uid="{8FAC7912-7E32-4D81-AFDA-9A881FC3EA89}"/>
    <cellStyle name="Normal 2 3 3 3 5 5" xfId="26948" xr:uid="{E3B5E58C-3CB0-4409-A025-2B361532E522}"/>
    <cellStyle name="Normal 2 3 3 3 6" xfId="2642" xr:uid="{9BFAAB71-49A8-4806-8007-375B08717159}"/>
    <cellStyle name="Normal 2 3 3 3 6 2" xfId="5796" xr:uid="{E9D63544-4681-471D-8BB3-4659593EE7CD}"/>
    <cellStyle name="Normal 2 3 3 3 6 2 2" xfId="12089" xr:uid="{7370897B-261D-4EB9-AF0A-06C53C0480EF}"/>
    <cellStyle name="Normal 2 3 3 3 6 2 2 2" xfId="24771" xr:uid="{69F5E5F4-9857-4D39-96FA-342084F8FCD4}"/>
    <cellStyle name="Normal 2 3 3 3 6 2 2 2 2" xfId="50263" xr:uid="{20DAB44A-F33E-41C3-B6E4-BA97207C8315}"/>
    <cellStyle name="Normal 2 3 3 3 6 2 2 3" xfId="37672" xr:uid="{307CF8D3-F948-45A8-AE9D-193F78C6B4F3}"/>
    <cellStyle name="Normal 2 3 3 3 6 2 3" xfId="18493" xr:uid="{E632571C-5BDB-4F46-B912-2AE1CFB3A5F7}"/>
    <cellStyle name="Normal 2 3 3 3 6 2 3 2" xfId="43985" xr:uid="{29F172EB-195E-4FCC-B22B-01A4B697B9F0}"/>
    <cellStyle name="Normal 2 3 3 3 6 2 4" xfId="31394" xr:uid="{75E25EED-2CFD-4DAE-9822-1BB44F77F51F}"/>
    <cellStyle name="Normal 2 3 3 3 6 3" xfId="8950" xr:uid="{58FA22B5-A88B-4EE3-8949-85055A718498}"/>
    <cellStyle name="Normal 2 3 3 3 6 3 2" xfId="21632" xr:uid="{3CFEEA6B-3F45-47FC-95D2-F3CBF310C405}"/>
    <cellStyle name="Normal 2 3 3 3 6 3 2 2" xfId="47124" xr:uid="{30B582CB-3D23-473A-8A14-5694F469F8CA}"/>
    <cellStyle name="Normal 2 3 3 3 6 3 3" xfId="34533" xr:uid="{4F03D14C-5D68-4E8B-B532-69C01EA7D431}"/>
    <cellStyle name="Normal 2 3 3 3 6 4" xfId="15354" xr:uid="{B313B21D-38B3-44CA-90CC-E25C4ECFB436}"/>
    <cellStyle name="Normal 2 3 3 3 6 4 2" xfId="40846" xr:uid="{2BB288E8-5FB6-40B4-A9C1-1A3D04D7EDDD}"/>
    <cellStyle name="Normal 2 3 3 3 6 5" xfId="28255" xr:uid="{5DD15801-1DD3-4D73-9BFC-ED11CE445C7D}"/>
    <cellStyle name="Normal 2 3 3 3 7" xfId="3165" xr:uid="{359209F4-A447-4A4A-B548-D4F9664D0FF1}"/>
    <cellStyle name="Normal 2 3 3 3 7 2" xfId="6319" xr:uid="{DC799F04-9B70-42B1-ACBE-23DEF0445061}"/>
    <cellStyle name="Normal 2 3 3 3 7 2 2" xfId="12612" xr:uid="{2B018D89-1F39-409C-B5C1-5B8F8DC3E2B5}"/>
    <cellStyle name="Normal 2 3 3 3 7 2 2 2" xfId="25294" xr:uid="{D0E78CD9-3789-4FEE-A1D0-B5778F4E1D47}"/>
    <cellStyle name="Normal 2 3 3 3 7 2 2 2 2" xfId="50786" xr:uid="{DCAD678E-594F-4C29-B964-D504B3D72427}"/>
    <cellStyle name="Normal 2 3 3 3 7 2 2 3" xfId="38195" xr:uid="{3D874617-DCA1-47AD-AE7B-7082348F42D5}"/>
    <cellStyle name="Normal 2 3 3 3 7 2 3" xfId="19016" xr:uid="{F35D6E95-CA85-4929-8DFA-FD9005DB3D16}"/>
    <cellStyle name="Normal 2 3 3 3 7 2 3 2" xfId="44508" xr:uid="{B8624695-ADA7-4DA8-BD5A-B23240D1907D}"/>
    <cellStyle name="Normal 2 3 3 3 7 2 4" xfId="31917" xr:uid="{DD3D6C9E-94F5-4808-A076-0864B0018D74}"/>
    <cellStyle name="Normal 2 3 3 3 7 3" xfId="9473" xr:uid="{99E69876-7A7C-4284-8F08-7F4C2B1ED0D2}"/>
    <cellStyle name="Normal 2 3 3 3 7 3 2" xfId="22155" xr:uid="{2ADC9A99-0C39-4EF6-B812-C4C332E74DD6}"/>
    <cellStyle name="Normal 2 3 3 3 7 3 2 2" xfId="47647" xr:uid="{768644BC-098B-493A-B422-8542C5B7AB4E}"/>
    <cellStyle name="Normal 2 3 3 3 7 3 3" xfId="35056" xr:uid="{DE7F6401-391F-4B20-AE68-CCA15DEF671A}"/>
    <cellStyle name="Normal 2 3 3 3 7 4" xfId="15877" xr:uid="{78B8465D-06DA-4926-B61A-89E9760012FE}"/>
    <cellStyle name="Normal 2 3 3 3 7 4 2" xfId="41369" xr:uid="{5BB46627-40C7-4814-97BD-901FF3C26B4C}"/>
    <cellStyle name="Normal 2 3 3 3 7 5" xfId="28778" xr:uid="{34C5F90B-BC21-4388-B547-4D2CA37B76B7}"/>
    <cellStyle name="Normal 2 3 3 3 8" xfId="3704" xr:uid="{9D589AB3-CFC1-4989-9AD7-A5FF934866B4}"/>
    <cellStyle name="Normal 2 3 3 3 8 2" xfId="9997" xr:uid="{4B2D0E6E-E261-4F2B-A647-5C4A4CACC5ED}"/>
    <cellStyle name="Normal 2 3 3 3 8 2 2" xfId="22679" xr:uid="{35D62775-5876-40BA-B275-F44FF03DFBFE}"/>
    <cellStyle name="Normal 2 3 3 3 8 2 2 2" xfId="48171" xr:uid="{8E394F8A-5353-45BB-9EDE-089234BBBF7D}"/>
    <cellStyle name="Normal 2 3 3 3 8 2 3" xfId="35580" xr:uid="{F415A8BC-050B-4992-A154-2FDE28510787}"/>
    <cellStyle name="Normal 2 3 3 3 8 3" xfId="16401" xr:uid="{E9CB2D29-908F-487C-804C-94F11A244CB9}"/>
    <cellStyle name="Normal 2 3 3 3 8 3 2" xfId="41893" xr:uid="{B40A0FEC-B9C2-41DD-980A-C51AB3D49720}"/>
    <cellStyle name="Normal 2 3 3 3 8 4" xfId="29302" xr:uid="{8058CB46-DD4D-4829-958D-86002202C41B}"/>
    <cellStyle name="Normal 2 3 3 3 9" xfId="6858" xr:uid="{DCDDC152-6832-4508-9411-43D5C4CFF8C9}"/>
    <cellStyle name="Normal 2 3 3 3 9 2" xfId="19540" xr:uid="{F4CFF86D-10BD-4866-9AF0-5655D5E44E45}"/>
    <cellStyle name="Normal 2 3 3 3 9 2 2" xfId="45032" xr:uid="{E9680CFB-F16C-4A44-993B-CBABBB53ED1F}"/>
    <cellStyle name="Normal 2 3 3 3 9 3" xfId="32441" xr:uid="{10BB4609-29CB-464F-8896-F28855FC9B52}"/>
    <cellStyle name="Normal 2 3 3 4" xfId="1013" xr:uid="{EA5B933D-3FDA-4DA5-A517-84B6280665EE}"/>
    <cellStyle name="Normal 2 3 3 4 2" xfId="2320" xr:uid="{320B9D65-7B07-4BB9-8327-703E05FD4E75}"/>
    <cellStyle name="Normal 2 3 3 4 2 2" xfId="5474" xr:uid="{13D1AB92-2317-492D-9EDC-6BD40EDFE7C7}"/>
    <cellStyle name="Normal 2 3 3 4 2 2 2" xfId="11767" xr:uid="{2C095E13-345E-46A9-8484-F140311BE5D5}"/>
    <cellStyle name="Normal 2 3 3 4 2 2 2 2" xfId="24449" xr:uid="{A99F2247-6EEB-45C3-AB21-F6369F756782}"/>
    <cellStyle name="Normal 2 3 3 4 2 2 2 2 2" xfId="49941" xr:uid="{22F7BF5D-2BCB-409E-9A7F-66577E21871D}"/>
    <cellStyle name="Normal 2 3 3 4 2 2 2 3" xfId="37350" xr:uid="{99EE4D3B-D74D-4627-8384-BC2F7E4AA2ED}"/>
    <cellStyle name="Normal 2 3 3 4 2 2 3" xfId="18171" xr:uid="{C70F394F-D4B9-422E-A2B4-35616B523486}"/>
    <cellStyle name="Normal 2 3 3 4 2 2 3 2" xfId="43663" xr:uid="{8B9D6639-F3ED-4918-8221-71898F0E0FA8}"/>
    <cellStyle name="Normal 2 3 3 4 2 2 4" xfId="31072" xr:uid="{F55F5D2D-0CFB-4E77-A61C-44D8AE8F3B0C}"/>
    <cellStyle name="Normal 2 3 3 4 2 3" xfId="8628" xr:uid="{BDF057C3-CA12-407A-B148-C07C8ECD36BE}"/>
    <cellStyle name="Normal 2 3 3 4 2 3 2" xfId="21310" xr:uid="{20F4DA49-CA07-4B92-849F-52C299D37B59}"/>
    <cellStyle name="Normal 2 3 3 4 2 3 2 2" xfId="46802" xr:uid="{AB4AAB9C-3CBC-46CA-AB83-4F5AA49E254E}"/>
    <cellStyle name="Normal 2 3 3 4 2 3 3" xfId="34211" xr:uid="{A3A70709-643A-46DE-A6B2-80BF62F80DBB}"/>
    <cellStyle name="Normal 2 3 3 4 2 4" xfId="15032" xr:uid="{F4E8D78E-EBBD-45AC-9E63-4637932CA521}"/>
    <cellStyle name="Normal 2 3 3 4 2 4 2" xfId="40524" xr:uid="{40E29AC0-A0CD-4081-9B22-E36EF68A1784}"/>
    <cellStyle name="Normal 2 3 3 4 2 5" xfId="27933" xr:uid="{49F157E5-0404-413A-97FF-A30BAAEAB5C5}"/>
    <cellStyle name="Normal 2 3 3 4 3" xfId="1537" xr:uid="{B1FBF294-94CE-4628-A7F6-BA9020B760C6}"/>
    <cellStyle name="Normal 2 3 3 4 3 2" xfId="4691" xr:uid="{2EB25197-760A-4DB4-B1F9-3535C342D520}"/>
    <cellStyle name="Normal 2 3 3 4 3 2 2" xfId="10984" xr:uid="{9B97CAC5-32A7-41FF-A3BB-267CA580AACD}"/>
    <cellStyle name="Normal 2 3 3 4 3 2 2 2" xfId="23666" xr:uid="{9D5229D3-5B4B-4105-AB3B-EDCA187A9910}"/>
    <cellStyle name="Normal 2 3 3 4 3 2 2 2 2" xfId="49158" xr:uid="{5FEEA276-3D16-40A2-B01C-46D543CA2E7E}"/>
    <cellStyle name="Normal 2 3 3 4 3 2 2 3" xfId="36567" xr:uid="{C7C7DA53-794A-49FF-AAE7-8696D3E5F9FC}"/>
    <cellStyle name="Normal 2 3 3 4 3 2 3" xfId="17388" xr:uid="{EC771103-52F6-4E2D-89CD-6DABA553D184}"/>
    <cellStyle name="Normal 2 3 3 4 3 2 3 2" xfId="42880" xr:uid="{89B084FF-0A74-4CFB-8903-BC4A8244B902}"/>
    <cellStyle name="Normal 2 3 3 4 3 2 4" xfId="30289" xr:uid="{DA6AC5DE-0D0B-4571-9841-EBAD5CCAC430}"/>
    <cellStyle name="Normal 2 3 3 4 3 3" xfId="7845" xr:uid="{71F6373D-0C31-4E5A-8D31-A33016C6141A}"/>
    <cellStyle name="Normal 2 3 3 4 3 3 2" xfId="20527" xr:uid="{FE31D1F5-8789-49B9-B5B2-59182833B0BB}"/>
    <cellStyle name="Normal 2 3 3 4 3 3 2 2" xfId="46019" xr:uid="{68D23D61-A1A4-4D16-9151-58692B8AFC6A}"/>
    <cellStyle name="Normal 2 3 3 4 3 3 3" xfId="33428" xr:uid="{CE1C7C0F-2771-47CC-8B97-D53E93DEA9AF}"/>
    <cellStyle name="Normal 2 3 3 4 3 4" xfId="14249" xr:uid="{C2FB7D7E-ED5C-4988-8188-000D436D3DFB}"/>
    <cellStyle name="Normal 2 3 3 4 3 4 2" xfId="39741" xr:uid="{275278BC-9940-4DF8-ACB1-F587313F498F}"/>
    <cellStyle name="Normal 2 3 3 4 3 5" xfId="27150" xr:uid="{92F34FF6-5C4D-4A16-BDA8-FC7A4A964FF6}"/>
    <cellStyle name="Normal 2 3 3 4 4" xfId="2844" xr:uid="{25782B56-A76F-45FC-BB8F-AA2734AD8C9C}"/>
    <cellStyle name="Normal 2 3 3 4 4 2" xfId="5998" xr:uid="{C5FFD42A-871F-4323-A356-0B8ECC3D6FDC}"/>
    <cellStyle name="Normal 2 3 3 4 4 2 2" xfId="12291" xr:uid="{28E27A2C-3449-4851-89B5-726D8B845918}"/>
    <cellStyle name="Normal 2 3 3 4 4 2 2 2" xfId="24973" xr:uid="{EA1B3421-597C-4F56-8A5D-CF510C8FF392}"/>
    <cellStyle name="Normal 2 3 3 4 4 2 2 2 2" xfId="50465" xr:uid="{59F05A42-EBEC-49E8-8B68-96F1EA11353F}"/>
    <cellStyle name="Normal 2 3 3 4 4 2 2 3" xfId="37874" xr:uid="{23F3FC2C-95CB-4147-A91C-7A015999060F}"/>
    <cellStyle name="Normal 2 3 3 4 4 2 3" xfId="18695" xr:uid="{CB0078CD-41F5-45B1-80CC-DEAFE2ADC1B5}"/>
    <cellStyle name="Normal 2 3 3 4 4 2 3 2" xfId="44187" xr:uid="{3FA55CEB-E1EC-486D-B45B-4830ECD9CF07}"/>
    <cellStyle name="Normal 2 3 3 4 4 2 4" xfId="31596" xr:uid="{C6D25B21-F96E-4B4E-8AAF-34CF51B730F5}"/>
    <cellStyle name="Normal 2 3 3 4 4 3" xfId="9152" xr:uid="{0A96952F-8F0F-4819-9439-EF623250238E}"/>
    <cellStyle name="Normal 2 3 3 4 4 3 2" xfId="21834" xr:uid="{52F78CA4-4720-4DDF-861A-E315F1962E6C}"/>
    <cellStyle name="Normal 2 3 3 4 4 3 2 2" xfId="47326" xr:uid="{CFB0D495-D9C8-41AE-B2B3-8157B8282E4A}"/>
    <cellStyle name="Normal 2 3 3 4 4 3 3" xfId="34735" xr:uid="{D6314FBC-FEE4-4FDB-BFCC-22083FB3EE3B}"/>
    <cellStyle name="Normal 2 3 3 4 4 4" xfId="15556" xr:uid="{75C2FA36-8669-482D-AEEE-DD8F3FBC76FC}"/>
    <cellStyle name="Normal 2 3 3 4 4 4 2" xfId="41048" xr:uid="{B7827FB7-C811-49B7-A2BA-9DE5DD744150}"/>
    <cellStyle name="Normal 2 3 3 4 4 5" xfId="28457" xr:uid="{16D15469-5F6D-4FEA-81A6-D0A146682B41}"/>
    <cellStyle name="Normal 2 3 3 4 5" xfId="3367" xr:uid="{335DAA4C-0781-46FE-926A-4EB3DED27D89}"/>
    <cellStyle name="Normal 2 3 3 4 5 2" xfId="6521" xr:uid="{283C8462-DDAD-46BE-BE23-3AA27A89E9AD}"/>
    <cellStyle name="Normal 2 3 3 4 5 2 2" xfId="12814" xr:uid="{D78F89AB-8827-4962-A922-2E054780C808}"/>
    <cellStyle name="Normal 2 3 3 4 5 2 2 2" xfId="25496" xr:uid="{1F40ACE0-2A1E-4253-B716-7FD0DC797BA2}"/>
    <cellStyle name="Normal 2 3 3 4 5 2 2 2 2" xfId="50988" xr:uid="{02B0E6F1-C7B9-41E3-A363-652FEFFB0B4C}"/>
    <cellStyle name="Normal 2 3 3 4 5 2 2 3" xfId="38397" xr:uid="{EC784AFB-9478-4A55-AF0D-AC140F710F9C}"/>
    <cellStyle name="Normal 2 3 3 4 5 2 3" xfId="19218" xr:uid="{CD45D5B8-1EE5-4C8E-A304-73520E81D77E}"/>
    <cellStyle name="Normal 2 3 3 4 5 2 3 2" xfId="44710" xr:uid="{EAB2844E-DFF6-4DD3-B30B-14B2866A375F}"/>
    <cellStyle name="Normal 2 3 3 4 5 2 4" xfId="32119" xr:uid="{7AA1BF8C-9D1B-44DA-A8B0-5141BDAE0071}"/>
    <cellStyle name="Normal 2 3 3 4 5 3" xfId="9675" xr:uid="{5610B661-74B5-430C-9EBE-439180C0D6ED}"/>
    <cellStyle name="Normal 2 3 3 4 5 3 2" xfId="22357" xr:uid="{4FA9CF03-A72C-4508-8BF3-96C964467871}"/>
    <cellStyle name="Normal 2 3 3 4 5 3 2 2" xfId="47849" xr:uid="{E43740AA-89BF-4693-8F5F-6033EA356522}"/>
    <cellStyle name="Normal 2 3 3 4 5 3 3" xfId="35258" xr:uid="{0B1E3D14-E4D8-4F0B-975C-48E0F205D8AA}"/>
    <cellStyle name="Normal 2 3 3 4 5 4" xfId="16079" xr:uid="{41C16365-6EA8-424A-8C8C-5BDCCBC1C807}"/>
    <cellStyle name="Normal 2 3 3 4 5 4 2" xfId="41571" xr:uid="{C564D6A9-D580-4C2C-879A-9E1967D2B001}"/>
    <cellStyle name="Normal 2 3 3 4 5 5" xfId="28980" xr:uid="{ED530A50-F730-4229-8270-3325603A9B45}"/>
    <cellStyle name="Normal 2 3 3 4 6" xfId="4167" xr:uid="{E34C2179-B75B-421E-9210-8B0D2D93261C}"/>
    <cellStyle name="Normal 2 3 3 4 6 2" xfId="10460" xr:uid="{5287BE28-4742-4352-8959-50A383EC0E09}"/>
    <cellStyle name="Normal 2 3 3 4 6 2 2" xfId="23142" xr:uid="{BDB08B97-494A-4EEE-B233-A62352352A9E}"/>
    <cellStyle name="Normal 2 3 3 4 6 2 2 2" xfId="48634" xr:uid="{58A684FF-3579-4FD4-8FDF-080CA1DA44E4}"/>
    <cellStyle name="Normal 2 3 3 4 6 2 3" xfId="36043" xr:uid="{7D28A61E-92EC-4662-BCD7-ED74B5EA7A6D}"/>
    <cellStyle name="Normal 2 3 3 4 6 3" xfId="16864" xr:uid="{2B7A9003-52DB-40A2-853E-1E3817BFBCC5}"/>
    <cellStyle name="Normal 2 3 3 4 6 3 2" xfId="42356" xr:uid="{CC22A70D-DBFE-4AEB-B981-5ADDFF36D81F}"/>
    <cellStyle name="Normal 2 3 3 4 6 4" xfId="29765" xr:uid="{D3F2EF57-F080-4436-908E-66EFD0C3E111}"/>
    <cellStyle name="Normal 2 3 3 4 7" xfId="7321" xr:uid="{F294BD08-BD04-44EC-81A8-5646F6B108CF}"/>
    <cellStyle name="Normal 2 3 3 4 7 2" xfId="20003" xr:uid="{C588AE01-C8B1-45D9-9417-5EC925D9B44E}"/>
    <cellStyle name="Normal 2 3 3 4 7 2 2" xfId="45495" xr:uid="{7144B7A2-2923-4F13-9443-FBC172D7D34C}"/>
    <cellStyle name="Normal 2 3 3 4 7 3" xfId="32904" xr:uid="{60C1D0CB-488D-446E-A2CB-A242ACA58C29}"/>
    <cellStyle name="Normal 2 3 3 4 8" xfId="13725" xr:uid="{37DAEE04-58BF-478F-A200-DF0B65222A31}"/>
    <cellStyle name="Normal 2 3 3 4 8 2" xfId="39217" xr:uid="{CDF9DB29-CA2B-4E18-9D07-3E44AA1B80EB}"/>
    <cellStyle name="Normal 2 3 3 4 9" xfId="26626" xr:uid="{84662AC9-C131-4565-BA4B-887FE16D57EE}"/>
    <cellStyle name="Normal 2 3 3 5" xfId="753" xr:uid="{C53065B4-9D20-45D3-BD91-BD41B587D019}"/>
    <cellStyle name="Normal 2 3 3 5 2" xfId="2060" xr:uid="{8EF46F60-EA08-42E9-8D44-D59F1019E326}"/>
    <cellStyle name="Normal 2 3 3 5 2 2" xfId="5214" xr:uid="{6C1E52E5-046C-4B2C-8BB8-8AB85AD2BE7E}"/>
    <cellStyle name="Normal 2 3 3 5 2 2 2" xfId="11507" xr:uid="{00DB347F-E992-4900-8B41-336E8EF0EF9D}"/>
    <cellStyle name="Normal 2 3 3 5 2 2 2 2" xfId="24189" xr:uid="{A8B5CCE9-CB96-42E7-B299-229895A35A37}"/>
    <cellStyle name="Normal 2 3 3 5 2 2 2 2 2" xfId="49681" xr:uid="{8A6E54C9-CFBD-4C9F-B7C9-DD0C25316356}"/>
    <cellStyle name="Normal 2 3 3 5 2 2 2 3" xfId="37090" xr:uid="{DB29D59C-16AC-4EE7-B4D3-1D09375BDD5E}"/>
    <cellStyle name="Normal 2 3 3 5 2 2 3" xfId="17911" xr:uid="{74388181-30A6-4714-810B-CB68ECBD8ED7}"/>
    <cellStyle name="Normal 2 3 3 5 2 2 3 2" xfId="43403" xr:uid="{1F2427D3-E096-4E02-B805-18F7C8C7FA33}"/>
    <cellStyle name="Normal 2 3 3 5 2 2 4" xfId="30812" xr:uid="{5A3B7B99-A654-4F55-A956-465A553708B0}"/>
    <cellStyle name="Normal 2 3 3 5 2 3" xfId="8368" xr:uid="{99B9CC68-F368-428E-8FBD-DC85F414C24F}"/>
    <cellStyle name="Normal 2 3 3 5 2 3 2" xfId="21050" xr:uid="{955B2DAE-7CF5-4951-B3CE-C05BF1171A93}"/>
    <cellStyle name="Normal 2 3 3 5 2 3 2 2" xfId="46542" xr:uid="{F92C8C31-B499-4757-9ECB-81AB68DE4740}"/>
    <cellStyle name="Normal 2 3 3 5 2 3 3" xfId="33951" xr:uid="{A56AD947-9213-45EA-BAA6-FEE078FB19A3}"/>
    <cellStyle name="Normal 2 3 3 5 2 4" xfId="14772" xr:uid="{012A0FA8-7499-48B2-B407-C9777CE069E8}"/>
    <cellStyle name="Normal 2 3 3 5 2 4 2" xfId="40264" xr:uid="{562774A9-4E97-4883-9160-F563FEC152BC}"/>
    <cellStyle name="Normal 2 3 3 5 2 5" xfId="27673" xr:uid="{BBD30FA6-0465-4BC7-B07D-D22C05AFC42E}"/>
    <cellStyle name="Normal 2 3 3 5 3" xfId="3907" xr:uid="{53214739-AFD8-4FA6-8A32-54028A857D7C}"/>
    <cellStyle name="Normal 2 3 3 5 3 2" xfId="10200" xr:uid="{82BBD0BE-0329-4E98-BE74-F35C6FF9FDB6}"/>
    <cellStyle name="Normal 2 3 3 5 3 2 2" xfId="22882" xr:uid="{A8004DB4-D03F-4DE6-8EFA-01B384AC8A2D}"/>
    <cellStyle name="Normal 2 3 3 5 3 2 2 2" xfId="48374" xr:uid="{74BD9A9A-1922-4C52-8731-24D610353B56}"/>
    <cellStyle name="Normal 2 3 3 5 3 2 3" xfId="35783" xr:uid="{C44B4FDD-B2FB-483C-87EC-E13BE36FB54B}"/>
    <cellStyle name="Normal 2 3 3 5 3 3" xfId="16604" xr:uid="{FC95A83D-CB21-45F3-AA55-B8FE6696FDA8}"/>
    <cellStyle name="Normal 2 3 3 5 3 3 2" xfId="42096" xr:uid="{F64C1B1D-98B8-4A29-9C16-038808E0D003}"/>
    <cellStyle name="Normal 2 3 3 5 3 4" xfId="29505" xr:uid="{8C72F6A7-0167-459E-BD0E-452915B20E1F}"/>
    <cellStyle name="Normal 2 3 3 5 4" xfId="7061" xr:uid="{59BB2696-3268-4037-A8E2-A16EAD55B9FA}"/>
    <cellStyle name="Normal 2 3 3 5 4 2" xfId="19743" xr:uid="{4F513CC0-4593-40F3-8422-C5A741C8129C}"/>
    <cellStyle name="Normal 2 3 3 5 4 2 2" xfId="45235" xr:uid="{545EC1E6-0C8E-41AE-A476-ED295CD9B11E}"/>
    <cellStyle name="Normal 2 3 3 5 4 3" xfId="32644" xr:uid="{DF1EDF4A-B1A5-4A97-A6C2-96F56CB27A41}"/>
    <cellStyle name="Normal 2 3 3 5 5" xfId="13465" xr:uid="{52224DBF-94B9-49CB-B4DB-40089D4F606E}"/>
    <cellStyle name="Normal 2 3 3 5 5 2" xfId="38957" xr:uid="{467BD397-60A3-417D-A16C-59054BEA865E}"/>
    <cellStyle name="Normal 2 3 3 5 6" xfId="26366" xr:uid="{016B2E54-0AFE-42B9-B750-E81DA5C9185A}"/>
    <cellStyle name="Normal 2 3 3 6" xfId="1798" xr:uid="{93314897-0C98-4312-AA7D-4418150A6F8E}"/>
    <cellStyle name="Normal 2 3 3 6 2" xfId="4952" xr:uid="{B8228413-7DD0-4A38-A03C-0B994FFFA0FF}"/>
    <cellStyle name="Normal 2 3 3 6 2 2" xfId="11245" xr:uid="{51F219B2-D8BE-4EB0-9BC6-C84D977E8D8E}"/>
    <cellStyle name="Normal 2 3 3 6 2 2 2" xfId="23927" xr:uid="{20B59D70-9DB1-4587-85F7-924911FC7BDF}"/>
    <cellStyle name="Normal 2 3 3 6 2 2 2 2" xfId="49419" xr:uid="{A49ABF4D-D264-400E-81FC-18E4119AE0D4}"/>
    <cellStyle name="Normal 2 3 3 6 2 2 3" xfId="36828" xr:uid="{7975DEE8-EC02-47F5-9795-1A2D5CDE0D6E}"/>
    <cellStyle name="Normal 2 3 3 6 2 3" xfId="17649" xr:uid="{E05B11AA-33A6-43CF-BF21-939A91A1CD73}"/>
    <cellStyle name="Normal 2 3 3 6 2 3 2" xfId="43141" xr:uid="{ED1DC857-8765-4733-969D-013A3D86A5E7}"/>
    <cellStyle name="Normal 2 3 3 6 2 4" xfId="30550" xr:uid="{6AC1BD6C-5F31-4035-9343-2788F99C0718}"/>
    <cellStyle name="Normal 2 3 3 6 3" xfId="8106" xr:uid="{6E653C30-73C1-4749-A7D0-42417A9E2D51}"/>
    <cellStyle name="Normal 2 3 3 6 3 2" xfId="20788" xr:uid="{C3814165-6C78-4528-B3EB-FB3236DED9A0}"/>
    <cellStyle name="Normal 2 3 3 6 3 2 2" xfId="46280" xr:uid="{01A4CA05-3367-4ED8-A623-A8B32E50A3E3}"/>
    <cellStyle name="Normal 2 3 3 6 3 3" xfId="33689" xr:uid="{1B595182-8009-41B7-858E-0A61042517E8}"/>
    <cellStyle name="Normal 2 3 3 6 4" xfId="14510" xr:uid="{5569E848-F610-4FEB-B550-DA1D5BEDFB7D}"/>
    <cellStyle name="Normal 2 3 3 6 4 2" xfId="40002" xr:uid="{2C2FAB43-D761-4516-A9E0-41FA8044EE45}"/>
    <cellStyle name="Normal 2 3 3 6 5" xfId="27411" xr:uid="{F9529F37-5858-44DE-945F-85E387240055}"/>
    <cellStyle name="Normal 2 3 3 7" xfId="1276" xr:uid="{A4B9DBBD-0DF7-43E6-983F-3898F3FA4618}"/>
    <cellStyle name="Normal 2 3 3 7 2" xfId="4430" xr:uid="{C3F6F986-BDF2-49F3-8EEF-7D9F6D9DD0B4}"/>
    <cellStyle name="Normal 2 3 3 7 2 2" xfId="10723" xr:uid="{81226C58-2DAD-4B80-A7F5-E5B3E2D5CE44}"/>
    <cellStyle name="Normal 2 3 3 7 2 2 2" xfId="23405" xr:uid="{DFADC332-F88F-48B1-A7B2-1CC97C168E12}"/>
    <cellStyle name="Normal 2 3 3 7 2 2 2 2" xfId="48897" xr:uid="{2F1D5B22-C23E-4C88-9A0D-DA2248560F29}"/>
    <cellStyle name="Normal 2 3 3 7 2 2 3" xfId="36306" xr:uid="{E8A88D3D-B33F-4A11-9FAA-512976BA0B0C}"/>
    <cellStyle name="Normal 2 3 3 7 2 3" xfId="17127" xr:uid="{A58332D6-CE0B-42CA-A137-8F72808A0199}"/>
    <cellStyle name="Normal 2 3 3 7 2 3 2" xfId="42619" xr:uid="{63ADE2A4-2403-4F79-B276-EEB09847A73F}"/>
    <cellStyle name="Normal 2 3 3 7 2 4" xfId="30028" xr:uid="{3054FA2D-7E4F-483A-8D34-6273D8BC528B}"/>
    <cellStyle name="Normal 2 3 3 7 3" xfId="7584" xr:uid="{240BE1B1-4024-48A3-817D-022AFF0993A8}"/>
    <cellStyle name="Normal 2 3 3 7 3 2" xfId="20266" xr:uid="{4A3B5077-5A52-4CA9-996C-4048EEF4D3B4}"/>
    <cellStyle name="Normal 2 3 3 7 3 2 2" xfId="45758" xr:uid="{17654C6D-DA5B-49E1-85C7-001A652B8C9A}"/>
    <cellStyle name="Normal 2 3 3 7 3 3" xfId="33167" xr:uid="{9A3BC0FE-4BB3-42BB-8011-2DAEBA0D1C8F}"/>
    <cellStyle name="Normal 2 3 3 7 4" xfId="13988" xr:uid="{4F1F0CD3-C741-4EFE-B4C1-69EA67A7FE71}"/>
    <cellStyle name="Normal 2 3 3 7 4 2" xfId="39480" xr:uid="{71C00E35-E6C4-4420-B4C0-F5E1AD9BF952}"/>
    <cellStyle name="Normal 2 3 3 7 5" xfId="26889" xr:uid="{A0D01CC9-97E4-4781-8AAE-D576C09076C7}"/>
    <cellStyle name="Normal 2 3 3 8" xfId="2583" xr:uid="{5698E4C1-5EF7-4873-A558-DE69C4815C1E}"/>
    <cellStyle name="Normal 2 3 3 8 2" xfId="5737" xr:uid="{AFB6E3DE-9BE7-4553-8506-52FA9644832F}"/>
    <cellStyle name="Normal 2 3 3 8 2 2" xfId="12030" xr:uid="{62A03439-3418-4362-B4C5-06ED222AEED2}"/>
    <cellStyle name="Normal 2 3 3 8 2 2 2" xfId="24712" xr:uid="{C21FBB51-9494-47F9-ACD9-263D1FFEFEA0}"/>
    <cellStyle name="Normal 2 3 3 8 2 2 2 2" xfId="50204" xr:uid="{CFF86983-DD6E-4A0A-AB9E-028FD6B56A84}"/>
    <cellStyle name="Normal 2 3 3 8 2 2 3" xfId="37613" xr:uid="{FA9D32F6-EECE-41EB-B697-C5CDCDF0E2DA}"/>
    <cellStyle name="Normal 2 3 3 8 2 3" xfId="18434" xr:uid="{7EFCB4DE-5CE2-4359-A768-A20165BE02D1}"/>
    <cellStyle name="Normal 2 3 3 8 2 3 2" xfId="43926" xr:uid="{27E75BD8-A90F-475E-AB84-5DC792DF33C3}"/>
    <cellStyle name="Normal 2 3 3 8 2 4" xfId="31335" xr:uid="{D31ADC04-B2EB-4FF7-AA80-F9499D49EBB4}"/>
    <cellStyle name="Normal 2 3 3 8 3" xfId="8891" xr:uid="{53F06CC5-0EDB-4760-84E3-CBBE7A1D5186}"/>
    <cellStyle name="Normal 2 3 3 8 3 2" xfId="21573" xr:uid="{3E1511F2-6939-4462-88A5-AECD9659AC63}"/>
    <cellStyle name="Normal 2 3 3 8 3 2 2" xfId="47065" xr:uid="{B39AB715-6D76-444A-B4C3-1332C8776A01}"/>
    <cellStyle name="Normal 2 3 3 8 3 3" xfId="34474" xr:uid="{A13D2BA8-F815-4D36-B734-35467C940304}"/>
    <cellStyle name="Normal 2 3 3 8 4" xfId="15295" xr:uid="{D5C6F1EB-B074-43BA-B697-F791C5379871}"/>
    <cellStyle name="Normal 2 3 3 8 4 2" xfId="40787" xr:uid="{AAFF6D21-3CC7-4FCF-AF09-EEF60178D4C9}"/>
    <cellStyle name="Normal 2 3 3 8 5" xfId="28196" xr:uid="{4AE966A6-DCBD-4B13-8B69-87D909CA1627}"/>
    <cellStyle name="Normal 2 3 3 9" xfId="3106" xr:uid="{8A5B84CB-F8BD-45F5-A803-64C1E43A4603}"/>
    <cellStyle name="Normal 2 3 3 9 2" xfId="6260" xr:uid="{BE51FA85-1EDF-4D44-A57E-D42DDDD674D8}"/>
    <cellStyle name="Normal 2 3 3 9 2 2" xfId="12553" xr:uid="{E3C9D92F-0827-48F9-9D22-9420C5952386}"/>
    <cellStyle name="Normal 2 3 3 9 2 2 2" xfId="25235" xr:uid="{77750BA3-749C-43EA-BDFC-67949291E31D}"/>
    <cellStyle name="Normal 2 3 3 9 2 2 2 2" xfId="50727" xr:uid="{ECDEC4C7-7B62-48A9-A85D-7C774FC619A6}"/>
    <cellStyle name="Normal 2 3 3 9 2 2 3" xfId="38136" xr:uid="{D2AFE009-1DC8-461D-A979-159236FBFC82}"/>
    <cellStyle name="Normal 2 3 3 9 2 3" xfId="18957" xr:uid="{728FEAEE-6998-4689-8CE1-43BDAD05177C}"/>
    <cellStyle name="Normal 2 3 3 9 2 3 2" xfId="44449" xr:uid="{4FD2C10D-0749-48A3-ABBB-DAAB2143F3B2}"/>
    <cellStyle name="Normal 2 3 3 9 2 4" xfId="31858" xr:uid="{D6C943F4-D13E-41B8-B336-4EC84A3359B6}"/>
    <cellStyle name="Normal 2 3 3 9 3" xfId="9414" xr:uid="{49AF5DD5-26EF-4A2C-B845-E69C409CE1CD}"/>
    <cellStyle name="Normal 2 3 3 9 3 2" xfId="22096" xr:uid="{5C071639-DD36-49B0-B35A-2900F9F2EEF9}"/>
    <cellStyle name="Normal 2 3 3 9 3 2 2" xfId="47588" xr:uid="{A2B07D3B-2D72-46C2-AC0E-5F82057CD5EB}"/>
    <cellStyle name="Normal 2 3 3 9 3 3" xfId="34997" xr:uid="{719CE409-90AE-4F61-970A-CBC3F310C323}"/>
    <cellStyle name="Normal 2 3 3 9 4" xfId="15818" xr:uid="{B26F3912-4D8E-400E-9543-C2E85339B7B0}"/>
    <cellStyle name="Normal 2 3 3 9 4 2" xfId="41310" xr:uid="{98809486-6BBA-4864-82D4-718F7215E425}"/>
    <cellStyle name="Normal 2 3 3 9 5" xfId="28719" xr:uid="{B7336EC1-D0E4-442A-85E3-47435C91FAE1}"/>
    <cellStyle name="Normal 2 3 4" xfId="457" xr:uid="{67381C24-D881-4CBD-9C55-A6339925F93F}"/>
    <cellStyle name="Normal 2 3 4 10" xfId="6780" xr:uid="{3599AF3D-2F73-48C3-B36D-4E4776A0AC4D}"/>
    <cellStyle name="Normal 2 3 4 10 2" xfId="19462" xr:uid="{FE96FD6E-7CA5-4108-9A78-34E8B5EE0AA2}"/>
    <cellStyle name="Normal 2 3 4 10 2 2" xfId="44954" xr:uid="{4B6B4F10-8D7E-4C12-80BE-6BF561C7FA1D}"/>
    <cellStyle name="Normal 2 3 4 10 3" xfId="32363" xr:uid="{D56910D4-28B0-4B32-BFD1-4B625BC17A60}"/>
    <cellStyle name="Normal 2 3 4 11" xfId="13184" xr:uid="{9EEA5E87-E459-42FB-81EE-D01C116EB982}"/>
    <cellStyle name="Normal 2 3 4 11 2" xfId="38676" xr:uid="{4CE01FCB-113C-485F-82EB-184D1C56869F}"/>
    <cellStyle name="Normal 2 3 4 12" xfId="26085" xr:uid="{BE5C844C-1758-4DCB-B2F5-0A4634C040F7}"/>
    <cellStyle name="Normal 2 3 4 2" xfId="616" xr:uid="{E1540D7C-C308-4101-93E2-8173B8D808BE}"/>
    <cellStyle name="Normal 2 3 4 2 10" xfId="13343" xr:uid="{D3995784-1A31-43CA-8EDC-099AF94C4573}"/>
    <cellStyle name="Normal 2 3 4 2 10 2" xfId="38835" xr:uid="{0940CB32-BDDF-4A5E-A021-42A6218481C5}"/>
    <cellStyle name="Normal 2 3 4 2 11" xfId="26244" xr:uid="{7482DC27-AF7B-4976-8148-87C75EC7FA65}"/>
    <cellStyle name="Normal 2 3 4 2 2" xfId="1153" xr:uid="{37C8FF81-1C2D-4FF7-AF9D-99CF360F6785}"/>
    <cellStyle name="Normal 2 3 4 2 2 2" xfId="2460" xr:uid="{58968830-56D1-412E-8C1E-CDFCAA56F6A1}"/>
    <cellStyle name="Normal 2 3 4 2 2 2 2" xfId="5614" xr:uid="{337864EB-F1E3-4DE4-83D6-4A09A656B1EE}"/>
    <cellStyle name="Normal 2 3 4 2 2 2 2 2" xfId="11907" xr:uid="{9C8243AD-B67E-4173-A04A-E87B6E08C866}"/>
    <cellStyle name="Normal 2 3 4 2 2 2 2 2 2" xfId="24589" xr:uid="{26C736FA-4B1A-4055-BB0A-FEBD90C61244}"/>
    <cellStyle name="Normal 2 3 4 2 2 2 2 2 2 2" xfId="50081" xr:uid="{241A49DA-43F1-4CD6-80F7-261968946FCF}"/>
    <cellStyle name="Normal 2 3 4 2 2 2 2 2 3" xfId="37490" xr:uid="{DB5F1F91-33CC-4284-98F9-2F082234BAF0}"/>
    <cellStyle name="Normal 2 3 4 2 2 2 2 3" xfId="18311" xr:uid="{359107C7-8B34-42D2-BFB5-77D231C4834A}"/>
    <cellStyle name="Normal 2 3 4 2 2 2 2 3 2" xfId="43803" xr:uid="{045EA13F-48B1-49E8-B881-2EF87B9A0D90}"/>
    <cellStyle name="Normal 2 3 4 2 2 2 2 4" xfId="31212" xr:uid="{86B6B802-D6B7-4690-B335-C969ABD5147C}"/>
    <cellStyle name="Normal 2 3 4 2 2 2 3" xfId="8768" xr:uid="{66EB1CFD-C415-4895-AE1C-7C1553D6B594}"/>
    <cellStyle name="Normal 2 3 4 2 2 2 3 2" xfId="21450" xr:uid="{3F4E02CD-D559-4FD3-9501-B379402CD14B}"/>
    <cellStyle name="Normal 2 3 4 2 2 2 3 2 2" xfId="46942" xr:uid="{162F210F-5C46-4A05-AD42-74E6DB625D0B}"/>
    <cellStyle name="Normal 2 3 4 2 2 2 3 3" xfId="34351" xr:uid="{3344D66C-FD22-4669-B592-07D8B2E0697C}"/>
    <cellStyle name="Normal 2 3 4 2 2 2 4" xfId="15172" xr:uid="{A3AA63B4-9A53-4B45-8985-EE3BF7D81E50}"/>
    <cellStyle name="Normal 2 3 4 2 2 2 4 2" xfId="40664" xr:uid="{F849602D-B68E-4672-B371-C105CCE5A1AA}"/>
    <cellStyle name="Normal 2 3 4 2 2 2 5" xfId="28073" xr:uid="{5AF0E41C-17DB-4A2F-A3EF-B6DFBBD6E5AD}"/>
    <cellStyle name="Normal 2 3 4 2 2 3" xfId="1677" xr:uid="{62ACBB03-A2A2-433F-B906-45792D0C4DAF}"/>
    <cellStyle name="Normal 2 3 4 2 2 3 2" xfId="4831" xr:uid="{5522ECE0-3A4E-4E3A-85B6-20E04AEB8A0A}"/>
    <cellStyle name="Normal 2 3 4 2 2 3 2 2" xfId="11124" xr:uid="{9933EFDA-5521-43B6-991E-2C6D7511238C}"/>
    <cellStyle name="Normal 2 3 4 2 2 3 2 2 2" xfId="23806" xr:uid="{6BCB56EC-011C-4A8D-B2A4-2C87A1608D6E}"/>
    <cellStyle name="Normal 2 3 4 2 2 3 2 2 2 2" xfId="49298" xr:uid="{DB72A172-5BB8-4E39-8B7F-2635D0675D0A}"/>
    <cellStyle name="Normal 2 3 4 2 2 3 2 2 3" xfId="36707" xr:uid="{BC44470F-1E6A-4E77-B31F-A5074D410F51}"/>
    <cellStyle name="Normal 2 3 4 2 2 3 2 3" xfId="17528" xr:uid="{B2B89049-8E7F-4B55-8B29-9FC45E8287A3}"/>
    <cellStyle name="Normal 2 3 4 2 2 3 2 3 2" xfId="43020" xr:uid="{231A09DD-E98E-4DE7-94B2-EA56373B10C1}"/>
    <cellStyle name="Normal 2 3 4 2 2 3 2 4" xfId="30429" xr:uid="{6FDF4B24-EC80-4206-9204-CA23AAB7C4B8}"/>
    <cellStyle name="Normal 2 3 4 2 2 3 3" xfId="7985" xr:uid="{44BA6703-D1D6-4169-ABC3-B5C744C26778}"/>
    <cellStyle name="Normal 2 3 4 2 2 3 3 2" xfId="20667" xr:uid="{551179FF-CB35-4E26-8B45-5DD7EE18B716}"/>
    <cellStyle name="Normal 2 3 4 2 2 3 3 2 2" xfId="46159" xr:uid="{FB10D7FA-7D9F-494B-93C0-6E586BEF7D29}"/>
    <cellStyle name="Normal 2 3 4 2 2 3 3 3" xfId="33568" xr:uid="{57302D41-F8DB-447C-AD5B-4EB74FCA5DF7}"/>
    <cellStyle name="Normal 2 3 4 2 2 3 4" xfId="14389" xr:uid="{5BB400C2-D971-4621-974D-4EA2F1813B1F}"/>
    <cellStyle name="Normal 2 3 4 2 2 3 4 2" xfId="39881" xr:uid="{DEC6063C-D7D8-47E4-85E5-9131720D607E}"/>
    <cellStyle name="Normal 2 3 4 2 2 3 5" xfId="27290" xr:uid="{8FCCB6E3-336A-47FD-91A4-9D7FAEF1BFD9}"/>
    <cellStyle name="Normal 2 3 4 2 2 4" xfId="2984" xr:uid="{976D6264-74D3-4481-8AAE-F660FD917864}"/>
    <cellStyle name="Normal 2 3 4 2 2 4 2" xfId="6138" xr:uid="{EAB2A863-A443-4042-BD0E-F7DDEF3AECA4}"/>
    <cellStyle name="Normal 2 3 4 2 2 4 2 2" xfId="12431" xr:uid="{1328D99E-2F65-4E52-81E2-7B92FD23D596}"/>
    <cellStyle name="Normal 2 3 4 2 2 4 2 2 2" xfId="25113" xr:uid="{0A53908B-F673-491A-8698-C3F90423C11C}"/>
    <cellStyle name="Normal 2 3 4 2 2 4 2 2 2 2" xfId="50605" xr:uid="{6C8F2B93-BBD4-4FA7-BAAE-0A1DF256E6B8}"/>
    <cellStyle name="Normal 2 3 4 2 2 4 2 2 3" xfId="38014" xr:uid="{675E7790-3172-4A24-83FA-0FE0422DC103}"/>
    <cellStyle name="Normal 2 3 4 2 2 4 2 3" xfId="18835" xr:uid="{9CDCACB2-2BEA-4B01-9EAB-BCC7A73039C3}"/>
    <cellStyle name="Normal 2 3 4 2 2 4 2 3 2" xfId="44327" xr:uid="{DD7D7E0C-F9F0-4DDB-AED8-1F6BF7DAA776}"/>
    <cellStyle name="Normal 2 3 4 2 2 4 2 4" xfId="31736" xr:uid="{E305D944-E611-4A83-B74B-F2CA21C7215D}"/>
    <cellStyle name="Normal 2 3 4 2 2 4 3" xfId="9292" xr:uid="{51DA6870-C6A6-448E-A71B-48B5067A6DFC}"/>
    <cellStyle name="Normal 2 3 4 2 2 4 3 2" xfId="21974" xr:uid="{BF726107-D4D5-40D9-9228-EA3674D9948B}"/>
    <cellStyle name="Normal 2 3 4 2 2 4 3 2 2" xfId="47466" xr:uid="{EFB692D1-04E3-4FB4-B421-BC53D35E1025}"/>
    <cellStyle name="Normal 2 3 4 2 2 4 3 3" xfId="34875" xr:uid="{BA7F56BB-DB43-4944-87A2-81064BCC09DF}"/>
    <cellStyle name="Normal 2 3 4 2 2 4 4" xfId="15696" xr:uid="{84674CB6-DD9D-43B7-A2F4-2C59B137ED7A}"/>
    <cellStyle name="Normal 2 3 4 2 2 4 4 2" xfId="41188" xr:uid="{CD04606A-9EE2-48AA-97D7-48FB2612180E}"/>
    <cellStyle name="Normal 2 3 4 2 2 4 5" xfId="28597" xr:uid="{6211FBED-3FCC-4C9B-8E96-35ACB1433FC1}"/>
    <cellStyle name="Normal 2 3 4 2 2 5" xfId="3507" xr:uid="{0F27B3BB-B6C8-4576-AFFA-D7E86F3A330F}"/>
    <cellStyle name="Normal 2 3 4 2 2 5 2" xfId="6661" xr:uid="{F9068290-AC6D-4F03-87B1-F2519EE1366C}"/>
    <cellStyle name="Normal 2 3 4 2 2 5 2 2" xfId="12954" xr:uid="{0631DF5A-BB85-4D80-AAF4-73CD68D35035}"/>
    <cellStyle name="Normal 2 3 4 2 2 5 2 2 2" xfId="25636" xr:uid="{88404186-823C-4627-806F-8948BCD3D396}"/>
    <cellStyle name="Normal 2 3 4 2 2 5 2 2 2 2" xfId="51128" xr:uid="{D8F12FC2-3B44-4A50-BF95-D78D540FC23A}"/>
    <cellStyle name="Normal 2 3 4 2 2 5 2 2 3" xfId="38537" xr:uid="{9923299D-F3EA-40B5-BBF9-4FD9437F7391}"/>
    <cellStyle name="Normal 2 3 4 2 2 5 2 3" xfId="19358" xr:uid="{4B4705EB-A3B7-40BE-A3E9-968E05ABC9E1}"/>
    <cellStyle name="Normal 2 3 4 2 2 5 2 3 2" xfId="44850" xr:uid="{D7BBFC81-7191-416F-B9FD-69BDF21B1183}"/>
    <cellStyle name="Normal 2 3 4 2 2 5 2 4" xfId="32259" xr:uid="{CB3EB974-A8D6-4868-B4A8-F7E555CB7771}"/>
    <cellStyle name="Normal 2 3 4 2 2 5 3" xfId="9815" xr:uid="{9AEA9A64-D673-4F52-8A95-F60797DD9D4B}"/>
    <cellStyle name="Normal 2 3 4 2 2 5 3 2" xfId="22497" xr:uid="{84CF5BF0-42C3-4520-A21F-CC0FABF136E2}"/>
    <cellStyle name="Normal 2 3 4 2 2 5 3 2 2" xfId="47989" xr:uid="{0FE932AA-1174-402F-88CD-9CA9F3B06E79}"/>
    <cellStyle name="Normal 2 3 4 2 2 5 3 3" xfId="35398" xr:uid="{BE69D814-BEBF-4E27-8171-2EC9FEF8E332}"/>
    <cellStyle name="Normal 2 3 4 2 2 5 4" xfId="16219" xr:uid="{D186AAF9-F1B2-4541-889D-297BBB632F9B}"/>
    <cellStyle name="Normal 2 3 4 2 2 5 4 2" xfId="41711" xr:uid="{D864C484-66CD-453B-98CC-87320ED1EDF3}"/>
    <cellStyle name="Normal 2 3 4 2 2 5 5" xfId="29120" xr:uid="{90F0580C-FE95-406E-8748-86384DE4A2BF}"/>
    <cellStyle name="Normal 2 3 4 2 2 6" xfId="4307" xr:uid="{3F9903C4-019E-4F51-80EA-8EA62CA77C98}"/>
    <cellStyle name="Normal 2 3 4 2 2 6 2" xfId="10600" xr:uid="{7C48C7DE-4A8F-45B7-81F6-7E8B03BD1E89}"/>
    <cellStyle name="Normal 2 3 4 2 2 6 2 2" xfId="23282" xr:uid="{B343A327-6D03-4184-8C6B-5F800920132F}"/>
    <cellStyle name="Normal 2 3 4 2 2 6 2 2 2" xfId="48774" xr:uid="{77550C33-FE8E-4E0C-B62C-0B9889768CD0}"/>
    <cellStyle name="Normal 2 3 4 2 2 6 2 3" xfId="36183" xr:uid="{4526D692-1F67-41DD-9F26-5E344FD09FD6}"/>
    <cellStyle name="Normal 2 3 4 2 2 6 3" xfId="17004" xr:uid="{8632A311-FA8E-4D8D-AD5C-7A6A457D3C8E}"/>
    <cellStyle name="Normal 2 3 4 2 2 6 3 2" xfId="42496" xr:uid="{C2D5766F-AD2F-4258-9AC4-E1A1C9BEE70F}"/>
    <cellStyle name="Normal 2 3 4 2 2 6 4" xfId="29905" xr:uid="{F95618C2-6CC3-4792-921D-54F8DA644FCB}"/>
    <cellStyle name="Normal 2 3 4 2 2 7" xfId="7461" xr:uid="{BDB876C1-6053-4E83-B2A9-F24B684C19F2}"/>
    <cellStyle name="Normal 2 3 4 2 2 7 2" xfId="20143" xr:uid="{3DBB0303-C607-4663-BEB6-912A6F4564F0}"/>
    <cellStyle name="Normal 2 3 4 2 2 7 2 2" xfId="45635" xr:uid="{C698CB5E-C92C-4635-8236-94FAE15825B7}"/>
    <cellStyle name="Normal 2 3 4 2 2 7 3" xfId="33044" xr:uid="{970D4EAE-ADED-4CA9-9BF9-633F5C094E3B}"/>
    <cellStyle name="Normal 2 3 4 2 2 8" xfId="13865" xr:uid="{84986F31-412E-44BB-BA93-D45D6EC804EB}"/>
    <cellStyle name="Normal 2 3 4 2 2 8 2" xfId="39357" xr:uid="{7B932DA2-594A-4D5A-9191-185E1AA5BE74}"/>
    <cellStyle name="Normal 2 3 4 2 2 9" xfId="26766" xr:uid="{9849CCB4-6406-45C1-9A2D-7593756A447A}"/>
    <cellStyle name="Normal 2 3 4 2 3" xfId="893" xr:uid="{5B73579C-9627-4B2E-9DA0-271D0DFC7EF6}"/>
    <cellStyle name="Normal 2 3 4 2 3 2" xfId="2200" xr:uid="{90C938CA-1AA5-4117-8633-A1E2BF7D308D}"/>
    <cellStyle name="Normal 2 3 4 2 3 2 2" xfId="5354" xr:uid="{ECA42150-19EA-4BDC-92CE-AE57A7B54EF4}"/>
    <cellStyle name="Normal 2 3 4 2 3 2 2 2" xfId="11647" xr:uid="{8C75157B-0DCD-42A1-9179-937BF1BA618B}"/>
    <cellStyle name="Normal 2 3 4 2 3 2 2 2 2" xfId="24329" xr:uid="{CD6002DA-8DAB-417F-B733-465F054AEA7D}"/>
    <cellStyle name="Normal 2 3 4 2 3 2 2 2 2 2" xfId="49821" xr:uid="{619AAF5E-AD3C-4A2C-87D0-8DC2943F09A5}"/>
    <cellStyle name="Normal 2 3 4 2 3 2 2 2 3" xfId="37230" xr:uid="{3C387402-DE87-4270-80EB-EFAF95D75119}"/>
    <cellStyle name="Normal 2 3 4 2 3 2 2 3" xfId="18051" xr:uid="{8198FBFE-24C7-4387-AB70-8084CC865458}"/>
    <cellStyle name="Normal 2 3 4 2 3 2 2 3 2" xfId="43543" xr:uid="{22F3670D-13C9-41A2-84F0-D4AA04EA4CE6}"/>
    <cellStyle name="Normal 2 3 4 2 3 2 2 4" xfId="30952" xr:uid="{C6467D16-BBDF-47C7-90B6-64C715BA9A8B}"/>
    <cellStyle name="Normal 2 3 4 2 3 2 3" xfId="8508" xr:uid="{A6D7F6C9-ED4C-4DA2-B51E-E245409F8D9A}"/>
    <cellStyle name="Normal 2 3 4 2 3 2 3 2" xfId="21190" xr:uid="{2D0517DC-7B13-477F-8FDE-8F11DCF8A213}"/>
    <cellStyle name="Normal 2 3 4 2 3 2 3 2 2" xfId="46682" xr:uid="{1BE34922-6014-4455-8B24-A38E7A95094B}"/>
    <cellStyle name="Normal 2 3 4 2 3 2 3 3" xfId="34091" xr:uid="{8BF75F06-A9EA-4F2D-A6D4-CF0C3ABB95DA}"/>
    <cellStyle name="Normal 2 3 4 2 3 2 4" xfId="14912" xr:uid="{45BFD327-817D-4D25-A31E-59583A653B64}"/>
    <cellStyle name="Normal 2 3 4 2 3 2 4 2" xfId="40404" xr:uid="{F144967F-9437-42AC-9C9C-D355557EB05A}"/>
    <cellStyle name="Normal 2 3 4 2 3 2 5" xfId="27813" xr:uid="{6222E0DA-C250-4531-8335-3F551FEF2A92}"/>
    <cellStyle name="Normal 2 3 4 2 3 3" xfId="4047" xr:uid="{8DC61DF2-B37D-4FAB-BAC2-4846348DC64D}"/>
    <cellStyle name="Normal 2 3 4 2 3 3 2" xfId="10340" xr:uid="{3E17F52A-9D8A-4140-BD53-85CEB0A83411}"/>
    <cellStyle name="Normal 2 3 4 2 3 3 2 2" xfId="23022" xr:uid="{B24209A3-FD86-4D28-8DDB-6835B2F45F40}"/>
    <cellStyle name="Normal 2 3 4 2 3 3 2 2 2" xfId="48514" xr:uid="{D021DCC7-8EEF-459C-A80D-3EF6374F3BEC}"/>
    <cellStyle name="Normal 2 3 4 2 3 3 2 3" xfId="35923" xr:uid="{686EC91A-BFAB-40AC-AF31-25B8EF386B02}"/>
    <cellStyle name="Normal 2 3 4 2 3 3 3" xfId="16744" xr:uid="{8A5D7D97-969A-4403-9D76-25A9620C9D3E}"/>
    <cellStyle name="Normal 2 3 4 2 3 3 3 2" xfId="42236" xr:uid="{10AE9F0E-061B-42E1-B8FA-11FA158456DE}"/>
    <cellStyle name="Normal 2 3 4 2 3 3 4" xfId="29645" xr:uid="{4B297625-CE14-463C-90B0-D7A1AAC8B4E7}"/>
    <cellStyle name="Normal 2 3 4 2 3 4" xfId="7201" xr:uid="{9D405102-9422-4CBB-99D7-8F60CC92CC8F}"/>
    <cellStyle name="Normal 2 3 4 2 3 4 2" xfId="19883" xr:uid="{524AB6D0-527C-42C1-9D6B-9B343C262FFE}"/>
    <cellStyle name="Normal 2 3 4 2 3 4 2 2" xfId="45375" xr:uid="{9E9170A6-B8CF-4668-BFDA-CC5B6BAB55BC}"/>
    <cellStyle name="Normal 2 3 4 2 3 4 3" xfId="32784" xr:uid="{E128B274-2B9B-4861-B266-48567F040097}"/>
    <cellStyle name="Normal 2 3 4 2 3 5" xfId="13605" xr:uid="{7DF245BA-0EA6-4723-819D-AF03B4D114FA}"/>
    <cellStyle name="Normal 2 3 4 2 3 5 2" xfId="39097" xr:uid="{3D9D548E-DEDF-48E3-B0A4-243E1B3622FC}"/>
    <cellStyle name="Normal 2 3 4 2 3 6" xfId="26506" xr:uid="{242EF482-CEDC-401C-8C92-0A38E3ECE73E}"/>
    <cellStyle name="Normal 2 3 4 2 4" xfId="1938" xr:uid="{B7E587A6-5B80-43D0-B5DE-5BD9E0D87D2B}"/>
    <cellStyle name="Normal 2 3 4 2 4 2" xfId="5092" xr:uid="{A126BDE0-0F8A-4A66-9371-9503F67E704B}"/>
    <cellStyle name="Normal 2 3 4 2 4 2 2" xfId="11385" xr:uid="{99D77762-9901-409E-A14D-1EF631F0D77E}"/>
    <cellStyle name="Normal 2 3 4 2 4 2 2 2" xfId="24067" xr:uid="{CCED843A-C1E6-4CE0-91F8-31B4D4C68F0A}"/>
    <cellStyle name="Normal 2 3 4 2 4 2 2 2 2" xfId="49559" xr:uid="{FB390838-B9E1-4ED0-AD85-53741EE3DF1A}"/>
    <cellStyle name="Normal 2 3 4 2 4 2 2 3" xfId="36968" xr:uid="{6B6DD090-0DA0-4CC5-9543-980AA365FD63}"/>
    <cellStyle name="Normal 2 3 4 2 4 2 3" xfId="17789" xr:uid="{5055CD3B-86A6-49EA-AA1E-399B811BBF45}"/>
    <cellStyle name="Normal 2 3 4 2 4 2 3 2" xfId="43281" xr:uid="{EF26931D-23F5-488F-8E95-9A4ED73CA1F9}"/>
    <cellStyle name="Normal 2 3 4 2 4 2 4" xfId="30690" xr:uid="{42C87233-9FA3-4C16-AB8F-E57E3A275E35}"/>
    <cellStyle name="Normal 2 3 4 2 4 3" xfId="8246" xr:uid="{A5DC27EF-A842-426B-9839-24B0D2D7A3E9}"/>
    <cellStyle name="Normal 2 3 4 2 4 3 2" xfId="20928" xr:uid="{5AF01924-9ACE-47DD-B59E-7D70692BD66F}"/>
    <cellStyle name="Normal 2 3 4 2 4 3 2 2" xfId="46420" xr:uid="{DAF7B5C1-59E6-411C-8774-58F8EB821E73}"/>
    <cellStyle name="Normal 2 3 4 2 4 3 3" xfId="33829" xr:uid="{A83CABF2-51C4-4415-88BC-01F3786645F9}"/>
    <cellStyle name="Normal 2 3 4 2 4 4" xfId="14650" xr:uid="{6B13B1E6-F1E5-48C9-80AE-AFE4640118AF}"/>
    <cellStyle name="Normal 2 3 4 2 4 4 2" xfId="40142" xr:uid="{8A5936B9-43E0-487B-8E0C-9714EFE437B3}"/>
    <cellStyle name="Normal 2 3 4 2 4 5" xfId="27551" xr:uid="{8847ACC7-C0A2-4A18-954C-337F42B64DA3}"/>
    <cellStyle name="Normal 2 3 4 2 5" xfId="1416" xr:uid="{B767BB86-3D68-4DE4-8EF3-8EC13BA2981B}"/>
    <cellStyle name="Normal 2 3 4 2 5 2" xfId="4570" xr:uid="{002A8B65-97E9-4611-9F92-FC69E3925303}"/>
    <cellStyle name="Normal 2 3 4 2 5 2 2" xfId="10863" xr:uid="{4956525A-A4B1-4A50-874C-70EB9E2A7B47}"/>
    <cellStyle name="Normal 2 3 4 2 5 2 2 2" xfId="23545" xr:uid="{1DD62B39-3E01-40F3-8F21-300E56D2440E}"/>
    <cellStyle name="Normal 2 3 4 2 5 2 2 2 2" xfId="49037" xr:uid="{F24AD120-07B2-4131-AB9D-20A2DF982A8C}"/>
    <cellStyle name="Normal 2 3 4 2 5 2 2 3" xfId="36446" xr:uid="{90A809E0-93E5-4D50-B8B3-7B3CE64B07DB}"/>
    <cellStyle name="Normal 2 3 4 2 5 2 3" xfId="17267" xr:uid="{87E1341A-4464-42E3-A96B-9A95AE269119}"/>
    <cellStyle name="Normal 2 3 4 2 5 2 3 2" xfId="42759" xr:uid="{9259B253-D611-4491-8F4B-40CC154A1546}"/>
    <cellStyle name="Normal 2 3 4 2 5 2 4" xfId="30168" xr:uid="{AC1F539F-5177-4965-B1C0-E8C50F87C0A3}"/>
    <cellStyle name="Normal 2 3 4 2 5 3" xfId="7724" xr:uid="{3B6EE071-3FE7-42C3-ADFC-7ECA13A81AF5}"/>
    <cellStyle name="Normal 2 3 4 2 5 3 2" xfId="20406" xr:uid="{71EFA950-6A13-4F7C-9A01-AAB08BCAD37B}"/>
    <cellStyle name="Normal 2 3 4 2 5 3 2 2" xfId="45898" xr:uid="{C265F9DF-C7C1-45CE-AC10-149BC2390FF8}"/>
    <cellStyle name="Normal 2 3 4 2 5 3 3" xfId="33307" xr:uid="{BDE1E47D-B36B-4AE6-B062-7C0D7BB94FDD}"/>
    <cellStyle name="Normal 2 3 4 2 5 4" xfId="14128" xr:uid="{58BE79D7-409F-4653-85F8-E55AB9B0985B}"/>
    <cellStyle name="Normal 2 3 4 2 5 4 2" xfId="39620" xr:uid="{590F781E-7804-41E6-9019-79F7F46FA98F}"/>
    <cellStyle name="Normal 2 3 4 2 5 5" xfId="27029" xr:uid="{4DCF0F16-DB17-48C7-A8E6-DEB9994D9402}"/>
    <cellStyle name="Normal 2 3 4 2 6" xfId="2723" xr:uid="{19DAAE3F-0F73-4209-BA0A-DCE6547C9E7F}"/>
    <cellStyle name="Normal 2 3 4 2 6 2" xfId="5877" xr:uid="{F0A1C8AC-C5CF-4DD6-9B39-3BA64F1B0059}"/>
    <cellStyle name="Normal 2 3 4 2 6 2 2" xfId="12170" xr:uid="{D6DB8BD5-E49D-4BC9-A1E0-DD9A73962E65}"/>
    <cellStyle name="Normal 2 3 4 2 6 2 2 2" xfId="24852" xr:uid="{160B96CC-6C53-44DA-B908-E2C83128EDBB}"/>
    <cellStyle name="Normal 2 3 4 2 6 2 2 2 2" xfId="50344" xr:uid="{0D927074-1016-4CDA-AB83-111091CB7A57}"/>
    <cellStyle name="Normal 2 3 4 2 6 2 2 3" xfId="37753" xr:uid="{8D0FD8EA-1916-4874-9D5B-CCA4DC6F0F6E}"/>
    <cellStyle name="Normal 2 3 4 2 6 2 3" xfId="18574" xr:uid="{754E552E-2EC0-4DAD-B3AE-03C463D9189B}"/>
    <cellStyle name="Normal 2 3 4 2 6 2 3 2" xfId="44066" xr:uid="{C0841E54-9F7B-426E-85D0-7BF898D97634}"/>
    <cellStyle name="Normal 2 3 4 2 6 2 4" xfId="31475" xr:uid="{8AF9A1F7-6C25-40EB-9D28-8558E22BA6B8}"/>
    <cellStyle name="Normal 2 3 4 2 6 3" xfId="9031" xr:uid="{1269DBE3-DB16-42CC-BEBF-6E5E7D96642D}"/>
    <cellStyle name="Normal 2 3 4 2 6 3 2" xfId="21713" xr:uid="{58639027-C747-44D0-84D7-7F204DE26F6A}"/>
    <cellStyle name="Normal 2 3 4 2 6 3 2 2" xfId="47205" xr:uid="{488A4040-4DDD-4AC5-85FA-1BEE263CA899}"/>
    <cellStyle name="Normal 2 3 4 2 6 3 3" xfId="34614" xr:uid="{671CF2D1-30E1-4756-B576-58D58EBEC2F5}"/>
    <cellStyle name="Normal 2 3 4 2 6 4" xfId="15435" xr:uid="{959F8EC6-541A-4E7E-A5A6-066C37811276}"/>
    <cellStyle name="Normal 2 3 4 2 6 4 2" xfId="40927" xr:uid="{F7D07720-1E70-4030-9EF1-7D4ABE48EC16}"/>
    <cellStyle name="Normal 2 3 4 2 6 5" xfId="28336" xr:uid="{9B1F2540-0BA1-4965-97E3-A359875BBBCF}"/>
    <cellStyle name="Normal 2 3 4 2 7" xfId="3246" xr:uid="{C5E74830-562F-4ECF-BB25-ADAF21698041}"/>
    <cellStyle name="Normal 2 3 4 2 7 2" xfId="6400" xr:uid="{C195A548-6E53-44B4-9A4D-07F9099F765D}"/>
    <cellStyle name="Normal 2 3 4 2 7 2 2" xfId="12693" xr:uid="{29B2135B-51C3-43EE-93C7-FA89C5532C4B}"/>
    <cellStyle name="Normal 2 3 4 2 7 2 2 2" xfId="25375" xr:uid="{64296B34-A986-477F-85F9-75B333B705AB}"/>
    <cellStyle name="Normal 2 3 4 2 7 2 2 2 2" xfId="50867" xr:uid="{1DA2D9AC-7575-4881-B599-738E393FFBD0}"/>
    <cellStyle name="Normal 2 3 4 2 7 2 2 3" xfId="38276" xr:uid="{005FD248-D13E-4A7E-A489-3722E42A0CB8}"/>
    <cellStyle name="Normal 2 3 4 2 7 2 3" xfId="19097" xr:uid="{D4828C39-5DD7-449F-AB6B-5E1584039A0A}"/>
    <cellStyle name="Normal 2 3 4 2 7 2 3 2" xfId="44589" xr:uid="{C6BF1F1F-C63A-4F6F-91DD-CE134E4EF394}"/>
    <cellStyle name="Normal 2 3 4 2 7 2 4" xfId="31998" xr:uid="{35B9E6D5-2CB4-40BD-B31A-960E8F8AEEB4}"/>
    <cellStyle name="Normal 2 3 4 2 7 3" xfId="9554" xr:uid="{5D08A5A3-69CE-4FB6-9213-F901A40E76E3}"/>
    <cellStyle name="Normal 2 3 4 2 7 3 2" xfId="22236" xr:uid="{A83A9F68-33A8-4AFB-B442-F6A19AA63900}"/>
    <cellStyle name="Normal 2 3 4 2 7 3 2 2" xfId="47728" xr:uid="{DBAD23CC-65ED-421F-8DD7-C8A5E1EC3948}"/>
    <cellStyle name="Normal 2 3 4 2 7 3 3" xfId="35137" xr:uid="{16E2BE2D-2A8D-4372-8143-1262A3D7DBFD}"/>
    <cellStyle name="Normal 2 3 4 2 7 4" xfId="15958" xr:uid="{2F2A39CF-0E78-4BE4-AFFD-1DD7AB65F4F6}"/>
    <cellStyle name="Normal 2 3 4 2 7 4 2" xfId="41450" xr:uid="{3E043100-2FA0-4F9A-A703-72945DD9A2AC}"/>
    <cellStyle name="Normal 2 3 4 2 7 5" xfId="28859" xr:uid="{658A2511-3D48-4CEC-8DEF-48F9432EACD6}"/>
    <cellStyle name="Normal 2 3 4 2 8" xfId="3785" xr:uid="{994B7EE7-5509-4648-86C2-98559ADC264A}"/>
    <cellStyle name="Normal 2 3 4 2 8 2" xfId="10078" xr:uid="{68A7A5AE-7A78-44E5-93C8-A5D8C7E36C70}"/>
    <cellStyle name="Normal 2 3 4 2 8 2 2" xfId="22760" xr:uid="{9D605B3C-2024-4C6D-B167-A622D6A57BA3}"/>
    <cellStyle name="Normal 2 3 4 2 8 2 2 2" xfId="48252" xr:uid="{A069ABE4-1677-4872-BEDE-7D79FC11CF1A}"/>
    <cellStyle name="Normal 2 3 4 2 8 2 3" xfId="35661" xr:uid="{02654B9C-B396-4BF0-9BD5-B48626556F01}"/>
    <cellStyle name="Normal 2 3 4 2 8 3" xfId="16482" xr:uid="{BAF06599-2AD8-4C90-A043-A4819FE35C6A}"/>
    <cellStyle name="Normal 2 3 4 2 8 3 2" xfId="41974" xr:uid="{A2034A14-79B7-474D-BDAB-AE366A0A1EEB}"/>
    <cellStyle name="Normal 2 3 4 2 8 4" xfId="29383" xr:uid="{CB82378E-D946-4F09-9C72-79D3482AB896}"/>
    <cellStyle name="Normal 2 3 4 2 9" xfId="6939" xr:uid="{859FBB71-28D3-4BBA-8CF7-01C5C506F179}"/>
    <cellStyle name="Normal 2 3 4 2 9 2" xfId="19621" xr:uid="{1CC40939-628F-4A45-9990-B46E8E77602F}"/>
    <cellStyle name="Normal 2 3 4 2 9 2 2" xfId="45113" xr:uid="{C459AD23-6456-41C1-9526-997BE07535C2}"/>
    <cellStyle name="Normal 2 3 4 2 9 3" xfId="32522" xr:uid="{3C646ADB-831E-4A99-868F-52E08412E364}"/>
    <cellStyle name="Normal 2 3 4 3" xfId="994" xr:uid="{5EEEB723-04BF-45A8-BA23-236C4BD1EE2D}"/>
    <cellStyle name="Normal 2 3 4 3 2" xfId="2301" xr:uid="{CB2BF479-6A1D-454B-AE5B-AD265CA1B077}"/>
    <cellStyle name="Normal 2 3 4 3 2 2" xfId="5455" xr:uid="{13AAD3E9-E5A2-4254-A528-D5AF08528426}"/>
    <cellStyle name="Normal 2 3 4 3 2 2 2" xfId="11748" xr:uid="{735C7B88-2694-43E9-8CEF-818CEF645DA7}"/>
    <cellStyle name="Normal 2 3 4 3 2 2 2 2" xfId="24430" xr:uid="{000C5D98-11D2-41D3-9585-0A446E4BC2DA}"/>
    <cellStyle name="Normal 2 3 4 3 2 2 2 2 2" xfId="49922" xr:uid="{2BCB523E-2791-4F2F-B66F-2A1D22912837}"/>
    <cellStyle name="Normal 2 3 4 3 2 2 2 3" xfId="37331" xr:uid="{C172B502-094E-4455-95C0-F81B807C8F20}"/>
    <cellStyle name="Normal 2 3 4 3 2 2 3" xfId="18152" xr:uid="{A8A892AF-DE6E-4939-BCDD-5B4677A94DB4}"/>
    <cellStyle name="Normal 2 3 4 3 2 2 3 2" xfId="43644" xr:uid="{28EC464C-5D89-4C7A-8520-BBB856608714}"/>
    <cellStyle name="Normal 2 3 4 3 2 2 4" xfId="31053" xr:uid="{6B302C86-AD89-4035-A465-EC1DB2D41B0F}"/>
    <cellStyle name="Normal 2 3 4 3 2 3" xfId="8609" xr:uid="{906C791A-27CC-4031-B35F-95E321DB1B8D}"/>
    <cellStyle name="Normal 2 3 4 3 2 3 2" xfId="21291" xr:uid="{9DA5718A-148C-4DEA-9D12-9E8DE9950FCC}"/>
    <cellStyle name="Normal 2 3 4 3 2 3 2 2" xfId="46783" xr:uid="{95496A82-4870-4935-84D6-84BEAEC9F430}"/>
    <cellStyle name="Normal 2 3 4 3 2 3 3" xfId="34192" xr:uid="{356D0A17-0DA2-4E9E-98BE-74C589ED1C51}"/>
    <cellStyle name="Normal 2 3 4 3 2 4" xfId="15013" xr:uid="{61033882-692A-4219-BFC4-0531083B02C2}"/>
    <cellStyle name="Normal 2 3 4 3 2 4 2" xfId="40505" xr:uid="{859C91AB-8991-43E6-AA29-65D05B7A9FC2}"/>
    <cellStyle name="Normal 2 3 4 3 2 5" xfId="27914" xr:uid="{57F059E7-D64C-4325-A695-FEAA02D67F85}"/>
    <cellStyle name="Normal 2 3 4 3 3" xfId="1518" xr:uid="{ABDF3843-7C33-407D-AF16-9C7884100474}"/>
    <cellStyle name="Normal 2 3 4 3 3 2" xfId="4672" xr:uid="{C1266694-85C5-478B-8BF9-B709D5756136}"/>
    <cellStyle name="Normal 2 3 4 3 3 2 2" xfId="10965" xr:uid="{61B281C9-BA9C-41E5-92C6-55624C3B74C1}"/>
    <cellStyle name="Normal 2 3 4 3 3 2 2 2" xfId="23647" xr:uid="{A1CA086F-0D16-4331-ACB0-9EC2B49B2C2D}"/>
    <cellStyle name="Normal 2 3 4 3 3 2 2 2 2" xfId="49139" xr:uid="{01E1EC3F-5405-4C34-BFDE-D8807A984517}"/>
    <cellStyle name="Normal 2 3 4 3 3 2 2 3" xfId="36548" xr:uid="{1E8811C9-41BB-44F1-A4C2-000CE7289AA8}"/>
    <cellStyle name="Normal 2 3 4 3 3 2 3" xfId="17369" xr:uid="{BB04D148-658F-4075-BAA6-5ED14AC0DBAA}"/>
    <cellStyle name="Normal 2 3 4 3 3 2 3 2" xfId="42861" xr:uid="{33487727-5D5D-45B8-A061-BB1F5A8EB08C}"/>
    <cellStyle name="Normal 2 3 4 3 3 2 4" xfId="30270" xr:uid="{85093A9C-684D-4B02-A887-929C53CFC32B}"/>
    <cellStyle name="Normal 2 3 4 3 3 3" xfId="7826" xr:uid="{E943187D-DDA4-4EF6-AC6E-757E02592232}"/>
    <cellStyle name="Normal 2 3 4 3 3 3 2" xfId="20508" xr:uid="{2D8E1961-59AC-4997-BA88-0D2A22FAF429}"/>
    <cellStyle name="Normal 2 3 4 3 3 3 2 2" xfId="46000" xr:uid="{D89D6F9D-61F1-4BF2-8589-A9B3DACE5CBA}"/>
    <cellStyle name="Normal 2 3 4 3 3 3 3" xfId="33409" xr:uid="{878866C5-C5BD-450A-8CF7-B6ACDFB2DC1C}"/>
    <cellStyle name="Normal 2 3 4 3 3 4" xfId="14230" xr:uid="{7B496129-D5A7-4502-90F7-E552129BB1CA}"/>
    <cellStyle name="Normal 2 3 4 3 3 4 2" xfId="39722" xr:uid="{60008306-CE8E-4332-B466-CE7EBBFB0600}"/>
    <cellStyle name="Normal 2 3 4 3 3 5" xfId="27131" xr:uid="{66F8E9F9-731A-4AB7-B559-8E077E689BD1}"/>
    <cellStyle name="Normal 2 3 4 3 4" xfId="2825" xr:uid="{105BC3C6-B255-4C7A-AA8C-04B3A2E39B2C}"/>
    <cellStyle name="Normal 2 3 4 3 4 2" xfId="5979" xr:uid="{B786C259-4135-4ED8-B98A-A2FAEA7EFF93}"/>
    <cellStyle name="Normal 2 3 4 3 4 2 2" xfId="12272" xr:uid="{88F174A0-A092-468E-94E8-0FFBADE84991}"/>
    <cellStyle name="Normal 2 3 4 3 4 2 2 2" xfId="24954" xr:uid="{B02FCB50-EEC7-4F1D-BFA2-DCF37116FB60}"/>
    <cellStyle name="Normal 2 3 4 3 4 2 2 2 2" xfId="50446" xr:uid="{596E50E8-E351-4441-9299-5304973DEFCB}"/>
    <cellStyle name="Normal 2 3 4 3 4 2 2 3" xfId="37855" xr:uid="{8F2DB437-CEE5-41DB-B7C6-993B78773A6E}"/>
    <cellStyle name="Normal 2 3 4 3 4 2 3" xfId="18676" xr:uid="{861C4017-5DBC-4D16-8D91-44E090790713}"/>
    <cellStyle name="Normal 2 3 4 3 4 2 3 2" xfId="44168" xr:uid="{64FFB9CE-A8BC-4B4B-8EDC-179F3095B535}"/>
    <cellStyle name="Normal 2 3 4 3 4 2 4" xfId="31577" xr:uid="{50964534-7B62-439F-828A-90830968B1DD}"/>
    <cellStyle name="Normal 2 3 4 3 4 3" xfId="9133" xr:uid="{16449E24-54DA-4E08-BDEA-57369AD6CC34}"/>
    <cellStyle name="Normal 2 3 4 3 4 3 2" xfId="21815" xr:uid="{CEF011C2-7D73-4B0D-B4C0-4288BF1F1FA0}"/>
    <cellStyle name="Normal 2 3 4 3 4 3 2 2" xfId="47307" xr:uid="{7B62ADF0-BF0B-4747-9FCD-C52573B93882}"/>
    <cellStyle name="Normal 2 3 4 3 4 3 3" xfId="34716" xr:uid="{9C23DE36-523F-4533-A415-0087BF453DD3}"/>
    <cellStyle name="Normal 2 3 4 3 4 4" xfId="15537" xr:uid="{B91360F0-70D1-4005-BB4C-73E7698E3336}"/>
    <cellStyle name="Normal 2 3 4 3 4 4 2" xfId="41029" xr:uid="{338F6645-013C-4C2D-986E-E57DC7433AEA}"/>
    <cellStyle name="Normal 2 3 4 3 4 5" xfId="28438" xr:uid="{E5B6C29F-9E3B-45F2-9D51-D738308DC129}"/>
    <cellStyle name="Normal 2 3 4 3 5" xfId="3348" xr:uid="{206DAFA5-EE07-4715-AB05-E016C8ED5879}"/>
    <cellStyle name="Normal 2 3 4 3 5 2" xfId="6502" xr:uid="{DDA6DE2C-60C2-4798-9BD1-699AE37EB84B}"/>
    <cellStyle name="Normal 2 3 4 3 5 2 2" xfId="12795" xr:uid="{4C46D298-6C59-4B27-BC63-3F13169FBB49}"/>
    <cellStyle name="Normal 2 3 4 3 5 2 2 2" xfId="25477" xr:uid="{212D2EA5-8447-449B-8EC0-B2875344F5CD}"/>
    <cellStyle name="Normal 2 3 4 3 5 2 2 2 2" xfId="50969" xr:uid="{219BAC86-3886-425E-910A-BAF01F9E4A8D}"/>
    <cellStyle name="Normal 2 3 4 3 5 2 2 3" xfId="38378" xr:uid="{65D4B4F2-1892-4BD8-AB26-0056566C0C28}"/>
    <cellStyle name="Normal 2 3 4 3 5 2 3" xfId="19199" xr:uid="{84363C14-F975-4E5E-A3E5-22BAF1C7BB6F}"/>
    <cellStyle name="Normal 2 3 4 3 5 2 3 2" xfId="44691" xr:uid="{28AD2E11-53A8-47F8-A3E3-41F9F6A78CEF}"/>
    <cellStyle name="Normal 2 3 4 3 5 2 4" xfId="32100" xr:uid="{6B7ED956-E15F-4093-A435-AB6F264646CB}"/>
    <cellStyle name="Normal 2 3 4 3 5 3" xfId="9656" xr:uid="{99CC2D11-5F8D-4D73-B88A-688255F76513}"/>
    <cellStyle name="Normal 2 3 4 3 5 3 2" xfId="22338" xr:uid="{1D8A1607-B2F0-43A7-9F48-241386317534}"/>
    <cellStyle name="Normal 2 3 4 3 5 3 2 2" xfId="47830" xr:uid="{BF13F87F-D8AD-47AF-9B86-88E032663AA3}"/>
    <cellStyle name="Normal 2 3 4 3 5 3 3" xfId="35239" xr:uid="{F5DDD229-5145-465F-B5B2-798D674093DC}"/>
    <cellStyle name="Normal 2 3 4 3 5 4" xfId="16060" xr:uid="{F30F9DEF-7AF7-4234-AD7E-B94EEC07B314}"/>
    <cellStyle name="Normal 2 3 4 3 5 4 2" xfId="41552" xr:uid="{06288CF6-3C78-4208-9BBF-D9F5D642A8E8}"/>
    <cellStyle name="Normal 2 3 4 3 5 5" xfId="28961" xr:uid="{715D5D5B-2D27-4903-8F59-7058391A9BDA}"/>
    <cellStyle name="Normal 2 3 4 3 6" xfId="4148" xr:uid="{F9F9FA99-873F-4963-AAEB-AD921BB6E142}"/>
    <cellStyle name="Normal 2 3 4 3 6 2" xfId="10441" xr:uid="{134EAD5E-4BBC-41D6-8D9F-71A15CE6F546}"/>
    <cellStyle name="Normal 2 3 4 3 6 2 2" xfId="23123" xr:uid="{8A6FD5FB-4590-4548-9E3D-F6F378439844}"/>
    <cellStyle name="Normal 2 3 4 3 6 2 2 2" xfId="48615" xr:uid="{AB0504ED-9AE2-4122-B086-40B6A4A895C9}"/>
    <cellStyle name="Normal 2 3 4 3 6 2 3" xfId="36024" xr:uid="{50412A78-FC9B-4FCA-BE68-ABE87FA8D98D}"/>
    <cellStyle name="Normal 2 3 4 3 6 3" xfId="16845" xr:uid="{3BAB28ED-2A56-4007-A1DA-51F397863890}"/>
    <cellStyle name="Normal 2 3 4 3 6 3 2" xfId="42337" xr:uid="{751DDE6E-3FF2-46F1-BF07-FA812A4B27A0}"/>
    <cellStyle name="Normal 2 3 4 3 6 4" xfId="29746" xr:uid="{8E90B85D-5568-4E1A-BF78-181F97A8F80C}"/>
    <cellStyle name="Normal 2 3 4 3 7" xfId="7302" xr:uid="{457866CF-0391-4123-9983-3AA7EA0AEB96}"/>
    <cellStyle name="Normal 2 3 4 3 7 2" xfId="19984" xr:uid="{DC6E3555-3555-4779-B03F-2A6670173E9A}"/>
    <cellStyle name="Normal 2 3 4 3 7 2 2" xfId="45476" xr:uid="{245BE764-060E-4585-B459-D325090C2C56}"/>
    <cellStyle name="Normal 2 3 4 3 7 3" xfId="32885" xr:uid="{679FCC04-64A6-411C-8317-34F8570D6217}"/>
    <cellStyle name="Normal 2 3 4 3 8" xfId="13706" xr:uid="{0FD648A3-78F7-412C-A875-C5ECDACDC7F3}"/>
    <cellStyle name="Normal 2 3 4 3 8 2" xfId="39198" xr:uid="{590F31B7-4E08-4C5D-884B-15903F602BFD}"/>
    <cellStyle name="Normal 2 3 4 3 9" xfId="26607" xr:uid="{912B9594-6F00-4B3C-84AF-0F1485A40AB3}"/>
    <cellStyle name="Normal 2 3 4 4" xfId="734" xr:uid="{FB1053B9-6CE1-4205-9F72-1892876CDE7C}"/>
    <cellStyle name="Normal 2 3 4 4 2" xfId="2041" xr:uid="{78AFCDFA-AFEC-4AA0-958E-CF35D88EDFDC}"/>
    <cellStyle name="Normal 2 3 4 4 2 2" xfId="5195" xr:uid="{26188BC1-5BBC-466B-BC4C-D460C8D272F7}"/>
    <cellStyle name="Normal 2 3 4 4 2 2 2" xfId="11488" xr:uid="{206B154A-570E-4A3C-872A-D592FDF5B2FD}"/>
    <cellStyle name="Normal 2 3 4 4 2 2 2 2" xfId="24170" xr:uid="{AA09929E-4752-48B4-B0A8-6FF6EDABFFE9}"/>
    <cellStyle name="Normal 2 3 4 4 2 2 2 2 2" xfId="49662" xr:uid="{7866809D-0CC3-4F5F-BF48-77A82D622BB8}"/>
    <cellStyle name="Normal 2 3 4 4 2 2 2 3" xfId="37071" xr:uid="{B60F4804-B0AE-4B6E-825A-66FDF2898033}"/>
    <cellStyle name="Normal 2 3 4 4 2 2 3" xfId="17892" xr:uid="{2DE1102D-AD88-44C7-A17E-CE1DE31F10AF}"/>
    <cellStyle name="Normal 2 3 4 4 2 2 3 2" xfId="43384" xr:uid="{3B0F813F-CD78-41BA-9233-1AA3E5130736}"/>
    <cellStyle name="Normal 2 3 4 4 2 2 4" xfId="30793" xr:uid="{0D450BB4-2632-4B51-BAD9-69FA0BB3A5C2}"/>
    <cellStyle name="Normal 2 3 4 4 2 3" xfId="8349" xr:uid="{FC7D6C53-B092-4E39-BD87-0F0C5BBAADC6}"/>
    <cellStyle name="Normal 2 3 4 4 2 3 2" xfId="21031" xr:uid="{31D66749-3E89-41E9-B34C-7FFB7D1D57D0}"/>
    <cellStyle name="Normal 2 3 4 4 2 3 2 2" xfId="46523" xr:uid="{F34E7B7A-C084-4C9A-9BB5-F2961463E367}"/>
    <cellStyle name="Normal 2 3 4 4 2 3 3" xfId="33932" xr:uid="{CC9D391B-D5A4-4A1E-8E5C-137D245C4882}"/>
    <cellStyle name="Normal 2 3 4 4 2 4" xfId="14753" xr:uid="{C025D361-944B-4E74-BE8C-8D2C754294BA}"/>
    <cellStyle name="Normal 2 3 4 4 2 4 2" xfId="40245" xr:uid="{8D1ECC50-B0AC-476A-B037-6AD9946804C6}"/>
    <cellStyle name="Normal 2 3 4 4 2 5" xfId="27654" xr:uid="{2F68A003-42B1-4A6F-8480-C0796FBC7A61}"/>
    <cellStyle name="Normal 2 3 4 4 3" xfId="3888" xr:uid="{58DEF5A0-A0EC-4800-A8FB-FB8B0B792A3A}"/>
    <cellStyle name="Normal 2 3 4 4 3 2" xfId="10181" xr:uid="{E6A056F2-F33F-405A-860F-77CC7E975BE1}"/>
    <cellStyle name="Normal 2 3 4 4 3 2 2" xfId="22863" xr:uid="{454F8287-E58C-4375-8742-B68ACE302B7F}"/>
    <cellStyle name="Normal 2 3 4 4 3 2 2 2" xfId="48355" xr:uid="{16D3D86A-96E1-4D20-8E1F-A6AD5BE4095D}"/>
    <cellStyle name="Normal 2 3 4 4 3 2 3" xfId="35764" xr:uid="{51D8945D-6A3A-4729-9D65-FDE3BBB792B0}"/>
    <cellStyle name="Normal 2 3 4 4 3 3" xfId="16585" xr:uid="{08F11EC7-4028-46CC-BFA7-5530A1B53E5C}"/>
    <cellStyle name="Normal 2 3 4 4 3 3 2" xfId="42077" xr:uid="{CB7B79AA-384C-475E-9274-85A354F1B4AE}"/>
    <cellStyle name="Normal 2 3 4 4 3 4" xfId="29486" xr:uid="{5535D13E-EC85-4A32-B6AC-62820C8B7790}"/>
    <cellStyle name="Normal 2 3 4 4 4" xfId="7042" xr:uid="{4AD120CB-E4D4-4B64-BC2F-04A50B53549E}"/>
    <cellStyle name="Normal 2 3 4 4 4 2" xfId="19724" xr:uid="{125DDA02-A9D3-447B-84EE-74088DDE7807}"/>
    <cellStyle name="Normal 2 3 4 4 4 2 2" xfId="45216" xr:uid="{AAFFA95A-1726-49BE-A283-2056EFCCF510}"/>
    <cellStyle name="Normal 2 3 4 4 4 3" xfId="32625" xr:uid="{8A80EDC2-35D9-430C-ADE9-5045BDEF4402}"/>
    <cellStyle name="Normal 2 3 4 4 5" xfId="13446" xr:uid="{B2E3B009-D318-4896-BAC4-6643762EF00B}"/>
    <cellStyle name="Normal 2 3 4 4 5 2" xfId="38938" xr:uid="{E5CF12E4-BAAD-4391-B317-1669E3C12357}"/>
    <cellStyle name="Normal 2 3 4 4 6" xfId="26347" xr:uid="{E4C71125-2EFC-4E6A-B3CE-BC356D58B43E}"/>
    <cellStyle name="Normal 2 3 4 5" xfId="1779" xr:uid="{CBDF584B-D0E3-41BE-BC71-31A835DA20A9}"/>
    <cellStyle name="Normal 2 3 4 5 2" xfId="4933" xr:uid="{B9D54E47-1E27-4246-97B0-704555235ABD}"/>
    <cellStyle name="Normal 2 3 4 5 2 2" xfId="11226" xr:uid="{0AE996A4-5856-4AD6-B961-744EBD45E26E}"/>
    <cellStyle name="Normal 2 3 4 5 2 2 2" xfId="23908" xr:uid="{01F25C2A-363E-4FB3-B206-B60CA9B72888}"/>
    <cellStyle name="Normal 2 3 4 5 2 2 2 2" xfId="49400" xr:uid="{5CE263C3-C8A8-434D-9B99-C5CA52E2ABB9}"/>
    <cellStyle name="Normal 2 3 4 5 2 2 3" xfId="36809" xr:uid="{1805397F-3800-44DB-B475-497252C7D144}"/>
    <cellStyle name="Normal 2 3 4 5 2 3" xfId="17630" xr:uid="{BE829B77-06F0-4DAC-BECE-0B6249045D40}"/>
    <cellStyle name="Normal 2 3 4 5 2 3 2" xfId="43122" xr:uid="{DF0C88AC-DCD6-416F-A28C-3FAF7A542F1E}"/>
    <cellStyle name="Normal 2 3 4 5 2 4" xfId="30531" xr:uid="{3BBF3637-A97A-499C-92CB-5D9C48E76C5F}"/>
    <cellStyle name="Normal 2 3 4 5 3" xfId="8087" xr:uid="{FC0CC994-F77A-46A1-B99E-96D1326910CF}"/>
    <cellStyle name="Normal 2 3 4 5 3 2" xfId="20769" xr:uid="{58FBC658-0B56-47AB-941C-4A8D61B0A38A}"/>
    <cellStyle name="Normal 2 3 4 5 3 2 2" xfId="46261" xr:uid="{2E501633-8A98-4FEC-A505-C804807499AE}"/>
    <cellStyle name="Normal 2 3 4 5 3 3" xfId="33670" xr:uid="{0FE77576-D15B-4FF5-9BD2-7644324C89BC}"/>
    <cellStyle name="Normal 2 3 4 5 4" xfId="14491" xr:uid="{5CF810C7-8C4E-4592-96D5-F29CA05C85F1}"/>
    <cellStyle name="Normal 2 3 4 5 4 2" xfId="39983" xr:uid="{BB417F77-1A1B-443B-9A0A-A43583D5F630}"/>
    <cellStyle name="Normal 2 3 4 5 5" xfId="27392" xr:uid="{57D41B07-E73B-4866-8147-683405A31490}"/>
    <cellStyle name="Normal 2 3 4 6" xfId="1257" xr:uid="{BEAEF302-A13B-4A92-AA85-8E52021F45F1}"/>
    <cellStyle name="Normal 2 3 4 6 2" xfId="4411" xr:uid="{06B25686-C35E-4E27-B224-C175AC744F6B}"/>
    <cellStyle name="Normal 2 3 4 6 2 2" xfId="10704" xr:uid="{D61894B3-A6B1-4151-A72F-2F87094A3E91}"/>
    <cellStyle name="Normal 2 3 4 6 2 2 2" xfId="23386" xr:uid="{3E4FB23A-ADE8-4850-9BD2-7699678D3028}"/>
    <cellStyle name="Normal 2 3 4 6 2 2 2 2" xfId="48878" xr:uid="{C72C6850-C410-4AE0-9807-B16956D74F72}"/>
    <cellStyle name="Normal 2 3 4 6 2 2 3" xfId="36287" xr:uid="{06825B57-6A16-46F8-96EF-CD2743FFA1D1}"/>
    <cellStyle name="Normal 2 3 4 6 2 3" xfId="17108" xr:uid="{F881E435-09BD-4994-8CC2-2D2EAFD04334}"/>
    <cellStyle name="Normal 2 3 4 6 2 3 2" xfId="42600" xr:uid="{334CBB5B-BBFE-49B3-988F-E2E4E182CD4B}"/>
    <cellStyle name="Normal 2 3 4 6 2 4" xfId="30009" xr:uid="{C091FF27-7698-42C7-82FA-2BBE9DD77951}"/>
    <cellStyle name="Normal 2 3 4 6 3" xfId="7565" xr:uid="{5F324274-773B-4017-8952-410C3D4DB9A7}"/>
    <cellStyle name="Normal 2 3 4 6 3 2" xfId="20247" xr:uid="{95A935F0-E0BD-43DC-BAC9-3D7C1BBF7774}"/>
    <cellStyle name="Normal 2 3 4 6 3 2 2" xfId="45739" xr:uid="{B1581FB4-C65A-446F-8378-F4DD6FD20EF2}"/>
    <cellStyle name="Normal 2 3 4 6 3 3" xfId="33148" xr:uid="{9D2306C9-4FC9-41E5-B639-AB5835F25850}"/>
    <cellStyle name="Normal 2 3 4 6 4" xfId="13969" xr:uid="{4D6D1CBB-27EA-420A-A87F-B1A62527C58C}"/>
    <cellStyle name="Normal 2 3 4 6 4 2" xfId="39461" xr:uid="{4058B4C1-62F2-494F-A4EA-EB108626A187}"/>
    <cellStyle name="Normal 2 3 4 6 5" xfId="26870" xr:uid="{169120F7-6745-499C-8A6B-364901C81313}"/>
    <cellStyle name="Normal 2 3 4 7" xfId="2564" xr:uid="{215769E0-108F-4130-AB14-598268751E86}"/>
    <cellStyle name="Normal 2 3 4 7 2" xfId="5718" xr:uid="{F395E9F8-20D0-4C56-9FA5-D897CA9649B9}"/>
    <cellStyle name="Normal 2 3 4 7 2 2" xfId="12011" xr:uid="{8756D0E6-C3F4-45FD-B4EE-A0DD161CCCBC}"/>
    <cellStyle name="Normal 2 3 4 7 2 2 2" xfId="24693" xr:uid="{880FB9B4-77B0-4C5F-8FE2-F70C6C3CF597}"/>
    <cellStyle name="Normal 2 3 4 7 2 2 2 2" xfId="50185" xr:uid="{CCAEE44C-9BD9-42D6-9405-9036848227B1}"/>
    <cellStyle name="Normal 2 3 4 7 2 2 3" xfId="37594" xr:uid="{DA365D4F-1897-44F8-9C83-7BBF85AD8D47}"/>
    <cellStyle name="Normal 2 3 4 7 2 3" xfId="18415" xr:uid="{7666BC3D-A24F-4264-9ADD-329B81399498}"/>
    <cellStyle name="Normal 2 3 4 7 2 3 2" xfId="43907" xr:uid="{7C5DCB25-5B67-4FB4-B1E9-82E33D27CD8F}"/>
    <cellStyle name="Normal 2 3 4 7 2 4" xfId="31316" xr:uid="{60FD7461-3E6F-41DC-B145-3060A38FD8E7}"/>
    <cellStyle name="Normal 2 3 4 7 3" xfId="8872" xr:uid="{4E1B3C20-6596-499D-B9B5-294196102774}"/>
    <cellStyle name="Normal 2 3 4 7 3 2" xfId="21554" xr:uid="{F6860FCB-FEB3-4727-B469-7ADAE073C687}"/>
    <cellStyle name="Normal 2 3 4 7 3 2 2" xfId="47046" xr:uid="{89F739CF-FC4F-4A73-B33C-C842652BBBB9}"/>
    <cellStyle name="Normal 2 3 4 7 3 3" xfId="34455" xr:uid="{0B153B7D-95F8-476A-BDD2-524503187FDD}"/>
    <cellStyle name="Normal 2 3 4 7 4" xfId="15276" xr:uid="{635829AA-6DD2-41F3-95CA-4CDFAB77E715}"/>
    <cellStyle name="Normal 2 3 4 7 4 2" xfId="40768" xr:uid="{4A296408-C846-4F85-8346-69F101F6F6C0}"/>
    <cellStyle name="Normal 2 3 4 7 5" xfId="28177" xr:uid="{13588BAC-CD70-4BBA-A877-39004F4AC04F}"/>
    <cellStyle name="Normal 2 3 4 8" xfId="3087" xr:uid="{5390721A-2748-4CFA-8A63-E929ECF80DD6}"/>
    <cellStyle name="Normal 2 3 4 8 2" xfId="6241" xr:uid="{915DF87F-2022-4411-B482-8E012A4D8F84}"/>
    <cellStyle name="Normal 2 3 4 8 2 2" xfId="12534" xr:uid="{92B572CF-CF44-497A-88F6-A79E8C16D917}"/>
    <cellStyle name="Normal 2 3 4 8 2 2 2" xfId="25216" xr:uid="{73AFF2AA-3F62-4130-B4AD-ADB5427AB632}"/>
    <cellStyle name="Normal 2 3 4 8 2 2 2 2" xfId="50708" xr:uid="{37073B20-F011-44A6-AEC4-0419A3C31674}"/>
    <cellStyle name="Normal 2 3 4 8 2 2 3" xfId="38117" xr:uid="{93E233DE-A68E-4789-A68A-8521EF057315}"/>
    <cellStyle name="Normal 2 3 4 8 2 3" xfId="18938" xr:uid="{4B791C78-4A03-4578-A172-7642E61BFDB7}"/>
    <cellStyle name="Normal 2 3 4 8 2 3 2" xfId="44430" xr:uid="{9C6C3FA5-6B87-4ED4-8D26-0E73E18BB230}"/>
    <cellStyle name="Normal 2 3 4 8 2 4" xfId="31839" xr:uid="{ADE96CE6-8063-42C5-A831-90A03F80DF01}"/>
    <cellStyle name="Normal 2 3 4 8 3" xfId="9395" xr:uid="{51C1F43A-8510-49B6-B2F7-89C9CF8A87A6}"/>
    <cellStyle name="Normal 2 3 4 8 3 2" xfId="22077" xr:uid="{FA6A7974-8CDE-40DC-8F59-027BCBFC9415}"/>
    <cellStyle name="Normal 2 3 4 8 3 2 2" xfId="47569" xr:uid="{184FDE2D-DD25-4AFF-B91F-238CA0028621}"/>
    <cellStyle name="Normal 2 3 4 8 3 3" xfId="34978" xr:uid="{83A5B7A0-F262-4E06-A153-83AEC8CCBB00}"/>
    <cellStyle name="Normal 2 3 4 8 4" xfId="15799" xr:uid="{BDB4BF77-D5BA-4512-B237-11ECFB6B32D4}"/>
    <cellStyle name="Normal 2 3 4 8 4 2" xfId="41291" xr:uid="{83502767-0FC2-448E-98A4-B96634D2FECA}"/>
    <cellStyle name="Normal 2 3 4 8 5" xfId="28700" xr:uid="{359C7785-80FF-49E7-86D1-6C2D573340B8}"/>
    <cellStyle name="Normal 2 3 4 9" xfId="3626" xr:uid="{7BEDCFE4-1E3B-4681-A415-D59B4213356B}"/>
    <cellStyle name="Normal 2 3 4 9 2" xfId="9919" xr:uid="{1E47F312-465B-49BE-802B-E92B4C2C2A0F}"/>
    <cellStyle name="Normal 2 3 4 9 2 2" xfId="22601" xr:uid="{95B613F9-1DB4-44DB-9EDA-FB83725BB86D}"/>
    <cellStyle name="Normal 2 3 4 9 2 2 2" xfId="48093" xr:uid="{654729DD-10F5-4AD1-B82D-BAB039AA5C17}"/>
    <cellStyle name="Normal 2 3 4 9 2 3" xfId="35502" xr:uid="{3B656172-7CD2-4A90-805C-B366B03B6272}"/>
    <cellStyle name="Normal 2 3 4 9 3" xfId="16323" xr:uid="{DEDB40E9-9F24-4091-ABE0-40FA153FC155}"/>
    <cellStyle name="Normal 2 3 4 9 3 2" xfId="41815" xr:uid="{3A722539-B392-452E-AD65-BD2019B81D80}"/>
    <cellStyle name="Normal 2 3 4 9 4" xfId="29224" xr:uid="{D7626EF9-BF17-412E-973D-9F9F907FD553}"/>
    <cellStyle name="Normal 2 3 5" xfId="574" xr:uid="{70156FDC-664A-4B15-BCA3-B9D80DC4AD9D}"/>
    <cellStyle name="Normal 2 3 5 10" xfId="13301" xr:uid="{6561D38A-76BF-4093-B209-2415E6974ECD}"/>
    <cellStyle name="Normal 2 3 5 10 2" xfId="38793" xr:uid="{0A6BA4C5-8BA2-4547-8153-381481ED27AD}"/>
    <cellStyle name="Normal 2 3 5 11" xfId="26202" xr:uid="{B2627F17-4E72-4096-A232-7EF4131C4E74}"/>
    <cellStyle name="Normal 2 3 5 2" xfId="1111" xr:uid="{06837518-130E-4947-A983-CF1896CB7494}"/>
    <cellStyle name="Normal 2 3 5 2 2" xfId="2418" xr:uid="{07DDBC2F-4F3B-4FE5-8888-CB807479B158}"/>
    <cellStyle name="Normal 2 3 5 2 2 2" xfId="5572" xr:uid="{37B17AEF-0401-425D-BDD5-AC97D8007E62}"/>
    <cellStyle name="Normal 2 3 5 2 2 2 2" xfId="11865" xr:uid="{142583B2-394E-4E48-A6D9-8C0E125AE36F}"/>
    <cellStyle name="Normal 2 3 5 2 2 2 2 2" xfId="24547" xr:uid="{9E44F6D7-6BC1-46E0-BA72-383A1BA1B252}"/>
    <cellStyle name="Normal 2 3 5 2 2 2 2 2 2" xfId="50039" xr:uid="{369FF423-E337-490C-8161-10F45A55C14E}"/>
    <cellStyle name="Normal 2 3 5 2 2 2 2 3" xfId="37448" xr:uid="{D9A4014D-59D3-45AC-BB9D-A435A2FFFF17}"/>
    <cellStyle name="Normal 2 3 5 2 2 2 3" xfId="18269" xr:uid="{BB0C7D2D-9C76-4226-A96F-ED1025D37CCE}"/>
    <cellStyle name="Normal 2 3 5 2 2 2 3 2" xfId="43761" xr:uid="{B6465888-DA11-45DC-88F7-AED4BA32F683}"/>
    <cellStyle name="Normal 2 3 5 2 2 2 4" xfId="31170" xr:uid="{A86D6341-9681-4969-BF30-0317E87992C6}"/>
    <cellStyle name="Normal 2 3 5 2 2 3" xfId="8726" xr:uid="{B299B55E-7B29-42A2-AAEC-B1C85B74E19C}"/>
    <cellStyle name="Normal 2 3 5 2 2 3 2" xfId="21408" xr:uid="{A00BD9CA-92B3-4C3C-AF9E-B7EF269B6574}"/>
    <cellStyle name="Normal 2 3 5 2 2 3 2 2" xfId="46900" xr:uid="{4FC957C6-ABCB-4824-8EBB-7FF2EDBD8DDE}"/>
    <cellStyle name="Normal 2 3 5 2 2 3 3" xfId="34309" xr:uid="{FDDC108D-8BF5-4280-B2C0-02A92FF57113}"/>
    <cellStyle name="Normal 2 3 5 2 2 4" xfId="15130" xr:uid="{8181EAF7-E1B4-46E0-99EA-E4E62316A6F8}"/>
    <cellStyle name="Normal 2 3 5 2 2 4 2" xfId="40622" xr:uid="{C9DAB8A2-379B-449F-A5DF-C9B58DCF1C5F}"/>
    <cellStyle name="Normal 2 3 5 2 2 5" xfId="28031" xr:uid="{B6870431-B0B0-422E-98DE-A74329A2BFF8}"/>
    <cellStyle name="Normal 2 3 5 2 3" xfId="1635" xr:uid="{01B7FA6C-0C32-407F-98CA-B98604B95EF5}"/>
    <cellStyle name="Normal 2 3 5 2 3 2" xfId="4789" xr:uid="{458C152D-9E48-4CC9-BC0A-3A391AB27CA0}"/>
    <cellStyle name="Normal 2 3 5 2 3 2 2" xfId="11082" xr:uid="{CAC19EA8-C0B8-456F-BA97-4906EC119B57}"/>
    <cellStyle name="Normal 2 3 5 2 3 2 2 2" xfId="23764" xr:uid="{165A5164-7245-424B-94B8-7C995987C9DE}"/>
    <cellStyle name="Normal 2 3 5 2 3 2 2 2 2" xfId="49256" xr:uid="{A9317EDC-D319-49AF-B285-7D699DBC7DC4}"/>
    <cellStyle name="Normal 2 3 5 2 3 2 2 3" xfId="36665" xr:uid="{1D408BCF-9DDF-4E27-8BD0-419F16C6D485}"/>
    <cellStyle name="Normal 2 3 5 2 3 2 3" xfId="17486" xr:uid="{EE241762-5048-4FB2-9E6C-7E12A73C7972}"/>
    <cellStyle name="Normal 2 3 5 2 3 2 3 2" xfId="42978" xr:uid="{2E926E23-2660-4EE9-9479-C28EA4B4A98D}"/>
    <cellStyle name="Normal 2 3 5 2 3 2 4" xfId="30387" xr:uid="{99948CBB-FE2F-42D9-AA34-35FAA2A21AFA}"/>
    <cellStyle name="Normal 2 3 5 2 3 3" xfId="7943" xr:uid="{E31D3CEE-6F6A-4597-A7FF-2A5F51EC4F11}"/>
    <cellStyle name="Normal 2 3 5 2 3 3 2" xfId="20625" xr:uid="{5B4920B5-38C8-47BF-9A60-8E77C48DE08A}"/>
    <cellStyle name="Normal 2 3 5 2 3 3 2 2" xfId="46117" xr:uid="{FB5A1070-0C79-45B8-A20D-F701F06C7FA2}"/>
    <cellStyle name="Normal 2 3 5 2 3 3 3" xfId="33526" xr:uid="{AEBF76EF-A3A9-4314-BC87-E4BF63731551}"/>
    <cellStyle name="Normal 2 3 5 2 3 4" xfId="14347" xr:uid="{B4A63356-4F1E-465C-9893-DF0894A2EE5D}"/>
    <cellStyle name="Normal 2 3 5 2 3 4 2" xfId="39839" xr:uid="{E8661412-227E-456C-922C-4A33DF1A6147}"/>
    <cellStyle name="Normal 2 3 5 2 3 5" xfId="27248" xr:uid="{9048B19E-2FB3-42C9-956B-948A181731F4}"/>
    <cellStyle name="Normal 2 3 5 2 4" xfId="2942" xr:uid="{696364C6-CBDE-46D4-8C27-F2ADC989B5B0}"/>
    <cellStyle name="Normal 2 3 5 2 4 2" xfId="6096" xr:uid="{29A98865-AB25-4351-A08B-B633FF7588B6}"/>
    <cellStyle name="Normal 2 3 5 2 4 2 2" xfId="12389" xr:uid="{87AF08CD-A583-4BFD-A75D-C76F639DB3A6}"/>
    <cellStyle name="Normal 2 3 5 2 4 2 2 2" xfId="25071" xr:uid="{EC9C3F98-87AE-4284-9734-82E80EAF583A}"/>
    <cellStyle name="Normal 2 3 5 2 4 2 2 2 2" xfId="50563" xr:uid="{D4774719-8271-4CEE-9328-FE3B7E334198}"/>
    <cellStyle name="Normal 2 3 5 2 4 2 2 3" xfId="37972" xr:uid="{593D7BF6-8B16-4865-A439-373057091CDB}"/>
    <cellStyle name="Normal 2 3 5 2 4 2 3" xfId="18793" xr:uid="{B352E403-E285-4183-A95F-B44EFB1257E9}"/>
    <cellStyle name="Normal 2 3 5 2 4 2 3 2" xfId="44285" xr:uid="{B2F5A689-E413-4266-A629-27EA3C9F8F01}"/>
    <cellStyle name="Normal 2 3 5 2 4 2 4" xfId="31694" xr:uid="{2F29F43B-F033-4F4E-85AC-735B0618A9E7}"/>
    <cellStyle name="Normal 2 3 5 2 4 3" xfId="9250" xr:uid="{986E0A91-77B2-4A94-820B-D0125A128D59}"/>
    <cellStyle name="Normal 2 3 5 2 4 3 2" xfId="21932" xr:uid="{6D14F79E-6DA1-4924-A424-11F2C9EB304E}"/>
    <cellStyle name="Normal 2 3 5 2 4 3 2 2" xfId="47424" xr:uid="{5F576502-8F2D-46F3-B6B2-046D3F0A7E65}"/>
    <cellStyle name="Normal 2 3 5 2 4 3 3" xfId="34833" xr:uid="{C65020CA-15F2-431A-A6C1-28B95A06C183}"/>
    <cellStyle name="Normal 2 3 5 2 4 4" xfId="15654" xr:uid="{55F4EEC4-6500-42C2-9975-9AD79212C853}"/>
    <cellStyle name="Normal 2 3 5 2 4 4 2" xfId="41146" xr:uid="{6139D3EA-440D-4984-B3AE-1BBA7F9638D4}"/>
    <cellStyle name="Normal 2 3 5 2 4 5" xfId="28555" xr:uid="{A514C59E-7E93-4DC4-A802-2D19A5595030}"/>
    <cellStyle name="Normal 2 3 5 2 5" xfId="3465" xr:uid="{FDBE3CA2-29E3-442A-90DC-A1914714CC8C}"/>
    <cellStyle name="Normal 2 3 5 2 5 2" xfId="6619" xr:uid="{E928CC5F-3B68-431C-AEA4-5FF956D0503B}"/>
    <cellStyle name="Normal 2 3 5 2 5 2 2" xfId="12912" xr:uid="{3555C9F6-417A-45F2-A68C-C6C3F73F4976}"/>
    <cellStyle name="Normal 2 3 5 2 5 2 2 2" xfId="25594" xr:uid="{0668A154-2B18-4E38-8FB0-FE96BF53C752}"/>
    <cellStyle name="Normal 2 3 5 2 5 2 2 2 2" xfId="51086" xr:uid="{291A36CF-818C-43CF-BC1E-40AF89BFEAF5}"/>
    <cellStyle name="Normal 2 3 5 2 5 2 2 3" xfId="38495" xr:uid="{BFCB5670-E092-4E2B-8093-02520277F965}"/>
    <cellStyle name="Normal 2 3 5 2 5 2 3" xfId="19316" xr:uid="{D78A415A-6BE2-4388-90D2-57FB76D3BE10}"/>
    <cellStyle name="Normal 2 3 5 2 5 2 3 2" xfId="44808" xr:uid="{8A271FDC-ABF2-4F4E-A637-1E251F92AA3C}"/>
    <cellStyle name="Normal 2 3 5 2 5 2 4" xfId="32217" xr:uid="{B8C540DB-3899-40B6-8D74-56F660C0009F}"/>
    <cellStyle name="Normal 2 3 5 2 5 3" xfId="9773" xr:uid="{1D95593A-C5BF-4C9A-A7BC-D3DEC263FB12}"/>
    <cellStyle name="Normal 2 3 5 2 5 3 2" xfId="22455" xr:uid="{99C4BE93-6588-4C4F-91DD-BE1020DA4FE3}"/>
    <cellStyle name="Normal 2 3 5 2 5 3 2 2" xfId="47947" xr:uid="{A4AB1960-9227-425C-9175-7996544AC1B9}"/>
    <cellStyle name="Normal 2 3 5 2 5 3 3" xfId="35356" xr:uid="{3A4F5442-4657-45EA-9B08-57148060FF7C}"/>
    <cellStyle name="Normal 2 3 5 2 5 4" xfId="16177" xr:uid="{ED4839B8-EFA3-4959-B246-B21713C61AD7}"/>
    <cellStyle name="Normal 2 3 5 2 5 4 2" xfId="41669" xr:uid="{1ABC6DB0-ACD6-48FD-9467-45C38C77A8FB}"/>
    <cellStyle name="Normal 2 3 5 2 5 5" xfId="29078" xr:uid="{DA726501-A0F5-4B43-AF35-6785A2969AB1}"/>
    <cellStyle name="Normal 2 3 5 2 6" xfId="4265" xr:uid="{96050087-83B8-4BD4-A94C-DEA26B48BB3A}"/>
    <cellStyle name="Normal 2 3 5 2 6 2" xfId="10558" xr:uid="{BA758FEA-2A96-4C66-AD8F-B2E93BFD73B4}"/>
    <cellStyle name="Normal 2 3 5 2 6 2 2" xfId="23240" xr:uid="{1AF4383A-236D-4C11-8D55-B5E908511660}"/>
    <cellStyle name="Normal 2 3 5 2 6 2 2 2" xfId="48732" xr:uid="{13CD7426-A06E-4838-A8C5-21DDB66B1E77}"/>
    <cellStyle name="Normal 2 3 5 2 6 2 3" xfId="36141" xr:uid="{C5A34F4C-457D-44BC-A16D-FFC1FCBFFC93}"/>
    <cellStyle name="Normal 2 3 5 2 6 3" xfId="16962" xr:uid="{922C5336-11C5-4476-9F5C-AEEFF6FE8F58}"/>
    <cellStyle name="Normal 2 3 5 2 6 3 2" xfId="42454" xr:uid="{58F54CF4-F697-41DD-9AEA-3F707266E6D5}"/>
    <cellStyle name="Normal 2 3 5 2 6 4" xfId="29863" xr:uid="{960C4C7E-30D9-4B2C-82EF-4B75C3192A20}"/>
    <cellStyle name="Normal 2 3 5 2 7" xfId="7419" xr:uid="{E9B78D09-BB78-4C48-B81E-7ED14CA28707}"/>
    <cellStyle name="Normal 2 3 5 2 7 2" xfId="20101" xr:uid="{598D30E6-8C92-436C-B72B-2EBA766C54CF}"/>
    <cellStyle name="Normal 2 3 5 2 7 2 2" xfId="45593" xr:uid="{6FFCC3DA-3C52-421D-A6DE-EB080038763E}"/>
    <cellStyle name="Normal 2 3 5 2 7 3" xfId="33002" xr:uid="{4AE08B14-0F03-4FC3-80F0-550D952B0A2C}"/>
    <cellStyle name="Normal 2 3 5 2 8" xfId="13823" xr:uid="{B89149DF-1A3D-4308-AF01-57D25D452BE1}"/>
    <cellStyle name="Normal 2 3 5 2 8 2" xfId="39315" xr:uid="{97C18B62-E628-4189-899C-B28D3B1D820F}"/>
    <cellStyle name="Normal 2 3 5 2 9" xfId="26724" xr:uid="{9E2B9623-5E47-4663-BE6B-3CF571BFD98E}"/>
    <cellStyle name="Normal 2 3 5 3" xfId="851" xr:uid="{C36D9180-86FD-4177-B0AB-FA5A25E3731F}"/>
    <cellStyle name="Normal 2 3 5 3 2" xfId="2158" xr:uid="{0D269A30-8BC3-484B-B870-BD979C0366B5}"/>
    <cellStyle name="Normal 2 3 5 3 2 2" xfId="5312" xr:uid="{1C9DB859-862B-43FB-A1B8-C92E1DA171F0}"/>
    <cellStyle name="Normal 2 3 5 3 2 2 2" xfId="11605" xr:uid="{2D2F75C5-D563-4F02-AF71-E0258B78AF3B}"/>
    <cellStyle name="Normal 2 3 5 3 2 2 2 2" xfId="24287" xr:uid="{9FB36C19-40DE-4760-99F2-D62930DA2DBC}"/>
    <cellStyle name="Normal 2 3 5 3 2 2 2 2 2" xfId="49779" xr:uid="{7885A1C4-634C-497C-9D22-FDFA0EF97704}"/>
    <cellStyle name="Normal 2 3 5 3 2 2 2 3" xfId="37188" xr:uid="{C40730B1-719B-4C2E-A2D9-619D1FCE9C59}"/>
    <cellStyle name="Normal 2 3 5 3 2 2 3" xfId="18009" xr:uid="{8FAF37B6-AD07-44B1-BB06-799CDB5D63CF}"/>
    <cellStyle name="Normal 2 3 5 3 2 2 3 2" xfId="43501" xr:uid="{D26CB184-7EA3-4079-BC71-BF9597890E60}"/>
    <cellStyle name="Normal 2 3 5 3 2 2 4" xfId="30910" xr:uid="{68C0FD4D-B561-462F-8F56-8E28585D229A}"/>
    <cellStyle name="Normal 2 3 5 3 2 3" xfId="8466" xr:uid="{3B72FA7E-D2F2-4D11-BAC8-FCAFD15E769A}"/>
    <cellStyle name="Normal 2 3 5 3 2 3 2" xfId="21148" xr:uid="{9243E8E6-0C33-4FE0-AF56-C8EFCA794F70}"/>
    <cellStyle name="Normal 2 3 5 3 2 3 2 2" xfId="46640" xr:uid="{5C8ADB09-F4B3-4066-A75D-1156A0889489}"/>
    <cellStyle name="Normal 2 3 5 3 2 3 3" xfId="34049" xr:uid="{4CE33D47-3099-4D34-A90B-268FA9D2EED7}"/>
    <cellStyle name="Normal 2 3 5 3 2 4" xfId="14870" xr:uid="{767CA520-930A-4ACB-8FAD-4863C252595B}"/>
    <cellStyle name="Normal 2 3 5 3 2 4 2" xfId="40362" xr:uid="{DB575419-CAEF-4947-8140-9C76132841D7}"/>
    <cellStyle name="Normal 2 3 5 3 2 5" xfId="27771" xr:uid="{8FA49628-B762-4ADF-9FD4-F880BEC35108}"/>
    <cellStyle name="Normal 2 3 5 3 3" xfId="4005" xr:uid="{D14A071A-04D7-489B-94F9-1BD8B275C59E}"/>
    <cellStyle name="Normal 2 3 5 3 3 2" xfId="10298" xr:uid="{EC4264DB-BC7A-411A-AF3F-7BF78DACB7AE}"/>
    <cellStyle name="Normal 2 3 5 3 3 2 2" xfId="22980" xr:uid="{BAC98CD7-B87F-450C-8F4B-CE622A9458D6}"/>
    <cellStyle name="Normal 2 3 5 3 3 2 2 2" xfId="48472" xr:uid="{4F644B60-1AA7-4A31-A11D-D1B886852DC8}"/>
    <cellStyle name="Normal 2 3 5 3 3 2 3" xfId="35881" xr:uid="{2BB6C971-8BDC-4BE7-929E-FE419D2C0B6B}"/>
    <cellStyle name="Normal 2 3 5 3 3 3" xfId="16702" xr:uid="{58CBB277-A724-42D8-9D03-00CEA219ED83}"/>
    <cellStyle name="Normal 2 3 5 3 3 3 2" xfId="42194" xr:uid="{ACCA94AB-D2DB-46D6-B71C-980A45C16DAD}"/>
    <cellStyle name="Normal 2 3 5 3 3 4" xfId="29603" xr:uid="{6D4E1C16-17D2-4289-8278-52DBFF83B254}"/>
    <cellStyle name="Normal 2 3 5 3 4" xfId="7159" xr:uid="{021D059C-8CBC-4ECA-A3AE-6F7F11245436}"/>
    <cellStyle name="Normal 2 3 5 3 4 2" xfId="19841" xr:uid="{006454F9-F1A4-485D-967F-3C3B5A544E57}"/>
    <cellStyle name="Normal 2 3 5 3 4 2 2" xfId="45333" xr:uid="{7AAEF609-F801-46D1-B7DE-7E5D8DF55292}"/>
    <cellStyle name="Normal 2 3 5 3 4 3" xfId="32742" xr:uid="{8FB31F2F-722C-4B4A-988C-88DBD505556F}"/>
    <cellStyle name="Normal 2 3 5 3 5" xfId="13563" xr:uid="{0288ED09-7D78-44DB-BA12-549D872196BC}"/>
    <cellStyle name="Normal 2 3 5 3 5 2" xfId="39055" xr:uid="{486EE6CF-94BE-41DF-9C18-D86874A77633}"/>
    <cellStyle name="Normal 2 3 5 3 6" xfId="26464" xr:uid="{7A107CDB-EDE7-4F7A-A3EB-929D723E0B71}"/>
    <cellStyle name="Normal 2 3 5 4" xfId="1896" xr:uid="{11207FF6-4567-483A-85E7-E617D7820E28}"/>
    <cellStyle name="Normal 2 3 5 4 2" xfId="5050" xr:uid="{7575A0B0-CCC8-4BC0-9474-C16737954B1A}"/>
    <cellStyle name="Normal 2 3 5 4 2 2" xfId="11343" xr:uid="{2A0E43FE-232C-4DD7-80C7-B53ADD103C34}"/>
    <cellStyle name="Normal 2 3 5 4 2 2 2" xfId="24025" xr:uid="{D1494F08-5DAC-41D8-B4D2-A5ECBC7A22CF}"/>
    <cellStyle name="Normal 2 3 5 4 2 2 2 2" xfId="49517" xr:uid="{FC237E6E-A6BE-4B41-A57E-84B793C7F646}"/>
    <cellStyle name="Normal 2 3 5 4 2 2 3" xfId="36926" xr:uid="{2BC4F8B8-0C98-4C58-9CFC-82D5EFD87448}"/>
    <cellStyle name="Normal 2 3 5 4 2 3" xfId="17747" xr:uid="{82B72EC8-F3DB-46C8-A666-09300932DFBA}"/>
    <cellStyle name="Normal 2 3 5 4 2 3 2" xfId="43239" xr:uid="{67425A5C-565B-403E-820B-4771A44C46EB}"/>
    <cellStyle name="Normal 2 3 5 4 2 4" xfId="30648" xr:uid="{AE4AB76D-FCE3-4681-874A-545A8C94A795}"/>
    <cellStyle name="Normal 2 3 5 4 3" xfId="8204" xr:uid="{E5F1EA69-669B-4356-BBAF-5BC0493BCB8E}"/>
    <cellStyle name="Normal 2 3 5 4 3 2" xfId="20886" xr:uid="{082CFA54-82E9-4EA9-B5D5-627AA03F39F8}"/>
    <cellStyle name="Normal 2 3 5 4 3 2 2" xfId="46378" xr:uid="{5CD46C64-DBA9-4BC2-A3AD-7975E9F3A03A}"/>
    <cellStyle name="Normal 2 3 5 4 3 3" xfId="33787" xr:uid="{0742F06A-9D61-4618-BE1C-998DBE78A205}"/>
    <cellStyle name="Normal 2 3 5 4 4" xfId="14608" xr:uid="{1442B434-7046-4705-AC68-FF234BA6314A}"/>
    <cellStyle name="Normal 2 3 5 4 4 2" xfId="40100" xr:uid="{E5EC9D0A-4E45-4D81-9CE6-520DE4BB0B81}"/>
    <cellStyle name="Normal 2 3 5 4 5" xfId="27509" xr:uid="{73BD28DB-A9C3-4763-BB14-CEDCC15CFDF3}"/>
    <cellStyle name="Normal 2 3 5 5" xfId="1374" xr:uid="{BD742413-B3CA-4882-AE0C-F56A96D78DBA}"/>
    <cellStyle name="Normal 2 3 5 5 2" xfId="4528" xr:uid="{725BEE65-0F41-4B7F-BF92-7269F0D54CFF}"/>
    <cellStyle name="Normal 2 3 5 5 2 2" xfId="10821" xr:uid="{08C15DA7-1256-41FB-9A98-FF5998C6E858}"/>
    <cellStyle name="Normal 2 3 5 5 2 2 2" xfId="23503" xr:uid="{17E08BB8-404A-494C-8DC3-1D6256CDF8B4}"/>
    <cellStyle name="Normal 2 3 5 5 2 2 2 2" xfId="48995" xr:uid="{055D2B7E-B74D-44B0-86CD-EFC4489C3014}"/>
    <cellStyle name="Normal 2 3 5 5 2 2 3" xfId="36404" xr:uid="{875B029E-E207-47E0-91EE-B4BB33BAB1A6}"/>
    <cellStyle name="Normal 2 3 5 5 2 3" xfId="17225" xr:uid="{C6F26244-ECF4-4BF7-A272-6E30A791DE3E}"/>
    <cellStyle name="Normal 2 3 5 5 2 3 2" xfId="42717" xr:uid="{8F512001-BBF0-4748-8FC2-6423B641FA47}"/>
    <cellStyle name="Normal 2 3 5 5 2 4" xfId="30126" xr:uid="{E16ED696-050A-4E08-B094-6F389C966F49}"/>
    <cellStyle name="Normal 2 3 5 5 3" xfId="7682" xr:uid="{D615A50D-E615-4559-9B3D-75A71C397654}"/>
    <cellStyle name="Normal 2 3 5 5 3 2" xfId="20364" xr:uid="{76D4979F-1ABD-4649-907B-B4016843313A}"/>
    <cellStyle name="Normal 2 3 5 5 3 2 2" xfId="45856" xr:uid="{4B67B382-21F7-4C4C-928F-7842263EBFCA}"/>
    <cellStyle name="Normal 2 3 5 5 3 3" xfId="33265" xr:uid="{C8158BC7-DF11-40BA-A1B2-12180972EDE5}"/>
    <cellStyle name="Normal 2 3 5 5 4" xfId="14086" xr:uid="{A552CF4B-62AE-4319-8549-00510174FE7B}"/>
    <cellStyle name="Normal 2 3 5 5 4 2" xfId="39578" xr:uid="{EA9514CD-5F36-47C7-B0CD-D1C85A60CCF3}"/>
    <cellStyle name="Normal 2 3 5 5 5" xfId="26987" xr:uid="{A363B3EE-5E2C-4E04-9A1F-E352B894C73C}"/>
    <cellStyle name="Normal 2 3 5 6" xfId="2681" xr:uid="{8E7FE5A8-7387-4170-B842-6E04374A00B9}"/>
    <cellStyle name="Normal 2 3 5 6 2" xfId="5835" xr:uid="{A4BB4078-2679-41D0-A44C-4AD2BF08D38E}"/>
    <cellStyle name="Normal 2 3 5 6 2 2" xfId="12128" xr:uid="{431AD076-B62C-4304-AD62-C0671E3D5478}"/>
    <cellStyle name="Normal 2 3 5 6 2 2 2" xfId="24810" xr:uid="{8CBF50F4-108E-4946-BDF1-41564589A5CD}"/>
    <cellStyle name="Normal 2 3 5 6 2 2 2 2" xfId="50302" xr:uid="{DA390C41-C425-4B15-8B54-CDFE2B083F88}"/>
    <cellStyle name="Normal 2 3 5 6 2 2 3" xfId="37711" xr:uid="{34BF600C-9735-4B95-8042-0C894DDB84BB}"/>
    <cellStyle name="Normal 2 3 5 6 2 3" xfId="18532" xr:uid="{0538A9FB-A608-4C72-8946-F92F9F312E1B}"/>
    <cellStyle name="Normal 2 3 5 6 2 3 2" xfId="44024" xr:uid="{62FD95A8-1CF0-43A9-A3BF-3DB6FE4A9B91}"/>
    <cellStyle name="Normal 2 3 5 6 2 4" xfId="31433" xr:uid="{9FCF0498-C870-4D70-841E-1E7A37CCD57D}"/>
    <cellStyle name="Normal 2 3 5 6 3" xfId="8989" xr:uid="{03AE09A0-525D-4E29-B3D5-CE45662D7C84}"/>
    <cellStyle name="Normal 2 3 5 6 3 2" xfId="21671" xr:uid="{E303BCD2-5C37-4630-9954-801389ECFCFC}"/>
    <cellStyle name="Normal 2 3 5 6 3 2 2" xfId="47163" xr:uid="{A5566ECB-B57F-4C91-A270-96F24ED3C4B4}"/>
    <cellStyle name="Normal 2 3 5 6 3 3" xfId="34572" xr:uid="{A194F15A-20ED-4947-BA6D-C04F7F147A1F}"/>
    <cellStyle name="Normal 2 3 5 6 4" xfId="15393" xr:uid="{0C8CA486-C5DB-4A17-9CDB-BDB0B4DFC938}"/>
    <cellStyle name="Normal 2 3 5 6 4 2" xfId="40885" xr:uid="{AC2E0458-FAC0-47B0-856B-FD5478DB3A53}"/>
    <cellStyle name="Normal 2 3 5 6 5" xfId="28294" xr:uid="{E9B44451-9483-4047-8876-06465C322972}"/>
    <cellStyle name="Normal 2 3 5 7" xfId="3204" xr:uid="{FA969DB0-83F3-4A4A-B3F4-7FC8CF41CBFE}"/>
    <cellStyle name="Normal 2 3 5 7 2" xfId="6358" xr:uid="{3CC57AA0-EDF7-4DC1-B337-88618678B9EE}"/>
    <cellStyle name="Normal 2 3 5 7 2 2" xfId="12651" xr:uid="{F48D59EA-C2CE-49EE-A898-B2813B00907F}"/>
    <cellStyle name="Normal 2 3 5 7 2 2 2" xfId="25333" xr:uid="{6AA72DBF-D3DC-4F73-8FEE-B605C14C6BEE}"/>
    <cellStyle name="Normal 2 3 5 7 2 2 2 2" xfId="50825" xr:uid="{404708F7-4B9B-45BD-A8A8-2B4AE02ACF86}"/>
    <cellStyle name="Normal 2 3 5 7 2 2 3" xfId="38234" xr:uid="{37BE8540-7F86-476C-9946-D402AEF06CB9}"/>
    <cellStyle name="Normal 2 3 5 7 2 3" xfId="19055" xr:uid="{EEAD3B30-16AD-4C56-8881-A628DBDCDBDF}"/>
    <cellStyle name="Normal 2 3 5 7 2 3 2" xfId="44547" xr:uid="{2E0072B2-B5E5-4EF9-A627-F4856264097F}"/>
    <cellStyle name="Normal 2 3 5 7 2 4" xfId="31956" xr:uid="{CCD30780-2064-4FBA-B8DE-802DD7E30547}"/>
    <cellStyle name="Normal 2 3 5 7 3" xfId="9512" xr:uid="{0891806E-92A1-4E6F-8C20-E3940C0CC338}"/>
    <cellStyle name="Normal 2 3 5 7 3 2" xfId="22194" xr:uid="{07FBCAEC-8C22-4B4B-AE16-3A3AE37B0C3B}"/>
    <cellStyle name="Normal 2 3 5 7 3 2 2" xfId="47686" xr:uid="{8CF2F79E-EEA2-4EAF-A863-1CCBC3298813}"/>
    <cellStyle name="Normal 2 3 5 7 3 3" xfId="35095" xr:uid="{37E9AD28-1F7A-41CB-975D-DD1B01B62D7A}"/>
    <cellStyle name="Normal 2 3 5 7 4" xfId="15916" xr:uid="{87CA8D49-10B0-4118-A2C3-780B12BA4382}"/>
    <cellStyle name="Normal 2 3 5 7 4 2" xfId="41408" xr:uid="{CCE613E2-FEC4-4FFC-AF91-3A446AF07FCB}"/>
    <cellStyle name="Normal 2 3 5 7 5" xfId="28817" xr:uid="{28F96FA6-A467-4334-BBDB-68FF080F5BD5}"/>
    <cellStyle name="Normal 2 3 5 8" xfId="3743" xr:uid="{0F807E4D-F9E4-4EEE-BEB9-6D807F901A03}"/>
    <cellStyle name="Normal 2 3 5 8 2" xfId="10036" xr:uid="{71459091-54DA-47E0-82C6-60109C92DBB2}"/>
    <cellStyle name="Normal 2 3 5 8 2 2" xfId="22718" xr:uid="{69DEC3F3-FFA0-4328-8783-2F63FDE0B5A3}"/>
    <cellStyle name="Normal 2 3 5 8 2 2 2" xfId="48210" xr:uid="{3F4C6713-F67D-4557-8582-00B1CAD97B8A}"/>
    <cellStyle name="Normal 2 3 5 8 2 3" xfId="35619" xr:uid="{9AB30E91-877F-4CDA-B6D6-5C4A8705B674}"/>
    <cellStyle name="Normal 2 3 5 8 3" xfId="16440" xr:uid="{48ECC517-194D-4BDA-80F7-A5BD1B344961}"/>
    <cellStyle name="Normal 2 3 5 8 3 2" xfId="41932" xr:uid="{08E3321F-C364-4343-93EA-8F256E15D885}"/>
    <cellStyle name="Normal 2 3 5 8 4" xfId="29341" xr:uid="{CECE7C23-8774-4BBB-8469-FAA78F58360F}"/>
    <cellStyle name="Normal 2 3 5 9" xfId="6897" xr:uid="{946498B4-FB2E-47B8-AA79-87ED4C8A07F8}"/>
    <cellStyle name="Normal 2 3 5 9 2" xfId="19579" xr:uid="{69B7F7B2-31F3-4627-B5B7-0B1EEFF59108}"/>
    <cellStyle name="Normal 2 3 5 9 2 2" xfId="45071" xr:uid="{8B9ADAAD-1DBD-4C29-9BB1-3DBD1B23C603}"/>
    <cellStyle name="Normal 2 3 5 9 3" xfId="32480" xr:uid="{68C6B81B-53D8-4D47-A5B3-CD3EB55CE03A}"/>
    <cellStyle name="Normal 2 3 6" xfId="516" xr:uid="{484A2664-6D33-4EB6-A385-D918D459B241}"/>
    <cellStyle name="Normal 2 3 6 10" xfId="13243" xr:uid="{85FD3346-B816-48DD-8A39-E8B42F9D8FA7}"/>
    <cellStyle name="Normal 2 3 6 10 2" xfId="38735" xr:uid="{C3213F34-2C43-4B40-A066-BFCA79C5118D}"/>
    <cellStyle name="Normal 2 3 6 11" xfId="26144" xr:uid="{D81E056F-2C38-41D2-BA2D-98589445C505}"/>
    <cellStyle name="Normal 2 3 6 2" xfId="1053" xr:uid="{BA5EA80A-4F7E-45BA-AAA9-F3F8043C0214}"/>
    <cellStyle name="Normal 2 3 6 2 2" xfId="2360" xr:uid="{F20EC5D0-6FF2-4D98-AE52-B0B124D6BD69}"/>
    <cellStyle name="Normal 2 3 6 2 2 2" xfId="5514" xr:uid="{2FF63F18-DD3B-4EC9-A57F-65B185AA80F6}"/>
    <cellStyle name="Normal 2 3 6 2 2 2 2" xfId="11807" xr:uid="{38FE5402-B9F4-4D90-A870-84C537283E0E}"/>
    <cellStyle name="Normal 2 3 6 2 2 2 2 2" xfId="24489" xr:uid="{0C4F24F7-8422-4452-BF57-F78E59AADC2C}"/>
    <cellStyle name="Normal 2 3 6 2 2 2 2 2 2" xfId="49981" xr:uid="{65165B64-7203-4AB7-B7C5-AFAFD08EEC35}"/>
    <cellStyle name="Normal 2 3 6 2 2 2 2 3" xfId="37390" xr:uid="{C663B53B-423E-4E5E-A5D6-E2D2047A35E5}"/>
    <cellStyle name="Normal 2 3 6 2 2 2 3" xfId="18211" xr:uid="{09FC0BE2-2314-43F3-89CC-72AF0E3C1A8D}"/>
    <cellStyle name="Normal 2 3 6 2 2 2 3 2" xfId="43703" xr:uid="{B1530018-E9D0-41C1-9C02-092B0FC36B20}"/>
    <cellStyle name="Normal 2 3 6 2 2 2 4" xfId="31112" xr:uid="{DBDF5B2C-DBC9-46A1-B719-4ADA74606B2D}"/>
    <cellStyle name="Normal 2 3 6 2 2 3" xfId="8668" xr:uid="{18CBEBC5-3D6E-4D21-BFF2-19AB4E3D4640}"/>
    <cellStyle name="Normal 2 3 6 2 2 3 2" xfId="21350" xr:uid="{8DFE5215-D09D-4396-9EAA-A19F3401194E}"/>
    <cellStyle name="Normal 2 3 6 2 2 3 2 2" xfId="46842" xr:uid="{7712F80D-5D22-4564-8E5A-448E9F2EAAA7}"/>
    <cellStyle name="Normal 2 3 6 2 2 3 3" xfId="34251" xr:uid="{9BB2821B-8A83-44C2-A41E-63DA28ED2DBA}"/>
    <cellStyle name="Normal 2 3 6 2 2 4" xfId="15072" xr:uid="{FB4B28DD-A15D-42E6-9B60-2790B0B9B2C4}"/>
    <cellStyle name="Normal 2 3 6 2 2 4 2" xfId="40564" xr:uid="{9CFCDD09-2EA9-4045-9F47-EB3D9F6154B7}"/>
    <cellStyle name="Normal 2 3 6 2 2 5" xfId="27973" xr:uid="{A56E8571-D873-493E-85F6-146BE337FE0E}"/>
    <cellStyle name="Normal 2 3 6 2 3" xfId="1577" xr:uid="{63708F5F-4C9E-4E63-AA10-0E1B23C6C0DC}"/>
    <cellStyle name="Normal 2 3 6 2 3 2" xfId="4731" xr:uid="{2D521D34-2017-40F5-BFEF-E1CF989FEF5A}"/>
    <cellStyle name="Normal 2 3 6 2 3 2 2" xfId="11024" xr:uid="{470E075B-43BA-42B9-8D62-88F056FAEDE7}"/>
    <cellStyle name="Normal 2 3 6 2 3 2 2 2" xfId="23706" xr:uid="{EBC79B54-4651-4631-9770-CF128EE4B10C}"/>
    <cellStyle name="Normal 2 3 6 2 3 2 2 2 2" xfId="49198" xr:uid="{BB6D567F-31D5-46FD-A51B-25C41215DA36}"/>
    <cellStyle name="Normal 2 3 6 2 3 2 2 3" xfId="36607" xr:uid="{68CF6281-5F8E-40C9-B48B-F63B4C63E4B4}"/>
    <cellStyle name="Normal 2 3 6 2 3 2 3" xfId="17428" xr:uid="{CB22426E-3C39-4E6C-9AA0-A6B487FABB33}"/>
    <cellStyle name="Normal 2 3 6 2 3 2 3 2" xfId="42920" xr:uid="{19BD854B-0FE5-497E-B260-0FEC35E26A16}"/>
    <cellStyle name="Normal 2 3 6 2 3 2 4" xfId="30329" xr:uid="{371354AD-5636-4075-B148-5FD72DCC2932}"/>
    <cellStyle name="Normal 2 3 6 2 3 3" xfId="7885" xr:uid="{969A821A-CBEE-448A-BABA-9402C43E7272}"/>
    <cellStyle name="Normal 2 3 6 2 3 3 2" xfId="20567" xr:uid="{98B53D1D-292E-4AC5-A8A5-EBF653376D19}"/>
    <cellStyle name="Normal 2 3 6 2 3 3 2 2" xfId="46059" xr:uid="{66243B98-70A2-49EA-806D-F782EC84722D}"/>
    <cellStyle name="Normal 2 3 6 2 3 3 3" xfId="33468" xr:uid="{11930ACB-BAB7-446B-A76E-BD4F18828CE3}"/>
    <cellStyle name="Normal 2 3 6 2 3 4" xfId="14289" xr:uid="{30D27BE9-DDD3-4F46-9DEA-9DA35B2226D1}"/>
    <cellStyle name="Normal 2 3 6 2 3 4 2" xfId="39781" xr:uid="{6A9C1709-7EA7-4217-963D-8CE1D807000D}"/>
    <cellStyle name="Normal 2 3 6 2 3 5" xfId="27190" xr:uid="{20BA38CF-6198-4CC5-881A-1BAB00459654}"/>
    <cellStyle name="Normal 2 3 6 2 4" xfId="2884" xr:uid="{B5F3C2AC-2D66-46FE-9AB8-C4CF02DCBB99}"/>
    <cellStyle name="Normal 2 3 6 2 4 2" xfId="6038" xr:uid="{25238A4D-4734-4424-B835-B2B518A6D7C5}"/>
    <cellStyle name="Normal 2 3 6 2 4 2 2" xfId="12331" xr:uid="{06A81B44-37A1-4CA1-AEFC-9D2A73E5B638}"/>
    <cellStyle name="Normal 2 3 6 2 4 2 2 2" xfId="25013" xr:uid="{EA4DCBFE-2F27-48BF-BE8A-7DB7FDC03A62}"/>
    <cellStyle name="Normal 2 3 6 2 4 2 2 2 2" xfId="50505" xr:uid="{63ADB2AB-6EEB-4309-939E-8E9619FF11E1}"/>
    <cellStyle name="Normal 2 3 6 2 4 2 2 3" xfId="37914" xr:uid="{3288382D-8D0D-4E9E-847A-9EC151CC498A}"/>
    <cellStyle name="Normal 2 3 6 2 4 2 3" xfId="18735" xr:uid="{6E01A664-ED5F-4A94-8A31-F4E2B71DEA73}"/>
    <cellStyle name="Normal 2 3 6 2 4 2 3 2" xfId="44227" xr:uid="{7AD844C3-F9AD-44D6-888B-8EF4A27ECF17}"/>
    <cellStyle name="Normal 2 3 6 2 4 2 4" xfId="31636" xr:uid="{B071EC69-AAE9-420C-8D10-1D0D9E0CBDC5}"/>
    <cellStyle name="Normal 2 3 6 2 4 3" xfId="9192" xr:uid="{9D6E6552-F586-4EBF-8735-066CE7A95A0E}"/>
    <cellStyle name="Normal 2 3 6 2 4 3 2" xfId="21874" xr:uid="{1A49CAF7-88B8-4B2C-B0C8-61C0B4F4822A}"/>
    <cellStyle name="Normal 2 3 6 2 4 3 2 2" xfId="47366" xr:uid="{47CB042D-0D62-4AB1-B18B-FAF2A3A79833}"/>
    <cellStyle name="Normal 2 3 6 2 4 3 3" xfId="34775" xr:uid="{76EF82D9-3B0A-48C7-8D52-DB38ADB6E271}"/>
    <cellStyle name="Normal 2 3 6 2 4 4" xfId="15596" xr:uid="{5822DC45-8718-41FC-B732-7C264BA3AD40}"/>
    <cellStyle name="Normal 2 3 6 2 4 4 2" xfId="41088" xr:uid="{2698334A-81BC-4EB4-9F4E-8BA1F7CEF529}"/>
    <cellStyle name="Normal 2 3 6 2 4 5" xfId="28497" xr:uid="{624AA55F-207E-45C2-AED1-2B935B6D5749}"/>
    <cellStyle name="Normal 2 3 6 2 5" xfId="3407" xr:uid="{E8B2830F-1B23-4973-8A1B-1C5595B3110F}"/>
    <cellStyle name="Normal 2 3 6 2 5 2" xfId="6561" xr:uid="{F0BF2E0C-EDA5-4FE9-B7A9-D10E58CFFC83}"/>
    <cellStyle name="Normal 2 3 6 2 5 2 2" xfId="12854" xr:uid="{AB370ADC-5408-425A-A20B-E52567CAC5FA}"/>
    <cellStyle name="Normal 2 3 6 2 5 2 2 2" xfId="25536" xr:uid="{5E7D3470-3541-4489-87E8-D71615C65EEA}"/>
    <cellStyle name="Normal 2 3 6 2 5 2 2 2 2" xfId="51028" xr:uid="{8095FC26-6DEB-44FF-84F8-A59007C18B10}"/>
    <cellStyle name="Normal 2 3 6 2 5 2 2 3" xfId="38437" xr:uid="{DC517DBD-E9D5-4DA0-A3BD-321A2E527439}"/>
    <cellStyle name="Normal 2 3 6 2 5 2 3" xfId="19258" xr:uid="{96FDF432-15CC-451C-9315-1617C30A4C0D}"/>
    <cellStyle name="Normal 2 3 6 2 5 2 3 2" xfId="44750" xr:uid="{9B4D03EE-7941-4BD5-8AC2-A791508F2B65}"/>
    <cellStyle name="Normal 2 3 6 2 5 2 4" xfId="32159" xr:uid="{08A91574-4C42-43CD-BA66-6254025B1DEF}"/>
    <cellStyle name="Normal 2 3 6 2 5 3" xfId="9715" xr:uid="{600D73B7-A07B-494E-B84E-C8A5424592A6}"/>
    <cellStyle name="Normal 2 3 6 2 5 3 2" xfId="22397" xr:uid="{58C73A1F-E4FD-4788-8A67-8D98C599FAC6}"/>
    <cellStyle name="Normal 2 3 6 2 5 3 2 2" xfId="47889" xr:uid="{3A3ABEE5-2A6D-4796-9C8F-74A55C679A4A}"/>
    <cellStyle name="Normal 2 3 6 2 5 3 3" xfId="35298" xr:uid="{C18E3D2E-9A0E-4430-A438-F06D2982106C}"/>
    <cellStyle name="Normal 2 3 6 2 5 4" xfId="16119" xr:uid="{34343D85-829C-40DB-B13F-137987AAC11E}"/>
    <cellStyle name="Normal 2 3 6 2 5 4 2" xfId="41611" xr:uid="{D7642EF3-ADB7-48FE-9420-0E9B92950649}"/>
    <cellStyle name="Normal 2 3 6 2 5 5" xfId="29020" xr:uid="{8ED60B2B-0A2C-4CEC-8437-D693D643CB22}"/>
    <cellStyle name="Normal 2 3 6 2 6" xfId="4207" xr:uid="{24C179A8-846A-4B44-A0A3-C5A5A3DDD5D6}"/>
    <cellStyle name="Normal 2 3 6 2 6 2" xfId="10500" xr:uid="{7FE90356-24AB-4E23-95AE-75DE5E21F873}"/>
    <cellStyle name="Normal 2 3 6 2 6 2 2" xfId="23182" xr:uid="{8E74431C-05AE-4EEE-A53B-2D17B3D6D804}"/>
    <cellStyle name="Normal 2 3 6 2 6 2 2 2" xfId="48674" xr:uid="{04B79CDF-7821-4301-B12A-4EFA68123435}"/>
    <cellStyle name="Normal 2 3 6 2 6 2 3" xfId="36083" xr:uid="{F8100926-822B-4A8B-BF77-37FF7A66F2C5}"/>
    <cellStyle name="Normal 2 3 6 2 6 3" xfId="16904" xr:uid="{0607C817-B4AC-4E05-B128-ADD7C41353E1}"/>
    <cellStyle name="Normal 2 3 6 2 6 3 2" xfId="42396" xr:uid="{FA684627-8D89-4AF9-B0D8-67724FC021F8}"/>
    <cellStyle name="Normal 2 3 6 2 6 4" xfId="29805" xr:uid="{BCEE432B-CC3E-4126-89D6-9F10CBF35364}"/>
    <cellStyle name="Normal 2 3 6 2 7" xfId="7361" xr:uid="{A078FBEC-AB26-4737-AD1F-D07D60185923}"/>
    <cellStyle name="Normal 2 3 6 2 7 2" xfId="20043" xr:uid="{79B0A54F-9532-4AE3-BD26-C4A7AB45DF5C}"/>
    <cellStyle name="Normal 2 3 6 2 7 2 2" xfId="45535" xr:uid="{892B565A-09DE-4539-8B6C-653DEA88D131}"/>
    <cellStyle name="Normal 2 3 6 2 7 3" xfId="32944" xr:uid="{1896B186-4CC7-47B3-B2EF-CFEAB69CB2C3}"/>
    <cellStyle name="Normal 2 3 6 2 8" xfId="13765" xr:uid="{95924A1C-C2E4-4D79-8B50-1AC9D0257CE3}"/>
    <cellStyle name="Normal 2 3 6 2 8 2" xfId="39257" xr:uid="{D6B76E50-FC60-4D63-98BD-32FA0BF8F13A}"/>
    <cellStyle name="Normal 2 3 6 2 9" xfId="26666" xr:uid="{A8B7975D-2ABA-4F0B-9F30-D392FF802477}"/>
    <cellStyle name="Normal 2 3 6 3" xfId="793" xr:uid="{1D14E8E7-2494-4587-90E8-0B251E09E28C}"/>
    <cellStyle name="Normal 2 3 6 3 2" xfId="2100" xr:uid="{A4D7B3B5-9B5F-450F-B29D-66EE68B5A15F}"/>
    <cellStyle name="Normal 2 3 6 3 2 2" xfId="5254" xr:uid="{0B0EF8BF-9167-43E8-AB0B-2EDA58E7354E}"/>
    <cellStyle name="Normal 2 3 6 3 2 2 2" xfId="11547" xr:uid="{43C73784-DF9B-4D9C-9A0D-E97F376F91D7}"/>
    <cellStyle name="Normal 2 3 6 3 2 2 2 2" xfId="24229" xr:uid="{848C7F63-D9C4-4559-9142-0628F5DEA241}"/>
    <cellStyle name="Normal 2 3 6 3 2 2 2 2 2" xfId="49721" xr:uid="{AA21234A-381B-4E1E-887C-8EE97399836B}"/>
    <cellStyle name="Normal 2 3 6 3 2 2 2 3" xfId="37130" xr:uid="{E0709376-FD6D-4304-927E-2A8FDE57D110}"/>
    <cellStyle name="Normal 2 3 6 3 2 2 3" xfId="17951" xr:uid="{A51040F0-BAAA-4DC7-80F1-28C5106BFA35}"/>
    <cellStyle name="Normal 2 3 6 3 2 2 3 2" xfId="43443" xr:uid="{1A239302-C98D-4461-94C5-3E5806110B6D}"/>
    <cellStyle name="Normal 2 3 6 3 2 2 4" xfId="30852" xr:uid="{8B324B5C-A01E-422F-A793-B0A040187D3C}"/>
    <cellStyle name="Normal 2 3 6 3 2 3" xfId="8408" xr:uid="{E2F4A8E2-3279-4542-BA0A-9400ABE9543D}"/>
    <cellStyle name="Normal 2 3 6 3 2 3 2" xfId="21090" xr:uid="{B543FE0C-6EDA-4AC6-BC82-6C0382851B6D}"/>
    <cellStyle name="Normal 2 3 6 3 2 3 2 2" xfId="46582" xr:uid="{E120DED7-9871-4F3B-AA13-4DFC164270AD}"/>
    <cellStyle name="Normal 2 3 6 3 2 3 3" xfId="33991" xr:uid="{31BF8722-7B47-4882-81E2-378361C27A84}"/>
    <cellStyle name="Normal 2 3 6 3 2 4" xfId="14812" xr:uid="{0DC6E678-3B84-4C08-AEB5-45584002A0D4}"/>
    <cellStyle name="Normal 2 3 6 3 2 4 2" xfId="40304" xr:uid="{0EA8911A-251F-4180-AED8-E91638CE8E01}"/>
    <cellStyle name="Normal 2 3 6 3 2 5" xfId="27713" xr:uid="{D72A37A5-9225-4DA8-9A4E-4E465CD05CE8}"/>
    <cellStyle name="Normal 2 3 6 3 3" xfId="3947" xr:uid="{59716BD5-FBB1-4C3D-8AFE-FE562CD5D037}"/>
    <cellStyle name="Normal 2 3 6 3 3 2" xfId="10240" xr:uid="{7343528D-C3BE-446A-8419-C8B29D9D553D}"/>
    <cellStyle name="Normal 2 3 6 3 3 2 2" xfId="22922" xr:uid="{332B77AD-3A12-40A1-ACAC-D00E818DD795}"/>
    <cellStyle name="Normal 2 3 6 3 3 2 2 2" xfId="48414" xr:uid="{945EC87F-F1CF-44D8-844B-3E3D2147C8AE}"/>
    <cellStyle name="Normal 2 3 6 3 3 2 3" xfId="35823" xr:uid="{91935984-8587-4F27-8DC4-A270B801E8DD}"/>
    <cellStyle name="Normal 2 3 6 3 3 3" xfId="16644" xr:uid="{95DEDD5F-1DD6-462F-B8C4-6096290606EE}"/>
    <cellStyle name="Normal 2 3 6 3 3 3 2" xfId="42136" xr:uid="{D574964B-97E0-4EBA-99A2-CA2FA0810C0A}"/>
    <cellStyle name="Normal 2 3 6 3 3 4" xfId="29545" xr:uid="{6F031EC8-8FE2-4B5A-9202-C9D7869EBAB7}"/>
    <cellStyle name="Normal 2 3 6 3 4" xfId="7101" xr:uid="{D63DE137-EF8E-4845-BF61-A873AE071AB0}"/>
    <cellStyle name="Normal 2 3 6 3 4 2" xfId="19783" xr:uid="{947EB685-7AE5-4D62-94F0-E87B8F1AD8D1}"/>
    <cellStyle name="Normal 2 3 6 3 4 2 2" xfId="45275" xr:uid="{5650526E-4C82-412B-B9E8-C5E7985D9502}"/>
    <cellStyle name="Normal 2 3 6 3 4 3" xfId="32684" xr:uid="{8CDC998A-229A-44F9-94A2-EAB6652EAA1B}"/>
    <cellStyle name="Normal 2 3 6 3 5" xfId="13505" xr:uid="{91C73693-5734-41AE-A96E-A170881E9A97}"/>
    <cellStyle name="Normal 2 3 6 3 5 2" xfId="38997" xr:uid="{82823CE6-A40E-41CD-A336-3DCD19EA3901}"/>
    <cellStyle name="Normal 2 3 6 3 6" xfId="26406" xr:uid="{ADCA6B60-7D52-4716-B86A-3BCCA7AD7AFE}"/>
    <cellStyle name="Normal 2 3 6 4" xfId="1838" xr:uid="{615FB569-9818-4FD7-A4CB-325C271C9B30}"/>
    <cellStyle name="Normal 2 3 6 4 2" xfId="4992" xr:uid="{91AD673E-3643-4103-9FEE-181D62BC36C2}"/>
    <cellStyle name="Normal 2 3 6 4 2 2" xfId="11285" xr:uid="{FF46E321-1031-444B-8AC7-1C5C47B1175A}"/>
    <cellStyle name="Normal 2 3 6 4 2 2 2" xfId="23967" xr:uid="{367CDFFB-79D3-4791-A99A-F1B483A43C8E}"/>
    <cellStyle name="Normal 2 3 6 4 2 2 2 2" xfId="49459" xr:uid="{B1236D9D-BE9D-475C-B2DE-4E0587C3EC87}"/>
    <cellStyle name="Normal 2 3 6 4 2 2 3" xfId="36868" xr:uid="{A9259830-3811-48DB-BC9A-DECE2AC77DB2}"/>
    <cellStyle name="Normal 2 3 6 4 2 3" xfId="17689" xr:uid="{2A1669BA-2506-40D8-AB95-03862EB9B671}"/>
    <cellStyle name="Normal 2 3 6 4 2 3 2" xfId="43181" xr:uid="{4A55C549-C3CC-4685-92EB-5B18AF25E28F}"/>
    <cellStyle name="Normal 2 3 6 4 2 4" xfId="30590" xr:uid="{E66E0ED9-5F2C-42CC-A6AF-1BC5DA03FD6B}"/>
    <cellStyle name="Normal 2 3 6 4 3" xfId="8146" xr:uid="{4253881A-E78F-4B48-91D5-50FFFBDBA8A2}"/>
    <cellStyle name="Normal 2 3 6 4 3 2" xfId="20828" xr:uid="{A474646B-FDC8-440B-B1AB-5495A03C0EA2}"/>
    <cellStyle name="Normal 2 3 6 4 3 2 2" xfId="46320" xr:uid="{BBC9C9B4-4EC2-4E40-A91D-C58E97418BF2}"/>
    <cellStyle name="Normal 2 3 6 4 3 3" xfId="33729" xr:uid="{E56E5986-4C47-4DA3-B1A1-13CDAE39FBFD}"/>
    <cellStyle name="Normal 2 3 6 4 4" xfId="14550" xr:uid="{93604F4D-FC14-409A-98C7-EF0F5A3A8271}"/>
    <cellStyle name="Normal 2 3 6 4 4 2" xfId="40042" xr:uid="{CDAE3CFC-69CE-456C-BD53-458B7F5EAE18}"/>
    <cellStyle name="Normal 2 3 6 4 5" xfId="27451" xr:uid="{6C15F8A8-724B-406F-808B-1305EBA97BD5}"/>
    <cellStyle name="Normal 2 3 6 5" xfId="1316" xr:uid="{62F4B91D-629B-4355-8370-3905FA777EDE}"/>
    <cellStyle name="Normal 2 3 6 5 2" xfId="4470" xr:uid="{61311D4F-F64A-4B51-AFBD-00C564B2C494}"/>
    <cellStyle name="Normal 2 3 6 5 2 2" xfId="10763" xr:uid="{036C0B18-4988-447A-915A-2008C7409088}"/>
    <cellStyle name="Normal 2 3 6 5 2 2 2" xfId="23445" xr:uid="{900470B2-5030-4CC5-8A5F-EA123D537910}"/>
    <cellStyle name="Normal 2 3 6 5 2 2 2 2" xfId="48937" xr:uid="{3A9BF702-E2B5-4CD5-B586-65E257456DD9}"/>
    <cellStyle name="Normal 2 3 6 5 2 2 3" xfId="36346" xr:uid="{F9B4C8F5-1443-4CD3-A23F-F7CD947FE5DB}"/>
    <cellStyle name="Normal 2 3 6 5 2 3" xfId="17167" xr:uid="{A27E0F57-682F-4956-A8D3-7045DD0D4148}"/>
    <cellStyle name="Normal 2 3 6 5 2 3 2" xfId="42659" xr:uid="{EDA2359F-9505-468B-B536-0CB10440C257}"/>
    <cellStyle name="Normal 2 3 6 5 2 4" xfId="30068" xr:uid="{BBEBBBEA-3BBA-4F71-AC2C-41AC56F8B82A}"/>
    <cellStyle name="Normal 2 3 6 5 3" xfId="7624" xr:uid="{9C0A50B9-022D-4121-8B23-E485958EA2F0}"/>
    <cellStyle name="Normal 2 3 6 5 3 2" xfId="20306" xr:uid="{E69E96EA-903B-4CC9-A0E1-7A3EE6DB218B}"/>
    <cellStyle name="Normal 2 3 6 5 3 2 2" xfId="45798" xr:uid="{D8E8EF33-C713-4A79-9909-F9AE0DDF059B}"/>
    <cellStyle name="Normal 2 3 6 5 3 3" xfId="33207" xr:uid="{157A405D-6A08-4808-91AC-18DD6EB0EC5C}"/>
    <cellStyle name="Normal 2 3 6 5 4" xfId="14028" xr:uid="{E21616C5-6A14-4BBC-B0E3-6D5D37A33FFF}"/>
    <cellStyle name="Normal 2 3 6 5 4 2" xfId="39520" xr:uid="{8F7DA933-8317-482F-9E08-33CF4CC7392A}"/>
    <cellStyle name="Normal 2 3 6 5 5" xfId="26929" xr:uid="{BBF73E06-55F2-4D4B-AEE7-5BABD1FD7B8A}"/>
    <cellStyle name="Normal 2 3 6 6" xfId="2623" xr:uid="{A1DEF17A-11C5-4F9E-B370-0476B3560C62}"/>
    <cellStyle name="Normal 2 3 6 6 2" xfId="5777" xr:uid="{F8BD6584-EAD0-40B6-9F19-27D803CA8739}"/>
    <cellStyle name="Normal 2 3 6 6 2 2" xfId="12070" xr:uid="{A3231406-D44E-4E1E-9DA0-BE0DF274354E}"/>
    <cellStyle name="Normal 2 3 6 6 2 2 2" xfId="24752" xr:uid="{975AA7D3-0B67-472E-B2D7-DC0D708EDF13}"/>
    <cellStyle name="Normal 2 3 6 6 2 2 2 2" xfId="50244" xr:uid="{37539CC8-9AF6-4CB2-A4C4-19124DEF59BE}"/>
    <cellStyle name="Normal 2 3 6 6 2 2 3" xfId="37653" xr:uid="{B83B3B5E-0D7B-4F5C-A060-16BE67CA340E}"/>
    <cellStyle name="Normal 2 3 6 6 2 3" xfId="18474" xr:uid="{69ACD431-7D4E-40C4-8E55-A25AF9098E2E}"/>
    <cellStyle name="Normal 2 3 6 6 2 3 2" xfId="43966" xr:uid="{7D4817B7-ABB9-4DC3-9441-926B43E3B971}"/>
    <cellStyle name="Normal 2 3 6 6 2 4" xfId="31375" xr:uid="{5139D9B0-CF7C-4ED2-91DE-E6570D3C9994}"/>
    <cellStyle name="Normal 2 3 6 6 3" xfId="8931" xr:uid="{6907FEAD-065A-48FA-894A-8B393C37BFC0}"/>
    <cellStyle name="Normal 2 3 6 6 3 2" xfId="21613" xr:uid="{7D809E45-21AA-45D7-8584-CDE269796005}"/>
    <cellStyle name="Normal 2 3 6 6 3 2 2" xfId="47105" xr:uid="{62B53C54-1D66-4966-8B16-328314733081}"/>
    <cellStyle name="Normal 2 3 6 6 3 3" xfId="34514" xr:uid="{220E5D7D-5948-42D4-984C-FEEC90AB3333}"/>
    <cellStyle name="Normal 2 3 6 6 4" xfId="15335" xr:uid="{E59DF864-D060-4802-8F56-29DC7DB33547}"/>
    <cellStyle name="Normal 2 3 6 6 4 2" xfId="40827" xr:uid="{C9B64BAA-5DBD-43D0-9939-7F48F223F96F}"/>
    <cellStyle name="Normal 2 3 6 6 5" xfId="28236" xr:uid="{165221BA-4431-4691-89DC-183B0718B5A4}"/>
    <cellStyle name="Normal 2 3 6 7" xfId="3146" xr:uid="{6E5E1AB9-7CD2-4421-8CD6-9D3550BEC28E}"/>
    <cellStyle name="Normal 2 3 6 7 2" xfId="6300" xr:uid="{909A4237-75A8-4209-B3E2-F206A89D6C42}"/>
    <cellStyle name="Normal 2 3 6 7 2 2" xfId="12593" xr:uid="{A97B5DEF-D19A-4BA0-9305-23F9FFCABC69}"/>
    <cellStyle name="Normal 2 3 6 7 2 2 2" xfId="25275" xr:uid="{DCDFBCA7-D3C6-4E32-B954-9ECDF9F4E2E4}"/>
    <cellStyle name="Normal 2 3 6 7 2 2 2 2" xfId="50767" xr:uid="{0B3C630A-4632-4B03-B62A-97F363B707AE}"/>
    <cellStyle name="Normal 2 3 6 7 2 2 3" xfId="38176" xr:uid="{E26EDA81-BE44-432D-A4B5-5226A7D2939F}"/>
    <cellStyle name="Normal 2 3 6 7 2 3" xfId="18997" xr:uid="{613C024C-BC10-4AC3-95B8-2D1483D44875}"/>
    <cellStyle name="Normal 2 3 6 7 2 3 2" xfId="44489" xr:uid="{5365A975-51A2-4B8C-857C-DDA6DB385DF5}"/>
    <cellStyle name="Normal 2 3 6 7 2 4" xfId="31898" xr:uid="{F2FB971C-6C51-4F6D-8969-3F7AA7F4655A}"/>
    <cellStyle name="Normal 2 3 6 7 3" xfId="9454" xr:uid="{DCBC1284-4B8B-4C3D-85ED-BC1016B56595}"/>
    <cellStyle name="Normal 2 3 6 7 3 2" xfId="22136" xr:uid="{0689E344-A0A4-4588-91A7-7B64A9EBFC7B}"/>
    <cellStyle name="Normal 2 3 6 7 3 2 2" xfId="47628" xr:uid="{85715EF2-355B-4E3E-ABAA-B2EAE87F9CDE}"/>
    <cellStyle name="Normal 2 3 6 7 3 3" xfId="35037" xr:uid="{AF30A20B-D484-43CE-B08E-908491DFDA0D}"/>
    <cellStyle name="Normal 2 3 6 7 4" xfId="15858" xr:uid="{D1FADE82-EFD4-4D09-9531-E568F208CF4E}"/>
    <cellStyle name="Normal 2 3 6 7 4 2" xfId="41350" xr:uid="{21B081CB-A0B8-4BF3-9365-08AF417B6856}"/>
    <cellStyle name="Normal 2 3 6 7 5" xfId="28759" xr:uid="{EA0FCC15-5B8A-4761-AA75-9420E732F066}"/>
    <cellStyle name="Normal 2 3 6 8" xfId="3685" xr:uid="{6450AED1-ACD3-4232-8750-A739D3BA9F22}"/>
    <cellStyle name="Normal 2 3 6 8 2" xfId="9978" xr:uid="{CE365EC6-C22C-4FEF-9BC1-6D58D5E48DD6}"/>
    <cellStyle name="Normal 2 3 6 8 2 2" xfId="22660" xr:uid="{B59F5B3D-D5DC-477F-96B4-E25981EEC554}"/>
    <cellStyle name="Normal 2 3 6 8 2 2 2" xfId="48152" xr:uid="{114F30CC-B94D-48C9-AFD8-32B79EE29D85}"/>
    <cellStyle name="Normal 2 3 6 8 2 3" xfId="35561" xr:uid="{1D4C643D-AA5C-4260-8A81-D674D63E6C11}"/>
    <cellStyle name="Normal 2 3 6 8 3" xfId="16382" xr:uid="{A1E74A95-ACCE-4362-B9EF-B4E7F1D20636}"/>
    <cellStyle name="Normal 2 3 6 8 3 2" xfId="41874" xr:uid="{122E57CD-C0E5-440D-921C-BD6C9AC0063C}"/>
    <cellStyle name="Normal 2 3 6 8 4" xfId="29283" xr:uid="{A0B38DE0-3160-4637-A7F5-AC92B1D71E02}"/>
    <cellStyle name="Normal 2 3 6 9" xfId="6839" xr:uid="{A326714F-271F-499C-99EE-2D806049A42F}"/>
    <cellStyle name="Normal 2 3 6 9 2" xfId="19521" xr:uid="{54EE9534-8BC4-4854-9F63-0E736A0A7AA5}"/>
    <cellStyle name="Normal 2 3 6 9 2 2" xfId="45013" xr:uid="{8E650752-59B7-4D31-8629-AD4C6694E1F8}"/>
    <cellStyle name="Normal 2 3 6 9 3" xfId="32422" xr:uid="{80DDBBA4-9EE8-4C37-A10B-1ADC643C55FD}"/>
    <cellStyle name="Normal 2 3 7" xfId="952" xr:uid="{0DA8FCD6-9FE9-45E7-BF07-407DDAD39B1C}"/>
    <cellStyle name="Normal 2 3 7 2" xfId="2259" xr:uid="{8DDA3BC1-5070-4B2C-9C28-3D085DD50C92}"/>
    <cellStyle name="Normal 2 3 7 2 2" xfId="5413" xr:uid="{3122244E-B20A-4537-9846-2927E9CAF325}"/>
    <cellStyle name="Normal 2 3 7 2 2 2" xfId="11706" xr:uid="{F3CFC171-FF5A-4D8A-A243-33C685CAEFED}"/>
    <cellStyle name="Normal 2 3 7 2 2 2 2" xfId="24388" xr:uid="{9BA62917-B102-4638-B17E-7E0574C63D6A}"/>
    <cellStyle name="Normal 2 3 7 2 2 2 2 2" xfId="49880" xr:uid="{EF56935A-234B-4CAF-A46F-7EDFD2C8B707}"/>
    <cellStyle name="Normal 2 3 7 2 2 2 3" xfId="37289" xr:uid="{8A8A991A-ADE8-4578-8DC2-7F67F9555A00}"/>
    <cellStyle name="Normal 2 3 7 2 2 3" xfId="18110" xr:uid="{AE3491D1-9620-4E84-8F77-9359AF02F4D2}"/>
    <cellStyle name="Normal 2 3 7 2 2 3 2" xfId="43602" xr:uid="{B9FFDFA0-AE2B-486B-A20D-1DAC009EEB6F}"/>
    <cellStyle name="Normal 2 3 7 2 2 4" xfId="31011" xr:uid="{B560DD51-8B2B-4DF9-82DB-AC2C1D40AA64}"/>
    <cellStyle name="Normal 2 3 7 2 3" xfId="8567" xr:uid="{6DA8AA14-6A2B-4C63-A9F7-C1F46B3A6080}"/>
    <cellStyle name="Normal 2 3 7 2 3 2" xfId="21249" xr:uid="{FE6B65A7-F7A8-4AE9-ADA9-19DAA9896B02}"/>
    <cellStyle name="Normal 2 3 7 2 3 2 2" xfId="46741" xr:uid="{50DDCFBA-F068-4387-8F93-080E6497CB2D}"/>
    <cellStyle name="Normal 2 3 7 2 3 3" xfId="34150" xr:uid="{1F7AE3A5-A2D5-4DC1-B414-2C316FF7692D}"/>
    <cellStyle name="Normal 2 3 7 2 4" xfId="14971" xr:uid="{5B5F144F-FC9C-429C-AE1A-89A04F4950C8}"/>
    <cellStyle name="Normal 2 3 7 2 4 2" xfId="40463" xr:uid="{D5D2FF55-C976-4B28-8310-BBF9F5BA0E58}"/>
    <cellStyle name="Normal 2 3 7 2 5" xfId="27872" xr:uid="{22EF4921-AD3F-4E65-96B1-5311992EAC4E}"/>
    <cellStyle name="Normal 2 3 7 3" xfId="1476" xr:uid="{7EBA00D3-F76B-4CA6-9473-96C86CC04A72}"/>
    <cellStyle name="Normal 2 3 7 3 2" xfId="4630" xr:uid="{C137B8AA-5130-4CBE-BF1B-2EBB489EAC0A}"/>
    <cellStyle name="Normal 2 3 7 3 2 2" xfId="10923" xr:uid="{7A555C09-1047-4505-83E9-CDF93950D138}"/>
    <cellStyle name="Normal 2 3 7 3 2 2 2" xfId="23605" xr:uid="{400041CE-751F-41D5-AEA4-8B123A8393F5}"/>
    <cellStyle name="Normal 2 3 7 3 2 2 2 2" xfId="49097" xr:uid="{C074F4BF-25CC-4A2B-8F5D-AD44CC203F9B}"/>
    <cellStyle name="Normal 2 3 7 3 2 2 3" xfId="36506" xr:uid="{6560B1E1-8816-486C-9908-E2F23E35AAD3}"/>
    <cellStyle name="Normal 2 3 7 3 2 3" xfId="17327" xr:uid="{BE5C1380-DE17-427C-BB0D-20B820A97544}"/>
    <cellStyle name="Normal 2 3 7 3 2 3 2" xfId="42819" xr:uid="{A14C83B9-03D0-4BB2-A032-ED5890721177}"/>
    <cellStyle name="Normal 2 3 7 3 2 4" xfId="30228" xr:uid="{1C1F8316-5891-4651-9EDB-50AE9309C01A}"/>
    <cellStyle name="Normal 2 3 7 3 3" xfId="7784" xr:uid="{368238F3-9C9E-48A8-8082-C59CD6D9B9A5}"/>
    <cellStyle name="Normal 2 3 7 3 3 2" xfId="20466" xr:uid="{E3445547-55C3-4B66-8DA0-C78823D0D8E8}"/>
    <cellStyle name="Normal 2 3 7 3 3 2 2" xfId="45958" xr:uid="{C08C6C77-ECA4-4546-B7D7-50133FF0D781}"/>
    <cellStyle name="Normal 2 3 7 3 3 3" xfId="33367" xr:uid="{F9893E9B-5724-46DA-BA12-4E8BE2B04AFE}"/>
    <cellStyle name="Normal 2 3 7 3 4" xfId="14188" xr:uid="{F36CAA1F-051A-4455-967B-906E863866B7}"/>
    <cellStyle name="Normal 2 3 7 3 4 2" xfId="39680" xr:uid="{248531D3-A50C-4D89-8B4C-C2F3C6788306}"/>
    <cellStyle name="Normal 2 3 7 3 5" xfId="27089" xr:uid="{B98E6D3E-8B73-4C11-997D-0CD7C5D3643F}"/>
    <cellStyle name="Normal 2 3 7 4" xfId="2783" xr:uid="{4FFBAFB8-EF5F-4D6F-A96F-9D2741E16452}"/>
    <cellStyle name="Normal 2 3 7 4 2" xfId="5937" xr:uid="{934DF9B9-ADC3-4EA0-B762-B354671F69C0}"/>
    <cellStyle name="Normal 2 3 7 4 2 2" xfId="12230" xr:uid="{06B06687-C5C2-4FB7-A0F2-AF7F4F8A9B06}"/>
    <cellStyle name="Normal 2 3 7 4 2 2 2" xfId="24912" xr:uid="{C76ED5A7-6973-4664-B1BD-A38E0086E5E3}"/>
    <cellStyle name="Normal 2 3 7 4 2 2 2 2" xfId="50404" xr:uid="{16792929-C359-46FD-8937-1067341EA33B}"/>
    <cellStyle name="Normal 2 3 7 4 2 2 3" xfId="37813" xr:uid="{29B4DE04-7331-4B72-9936-61AD2EB1BA41}"/>
    <cellStyle name="Normal 2 3 7 4 2 3" xfId="18634" xr:uid="{52AA4E91-8667-46C6-9DF9-E66250D9D37E}"/>
    <cellStyle name="Normal 2 3 7 4 2 3 2" xfId="44126" xr:uid="{0FC1C4D1-98B3-43D9-AB6D-6466A2D09C2A}"/>
    <cellStyle name="Normal 2 3 7 4 2 4" xfId="31535" xr:uid="{64B3913B-DAE4-4009-BA18-6F3E102F7031}"/>
    <cellStyle name="Normal 2 3 7 4 3" xfId="9091" xr:uid="{D22737A0-1311-4374-9542-3F4D9043E753}"/>
    <cellStyle name="Normal 2 3 7 4 3 2" xfId="21773" xr:uid="{7BBF5289-8DA7-4F95-B909-A013434986C7}"/>
    <cellStyle name="Normal 2 3 7 4 3 2 2" xfId="47265" xr:uid="{39228868-8783-491A-8147-09FA5EFF9C46}"/>
    <cellStyle name="Normal 2 3 7 4 3 3" xfId="34674" xr:uid="{54AB22A5-87A6-4901-860C-D7FECDDA7BAD}"/>
    <cellStyle name="Normal 2 3 7 4 4" xfId="15495" xr:uid="{636428FF-AE5F-454E-97B6-DCB299DA4C55}"/>
    <cellStyle name="Normal 2 3 7 4 4 2" xfId="40987" xr:uid="{E6F25B87-06B5-4C0D-A2D2-BAADB42B9A75}"/>
    <cellStyle name="Normal 2 3 7 4 5" xfId="28396" xr:uid="{5442AEEF-4562-4513-A828-1BFEC573C700}"/>
    <cellStyle name="Normal 2 3 7 5" xfId="3306" xr:uid="{274DDF59-BFFD-492E-BA46-BFB2533B5EBF}"/>
    <cellStyle name="Normal 2 3 7 5 2" xfId="6460" xr:uid="{3DA131DE-94FA-4567-9885-80081FFC89F9}"/>
    <cellStyle name="Normal 2 3 7 5 2 2" xfId="12753" xr:uid="{CB4F2556-D131-4B4A-BBD9-4423C105DA44}"/>
    <cellStyle name="Normal 2 3 7 5 2 2 2" xfId="25435" xr:uid="{9952BF28-2754-497F-90CA-A906BBEC37E0}"/>
    <cellStyle name="Normal 2 3 7 5 2 2 2 2" xfId="50927" xr:uid="{0634EF24-A901-4390-948C-69F693EDBF18}"/>
    <cellStyle name="Normal 2 3 7 5 2 2 3" xfId="38336" xr:uid="{28FE885D-E6D3-4786-8485-A7B1A6277F34}"/>
    <cellStyle name="Normal 2 3 7 5 2 3" xfId="19157" xr:uid="{D3C24381-B521-44AA-80CC-120B94173502}"/>
    <cellStyle name="Normal 2 3 7 5 2 3 2" xfId="44649" xr:uid="{B007068D-61BF-4C71-94F9-B717BF24857F}"/>
    <cellStyle name="Normal 2 3 7 5 2 4" xfId="32058" xr:uid="{6B2075A7-F797-4303-BF14-2F9A132F346E}"/>
    <cellStyle name="Normal 2 3 7 5 3" xfId="9614" xr:uid="{2099A4AB-1396-4734-BB68-FB183C2ADAE9}"/>
    <cellStyle name="Normal 2 3 7 5 3 2" xfId="22296" xr:uid="{480C2A3D-D39D-49ED-A1A6-027ECEA264AD}"/>
    <cellStyle name="Normal 2 3 7 5 3 2 2" xfId="47788" xr:uid="{C8424E52-0E9E-46CD-9B95-0E96CB731400}"/>
    <cellStyle name="Normal 2 3 7 5 3 3" xfId="35197" xr:uid="{E5B0BDEA-B9D2-49EB-AE1B-6745BE6C8C57}"/>
    <cellStyle name="Normal 2 3 7 5 4" xfId="16018" xr:uid="{6121716B-C50B-4BC2-A824-F03A56AE1170}"/>
    <cellStyle name="Normal 2 3 7 5 4 2" xfId="41510" xr:uid="{EB5EAB04-EA83-4948-8E3A-1BA6D166030C}"/>
    <cellStyle name="Normal 2 3 7 5 5" xfId="28919" xr:uid="{B31B0621-E378-4D1F-B193-C9C53D696F52}"/>
    <cellStyle name="Normal 2 3 7 6" xfId="4106" xr:uid="{861F829B-1CA7-443C-9CDF-0621126D5A6D}"/>
    <cellStyle name="Normal 2 3 7 6 2" xfId="10399" xr:uid="{0975B09F-F86F-44FE-81EB-C97BE6BD19A7}"/>
    <cellStyle name="Normal 2 3 7 6 2 2" xfId="23081" xr:uid="{D2F1BB8D-D830-45F5-B9FA-19F0B0DA6BF0}"/>
    <cellStyle name="Normal 2 3 7 6 2 2 2" xfId="48573" xr:uid="{423A2E2F-FA1F-4152-8880-85D98543989F}"/>
    <cellStyle name="Normal 2 3 7 6 2 3" xfId="35982" xr:uid="{17A1890E-3F07-459B-A029-21DBC0403C53}"/>
    <cellStyle name="Normal 2 3 7 6 3" xfId="16803" xr:uid="{9A002305-A18E-4B28-A6E9-4C8C4DE4AEEB}"/>
    <cellStyle name="Normal 2 3 7 6 3 2" xfId="42295" xr:uid="{812F0366-5C16-42C4-ACE4-714CD7CCF3FB}"/>
    <cellStyle name="Normal 2 3 7 6 4" xfId="29704" xr:uid="{B0DA34E2-1901-4B64-B9A2-3528F8BED84F}"/>
    <cellStyle name="Normal 2 3 7 7" xfId="7260" xr:uid="{1D8DD6E5-F2D3-4009-B0F2-90295C9EE468}"/>
    <cellStyle name="Normal 2 3 7 7 2" xfId="19942" xr:uid="{A40A9069-3C66-4E92-A5CC-3FE8CDB01E4F}"/>
    <cellStyle name="Normal 2 3 7 7 2 2" xfId="45434" xr:uid="{B0BD0575-215F-4FF6-9DBA-AA360CAC9966}"/>
    <cellStyle name="Normal 2 3 7 7 3" xfId="32843" xr:uid="{ABFCC816-5E3D-4C3B-A377-5273FBB45E26}"/>
    <cellStyle name="Normal 2 3 7 8" xfId="13664" xr:uid="{6498CFED-D9DB-4932-AF3D-60D612E16974}"/>
    <cellStyle name="Normal 2 3 7 8 2" xfId="39156" xr:uid="{93BE48D3-CB6C-4F3A-8CEA-4ABE4E2EDA87}"/>
    <cellStyle name="Normal 2 3 7 9" xfId="26565" xr:uid="{91305833-F145-4F10-8BF8-AFB24F84FD6E}"/>
    <cellStyle name="Normal 2 3 8" xfId="692" xr:uid="{F8687D1A-1F00-48F4-A60C-AD422EA1D409}"/>
    <cellStyle name="Normal 2 3 8 2" xfId="1999" xr:uid="{46AA22B2-BA70-4F04-B138-FB58E2D4F1FE}"/>
    <cellStyle name="Normal 2 3 8 2 2" xfId="5153" xr:uid="{6F82C238-A37D-45C7-8C35-96F09BA2EB46}"/>
    <cellStyle name="Normal 2 3 8 2 2 2" xfId="11446" xr:uid="{05072F41-75A2-4ABB-BBFB-7701A0FE9ED8}"/>
    <cellStyle name="Normal 2 3 8 2 2 2 2" xfId="24128" xr:uid="{F7E9EFAF-CFD9-4E08-BDB1-1EB36315D81B}"/>
    <cellStyle name="Normal 2 3 8 2 2 2 2 2" xfId="49620" xr:uid="{89EF3CD5-2387-4484-9AD7-69C1C502D7E6}"/>
    <cellStyle name="Normal 2 3 8 2 2 2 3" xfId="37029" xr:uid="{A60D8EB2-FB2F-4212-B07A-DDAB7F99E103}"/>
    <cellStyle name="Normal 2 3 8 2 2 3" xfId="17850" xr:uid="{982C12FA-E8E1-4048-A31D-28D5A08F2B6A}"/>
    <cellStyle name="Normal 2 3 8 2 2 3 2" xfId="43342" xr:uid="{DC2AAE2E-F704-4A83-AF44-15003C330B28}"/>
    <cellStyle name="Normal 2 3 8 2 2 4" xfId="30751" xr:uid="{2E46EDFE-E49B-4F28-9C9B-69B4ED6D7555}"/>
    <cellStyle name="Normal 2 3 8 2 3" xfId="8307" xr:uid="{33260A31-0BD9-4DB0-9225-8E2C09766F94}"/>
    <cellStyle name="Normal 2 3 8 2 3 2" xfId="20989" xr:uid="{5F196F58-A90E-459C-9D26-A8FD379E44D7}"/>
    <cellStyle name="Normal 2 3 8 2 3 2 2" xfId="46481" xr:uid="{58FEF3D9-ED1E-444E-ACE3-0B8D379B1E60}"/>
    <cellStyle name="Normal 2 3 8 2 3 3" xfId="33890" xr:uid="{843EA3B3-B01B-4199-9A43-3D5E6F83BED1}"/>
    <cellStyle name="Normal 2 3 8 2 4" xfId="14711" xr:uid="{D310BF5D-8E5A-42FC-882D-45BF6DF8A8C4}"/>
    <cellStyle name="Normal 2 3 8 2 4 2" xfId="40203" xr:uid="{4EC05245-2298-4684-918F-F702EC123BD9}"/>
    <cellStyle name="Normal 2 3 8 2 5" xfId="27612" xr:uid="{155D2211-DDB8-49CD-8043-2BD6C6444BE7}"/>
    <cellStyle name="Normal 2 3 8 3" xfId="3846" xr:uid="{10E4AF25-C940-4CAB-B9FA-7E07EF1475BA}"/>
    <cellStyle name="Normal 2 3 8 3 2" xfId="10139" xr:uid="{D2AA1776-516B-46AC-9241-E61C37AA5BB4}"/>
    <cellStyle name="Normal 2 3 8 3 2 2" xfId="22821" xr:uid="{2DF63429-AF12-4D75-87AA-5E691AB55D1E}"/>
    <cellStyle name="Normal 2 3 8 3 2 2 2" xfId="48313" xr:uid="{6C19F6AE-AF23-40FD-8183-37B29F6B2859}"/>
    <cellStyle name="Normal 2 3 8 3 2 3" xfId="35722" xr:uid="{A80C7D16-D90A-4A54-8F5C-D717600B9458}"/>
    <cellStyle name="Normal 2 3 8 3 3" xfId="16543" xr:uid="{52254ABF-24E0-46C0-BB6F-418EF5736702}"/>
    <cellStyle name="Normal 2 3 8 3 3 2" xfId="42035" xr:uid="{5524E387-B00B-49DB-BE8E-33C25A53C717}"/>
    <cellStyle name="Normal 2 3 8 3 4" xfId="29444" xr:uid="{0D10A61C-ECD1-4E3B-8DA1-AB763C644C5C}"/>
    <cellStyle name="Normal 2 3 8 4" xfId="7000" xr:uid="{91017595-D667-4C15-AB06-BFD2027BC105}"/>
    <cellStyle name="Normal 2 3 8 4 2" xfId="19682" xr:uid="{BDBA011C-AADC-4955-B47B-7DDE8D387423}"/>
    <cellStyle name="Normal 2 3 8 4 2 2" xfId="45174" xr:uid="{E249F123-557A-45F3-990B-7E3FBA4E72C8}"/>
    <cellStyle name="Normal 2 3 8 4 3" xfId="32583" xr:uid="{6823910C-FE3F-4FB0-9638-D731DA890769}"/>
    <cellStyle name="Normal 2 3 8 5" xfId="13404" xr:uid="{98805DB8-D724-488C-893C-FA6D6BAE5A90}"/>
    <cellStyle name="Normal 2 3 8 5 2" xfId="38896" xr:uid="{1DE56405-CFD0-4088-8BB6-2BA7782CB7B2}"/>
    <cellStyle name="Normal 2 3 8 6" xfId="26305" xr:uid="{C3FD9083-0F2C-4623-AC0A-FA6A5417026B}"/>
    <cellStyle name="Normal 2 3 9" xfId="1737" xr:uid="{7CFBEC0C-A2BA-4E54-952E-9642450C1D84}"/>
    <cellStyle name="Normal 2 3 9 2" xfId="4891" xr:uid="{1F6281E2-B52A-411E-A5A2-30900CE3C14E}"/>
    <cellStyle name="Normal 2 3 9 2 2" xfId="11184" xr:uid="{617B5014-D0DA-4FF3-BCB2-233418A18DB2}"/>
    <cellStyle name="Normal 2 3 9 2 2 2" xfId="23866" xr:uid="{B7B70690-4A1A-4BC9-93F8-554920D7C66C}"/>
    <cellStyle name="Normal 2 3 9 2 2 2 2" xfId="49358" xr:uid="{F2CA779F-D1FB-4C9F-A4E6-AA42F6988595}"/>
    <cellStyle name="Normal 2 3 9 2 2 3" xfId="36767" xr:uid="{3D82A256-5DB8-42EC-BFA5-E196E1D12B37}"/>
    <cellStyle name="Normal 2 3 9 2 3" xfId="17588" xr:uid="{8B540FBB-E293-4929-AEBA-8197EB225A46}"/>
    <cellStyle name="Normal 2 3 9 2 3 2" xfId="43080" xr:uid="{009B85C6-8D0F-4BC5-8D4D-71261B11D1DB}"/>
    <cellStyle name="Normal 2 3 9 2 4" xfId="30489" xr:uid="{90AD0AAE-6CB8-4F0A-A7D8-C10DC6ADC66E}"/>
    <cellStyle name="Normal 2 3 9 3" xfId="8045" xr:uid="{CC59E663-0090-47E6-BA1F-5DBFF30E33FC}"/>
    <cellStyle name="Normal 2 3 9 3 2" xfId="20727" xr:uid="{96A7772E-B65A-4444-8E83-15D32740408B}"/>
    <cellStyle name="Normal 2 3 9 3 2 2" xfId="46219" xr:uid="{8CAA9CC9-9B49-4BF7-A4AF-7953CA0E3741}"/>
    <cellStyle name="Normal 2 3 9 3 3" xfId="33628" xr:uid="{2E71A712-8C93-48EE-9911-AFB0BE6CDEDC}"/>
    <cellStyle name="Normal 2 3 9 4" xfId="14449" xr:uid="{F68DF5D8-65B1-484A-AAAD-AC7B3FFA4A05}"/>
    <cellStyle name="Normal 2 3 9 4 2" xfId="39941" xr:uid="{65CF9B34-F287-4609-9E44-2521AD1284D8}"/>
    <cellStyle name="Normal 2 3 9 5" xfId="27350" xr:uid="{F18FDD38-60B2-4183-8B10-647FBCA75852}"/>
    <cellStyle name="Normal 2 30" xfId="94" xr:uid="{83D2CC32-D271-4A27-927B-D603EE79CDAC}"/>
    <cellStyle name="Normal 2 4" xfId="254" xr:uid="{9DA0961A-CCA6-4B8F-A5E4-38060315313C}"/>
    <cellStyle name="Normal 2 4 10" xfId="1225" xr:uid="{5F99DB82-6C68-46B7-A508-7457BD2E3722}"/>
    <cellStyle name="Normal 2 4 10 2" xfId="4379" xr:uid="{BCFBDBE2-5432-4F84-9A4C-CD7597653B3D}"/>
    <cellStyle name="Normal 2 4 10 2 2" xfId="10672" xr:uid="{0E460F9C-92D9-4616-8E8A-DEBBD02197F6}"/>
    <cellStyle name="Normal 2 4 10 2 2 2" xfId="23354" xr:uid="{BFC4AF66-CBF8-4365-8CE7-00910DB18033}"/>
    <cellStyle name="Normal 2 4 10 2 2 2 2" xfId="48846" xr:uid="{F1408DE6-ECF4-4F5F-998E-62B66C1CD3C4}"/>
    <cellStyle name="Normal 2 4 10 2 2 3" xfId="36255" xr:uid="{7B991AB6-918A-492A-8DCD-821534BA8CB9}"/>
    <cellStyle name="Normal 2 4 10 2 3" xfId="17076" xr:uid="{BAA269D5-1552-4CAC-BDDD-2EAFBC5B4D30}"/>
    <cellStyle name="Normal 2 4 10 2 3 2" xfId="42568" xr:uid="{045BD757-0EB3-49A7-AE6F-23C07EDE82B9}"/>
    <cellStyle name="Normal 2 4 10 2 4" xfId="29977" xr:uid="{F27F98A0-3ED0-4C2B-B09E-8323FB7E6A98}"/>
    <cellStyle name="Normal 2 4 10 3" xfId="7533" xr:uid="{B31B3D80-B43E-49CD-9447-F81C2A493796}"/>
    <cellStyle name="Normal 2 4 10 3 2" xfId="20215" xr:uid="{AF097706-60F0-487E-AADC-6080186480DD}"/>
    <cellStyle name="Normal 2 4 10 3 2 2" xfId="45707" xr:uid="{97232CAC-A74B-4464-BB8E-A7EEA681FCCA}"/>
    <cellStyle name="Normal 2 4 10 3 3" xfId="33116" xr:uid="{946CA8AA-7666-42AA-9E6E-62C7C0B2C30B}"/>
    <cellStyle name="Normal 2 4 10 4" xfId="13937" xr:uid="{1E741ACB-4CCA-4A50-B25D-F5DBE079AB65}"/>
    <cellStyle name="Normal 2 4 10 4 2" xfId="39429" xr:uid="{238716F8-0AE8-458B-B6E1-5CA1F89D044C}"/>
    <cellStyle name="Normal 2 4 10 5" xfId="26838" xr:uid="{DAF9B5EA-97BB-4096-9770-0285B68E9D3E}"/>
    <cellStyle name="Normal 2 4 11" xfId="2532" xr:uid="{AF541595-02C4-4811-9E6B-C46CF1E07651}"/>
    <cellStyle name="Normal 2 4 11 2" xfId="5686" xr:uid="{402D9EB9-B266-49B4-B3A1-D0758163F4F8}"/>
    <cellStyle name="Normal 2 4 11 2 2" xfId="11979" xr:uid="{04B21DFA-A5C7-4A85-AFA2-8142F8937C13}"/>
    <cellStyle name="Normal 2 4 11 2 2 2" xfId="24661" xr:uid="{CCFFF7A9-32B0-48A5-A9E5-19393220284B}"/>
    <cellStyle name="Normal 2 4 11 2 2 2 2" xfId="50153" xr:uid="{771F60FB-8A8D-4133-80A7-845D84E7A1DA}"/>
    <cellStyle name="Normal 2 4 11 2 2 3" xfId="37562" xr:uid="{A5A81D44-10F1-46BF-9083-0C9D3431B808}"/>
    <cellStyle name="Normal 2 4 11 2 3" xfId="18383" xr:uid="{EDEAA35C-1C63-4AA0-9754-F4AF29677C2B}"/>
    <cellStyle name="Normal 2 4 11 2 3 2" xfId="43875" xr:uid="{9A274E32-4D57-49CF-8DA2-B6B272B27FB7}"/>
    <cellStyle name="Normal 2 4 11 2 4" xfId="31284" xr:uid="{4B0AECEC-D97C-4EBF-9C25-0A8B2343D16D}"/>
    <cellStyle name="Normal 2 4 11 3" xfId="8840" xr:uid="{BA80D822-18E9-45C4-8BFB-94561AC26671}"/>
    <cellStyle name="Normal 2 4 11 3 2" xfId="21522" xr:uid="{D4B07C80-EF6D-4EDE-8CDC-1E32AE5193D9}"/>
    <cellStyle name="Normal 2 4 11 3 2 2" xfId="47014" xr:uid="{0A1D40F9-DFD3-45E7-964E-E0D543B2B928}"/>
    <cellStyle name="Normal 2 4 11 3 3" xfId="34423" xr:uid="{611FB191-2391-473C-8250-008FE47DF6C2}"/>
    <cellStyle name="Normal 2 4 11 4" xfId="15244" xr:uid="{63B44185-E84D-4642-9F6A-1D53EAEB2912}"/>
    <cellStyle name="Normal 2 4 11 4 2" xfId="40736" xr:uid="{A61BA62E-D513-4089-A646-C6E8369962A1}"/>
    <cellStyle name="Normal 2 4 11 5" xfId="28145" xr:uid="{1476E546-0C01-482C-9B4E-8FFF1A427278}"/>
    <cellStyle name="Normal 2 4 12" xfId="3055" xr:uid="{37F3731E-0884-4A10-A72D-3BCAA88C3687}"/>
    <cellStyle name="Normal 2 4 12 2" xfId="6209" xr:uid="{BC0A1491-E61F-4E45-9609-62941317CC19}"/>
    <cellStyle name="Normal 2 4 12 2 2" xfId="12502" xr:uid="{9A9D8CBA-A244-4382-8A94-77AB5DB5546E}"/>
    <cellStyle name="Normal 2 4 12 2 2 2" xfId="25184" xr:uid="{31B1F3C9-D7A4-495C-BCF2-4485C9A00935}"/>
    <cellStyle name="Normal 2 4 12 2 2 2 2" xfId="50676" xr:uid="{C994EADE-7E34-4B2B-9955-9C82E6D98FF1}"/>
    <cellStyle name="Normal 2 4 12 2 2 3" xfId="38085" xr:uid="{DAD9A57A-5F43-489B-97D0-E65AC65D33D6}"/>
    <cellStyle name="Normal 2 4 12 2 3" xfId="18906" xr:uid="{2A93EF03-24AC-45DF-AC65-9EFA499DCEA7}"/>
    <cellStyle name="Normal 2 4 12 2 3 2" xfId="44398" xr:uid="{815A8141-A850-408F-94A0-5650C239216B}"/>
    <cellStyle name="Normal 2 4 12 2 4" xfId="31807" xr:uid="{3ABDF445-2B54-41E0-BBDC-2DDE71C4B17E}"/>
    <cellStyle name="Normal 2 4 12 3" xfId="9363" xr:uid="{A87189FC-9FE8-40A8-85FF-BD3D641BBDA2}"/>
    <cellStyle name="Normal 2 4 12 3 2" xfId="22045" xr:uid="{DCEBD881-F34B-4977-B81A-FF5B1F790BA4}"/>
    <cellStyle name="Normal 2 4 12 3 2 2" xfId="47537" xr:uid="{F8202599-9CEE-47FE-916E-C553D710F295}"/>
    <cellStyle name="Normal 2 4 12 3 3" xfId="34946" xr:uid="{7C369908-4B9B-458B-9938-A27AB433C173}"/>
    <cellStyle name="Normal 2 4 12 4" xfId="15767" xr:uid="{D2A2FBAD-6A46-411B-A3BD-9D156B6D60DF}"/>
    <cellStyle name="Normal 2 4 12 4 2" xfId="41259" xr:uid="{B7677DD2-7019-4555-9C4A-9A4BC463F0C3}"/>
    <cellStyle name="Normal 2 4 12 5" xfId="28668" xr:uid="{9DE33ADC-90E5-4535-9BDB-A536186F1ABF}"/>
    <cellStyle name="Normal 2 4 13" xfId="3594" xr:uid="{7B7B01C0-4FA0-4FFF-88F2-677B09A64F5A}"/>
    <cellStyle name="Normal 2 4 13 2" xfId="9887" xr:uid="{F8F9C1AC-7A33-4A6B-93D6-3988FC7CB17B}"/>
    <cellStyle name="Normal 2 4 13 2 2" xfId="22569" xr:uid="{254A12FE-CBB9-4C4E-8C90-AB8A0807A766}"/>
    <cellStyle name="Normal 2 4 13 2 2 2" xfId="48061" xr:uid="{D237E757-7220-45F8-9F40-923D0B99E7FC}"/>
    <cellStyle name="Normal 2 4 13 2 3" xfId="35470" xr:uid="{B99FC8ED-0554-4F2B-A51D-94980E4E731D}"/>
    <cellStyle name="Normal 2 4 13 3" xfId="16291" xr:uid="{0114990B-9E8B-43E2-98EA-CC8C3B28DFBB}"/>
    <cellStyle name="Normal 2 4 13 3 2" xfId="41783" xr:uid="{16CFE108-3C08-46DA-918E-CA87C876B019}"/>
    <cellStyle name="Normal 2 4 13 4" xfId="29192" xr:uid="{0F2E96E4-BDE5-4182-8B3E-BE0553516E92}"/>
    <cellStyle name="Normal 2 4 14" xfId="6748" xr:uid="{C62BD769-9C05-4A31-8F4B-3179076E6CB4}"/>
    <cellStyle name="Normal 2 4 14 2" xfId="19430" xr:uid="{C59D171B-CE79-4A8C-8081-447EC9D4651C}"/>
    <cellStyle name="Normal 2 4 14 2 2" xfId="44922" xr:uid="{0CB74BF2-B4FF-434B-952A-E1F2377507DE}"/>
    <cellStyle name="Normal 2 4 14 3" xfId="32331" xr:uid="{83DE6E97-181F-4D43-B7FD-D5CD4C0A8045}"/>
    <cellStyle name="Normal 2 4 15" xfId="13150" xr:uid="{5F81D3B5-AF0A-4436-96BF-BC7246E0832E}"/>
    <cellStyle name="Normal 2 4 15 2" xfId="38643" xr:uid="{231AEB54-1221-4357-8CF2-8B35C4C4B6DF}"/>
    <cellStyle name="Normal 2 4 16" xfId="13067" xr:uid="{4874F31A-5793-4451-9ED1-18852EC05327}"/>
    <cellStyle name="Normal 2 4 17" xfId="26052" xr:uid="{839FFCB3-9A3A-4E72-B302-801F6B3D66D3}"/>
    <cellStyle name="Normal 2 4 18" xfId="410" xr:uid="{7D65C32D-62CB-4A5E-AA55-34FB180A2FE6}"/>
    <cellStyle name="Normal 2 4 2" xfId="445" xr:uid="{CDDABAE2-2B6B-4AEF-86D7-828D645FE05A}"/>
    <cellStyle name="Normal 2 4 2 10" xfId="3075" xr:uid="{3295D136-FADD-48A1-BE81-78D21031AD51}"/>
    <cellStyle name="Normal 2 4 2 10 2" xfId="6229" xr:uid="{FD220543-A3F0-4A3E-81D3-EDD9C7345373}"/>
    <cellStyle name="Normal 2 4 2 10 2 2" xfId="12522" xr:uid="{1A311D0E-1171-4D86-9D5C-D53DB85F4BB6}"/>
    <cellStyle name="Normal 2 4 2 10 2 2 2" xfId="25204" xr:uid="{CAF64ECB-8BCF-4BEC-B53F-1A88E557D6A4}"/>
    <cellStyle name="Normal 2 4 2 10 2 2 2 2" xfId="50696" xr:uid="{8F252CF9-0857-4791-8B57-416A99D89A30}"/>
    <cellStyle name="Normal 2 4 2 10 2 2 3" xfId="38105" xr:uid="{3A14C916-E012-4B72-946D-B8C9FC677FEC}"/>
    <cellStyle name="Normal 2 4 2 10 2 3" xfId="18926" xr:uid="{1C2B0D42-AD52-4E03-BE61-24486E7CC78E}"/>
    <cellStyle name="Normal 2 4 2 10 2 3 2" xfId="44418" xr:uid="{83A6EBC1-C725-4A26-8C4E-9FF398F2C8A5}"/>
    <cellStyle name="Normal 2 4 2 10 2 4" xfId="31827" xr:uid="{C0821C1E-4103-4746-B1ED-C2EBCF2E222B}"/>
    <cellStyle name="Normal 2 4 2 10 3" xfId="9383" xr:uid="{6D0F4CAC-14E3-44B3-84E3-AC066550FDF1}"/>
    <cellStyle name="Normal 2 4 2 10 3 2" xfId="22065" xr:uid="{F656A544-1875-497A-9A28-392016FD1777}"/>
    <cellStyle name="Normal 2 4 2 10 3 2 2" xfId="47557" xr:uid="{8FA4B4AD-C5C0-4F92-8CA8-23E5BFD5DA3B}"/>
    <cellStyle name="Normal 2 4 2 10 3 3" xfId="34966" xr:uid="{8EDE0EFE-D7B8-46C3-A278-EB46E603A88E}"/>
    <cellStyle name="Normal 2 4 2 10 4" xfId="15787" xr:uid="{CEA28330-47DA-4E8B-BC13-BE0364771F2D}"/>
    <cellStyle name="Normal 2 4 2 10 4 2" xfId="41279" xr:uid="{EB2D7762-4862-437F-AFF6-F00F113CFA5D}"/>
    <cellStyle name="Normal 2 4 2 10 5" xfId="28688" xr:uid="{E7E31DC3-AFF2-476F-A834-961C28067840}"/>
    <cellStyle name="Normal 2 4 2 11" xfId="3614" xr:uid="{544CA81F-B549-41F5-B9C0-3CE876F62E6B}"/>
    <cellStyle name="Normal 2 4 2 11 2" xfId="9907" xr:uid="{42083AD9-8293-4ED7-8AC7-B6C21883BF2B}"/>
    <cellStyle name="Normal 2 4 2 11 2 2" xfId="22589" xr:uid="{22175821-944D-4069-AD19-55900E979AD8}"/>
    <cellStyle name="Normal 2 4 2 11 2 2 2" xfId="48081" xr:uid="{7B5235D7-A4C4-4C67-B062-7519C4565248}"/>
    <cellStyle name="Normal 2 4 2 11 2 3" xfId="35490" xr:uid="{FFAF2C83-0B13-4006-BDFF-BED385E77ECC}"/>
    <cellStyle name="Normal 2 4 2 11 3" xfId="16311" xr:uid="{1FABD8AE-6455-49BE-B1A3-C3E86E022CCF}"/>
    <cellStyle name="Normal 2 4 2 11 3 2" xfId="41803" xr:uid="{514ABAE4-8AA4-4AD2-8194-F6733BADD649}"/>
    <cellStyle name="Normal 2 4 2 11 4" xfId="29212" xr:uid="{13239827-7379-4AAE-882E-6F16DAD0EC58}"/>
    <cellStyle name="Normal 2 4 2 12" xfId="6768" xr:uid="{69068037-3D31-48C4-848D-837C04160EAA}"/>
    <cellStyle name="Normal 2 4 2 12 2" xfId="19450" xr:uid="{72C93BA6-64CB-4781-AF45-8F50B3948207}"/>
    <cellStyle name="Normal 2 4 2 12 2 2" xfId="44942" xr:uid="{2ADA4E49-DC4E-4266-BB81-86076223D514}"/>
    <cellStyle name="Normal 2 4 2 12 3" xfId="32351" xr:uid="{FA56CC9C-E31B-4763-8A5D-DAF7A4C14B22}"/>
    <cellStyle name="Normal 2 4 2 13" xfId="13172" xr:uid="{E40067FF-17AE-4FE8-9E48-F9969B739B82}"/>
    <cellStyle name="Normal 2 4 2 13 2" xfId="38664" xr:uid="{CC9EF2E0-E078-4989-84BD-C218AAE252C6}"/>
    <cellStyle name="Normal 2 4 2 14" xfId="26073" xr:uid="{2FB5E573-3E78-452C-A5CF-FADA381C4865}"/>
    <cellStyle name="Normal 2 4 2 2" xfId="506" xr:uid="{F7663B54-7EA0-4FDD-BB47-A134E4846405}"/>
    <cellStyle name="Normal 2 4 2 2 10" xfId="6829" xr:uid="{B7291DD3-2C8A-48A8-A7AD-2FC66A095377}"/>
    <cellStyle name="Normal 2 4 2 2 10 2" xfId="19511" xr:uid="{ADD62945-9AEC-4D6D-9C2E-6FFCBF5AFF3B}"/>
    <cellStyle name="Normal 2 4 2 2 10 2 2" xfId="45003" xr:uid="{410B9F05-8C47-43DA-8253-3718FF83DD4F}"/>
    <cellStyle name="Normal 2 4 2 2 10 3" xfId="32412" xr:uid="{17F3947B-58EF-435D-903D-6A4E2680125B}"/>
    <cellStyle name="Normal 2 4 2 2 11" xfId="13233" xr:uid="{588370C0-8635-4767-ACC7-3ADC1D5D11A8}"/>
    <cellStyle name="Normal 2 4 2 2 11 2" xfId="38725" xr:uid="{C5091CDA-BFBE-474E-8025-E87F72262F03}"/>
    <cellStyle name="Normal 2 4 2 2 12" xfId="26134" xr:uid="{535CB6DD-79EC-4D92-9AE9-C88C065468DF}"/>
    <cellStyle name="Normal 2 4 2 2 2" xfId="665" xr:uid="{14287510-3BAE-4794-9566-DB7BF5995BA9}"/>
    <cellStyle name="Normal 2 4 2 2 2 10" xfId="13392" xr:uid="{AE0D2930-DA5B-4F99-B042-2C7949684DD8}"/>
    <cellStyle name="Normal 2 4 2 2 2 10 2" xfId="38884" xr:uid="{64F54DB9-529B-4CAC-9349-7E4FD0357A37}"/>
    <cellStyle name="Normal 2 4 2 2 2 11" xfId="26293" xr:uid="{2D5E8BF0-7D19-46BA-BE3B-C96A9918A7C3}"/>
    <cellStyle name="Normal 2 4 2 2 2 2" xfId="1202" xr:uid="{6415509C-24FD-43B8-9704-D5D452AD1FD2}"/>
    <cellStyle name="Normal 2 4 2 2 2 2 2" xfId="2509" xr:uid="{0447FCA2-6BEC-49A2-A184-4D7D2174D50C}"/>
    <cellStyle name="Normal 2 4 2 2 2 2 2 2" xfId="5663" xr:uid="{C28DB5EB-F712-4D17-8165-3DD86648FE2D}"/>
    <cellStyle name="Normal 2 4 2 2 2 2 2 2 2" xfId="11956" xr:uid="{27051644-0DBE-4405-98E6-1DB7F370CD40}"/>
    <cellStyle name="Normal 2 4 2 2 2 2 2 2 2 2" xfId="24638" xr:uid="{2F77E349-CE80-4E4F-9011-1B8030088BCD}"/>
    <cellStyle name="Normal 2 4 2 2 2 2 2 2 2 2 2" xfId="50130" xr:uid="{1ED978EE-508D-4072-AE7C-7F8E52BE08B3}"/>
    <cellStyle name="Normal 2 4 2 2 2 2 2 2 2 3" xfId="37539" xr:uid="{82BF6BBD-AFF6-4A32-822B-E1FCA0316D50}"/>
    <cellStyle name="Normal 2 4 2 2 2 2 2 2 3" xfId="18360" xr:uid="{73CB8437-D0A2-49D9-BAE8-6FD97E774D20}"/>
    <cellStyle name="Normal 2 4 2 2 2 2 2 2 3 2" xfId="43852" xr:uid="{B966350C-13C8-406F-8F5B-66FF10054348}"/>
    <cellStyle name="Normal 2 4 2 2 2 2 2 2 4" xfId="31261" xr:uid="{69192463-1ABD-4808-A9B1-9D4B82F03484}"/>
    <cellStyle name="Normal 2 4 2 2 2 2 2 3" xfId="8817" xr:uid="{72BE3231-C109-4890-9B8E-F270ADB45A42}"/>
    <cellStyle name="Normal 2 4 2 2 2 2 2 3 2" xfId="21499" xr:uid="{19B78D60-8BE0-46BD-923D-8988C08847BF}"/>
    <cellStyle name="Normal 2 4 2 2 2 2 2 3 2 2" xfId="46991" xr:uid="{5AB45647-72FC-4105-9381-B6B5B5B0B4D2}"/>
    <cellStyle name="Normal 2 4 2 2 2 2 2 3 3" xfId="34400" xr:uid="{976BD2B2-1105-4FBD-A81A-57A7FB8DF734}"/>
    <cellStyle name="Normal 2 4 2 2 2 2 2 4" xfId="15221" xr:uid="{52CEE720-0C21-40B9-B535-07FF3E145249}"/>
    <cellStyle name="Normal 2 4 2 2 2 2 2 4 2" xfId="40713" xr:uid="{C3749123-DA6B-427D-95B0-541F28AAE0B1}"/>
    <cellStyle name="Normal 2 4 2 2 2 2 2 5" xfId="28122" xr:uid="{C472B7C8-D0A8-4777-B6D6-B5FB4B6D6D82}"/>
    <cellStyle name="Normal 2 4 2 2 2 2 3" xfId="1726" xr:uid="{B46CD667-85C2-4C32-A275-41AC33809897}"/>
    <cellStyle name="Normal 2 4 2 2 2 2 3 2" xfId="4880" xr:uid="{934FBB6C-8C3C-4988-93E9-D5A65EEA14E5}"/>
    <cellStyle name="Normal 2 4 2 2 2 2 3 2 2" xfId="11173" xr:uid="{64EE9709-5C0F-4FE7-AE0B-626F0C24FD42}"/>
    <cellStyle name="Normal 2 4 2 2 2 2 3 2 2 2" xfId="23855" xr:uid="{8EB0AD29-0268-4C70-ACCC-57ABA260F357}"/>
    <cellStyle name="Normal 2 4 2 2 2 2 3 2 2 2 2" xfId="49347" xr:uid="{29A4D930-2DDE-41D3-886E-CF806B39FBED}"/>
    <cellStyle name="Normal 2 4 2 2 2 2 3 2 2 3" xfId="36756" xr:uid="{32472E6A-57B2-4CBF-8BAF-9D07E5DC9F97}"/>
    <cellStyle name="Normal 2 4 2 2 2 2 3 2 3" xfId="17577" xr:uid="{A6E154F4-3F72-4BA7-87E4-0DF174EBB19C}"/>
    <cellStyle name="Normal 2 4 2 2 2 2 3 2 3 2" xfId="43069" xr:uid="{9467438D-D3D2-4B41-AC51-B15C75E8D8C6}"/>
    <cellStyle name="Normal 2 4 2 2 2 2 3 2 4" xfId="30478" xr:uid="{1B58DBA2-EE7E-4ABF-A4F0-17586E847A3F}"/>
    <cellStyle name="Normal 2 4 2 2 2 2 3 3" xfId="8034" xr:uid="{5488C23D-5414-4848-B03C-A2D32EEE0BFC}"/>
    <cellStyle name="Normal 2 4 2 2 2 2 3 3 2" xfId="20716" xr:uid="{730D9F15-F4B6-4296-A8BF-2AC07B7DBFCF}"/>
    <cellStyle name="Normal 2 4 2 2 2 2 3 3 2 2" xfId="46208" xr:uid="{1E7CC140-98B0-4525-A721-AB8DBE94F50C}"/>
    <cellStyle name="Normal 2 4 2 2 2 2 3 3 3" xfId="33617" xr:uid="{4659F329-4E14-4710-9FFB-B690EF9F8CAA}"/>
    <cellStyle name="Normal 2 4 2 2 2 2 3 4" xfId="14438" xr:uid="{A1DF8551-8D5B-4092-A12C-486AEDB2BC34}"/>
    <cellStyle name="Normal 2 4 2 2 2 2 3 4 2" xfId="39930" xr:uid="{EEEF83CA-5D13-4CAD-B3DC-64AE4178F124}"/>
    <cellStyle name="Normal 2 4 2 2 2 2 3 5" xfId="27339" xr:uid="{38A1278C-AA57-4936-9CD1-BA9BE96D46E0}"/>
    <cellStyle name="Normal 2 4 2 2 2 2 4" xfId="3033" xr:uid="{6E189E72-783E-4A2F-B5FB-9DD1E470CECC}"/>
    <cellStyle name="Normal 2 4 2 2 2 2 4 2" xfId="6187" xr:uid="{7B9D0F5A-503F-486E-AEC7-2E9238FB3A1D}"/>
    <cellStyle name="Normal 2 4 2 2 2 2 4 2 2" xfId="12480" xr:uid="{7FFB9003-77B3-4872-B136-4A19FC60656D}"/>
    <cellStyle name="Normal 2 4 2 2 2 2 4 2 2 2" xfId="25162" xr:uid="{D95E9245-B338-4136-876F-E13AA26E3490}"/>
    <cellStyle name="Normal 2 4 2 2 2 2 4 2 2 2 2" xfId="50654" xr:uid="{DFBCC1A1-EDCB-4884-B4F9-887568D3833D}"/>
    <cellStyle name="Normal 2 4 2 2 2 2 4 2 2 3" xfId="38063" xr:uid="{25AF94A6-091E-490E-B6DE-78A6F3DD0793}"/>
    <cellStyle name="Normal 2 4 2 2 2 2 4 2 3" xfId="18884" xr:uid="{582F81A8-4FEA-4483-9D61-DA0C2F913884}"/>
    <cellStyle name="Normal 2 4 2 2 2 2 4 2 3 2" xfId="44376" xr:uid="{304D07A2-A284-438B-AF3E-79DACF050A8C}"/>
    <cellStyle name="Normal 2 4 2 2 2 2 4 2 4" xfId="31785" xr:uid="{EF7F70A1-4FFE-4209-B0D9-E06A1A9747C5}"/>
    <cellStyle name="Normal 2 4 2 2 2 2 4 3" xfId="9341" xr:uid="{49F80046-EC39-4775-9C24-3BABF7767B17}"/>
    <cellStyle name="Normal 2 4 2 2 2 2 4 3 2" xfId="22023" xr:uid="{95AAE530-B5C6-4887-AD42-89AD417BD988}"/>
    <cellStyle name="Normal 2 4 2 2 2 2 4 3 2 2" xfId="47515" xr:uid="{AB4BE759-8D12-4CE8-9043-1D6C03B5BD07}"/>
    <cellStyle name="Normal 2 4 2 2 2 2 4 3 3" xfId="34924" xr:uid="{067E18DB-A81C-4E6D-8220-281EC4791442}"/>
    <cellStyle name="Normal 2 4 2 2 2 2 4 4" xfId="15745" xr:uid="{D7521036-F2F1-40B1-8BEE-4A57FC6A3976}"/>
    <cellStyle name="Normal 2 4 2 2 2 2 4 4 2" xfId="41237" xr:uid="{FAE903CE-2FA3-4D5A-8BEB-0250ECDD0CCE}"/>
    <cellStyle name="Normal 2 4 2 2 2 2 4 5" xfId="28646" xr:uid="{CD11C0E5-4026-43A1-8DF2-98E3A81E601C}"/>
    <cellStyle name="Normal 2 4 2 2 2 2 5" xfId="3556" xr:uid="{0BD342F1-6000-4E4F-A2CC-8522BE9185ED}"/>
    <cellStyle name="Normal 2 4 2 2 2 2 5 2" xfId="6710" xr:uid="{734736E5-C8A5-49B8-B636-AD0CBD886143}"/>
    <cellStyle name="Normal 2 4 2 2 2 2 5 2 2" xfId="13003" xr:uid="{E25CDF69-4DBA-4FD1-AFA1-86A702752881}"/>
    <cellStyle name="Normal 2 4 2 2 2 2 5 2 2 2" xfId="25685" xr:uid="{C626D18F-801D-40FD-B710-15760137A160}"/>
    <cellStyle name="Normal 2 4 2 2 2 2 5 2 2 2 2" xfId="51177" xr:uid="{C8B6F606-EB25-44AD-9B55-E31C6BA89DD5}"/>
    <cellStyle name="Normal 2 4 2 2 2 2 5 2 2 3" xfId="38586" xr:uid="{F661CD68-1252-4E71-BF8B-E7C1CCE54CC3}"/>
    <cellStyle name="Normal 2 4 2 2 2 2 5 2 3" xfId="19407" xr:uid="{6DAF7FC8-B441-4928-A8AD-E3FE4C75B3B0}"/>
    <cellStyle name="Normal 2 4 2 2 2 2 5 2 3 2" xfId="44899" xr:uid="{60F64A8E-5A24-4C90-97BA-A4F1D3E8BB47}"/>
    <cellStyle name="Normal 2 4 2 2 2 2 5 2 4" xfId="32308" xr:uid="{2D4DB312-672B-48F9-BF76-D390C157DE0C}"/>
    <cellStyle name="Normal 2 4 2 2 2 2 5 3" xfId="9864" xr:uid="{9551604D-AB1B-479A-9A3B-9FF4450C9BF4}"/>
    <cellStyle name="Normal 2 4 2 2 2 2 5 3 2" xfId="22546" xr:uid="{41FB0D98-2165-4AC5-A44C-057E8839AC4B}"/>
    <cellStyle name="Normal 2 4 2 2 2 2 5 3 2 2" xfId="48038" xr:uid="{34516AF0-9407-4EBD-BC2A-5730537B093C}"/>
    <cellStyle name="Normal 2 4 2 2 2 2 5 3 3" xfId="35447" xr:uid="{A1595C4E-0CC8-421F-AFC8-C501B8F2FC35}"/>
    <cellStyle name="Normal 2 4 2 2 2 2 5 4" xfId="16268" xr:uid="{978E5CBC-0C64-487D-9946-8A37659E6061}"/>
    <cellStyle name="Normal 2 4 2 2 2 2 5 4 2" xfId="41760" xr:uid="{B15D5EE2-A9F4-4024-A921-26600DAABBB0}"/>
    <cellStyle name="Normal 2 4 2 2 2 2 5 5" xfId="29169" xr:uid="{CB4AEE2C-F005-44F3-8842-DF26B4DA6B60}"/>
    <cellStyle name="Normal 2 4 2 2 2 2 6" xfId="4356" xr:uid="{07253048-E3D4-4902-8D33-44E7BAE53363}"/>
    <cellStyle name="Normal 2 4 2 2 2 2 6 2" xfId="10649" xr:uid="{C9889D8B-34DD-474F-8E5D-EBBF70E36923}"/>
    <cellStyle name="Normal 2 4 2 2 2 2 6 2 2" xfId="23331" xr:uid="{B1593A0A-2E4B-4DA4-9103-3B2FE20684C9}"/>
    <cellStyle name="Normal 2 4 2 2 2 2 6 2 2 2" xfId="48823" xr:uid="{EB3402BC-5D10-4CC7-A8EB-D0206FC6931C}"/>
    <cellStyle name="Normal 2 4 2 2 2 2 6 2 3" xfId="36232" xr:uid="{0D21A7A3-5FBA-4DE9-9998-4A6690604B07}"/>
    <cellStyle name="Normal 2 4 2 2 2 2 6 3" xfId="17053" xr:uid="{AA557E95-D51F-4886-9C74-79BEA572B445}"/>
    <cellStyle name="Normal 2 4 2 2 2 2 6 3 2" xfId="42545" xr:uid="{230494D7-9376-4D6E-AD55-A9F14AAE2EE7}"/>
    <cellStyle name="Normal 2 4 2 2 2 2 6 4" xfId="29954" xr:uid="{A34F7171-4D44-4882-A121-8F79C08E8996}"/>
    <cellStyle name="Normal 2 4 2 2 2 2 7" xfId="7510" xr:uid="{0858773A-D85F-4E85-B808-D522FA5C3AE6}"/>
    <cellStyle name="Normal 2 4 2 2 2 2 7 2" xfId="20192" xr:uid="{A2F1D5B2-6386-415A-B05A-DC2A642F9B0B}"/>
    <cellStyle name="Normal 2 4 2 2 2 2 7 2 2" xfId="45684" xr:uid="{4EFE0994-2A53-4D7B-A0AC-E0A61662B20F}"/>
    <cellStyle name="Normal 2 4 2 2 2 2 7 3" xfId="33093" xr:uid="{BADEED7B-66B2-4EE7-A1E2-3282BDF614E8}"/>
    <cellStyle name="Normal 2 4 2 2 2 2 8" xfId="13914" xr:uid="{449A4847-3354-40BC-805A-9FA6AABDB081}"/>
    <cellStyle name="Normal 2 4 2 2 2 2 8 2" xfId="39406" xr:uid="{AFBFBB22-137A-49AA-8238-8F8C774F81DB}"/>
    <cellStyle name="Normal 2 4 2 2 2 2 9" xfId="26815" xr:uid="{B2BCAA0F-5AA1-475B-A1D6-DA46B7FE9F3F}"/>
    <cellStyle name="Normal 2 4 2 2 2 3" xfId="942" xr:uid="{E5AFCDD7-4AB2-40E9-BF4D-119B8557CD53}"/>
    <cellStyle name="Normal 2 4 2 2 2 3 2" xfId="2249" xr:uid="{5F61D021-444D-453D-947A-677A633B67A8}"/>
    <cellStyle name="Normal 2 4 2 2 2 3 2 2" xfId="5403" xr:uid="{A40C1368-2B34-4573-9E4A-8A7A4206CEB3}"/>
    <cellStyle name="Normal 2 4 2 2 2 3 2 2 2" xfId="11696" xr:uid="{A733855B-BAC4-4EBA-A879-7205967FADF4}"/>
    <cellStyle name="Normal 2 4 2 2 2 3 2 2 2 2" xfId="24378" xr:uid="{B239A464-6526-4851-9410-5DE05E6E9245}"/>
    <cellStyle name="Normal 2 4 2 2 2 3 2 2 2 2 2" xfId="49870" xr:uid="{E9A1F003-18A5-442C-AEDB-C5A429C5443A}"/>
    <cellStyle name="Normal 2 4 2 2 2 3 2 2 2 3" xfId="37279" xr:uid="{BBEB482F-0A5E-46B0-86D3-075D6D03E869}"/>
    <cellStyle name="Normal 2 4 2 2 2 3 2 2 3" xfId="18100" xr:uid="{C0EDDAC6-5298-45C4-A6A7-5345FD6B7F4A}"/>
    <cellStyle name="Normal 2 4 2 2 2 3 2 2 3 2" xfId="43592" xr:uid="{89A6A8D3-34D7-4D7A-8DC0-24CD29702704}"/>
    <cellStyle name="Normal 2 4 2 2 2 3 2 2 4" xfId="31001" xr:uid="{E9F29D94-1566-4F51-A279-62B7F318CB64}"/>
    <cellStyle name="Normal 2 4 2 2 2 3 2 3" xfId="8557" xr:uid="{21EABF76-37AA-4483-9D85-E29F73042B77}"/>
    <cellStyle name="Normal 2 4 2 2 2 3 2 3 2" xfId="21239" xr:uid="{D76701D7-B449-42EB-832A-9D864D53A5EC}"/>
    <cellStyle name="Normal 2 4 2 2 2 3 2 3 2 2" xfId="46731" xr:uid="{0D2BE5CF-5E9B-4884-A829-F975FDB5EEBD}"/>
    <cellStyle name="Normal 2 4 2 2 2 3 2 3 3" xfId="34140" xr:uid="{69874BC8-E0FB-4C57-80E3-2F10BE216378}"/>
    <cellStyle name="Normal 2 4 2 2 2 3 2 4" xfId="14961" xr:uid="{F247E39C-770E-478F-8DBC-5BF5E4F91BD0}"/>
    <cellStyle name="Normal 2 4 2 2 2 3 2 4 2" xfId="40453" xr:uid="{8D25E085-04FE-4512-BA2E-60403055259F}"/>
    <cellStyle name="Normal 2 4 2 2 2 3 2 5" xfId="27862" xr:uid="{A510F6FE-E580-48CB-8C78-B6C41E2E5397}"/>
    <cellStyle name="Normal 2 4 2 2 2 3 3" xfId="4096" xr:uid="{AA5A5BA0-CDDA-4D14-8EAD-14DD607FA035}"/>
    <cellStyle name="Normal 2 4 2 2 2 3 3 2" xfId="10389" xr:uid="{C4D39DD0-87E4-4FB1-B84E-0761377CBEFB}"/>
    <cellStyle name="Normal 2 4 2 2 2 3 3 2 2" xfId="23071" xr:uid="{DDA27DAC-3572-47BD-AD59-1D3C2375185D}"/>
    <cellStyle name="Normal 2 4 2 2 2 3 3 2 2 2" xfId="48563" xr:uid="{6E916510-BECE-4022-8B0D-79A22392AAFD}"/>
    <cellStyle name="Normal 2 4 2 2 2 3 3 2 3" xfId="35972" xr:uid="{F33F622C-FC72-411C-9560-2B962DAE5E3A}"/>
    <cellStyle name="Normal 2 4 2 2 2 3 3 3" xfId="16793" xr:uid="{D7AF7BEA-CA9A-4F19-8CD3-D36DD2A29DD4}"/>
    <cellStyle name="Normal 2 4 2 2 2 3 3 3 2" xfId="42285" xr:uid="{E0EC6298-B80D-41B9-9362-0C227A5A40F8}"/>
    <cellStyle name="Normal 2 4 2 2 2 3 3 4" xfId="29694" xr:uid="{BDF84A35-489B-4890-84F8-D92656EDCAD7}"/>
    <cellStyle name="Normal 2 4 2 2 2 3 4" xfId="7250" xr:uid="{EC328592-3578-41BC-B9BC-6122F33AB79F}"/>
    <cellStyle name="Normal 2 4 2 2 2 3 4 2" xfId="19932" xr:uid="{C9096244-2919-4B84-97FC-FC1436118689}"/>
    <cellStyle name="Normal 2 4 2 2 2 3 4 2 2" xfId="45424" xr:uid="{C6282B14-9476-4003-9DBE-D1C756EF2F64}"/>
    <cellStyle name="Normal 2 4 2 2 2 3 4 3" xfId="32833" xr:uid="{C58AE59E-E0B3-4C0A-956C-F1E1716CFC5E}"/>
    <cellStyle name="Normal 2 4 2 2 2 3 5" xfId="13654" xr:uid="{60DE64FC-2AA1-461D-806B-C359F6CED777}"/>
    <cellStyle name="Normal 2 4 2 2 2 3 5 2" xfId="39146" xr:uid="{932DEE6B-2696-4E1C-A1A1-876174CB8E6C}"/>
    <cellStyle name="Normal 2 4 2 2 2 3 6" xfId="26555" xr:uid="{0E32F726-C281-4667-AF0B-FD30CFD494DD}"/>
    <cellStyle name="Normal 2 4 2 2 2 4" xfId="1987" xr:uid="{E57CCD84-6579-4853-9BA0-AFEEA04A9544}"/>
    <cellStyle name="Normal 2 4 2 2 2 4 2" xfId="5141" xr:uid="{9F83F004-8F40-4827-98D0-2431C006AFC4}"/>
    <cellStyle name="Normal 2 4 2 2 2 4 2 2" xfId="11434" xr:uid="{AEF1FD65-2AFA-49B6-BC26-5213E2E959E1}"/>
    <cellStyle name="Normal 2 4 2 2 2 4 2 2 2" xfId="24116" xr:uid="{A287FED9-0746-46B6-B91A-ECD616C6D41E}"/>
    <cellStyle name="Normal 2 4 2 2 2 4 2 2 2 2" xfId="49608" xr:uid="{C3D54C2B-D470-498B-98F1-1CBE8B5D8031}"/>
    <cellStyle name="Normal 2 4 2 2 2 4 2 2 3" xfId="37017" xr:uid="{E4096900-40F9-4646-828D-25E1910F3CA8}"/>
    <cellStyle name="Normal 2 4 2 2 2 4 2 3" xfId="17838" xr:uid="{168F310C-A5F1-42AA-B1BF-F25B1B06DF95}"/>
    <cellStyle name="Normal 2 4 2 2 2 4 2 3 2" xfId="43330" xr:uid="{03A156BE-B0F8-4A7D-9656-2BA1F60A58EA}"/>
    <cellStyle name="Normal 2 4 2 2 2 4 2 4" xfId="30739" xr:uid="{42E9163D-86F7-424D-A78E-E000E2B9422E}"/>
    <cellStyle name="Normal 2 4 2 2 2 4 3" xfId="8295" xr:uid="{BABB6AA5-0F55-47F5-AE94-79C0E4C2942C}"/>
    <cellStyle name="Normal 2 4 2 2 2 4 3 2" xfId="20977" xr:uid="{D5A86295-E2D4-45DB-8C60-927321070190}"/>
    <cellStyle name="Normal 2 4 2 2 2 4 3 2 2" xfId="46469" xr:uid="{273C9167-EFFA-4AC2-85B5-B1DD484EEC72}"/>
    <cellStyle name="Normal 2 4 2 2 2 4 3 3" xfId="33878" xr:uid="{02CD0524-D1AB-4313-A7E3-C36E5DF837F4}"/>
    <cellStyle name="Normal 2 4 2 2 2 4 4" xfId="14699" xr:uid="{5F60FE38-7135-4491-962A-E783C1AA66A6}"/>
    <cellStyle name="Normal 2 4 2 2 2 4 4 2" xfId="40191" xr:uid="{1145E25A-D37F-4834-A189-FC2D86DE89EE}"/>
    <cellStyle name="Normal 2 4 2 2 2 4 5" xfId="27600" xr:uid="{3C249C1E-16DB-4474-B7F6-C7475DB55A26}"/>
    <cellStyle name="Normal 2 4 2 2 2 5" xfId="1465" xr:uid="{D0A84E32-69C7-45E8-990F-60582EECCC3D}"/>
    <cellStyle name="Normal 2 4 2 2 2 5 2" xfId="4619" xr:uid="{7A717077-F919-44EE-A974-3BA863CD53FB}"/>
    <cellStyle name="Normal 2 4 2 2 2 5 2 2" xfId="10912" xr:uid="{40BA4C41-F8A2-432E-82EC-2A318D826CEA}"/>
    <cellStyle name="Normal 2 4 2 2 2 5 2 2 2" xfId="23594" xr:uid="{C483CFE8-858A-4E7B-8F00-B39E3F1E815B}"/>
    <cellStyle name="Normal 2 4 2 2 2 5 2 2 2 2" xfId="49086" xr:uid="{EDD08D12-8CE0-4E25-9E20-3F8AAF62F3A3}"/>
    <cellStyle name="Normal 2 4 2 2 2 5 2 2 3" xfId="36495" xr:uid="{2527E84C-05E5-462F-B468-CEFC99CDB10E}"/>
    <cellStyle name="Normal 2 4 2 2 2 5 2 3" xfId="17316" xr:uid="{7F67569E-AD3D-45F9-B4C3-1504FBE9E11F}"/>
    <cellStyle name="Normal 2 4 2 2 2 5 2 3 2" xfId="42808" xr:uid="{A524DE7C-CAD0-4143-958C-0E43A164A65E}"/>
    <cellStyle name="Normal 2 4 2 2 2 5 2 4" xfId="30217" xr:uid="{383C2E50-81D2-41CD-B589-4E36784FE33D}"/>
    <cellStyle name="Normal 2 4 2 2 2 5 3" xfId="7773" xr:uid="{06A71404-0E2F-4F64-AB7E-DEDEBF9EFFB5}"/>
    <cellStyle name="Normal 2 4 2 2 2 5 3 2" xfId="20455" xr:uid="{918F7406-C578-4101-B458-8AF6546528BF}"/>
    <cellStyle name="Normal 2 4 2 2 2 5 3 2 2" xfId="45947" xr:uid="{F3A320B7-D2DD-4960-A559-592BC5D0085D}"/>
    <cellStyle name="Normal 2 4 2 2 2 5 3 3" xfId="33356" xr:uid="{19995E36-51F5-4F8A-896D-5B2B3734E3DA}"/>
    <cellStyle name="Normal 2 4 2 2 2 5 4" xfId="14177" xr:uid="{EA240DD4-D575-4502-AC0A-8EFCB7965765}"/>
    <cellStyle name="Normal 2 4 2 2 2 5 4 2" xfId="39669" xr:uid="{9A6FA377-8A89-40B9-BBA0-BF3B3753D55C}"/>
    <cellStyle name="Normal 2 4 2 2 2 5 5" xfId="27078" xr:uid="{5CDDDEDB-AFC5-4C4C-B2C3-1987F3D8D5E5}"/>
    <cellStyle name="Normal 2 4 2 2 2 6" xfId="2772" xr:uid="{BBF4C389-9C43-417F-A599-B16EFBEC73DD}"/>
    <cellStyle name="Normal 2 4 2 2 2 6 2" xfId="5926" xr:uid="{0BC34198-25BE-4272-A2B4-4B7768ACEFCE}"/>
    <cellStyle name="Normal 2 4 2 2 2 6 2 2" xfId="12219" xr:uid="{381F4F47-B9D7-4C48-AA0B-47F229013C4B}"/>
    <cellStyle name="Normal 2 4 2 2 2 6 2 2 2" xfId="24901" xr:uid="{76E07C8F-AE9A-4532-BCAA-92858379EAA1}"/>
    <cellStyle name="Normal 2 4 2 2 2 6 2 2 2 2" xfId="50393" xr:uid="{66B18BEA-EA40-4DDB-A1B3-C0BDFBA75D42}"/>
    <cellStyle name="Normal 2 4 2 2 2 6 2 2 3" xfId="37802" xr:uid="{7127F79E-5229-42B5-9BC7-8B7AD3454109}"/>
    <cellStyle name="Normal 2 4 2 2 2 6 2 3" xfId="18623" xr:uid="{D8AFE410-6349-48AE-8DE7-CE458E0CE8CD}"/>
    <cellStyle name="Normal 2 4 2 2 2 6 2 3 2" xfId="44115" xr:uid="{6B24CA5B-9DA4-4571-8BCE-AE582D5159C5}"/>
    <cellStyle name="Normal 2 4 2 2 2 6 2 4" xfId="31524" xr:uid="{736EAA60-E293-42FE-B6AD-A879479FE4D5}"/>
    <cellStyle name="Normal 2 4 2 2 2 6 3" xfId="9080" xr:uid="{A5840BCD-23A2-4FB8-BAB2-503F780803A0}"/>
    <cellStyle name="Normal 2 4 2 2 2 6 3 2" xfId="21762" xr:uid="{48BD471B-A314-4CB9-8ED1-EFE7D2CB9E19}"/>
    <cellStyle name="Normal 2 4 2 2 2 6 3 2 2" xfId="47254" xr:uid="{9CFB43CF-660B-4409-940B-10C909AA9E55}"/>
    <cellStyle name="Normal 2 4 2 2 2 6 3 3" xfId="34663" xr:uid="{F4D47218-9948-4704-9970-8D23665F8B4A}"/>
    <cellStyle name="Normal 2 4 2 2 2 6 4" xfId="15484" xr:uid="{399A6201-0F83-40A1-82A4-06D4D54BFD0D}"/>
    <cellStyle name="Normal 2 4 2 2 2 6 4 2" xfId="40976" xr:uid="{49720604-9495-451A-A356-9641DB3AB611}"/>
    <cellStyle name="Normal 2 4 2 2 2 6 5" xfId="28385" xr:uid="{85B39091-5080-43DC-AA18-16A5E2E4773A}"/>
    <cellStyle name="Normal 2 4 2 2 2 7" xfId="3295" xr:uid="{D958376E-B30D-4E06-BACC-3A690DE23093}"/>
    <cellStyle name="Normal 2 4 2 2 2 7 2" xfId="6449" xr:uid="{E0D1FF63-8033-42B8-9A45-4990F5E20174}"/>
    <cellStyle name="Normal 2 4 2 2 2 7 2 2" xfId="12742" xr:uid="{1B26BDD9-66C3-4964-B475-9B8E3C243946}"/>
    <cellStyle name="Normal 2 4 2 2 2 7 2 2 2" xfId="25424" xr:uid="{E0001245-FEF3-4613-94E5-3F129BEC8716}"/>
    <cellStyle name="Normal 2 4 2 2 2 7 2 2 2 2" xfId="50916" xr:uid="{12B27974-EC24-4104-88FE-ED3920B43158}"/>
    <cellStyle name="Normal 2 4 2 2 2 7 2 2 3" xfId="38325" xr:uid="{C83A4BF1-9202-4A46-9EE1-C5D984E24AC7}"/>
    <cellStyle name="Normal 2 4 2 2 2 7 2 3" xfId="19146" xr:uid="{1E85A7E5-EC87-4C58-8A2D-62BDD1B1FA01}"/>
    <cellStyle name="Normal 2 4 2 2 2 7 2 3 2" xfId="44638" xr:uid="{0A3B4D68-8CB2-401E-89F7-2334DD2E3A91}"/>
    <cellStyle name="Normal 2 4 2 2 2 7 2 4" xfId="32047" xr:uid="{C1D1478F-A213-4AA7-B281-09712DA198E5}"/>
    <cellStyle name="Normal 2 4 2 2 2 7 3" xfId="9603" xr:uid="{2DEAC553-20FE-4930-9237-0614CA93EC6C}"/>
    <cellStyle name="Normal 2 4 2 2 2 7 3 2" xfId="22285" xr:uid="{57ABB0DB-1667-4ACC-90E1-02E72A030AB3}"/>
    <cellStyle name="Normal 2 4 2 2 2 7 3 2 2" xfId="47777" xr:uid="{91135907-6169-4785-9142-B022D81D18D5}"/>
    <cellStyle name="Normal 2 4 2 2 2 7 3 3" xfId="35186" xr:uid="{7F7A922B-1C6C-4C22-8FEB-EF60F1C49A5F}"/>
    <cellStyle name="Normal 2 4 2 2 2 7 4" xfId="16007" xr:uid="{FFA0C528-1827-4852-9498-F63654AC2D5C}"/>
    <cellStyle name="Normal 2 4 2 2 2 7 4 2" xfId="41499" xr:uid="{E9CEE15C-7EC0-4ECB-9ED6-AFDCF865FA52}"/>
    <cellStyle name="Normal 2 4 2 2 2 7 5" xfId="28908" xr:uid="{996EB9D6-D030-4E1B-A1EC-9F4620426A9F}"/>
    <cellStyle name="Normal 2 4 2 2 2 8" xfId="3834" xr:uid="{A8A48E91-1477-4EBA-8A6C-2DD2B0CA85C6}"/>
    <cellStyle name="Normal 2 4 2 2 2 8 2" xfId="10127" xr:uid="{F8FF7269-6891-463F-912E-A372A8709595}"/>
    <cellStyle name="Normal 2 4 2 2 2 8 2 2" xfId="22809" xr:uid="{E928D6D0-3B58-477F-9172-1C541F752FF9}"/>
    <cellStyle name="Normal 2 4 2 2 2 8 2 2 2" xfId="48301" xr:uid="{26581368-7C8E-468C-9C2A-ED134ADB7E20}"/>
    <cellStyle name="Normal 2 4 2 2 2 8 2 3" xfId="35710" xr:uid="{3C2E70B6-8DD6-420A-B227-B4F99BC47895}"/>
    <cellStyle name="Normal 2 4 2 2 2 8 3" xfId="16531" xr:uid="{1DA848E1-113F-4C79-985F-9D7DFD55C4A2}"/>
    <cellStyle name="Normal 2 4 2 2 2 8 3 2" xfId="42023" xr:uid="{A7B6A4BC-B807-414D-AFFB-156DCA22B8CE}"/>
    <cellStyle name="Normal 2 4 2 2 2 8 4" xfId="29432" xr:uid="{AA9937DF-1C7D-48C1-9B44-F1F769A653BD}"/>
    <cellStyle name="Normal 2 4 2 2 2 9" xfId="6988" xr:uid="{09A92C85-A663-422C-97F8-B2B500B16F8B}"/>
    <cellStyle name="Normal 2 4 2 2 2 9 2" xfId="19670" xr:uid="{F077F207-2890-4D96-9DC2-B36056029015}"/>
    <cellStyle name="Normal 2 4 2 2 2 9 2 2" xfId="45162" xr:uid="{33BC7CFC-C424-4C9A-8DA5-D4C56EA6DD71}"/>
    <cellStyle name="Normal 2 4 2 2 2 9 3" xfId="32571" xr:uid="{50C09574-A792-433E-A27D-B0DECD6F9A34}"/>
    <cellStyle name="Normal 2 4 2 2 3" xfId="1043" xr:uid="{2C5D70BB-36B9-4F4D-ACA2-B2927087D6A1}"/>
    <cellStyle name="Normal 2 4 2 2 3 2" xfId="2350" xr:uid="{846DC1C3-F5D4-47F1-8520-D2AD53760A9B}"/>
    <cellStyle name="Normal 2 4 2 2 3 2 2" xfId="5504" xr:uid="{F69815FA-5647-49BF-9CAB-A26C55B46AD6}"/>
    <cellStyle name="Normal 2 4 2 2 3 2 2 2" xfId="11797" xr:uid="{B6B08C1E-771D-4547-A8C8-480705AED164}"/>
    <cellStyle name="Normal 2 4 2 2 3 2 2 2 2" xfId="24479" xr:uid="{C0EA7482-1897-40F3-9709-960477C0CA21}"/>
    <cellStyle name="Normal 2 4 2 2 3 2 2 2 2 2" xfId="49971" xr:uid="{D594F596-1A4A-40F8-A87F-90101B336AFE}"/>
    <cellStyle name="Normal 2 4 2 2 3 2 2 2 3" xfId="37380" xr:uid="{2F983163-6B11-4BAC-90F0-3BD4A337EC36}"/>
    <cellStyle name="Normal 2 4 2 2 3 2 2 3" xfId="18201" xr:uid="{3FD8FCCF-3D17-47A0-9C7B-693E17102071}"/>
    <cellStyle name="Normal 2 4 2 2 3 2 2 3 2" xfId="43693" xr:uid="{60208A9C-1F1D-44D5-8EAE-67299F7629CE}"/>
    <cellStyle name="Normal 2 4 2 2 3 2 2 4" xfId="31102" xr:uid="{BC4914FA-5BF1-4BB4-8B70-C7EF06687C41}"/>
    <cellStyle name="Normal 2 4 2 2 3 2 3" xfId="8658" xr:uid="{77171C4B-0569-49F9-9E80-15EF996F6BE9}"/>
    <cellStyle name="Normal 2 4 2 2 3 2 3 2" xfId="21340" xr:uid="{271F070C-49D2-41BE-9EEA-94AC2B170F9C}"/>
    <cellStyle name="Normal 2 4 2 2 3 2 3 2 2" xfId="46832" xr:uid="{99F1CF84-85CA-4931-A3C6-66C4FC34503C}"/>
    <cellStyle name="Normal 2 4 2 2 3 2 3 3" xfId="34241" xr:uid="{ADCD06FE-DD66-49AE-842B-DC599EB25B80}"/>
    <cellStyle name="Normal 2 4 2 2 3 2 4" xfId="15062" xr:uid="{59658DEC-9630-4198-8D89-E31FF86497FD}"/>
    <cellStyle name="Normal 2 4 2 2 3 2 4 2" xfId="40554" xr:uid="{53D49E79-F2DB-461F-BD84-A390D37860C9}"/>
    <cellStyle name="Normal 2 4 2 2 3 2 5" xfId="27963" xr:uid="{A8A64334-053E-41C9-BF79-45CCE3E14D74}"/>
    <cellStyle name="Normal 2 4 2 2 3 3" xfId="1567" xr:uid="{8EE9439A-D592-4548-8B71-C53EFFAB4685}"/>
    <cellStyle name="Normal 2 4 2 2 3 3 2" xfId="4721" xr:uid="{4F24AEC7-AF3C-4F4C-AEE9-4CF10853A550}"/>
    <cellStyle name="Normal 2 4 2 2 3 3 2 2" xfId="11014" xr:uid="{C3B5B2C5-0E30-4CAA-A7A8-9D3AF6BCBC6A}"/>
    <cellStyle name="Normal 2 4 2 2 3 3 2 2 2" xfId="23696" xr:uid="{1F24DDC3-3784-47CC-B641-994C516B3F55}"/>
    <cellStyle name="Normal 2 4 2 2 3 3 2 2 2 2" xfId="49188" xr:uid="{34CC89F7-6CAA-4728-98F1-589BBF35F9CE}"/>
    <cellStyle name="Normal 2 4 2 2 3 3 2 2 3" xfId="36597" xr:uid="{9AA7BDC6-9DCB-439E-AD98-1FBD964AC1E0}"/>
    <cellStyle name="Normal 2 4 2 2 3 3 2 3" xfId="17418" xr:uid="{7274DAE2-6E5D-4968-A268-3FE56EDC570A}"/>
    <cellStyle name="Normal 2 4 2 2 3 3 2 3 2" xfId="42910" xr:uid="{0EC115B3-B438-4B5F-80CC-A749FF6C0BDF}"/>
    <cellStyle name="Normal 2 4 2 2 3 3 2 4" xfId="30319" xr:uid="{DF28C70D-8167-4C4B-8E40-A173AC7722D5}"/>
    <cellStyle name="Normal 2 4 2 2 3 3 3" xfId="7875" xr:uid="{23E46A2C-52D7-4A59-AF7F-1D1DE94F7C6B}"/>
    <cellStyle name="Normal 2 4 2 2 3 3 3 2" xfId="20557" xr:uid="{029032B3-F183-4E30-833D-DA5E4FDACB32}"/>
    <cellStyle name="Normal 2 4 2 2 3 3 3 2 2" xfId="46049" xr:uid="{F305421E-7076-4BC6-97B5-16A76A30DB7C}"/>
    <cellStyle name="Normal 2 4 2 2 3 3 3 3" xfId="33458" xr:uid="{0757CCFB-35F5-4A6D-83B5-23FC969527AD}"/>
    <cellStyle name="Normal 2 4 2 2 3 3 4" xfId="14279" xr:uid="{38C8C396-7802-4DCF-99AD-A930071FEFBB}"/>
    <cellStyle name="Normal 2 4 2 2 3 3 4 2" xfId="39771" xr:uid="{6083FF4C-9FAA-4DB5-B29A-050EDCB0DCD9}"/>
    <cellStyle name="Normal 2 4 2 2 3 3 5" xfId="27180" xr:uid="{23FAD735-D854-419D-B415-DB72DFEE38D7}"/>
    <cellStyle name="Normal 2 4 2 2 3 4" xfId="2874" xr:uid="{33A7C1E3-AA29-42EE-BF7D-A398FB51F152}"/>
    <cellStyle name="Normal 2 4 2 2 3 4 2" xfId="6028" xr:uid="{A762B83F-4E05-49C2-A427-275FE73696AE}"/>
    <cellStyle name="Normal 2 4 2 2 3 4 2 2" xfId="12321" xr:uid="{A5FB4B61-779F-4C2D-B0D6-254E1F1ADFAB}"/>
    <cellStyle name="Normal 2 4 2 2 3 4 2 2 2" xfId="25003" xr:uid="{58AB84A4-81C4-428E-A3DC-8025D5E39D26}"/>
    <cellStyle name="Normal 2 4 2 2 3 4 2 2 2 2" xfId="50495" xr:uid="{559F8D6C-9BB6-467B-8856-97EE336266AE}"/>
    <cellStyle name="Normal 2 4 2 2 3 4 2 2 3" xfId="37904" xr:uid="{76FA1CDA-8631-45D4-8C51-17916BD79DD5}"/>
    <cellStyle name="Normal 2 4 2 2 3 4 2 3" xfId="18725" xr:uid="{C102625A-D0A2-4AB3-8DE9-26A3F3098B3F}"/>
    <cellStyle name="Normal 2 4 2 2 3 4 2 3 2" xfId="44217" xr:uid="{2EC20800-8AD7-41FD-A492-B657FD1F5F96}"/>
    <cellStyle name="Normal 2 4 2 2 3 4 2 4" xfId="31626" xr:uid="{F7F6AE78-F574-4092-AF2C-83ED413EB6DF}"/>
    <cellStyle name="Normal 2 4 2 2 3 4 3" xfId="9182" xr:uid="{3DBA9084-7C90-428D-BCF2-E135785FBA4E}"/>
    <cellStyle name="Normal 2 4 2 2 3 4 3 2" xfId="21864" xr:uid="{AA742D31-6370-405D-9BEA-B90621A9C89C}"/>
    <cellStyle name="Normal 2 4 2 2 3 4 3 2 2" xfId="47356" xr:uid="{EE39FD19-7A29-465A-9FC0-A7F1F5632230}"/>
    <cellStyle name="Normal 2 4 2 2 3 4 3 3" xfId="34765" xr:uid="{FB0A54EB-8D81-4958-A891-88F1E0D2F033}"/>
    <cellStyle name="Normal 2 4 2 2 3 4 4" xfId="15586" xr:uid="{EDA0F9BA-EBAC-4E53-A19D-8E0A462D835D}"/>
    <cellStyle name="Normal 2 4 2 2 3 4 4 2" xfId="41078" xr:uid="{B8429060-B7B9-44CF-AB11-3DB52E17548C}"/>
    <cellStyle name="Normal 2 4 2 2 3 4 5" xfId="28487" xr:uid="{06CF7706-4BAD-4396-81E8-C1F1A470C010}"/>
    <cellStyle name="Normal 2 4 2 2 3 5" xfId="3397" xr:uid="{6F97A1C7-B056-499A-8BD0-004D6446557D}"/>
    <cellStyle name="Normal 2 4 2 2 3 5 2" xfId="6551" xr:uid="{9FE3328A-F8EE-4B29-A726-C11A551880FC}"/>
    <cellStyle name="Normal 2 4 2 2 3 5 2 2" xfId="12844" xr:uid="{A4855B45-3130-4A49-A1B7-D905429A2215}"/>
    <cellStyle name="Normal 2 4 2 2 3 5 2 2 2" xfId="25526" xr:uid="{F9DCEA03-E95B-4ED3-A726-5A7C59DE113C}"/>
    <cellStyle name="Normal 2 4 2 2 3 5 2 2 2 2" xfId="51018" xr:uid="{2E7F64BF-55AA-4C0D-806C-53E32729AE9E}"/>
    <cellStyle name="Normal 2 4 2 2 3 5 2 2 3" xfId="38427" xr:uid="{7FAAB249-D32A-444B-99CD-4159EC48A3E3}"/>
    <cellStyle name="Normal 2 4 2 2 3 5 2 3" xfId="19248" xr:uid="{7A42F7AA-4A1F-4458-A20A-3FB57E2735BD}"/>
    <cellStyle name="Normal 2 4 2 2 3 5 2 3 2" xfId="44740" xr:uid="{015DEEEB-A534-4CEB-867E-BB91C9563736}"/>
    <cellStyle name="Normal 2 4 2 2 3 5 2 4" xfId="32149" xr:uid="{C3C85DFE-FCB2-4506-8BB8-04B025120A19}"/>
    <cellStyle name="Normal 2 4 2 2 3 5 3" xfId="9705" xr:uid="{4CD377E7-3682-48AF-8E8B-F1E7F19C3384}"/>
    <cellStyle name="Normal 2 4 2 2 3 5 3 2" xfId="22387" xr:uid="{4CAC9047-4AA9-4533-9E90-BA2237EA3F49}"/>
    <cellStyle name="Normal 2 4 2 2 3 5 3 2 2" xfId="47879" xr:uid="{444CAA75-9A27-470C-B1FA-8936E4D79784}"/>
    <cellStyle name="Normal 2 4 2 2 3 5 3 3" xfId="35288" xr:uid="{5B6FA757-342C-48B0-9619-23D7AA6BBB06}"/>
    <cellStyle name="Normal 2 4 2 2 3 5 4" xfId="16109" xr:uid="{B6E84A9D-1FCE-4CE7-9FB3-AD45DC6C0944}"/>
    <cellStyle name="Normal 2 4 2 2 3 5 4 2" xfId="41601" xr:uid="{7100531A-99D4-4A68-935B-59C5D6BFDD60}"/>
    <cellStyle name="Normal 2 4 2 2 3 5 5" xfId="29010" xr:uid="{5C08D251-3FDC-44F1-A4EC-9D44B8EDE527}"/>
    <cellStyle name="Normal 2 4 2 2 3 6" xfId="4197" xr:uid="{C0BA8A3C-1E29-4EFA-BB9B-15BF125D5D7A}"/>
    <cellStyle name="Normal 2 4 2 2 3 6 2" xfId="10490" xr:uid="{A536F4AE-541D-4963-9E09-B37270A5946A}"/>
    <cellStyle name="Normal 2 4 2 2 3 6 2 2" xfId="23172" xr:uid="{2D140EC4-027A-4C1D-8E0F-32CA0D3AC6BE}"/>
    <cellStyle name="Normal 2 4 2 2 3 6 2 2 2" xfId="48664" xr:uid="{B369EB58-650B-4B8C-8BD8-797EDBB84FA1}"/>
    <cellStyle name="Normal 2 4 2 2 3 6 2 3" xfId="36073" xr:uid="{AC86A3A8-C0AB-4F2C-814E-B110D7E5835E}"/>
    <cellStyle name="Normal 2 4 2 2 3 6 3" xfId="16894" xr:uid="{E310BD5D-5325-4894-882E-4D96BE635E07}"/>
    <cellStyle name="Normal 2 4 2 2 3 6 3 2" xfId="42386" xr:uid="{F3742680-5272-4F9A-B788-665B0D362489}"/>
    <cellStyle name="Normal 2 4 2 2 3 6 4" xfId="29795" xr:uid="{5D4895C0-0F43-42CD-9445-8FDEAA19C949}"/>
    <cellStyle name="Normal 2 4 2 2 3 7" xfId="7351" xr:uid="{8283E66A-21A2-42CD-A949-7475FEA9B6C0}"/>
    <cellStyle name="Normal 2 4 2 2 3 7 2" xfId="20033" xr:uid="{38E29A13-D319-4B2D-BF3B-48305AE4FE30}"/>
    <cellStyle name="Normal 2 4 2 2 3 7 2 2" xfId="45525" xr:uid="{3EE29268-A234-4546-B9CA-5E721B85B6A3}"/>
    <cellStyle name="Normal 2 4 2 2 3 7 3" xfId="32934" xr:uid="{869FB373-FA4A-4DDC-9140-D7E3AF05E6B4}"/>
    <cellStyle name="Normal 2 4 2 2 3 8" xfId="13755" xr:uid="{EBE77AAB-A35C-4CEC-8047-A9C48C7D4704}"/>
    <cellStyle name="Normal 2 4 2 2 3 8 2" xfId="39247" xr:uid="{8DD78E25-BD6B-4852-BFA0-3A47BFBE3416}"/>
    <cellStyle name="Normal 2 4 2 2 3 9" xfId="26656" xr:uid="{2A3B36BF-2AC9-4288-8202-1DF494DB7E67}"/>
    <cellStyle name="Normal 2 4 2 2 4" xfId="783" xr:uid="{C55E128E-D41A-4DBF-B0D8-F7072E4D1F4E}"/>
    <cellStyle name="Normal 2 4 2 2 4 2" xfId="2090" xr:uid="{B441C851-A779-42F0-A505-177A435E8386}"/>
    <cellStyle name="Normal 2 4 2 2 4 2 2" xfId="5244" xr:uid="{EF8135F5-6B4D-456A-9118-B09F9A16C15A}"/>
    <cellStyle name="Normal 2 4 2 2 4 2 2 2" xfId="11537" xr:uid="{32B26A7E-26CA-493B-8466-03BA03C442F2}"/>
    <cellStyle name="Normal 2 4 2 2 4 2 2 2 2" xfId="24219" xr:uid="{BB455926-127B-4A5A-93E0-C690B7E989DF}"/>
    <cellStyle name="Normal 2 4 2 2 4 2 2 2 2 2" xfId="49711" xr:uid="{0B2AF94A-DB9F-4F89-8D8D-27AD0424B6C8}"/>
    <cellStyle name="Normal 2 4 2 2 4 2 2 2 3" xfId="37120" xr:uid="{E8CBC7B6-141B-4F86-A580-118F544D0879}"/>
    <cellStyle name="Normal 2 4 2 2 4 2 2 3" xfId="17941" xr:uid="{13916812-7F50-4C91-A9A4-8256DD079A2C}"/>
    <cellStyle name="Normal 2 4 2 2 4 2 2 3 2" xfId="43433" xr:uid="{0A25A07B-9948-4126-9614-B426069E0E64}"/>
    <cellStyle name="Normal 2 4 2 2 4 2 2 4" xfId="30842" xr:uid="{F1E51B9F-9C45-4E23-8F22-702081EE3DF2}"/>
    <cellStyle name="Normal 2 4 2 2 4 2 3" xfId="8398" xr:uid="{CBCEE006-78A7-4B19-9DDF-D3585E27EAAD}"/>
    <cellStyle name="Normal 2 4 2 2 4 2 3 2" xfId="21080" xr:uid="{16B10E18-9E9C-430A-99C2-0013F0E2A8D0}"/>
    <cellStyle name="Normal 2 4 2 2 4 2 3 2 2" xfId="46572" xr:uid="{15C7886F-4A06-4984-BEA8-D7C7494F4588}"/>
    <cellStyle name="Normal 2 4 2 2 4 2 3 3" xfId="33981" xr:uid="{FF945D93-DE9E-476B-880F-77F6955BB39F}"/>
    <cellStyle name="Normal 2 4 2 2 4 2 4" xfId="14802" xr:uid="{10557647-986A-4D3D-ACAB-F2B4AD75B4B6}"/>
    <cellStyle name="Normal 2 4 2 2 4 2 4 2" xfId="40294" xr:uid="{3C238CC1-0FA4-4B3C-A96B-0D55FD65CDD9}"/>
    <cellStyle name="Normal 2 4 2 2 4 2 5" xfId="27703" xr:uid="{189BA388-4F82-4982-AAD0-A4F766010797}"/>
    <cellStyle name="Normal 2 4 2 2 4 3" xfId="3937" xr:uid="{E79E84D6-1C47-48F0-AD2C-FE20E17A5B45}"/>
    <cellStyle name="Normal 2 4 2 2 4 3 2" xfId="10230" xr:uid="{D319D4AE-4CD3-496D-B00E-00858A6D8D34}"/>
    <cellStyle name="Normal 2 4 2 2 4 3 2 2" xfId="22912" xr:uid="{53D11681-054F-4A8E-B1FF-9C319DBA05D3}"/>
    <cellStyle name="Normal 2 4 2 2 4 3 2 2 2" xfId="48404" xr:uid="{FD13A656-5F08-45D4-8E8E-3380D420B1F3}"/>
    <cellStyle name="Normal 2 4 2 2 4 3 2 3" xfId="35813" xr:uid="{215134B2-5C2F-4C12-B35B-7ED8789941CB}"/>
    <cellStyle name="Normal 2 4 2 2 4 3 3" xfId="16634" xr:uid="{ED1DB52B-595E-488E-80B8-E93AB75BC44A}"/>
    <cellStyle name="Normal 2 4 2 2 4 3 3 2" xfId="42126" xr:uid="{97866E82-191B-497F-8844-9AFF5AE145F3}"/>
    <cellStyle name="Normal 2 4 2 2 4 3 4" xfId="29535" xr:uid="{D2E5AC57-385F-4D83-9274-A2FB2F2E26D7}"/>
    <cellStyle name="Normal 2 4 2 2 4 4" xfId="7091" xr:uid="{B6399DAA-B78B-4EA6-95E9-11E230D61435}"/>
    <cellStyle name="Normal 2 4 2 2 4 4 2" xfId="19773" xr:uid="{BC6EA085-15DD-4C5C-9DA6-62C4BA6A4979}"/>
    <cellStyle name="Normal 2 4 2 2 4 4 2 2" xfId="45265" xr:uid="{8C1C9401-9B4A-4EDD-B193-260EA9417CF1}"/>
    <cellStyle name="Normal 2 4 2 2 4 4 3" xfId="32674" xr:uid="{1125E482-BB55-47B8-BDF0-0C270C985FFB}"/>
    <cellStyle name="Normal 2 4 2 2 4 5" xfId="13495" xr:uid="{D2773CB1-35A1-4AA2-8543-4A4051CFFB60}"/>
    <cellStyle name="Normal 2 4 2 2 4 5 2" xfId="38987" xr:uid="{0B6A94DB-4312-4A89-BFD4-79FB9F7F9318}"/>
    <cellStyle name="Normal 2 4 2 2 4 6" xfId="26396" xr:uid="{DA801C4F-602D-45E0-8BE8-EC405E79C51A}"/>
    <cellStyle name="Normal 2 4 2 2 5" xfId="1828" xr:uid="{A38D8528-02AF-47D4-80F2-C5CA2FEF28E4}"/>
    <cellStyle name="Normal 2 4 2 2 5 2" xfId="4982" xr:uid="{91C176D9-654C-4E9A-9443-B43887BF3FEA}"/>
    <cellStyle name="Normal 2 4 2 2 5 2 2" xfId="11275" xr:uid="{686EFE14-E826-4806-8AB7-4589A1012143}"/>
    <cellStyle name="Normal 2 4 2 2 5 2 2 2" xfId="23957" xr:uid="{7ABF84B3-6200-49C1-9BE9-B3D678734D14}"/>
    <cellStyle name="Normal 2 4 2 2 5 2 2 2 2" xfId="49449" xr:uid="{172590D5-8EB2-43A9-A986-1FFD6CA59C77}"/>
    <cellStyle name="Normal 2 4 2 2 5 2 2 3" xfId="36858" xr:uid="{051E1A62-5761-4022-8675-FE61B7DAB0A5}"/>
    <cellStyle name="Normal 2 4 2 2 5 2 3" xfId="17679" xr:uid="{0E59AC16-ACD1-47E7-B502-B79BE034E4A4}"/>
    <cellStyle name="Normal 2 4 2 2 5 2 3 2" xfId="43171" xr:uid="{6979D756-368F-4DD1-B633-2CB8C100C4B7}"/>
    <cellStyle name="Normal 2 4 2 2 5 2 4" xfId="30580" xr:uid="{23115012-CAFA-4573-BC5F-7F61BE669F75}"/>
    <cellStyle name="Normal 2 4 2 2 5 3" xfId="8136" xr:uid="{5E78B251-774C-4534-A3AE-C95C8EE0417E}"/>
    <cellStyle name="Normal 2 4 2 2 5 3 2" xfId="20818" xr:uid="{A94E2DE5-CF61-4B71-91C0-60B978DFA370}"/>
    <cellStyle name="Normal 2 4 2 2 5 3 2 2" xfId="46310" xr:uid="{69456F7F-51FD-4AF4-9BEB-96A16E854698}"/>
    <cellStyle name="Normal 2 4 2 2 5 3 3" xfId="33719" xr:uid="{70341F64-1A95-4C3E-8682-52B3C0062FFE}"/>
    <cellStyle name="Normal 2 4 2 2 5 4" xfId="14540" xr:uid="{924D4D0E-A4F1-455E-AAE0-F4917155D749}"/>
    <cellStyle name="Normal 2 4 2 2 5 4 2" xfId="40032" xr:uid="{E908F68F-EF5E-4A5A-891B-537551622257}"/>
    <cellStyle name="Normal 2 4 2 2 5 5" xfId="27441" xr:uid="{62D08D1F-80AE-4798-84EB-BA73580080C7}"/>
    <cellStyle name="Normal 2 4 2 2 6" xfId="1306" xr:uid="{2E682D57-0208-40B5-A819-00B82A548456}"/>
    <cellStyle name="Normal 2 4 2 2 6 2" xfId="4460" xr:uid="{33642D89-D55B-4C04-9D57-C2A9E6E525D1}"/>
    <cellStyle name="Normal 2 4 2 2 6 2 2" xfId="10753" xr:uid="{6E7D783C-8A83-4684-BAE4-7F58BB20C77B}"/>
    <cellStyle name="Normal 2 4 2 2 6 2 2 2" xfId="23435" xr:uid="{CFF7A00D-269D-43E4-9F79-B6972DC13B7E}"/>
    <cellStyle name="Normal 2 4 2 2 6 2 2 2 2" xfId="48927" xr:uid="{A9844A13-9E67-4DF8-A49D-1C78A014160E}"/>
    <cellStyle name="Normal 2 4 2 2 6 2 2 3" xfId="36336" xr:uid="{34C57A65-EDCB-422B-AA4D-7CE3C32A2430}"/>
    <cellStyle name="Normal 2 4 2 2 6 2 3" xfId="17157" xr:uid="{6AE23517-393C-4089-9EC2-47EC5ED0116F}"/>
    <cellStyle name="Normal 2 4 2 2 6 2 3 2" xfId="42649" xr:uid="{09BCD74D-9C5A-4A24-AE42-6AB7EC75EC57}"/>
    <cellStyle name="Normal 2 4 2 2 6 2 4" xfId="30058" xr:uid="{60E56D67-C463-4B21-849B-7866F8E6F961}"/>
    <cellStyle name="Normal 2 4 2 2 6 3" xfId="7614" xr:uid="{4C9D7959-03F7-41BF-9113-B7B668E6575D}"/>
    <cellStyle name="Normal 2 4 2 2 6 3 2" xfId="20296" xr:uid="{BE674AE5-C9CC-49DC-9ACE-955C1E667C8F}"/>
    <cellStyle name="Normal 2 4 2 2 6 3 2 2" xfId="45788" xr:uid="{AB755324-C3B3-4F58-8FF0-6999AC751C6F}"/>
    <cellStyle name="Normal 2 4 2 2 6 3 3" xfId="33197" xr:uid="{FCC23847-09C3-4C97-AA8D-2BEED7739CCB}"/>
    <cellStyle name="Normal 2 4 2 2 6 4" xfId="14018" xr:uid="{F35E0A35-A2D8-4EF2-B4B5-0AACA00E437B}"/>
    <cellStyle name="Normal 2 4 2 2 6 4 2" xfId="39510" xr:uid="{4CC98BB1-8CB9-488C-8D4E-90F67E5A87DF}"/>
    <cellStyle name="Normal 2 4 2 2 6 5" xfId="26919" xr:uid="{D0C8406C-58A9-4FC6-A42D-D9E8B3D3FD05}"/>
    <cellStyle name="Normal 2 4 2 2 7" xfId="2613" xr:uid="{27C630F2-14B2-4A7E-8733-9A176E731D3E}"/>
    <cellStyle name="Normal 2 4 2 2 7 2" xfId="5767" xr:uid="{32A5E240-D59B-48AB-9ACE-39850C811891}"/>
    <cellStyle name="Normal 2 4 2 2 7 2 2" xfId="12060" xr:uid="{AA0F8662-ADEC-4956-B195-58F7654D6EC6}"/>
    <cellStyle name="Normal 2 4 2 2 7 2 2 2" xfId="24742" xr:uid="{7CE28DD2-5156-41F4-AB81-355FF441A8D8}"/>
    <cellStyle name="Normal 2 4 2 2 7 2 2 2 2" xfId="50234" xr:uid="{CD7F7D3D-B994-4621-89EA-87CCCCAC4D8B}"/>
    <cellStyle name="Normal 2 4 2 2 7 2 2 3" xfId="37643" xr:uid="{9293F75C-8E8A-4E03-8EDB-FCB791A990ED}"/>
    <cellStyle name="Normal 2 4 2 2 7 2 3" xfId="18464" xr:uid="{56EB99CB-9057-432F-B1F4-63AC04D5F62B}"/>
    <cellStyle name="Normal 2 4 2 2 7 2 3 2" xfId="43956" xr:uid="{F7D4BA4A-895A-4EF2-B5FE-4ACA29625837}"/>
    <cellStyle name="Normal 2 4 2 2 7 2 4" xfId="31365" xr:uid="{3EF20F03-5DB6-4ABE-B71E-AD285128B086}"/>
    <cellStyle name="Normal 2 4 2 2 7 3" xfId="8921" xr:uid="{183C07E0-CA4C-49F1-A494-8258BCD5AA9E}"/>
    <cellStyle name="Normal 2 4 2 2 7 3 2" xfId="21603" xr:uid="{603564F0-0227-43AE-8981-3186069399E5}"/>
    <cellStyle name="Normal 2 4 2 2 7 3 2 2" xfId="47095" xr:uid="{D2065BED-655D-4824-BCCF-6C5E837A8DCA}"/>
    <cellStyle name="Normal 2 4 2 2 7 3 3" xfId="34504" xr:uid="{45D1EB11-F305-4BE4-AB24-C843AF306E3A}"/>
    <cellStyle name="Normal 2 4 2 2 7 4" xfId="15325" xr:uid="{4D1D6100-1187-47E4-82E3-C14FCDE12C88}"/>
    <cellStyle name="Normal 2 4 2 2 7 4 2" xfId="40817" xr:uid="{40D61713-2E3F-4A90-9CD9-3655D25DE52C}"/>
    <cellStyle name="Normal 2 4 2 2 7 5" xfId="28226" xr:uid="{FF7721A9-CAAC-4957-A38C-895C10460B62}"/>
    <cellStyle name="Normal 2 4 2 2 8" xfId="3136" xr:uid="{350613CD-80E1-41B3-B0C2-B2C38F549876}"/>
    <cellStyle name="Normal 2 4 2 2 8 2" xfId="6290" xr:uid="{8F08718A-4116-4F59-9556-3C6A590298C0}"/>
    <cellStyle name="Normal 2 4 2 2 8 2 2" xfId="12583" xr:uid="{31A42D0C-9F6C-4542-8582-E3A04A26290C}"/>
    <cellStyle name="Normal 2 4 2 2 8 2 2 2" xfId="25265" xr:uid="{49A95E1C-D0F7-452D-BF86-D3E821B9F3CA}"/>
    <cellStyle name="Normal 2 4 2 2 8 2 2 2 2" xfId="50757" xr:uid="{1AB46555-54BC-4C84-B368-443CED7AEA17}"/>
    <cellStyle name="Normal 2 4 2 2 8 2 2 3" xfId="38166" xr:uid="{D6467AF5-3E26-46B8-B01B-3286F9398E24}"/>
    <cellStyle name="Normal 2 4 2 2 8 2 3" xfId="18987" xr:uid="{F11FEF11-0DEC-45A0-B8A8-84AF5E8EF82E}"/>
    <cellStyle name="Normal 2 4 2 2 8 2 3 2" xfId="44479" xr:uid="{DEE22090-4011-4083-ADE3-BA2BE3B420CF}"/>
    <cellStyle name="Normal 2 4 2 2 8 2 4" xfId="31888" xr:uid="{11962224-3C98-43FE-A5C8-9BE5F6C4EF16}"/>
    <cellStyle name="Normal 2 4 2 2 8 3" xfId="9444" xr:uid="{3D717999-504A-4BE3-BD5B-784AACA6332C}"/>
    <cellStyle name="Normal 2 4 2 2 8 3 2" xfId="22126" xr:uid="{59FC075C-2A30-4991-BFA8-81A4CAA25592}"/>
    <cellStyle name="Normal 2 4 2 2 8 3 2 2" xfId="47618" xr:uid="{4C4273A5-3069-4886-B27F-E7281ABAD50E}"/>
    <cellStyle name="Normal 2 4 2 2 8 3 3" xfId="35027" xr:uid="{EAEA5F80-1204-405E-A0B0-57B8266CF1E5}"/>
    <cellStyle name="Normal 2 4 2 2 8 4" xfId="15848" xr:uid="{8693EE28-F080-4B97-B015-C4E92E5583A5}"/>
    <cellStyle name="Normal 2 4 2 2 8 4 2" xfId="41340" xr:uid="{0C1BB200-ABC0-4559-8E44-E981A3F9A619}"/>
    <cellStyle name="Normal 2 4 2 2 8 5" xfId="28749" xr:uid="{4B268F52-DA39-49B2-B731-50DFFE58C804}"/>
    <cellStyle name="Normal 2 4 2 2 9" xfId="3675" xr:uid="{D77D139D-D621-444D-8969-32F640700263}"/>
    <cellStyle name="Normal 2 4 2 2 9 2" xfId="9968" xr:uid="{A6910B6C-DB1F-404E-89E6-655D763ECB93}"/>
    <cellStyle name="Normal 2 4 2 2 9 2 2" xfId="22650" xr:uid="{64B69E36-47CD-4A74-848A-27E47D6C532C}"/>
    <cellStyle name="Normal 2 4 2 2 9 2 2 2" xfId="48142" xr:uid="{D81A2FD0-0737-4F70-819B-DDF7C96D01BB}"/>
    <cellStyle name="Normal 2 4 2 2 9 2 3" xfId="35551" xr:uid="{CD86AD2D-06ED-444A-BB62-6964DB3949C8}"/>
    <cellStyle name="Normal 2 4 2 2 9 3" xfId="16372" xr:uid="{E369E88F-73B5-467B-8769-8C59B9D0FA3E}"/>
    <cellStyle name="Normal 2 4 2 2 9 3 2" xfId="41864" xr:uid="{E2FFC6EE-A0B2-4B45-8952-E6568F708E8A}"/>
    <cellStyle name="Normal 2 4 2 2 9 4" xfId="29273" xr:uid="{838E5652-972C-4F4A-86E6-9185F21686F0}"/>
    <cellStyle name="Normal 2 4 2 3" xfId="604" xr:uid="{12B44E31-D2F7-4D63-B328-35CB3EDF9673}"/>
    <cellStyle name="Normal 2 4 2 3 10" xfId="13331" xr:uid="{7C048433-1361-419F-9C77-B8625E6E405D}"/>
    <cellStyle name="Normal 2 4 2 3 10 2" xfId="38823" xr:uid="{1ED70E18-E932-41D7-A46D-29B167A56ED8}"/>
    <cellStyle name="Normal 2 4 2 3 11" xfId="26232" xr:uid="{639F9D72-816D-4592-92D2-444A08292D50}"/>
    <cellStyle name="Normal 2 4 2 3 2" xfId="1141" xr:uid="{16A83198-6BBE-4FC1-BEA2-D4897C1E30E0}"/>
    <cellStyle name="Normal 2 4 2 3 2 2" xfId="2448" xr:uid="{E75E79D3-9AFD-4C0C-BAC8-99CA9604ADD1}"/>
    <cellStyle name="Normal 2 4 2 3 2 2 2" xfId="5602" xr:uid="{906E04AC-5D13-422D-BE26-28C344DA4D42}"/>
    <cellStyle name="Normal 2 4 2 3 2 2 2 2" xfId="11895" xr:uid="{D224243C-1340-4B67-9953-EBF8F50C30F1}"/>
    <cellStyle name="Normal 2 4 2 3 2 2 2 2 2" xfId="24577" xr:uid="{7BF3CA3F-B115-4F24-9EA3-DC54D2C74607}"/>
    <cellStyle name="Normal 2 4 2 3 2 2 2 2 2 2" xfId="50069" xr:uid="{3D25BCB5-BAFD-47C0-AE57-04197D6B1124}"/>
    <cellStyle name="Normal 2 4 2 3 2 2 2 2 3" xfId="37478" xr:uid="{DC1DB796-2F62-447D-ACA7-14EBFD48A4E9}"/>
    <cellStyle name="Normal 2 4 2 3 2 2 2 3" xfId="18299" xr:uid="{B6011CD2-DAC4-41D5-9061-B0D8F36EE2DD}"/>
    <cellStyle name="Normal 2 4 2 3 2 2 2 3 2" xfId="43791" xr:uid="{99C37095-10F6-488F-B2C4-B87A6E096A7F}"/>
    <cellStyle name="Normal 2 4 2 3 2 2 2 4" xfId="31200" xr:uid="{BC137D74-A674-4D2F-9E45-649433D41327}"/>
    <cellStyle name="Normal 2 4 2 3 2 2 3" xfId="8756" xr:uid="{2BE562D0-7797-48E2-A63F-CA653801ED7C}"/>
    <cellStyle name="Normal 2 4 2 3 2 2 3 2" xfId="21438" xr:uid="{B0EBFA6B-4E3D-4F21-8D88-8BAB5CDCAC65}"/>
    <cellStyle name="Normal 2 4 2 3 2 2 3 2 2" xfId="46930" xr:uid="{F7F7E6A5-9309-4E22-B83E-EFF7D49B7BE8}"/>
    <cellStyle name="Normal 2 4 2 3 2 2 3 3" xfId="34339" xr:uid="{88DD82C9-EDCA-4E88-BA72-99BED5B00373}"/>
    <cellStyle name="Normal 2 4 2 3 2 2 4" xfId="15160" xr:uid="{11148BE2-09B4-48E1-86FE-20C756B6CA8E}"/>
    <cellStyle name="Normal 2 4 2 3 2 2 4 2" xfId="40652" xr:uid="{26B8BBA8-36E5-4479-89BB-23BF42968DD5}"/>
    <cellStyle name="Normal 2 4 2 3 2 2 5" xfId="28061" xr:uid="{A146DCA9-0354-4EAB-99B6-700787CE06AD}"/>
    <cellStyle name="Normal 2 4 2 3 2 3" xfId="1665" xr:uid="{2F6A4D37-EBD4-4F84-95FA-C5F13669E8AA}"/>
    <cellStyle name="Normal 2 4 2 3 2 3 2" xfId="4819" xr:uid="{08145E0E-3913-4254-9538-DF86B611BC4D}"/>
    <cellStyle name="Normal 2 4 2 3 2 3 2 2" xfId="11112" xr:uid="{A905B20D-5AB5-489B-9B71-94094AD06877}"/>
    <cellStyle name="Normal 2 4 2 3 2 3 2 2 2" xfId="23794" xr:uid="{7076AB9F-BE25-4E5D-8694-E9AD0499C715}"/>
    <cellStyle name="Normal 2 4 2 3 2 3 2 2 2 2" xfId="49286" xr:uid="{60531526-00C8-40D4-BA40-44FFC7C855C9}"/>
    <cellStyle name="Normal 2 4 2 3 2 3 2 2 3" xfId="36695" xr:uid="{3140A2CC-2BEE-4A41-8541-64BF79B2B5E1}"/>
    <cellStyle name="Normal 2 4 2 3 2 3 2 3" xfId="17516" xr:uid="{F2121048-C980-4BFE-9B3F-ED3A7F57E246}"/>
    <cellStyle name="Normal 2 4 2 3 2 3 2 3 2" xfId="43008" xr:uid="{D129395B-C356-4548-963C-E68D1F913A3E}"/>
    <cellStyle name="Normal 2 4 2 3 2 3 2 4" xfId="30417" xr:uid="{9C33BF89-7CB8-4867-ABDE-45637D259A5D}"/>
    <cellStyle name="Normal 2 4 2 3 2 3 3" xfId="7973" xr:uid="{678C82CD-4BF0-4F40-8990-BDCBE6B4B56D}"/>
    <cellStyle name="Normal 2 4 2 3 2 3 3 2" xfId="20655" xr:uid="{D601BD3F-4F57-4D2A-BBA6-B0C3B18A28EB}"/>
    <cellStyle name="Normal 2 4 2 3 2 3 3 2 2" xfId="46147" xr:uid="{357C5FD4-2128-4FE1-BF94-00EB4F26ECB6}"/>
    <cellStyle name="Normal 2 4 2 3 2 3 3 3" xfId="33556" xr:uid="{53DE719D-B6D3-490B-8408-753A4A4B4742}"/>
    <cellStyle name="Normal 2 4 2 3 2 3 4" xfId="14377" xr:uid="{4918E847-E18E-4AA7-933D-0C1EA1CD98C1}"/>
    <cellStyle name="Normal 2 4 2 3 2 3 4 2" xfId="39869" xr:uid="{5E41527D-1B5D-419A-960E-3BE7001851A4}"/>
    <cellStyle name="Normal 2 4 2 3 2 3 5" xfId="27278" xr:uid="{9B215ACC-FC8F-41B1-918E-824DB0F0361E}"/>
    <cellStyle name="Normal 2 4 2 3 2 4" xfId="2972" xr:uid="{C6FFBE18-B96A-4147-8952-00B850E08F2A}"/>
    <cellStyle name="Normal 2 4 2 3 2 4 2" xfId="6126" xr:uid="{4581B696-32E4-4116-879B-501A1D31FD2E}"/>
    <cellStyle name="Normal 2 4 2 3 2 4 2 2" xfId="12419" xr:uid="{1138684F-E571-43C4-A315-48FEABF8AAA8}"/>
    <cellStyle name="Normal 2 4 2 3 2 4 2 2 2" xfId="25101" xr:uid="{610DB60B-6F3D-4159-8E65-45B5A509C3EA}"/>
    <cellStyle name="Normal 2 4 2 3 2 4 2 2 2 2" xfId="50593" xr:uid="{572F0612-C62E-4E9C-9C24-B845EB0EA43A}"/>
    <cellStyle name="Normal 2 4 2 3 2 4 2 2 3" xfId="38002" xr:uid="{A5EAA0C2-0EB1-4241-9391-1BE8324463F2}"/>
    <cellStyle name="Normal 2 4 2 3 2 4 2 3" xfId="18823" xr:uid="{2F8D14AB-25EF-4B17-AD03-4803DDE63A59}"/>
    <cellStyle name="Normal 2 4 2 3 2 4 2 3 2" xfId="44315" xr:uid="{52F8C211-013C-49D4-989E-C5B9BD679B86}"/>
    <cellStyle name="Normal 2 4 2 3 2 4 2 4" xfId="31724" xr:uid="{7268C8E0-A6C3-4764-B065-9351CAF811AD}"/>
    <cellStyle name="Normal 2 4 2 3 2 4 3" xfId="9280" xr:uid="{BA9BEDAF-2E47-4FEA-9150-FDA60C54C2AA}"/>
    <cellStyle name="Normal 2 4 2 3 2 4 3 2" xfId="21962" xr:uid="{F02BABB9-2B71-4B1E-9E5F-371C7160595E}"/>
    <cellStyle name="Normal 2 4 2 3 2 4 3 2 2" xfId="47454" xr:uid="{AF6E85A5-4A88-4BF4-82AC-BAE0F8CD51FA}"/>
    <cellStyle name="Normal 2 4 2 3 2 4 3 3" xfId="34863" xr:uid="{7067832F-599A-474C-9E29-8B49812E9D76}"/>
    <cellStyle name="Normal 2 4 2 3 2 4 4" xfId="15684" xr:uid="{EFDC4996-C2C4-4CF5-A8DB-08B886C4EA77}"/>
    <cellStyle name="Normal 2 4 2 3 2 4 4 2" xfId="41176" xr:uid="{D6A63AEC-A8AB-4902-A2CA-670043CA878B}"/>
    <cellStyle name="Normal 2 4 2 3 2 4 5" xfId="28585" xr:uid="{C4696E62-AD03-4866-A3C8-7C2F19550D85}"/>
    <cellStyle name="Normal 2 4 2 3 2 5" xfId="3495" xr:uid="{831A2651-D395-4A2F-9321-DDCB67148A30}"/>
    <cellStyle name="Normal 2 4 2 3 2 5 2" xfId="6649" xr:uid="{B70AEEAA-E746-4BBA-9F88-91712B449C97}"/>
    <cellStyle name="Normal 2 4 2 3 2 5 2 2" xfId="12942" xr:uid="{97932B51-F37C-4892-A073-E9B743558CF1}"/>
    <cellStyle name="Normal 2 4 2 3 2 5 2 2 2" xfId="25624" xr:uid="{FD3CD3B8-63FC-48E8-90E4-BD72537C84C9}"/>
    <cellStyle name="Normal 2 4 2 3 2 5 2 2 2 2" xfId="51116" xr:uid="{55F92540-19AA-424B-81BD-04663D6C07B3}"/>
    <cellStyle name="Normal 2 4 2 3 2 5 2 2 3" xfId="38525" xr:uid="{837E3395-2665-4976-B78D-CD63EF18F192}"/>
    <cellStyle name="Normal 2 4 2 3 2 5 2 3" xfId="19346" xr:uid="{79D57C3E-0F4B-4249-A766-681830900466}"/>
    <cellStyle name="Normal 2 4 2 3 2 5 2 3 2" xfId="44838" xr:uid="{0708BD34-0C06-4C66-ACAE-AC2F2B98F9C5}"/>
    <cellStyle name="Normal 2 4 2 3 2 5 2 4" xfId="32247" xr:uid="{E8C84241-C02F-47D7-93F3-EC9EED40D7A1}"/>
    <cellStyle name="Normal 2 4 2 3 2 5 3" xfId="9803" xr:uid="{57AC8A19-53A0-4E87-99CD-69A1A2811CEE}"/>
    <cellStyle name="Normal 2 4 2 3 2 5 3 2" xfId="22485" xr:uid="{CFB30A98-4DFB-453B-945E-CD667B4B9124}"/>
    <cellStyle name="Normal 2 4 2 3 2 5 3 2 2" xfId="47977" xr:uid="{893B9D66-FA0E-4C7E-A238-DE3F0CA28E4F}"/>
    <cellStyle name="Normal 2 4 2 3 2 5 3 3" xfId="35386" xr:uid="{FAD29ABA-52D3-4D5B-8083-9C39A460C7DA}"/>
    <cellStyle name="Normal 2 4 2 3 2 5 4" xfId="16207" xr:uid="{2F2AF0B4-1468-4393-A73E-B462CB6EAACE}"/>
    <cellStyle name="Normal 2 4 2 3 2 5 4 2" xfId="41699" xr:uid="{437E1A25-A37B-462B-A4D8-1E5AA49D6108}"/>
    <cellStyle name="Normal 2 4 2 3 2 5 5" xfId="29108" xr:uid="{F6AFE09D-E3C8-4D96-A7CD-A578810DCBA2}"/>
    <cellStyle name="Normal 2 4 2 3 2 6" xfId="4295" xr:uid="{24187468-C89E-413F-9485-C80F37024A9D}"/>
    <cellStyle name="Normal 2 4 2 3 2 6 2" xfId="10588" xr:uid="{00F95253-169E-4A98-878C-CB1F272E13E8}"/>
    <cellStyle name="Normal 2 4 2 3 2 6 2 2" xfId="23270" xr:uid="{B3E133C3-2E06-40C0-B32D-A277917F4BE9}"/>
    <cellStyle name="Normal 2 4 2 3 2 6 2 2 2" xfId="48762" xr:uid="{25E9025B-8678-4A4A-B6FB-F0CBFEB4B56B}"/>
    <cellStyle name="Normal 2 4 2 3 2 6 2 3" xfId="36171" xr:uid="{789D4083-89D1-4B97-8C03-3D1FAF924CF8}"/>
    <cellStyle name="Normal 2 4 2 3 2 6 3" xfId="16992" xr:uid="{41C3C13D-E1DE-4300-AD4D-ED4484CD209F}"/>
    <cellStyle name="Normal 2 4 2 3 2 6 3 2" xfId="42484" xr:uid="{52EFF5F7-4B14-4C31-A4FD-83E77C3E10DF}"/>
    <cellStyle name="Normal 2 4 2 3 2 6 4" xfId="29893" xr:uid="{349C93F9-7912-4256-9C34-873BD4F76ABF}"/>
    <cellStyle name="Normal 2 4 2 3 2 7" xfId="7449" xr:uid="{65D64C4B-4088-4DD4-AACE-219B9B5E1210}"/>
    <cellStyle name="Normal 2 4 2 3 2 7 2" xfId="20131" xr:uid="{A7F640D1-ACC0-42BB-ABB7-72294415E654}"/>
    <cellStyle name="Normal 2 4 2 3 2 7 2 2" xfId="45623" xr:uid="{F69EF8ED-4AB3-495F-B4E9-E22D461199CF}"/>
    <cellStyle name="Normal 2 4 2 3 2 7 3" xfId="33032" xr:uid="{401D7E02-A5C4-4C3B-A6C0-642951093156}"/>
    <cellStyle name="Normal 2 4 2 3 2 8" xfId="13853" xr:uid="{D3EA6AB4-D988-4418-86E7-34D2608E3999}"/>
    <cellStyle name="Normal 2 4 2 3 2 8 2" xfId="39345" xr:uid="{C6F8084E-A9E0-41C3-AE49-3D43A39E5F4A}"/>
    <cellStyle name="Normal 2 4 2 3 2 9" xfId="26754" xr:uid="{D917FA48-7C13-41EB-BB63-ABE373FF85E0}"/>
    <cellStyle name="Normal 2 4 2 3 3" xfId="881" xr:uid="{8CDE4DF3-C332-4026-8B81-2B4E0F8A9A3F}"/>
    <cellStyle name="Normal 2 4 2 3 3 2" xfId="2188" xr:uid="{1E65ED06-D35E-48F5-84E4-90E36EB58F0D}"/>
    <cellStyle name="Normal 2 4 2 3 3 2 2" xfId="5342" xr:uid="{C04BC25B-9BF4-443F-BC75-56E2BAAF4FF3}"/>
    <cellStyle name="Normal 2 4 2 3 3 2 2 2" xfId="11635" xr:uid="{055C3DB6-3BF8-458E-81BD-C66701EA76FB}"/>
    <cellStyle name="Normal 2 4 2 3 3 2 2 2 2" xfId="24317" xr:uid="{9FE4E2A8-E367-40B5-94CB-249B0F169032}"/>
    <cellStyle name="Normal 2 4 2 3 3 2 2 2 2 2" xfId="49809" xr:uid="{7B845928-0A4B-4057-AE91-448F3D0C3FB5}"/>
    <cellStyle name="Normal 2 4 2 3 3 2 2 2 3" xfId="37218" xr:uid="{049ED2A0-D789-4E05-85F9-64019FB53F4D}"/>
    <cellStyle name="Normal 2 4 2 3 3 2 2 3" xfId="18039" xr:uid="{2BFF15EA-70CA-437C-A1A5-A2805A63A1D3}"/>
    <cellStyle name="Normal 2 4 2 3 3 2 2 3 2" xfId="43531" xr:uid="{C16846C0-4630-44E4-BD1B-31F02668DDC9}"/>
    <cellStyle name="Normal 2 4 2 3 3 2 2 4" xfId="30940" xr:uid="{079936E7-85BE-40F7-B37F-5F63BF32F675}"/>
    <cellStyle name="Normal 2 4 2 3 3 2 3" xfId="8496" xr:uid="{B8488A38-51CC-4870-B85E-FEE87B54C11F}"/>
    <cellStyle name="Normal 2 4 2 3 3 2 3 2" xfId="21178" xr:uid="{32A5F0E2-EEC2-44F1-82E9-65F3E28D8950}"/>
    <cellStyle name="Normal 2 4 2 3 3 2 3 2 2" xfId="46670" xr:uid="{955298FD-3789-402B-997A-A5EBD3D95404}"/>
    <cellStyle name="Normal 2 4 2 3 3 2 3 3" xfId="34079" xr:uid="{F62103B3-90B2-45EE-8E85-17118617093B}"/>
    <cellStyle name="Normal 2 4 2 3 3 2 4" xfId="14900" xr:uid="{84673128-818F-40FE-BC08-14A4A0EDAB7C}"/>
    <cellStyle name="Normal 2 4 2 3 3 2 4 2" xfId="40392" xr:uid="{1224E7C0-4B68-435E-B646-DFA0DBD7333E}"/>
    <cellStyle name="Normal 2 4 2 3 3 2 5" xfId="27801" xr:uid="{AB728E4E-4F7E-4BCF-912D-B0DE915FD98C}"/>
    <cellStyle name="Normal 2 4 2 3 3 3" xfId="4035" xr:uid="{AB24752F-BD46-44CA-A878-9B52BC5FD9B1}"/>
    <cellStyle name="Normal 2 4 2 3 3 3 2" xfId="10328" xr:uid="{FBC5E521-6540-4F56-AB3A-796B5040796D}"/>
    <cellStyle name="Normal 2 4 2 3 3 3 2 2" xfId="23010" xr:uid="{248CCD3B-9157-4620-89FA-B99874502DCB}"/>
    <cellStyle name="Normal 2 4 2 3 3 3 2 2 2" xfId="48502" xr:uid="{FD28F152-569D-4810-AF36-F08FCA3EEB19}"/>
    <cellStyle name="Normal 2 4 2 3 3 3 2 3" xfId="35911" xr:uid="{70D04561-7113-4470-99B3-5C58786C669E}"/>
    <cellStyle name="Normal 2 4 2 3 3 3 3" xfId="16732" xr:uid="{C1BF1B50-F98B-45DF-9A6D-1EBB5A917276}"/>
    <cellStyle name="Normal 2 4 2 3 3 3 3 2" xfId="42224" xr:uid="{C1EE750A-935C-42CD-BE1F-4945C75DAF99}"/>
    <cellStyle name="Normal 2 4 2 3 3 3 4" xfId="29633" xr:uid="{D8AEAC94-ACC9-4AF9-887F-D01CD3768BBE}"/>
    <cellStyle name="Normal 2 4 2 3 3 4" xfId="7189" xr:uid="{F7175089-0AA5-45D2-831A-1430BA711C30}"/>
    <cellStyle name="Normal 2 4 2 3 3 4 2" xfId="19871" xr:uid="{0D8AA3BF-7438-4CAA-968A-61569327B498}"/>
    <cellStyle name="Normal 2 4 2 3 3 4 2 2" xfId="45363" xr:uid="{639BD9BA-04DC-4ACA-A5C5-638E1D1E468D}"/>
    <cellStyle name="Normal 2 4 2 3 3 4 3" xfId="32772" xr:uid="{252CF70B-CBA6-4511-84C9-CD9C6B4A1DAB}"/>
    <cellStyle name="Normal 2 4 2 3 3 5" xfId="13593" xr:uid="{D607DD38-8070-4E37-A40A-3AF3B01567B3}"/>
    <cellStyle name="Normal 2 4 2 3 3 5 2" xfId="39085" xr:uid="{D49CACAD-F488-4721-B08E-C22052A730A3}"/>
    <cellStyle name="Normal 2 4 2 3 3 6" xfId="26494" xr:uid="{6F99F53A-5D4E-44D7-93A4-C7DD6A1BE8F1}"/>
    <cellStyle name="Normal 2 4 2 3 4" xfId="1926" xr:uid="{A2F1C677-E4A4-41F1-A46D-BCD08150B569}"/>
    <cellStyle name="Normal 2 4 2 3 4 2" xfId="5080" xr:uid="{A3A19E88-FF83-4988-BDFF-590B1380800B}"/>
    <cellStyle name="Normal 2 4 2 3 4 2 2" xfId="11373" xr:uid="{B92E560E-CA45-4697-A55F-1A50319D29CD}"/>
    <cellStyle name="Normal 2 4 2 3 4 2 2 2" xfId="24055" xr:uid="{965B01F1-7977-458A-B529-161062EABE58}"/>
    <cellStyle name="Normal 2 4 2 3 4 2 2 2 2" xfId="49547" xr:uid="{98B0BEB6-07E7-4C35-9601-9D91C406D71F}"/>
    <cellStyle name="Normal 2 4 2 3 4 2 2 3" xfId="36956" xr:uid="{A3797E3C-B57C-47AA-ADA5-3D99D4ACFF70}"/>
    <cellStyle name="Normal 2 4 2 3 4 2 3" xfId="17777" xr:uid="{77C2E7CC-455F-4E87-B973-0C6AC4F2D534}"/>
    <cellStyle name="Normal 2 4 2 3 4 2 3 2" xfId="43269" xr:uid="{114AB742-86CC-493A-A206-69A03B93D6AA}"/>
    <cellStyle name="Normal 2 4 2 3 4 2 4" xfId="30678" xr:uid="{0895230F-D928-46AD-8B0D-227E4D148AFF}"/>
    <cellStyle name="Normal 2 4 2 3 4 3" xfId="8234" xr:uid="{F7D906B1-3AA1-4EE9-B266-C91759507B20}"/>
    <cellStyle name="Normal 2 4 2 3 4 3 2" xfId="20916" xr:uid="{EA06B4CC-6988-49A4-B2CF-425ED64932E1}"/>
    <cellStyle name="Normal 2 4 2 3 4 3 2 2" xfId="46408" xr:uid="{4B55AE83-9C7D-4E5A-B19C-803FBC6D6D61}"/>
    <cellStyle name="Normal 2 4 2 3 4 3 3" xfId="33817" xr:uid="{46E0860E-F3F3-470C-B219-038ADE9C3385}"/>
    <cellStyle name="Normal 2 4 2 3 4 4" xfId="14638" xr:uid="{1EFF1524-2A66-4FAC-A0B0-35204B60E91B}"/>
    <cellStyle name="Normal 2 4 2 3 4 4 2" xfId="40130" xr:uid="{FA3E6B9F-ADD9-40A5-896E-E814A65AACD9}"/>
    <cellStyle name="Normal 2 4 2 3 4 5" xfId="27539" xr:uid="{23FC9920-FDB9-4A57-A1BE-12EE43AECA65}"/>
    <cellStyle name="Normal 2 4 2 3 5" xfId="1404" xr:uid="{127DBA19-5276-4FD0-8FF0-E77D93D9C707}"/>
    <cellStyle name="Normal 2 4 2 3 5 2" xfId="4558" xr:uid="{5358AF55-C8EB-4D42-B793-58FA8B464687}"/>
    <cellStyle name="Normal 2 4 2 3 5 2 2" xfId="10851" xr:uid="{CDB10CE2-5854-4D46-A831-069D4E24EBFA}"/>
    <cellStyle name="Normal 2 4 2 3 5 2 2 2" xfId="23533" xr:uid="{94800DCD-13C9-47AD-8049-B7B3B4A46E11}"/>
    <cellStyle name="Normal 2 4 2 3 5 2 2 2 2" xfId="49025" xr:uid="{406C897C-AAE5-47B7-8C81-37917D80015A}"/>
    <cellStyle name="Normal 2 4 2 3 5 2 2 3" xfId="36434" xr:uid="{FE80713E-36E7-487B-8EF2-447151635605}"/>
    <cellStyle name="Normal 2 4 2 3 5 2 3" xfId="17255" xr:uid="{4F5F6F3B-6E21-4E0D-8419-5F9C16BE584F}"/>
    <cellStyle name="Normal 2 4 2 3 5 2 3 2" xfId="42747" xr:uid="{CBC08D4F-D222-4B9B-888A-1D09B44D23F4}"/>
    <cellStyle name="Normal 2 4 2 3 5 2 4" xfId="30156" xr:uid="{55B5BB67-B04D-47CA-8B42-E1D2CB86DF89}"/>
    <cellStyle name="Normal 2 4 2 3 5 3" xfId="7712" xr:uid="{88B38E40-ED91-43B5-91BC-A4BB33A88760}"/>
    <cellStyle name="Normal 2 4 2 3 5 3 2" xfId="20394" xr:uid="{A025E332-572D-48BE-B2B6-1F3999CA0A73}"/>
    <cellStyle name="Normal 2 4 2 3 5 3 2 2" xfId="45886" xr:uid="{87E3CBA2-31B1-4C50-999D-0DC5C82AE56C}"/>
    <cellStyle name="Normal 2 4 2 3 5 3 3" xfId="33295" xr:uid="{83C6B0F8-C29D-485E-BF81-893A61927863}"/>
    <cellStyle name="Normal 2 4 2 3 5 4" xfId="14116" xr:uid="{1A107C5B-101D-429E-9A06-37167D73323D}"/>
    <cellStyle name="Normal 2 4 2 3 5 4 2" xfId="39608" xr:uid="{EE4ED913-1F4B-440B-A788-C163FF501870}"/>
    <cellStyle name="Normal 2 4 2 3 5 5" xfId="27017" xr:uid="{9AFD9A80-D2D2-42B0-ABE9-3F5B495AE794}"/>
    <cellStyle name="Normal 2 4 2 3 6" xfId="2711" xr:uid="{1DEEBD16-EEB6-4233-99B6-AB47C1279086}"/>
    <cellStyle name="Normal 2 4 2 3 6 2" xfId="5865" xr:uid="{8A34A74D-3714-4955-B5CF-907BFFF82E44}"/>
    <cellStyle name="Normal 2 4 2 3 6 2 2" xfId="12158" xr:uid="{AF41631D-EA78-4C82-9A4C-371278E5831D}"/>
    <cellStyle name="Normal 2 4 2 3 6 2 2 2" xfId="24840" xr:uid="{20F9B452-EA20-4D24-91E4-9B4FFD414AE0}"/>
    <cellStyle name="Normal 2 4 2 3 6 2 2 2 2" xfId="50332" xr:uid="{D5018572-21D2-4F46-BB3E-882F69C26F00}"/>
    <cellStyle name="Normal 2 4 2 3 6 2 2 3" xfId="37741" xr:uid="{B83843CE-15C0-4430-A6DE-98151314D1B2}"/>
    <cellStyle name="Normal 2 4 2 3 6 2 3" xfId="18562" xr:uid="{D5D8DFCD-41BD-439F-A55E-1381BDB6A45E}"/>
    <cellStyle name="Normal 2 4 2 3 6 2 3 2" xfId="44054" xr:uid="{C8A79FFD-10BD-4E03-B8E4-82B93E5EC49E}"/>
    <cellStyle name="Normal 2 4 2 3 6 2 4" xfId="31463" xr:uid="{CC879C0D-B111-4F32-A18C-E211133A932B}"/>
    <cellStyle name="Normal 2 4 2 3 6 3" xfId="9019" xr:uid="{EBC53DDF-1111-47A0-AFE5-BEF3EA3629A1}"/>
    <cellStyle name="Normal 2 4 2 3 6 3 2" xfId="21701" xr:uid="{791D6264-2012-4FEF-9608-F244A3A277F6}"/>
    <cellStyle name="Normal 2 4 2 3 6 3 2 2" xfId="47193" xr:uid="{75C38EFF-5852-4E54-9F93-A6BDA5E89A13}"/>
    <cellStyle name="Normal 2 4 2 3 6 3 3" xfId="34602" xr:uid="{16AE8A18-16AA-4AA8-A408-74836BE327C2}"/>
    <cellStyle name="Normal 2 4 2 3 6 4" xfId="15423" xr:uid="{0CEE085F-39B1-4F34-B5B9-F57B05F8B223}"/>
    <cellStyle name="Normal 2 4 2 3 6 4 2" xfId="40915" xr:uid="{70CDC157-D590-49CF-B136-6799C8CF1130}"/>
    <cellStyle name="Normal 2 4 2 3 6 5" xfId="28324" xr:uid="{D573939A-DBD1-4DC3-9741-A4B2D2E46630}"/>
    <cellStyle name="Normal 2 4 2 3 7" xfId="3234" xr:uid="{D6BE1759-B44C-4891-96F6-990E825C2846}"/>
    <cellStyle name="Normal 2 4 2 3 7 2" xfId="6388" xr:uid="{3D9A3BFA-90A2-4FA9-A393-07BB4FAED854}"/>
    <cellStyle name="Normal 2 4 2 3 7 2 2" xfId="12681" xr:uid="{6F2D8A60-AACF-4E37-B09B-E10864C4E807}"/>
    <cellStyle name="Normal 2 4 2 3 7 2 2 2" xfId="25363" xr:uid="{D30E8045-727F-4961-963E-82E85B449520}"/>
    <cellStyle name="Normal 2 4 2 3 7 2 2 2 2" xfId="50855" xr:uid="{9AE00170-D000-4E20-9F2B-E5E16DF7A046}"/>
    <cellStyle name="Normal 2 4 2 3 7 2 2 3" xfId="38264" xr:uid="{952E123B-44D2-4B7E-8562-5407B6B10DE4}"/>
    <cellStyle name="Normal 2 4 2 3 7 2 3" xfId="19085" xr:uid="{67EF58C8-E2D3-48AC-A6AC-794290AB615E}"/>
    <cellStyle name="Normal 2 4 2 3 7 2 3 2" xfId="44577" xr:uid="{75EE5FE5-4B67-42FB-AC65-83464B7F465D}"/>
    <cellStyle name="Normal 2 4 2 3 7 2 4" xfId="31986" xr:uid="{906015B9-37C8-405B-BE62-4AD94D896AD8}"/>
    <cellStyle name="Normal 2 4 2 3 7 3" xfId="9542" xr:uid="{A4AF63BC-69F3-4550-B0B2-068480F05009}"/>
    <cellStyle name="Normal 2 4 2 3 7 3 2" xfId="22224" xr:uid="{394A9697-885F-49D9-81AC-E3D77C9E6E1E}"/>
    <cellStyle name="Normal 2 4 2 3 7 3 2 2" xfId="47716" xr:uid="{21E8DDC3-DB40-4B82-AFF8-B076B5BAB288}"/>
    <cellStyle name="Normal 2 4 2 3 7 3 3" xfId="35125" xr:uid="{9B844B03-CEC0-4DF8-A075-634FD9E840A4}"/>
    <cellStyle name="Normal 2 4 2 3 7 4" xfId="15946" xr:uid="{691578A3-9655-4FAD-8325-F3F48135041E}"/>
    <cellStyle name="Normal 2 4 2 3 7 4 2" xfId="41438" xr:uid="{C09120C3-5E23-422A-8023-187F65874178}"/>
    <cellStyle name="Normal 2 4 2 3 7 5" xfId="28847" xr:uid="{46379539-E5C0-4881-A792-1B78F47BA5B2}"/>
    <cellStyle name="Normal 2 4 2 3 8" xfId="3773" xr:uid="{FA07414B-89B6-4DEE-9B34-3E15957A36E7}"/>
    <cellStyle name="Normal 2 4 2 3 8 2" xfId="10066" xr:uid="{CC7073B0-1BC3-45FB-ACB3-C10114DE1577}"/>
    <cellStyle name="Normal 2 4 2 3 8 2 2" xfId="22748" xr:uid="{DB1AD2F0-6892-4C0C-8B33-D79B7F846161}"/>
    <cellStyle name="Normal 2 4 2 3 8 2 2 2" xfId="48240" xr:uid="{7D7E80FC-C4BE-4D88-8CFB-1E1D2A5402CB}"/>
    <cellStyle name="Normal 2 4 2 3 8 2 3" xfId="35649" xr:uid="{836E8068-A748-4A53-BF86-16E0797D6196}"/>
    <cellStyle name="Normal 2 4 2 3 8 3" xfId="16470" xr:uid="{787743DF-5CBB-47D5-AB35-66B5E9E73A00}"/>
    <cellStyle name="Normal 2 4 2 3 8 3 2" xfId="41962" xr:uid="{521F1F1F-DA7B-4B8E-815A-0220EA005301}"/>
    <cellStyle name="Normal 2 4 2 3 8 4" xfId="29371" xr:uid="{5313CEEF-3FDA-4104-9547-66025AE0C25C}"/>
    <cellStyle name="Normal 2 4 2 3 9" xfId="6927" xr:uid="{4172162C-A2F3-48E9-BD11-9F31079EFC86}"/>
    <cellStyle name="Normal 2 4 2 3 9 2" xfId="19609" xr:uid="{25BE45EC-5ADF-4F0B-AE09-3FFBE83B40CF}"/>
    <cellStyle name="Normal 2 4 2 3 9 2 2" xfId="45101" xr:uid="{4AE59DBF-22D6-4D12-9443-7F8F5C1E7FAF}"/>
    <cellStyle name="Normal 2 4 2 3 9 3" xfId="32510" xr:uid="{8FB20FB2-46E0-44DD-A6D7-A2C192EA5626}"/>
    <cellStyle name="Normal 2 4 2 4" xfId="565" xr:uid="{AF85AE6D-7DAC-46CC-B324-7235A9668628}"/>
    <cellStyle name="Normal 2 4 2 4 10" xfId="13292" xr:uid="{A8546813-81F6-4F27-AE11-08E1DF0BA69F}"/>
    <cellStyle name="Normal 2 4 2 4 10 2" xfId="38784" xr:uid="{C6491840-E153-4E36-83B1-32229E1EBDDA}"/>
    <cellStyle name="Normal 2 4 2 4 11" xfId="26193" xr:uid="{AE8938AD-2C3A-44E6-9615-BB7A99D1EF95}"/>
    <cellStyle name="Normal 2 4 2 4 2" xfId="1102" xr:uid="{6E67B716-FA3B-47E4-841E-FAF887C4AB41}"/>
    <cellStyle name="Normal 2 4 2 4 2 2" xfId="2409" xr:uid="{FC2135D2-9E49-408F-A970-DB374D1FC548}"/>
    <cellStyle name="Normal 2 4 2 4 2 2 2" xfId="5563" xr:uid="{C124D6B7-72D5-4DB5-B7BB-4E4F24BBB24A}"/>
    <cellStyle name="Normal 2 4 2 4 2 2 2 2" xfId="11856" xr:uid="{930D0688-6A08-42D8-A4B0-99D782EF703B}"/>
    <cellStyle name="Normal 2 4 2 4 2 2 2 2 2" xfId="24538" xr:uid="{8361C335-0B3B-47FB-9FB7-D7A928986F75}"/>
    <cellStyle name="Normal 2 4 2 4 2 2 2 2 2 2" xfId="50030" xr:uid="{B01B25CF-4716-48E3-A539-E82A8278DEB6}"/>
    <cellStyle name="Normal 2 4 2 4 2 2 2 2 3" xfId="37439" xr:uid="{EF7E809E-8D16-4D46-B058-1F8CD7EB7D63}"/>
    <cellStyle name="Normal 2 4 2 4 2 2 2 3" xfId="18260" xr:uid="{89DBCD46-3146-40A9-B030-A1050DA30A32}"/>
    <cellStyle name="Normal 2 4 2 4 2 2 2 3 2" xfId="43752" xr:uid="{0B06152D-AEE5-4751-8AA6-D1DA983BD39F}"/>
    <cellStyle name="Normal 2 4 2 4 2 2 2 4" xfId="31161" xr:uid="{69CF6B60-AAA8-4BFC-9A47-718CA6847721}"/>
    <cellStyle name="Normal 2 4 2 4 2 2 3" xfId="8717" xr:uid="{33C6555F-C1F0-46E7-855B-F1B2C8616CA9}"/>
    <cellStyle name="Normal 2 4 2 4 2 2 3 2" xfId="21399" xr:uid="{486332E6-2F29-461F-8CF6-4DB3F5C6CEC0}"/>
    <cellStyle name="Normal 2 4 2 4 2 2 3 2 2" xfId="46891" xr:uid="{E7B5FD4F-53C1-4F88-B862-EB7795347E3F}"/>
    <cellStyle name="Normal 2 4 2 4 2 2 3 3" xfId="34300" xr:uid="{CB4D6796-EAB2-4272-B4A9-61F4AB3373FF}"/>
    <cellStyle name="Normal 2 4 2 4 2 2 4" xfId="15121" xr:uid="{3E11A838-24C4-4192-8D7F-A753AA59582F}"/>
    <cellStyle name="Normal 2 4 2 4 2 2 4 2" xfId="40613" xr:uid="{9C565232-A9E7-4963-A016-C01BCC1CC904}"/>
    <cellStyle name="Normal 2 4 2 4 2 2 5" xfId="28022" xr:uid="{4620A46F-7A4A-4FB3-B893-92085636B910}"/>
    <cellStyle name="Normal 2 4 2 4 2 3" xfId="1626" xr:uid="{8F7DF724-0A22-4707-835E-2E877AAC466C}"/>
    <cellStyle name="Normal 2 4 2 4 2 3 2" xfId="4780" xr:uid="{52A644FE-55CC-40AD-A240-EB733EE00D1D}"/>
    <cellStyle name="Normal 2 4 2 4 2 3 2 2" xfId="11073" xr:uid="{985BEAE7-1B04-4D1B-8436-3B3EF4CEA895}"/>
    <cellStyle name="Normal 2 4 2 4 2 3 2 2 2" xfId="23755" xr:uid="{7C936075-1BC1-4AA9-9A7A-EF49887D5DEC}"/>
    <cellStyle name="Normal 2 4 2 4 2 3 2 2 2 2" xfId="49247" xr:uid="{45EDA0CF-B1CF-4FC6-B14E-ED4369E3DDF1}"/>
    <cellStyle name="Normal 2 4 2 4 2 3 2 2 3" xfId="36656" xr:uid="{CFF36E8C-6F99-42D9-9958-479899478440}"/>
    <cellStyle name="Normal 2 4 2 4 2 3 2 3" xfId="17477" xr:uid="{090ECDDC-8DE5-470C-BEBC-2EC9553EDA98}"/>
    <cellStyle name="Normal 2 4 2 4 2 3 2 3 2" xfId="42969" xr:uid="{55CE7EF4-5736-439F-B9D5-326390F82222}"/>
    <cellStyle name="Normal 2 4 2 4 2 3 2 4" xfId="30378" xr:uid="{FC733D78-92A1-49C9-B914-C746001968A3}"/>
    <cellStyle name="Normal 2 4 2 4 2 3 3" xfId="7934" xr:uid="{0C41F370-410C-4F41-9075-3D163FAA7C20}"/>
    <cellStyle name="Normal 2 4 2 4 2 3 3 2" xfId="20616" xr:uid="{2E121324-30FE-4EEE-8AE4-D2AE6BC0C4C6}"/>
    <cellStyle name="Normal 2 4 2 4 2 3 3 2 2" xfId="46108" xr:uid="{F9308E9E-F3E5-4E8A-B857-BC062384278E}"/>
    <cellStyle name="Normal 2 4 2 4 2 3 3 3" xfId="33517" xr:uid="{3C7113DD-CCE1-430E-9D4A-FE187B001F35}"/>
    <cellStyle name="Normal 2 4 2 4 2 3 4" xfId="14338" xr:uid="{B908CEE1-00AC-4BF5-B760-AC7C13FB795A}"/>
    <cellStyle name="Normal 2 4 2 4 2 3 4 2" xfId="39830" xr:uid="{A6E4AB12-C29D-4985-A919-8D66DFF6CDC8}"/>
    <cellStyle name="Normal 2 4 2 4 2 3 5" xfId="27239" xr:uid="{FD4D1B7A-2CA2-4188-AB7B-B1297CBEEDE8}"/>
    <cellStyle name="Normal 2 4 2 4 2 4" xfId="2933" xr:uid="{52A2AC96-7728-44A0-8B41-0C05382073BC}"/>
    <cellStyle name="Normal 2 4 2 4 2 4 2" xfId="6087" xr:uid="{1E153519-889E-4FB9-BFDD-0E682EC29F40}"/>
    <cellStyle name="Normal 2 4 2 4 2 4 2 2" xfId="12380" xr:uid="{4B520669-9022-4BD9-86DD-ECE524B8ED4D}"/>
    <cellStyle name="Normal 2 4 2 4 2 4 2 2 2" xfId="25062" xr:uid="{8D4D536D-6B9C-45DF-8FCE-A5E13EE7C02B}"/>
    <cellStyle name="Normal 2 4 2 4 2 4 2 2 2 2" xfId="50554" xr:uid="{27CE1698-3300-4895-A73C-F53664FD82D0}"/>
    <cellStyle name="Normal 2 4 2 4 2 4 2 2 3" xfId="37963" xr:uid="{DB533619-682E-476B-B6A8-DCA41148EF14}"/>
    <cellStyle name="Normal 2 4 2 4 2 4 2 3" xfId="18784" xr:uid="{DC2AC541-252D-4769-B3C8-74E563FB9612}"/>
    <cellStyle name="Normal 2 4 2 4 2 4 2 3 2" xfId="44276" xr:uid="{F78FD2DE-7BC1-4305-8898-2137CA116EBF}"/>
    <cellStyle name="Normal 2 4 2 4 2 4 2 4" xfId="31685" xr:uid="{590B6FE0-29B0-4A36-99EB-011FE7284EB0}"/>
    <cellStyle name="Normal 2 4 2 4 2 4 3" xfId="9241" xr:uid="{8EF7ED87-6939-4210-AD10-811A6D3AD013}"/>
    <cellStyle name="Normal 2 4 2 4 2 4 3 2" xfId="21923" xr:uid="{DA36EDB4-B9B0-4C49-BE93-24DB95D12614}"/>
    <cellStyle name="Normal 2 4 2 4 2 4 3 2 2" xfId="47415" xr:uid="{BC7AD57C-ADE7-426B-B00C-EDD9027752EC}"/>
    <cellStyle name="Normal 2 4 2 4 2 4 3 3" xfId="34824" xr:uid="{6CA9E012-53BA-4F9D-A057-212404989885}"/>
    <cellStyle name="Normal 2 4 2 4 2 4 4" xfId="15645" xr:uid="{3EB9C0D6-1712-4D8F-ABDF-8C1A4234139D}"/>
    <cellStyle name="Normal 2 4 2 4 2 4 4 2" xfId="41137" xr:uid="{7E528236-54F2-4597-BDD9-70A00F79608D}"/>
    <cellStyle name="Normal 2 4 2 4 2 4 5" xfId="28546" xr:uid="{6FF4A096-F2B0-4941-9FC2-C49E85642925}"/>
    <cellStyle name="Normal 2 4 2 4 2 5" xfId="3456" xr:uid="{7B5F2173-7816-4CE5-9CF0-E9797B66595C}"/>
    <cellStyle name="Normal 2 4 2 4 2 5 2" xfId="6610" xr:uid="{BBA19C71-07B3-4BB2-9576-ADBC6B235D4F}"/>
    <cellStyle name="Normal 2 4 2 4 2 5 2 2" xfId="12903" xr:uid="{B21FEBD6-0823-4C1B-B1CD-001E9B54B7DF}"/>
    <cellStyle name="Normal 2 4 2 4 2 5 2 2 2" xfId="25585" xr:uid="{7FACF1C4-CC7A-4475-8D0B-8B97159ACF28}"/>
    <cellStyle name="Normal 2 4 2 4 2 5 2 2 2 2" xfId="51077" xr:uid="{9D37F5B8-A624-4BF9-ABC6-39F015B10E1A}"/>
    <cellStyle name="Normal 2 4 2 4 2 5 2 2 3" xfId="38486" xr:uid="{EAF6BF18-CADE-42C9-83E8-9B268C4100EE}"/>
    <cellStyle name="Normal 2 4 2 4 2 5 2 3" xfId="19307" xr:uid="{3140FD76-79A2-415A-ABAF-78436CEA5A6F}"/>
    <cellStyle name="Normal 2 4 2 4 2 5 2 3 2" xfId="44799" xr:uid="{A029CE19-F058-4BCD-A917-29D8FBC9B052}"/>
    <cellStyle name="Normal 2 4 2 4 2 5 2 4" xfId="32208" xr:uid="{0AF496A3-42FE-4932-95AA-278C2F840053}"/>
    <cellStyle name="Normal 2 4 2 4 2 5 3" xfId="9764" xr:uid="{7E420D54-9D04-4AC6-9BF4-E3DBB1626C6D}"/>
    <cellStyle name="Normal 2 4 2 4 2 5 3 2" xfId="22446" xr:uid="{BF07C0BF-561A-4947-A022-60D0D73FCB64}"/>
    <cellStyle name="Normal 2 4 2 4 2 5 3 2 2" xfId="47938" xr:uid="{37755FEE-5098-4E46-8ABA-B02DECEDB713}"/>
    <cellStyle name="Normal 2 4 2 4 2 5 3 3" xfId="35347" xr:uid="{CA020511-0BCF-460E-B297-6692107B4D25}"/>
    <cellStyle name="Normal 2 4 2 4 2 5 4" xfId="16168" xr:uid="{DC22B74D-D8D7-4BC3-9BD0-E502E534345D}"/>
    <cellStyle name="Normal 2 4 2 4 2 5 4 2" xfId="41660" xr:uid="{229392B5-0538-4174-A128-19A36FA406E8}"/>
    <cellStyle name="Normal 2 4 2 4 2 5 5" xfId="29069" xr:uid="{3F522C96-68CC-4070-AE28-433340FF39C2}"/>
    <cellStyle name="Normal 2 4 2 4 2 6" xfId="4256" xr:uid="{26F7F42E-2450-4AC2-A3E0-6B88BB133C14}"/>
    <cellStyle name="Normal 2 4 2 4 2 6 2" xfId="10549" xr:uid="{7AF8F86A-F290-4B3E-B08C-EC47EBB3F2CB}"/>
    <cellStyle name="Normal 2 4 2 4 2 6 2 2" xfId="23231" xr:uid="{1FDB7BB3-7DB1-4F36-ABC1-F2D47FA3E05C}"/>
    <cellStyle name="Normal 2 4 2 4 2 6 2 2 2" xfId="48723" xr:uid="{A5CC3FE9-4B5A-47C6-A201-DB61B86D7551}"/>
    <cellStyle name="Normal 2 4 2 4 2 6 2 3" xfId="36132" xr:uid="{32C9FF00-473B-4A8D-8D28-592F87791781}"/>
    <cellStyle name="Normal 2 4 2 4 2 6 3" xfId="16953" xr:uid="{64125E55-2519-40C1-9FE2-D7CE1E19A373}"/>
    <cellStyle name="Normal 2 4 2 4 2 6 3 2" xfId="42445" xr:uid="{E639E824-EE82-4104-9C86-435A9E64714B}"/>
    <cellStyle name="Normal 2 4 2 4 2 6 4" xfId="29854" xr:uid="{EB97710E-A559-46D0-AF76-14FFC6410D70}"/>
    <cellStyle name="Normal 2 4 2 4 2 7" xfId="7410" xr:uid="{B7E058B0-5AF9-4778-B864-8F74A8422A02}"/>
    <cellStyle name="Normal 2 4 2 4 2 7 2" xfId="20092" xr:uid="{18EAE2FF-5AC1-4FBD-ABA4-443C218ED476}"/>
    <cellStyle name="Normal 2 4 2 4 2 7 2 2" xfId="45584" xr:uid="{36BD74AB-2C65-4EF4-A9DF-3CCFF1E41187}"/>
    <cellStyle name="Normal 2 4 2 4 2 7 3" xfId="32993" xr:uid="{D4BB5ED9-7E6D-4756-851E-C456A215DCA1}"/>
    <cellStyle name="Normal 2 4 2 4 2 8" xfId="13814" xr:uid="{FFED11CC-E560-453E-A55C-4E51295BBDFB}"/>
    <cellStyle name="Normal 2 4 2 4 2 8 2" xfId="39306" xr:uid="{5702A1D6-D17C-4ED7-AA02-D5C67864C010}"/>
    <cellStyle name="Normal 2 4 2 4 2 9" xfId="26715" xr:uid="{CE7EB4D1-EF3D-46FC-9466-6A0B83BA0279}"/>
    <cellStyle name="Normal 2 4 2 4 3" xfId="842" xr:uid="{A5C10DD1-7215-4580-AA0B-F4F825E620E7}"/>
    <cellStyle name="Normal 2 4 2 4 3 2" xfId="2149" xr:uid="{3FC676FB-FDDA-4ACA-A84F-DA7DFBD9C1EC}"/>
    <cellStyle name="Normal 2 4 2 4 3 2 2" xfId="5303" xr:uid="{B72B1E5A-9022-4280-81D0-C007DB1D2ED8}"/>
    <cellStyle name="Normal 2 4 2 4 3 2 2 2" xfId="11596" xr:uid="{6E4633B5-6223-4D08-A0F5-CADBA9A90ABB}"/>
    <cellStyle name="Normal 2 4 2 4 3 2 2 2 2" xfId="24278" xr:uid="{F57DED3F-D7A5-498B-BA23-6036FAAFD67F}"/>
    <cellStyle name="Normal 2 4 2 4 3 2 2 2 2 2" xfId="49770" xr:uid="{DEA2E6F0-EBD5-49B8-B98A-C53DBD6C212D}"/>
    <cellStyle name="Normal 2 4 2 4 3 2 2 2 3" xfId="37179" xr:uid="{A5A0CC36-F532-470B-9783-BED33564410C}"/>
    <cellStyle name="Normal 2 4 2 4 3 2 2 3" xfId="18000" xr:uid="{A406D3A3-5F63-4E0D-A3CE-6447C5351CE5}"/>
    <cellStyle name="Normal 2 4 2 4 3 2 2 3 2" xfId="43492" xr:uid="{7030E527-0A06-4D3C-8911-0B11A8555056}"/>
    <cellStyle name="Normal 2 4 2 4 3 2 2 4" xfId="30901" xr:uid="{DB4D4A93-AAAB-4178-9D58-6DC010AE051B}"/>
    <cellStyle name="Normal 2 4 2 4 3 2 3" xfId="8457" xr:uid="{D126F4CC-4601-46AE-889D-6BD52660708F}"/>
    <cellStyle name="Normal 2 4 2 4 3 2 3 2" xfId="21139" xr:uid="{6D318E64-A6DA-4A87-A419-17936B0459DB}"/>
    <cellStyle name="Normal 2 4 2 4 3 2 3 2 2" xfId="46631" xr:uid="{683C7457-6432-406D-A776-E5E3F6167C7F}"/>
    <cellStyle name="Normal 2 4 2 4 3 2 3 3" xfId="34040" xr:uid="{D7BCDFF4-F278-48DB-84AA-1E4BEB53F2FE}"/>
    <cellStyle name="Normal 2 4 2 4 3 2 4" xfId="14861" xr:uid="{135398AE-374E-429C-8AB5-F0EA01BE1C1B}"/>
    <cellStyle name="Normal 2 4 2 4 3 2 4 2" xfId="40353" xr:uid="{6C0ABA9C-895E-48CA-A6B5-AAD1E374940E}"/>
    <cellStyle name="Normal 2 4 2 4 3 2 5" xfId="27762" xr:uid="{A56FD0E9-A21E-40EA-BDC9-2C37F44DB578}"/>
    <cellStyle name="Normal 2 4 2 4 3 3" xfId="3996" xr:uid="{B85BD518-4B19-4FD2-A79C-3C91E46BE973}"/>
    <cellStyle name="Normal 2 4 2 4 3 3 2" xfId="10289" xr:uid="{2DACEBB8-F825-4277-8377-70F4427D153B}"/>
    <cellStyle name="Normal 2 4 2 4 3 3 2 2" xfId="22971" xr:uid="{16326D98-F20B-4BE7-A206-66A52221B0A5}"/>
    <cellStyle name="Normal 2 4 2 4 3 3 2 2 2" xfId="48463" xr:uid="{C2A79E0B-6E85-4203-924B-AEC4FC8E8D51}"/>
    <cellStyle name="Normal 2 4 2 4 3 3 2 3" xfId="35872" xr:uid="{F13BA4E8-4F39-4297-81AD-D514E225596B}"/>
    <cellStyle name="Normal 2 4 2 4 3 3 3" xfId="16693" xr:uid="{3E5F38BC-E998-4606-A78D-5DDB1F0E86D1}"/>
    <cellStyle name="Normal 2 4 2 4 3 3 3 2" xfId="42185" xr:uid="{BF89F115-4543-4EA5-9AA4-3B29B89C0C3B}"/>
    <cellStyle name="Normal 2 4 2 4 3 3 4" xfId="29594" xr:uid="{6EBD1C80-3DEB-453C-94D4-4817809FCCDF}"/>
    <cellStyle name="Normal 2 4 2 4 3 4" xfId="7150" xr:uid="{3A94407C-F8A6-4335-BEE1-EB9C53263AF1}"/>
    <cellStyle name="Normal 2 4 2 4 3 4 2" xfId="19832" xr:uid="{9BE11005-452C-4BBB-B9CA-77FEDE9D9719}"/>
    <cellStyle name="Normal 2 4 2 4 3 4 2 2" xfId="45324" xr:uid="{80EB57CA-AA09-41E7-B0D6-E26BC1AA5ED3}"/>
    <cellStyle name="Normal 2 4 2 4 3 4 3" xfId="32733" xr:uid="{E94FBF3E-43EC-4504-87D0-7C18E1994483}"/>
    <cellStyle name="Normal 2 4 2 4 3 5" xfId="13554" xr:uid="{CD31412D-C33D-4916-ADC4-D3A317DCA72A}"/>
    <cellStyle name="Normal 2 4 2 4 3 5 2" xfId="39046" xr:uid="{43E3A6F8-ABA3-400E-B669-56DBA34E39BC}"/>
    <cellStyle name="Normal 2 4 2 4 3 6" xfId="26455" xr:uid="{C39CFDA7-99AF-4E8E-91C4-76CDEC2AA805}"/>
    <cellStyle name="Normal 2 4 2 4 4" xfId="1887" xr:uid="{A3EC516E-0F42-4E1D-917F-2866E8A89068}"/>
    <cellStyle name="Normal 2 4 2 4 4 2" xfId="5041" xr:uid="{75EA3F93-C7F4-4F73-B479-B895E132C4A9}"/>
    <cellStyle name="Normal 2 4 2 4 4 2 2" xfId="11334" xr:uid="{3BEB29C8-6590-4CB8-A4C0-7ED468D8AC40}"/>
    <cellStyle name="Normal 2 4 2 4 4 2 2 2" xfId="24016" xr:uid="{CFCF3A1D-D003-4FA0-BFBF-C84EDFB3D22E}"/>
    <cellStyle name="Normal 2 4 2 4 4 2 2 2 2" xfId="49508" xr:uid="{24520409-5187-42F4-BFBF-6A727C3EE8D6}"/>
    <cellStyle name="Normal 2 4 2 4 4 2 2 3" xfId="36917" xr:uid="{D5F4D224-1943-4872-AC70-EFF4FF0033A4}"/>
    <cellStyle name="Normal 2 4 2 4 4 2 3" xfId="17738" xr:uid="{99A3C3F4-46F4-4437-ACC7-74568074B5FF}"/>
    <cellStyle name="Normal 2 4 2 4 4 2 3 2" xfId="43230" xr:uid="{39FD87ED-2C14-4B07-AF1B-A8957BB4EF6E}"/>
    <cellStyle name="Normal 2 4 2 4 4 2 4" xfId="30639" xr:uid="{370B8921-0D81-49EE-847A-26688BEF26FD}"/>
    <cellStyle name="Normal 2 4 2 4 4 3" xfId="8195" xr:uid="{AEEBF44C-7F77-49E7-BEE6-3728D6362A99}"/>
    <cellStyle name="Normal 2 4 2 4 4 3 2" xfId="20877" xr:uid="{1B3529D6-B7DD-486D-BEF7-69494B55F1D3}"/>
    <cellStyle name="Normal 2 4 2 4 4 3 2 2" xfId="46369" xr:uid="{D6BE7D51-F54C-49BA-9FF5-19DA50F4C27E}"/>
    <cellStyle name="Normal 2 4 2 4 4 3 3" xfId="33778" xr:uid="{9D508EE6-561D-42BE-99E6-709842DD9AD1}"/>
    <cellStyle name="Normal 2 4 2 4 4 4" xfId="14599" xr:uid="{6E7E96F6-36D8-493B-83A8-F19DBDC76E3A}"/>
    <cellStyle name="Normal 2 4 2 4 4 4 2" xfId="40091" xr:uid="{C4DF9652-08A5-4151-8173-640D5FACE066}"/>
    <cellStyle name="Normal 2 4 2 4 4 5" xfId="27500" xr:uid="{CE0DCA97-08FD-4289-A49A-152DDA07F056}"/>
    <cellStyle name="Normal 2 4 2 4 5" xfId="1365" xr:uid="{B4007252-7163-49A8-9A72-DA21A8EA958E}"/>
    <cellStyle name="Normal 2 4 2 4 5 2" xfId="4519" xr:uid="{FFE1CA13-33E4-46E5-BFA9-7CE0BF64A882}"/>
    <cellStyle name="Normal 2 4 2 4 5 2 2" xfId="10812" xr:uid="{05A8B685-EC6C-477D-B243-64F337E93AF5}"/>
    <cellStyle name="Normal 2 4 2 4 5 2 2 2" xfId="23494" xr:uid="{8874203E-6A3E-4BFD-A321-F30A55B343AE}"/>
    <cellStyle name="Normal 2 4 2 4 5 2 2 2 2" xfId="48986" xr:uid="{B1C79D0F-D16F-41EA-BEE6-F02AFBDDCB54}"/>
    <cellStyle name="Normal 2 4 2 4 5 2 2 3" xfId="36395" xr:uid="{2B0B892F-D76E-4B37-9EDE-9BF1CACE8C43}"/>
    <cellStyle name="Normal 2 4 2 4 5 2 3" xfId="17216" xr:uid="{1B103E10-7F0C-4220-B218-6164774E1873}"/>
    <cellStyle name="Normal 2 4 2 4 5 2 3 2" xfId="42708" xr:uid="{F29F5BCC-B257-4CBE-9B66-94EAFB650556}"/>
    <cellStyle name="Normal 2 4 2 4 5 2 4" xfId="30117" xr:uid="{6FD1AFB2-C77E-4C00-B3B3-1FB0AA1656DB}"/>
    <cellStyle name="Normal 2 4 2 4 5 3" xfId="7673" xr:uid="{959C3608-1794-4E2D-A8D7-5FC0023A483C}"/>
    <cellStyle name="Normal 2 4 2 4 5 3 2" xfId="20355" xr:uid="{33B7660F-A8D5-4C06-8654-3AF0B819CEE4}"/>
    <cellStyle name="Normal 2 4 2 4 5 3 2 2" xfId="45847" xr:uid="{24BE8ACA-A1A8-4C13-B93F-150B6505501E}"/>
    <cellStyle name="Normal 2 4 2 4 5 3 3" xfId="33256" xr:uid="{1369C154-02D1-4C11-9827-7459209F8C24}"/>
    <cellStyle name="Normal 2 4 2 4 5 4" xfId="14077" xr:uid="{AC73B48E-DDE0-4689-A0AB-C43F73ECF058}"/>
    <cellStyle name="Normal 2 4 2 4 5 4 2" xfId="39569" xr:uid="{E546CDB7-EE7D-4D49-B820-528C422F77D0}"/>
    <cellStyle name="Normal 2 4 2 4 5 5" xfId="26978" xr:uid="{0F084E39-FCE4-4CCB-8B69-816AED6BE538}"/>
    <cellStyle name="Normal 2 4 2 4 6" xfId="2672" xr:uid="{D18DC1FE-2068-4DD6-9E42-550C316949B8}"/>
    <cellStyle name="Normal 2 4 2 4 6 2" xfId="5826" xr:uid="{B10663B1-879A-4798-B979-80F98FDDD9E6}"/>
    <cellStyle name="Normal 2 4 2 4 6 2 2" xfId="12119" xr:uid="{995AAC39-FEDF-480B-9AC5-B84DA052128B}"/>
    <cellStyle name="Normal 2 4 2 4 6 2 2 2" xfId="24801" xr:uid="{5FB4BC5D-F6C3-472E-A930-25EF25CFF1C0}"/>
    <cellStyle name="Normal 2 4 2 4 6 2 2 2 2" xfId="50293" xr:uid="{AF04DEA2-4FA3-4FBB-B62B-22744D3A2955}"/>
    <cellStyle name="Normal 2 4 2 4 6 2 2 3" xfId="37702" xr:uid="{4CF4FD99-461A-4221-8573-3BDF0AD8FD62}"/>
    <cellStyle name="Normal 2 4 2 4 6 2 3" xfId="18523" xr:uid="{1311866D-29C2-4451-8105-CF2FC0ADBF33}"/>
    <cellStyle name="Normal 2 4 2 4 6 2 3 2" xfId="44015" xr:uid="{F3D96B15-B98D-46FB-8137-682721B9F350}"/>
    <cellStyle name="Normal 2 4 2 4 6 2 4" xfId="31424" xr:uid="{8FFC192C-7188-4CA2-BAFF-2D5F6AF419F4}"/>
    <cellStyle name="Normal 2 4 2 4 6 3" xfId="8980" xr:uid="{F440C8CC-BD02-4981-8FBC-E6391E3E7978}"/>
    <cellStyle name="Normal 2 4 2 4 6 3 2" xfId="21662" xr:uid="{9EBB4723-0EB0-4A53-A705-2C4D19612183}"/>
    <cellStyle name="Normal 2 4 2 4 6 3 2 2" xfId="47154" xr:uid="{D9BED61E-148F-4450-BE09-E4B45AA3FC03}"/>
    <cellStyle name="Normal 2 4 2 4 6 3 3" xfId="34563" xr:uid="{F1F5B44B-B168-42F8-996B-BE22B620C5EA}"/>
    <cellStyle name="Normal 2 4 2 4 6 4" xfId="15384" xr:uid="{A2644631-8BD2-4BF3-9BD1-1D94AB0CB302}"/>
    <cellStyle name="Normal 2 4 2 4 6 4 2" xfId="40876" xr:uid="{4D1465F0-226C-4DB6-99EF-CFF287FC1CE0}"/>
    <cellStyle name="Normal 2 4 2 4 6 5" xfId="28285" xr:uid="{AC599708-250F-423C-8B27-DD10C1D60CD2}"/>
    <cellStyle name="Normal 2 4 2 4 7" xfId="3195" xr:uid="{CE3387A9-0CB6-4547-AB6F-66CB88B00FA6}"/>
    <cellStyle name="Normal 2 4 2 4 7 2" xfId="6349" xr:uid="{4A3FC4BA-2CD0-42A5-9DF3-CF53B7463A28}"/>
    <cellStyle name="Normal 2 4 2 4 7 2 2" xfId="12642" xr:uid="{88DDB76F-97B4-45C0-AA22-929706890956}"/>
    <cellStyle name="Normal 2 4 2 4 7 2 2 2" xfId="25324" xr:uid="{3CFC0F0C-FB51-4B36-8A89-5E64BDF24C07}"/>
    <cellStyle name="Normal 2 4 2 4 7 2 2 2 2" xfId="50816" xr:uid="{42C0DA8B-FCA9-4C16-B6A9-4191B21CB893}"/>
    <cellStyle name="Normal 2 4 2 4 7 2 2 3" xfId="38225" xr:uid="{249338AD-5BA7-47F7-929A-235BEE5A0A6B}"/>
    <cellStyle name="Normal 2 4 2 4 7 2 3" xfId="19046" xr:uid="{AC23925B-CE9C-4310-9D6A-248B47CC2E14}"/>
    <cellStyle name="Normal 2 4 2 4 7 2 3 2" xfId="44538" xr:uid="{470958E7-9BC9-47FD-BF3A-B8A7BC7AA26F}"/>
    <cellStyle name="Normal 2 4 2 4 7 2 4" xfId="31947" xr:uid="{B2A3739F-3A7F-4B9C-802B-AC4B9A55E476}"/>
    <cellStyle name="Normal 2 4 2 4 7 3" xfId="9503" xr:uid="{A4E32DFA-B389-4574-BC7A-0C8A3E539D66}"/>
    <cellStyle name="Normal 2 4 2 4 7 3 2" xfId="22185" xr:uid="{80F4603D-E87E-438B-B5BC-B54475CD784D}"/>
    <cellStyle name="Normal 2 4 2 4 7 3 2 2" xfId="47677" xr:uid="{76492F81-B095-4567-8D16-286435FA52E5}"/>
    <cellStyle name="Normal 2 4 2 4 7 3 3" xfId="35086" xr:uid="{7E311CDC-CE5B-4DB6-A9AF-D06E0E8D2ACB}"/>
    <cellStyle name="Normal 2 4 2 4 7 4" xfId="15907" xr:uid="{6EA7FFB0-1A2D-4489-B398-618FA8CFBC88}"/>
    <cellStyle name="Normal 2 4 2 4 7 4 2" xfId="41399" xr:uid="{B7B33B9E-95F7-474C-A781-4241FBCF63F7}"/>
    <cellStyle name="Normal 2 4 2 4 7 5" xfId="28808" xr:uid="{C913C8E1-37A5-46D7-8E26-4E15AF0BE17F}"/>
    <cellStyle name="Normal 2 4 2 4 8" xfId="3734" xr:uid="{722BD70F-C6F6-46BF-82A1-20DB1BE248C7}"/>
    <cellStyle name="Normal 2 4 2 4 8 2" xfId="10027" xr:uid="{A7101B65-5374-486B-A86B-31B494BB66FA}"/>
    <cellStyle name="Normal 2 4 2 4 8 2 2" xfId="22709" xr:uid="{A0D94860-765A-4027-9F5B-ABECF222B897}"/>
    <cellStyle name="Normal 2 4 2 4 8 2 2 2" xfId="48201" xr:uid="{1244E96A-B5DB-4559-8F0C-B62A1957C780}"/>
    <cellStyle name="Normal 2 4 2 4 8 2 3" xfId="35610" xr:uid="{F52534CC-B16B-413A-BC94-F87FBF5DCC1F}"/>
    <cellStyle name="Normal 2 4 2 4 8 3" xfId="16431" xr:uid="{127AE6BE-109E-4159-8E8E-9EB3207A9DC5}"/>
    <cellStyle name="Normal 2 4 2 4 8 3 2" xfId="41923" xr:uid="{F2B4D24C-1C3E-4DEE-AF96-AD9FD6E16071}"/>
    <cellStyle name="Normal 2 4 2 4 8 4" xfId="29332" xr:uid="{B26CB315-884B-4CF0-9E5D-7CAB88475625}"/>
    <cellStyle name="Normal 2 4 2 4 9" xfId="6888" xr:uid="{9580435D-ADCD-4A43-BC81-43D061DCD418}"/>
    <cellStyle name="Normal 2 4 2 4 9 2" xfId="19570" xr:uid="{32536E7F-8947-4547-A757-53072BBB1657}"/>
    <cellStyle name="Normal 2 4 2 4 9 2 2" xfId="45062" xr:uid="{8304FECC-E3F5-4D40-B6F2-337209DDD976}"/>
    <cellStyle name="Normal 2 4 2 4 9 3" xfId="32471" xr:uid="{70872429-24A4-4D32-BD92-C7380E40E175}"/>
    <cellStyle name="Normal 2 4 2 5" xfId="982" xr:uid="{E13C56B7-5227-45C8-B8F5-F7D5B00188C1}"/>
    <cellStyle name="Normal 2 4 2 5 2" xfId="2289" xr:uid="{2FED6D79-2436-453A-8143-76D808E02D3F}"/>
    <cellStyle name="Normal 2 4 2 5 2 2" xfId="5443" xr:uid="{BA21C129-04EF-461C-8BD6-9230EAC98F28}"/>
    <cellStyle name="Normal 2 4 2 5 2 2 2" xfId="11736" xr:uid="{D0048B23-DC27-453A-B112-E14DA7FDCA0F}"/>
    <cellStyle name="Normal 2 4 2 5 2 2 2 2" xfId="24418" xr:uid="{A50BCC68-03BA-443E-B61A-784E3EBB53E7}"/>
    <cellStyle name="Normal 2 4 2 5 2 2 2 2 2" xfId="49910" xr:uid="{910E902C-575D-4B29-859E-E25AB7E7E02A}"/>
    <cellStyle name="Normal 2 4 2 5 2 2 2 3" xfId="37319" xr:uid="{7846FD85-0FBC-4782-A3AA-2602F24DE365}"/>
    <cellStyle name="Normal 2 4 2 5 2 2 3" xfId="18140" xr:uid="{638175CB-D98C-44CD-BF2F-2BF4263FA3E2}"/>
    <cellStyle name="Normal 2 4 2 5 2 2 3 2" xfId="43632" xr:uid="{FE46B5D0-3CF4-4AA5-8664-D2426762C4B5}"/>
    <cellStyle name="Normal 2 4 2 5 2 2 4" xfId="31041" xr:uid="{557AC1B0-17AE-498B-8DA2-5E60078E17A4}"/>
    <cellStyle name="Normal 2 4 2 5 2 3" xfId="8597" xr:uid="{533FB091-8B30-4F55-95F0-8064DD9FEF80}"/>
    <cellStyle name="Normal 2 4 2 5 2 3 2" xfId="21279" xr:uid="{5D5EC6F5-2581-4EDE-9DDE-EFB82C9D181D}"/>
    <cellStyle name="Normal 2 4 2 5 2 3 2 2" xfId="46771" xr:uid="{8959971F-844A-4953-B468-3C0CB0FCD4D1}"/>
    <cellStyle name="Normal 2 4 2 5 2 3 3" xfId="34180" xr:uid="{981593CF-72AE-4C69-B36D-73D0D1B1A58E}"/>
    <cellStyle name="Normal 2 4 2 5 2 4" xfId="15001" xr:uid="{EBC5F3D6-66FC-4A8A-A7EA-A268C7706258}"/>
    <cellStyle name="Normal 2 4 2 5 2 4 2" xfId="40493" xr:uid="{ABB26A38-429E-4393-8CF9-DDF84C750463}"/>
    <cellStyle name="Normal 2 4 2 5 2 5" xfId="27902" xr:uid="{14FA3BC3-8B6C-4655-BF59-96C56D940674}"/>
    <cellStyle name="Normal 2 4 2 5 3" xfId="1506" xr:uid="{2A31390F-3724-4F09-B16D-5F568171090F}"/>
    <cellStyle name="Normal 2 4 2 5 3 2" xfId="4660" xr:uid="{11EDADC3-43E6-47EC-B9C1-ABF162B9DE3E}"/>
    <cellStyle name="Normal 2 4 2 5 3 2 2" xfId="10953" xr:uid="{DC909653-AF89-4D0B-A194-B93CD8A2F2CA}"/>
    <cellStyle name="Normal 2 4 2 5 3 2 2 2" xfId="23635" xr:uid="{0D6F2269-FBCE-4ED7-A0DB-DB8258D6DDC2}"/>
    <cellStyle name="Normal 2 4 2 5 3 2 2 2 2" xfId="49127" xr:uid="{E4F44BFF-CE55-49D9-8585-CFE716F3A142}"/>
    <cellStyle name="Normal 2 4 2 5 3 2 2 3" xfId="36536" xr:uid="{093FF8DA-D5E8-4044-9711-2640EE07491D}"/>
    <cellStyle name="Normal 2 4 2 5 3 2 3" xfId="17357" xr:uid="{D28DFAFD-8452-4004-BB67-EEF81A9D02EF}"/>
    <cellStyle name="Normal 2 4 2 5 3 2 3 2" xfId="42849" xr:uid="{E27B1FAB-7970-451C-BB6E-CF73BB36CC72}"/>
    <cellStyle name="Normal 2 4 2 5 3 2 4" xfId="30258" xr:uid="{9831519D-0AC0-4A3D-B5D3-F39165B1257E}"/>
    <cellStyle name="Normal 2 4 2 5 3 3" xfId="7814" xr:uid="{B8FE4B5F-BF00-4A6F-A9A8-566DA078A1FA}"/>
    <cellStyle name="Normal 2 4 2 5 3 3 2" xfId="20496" xr:uid="{F7C35646-A6BF-496A-B95F-E65A9313FB5D}"/>
    <cellStyle name="Normal 2 4 2 5 3 3 2 2" xfId="45988" xr:uid="{B15C0289-D5E8-4756-9537-A2316F3C1092}"/>
    <cellStyle name="Normal 2 4 2 5 3 3 3" xfId="33397" xr:uid="{915EB59C-36AA-4E26-98F4-A84B9A3F0038}"/>
    <cellStyle name="Normal 2 4 2 5 3 4" xfId="14218" xr:uid="{1968B165-D1CB-4E0C-A844-BF33F998FD73}"/>
    <cellStyle name="Normal 2 4 2 5 3 4 2" xfId="39710" xr:uid="{F76256F8-C6D5-4867-A173-011B5ADACD73}"/>
    <cellStyle name="Normal 2 4 2 5 3 5" xfId="27119" xr:uid="{EDFA3391-CEAB-40A5-A5D9-2696835F4C40}"/>
    <cellStyle name="Normal 2 4 2 5 4" xfId="2813" xr:uid="{863C5F32-CF3A-42BE-9FD1-04718E2F0827}"/>
    <cellStyle name="Normal 2 4 2 5 4 2" xfId="5967" xr:uid="{1E03315B-35FD-4D7F-B067-87AD2ED3600B}"/>
    <cellStyle name="Normal 2 4 2 5 4 2 2" xfId="12260" xr:uid="{39B43AC6-A16C-4AF7-BDF8-BE293C205C71}"/>
    <cellStyle name="Normal 2 4 2 5 4 2 2 2" xfId="24942" xr:uid="{B90A7661-BEE4-4E70-8DEA-FAE86B0D9332}"/>
    <cellStyle name="Normal 2 4 2 5 4 2 2 2 2" xfId="50434" xr:uid="{D3E4B4B1-7C9D-45C5-8D2C-6B1C24502BC1}"/>
    <cellStyle name="Normal 2 4 2 5 4 2 2 3" xfId="37843" xr:uid="{2E8E2C0B-7497-4C87-804D-0434048F8222}"/>
    <cellStyle name="Normal 2 4 2 5 4 2 3" xfId="18664" xr:uid="{27C9663A-F404-4CB2-B107-274C84D52E42}"/>
    <cellStyle name="Normal 2 4 2 5 4 2 3 2" xfId="44156" xr:uid="{9670ED9C-099B-4487-9C00-5AB3D14C0B73}"/>
    <cellStyle name="Normal 2 4 2 5 4 2 4" xfId="31565" xr:uid="{65A2163C-6BDF-4703-B19C-D46ADAC8C85D}"/>
    <cellStyle name="Normal 2 4 2 5 4 3" xfId="9121" xr:uid="{AD905A1A-F28F-4620-8BA8-251B319B67A6}"/>
    <cellStyle name="Normal 2 4 2 5 4 3 2" xfId="21803" xr:uid="{730F8CE5-9B5B-4078-8F78-54D419F86296}"/>
    <cellStyle name="Normal 2 4 2 5 4 3 2 2" xfId="47295" xr:uid="{61802DD6-B5A2-4FAD-B51E-5C6ED5DA544C}"/>
    <cellStyle name="Normal 2 4 2 5 4 3 3" xfId="34704" xr:uid="{1757EA72-2464-4C50-B375-2F07FB617EBF}"/>
    <cellStyle name="Normal 2 4 2 5 4 4" xfId="15525" xr:uid="{531D6E47-AC76-4F01-9AAA-B636D3682A87}"/>
    <cellStyle name="Normal 2 4 2 5 4 4 2" xfId="41017" xr:uid="{8A514CA8-2E42-4D39-B87F-39C19AB1377A}"/>
    <cellStyle name="Normal 2 4 2 5 4 5" xfId="28426" xr:uid="{CFD39271-AF3A-44E7-9C8B-1571C29655FC}"/>
    <cellStyle name="Normal 2 4 2 5 5" xfId="3336" xr:uid="{52D412ED-B552-4978-B0C7-7B3C76E896BF}"/>
    <cellStyle name="Normal 2 4 2 5 5 2" xfId="6490" xr:uid="{DF8894D4-F608-4014-8165-09AF24B057F6}"/>
    <cellStyle name="Normal 2 4 2 5 5 2 2" xfId="12783" xr:uid="{77257D7C-C41C-43FE-B9E7-875BE93A7B59}"/>
    <cellStyle name="Normal 2 4 2 5 5 2 2 2" xfId="25465" xr:uid="{7D56F272-6C14-4728-A961-39352F734583}"/>
    <cellStyle name="Normal 2 4 2 5 5 2 2 2 2" xfId="50957" xr:uid="{36595E2B-12DA-4CF3-800D-1108B67C90D9}"/>
    <cellStyle name="Normal 2 4 2 5 5 2 2 3" xfId="38366" xr:uid="{17B61F92-CB62-43A9-90E2-39EEF1FA8E3D}"/>
    <cellStyle name="Normal 2 4 2 5 5 2 3" xfId="19187" xr:uid="{49D5DD06-1862-4DAF-AD35-8B840230CDF5}"/>
    <cellStyle name="Normal 2 4 2 5 5 2 3 2" xfId="44679" xr:uid="{5DDBE5CA-267A-492E-8389-D1F844765612}"/>
    <cellStyle name="Normal 2 4 2 5 5 2 4" xfId="32088" xr:uid="{12DA8F3B-6E4E-46E5-910F-AC06F1C5633A}"/>
    <cellStyle name="Normal 2 4 2 5 5 3" xfId="9644" xr:uid="{B1775F21-71DF-440B-A270-079569B0F68B}"/>
    <cellStyle name="Normal 2 4 2 5 5 3 2" xfId="22326" xr:uid="{3F9237E4-B8B4-4B03-BEA1-AC92A0B7712E}"/>
    <cellStyle name="Normal 2 4 2 5 5 3 2 2" xfId="47818" xr:uid="{D4AE44D5-261A-4F94-AFDF-4C01916C0D26}"/>
    <cellStyle name="Normal 2 4 2 5 5 3 3" xfId="35227" xr:uid="{29AB469E-7159-4A05-8D27-42F2349DB0E9}"/>
    <cellStyle name="Normal 2 4 2 5 5 4" xfId="16048" xr:uid="{0C8443E1-A1EB-4769-81D3-8AAE8D1C0BEC}"/>
    <cellStyle name="Normal 2 4 2 5 5 4 2" xfId="41540" xr:uid="{94103CD6-2C0B-45D0-A24A-A7AA362A0668}"/>
    <cellStyle name="Normal 2 4 2 5 5 5" xfId="28949" xr:uid="{E5BB8242-8C43-491E-B76A-31B1257C8DB4}"/>
    <cellStyle name="Normal 2 4 2 5 6" xfId="4136" xr:uid="{5D64B138-D83F-4C36-B319-E1C7D105737B}"/>
    <cellStyle name="Normal 2 4 2 5 6 2" xfId="10429" xr:uid="{2111E8D6-E97F-4B85-8A0C-D742F0D54CE7}"/>
    <cellStyle name="Normal 2 4 2 5 6 2 2" xfId="23111" xr:uid="{772B26AF-F1CE-4E33-B348-726D4168BD12}"/>
    <cellStyle name="Normal 2 4 2 5 6 2 2 2" xfId="48603" xr:uid="{10DB46F0-F63C-48E0-AE9A-829FE9002D44}"/>
    <cellStyle name="Normal 2 4 2 5 6 2 3" xfId="36012" xr:uid="{FBC4D064-4FAE-46EE-A48A-ED92C0EF43EB}"/>
    <cellStyle name="Normal 2 4 2 5 6 3" xfId="16833" xr:uid="{C1D7CF02-2750-453F-B487-DCF994D52B67}"/>
    <cellStyle name="Normal 2 4 2 5 6 3 2" xfId="42325" xr:uid="{2815D7BF-0FC1-4AFA-A186-C047A766B40B}"/>
    <cellStyle name="Normal 2 4 2 5 6 4" xfId="29734" xr:uid="{ED7F1E54-78D5-45EF-B34A-F9463C203988}"/>
    <cellStyle name="Normal 2 4 2 5 7" xfId="7290" xr:uid="{3FA4FF3E-D24D-430D-B6B9-9BE40B193DCB}"/>
    <cellStyle name="Normal 2 4 2 5 7 2" xfId="19972" xr:uid="{0F87A9A8-22CF-46D5-A37B-5016C2B8F847}"/>
    <cellStyle name="Normal 2 4 2 5 7 2 2" xfId="45464" xr:uid="{2C828DF4-DCE3-46BB-A014-BF88726C250B}"/>
    <cellStyle name="Normal 2 4 2 5 7 3" xfId="32873" xr:uid="{B310E8ED-4F1F-4E46-813B-7866C3564900}"/>
    <cellStyle name="Normal 2 4 2 5 8" xfId="13694" xr:uid="{87FA689D-B977-41A5-AF30-A3B6D1110BE6}"/>
    <cellStyle name="Normal 2 4 2 5 8 2" xfId="39186" xr:uid="{9FEEC851-9587-4155-8BC5-D3DA6A6E1BC0}"/>
    <cellStyle name="Normal 2 4 2 5 9" xfId="26595" xr:uid="{95777919-D769-48FF-B25C-631E91109A96}"/>
    <cellStyle name="Normal 2 4 2 6" xfId="722" xr:uid="{A1E80DC2-A208-4A5C-A8FF-E94C934B28FB}"/>
    <cellStyle name="Normal 2 4 2 6 2" xfId="2029" xr:uid="{4DEF6919-01E2-451D-9A61-E3DA88DA4673}"/>
    <cellStyle name="Normal 2 4 2 6 2 2" xfId="5183" xr:uid="{1467652D-DC1F-4124-A95F-9FC739AC5397}"/>
    <cellStyle name="Normal 2 4 2 6 2 2 2" xfId="11476" xr:uid="{E71999D5-AE9F-490C-87E7-A1D737C6130F}"/>
    <cellStyle name="Normal 2 4 2 6 2 2 2 2" xfId="24158" xr:uid="{AB384989-2F6E-4D92-8DE7-F2D4F0BB468A}"/>
    <cellStyle name="Normal 2 4 2 6 2 2 2 2 2" xfId="49650" xr:uid="{EBE08448-4016-4B4F-8492-393507609557}"/>
    <cellStyle name="Normal 2 4 2 6 2 2 2 3" xfId="37059" xr:uid="{801EBC71-9536-49EF-BD66-21B00B50D001}"/>
    <cellStyle name="Normal 2 4 2 6 2 2 3" xfId="17880" xr:uid="{EEB5E0AC-2462-470C-96C3-3F31649854DE}"/>
    <cellStyle name="Normal 2 4 2 6 2 2 3 2" xfId="43372" xr:uid="{085ACE6B-C101-4645-9786-C73D0097E2E5}"/>
    <cellStyle name="Normal 2 4 2 6 2 2 4" xfId="30781" xr:uid="{3FA80727-1117-4207-9E2D-B33938051F12}"/>
    <cellStyle name="Normal 2 4 2 6 2 3" xfId="8337" xr:uid="{64249F11-30DB-41C9-AC7D-C7DC902B020B}"/>
    <cellStyle name="Normal 2 4 2 6 2 3 2" xfId="21019" xr:uid="{98912BA7-B410-4F0E-9037-0468C121987F}"/>
    <cellStyle name="Normal 2 4 2 6 2 3 2 2" xfId="46511" xr:uid="{A23DD0D2-CA06-4A55-8D82-D277541C3CEB}"/>
    <cellStyle name="Normal 2 4 2 6 2 3 3" xfId="33920" xr:uid="{A0E7D49E-C072-4764-98C8-E9A13A597C4D}"/>
    <cellStyle name="Normal 2 4 2 6 2 4" xfId="14741" xr:uid="{7B95FDF5-14A7-4D6B-8466-93487E6A73A0}"/>
    <cellStyle name="Normal 2 4 2 6 2 4 2" xfId="40233" xr:uid="{C994BE0D-3268-442E-AA99-D29B37CFF07E}"/>
    <cellStyle name="Normal 2 4 2 6 2 5" xfId="27642" xr:uid="{8FC254BC-D7C7-4665-AA18-BF22B6B297BF}"/>
    <cellStyle name="Normal 2 4 2 6 3" xfId="3876" xr:uid="{FEB3AE6D-D789-40F0-9A80-94FFCF880F53}"/>
    <cellStyle name="Normal 2 4 2 6 3 2" xfId="10169" xr:uid="{064C1AE9-5CC6-483E-B54F-028C6F7530E7}"/>
    <cellStyle name="Normal 2 4 2 6 3 2 2" xfId="22851" xr:uid="{D24CEA9D-9483-4917-9D1E-60E0F161E7C4}"/>
    <cellStyle name="Normal 2 4 2 6 3 2 2 2" xfId="48343" xr:uid="{44798D2F-01BC-4BBD-B045-B1B0F346ACCE}"/>
    <cellStyle name="Normal 2 4 2 6 3 2 3" xfId="35752" xr:uid="{B0301A2E-F14E-4F3D-AF37-58E8072AD49A}"/>
    <cellStyle name="Normal 2 4 2 6 3 3" xfId="16573" xr:uid="{265ADE4D-E302-4CC1-BE09-B61C35BFC552}"/>
    <cellStyle name="Normal 2 4 2 6 3 3 2" xfId="42065" xr:uid="{39E7EE16-B9A2-41AB-893D-BC4CF3F02261}"/>
    <cellStyle name="Normal 2 4 2 6 3 4" xfId="29474" xr:uid="{0F1CBC90-D935-447A-8E44-EF21E4A49628}"/>
    <cellStyle name="Normal 2 4 2 6 4" xfId="7030" xr:uid="{FAC52ACA-7311-4691-880B-48D282DD45DC}"/>
    <cellStyle name="Normal 2 4 2 6 4 2" xfId="19712" xr:uid="{5E52266B-0845-4870-B242-80D0ACAAE55D}"/>
    <cellStyle name="Normal 2 4 2 6 4 2 2" xfId="45204" xr:uid="{B2B5A8EA-91CD-4A7E-9F5F-C24FF4D07BD2}"/>
    <cellStyle name="Normal 2 4 2 6 4 3" xfId="32613" xr:uid="{B5BD15D2-709D-4EB1-8A45-5D66F902F039}"/>
    <cellStyle name="Normal 2 4 2 6 5" xfId="13434" xr:uid="{43D76F21-B4E1-45B8-8F1A-5D3E01B01E42}"/>
    <cellStyle name="Normal 2 4 2 6 5 2" xfId="38926" xr:uid="{EC600D72-4F3D-4BC9-86FF-E33CA468E3A2}"/>
    <cellStyle name="Normal 2 4 2 6 6" xfId="26335" xr:uid="{9FA362BB-CB2D-4CD0-A9E8-7FDE7A0340C9}"/>
    <cellStyle name="Normal 2 4 2 7" xfId="1767" xr:uid="{80BEBCFF-3A9F-49B8-88D5-5442D13355FA}"/>
    <cellStyle name="Normal 2 4 2 7 2" xfId="4921" xr:uid="{1ED16AB2-3E9E-48B3-AD80-A8FF8717DF67}"/>
    <cellStyle name="Normal 2 4 2 7 2 2" xfId="11214" xr:uid="{33E82DEE-588D-45E1-B871-2430DA3D43CD}"/>
    <cellStyle name="Normal 2 4 2 7 2 2 2" xfId="23896" xr:uid="{81F4BFF3-9A0B-4F1E-B899-57FD16A3E8AE}"/>
    <cellStyle name="Normal 2 4 2 7 2 2 2 2" xfId="49388" xr:uid="{650F7EDF-81A8-457E-A83C-5DE6D5EE3D77}"/>
    <cellStyle name="Normal 2 4 2 7 2 2 3" xfId="36797" xr:uid="{592B908C-EA39-4FD8-BAE2-811A087DAA18}"/>
    <cellStyle name="Normal 2 4 2 7 2 3" xfId="17618" xr:uid="{8B733F7A-8C76-46EB-9134-D2022A96C7FD}"/>
    <cellStyle name="Normal 2 4 2 7 2 3 2" xfId="43110" xr:uid="{F13C5CC9-1955-4E7E-905F-36A9B8640306}"/>
    <cellStyle name="Normal 2 4 2 7 2 4" xfId="30519" xr:uid="{86208C20-82BA-4381-984C-2FFAAC0245BC}"/>
    <cellStyle name="Normal 2 4 2 7 3" xfId="8075" xr:uid="{F6C484D2-F435-49F9-8A8B-FE55B8B42AC7}"/>
    <cellStyle name="Normal 2 4 2 7 3 2" xfId="20757" xr:uid="{535B04D3-0133-42EB-8241-4E5AA64CBBA7}"/>
    <cellStyle name="Normal 2 4 2 7 3 2 2" xfId="46249" xr:uid="{49874BC0-C2A1-4310-8D85-ECD670560835}"/>
    <cellStyle name="Normal 2 4 2 7 3 3" xfId="33658" xr:uid="{260E4A86-7F58-4EB9-8B62-E786EDBD88CB}"/>
    <cellStyle name="Normal 2 4 2 7 4" xfId="14479" xr:uid="{B545400A-A6FF-4050-8C6D-2682D9BBD803}"/>
    <cellStyle name="Normal 2 4 2 7 4 2" xfId="39971" xr:uid="{36F18785-0146-4F68-BC38-1A5845B72ACD}"/>
    <cellStyle name="Normal 2 4 2 7 5" xfId="27380" xr:uid="{7573F1EE-F018-4107-8C49-0DB99BD3E926}"/>
    <cellStyle name="Normal 2 4 2 8" xfId="1245" xr:uid="{85398541-60FD-4E55-8C85-EF0480B93404}"/>
    <cellStyle name="Normal 2 4 2 8 2" xfId="4399" xr:uid="{AE2D5F24-C6C6-478F-A6A0-EEB4C5D2C4CB}"/>
    <cellStyle name="Normal 2 4 2 8 2 2" xfId="10692" xr:uid="{889B7C55-BDE0-4247-B5CF-63A340232CEF}"/>
    <cellStyle name="Normal 2 4 2 8 2 2 2" xfId="23374" xr:uid="{0BA38BBE-B14B-4288-98E6-7C346D70F977}"/>
    <cellStyle name="Normal 2 4 2 8 2 2 2 2" xfId="48866" xr:uid="{A98EF65F-60AA-466A-A5FB-1CFB52526646}"/>
    <cellStyle name="Normal 2 4 2 8 2 2 3" xfId="36275" xr:uid="{8D7C9B4C-3007-4775-BA41-ED7CFCF4F0C8}"/>
    <cellStyle name="Normal 2 4 2 8 2 3" xfId="17096" xr:uid="{2F656008-0576-47E5-9B55-BF2449968C34}"/>
    <cellStyle name="Normal 2 4 2 8 2 3 2" xfId="42588" xr:uid="{C6CDC56D-88E6-4178-B7F0-71D51538B670}"/>
    <cellStyle name="Normal 2 4 2 8 2 4" xfId="29997" xr:uid="{558CA97E-5455-4D2F-AF1B-BE38248226D2}"/>
    <cellStyle name="Normal 2 4 2 8 3" xfId="7553" xr:uid="{15811F1A-325B-42E2-9037-BE3492A37388}"/>
    <cellStyle name="Normal 2 4 2 8 3 2" xfId="20235" xr:uid="{DB8B861E-F8D4-4CDF-886C-5D971BB2A1EB}"/>
    <cellStyle name="Normal 2 4 2 8 3 2 2" xfId="45727" xr:uid="{F56A1D41-6B28-45BB-A563-BC32774173C8}"/>
    <cellStyle name="Normal 2 4 2 8 3 3" xfId="33136" xr:uid="{185D4D28-63E6-409E-AD40-C35F4FA702BC}"/>
    <cellStyle name="Normal 2 4 2 8 4" xfId="13957" xr:uid="{81E05290-2B7D-4D9D-8311-2ABFBE614884}"/>
    <cellStyle name="Normal 2 4 2 8 4 2" xfId="39449" xr:uid="{01086B0A-9C1B-4AEC-8FAA-D6EE7AB811FF}"/>
    <cellStyle name="Normal 2 4 2 8 5" xfId="26858" xr:uid="{81041AAF-AB8B-49FE-ADC8-1F479F1182A0}"/>
    <cellStyle name="Normal 2 4 2 9" xfId="2552" xr:uid="{8E53AD43-D269-4C39-98F2-9D256041091C}"/>
    <cellStyle name="Normal 2 4 2 9 2" xfId="5706" xr:uid="{8840C9A6-5C41-4DD1-8B73-41F374C5FBE2}"/>
    <cellStyle name="Normal 2 4 2 9 2 2" xfId="11999" xr:uid="{E5DABC04-1B35-4D6E-8825-61FD748178B4}"/>
    <cellStyle name="Normal 2 4 2 9 2 2 2" xfId="24681" xr:uid="{F3478A07-B67E-4F0C-8914-D95249076B5D}"/>
    <cellStyle name="Normal 2 4 2 9 2 2 2 2" xfId="50173" xr:uid="{99CB3A8B-7443-4F36-A85D-5C29DC1D5D1E}"/>
    <cellStyle name="Normal 2 4 2 9 2 2 3" xfId="37582" xr:uid="{84B74105-D432-4946-B468-AE2E3A94B0DF}"/>
    <cellStyle name="Normal 2 4 2 9 2 3" xfId="18403" xr:uid="{0ECA2EEF-5F4C-47C4-A3B3-213349B9F9BC}"/>
    <cellStyle name="Normal 2 4 2 9 2 3 2" xfId="43895" xr:uid="{FF04D339-2763-48D9-ACA6-6F24D49199B3}"/>
    <cellStyle name="Normal 2 4 2 9 2 4" xfId="31304" xr:uid="{83194F8B-B79C-43EB-8C50-55B176B54FC7}"/>
    <cellStyle name="Normal 2 4 2 9 3" xfId="8860" xr:uid="{0F8319E6-63B1-4728-8FFD-B3CEEA9E3D84}"/>
    <cellStyle name="Normal 2 4 2 9 3 2" xfId="21542" xr:uid="{127826AD-48AA-4404-AFDD-F23939494687}"/>
    <cellStyle name="Normal 2 4 2 9 3 2 2" xfId="47034" xr:uid="{A2F3D998-4EFA-42A2-9E0D-F7BB9EDC9045}"/>
    <cellStyle name="Normal 2 4 2 9 3 3" xfId="34443" xr:uid="{0762F630-8D73-4E2D-BEED-FF0054A54B26}"/>
    <cellStyle name="Normal 2 4 2 9 4" xfId="15264" xr:uid="{8BE6C187-9044-4F02-8B9C-35D0E78E4FED}"/>
    <cellStyle name="Normal 2 4 2 9 4 2" xfId="40756" xr:uid="{BA84FCDE-D33B-47DC-A72E-6A30407E972E}"/>
    <cellStyle name="Normal 2 4 2 9 5" xfId="28165" xr:uid="{617AF543-0482-4D0D-8415-6E61289E1F15}"/>
    <cellStyle name="Normal 2 4 3" xfId="486" xr:uid="{A178F3C3-B92C-4CB4-B874-857E1DBC20CE}"/>
    <cellStyle name="Normal 2 4 3 10" xfId="3655" xr:uid="{0085ADB6-DB5A-4D8D-8ACB-1287F9CB01FD}"/>
    <cellStyle name="Normal 2 4 3 10 2" xfId="9948" xr:uid="{38E375AB-6E3B-4E55-9B04-AF28E454B2F1}"/>
    <cellStyle name="Normal 2 4 3 10 2 2" xfId="22630" xr:uid="{03AA2949-5D3D-4504-BE64-1D2828084C57}"/>
    <cellStyle name="Normal 2 4 3 10 2 2 2" xfId="48122" xr:uid="{AB567922-1331-4AE7-9898-F9215598C604}"/>
    <cellStyle name="Normal 2 4 3 10 2 3" xfId="35531" xr:uid="{E316B7E8-E590-4CF4-8559-164299639009}"/>
    <cellStyle name="Normal 2 4 3 10 3" xfId="16352" xr:uid="{AC9B62CD-4FC8-49A7-9A50-DABC124FE76E}"/>
    <cellStyle name="Normal 2 4 3 10 3 2" xfId="41844" xr:uid="{9931B6F9-17D8-4052-8A6D-C9E910D332AB}"/>
    <cellStyle name="Normal 2 4 3 10 4" xfId="29253" xr:uid="{6B1129D5-BCD1-4165-AA26-1F08A8E71AF8}"/>
    <cellStyle name="Normal 2 4 3 11" xfId="6809" xr:uid="{283FCAE8-F0EC-45FB-8222-5946FC374D2B}"/>
    <cellStyle name="Normal 2 4 3 11 2" xfId="19491" xr:uid="{29EE7912-2A05-40D1-8779-8C325A5ED781}"/>
    <cellStyle name="Normal 2 4 3 11 2 2" xfId="44983" xr:uid="{9B20069C-1316-4CFB-AD06-3D4AB6665868}"/>
    <cellStyle name="Normal 2 4 3 11 3" xfId="32392" xr:uid="{210C1941-346B-413E-B46F-AD41230C06B0}"/>
    <cellStyle name="Normal 2 4 3 12" xfId="13213" xr:uid="{A31A2962-F31A-493C-BDC3-46999936620A}"/>
    <cellStyle name="Normal 2 4 3 12 2" xfId="38705" xr:uid="{4141A485-4D34-4C8D-87FE-F8456646E292}"/>
    <cellStyle name="Normal 2 4 3 13" xfId="26114" xr:uid="{3347424F-3287-4ECB-A085-7EFA4A446D70}"/>
    <cellStyle name="Normal 2 4 3 2" xfId="645" xr:uid="{E4AC7492-358F-4BA1-AD6F-B101C297DC5F}"/>
    <cellStyle name="Normal 2 4 3 2 10" xfId="13372" xr:uid="{00B8A26A-33F2-4B77-8E68-526FDAD6E807}"/>
    <cellStyle name="Normal 2 4 3 2 10 2" xfId="38864" xr:uid="{1E440D15-BB85-4828-9398-485FCC7B0854}"/>
    <cellStyle name="Normal 2 4 3 2 11" xfId="26273" xr:uid="{B9FC5543-89E6-452D-93B5-EB05FAA89E15}"/>
    <cellStyle name="Normal 2 4 3 2 2" xfId="1182" xr:uid="{9BD8E7B4-6551-4E85-9F63-3CCADC6E7F63}"/>
    <cellStyle name="Normal 2 4 3 2 2 2" xfId="2489" xr:uid="{260C6833-EEB7-463B-B0AE-D59C7F34BD83}"/>
    <cellStyle name="Normal 2 4 3 2 2 2 2" xfId="5643" xr:uid="{A800997C-C7FE-4831-9B3A-6CCC57ED8E3A}"/>
    <cellStyle name="Normal 2 4 3 2 2 2 2 2" xfId="11936" xr:uid="{191FE246-9658-4C52-AAC9-308926AC0A13}"/>
    <cellStyle name="Normal 2 4 3 2 2 2 2 2 2" xfId="24618" xr:uid="{F763E9A2-4BDC-45E9-9947-17A8853E7721}"/>
    <cellStyle name="Normal 2 4 3 2 2 2 2 2 2 2" xfId="50110" xr:uid="{9A90CF20-267D-48C6-9ED1-0F1D32696014}"/>
    <cellStyle name="Normal 2 4 3 2 2 2 2 2 3" xfId="37519" xr:uid="{783DE39C-4A27-4F61-BB0B-9D4D53554870}"/>
    <cellStyle name="Normal 2 4 3 2 2 2 2 3" xfId="18340" xr:uid="{042F2AFF-B93E-4A02-BE78-CD2896EAE3D9}"/>
    <cellStyle name="Normal 2 4 3 2 2 2 2 3 2" xfId="43832" xr:uid="{2F40FB02-DA5E-44EC-96E6-74A5CC5A47B2}"/>
    <cellStyle name="Normal 2 4 3 2 2 2 2 4" xfId="31241" xr:uid="{7F163BA1-C5DD-4EE4-A209-B20732AC856F}"/>
    <cellStyle name="Normal 2 4 3 2 2 2 3" xfId="8797" xr:uid="{ED30F02B-3FE4-4022-8F6C-960B2C0F02EF}"/>
    <cellStyle name="Normal 2 4 3 2 2 2 3 2" xfId="21479" xr:uid="{FF1117BE-6819-4614-9CF2-FBAD30AF6F72}"/>
    <cellStyle name="Normal 2 4 3 2 2 2 3 2 2" xfId="46971" xr:uid="{1768810D-858D-4AF4-A69B-18C9EC779220}"/>
    <cellStyle name="Normal 2 4 3 2 2 2 3 3" xfId="34380" xr:uid="{A4065870-E99E-43ED-A155-60F2D8D4D260}"/>
    <cellStyle name="Normal 2 4 3 2 2 2 4" xfId="15201" xr:uid="{6B237FB3-054F-40AC-AC4B-D6054671ADA4}"/>
    <cellStyle name="Normal 2 4 3 2 2 2 4 2" xfId="40693" xr:uid="{02D576B1-141C-4894-A11E-1260C068E092}"/>
    <cellStyle name="Normal 2 4 3 2 2 2 5" xfId="28102" xr:uid="{624DC1A3-2B4C-47D8-9A8E-77B4CC7CD51A}"/>
    <cellStyle name="Normal 2 4 3 2 2 3" xfId="1706" xr:uid="{14416AE7-9952-430C-89D9-D5D4AF6822CD}"/>
    <cellStyle name="Normal 2 4 3 2 2 3 2" xfId="4860" xr:uid="{218503CA-D3CD-4428-96F0-8721DBAE3297}"/>
    <cellStyle name="Normal 2 4 3 2 2 3 2 2" xfId="11153" xr:uid="{65045F47-2792-49FC-8176-E2C74A9323D5}"/>
    <cellStyle name="Normal 2 4 3 2 2 3 2 2 2" xfId="23835" xr:uid="{AE201504-B8AA-4831-A1DD-10732578510A}"/>
    <cellStyle name="Normal 2 4 3 2 2 3 2 2 2 2" xfId="49327" xr:uid="{5B5A395D-1070-483F-BE5F-EC4BD5B73863}"/>
    <cellStyle name="Normal 2 4 3 2 2 3 2 2 3" xfId="36736" xr:uid="{7B5E1D04-AE27-4E69-909C-762C1233F076}"/>
    <cellStyle name="Normal 2 4 3 2 2 3 2 3" xfId="17557" xr:uid="{47DDB00E-F16D-4079-BFEB-587D6844ABE5}"/>
    <cellStyle name="Normal 2 4 3 2 2 3 2 3 2" xfId="43049" xr:uid="{43470A6C-EB18-4677-BA5B-F325E89E3C1A}"/>
    <cellStyle name="Normal 2 4 3 2 2 3 2 4" xfId="30458" xr:uid="{A80DE0C7-3ADF-44EE-BCDD-F510E9909B82}"/>
    <cellStyle name="Normal 2 4 3 2 2 3 3" xfId="8014" xr:uid="{AB2F43FF-DF8A-4917-9525-6880B037CF56}"/>
    <cellStyle name="Normal 2 4 3 2 2 3 3 2" xfId="20696" xr:uid="{AD2CD2AD-A956-4104-88B4-ACEC1148BDED}"/>
    <cellStyle name="Normal 2 4 3 2 2 3 3 2 2" xfId="46188" xr:uid="{442BE28D-2940-462C-82D7-30D5B46373A6}"/>
    <cellStyle name="Normal 2 4 3 2 2 3 3 3" xfId="33597" xr:uid="{8F26ACD1-99B1-4122-9C14-EDA213F388F4}"/>
    <cellStyle name="Normal 2 4 3 2 2 3 4" xfId="14418" xr:uid="{4DE63960-D5BF-45DC-A44E-FBBCE14476F6}"/>
    <cellStyle name="Normal 2 4 3 2 2 3 4 2" xfId="39910" xr:uid="{69F9B794-955E-47B0-A63D-85CCDA63FF42}"/>
    <cellStyle name="Normal 2 4 3 2 2 3 5" xfId="27319" xr:uid="{AF05ED87-45AC-4D8C-B0E0-7E5D60D92AF2}"/>
    <cellStyle name="Normal 2 4 3 2 2 4" xfId="3013" xr:uid="{8C850334-70D0-49C6-A6AC-C0869BF36B7A}"/>
    <cellStyle name="Normal 2 4 3 2 2 4 2" xfId="6167" xr:uid="{2D5B4CD1-BFD8-4B65-B010-E9A0AE001DD1}"/>
    <cellStyle name="Normal 2 4 3 2 2 4 2 2" xfId="12460" xr:uid="{8707ECFA-8B5C-4D42-BFA2-5C9447D65776}"/>
    <cellStyle name="Normal 2 4 3 2 2 4 2 2 2" xfId="25142" xr:uid="{1463F9E4-14C4-43B5-B05F-5C58EBB4CBA7}"/>
    <cellStyle name="Normal 2 4 3 2 2 4 2 2 2 2" xfId="50634" xr:uid="{83D02B4D-FC28-40FC-81BA-E39D6E10796D}"/>
    <cellStyle name="Normal 2 4 3 2 2 4 2 2 3" xfId="38043" xr:uid="{64F5AC3E-4B3A-4B8B-98DD-FDA5DA9A28A7}"/>
    <cellStyle name="Normal 2 4 3 2 2 4 2 3" xfId="18864" xr:uid="{C8E5B333-FB56-4423-B3C1-3537B489B9B3}"/>
    <cellStyle name="Normal 2 4 3 2 2 4 2 3 2" xfId="44356" xr:uid="{CA6192A4-6785-427D-B488-381A0E56B262}"/>
    <cellStyle name="Normal 2 4 3 2 2 4 2 4" xfId="31765" xr:uid="{9E2FABAA-5348-40F8-9BED-EB9C53D687FB}"/>
    <cellStyle name="Normal 2 4 3 2 2 4 3" xfId="9321" xr:uid="{62F133B0-C36F-4223-BC84-101F12EB3243}"/>
    <cellStyle name="Normal 2 4 3 2 2 4 3 2" xfId="22003" xr:uid="{B0BD236C-0B98-42FF-90B6-26483B32B6FB}"/>
    <cellStyle name="Normal 2 4 3 2 2 4 3 2 2" xfId="47495" xr:uid="{D73EF508-808A-4517-8CC2-27FDB86BD94A}"/>
    <cellStyle name="Normal 2 4 3 2 2 4 3 3" xfId="34904" xr:uid="{00ACA116-C87A-4310-B9C5-87FCF2C6DCA5}"/>
    <cellStyle name="Normal 2 4 3 2 2 4 4" xfId="15725" xr:uid="{C46A1C15-33F2-4749-836E-5905371A84B0}"/>
    <cellStyle name="Normal 2 4 3 2 2 4 4 2" xfId="41217" xr:uid="{C961E1D3-3174-4C4D-8D80-0DD2F77583EB}"/>
    <cellStyle name="Normal 2 4 3 2 2 4 5" xfId="28626" xr:uid="{F0363644-A3F0-4C1D-AF04-650C82B96185}"/>
    <cellStyle name="Normal 2 4 3 2 2 5" xfId="3536" xr:uid="{4AA0E253-11BC-4A05-BF1D-B86735B3E670}"/>
    <cellStyle name="Normal 2 4 3 2 2 5 2" xfId="6690" xr:uid="{2168203D-FE31-4FFB-8746-0E29EE8B1E75}"/>
    <cellStyle name="Normal 2 4 3 2 2 5 2 2" xfId="12983" xr:uid="{B9626225-CC5A-4190-99BA-491EAA3C23A9}"/>
    <cellStyle name="Normal 2 4 3 2 2 5 2 2 2" xfId="25665" xr:uid="{A1FD3056-1DD5-4716-B9A1-4FEB835A0610}"/>
    <cellStyle name="Normal 2 4 3 2 2 5 2 2 2 2" xfId="51157" xr:uid="{16D12B24-B521-464E-8268-D9D64BC2F94A}"/>
    <cellStyle name="Normal 2 4 3 2 2 5 2 2 3" xfId="38566" xr:uid="{50D3CA34-69C7-4A8E-9D1F-60EBEE1B371A}"/>
    <cellStyle name="Normal 2 4 3 2 2 5 2 3" xfId="19387" xr:uid="{B334F703-B6A9-484D-ACA6-D41F8D323A4C}"/>
    <cellStyle name="Normal 2 4 3 2 2 5 2 3 2" xfId="44879" xr:uid="{55544CC1-9453-4171-BF0E-6899F40E7AC5}"/>
    <cellStyle name="Normal 2 4 3 2 2 5 2 4" xfId="32288" xr:uid="{432E013A-38D5-4370-9C9C-4B6A46FAFA43}"/>
    <cellStyle name="Normal 2 4 3 2 2 5 3" xfId="9844" xr:uid="{F5C068BD-CFD5-48B4-A464-A07344C653E5}"/>
    <cellStyle name="Normal 2 4 3 2 2 5 3 2" xfId="22526" xr:uid="{EE42B4BD-F588-4CF1-A6E3-2C3DBD3CB7B6}"/>
    <cellStyle name="Normal 2 4 3 2 2 5 3 2 2" xfId="48018" xr:uid="{0CD3E04D-621B-4512-9887-AB7480E58781}"/>
    <cellStyle name="Normal 2 4 3 2 2 5 3 3" xfId="35427" xr:uid="{74703E39-383D-4BE5-8FFD-90236D64BB3E}"/>
    <cellStyle name="Normal 2 4 3 2 2 5 4" xfId="16248" xr:uid="{902339A1-9E2A-43A4-AF4E-D0D963B123FC}"/>
    <cellStyle name="Normal 2 4 3 2 2 5 4 2" xfId="41740" xr:uid="{C33F8E01-7492-4EAF-ACBF-063D6C50635E}"/>
    <cellStyle name="Normal 2 4 3 2 2 5 5" xfId="29149" xr:uid="{F42A2795-FB4A-4D99-9D82-E58943832212}"/>
    <cellStyle name="Normal 2 4 3 2 2 6" xfId="4336" xr:uid="{83532A21-96C1-433F-B375-3285ED2F84B6}"/>
    <cellStyle name="Normal 2 4 3 2 2 6 2" xfId="10629" xr:uid="{E7CA09AD-411D-419E-9DFF-12CE70B1A864}"/>
    <cellStyle name="Normal 2 4 3 2 2 6 2 2" xfId="23311" xr:uid="{928241B2-BAA8-47F7-8049-6DAD66FB5136}"/>
    <cellStyle name="Normal 2 4 3 2 2 6 2 2 2" xfId="48803" xr:uid="{6210A6F8-A9AE-4CAE-BD16-14B7D726E517}"/>
    <cellStyle name="Normal 2 4 3 2 2 6 2 3" xfId="36212" xr:uid="{58D46D97-8676-4EC0-BAEF-8AA507C80822}"/>
    <cellStyle name="Normal 2 4 3 2 2 6 3" xfId="17033" xr:uid="{4639DA18-B7B7-4867-8299-8086E9C99C33}"/>
    <cellStyle name="Normal 2 4 3 2 2 6 3 2" xfId="42525" xr:uid="{A6F8B176-F86F-4B6A-8382-981566C8825B}"/>
    <cellStyle name="Normal 2 4 3 2 2 6 4" xfId="29934" xr:uid="{C1D2604F-4605-4FA9-A59A-EAA839EED8A7}"/>
    <cellStyle name="Normal 2 4 3 2 2 7" xfId="7490" xr:uid="{F8864C23-0D6F-48F4-8373-CA7A4B9F2A7C}"/>
    <cellStyle name="Normal 2 4 3 2 2 7 2" xfId="20172" xr:uid="{5BE8B309-D967-459A-9668-9F5802137067}"/>
    <cellStyle name="Normal 2 4 3 2 2 7 2 2" xfId="45664" xr:uid="{E3525AF1-8271-4896-B8E5-31F19F5D6049}"/>
    <cellStyle name="Normal 2 4 3 2 2 7 3" xfId="33073" xr:uid="{FC9D87D5-5778-474B-88AC-71CC6AF23327}"/>
    <cellStyle name="Normal 2 4 3 2 2 8" xfId="13894" xr:uid="{C8FE1848-8E42-45AC-BACA-41CDE1D770E2}"/>
    <cellStyle name="Normal 2 4 3 2 2 8 2" xfId="39386" xr:uid="{47BAF2BF-68DB-4BD3-9D4A-F9C15B8DEBC3}"/>
    <cellStyle name="Normal 2 4 3 2 2 9" xfId="26795" xr:uid="{63A09C3B-92B1-4B71-9D30-4AD62B53C5F0}"/>
    <cellStyle name="Normal 2 4 3 2 3" xfId="922" xr:uid="{80DF067D-794D-4E57-A719-36C160BDF1EA}"/>
    <cellStyle name="Normal 2 4 3 2 3 2" xfId="2229" xr:uid="{9BD00F43-B286-4A7D-84ED-A2EDD8BBF63C}"/>
    <cellStyle name="Normal 2 4 3 2 3 2 2" xfId="5383" xr:uid="{284B3723-5063-48F5-B7B0-375EB5FAE865}"/>
    <cellStyle name="Normal 2 4 3 2 3 2 2 2" xfId="11676" xr:uid="{D2C43252-E256-4D4B-9359-31076EB6087C}"/>
    <cellStyle name="Normal 2 4 3 2 3 2 2 2 2" xfId="24358" xr:uid="{35EA91A2-ECAF-4182-A4CF-63EBA7B5EDA3}"/>
    <cellStyle name="Normal 2 4 3 2 3 2 2 2 2 2" xfId="49850" xr:uid="{7E101313-FA76-4E29-BBF2-7670DC380F3A}"/>
    <cellStyle name="Normal 2 4 3 2 3 2 2 2 3" xfId="37259" xr:uid="{FE0F5D14-0979-45A0-A4B6-B12190671A3A}"/>
    <cellStyle name="Normal 2 4 3 2 3 2 2 3" xfId="18080" xr:uid="{B0FD6CA0-0E63-4218-9526-014F6D8791CC}"/>
    <cellStyle name="Normal 2 4 3 2 3 2 2 3 2" xfId="43572" xr:uid="{069DA9B9-F3E1-4E7E-A091-79B981275AE3}"/>
    <cellStyle name="Normal 2 4 3 2 3 2 2 4" xfId="30981" xr:uid="{C7735661-7B60-4DE4-B1E7-C0F35E193D8C}"/>
    <cellStyle name="Normal 2 4 3 2 3 2 3" xfId="8537" xr:uid="{2637F6C1-2952-4285-A442-119C7D2BFFFE}"/>
    <cellStyle name="Normal 2 4 3 2 3 2 3 2" xfId="21219" xr:uid="{DA54206F-2149-4BD3-90C6-4C9BB7DFCB4E}"/>
    <cellStyle name="Normal 2 4 3 2 3 2 3 2 2" xfId="46711" xr:uid="{A5821ED9-2EB7-4F94-BC0B-90330CEE6AFB}"/>
    <cellStyle name="Normal 2 4 3 2 3 2 3 3" xfId="34120" xr:uid="{5C5E802E-9E99-4CE9-94DB-76B73B64FDF0}"/>
    <cellStyle name="Normal 2 4 3 2 3 2 4" xfId="14941" xr:uid="{4EC1B849-A73E-4F2F-A4B3-34099E12ACF5}"/>
    <cellStyle name="Normal 2 4 3 2 3 2 4 2" xfId="40433" xr:uid="{F43C9CBB-B0A4-4AE4-B8C8-5EA6E9BF5B85}"/>
    <cellStyle name="Normal 2 4 3 2 3 2 5" xfId="27842" xr:uid="{A0858ECB-737C-446F-9B0C-388232FBC30F}"/>
    <cellStyle name="Normal 2 4 3 2 3 3" xfId="4076" xr:uid="{7923CD45-7E50-4770-B760-188FC20454BE}"/>
    <cellStyle name="Normal 2 4 3 2 3 3 2" xfId="10369" xr:uid="{6810C91B-2CAD-424E-B31E-0178E3BF09E1}"/>
    <cellStyle name="Normal 2 4 3 2 3 3 2 2" xfId="23051" xr:uid="{856F7A40-D369-4705-8479-DCAF19721883}"/>
    <cellStyle name="Normal 2 4 3 2 3 3 2 2 2" xfId="48543" xr:uid="{4D593AD2-DE1F-4CFF-B64D-2C455743A5EE}"/>
    <cellStyle name="Normal 2 4 3 2 3 3 2 3" xfId="35952" xr:uid="{D390A166-0D0F-4D3C-B21F-D4BEBB3ABC06}"/>
    <cellStyle name="Normal 2 4 3 2 3 3 3" xfId="16773" xr:uid="{0810D5AC-8EE5-4ED2-AB83-C0DC485BD55B}"/>
    <cellStyle name="Normal 2 4 3 2 3 3 3 2" xfId="42265" xr:uid="{3B335F64-3DFF-45E4-B213-85D6E9C1F3C6}"/>
    <cellStyle name="Normal 2 4 3 2 3 3 4" xfId="29674" xr:uid="{1FF57E2C-FD6D-46E3-AE3F-4C7C5AC49EF9}"/>
    <cellStyle name="Normal 2 4 3 2 3 4" xfId="7230" xr:uid="{DFB838C1-5A14-4FFC-8EA3-E4CA2189381F}"/>
    <cellStyle name="Normal 2 4 3 2 3 4 2" xfId="19912" xr:uid="{D1893774-07F0-4392-B8DD-512318E9A484}"/>
    <cellStyle name="Normal 2 4 3 2 3 4 2 2" xfId="45404" xr:uid="{EF290109-7545-4B05-B87D-C60F471D30AB}"/>
    <cellStyle name="Normal 2 4 3 2 3 4 3" xfId="32813" xr:uid="{F698C3F9-EA34-4464-AA92-E26474B5A570}"/>
    <cellStyle name="Normal 2 4 3 2 3 5" xfId="13634" xr:uid="{BA9CC9B6-6884-4BB8-9B7C-037D2F7E46A4}"/>
    <cellStyle name="Normal 2 4 3 2 3 5 2" xfId="39126" xr:uid="{ECFD785E-3688-4082-AC25-B350D4442D51}"/>
    <cellStyle name="Normal 2 4 3 2 3 6" xfId="26535" xr:uid="{ACF63FDD-4188-4CD1-9278-6687D24A412E}"/>
    <cellStyle name="Normal 2 4 3 2 4" xfId="1967" xr:uid="{FFCEC022-DB38-4236-8E9A-659E368623BF}"/>
    <cellStyle name="Normal 2 4 3 2 4 2" xfId="5121" xr:uid="{2C8EE2B3-E9C2-4CAF-96BC-C7A4F3B4AE86}"/>
    <cellStyle name="Normal 2 4 3 2 4 2 2" xfId="11414" xr:uid="{42CF6878-82BB-4181-BE47-E793B86FEAF6}"/>
    <cellStyle name="Normal 2 4 3 2 4 2 2 2" xfId="24096" xr:uid="{BF2B1873-A76B-4329-BC9F-E2C521273F15}"/>
    <cellStyle name="Normal 2 4 3 2 4 2 2 2 2" xfId="49588" xr:uid="{B264B298-843A-4C9A-9DEF-C7214582A1F3}"/>
    <cellStyle name="Normal 2 4 3 2 4 2 2 3" xfId="36997" xr:uid="{C3467ADA-664F-45D6-85A2-98EC21AC99D9}"/>
    <cellStyle name="Normal 2 4 3 2 4 2 3" xfId="17818" xr:uid="{8413F5CD-7F15-4665-A4D3-DA69823AFC91}"/>
    <cellStyle name="Normal 2 4 3 2 4 2 3 2" xfId="43310" xr:uid="{69184131-6D60-45A2-B59E-6F60A5493E45}"/>
    <cellStyle name="Normal 2 4 3 2 4 2 4" xfId="30719" xr:uid="{C5250726-BBE0-4B09-99F0-356517819DDB}"/>
    <cellStyle name="Normal 2 4 3 2 4 3" xfId="8275" xr:uid="{EFD3EB5F-44E3-4609-BCCD-16B547E0E58B}"/>
    <cellStyle name="Normal 2 4 3 2 4 3 2" xfId="20957" xr:uid="{AF1C0A21-99E3-4DD3-A3DF-E250F7ABA5EA}"/>
    <cellStyle name="Normal 2 4 3 2 4 3 2 2" xfId="46449" xr:uid="{BB7923FC-3A66-495C-91E1-367EB9BC7036}"/>
    <cellStyle name="Normal 2 4 3 2 4 3 3" xfId="33858" xr:uid="{E70C449E-0362-4967-A71D-D3553C7B4323}"/>
    <cellStyle name="Normal 2 4 3 2 4 4" xfId="14679" xr:uid="{26E7DA0B-6B12-4E44-BC29-22727CCDF4B9}"/>
    <cellStyle name="Normal 2 4 3 2 4 4 2" xfId="40171" xr:uid="{77D204FB-C7EE-4857-BA8C-7866B3B2D1DE}"/>
    <cellStyle name="Normal 2 4 3 2 4 5" xfId="27580" xr:uid="{7E2040BC-8FCE-4859-B75B-D886E1BC8C6A}"/>
    <cellStyle name="Normal 2 4 3 2 5" xfId="1445" xr:uid="{1931C09C-E9C0-4CA0-999C-A827544CA618}"/>
    <cellStyle name="Normal 2 4 3 2 5 2" xfId="4599" xr:uid="{5C6BCA50-D4D0-4C8E-8CB3-62705A8A9C74}"/>
    <cellStyle name="Normal 2 4 3 2 5 2 2" xfId="10892" xr:uid="{CC048727-E682-4941-85DC-A94165D374D4}"/>
    <cellStyle name="Normal 2 4 3 2 5 2 2 2" xfId="23574" xr:uid="{3B22EDE1-C30C-4F82-9541-D5E5F699BA0F}"/>
    <cellStyle name="Normal 2 4 3 2 5 2 2 2 2" xfId="49066" xr:uid="{1F68BE9A-F38B-438E-9F57-0C1A6B41A0FF}"/>
    <cellStyle name="Normal 2 4 3 2 5 2 2 3" xfId="36475" xr:uid="{C2CD8D2B-1C89-482F-9416-112C2FC1B83D}"/>
    <cellStyle name="Normal 2 4 3 2 5 2 3" xfId="17296" xr:uid="{C6F4FFB9-8F92-41CA-A497-7C2D2B6FE313}"/>
    <cellStyle name="Normal 2 4 3 2 5 2 3 2" xfId="42788" xr:uid="{3E970CE7-A469-41FC-8020-F45B50CDE982}"/>
    <cellStyle name="Normal 2 4 3 2 5 2 4" xfId="30197" xr:uid="{36249C0A-8197-444B-BA39-017B9C465FBA}"/>
    <cellStyle name="Normal 2 4 3 2 5 3" xfId="7753" xr:uid="{020F6DB2-745F-4E01-9CFB-D2062B79461A}"/>
    <cellStyle name="Normal 2 4 3 2 5 3 2" xfId="20435" xr:uid="{2DD77270-92E6-457B-A64F-EE1EBD6FA820}"/>
    <cellStyle name="Normal 2 4 3 2 5 3 2 2" xfId="45927" xr:uid="{A636D575-2B2E-4E8C-A6DD-85C4FD2DB70A}"/>
    <cellStyle name="Normal 2 4 3 2 5 3 3" xfId="33336" xr:uid="{8DA09275-55C2-404E-B359-150578756391}"/>
    <cellStyle name="Normal 2 4 3 2 5 4" xfId="14157" xr:uid="{6273D6A8-E5B5-4692-9F79-221BF7B04101}"/>
    <cellStyle name="Normal 2 4 3 2 5 4 2" xfId="39649" xr:uid="{FBDCA25A-6620-4E24-BFA6-5E1EC528578B}"/>
    <cellStyle name="Normal 2 4 3 2 5 5" xfId="27058" xr:uid="{03868848-7974-412B-A578-829DC945A746}"/>
    <cellStyle name="Normal 2 4 3 2 6" xfId="2752" xr:uid="{B476486F-F14A-43D3-BFC9-76F772BEB6F0}"/>
    <cellStyle name="Normal 2 4 3 2 6 2" xfId="5906" xr:uid="{A4408211-2E60-4C08-9751-2702BF8E309B}"/>
    <cellStyle name="Normal 2 4 3 2 6 2 2" xfId="12199" xr:uid="{E823329E-B0B0-41C1-B7BE-27CDB3E91F38}"/>
    <cellStyle name="Normal 2 4 3 2 6 2 2 2" xfId="24881" xr:uid="{2FF03088-E67D-42EF-8A35-C16A07A6FB41}"/>
    <cellStyle name="Normal 2 4 3 2 6 2 2 2 2" xfId="50373" xr:uid="{063C5CC2-4DF1-47CA-9F22-792CF0D8387E}"/>
    <cellStyle name="Normal 2 4 3 2 6 2 2 3" xfId="37782" xr:uid="{11116364-D27C-4150-8F70-73CD3C746817}"/>
    <cellStyle name="Normal 2 4 3 2 6 2 3" xfId="18603" xr:uid="{12779051-3809-465D-A772-BB303957E9DE}"/>
    <cellStyle name="Normal 2 4 3 2 6 2 3 2" xfId="44095" xr:uid="{BE4AF44D-8780-4F05-A453-F8D6F86E2610}"/>
    <cellStyle name="Normal 2 4 3 2 6 2 4" xfId="31504" xr:uid="{245CF6BC-13AB-406C-BE44-D377CDD44AA0}"/>
    <cellStyle name="Normal 2 4 3 2 6 3" xfId="9060" xr:uid="{D1972FBF-56B7-460F-A5EE-689D04ABE86D}"/>
    <cellStyle name="Normal 2 4 3 2 6 3 2" xfId="21742" xr:uid="{6C59555D-4F81-4F94-B3D5-2A2654F4B5DD}"/>
    <cellStyle name="Normal 2 4 3 2 6 3 2 2" xfId="47234" xr:uid="{79A603D5-4CF2-4F9A-AA0F-99FA3016CB95}"/>
    <cellStyle name="Normal 2 4 3 2 6 3 3" xfId="34643" xr:uid="{45109DDC-5EF1-416D-8DF5-53F7297F19FA}"/>
    <cellStyle name="Normal 2 4 3 2 6 4" xfId="15464" xr:uid="{D5B6A467-5F2D-4993-96F0-CA060F373452}"/>
    <cellStyle name="Normal 2 4 3 2 6 4 2" xfId="40956" xr:uid="{6CBBF5A7-1B30-47CC-834B-946C8D1E5715}"/>
    <cellStyle name="Normal 2 4 3 2 6 5" xfId="28365" xr:uid="{4A0403C0-F7F6-4998-A58E-280880D69658}"/>
    <cellStyle name="Normal 2 4 3 2 7" xfId="3275" xr:uid="{9A9331E4-1460-444D-BC43-20F6A16A28B8}"/>
    <cellStyle name="Normal 2 4 3 2 7 2" xfId="6429" xr:uid="{6C239262-5A36-446D-AD10-56BD3EF84FF3}"/>
    <cellStyle name="Normal 2 4 3 2 7 2 2" xfId="12722" xr:uid="{1D530EDD-E14C-4285-A424-352C3E5606B7}"/>
    <cellStyle name="Normal 2 4 3 2 7 2 2 2" xfId="25404" xr:uid="{445F339B-C31E-4956-A6DC-FCA16D366B93}"/>
    <cellStyle name="Normal 2 4 3 2 7 2 2 2 2" xfId="50896" xr:uid="{2469E3F5-9C4A-4870-8991-BEEB16C17709}"/>
    <cellStyle name="Normal 2 4 3 2 7 2 2 3" xfId="38305" xr:uid="{09DFC39C-4FDF-49B8-889D-360531E42753}"/>
    <cellStyle name="Normal 2 4 3 2 7 2 3" xfId="19126" xr:uid="{6BD13C97-5287-4EA5-8E8E-8BAB4B797F2B}"/>
    <cellStyle name="Normal 2 4 3 2 7 2 3 2" xfId="44618" xr:uid="{9161FE0A-AD14-461D-BEF6-951B395AB3CE}"/>
    <cellStyle name="Normal 2 4 3 2 7 2 4" xfId="32027" xr:uid="{BED7D467-41C8-48BC-866A-2595B073A0D5}"/>
    <cellStyle name="Normal 2 4 3 2 7 3" xfId="9583" xr:uid="{4D29E489-9B94-4E3C-AC2A-D58BE100B655}"/>
    <cellStyle name="Normal 2 4 3 2 7 3 2" xfId="22265" xr:uid="{57EBFC62-088C-431C-AB14-FA16C41B36B1}"/>
    <cellStyle name="Normal 2 4 3 2 7 3 2 2" xfId="47757" xr:uid="{5A6EBD3C-B22A-4D7B-99E7-EF7945DCCFE1}"/>
    <cellStyle name="Normal 2 4 3 2 7 3 3" xfId="35166" xr:uid="{CDA06C61-FA1D-4514-BDF3-ABAAB70B5745}"/>
    <cellStyle name="Normal 2 4 3 2 7 4" xfId="15987" xr:uid="{507D7AA0-E0B0-41FE-847B-CAFFB4375A2D}"/>
    <cellStyle name="Normal 2 4 3 2 7 4 2" xfId="41479" xr:uid="{FFDFB425-B6BF-4E71-B9BF-B4AC1A9C8D1D}"/>
    <cellStyle name="Normal 2 4 3 2 7 5" xfId="28888" xr:uid="{A18FD40F-EAD9-418D-AAF6-FA242712EB7E}"/>
    <cellStyle name="Normal 2 4 3 2 8" xfId="3814" xr:uid="{58345DDA-AC66-41FF-924F-17F3B4A6ADD8}"/>
    <cellStyle name="Normal 2 4 3 2 8 2" xfId="10107" xr:uid="{6C6D06EF-2A20-46E0-AB98-1C510697AD33}"/>
    <cellStyle name="Normal 2 4 3 2 8 2 2" xfId="22789" xr:uid="{B9F6DC30-36DC-4151-8527-8FC94B891493}"/>
    <cellStyle name="Normal 2 4 3 2 8 2 2 2" xfId="48281" xr:uid="{16F8D258-A4AC-4EF0-985F-7CFCB57486BD}"/>
    <cellStyle name="Normal 2 4 3 2 8 2 3" xfId="35690" xr:uid="{69DBF67F-A0BD-46B3-BD2B-E973E4396221}"/>
    <cellStyle name="Normal 2 4 3 2 8 3" xfId="16511" xr:uid="{9CCCE258-69A3-49C7-A0F8-07F58DC9CAFE}"/>
    <cellStyle name="Normal 2 4 3 2 8 3 2" xfId="42003" xr:uid="{782FE9B8-BA53-4E87-86BD-F57368A3969A}"/>
    <cellStyle name="Normal 2 4 3 2 8 4" xfId="29412" xr:uid="{D1E405C4-421A-46C1-8396-A88C161365F1}"/>
    <cellStyle name="Normal 2 4 3 2 9" xfId="6968" xr:uid="{20EEFCBD-05C7-4586-93F6-583E9CEE3446}"/>
    <cellStyle name="Normal 2 4 3 2 9 2" xfId="19650" xr:uid="{853DE95A-E396-4934-990E-E6ACE945C2F2}"/>
    <cellStyle name="Normal 2 4 3 2 9 2 2" xfId="45142" xr:uid="{86DB95A4-36DD-43AA-B5B9-9319DCFE4D43}"/>
    <cellStyle name="Normal 2 4 3 2 9 3" xfId="32551" xr:uid="{D2E89F2D-1853-4A5B-89B3-D6462E26EDE0}"/>
    <cellStyle name="Normal 2 4 3 3" xfId="545" xr:uid="{A2B8871C-A110-4178-B89D-20964CEEC688}"/>
    <cellStyle name="Normal 2 4 3 3 10" xfId="13272" xr:uid="{EBEE1D8D-F3EB-48CA-B105-9179ECA46221}"/>
    <cellStyle name="Normal 2 4 3 3 10 2" xfId="38764" xr:uid="{27249EE8-1DD3-4F30-A970-83FFA068C1BD}"/>
    <cellStyle name="Normal 2 4 3 3 11" xfId="26173" xr:uid="{9F2E94A2-3FAB-482B-A4FE-FDE46CAFD107}"/>
    <cellStyle name="Normal 2 4 3 3 2" xfId="1082" xr:uid="{29EE201B-5D46-40AD-8BE1-03993557B065}"/>
    <cellStyle name="Normal 2 4 3 3 2 2" xfId="2389" xr:uid="{A31CE571-3E34-431C-BC2B-86BE4309C4F5}"/>
    <cellStyle name="Normal 2 4 3 3 2 2 2" xfId="5543" xr:uid="{AC4C135C-599D-44D8-8A47-A5E22600E464}"/>
    <cellStyle name="Normal 2 4 3 3 2 2 2 2" xfId="11836" xr:uid="{AD00839F-B7B1-45A4-89D8-5C595E1CC4C3}"/>
    <cellStyle name="Normal 2 4 3 3 2 2 2 2 2" xfId="24518" xr:uid="{FF16A86C-9FD7-40E0-8C47-28E331314156}"/>
    <cellStyle name="Normal 2 4 3 3 2 2 2 2 2 2" xfId="50010" xr:uid="{D169129A-4855-4435-B9AA-8624D4DAC0F0}"/>
    <cellStyle name="Normal 2 4 3 3 2 2 2 2 3" xfId="37419" xr:uid="{1AA5E3BC-2D11-4050-BB9D-6A9BA42CFA76}"/>
    <cellStyle name="Normal 2 4 3 3 2 2 2 3" xfId="18240" xr:uid="{F3696E13-6F3A-4E57-830F-274403044790}"/>
    <cellStyle name="Normal 2 4 3 3 2 2 2 3 2" xfId="43732" xr:uid="{B673164C-548B-45C9-9757-25EE2FB51483}"/>
    <cellStyle name="Normal 2 4 3 3 2 2 2 4" xfId="31141" xr:uid="{1088B044-A0E1-43B4-AF0B-12AD17132113}"/>
    <cellStyle name="Normal 2 4 3 3 2 2 3" xfId="8697" xr:uid="{26DEA510-0FCC-45F5-9530-DB6A4059B24B}"/>
    <cellStyle name="Normal 2 4 3 3 2 2 3 2" xfId="21379" xr:uid="{9E760D3D-6165-4935-86BD-5E2DF01D9CC1}"/>
    <cellStyle name="Normal 2 4 3 3 2 2 3 2 2" xfId="46871" xr:uid="{585A3EC9-94B1-49F5-9494-82BD7DED0114}"/>
    <cellStyle name="Normal 2 4 3 3 2 2 3 3" xfId="34280" xr:uid="{3184E7A8-13BE-47DA-BF77-56246FAE271C}"/>
    <cellStyle name="Normal 2 4 3 3 2 2 4" xfId="15101" xr:uid="{69FFAAA9-ABF1-482C-A54A-17DF96C0256E}"/>
    <cellStyle name="Normal 2 4 3 3 2 2 4 2" xfId="40593" xr:uid="{18AF494F-5A75-46EC-8543-B42772C187D1}"/>
    <cellStyle name="Normal 2 4 3 3 2 2 5" xfId="28002" xr:uid="{A2F0BB9B-7BDA-4F31-AA37-4772647B383B}"/>
    <cellStyle name="Normal 2 4 3 3 2 3" xfId="1606" xr:uid="{D304AC52-FC9A-41E1-B8F2-AA33D9DCB396}"/>
    <cellStyle name="Normal 2 4 3 3 2 3 2" xfId="4760" xr:uid="{C59DBC20-6346-45D0-ABD3-D25CCBFD2728}"/>
    <cellStyle name="Normal 2 4 3 3 2 3 2 2" xfId="11053" xr:uid="{9E7E2ED8-B247-4ED4-8865-A893BDB3D2DC}"/>
    <cellStyle name="Normal 2 4 3 3 2 3 2 2 2" xfId="23735" xr:uid="{2CA0760E-3FA2-43EA-B89B-E94011EA1A7F}"/>
    <cellStyle name="Normal 2 4 3 3 2 3 2 2 2 2" xfId="49227" xr:uid="{15A5AC0A-9843-4056-BDF5-B27D4F5AD636}"/>
    <cellStyle name="Normal 2 4 3 3 2 3 2 2 3" xfId="36636" xr:uid="{41742DCA-DE3D-4F29-9F84-AD7A18010F77}"/>
    <cellStyle name="Normal 2 4 3 3 2 3 2 3" xfId="17457" xr:uid="{36023FAA-D713-4558-B0DF-D878F78737FD}"/>
    <cellStyle name="Normal 2 4 3 3 2 3 2 3 2" xfId="42949" xr:uid="{F5E32737-47C0-40FC-AAC6-17CD628F5D3A}"/>
    <cellStyle name="Normal 2 4 3 3 2 3 2 4" xfId="30358" xr:uid="{856289B7-0C42-4ABE-AFB3-31E71887C438}"/>
    <cellStyle name="Normal 2 4 3 3 2 3 3" xfId="7914" xr:uid="{FEAD5F03-72F2-49A8-88FF-91D234F27FCB}"/>
    <cellStyle name="Normal 2 4 3 3 2 3 3 2" xfId="20596" xr:uid="{5168A4C7-3842-4515-9B41-CD2DA76B35DD}"/>
    <cellStyle name="Normal 2 4 3 3 2 3 3 2 2" xfId="46088" xr:uid="{9B09DDF0-DB75-440D-B51F-F65B16C002A3}"/>
    <cellStyle name="Normal 2 4 3 3 2 3 3 3" xfId="33497" xr:uid="{60F2F736-C9AC-4468-A7B3-7DBADBCC3F8A}"/>
    <cellStyle name="Normal 2 4 3 3 2 3 4" xfId="14318" xr:uid="{F96A1990-B238-4B01-90A6-734B2D25080B}"/>
    <cellStyle name="Normal 2 4 3 3 2 3 4 2" xfId="39810" xr:uid="{63286722-FC25-4664-87E9-CCB5C1857EFE}"/>
    <cellStyle name="Normal 2 4 3 3 2 3 5" xfId="27219" xr:uid="{B42D71B1-5471-4572-99B6-CA7150FE63BF}"/>
    <cellStyle name="Normal 2 4 3 3 2 4" xfId="2913" xr:uid="{87D7388B-82EF-4EF8-9E04-42AE32F3CA60}"/>
    <cellStyle name="Normal 2 4 3 3 2 4 2" xfId="6067" xr:uid="{25F31E09-454C-4D6E-9BDF-D1B6E0228BA9}"/>
    <cellStyle name="Normal 2 4 3 3 2 4 2 2" xfId="12360" xr:uid="{2E9A022F-1AA9-441B-BAE4-BAF3B0E4A56F}"/>
    <cellStyle name="Normal 2 4 3 3 2 4 2 2 2" xfId="25042" xr:uid="{B9866592-7E5E-41CF-B7F8-57D88A4F29FC}"/>
    <cellStyle name="Normal 2 4 3 3 2 4 2 2 2 2" xfId="50534" xr:uid="{9FF2451C-D50F-458D-AEFB-D4388D0DB762}"/>
    <cellStyle name="Normal 2 4 3 3 2 4 2 2 3" xfId="37943" xr:uid="{14ADC137-14B3-408D-AF88-E98AD1BFA9B7}"/>
    <cellStyle name="Normal 2 4 3 3 2 4 2 3" xfId="18764" xr:uid="{C228165E-3D3C-47C0-A628-AC3690FCABB7}"/>
    <cellStyle name="Normal 2 4 3 3 2 4 2 3 2" xfId="44256" xr:uid="{D3E1CA43-A190-420E-9ECD-D427D4CC2E56}"/>
    <cellStyle name="Normal 2 4 3 3 2 4 2 4" xfId="31665" xr:uid="{A5A94601-94C3-4ED0-874F-276F01953EAE}"/>
    <cellStyle name="Normal 2 4 3 3 2 4 3" xfId="9221" xr:uid="{53A9B4BF-33B8-4ACC-B475-EDF675695414}"/>
    <cellStyle name="Normal 2 4 3 3 2 4 3 2" xfId="21903" xr:uid="{FF645F21-206D-4E9D-BC7A-99328E6317E3}"/>
    <cellStyle name="Normal 2 4 3 3 2 4 3 2 2" xfId="47395" xr:uid="{562800B4-9297-4C78-B826-82EF5D7BCC40}"/>
    <cellStyle name="Normal 2 4 3 3 2 4 3 3" xfId="34804" xr:uid="{BC148E62-013E-480D-A43D-25B37B5DAEE9}"/>
    <cellStyle name="Normal 2 4 3 3 2 4 4" xfId="15625" xr:uid="{C4E6B949-B792-4D39-AA69-A1DCF132A35D}"/>
    <cellStyle name="Normal 2 4 3 3 2 4 4 2" xfId="41117" xr:uid="{9F37F5EE-A7E5-42A1-BAAB-918EFB35948A}"/>
    <cellStyle name="Normal 2 4 3 3 2 4 5" xfId="28526" xr:uid="{E4513283-5085-4EBD-88F0-95596EE2B96F}"/>
    <cellStyle name="Normal 2 4 3 3 2 5" xfId="3436" xr:uid="{BB3BC793-7806-4518-91BE-7E991066ACE3}"/>
    <cellStyle name="Normal 2 4 3 3 2 5 2" xfId="6590" xr:uid="{44AD309E-87B3-4990-9764-EB1C0CB3D939}"/>
    <cellStyle name="Normal 2 4 3 3 2 5 2 2" xfId="12883" xr:uid="{106A66EF-878C-4ECE-BBE2-B943BF645865}"/>
    <cellStyle name="Normal 2 4 3 3 2 5 2 2 2" xfId="25565" xr:uid="{0D838B6A-DEB3-41B0-AC75-F6F000F017BD}"/>
    <cellStyle name="Normal 2 4 3 3 2 5 2 2 2 2" xfId="51057" xr:uid="{585A9FD1-D8BE-4311-BC9F-E3B6471F9603}"/>
    <cellStyle name="Normal 2 4 3 3 2 5 2 2 3" xfId="38466" xr:uid="{D9E893E5-F65B-4951-A8E8-0333BD771BA1}"/>
    <cellStyle name="Normal 2 4 3 3 2 5 2 3" xfId="19287" xr:uid="{9DE860F9-BB88-43E5-BD81-10CBF1A0270D}"/>
    <cellStyle name="Normal 2 4 3 3 2 5 2 3 2" xfId="44779" xr:uid="{AF832D9A-E295-4DF2-A1A4-4D8F6D19BD88}"/>
    <cellStyle name="Normal 2 4 3 3 2 5 2 4" xfId="32188" xr:uid="{E972AD06-56F6-4299-9DDF-6963C44F4C5C}"/>
    <cellStyle name="Normal 2 4 3 3 2 5 3" xfId="9744" xr:uid="{543288CC-A3D8-4660-BD70-589EE06385AC}"/>
    <cellStyle name="Normal 2 4 3 3 2 5 3 2" xfId="22426" xr:uid="{D813A864-C9E9-4093-A82D-03B21AF8AB94}"/>
    <cellStyle name="Normal 2 4 3 3 2 5 3 2 2" xfId="47918" xr:uid="{A417B83B-46DE-43F5-A195-D557F525FDB3}"/>
    <cellStyle name="Normal 2 4 3 3 2 5 3 3" xfId="35327" xr:uid="{51505EF8-93CD-4D65-A94C-BA85429A3617}"/>
    <cellStyle name="Normal 2 4 3 3 2 5 4" xfId="16148" xr:uid="{1FB0A83A-3565-47A1-9D21-C265C2B2BF4A}"/>
    <cellStyle name="Normal 2 4 3 3 2 5 4 2" xfId="41640" xr:uid="{E23C2933-06DC-4E66-886B-85DE160B11B9}"/>
    <cellStyle name="Normal 2 4 3 3 2 5 5" xfId="29049" xr:uid="{ADC3B5A3-D310-4FD4-9956-4F265BACCEE2}"/>
    <cellStyle name="Normal 2 4 3 3 2 6" xfId="4236" xr:uid="{316FD740-93D0-4117-9DCC-66E9A9C2029D}"/>
    <cellStyle name="Normal 2 4 3 3 2 6 2" xfId="10529" xr:uid="{5856328C-402A-483E-865C-E4599EB7E17B}"/>
    <cellStyle name="Normal 2 4 3 3 2 6 2 2" xfId="23211" xr:uid="{4839AA51-ED23-4292-B381-15EFA4CEFE45}"/>
    <cellStyle name="Normal 2 4 3 3 2 6 2 2 2" xfId="48703" xr:uid="{92863FDB-717B-4768-9E07-1007FA9C3E34}"/>
    <cellStyle name="Normal 2 4 3 3 2 6 2 3" xfId="36112" xr:uid="{EC13C511-9BE3-49D6-958F-DA22DE3BCD27}"/>
    <cellStyle name="Normal 2 4 3 3 2 6 3" xfId="16933" xr:uid="{3164B0AD-62AE-4FBD-B3A6-FD035B392A1A}"/>
    <cellStyle name="Normal 2 4 3 3 2 6 3 2" xfId="42425" xr:uid="{C303C69C-DE7E-409A-BDCD-DC94DC50E160}"/>
    <cellStyle name="Normal 2 4 3 3 2 6 4" xfId="29834" xr:uid="{D1B01912-FC93-42CE-A054-4673037E5514}"/>
    <cellStyle name="Normal 2 4 3 3 2 7" xfId="7390" xr:uid="{6857DE0B-E7DF-4959-B810-C8A237481BFA}"/>
    <cellStyle name="Normal 2 4 3 3 2 7 2" xfId="20072" xr:uid="{90C586B4-3581-4634-A6BA-9374BE081B6A}"/>
    <cellStyle name="Normal 2 4 3 3 2 7 2 2" xfId="45564" xr:uid="{5DA3D74E-45B8-466F-8FA7-9CDD4ECEA2AA}"/>
    <cellStyle name="Normal 2 4 3 3 2 7 3" xfId="32973" xr:uid="{D3E07475-9B42-4F6F-8A4F-1589FFFD23E6}"/>
    <cellStyle name="Normal 2 4 3 3 2 8" xfId="13794" xr:uid="{B01FCF0D-738F-4B29-A7AE-E642AA7206DA}"/>
    <cellStyle name="Normal 2 4 3 3 2 8 2" xfId="39286" xr:uid="{D3EAD6C7-B23B-4B88-B382-3066D2A22466}"/>
    <cellStyle name="Normal 2 4 3 3 2 9" xfId="26695" xr:uid="{D17F6E6E-CC25-4C3C-9316-5ED36F744904}"/>
    <cellStyle name="Normal 2 4 3 3 3" xfId="822" xr:uid="{D850DAD9-F201-41D0-9087-6C8541EBC77D}"/>
    <cellStyle name="Normal 2 4 3 3 3 2" xfId="2129" xr:uid="{1B604ECF-071D-4AD8-80DF-7E5788022FB1}"/>
    <cellStyle name="Normal 2 4 3 3 3 2 2" xfId="5283" xr:uid="{BFE4F321-BE78-43DE-BCD4-E6FD9D6A8575}"/>
    <cellStyle name="Normal 2 4 3 3 3 2 2 2" xfId="11576" xr:uid="{52A22ECF-DCEB-4586-A5D1-EE72E928295C}"/>
    <cellStyle name="Normal 2 4 3 3 3 2 2 2 2" xfId="24258" xr:uid="{1C86A9FA-1785-4FB6-BB22-E570F2849A23}"/>
    <cellStyle name="Normal 2 4 3 3 3 2 2 2 2 2" xfId="49750" xr:uid="{D30A02CE-8046-4ACF-BAC5-EF5097FADDD9}"/>
    <cellStyle name="Normal 2 4 3 3 3 2 2 2 3" xfId="37159" xr:uid="{D9DCBDDD-74CA-4545-AC82-99192B8D3DC3}"/>
    <cellStyle name="Normal 2 4 3 3 3 2 2 3" xfId="17980" xr:uid="{3BAC061C-1799-4B4C-A24B-CDE0A12C7F8E}"/>
    <cellStyle name="Normal 2 4 3 3 3 2 2 3 2" xfId="43472" xr:uid="{56D42CD3-5035-4785-AD9E-735FAA22B55A}"/>
    <cellStyle name="Normal 2 4 3 3 3 2 2 4" xfId="30881" xr:uid="{663D5EF1-4EF7-4CBA-BCAA-1577B8731C02}"/>
    <cellStyle name="Normal 2 4 3 3 3 2 3" xfId="8437" xr:uid="{37670650-7305-442A-8AD6-0676C6FF6624}"/>
    <cellStyle name="Normal 2 4 3 3 3 2 3 2" xfId="21119" xr:uid="{9F15F519-24DB-4DB6-8A86-EAF67D40B897}"/>
    <cellStyle name="Normal 2 4 3 3 3 2 3 2 2" xfId="46611" xr:uid="{5C28711B-CB2E-4890-BFB5-C1B2986FC678}"/>
    <cellStyle name="Normal 2 4 3 3 3 2 3 3" xfId="34020" xr:uid="{D13A9491-5B7D-4F67-B9D2-04595DEFC155}"/>
    <cellStyle name="Normal 2 4 3 3 3 2 4" xfId="14841" xr:uid="{056B28D0-4842-4388-862D-61927AFA67CE}"/>
    <cellStyle name="Normal 2 4 3 3 3 2 4 2" xfId="40333" xr:uid="{F6E416EF-B926-44EA-B62F-0CFA05C38899}"/>
    <cellStyle name="Normal 2 4 3 3 3 2 5" xfId="27742" xr:uid="{957E899F-BAEA-46CF-A6C3-1E95951E3FE0}"/>
    <cellStyle name="Normal 2 4 3 3 3 3" xfId="3976" xr:uid="{3AAC8244-D68B-4DC0-9928-3DEDEFB6434E}"/>
    <cellStyle name="Normal 2 4 3 3 3 3 2" xfId="10269" xr:uid="{CC6515F2-1F79-478E-9278-120A71A3D047}"/>
    <cellStyle name="Normal 2 4 3 3 3 3 2 2" xfId="22951" xr:uid="{025D98C1-CE6E-487D-8893-75AA870F196C}"/>
    <cellStyle name="Normal 2 4 3 3 3 3 2 2 2" xfId="48443" xr:uid="{026EF944-E124-4132-A6C9-A1112D6361DA}"/>
    <cellStyle name="Normal 2 4 3 3 3 3 2 3" xfId="35852" xr:uid="{3EB15E0F-A9D7-4D95-9144-CF282A656AB6}"/>
    <cellStyle name="Normal 2 4 3 3 3 3 3" xfId="16673" xr:uid="{DDEC4FB0-88A3-44CC-92F8-277427AEC437}"/>
    <cellStyle name="Normal 2 4 3 3 3 3 3 2" xfId="42165" xr:uid="{12CDF3CC-070C-448A-BE56-6ED9929A2CFF}"/>
    <cellStyle name="Normal 2 4 3 3 3 3 4" xfId="29574" xr:uid="{1CB98583-EAEE-4D0F-8130-800452DA41D7}"/>
    <cellStyle name="Normal 2 4 3 3 3 4" xfId="7130" xr:uid="{7FF3B57E-34B5-4E82-A2EB-72B2C9F7FD83}"/>
    <cellStyle name="Normal 2 4 3 3 3 4 2" xfId="19812" xr:uid="{5F77BE03-3263-4F04-A053-C3B832FBC83C}"/>
    <cellStyle name="Normal 2 4 3 3 3 4 2 2" xfId="45304" xr:uid="{158DEF3D-9EE6-4CB9-AAE4-9462B77FB26E}"/>
    <cellStyle name="Normal 2 4 3 3 3 4 3" xfId="32713" xr:uid="{155A5363-FC4F-4D95-A220-61975DBF287A}"/>
    <cellStyle name="Normal 2 4 3 3 3 5" xfId="13534" xr:uid="{2350FDCB-F050-49F9-BD3F-7C3181CA5744}"/>
    <cellStyle name="Normal 2 4 3 3 3 5 2" xfId="39026" xr:uid="{1E700EBD-A115-4C04-8211-A89ED302EB06}"/>
    <cellStyle name="Normal 2 4 3 3 3 6" xfId="26435" xr:uid="{73FAE0FD-798F-440B-B0D6-382F6D2D9DC3}"/>
    <cellStyle name="Normal 2 4 3 3 4" xfId="1867" xr:uid="{28C35C4E-80B4-4A3A-B6B0-673E177F1682}"/>
    <cellStyle name="Normal 2 4 3 3 4 2" xfId="5021" xr:uid="{3AB21978-5E2B-47E6-A5CE-E8448C3FE79D}"/>
    <cellStyle name="Normal 2 4 3 3 4 2 2" xfId="11314" xr:uid="{4027F3F1-60EF-413F-B2AB-F05EF14B7DFB}"/>
    <cellStyle name="Normal 2 4 3 3 4 2 2 2" xfId="23996" xr:uid="{C98F6DEB-C5BE-4C02-B639-C2ADDA402C32}"/>
    <cellStyle name="Normal 2 4 3 3 4 2 2 2 2" xfId="49488" xr:uid="{B5692D45-0CFE-48C7-9B14-00E05FF8FD9A}"/>
    <cellStyle name="Normal 2 4 3 3 4 2 2 3" xfId="36897" xr:uid="{FCDF83B4-8D7C-41A3-9056-A6DB7BC7478A}"/>
    <cellStyle name="Normal 2 4 3 3 4 2 3" xfId="17718" xr:uid="{7210AFA6-9B0D-4C10-B3AC-CC8D00AD801F}"/>
    <cellStyle name="Normal 2 4 3 3 4 2 3 2" xfId="43210" xr:uid="{E3B04E05-C6E9-4CFB-A312-759EDFB8F3CE}"/>
    <cellStyle name="Normal 2 4 3 3 4 2 4" xfId="30619" xr:uid="{CCF0F188-6AD0-41F9-AB38-EF44EA900A64}"/>
    <cellStyle name="Normal 2 4 3 3 4 3" xfId="8175" xr:uid="{B2E2DBC9-2100-42B4-A076-715A86A12BFA}"/>
    <cellStyle name="Normal 2 4 3 3 4 3 2" xfId="20857" xr:uid="{040E185A-A2BF-4E62-B79C-7E49AD053A93}"/>
    <cellStyle name="Normal 2 4 3 3 4 3 2 2" xfId="46349" xr:uid="{5310F772-45C8-475A-9E0C-850FA2AC1095}"/>
    <cellStyle name="Normal 2 4 3 3 4 3 3" xfId="33758" xr:uid="{732143DF-AB11-4125-A427-8BF2192AF4E6}"/>
    <cellStyle name="Normal 2 4 3 3 4 4" xfId="14579" xr:uid="{10A85EAF-1B1B-4AB0-8AA9-0EF3D636F00B}"/>
    <cellStyle name="Normal 2 4 3 3 4 4 2" xfId="40071" xr:uid="{4882A999-AB37-4687-A5E6-25574D6AF1FC}"/>
    <cellStyle name="Normal 2 4 3 3 4 5" xfId="27480" xr:uid="{DA9CEBB5-F710-442D-8084-804D9A194B64}"/>
    <cellStyle name="Normal 2 4 3 3 5" xfId="1345" xr:uid="{DCF76FC1-030B-4841-94D8-0D938AFF6246}"/>
    <cellStyle name="Normal 2 4 3 3 5 2" xfId="4499" xr:uid="{DA6EC3B2-D541-416C-988A-B72BB03B29FF}"/>
    <cellStyle name="Normal 2 4 3 3 5 2 2" xfId="10792" xr:uid="{B888683C-CC83-47D8-9D8E-A6D612309238}"/>
    <cellStyle name="Normal 2 4 3 3 5 2 2 2" xfId="23474" xr:uid="{4C0A28C3-4FD5-4A29-A6A6-257035364007}"/>
    <cellStyle name="Normal 2 4 3 3 5 2 2 2 2" xfId="48966" xr:uid="{CDD18124-CFEA-4C6E-A6DF-4F943553C07D}"/>
    <cellStyle name="Normal 2 4 3 3 5 2 2 3" xfId="36375" xr:uid="{4D0ADA5B-A127-4666-81C8-D97A06817018}"/>
    <cellStyle name="Normal 2 4 3 3 5 2 3" xfId="17196" xr:uid="{0F8EAE34-407B-4DAE-BF2A-B9CB9C8B43A3}"/>
    <cellStyle name="Normal 2 4 3 3 5 2 3 2" xfId="42688" xr:uid="{4B1E64AA-D0B3-4444-8173-1D75D8111AE3}"/>
    <cellStyle name="Normal 2 4 3 3 5 2 4" xfId="30097" xr:uid="{0B3543BD-6716-45C0-92EC-F86F64EFA19C}"/>
    <cellStyle name="Normal 2 4 3 3 5 3" xfId="7653" xr:uid="{6DAE9330-BD75-4778-9BA6-E820DB4C4B09}"/>
    <cellStyle name="Normal 2 4 3 3 5 3 2" xfId="20335" xr:uid="{CAFA4CC8-8D99-4859-97AC-8229A448CDB8}"/>
    <cellStyle name="Normal 2 4 3 3 5 3 2 2" xfId="45827" xr:uid="{1F962FB0-3A0C-4B28-A805-1985FAD7C95B}"/>
    <cellStyle name="Normal 2 4 3 3 5 3 3" xfId="33236" xr:uid="{F1E079B2-0882-4A93-8314-57367A93CDA8}"/>
    <cellStyle name="Normal 2 4 3 3 5 4" xfId="14057" xr:uid="{DCD4A844-4CD1-45B7-BFCD-2608B38EA90D}"/>
    <cellStyle name="Normal 2 4 3 3 5 4 2" xfId="39549" xr:uid="{6185F255-3567-4156-A498-5B7FC4ED80A1}"/>
    <cellStyle name="Normal 2 4 3 3 5 5" xfId="26958" xr:uid="{E087BA9D-61F3-40A9-9A89-0617F508FD70}"/>
    <cellStyle name="Normal 2 4 3 3 6" xfId="2652" xr:uid="{D18E2923-8C03-4159-B3E6-3A197AB3C99E}"/>
    <cellStyle name="Normal 2 4 3 3 6 2" xfId="5806" xr:uid="{D5A3B3E3-3A89-416F-81B5-CEB51E44A736}"/>
    <cellStyle name="Normal 2 4 3 3 6 2 2" xfId="12099" xr:uid="{F82F953F-7A7E-4CF8-9A99-3C359C895C45}"/>
    <cellStyle name="Normal 2 4 3 3 6 2 2 2" xfId="24781" xr:uid="{3EAC9A5D-C7D4-4FDB-95E7-9460AB97C09E}"/>
    <cellStyle name="Normal 2 4 3 3 6 2 2 2 2" xfId="50273" xr:uid="{1A877ED4-C017-401D-BA16-E614597B94F3}"/>
    <cellStyle name="Normal 2 4 3 3 6 2 2 3" xfId="37682" xr:uid="{4323578D-1A5D-429D-86B1-FF7CDD8621FE}"/>
    <cellStyle name="Normal 2 4 3 3 6 2 3" xfId="18503" xr:uid="{E7565CA1-F55F-4472-A399-436AB8009C5E}"/>
    <cellStyle name="Normal 2 4 3 3 6 2 3 2" xfId="43995" xr:uid="{8C43DE29-9CCE-41A5-9488-31C3567ED278}"/>
    <cellStyle name="Normal 2 4 3 3 6 2 4" xfId="31404" xr:uid="{3DB72604-3319-42B2-BD9C-DF6681AA7089}"/>
    <cellStyle name="Normal 2 4 3 3 6 3" xfId="8960" xr:uid="{B5BB85DE-5F05-44C5-8B71-998E1FB69A12}"/>
    <cellStyle name="Normal 2 4 3 3 6 3 2" xfId="21642" xr:uid="{05E721F7-28BA-4B55-91C4-276D834F99AE}"/>
    <cellStyle name="Normal 2 4 3 3 6 3 2 2" xfId="47134" xr:uid="{5E37F2F9-42ED-47E1-90A8-383AF584726A}"/>
    <cellStyle name="Normal 2 4 3 3 6 3 3" xfId="34543" xr:uid="{DFB21290-EDC1-4D6D-8ACB-CA4A1942C7F2}"/>
    <cellStyle name="Normal 2 4 3 3 6 4" xfId="15364" xr:uid="{64756AB9-7EF6-4525-B86F-CFB713BB32CB}"/>
    <cellStyle name="Normal 2 4 3 3 6 4 2" xfId="40856" xr:uid="{EED2A131-1D81-470E-958B-71651F88C2CA}"/>
    <cellStyle name="Normal 2 4 3 3 6 5" xfId="28265" xr:uid="{DC7F0C1C-CD4C-4D08-AED1-C9CE16BA3D1E}"/>
    <cellStyle name="Normal 2 4 3 3 7" xfId="3175" xr:uid="{FDB96A0B-1D56-43BF-BC57-E0F677D47124}"/>
    <cellStyle name="Normal 2 4 3 3 7 2" xfId="6329" xr:uid="{B9534791-C29E-4A98-A5EE-62D69058CB83}"/>
    <cellStyle name="Normal 2 4 3 3 7 2 2" xfId="12622" xr:uid="{5A4E230F-E55E-4264-A7D6-DA65631A8AA8}"/>
    <cellStyle name="Normal 2 4 3 3 7 2 2 2" xfId="25304" xr:uid="{6D191885-40DA-4C8A-A7BD-A42229FFF50B}"/>
    <cellStyle name="Normal 2 4 3 3 7 2 2 2 2" xfId="50796" xr:uid="{7EFC84EB-7244-4E8D-A8D7-18A201598BFC}"/>
    <cellStyle name="Normal 2 4 3 3 7 2 2 3" xfId="38205" xr:uid="{B50EBC4A-D8F7-4341-95A6-D2FF1ECD6645}"/>
    <cellStyle name="Normal 2 4 3 3 7 2 3" xfId="19026" xr:uid="{CCEB3E92-0C35-4CC3-B0C8-F534D4B5B75F}"/>
    <cellStyle name="Normal 2 4 3 3 7 2 3 2" xfId="44518" xr:uid="{E6761CDF-B7AC-4E60-A0AC-F6DEF6B8F488}"/>
    <cellStyle name="Normal 2 4 3 3 7 2 4" xfId="31927" xr:uid="{2F9B15F0-3561-4AA4-AC05-111B05B4020A}"/>
    <cellStyle name="Normal 2 4 3 3 7 3" xfId="9483" xr:uid="{5C5F0315-E0AE-4754-AAB9-09BB93969474}"/>
    <cellStyle name="Normal 2 4 3 3 7 3 2" xfId="22165" xr:uid="{27D8885F-F257-482E-B57C-E8A9AF1C7906}"/>
    <cellStyle name="Normal 2 4 3 3 7 3 2 2" xfId="47657" xr:uid="{99C75376-4F59-43CD-87DA-D4597FBF8309}"/>
    <cellStyle name="Normal 2 4 3 3 7 3 3" xfId="35066" xr:uid="{2DFC8DA4-68CF-4DAE-8FF7-DC354235DD85}"/>
    <cellStyle name="Normal 2 4 3 3 7 4" xfId="15887" xr:uid="{D860A176-E0EF-45B1-9435-C8FE409A6C06}"/>
    <cellStyle name="Normal 2 4 3 3 7 4 2" xfId="41379" xr:uid="{921EECA8-6A70-4647-99FC-5F05AD109B92}"/>
    <cellStyle name="Normal 2 4 3 3 7 5" xfId="28788" xr:uid="{8D27DCF5-0F42-44C2-80E8-4183D39BF693}"/>
    <cellStyle name="Normal 2 4 3 3 8" xfId="3714" xr:uid="{57E6A496-E3B7-4E2C-AAF6-B3A21F0098EC}"/>
    <cellStyle name="Normal 2 4 3 3 8 2" xfId="10007" xr:uid="{A5BD36E2-BC90-4F81-AB64-BDBA8D508C9B}"/>
    <cellStyle name="Normal 2 4 3 3 8 2 2" xfId="22689" xr:uid="{84C0738B-4D7D-4B9F-A466-FD921D9FD54E}"/>
    <cellStyle name="Normal 2 4 3 3 8 2 2 2" xfId="48181" xr:uid="{8A20F124-D927-4699-AEE6-4EB268D43A8C}"/>
    <cellStyle name="Normal 2 4 3 3 8 2 3" xfId="35590" xr:uid="{8DF3C80C-4E88-452A-A5C5-DB93D66E8731}"/>
    <cellStyle name="Normal 2 4 3 3 8 3" xfId="16411" xr:uid="{25F1C140-D4E2-4B36-ADDD-66D6A65AC3C8}"/>
    <cellStyle name="Normal 2 4 3 3 8 3 2" xfId="41903" xr:uid="{63E445D8-DB4A-4C8F-B31F-779A25B60CA2}"/>
    <cellStyle name="Normal 2 4 3 3 8 4" xfId="29312" xr:uid="{D4CEA282-B835-4ED5-B33A-2D2675CF98CB}"/>
    <cellStyle name="Normal 2 4 3 3 9" xfId="6868" xr:uid="{E4EF1018-1871-4931-80BD-077648F2389F}"/>
    <cellStyle name="Normal 2 4 3 3 9 2" xfId="19550" xr:uid="{118D02C6-F93D-4E7F-B621-57ED45162CFF}"/>
    <cellStyle name="Normal 2 4 3 3 9 2 2" xfId="45042" xr:uid="{D4400B93-1815-43C4-B05C-85BC72C3AF10}"/>
    <cellStyle name="Normal 2 4 3 3 9 3" xfId="32451" xr:uid="{EDE1D917-A7F8-4356-9E34-F3EB316E22DA}"/>
    <cellStyle name="Normal 2 4 3 4" xfId="1023" xr:uid="{81777D07-5318-4F75-B323-85EA254118C7}"/>
    <cellStyle name="Normal 2 4 3 4 2" xfId="2330" xr:uid="{8B5E1EF6-6F5A-4B6C-B6D2-11A6FA3598D7}"/>
    <cellStyle name="Normal 2 4 3 4 2 2" xfId="5484" xr:uid="{78B4BB04-5C7E-4B88-866D-B39383A917F9}"/>
    <cellStyle name="Normal 2 4 3 4 2 2 2" xfId="11777" xr:uid="{67B9D22E-CFA5-4703-A3C5-71A51FED2795}"/>
    <cellStyle name="Normal 2 4 3 4 2 2 2 2" xfId="24459" xr:uid="{16E314E6-C1BC-46D9-ACF2-F87E0CDC0547}"/>
    <cellStyle name="Normal 2 4 3 4 2 2 2 2 2" xfId="49951" xr:uid="{35468AE5-82CB-4577-9D70-9F8F68C90649}"/>
    <cellStyle name="Normal 2 4 3 4 2 2 2 3" xfId="37360" xr:uid="{4CBD7C79-7DD3-45A6-8D64-AFB91D946D32}"/>
    <cellStyle name="Normal 2 4 3 4 2 2 3" xfId="18181" xr:uid="{B92AE7A3-7FFC-429F-B95C-B60B31F53D5A}"/>
    <cellStyle name="Normal 2 4 3 4 2 2 3 2" xfId="43673" xr:uid="{B7638F33-5CC0-45E4-AAA6-2A09A87CA672}"/>
    <cellStyle name="Normal 2 4 3 4 2 2 4" xfId="31082" xr:uid="{125409EC-BF85-46E2-B06E-58A59360BF02}"/>
    <cellStyle name="Normal 2 4 3 4 2 3" xfId="8638" xr:uid="{CCECDCD6-43C2-49DA-A0A5-79CE73186D7E}"/>
    <cellStyle name="Normal 2 4 3 4 2 3 2" xfId="21320" xr:uid="{0FDFF9B3-A765-4090-98F9-FD432622056E}"/>
    <cellStyle name="Normal 2 4 3 4 2 3 2 2" xfId="46812" xr:uid="{D5C10035-9286-4D15-B7F5-52336AA37C6B}"/>
    <cellStyle name="Normal 2 4 3 4 2 3 3" xfId="34221" xr:uid="{57930498-180B-464A-9EFB-F3C4A4DF717D}"/>
    <cellStyle name="Normal 2 4 3 4 2 4" xfId="15042" xr:uid="{7D79786C-6414-4C8F-8EDB-BCA0070B0EC7}"/>
    <cellStyle name="Normal 2 4 3 4 2 4 2" xfId="40534" xr:uid="{6F746216-1A2C-4432-828E-9AEF658B42BE}"/>
    <cellStyle name="Normal 2 4 3 4 2 5" xfId="27943" xr:uid="{D33E58F0-FE5F-4B26-9480-57CDA339141A}"/>
    <cellStyle name="Normal 2 4 3 4 3" xfId="1547" xr:uid="{6AFEA11A-988F-4DED-9962-A8764A32205D}"/>
    <cellStyle name="Normal 2 4 3 4 3 2" xfId="4701" xr:uid="{89E06CB1-A73E-4353-802B-2D077A9EDB9C}"/>
    <cellStyle name="Normal 2 4 3 4 3 2 2" xfId="10994" xr:uid="{2B40713D-38AD-4303-A2EF-C63AE31D4B26}"/>
    <cellStyle name="Normal 2 4 3 4 3 2 2 2" xfId="23676" xr:uid="{6ACC0FD0-2157-42B6-BA2C-8536FDD8C77A}"/>
    <cellStyle name="Normal 2 4 3 4 3 2 2 2 2" xfId="49168" xr:uid="{67245D44-BDD8-41ED-935C-6F5DA8A54BE6}"/>
    <cellStyle name="Normal 2 4 3 4 3 2 2 3" xfId="36577" xr:uid="{2D1FD63D-7F95-4BAB-A83E-7A1999B1CD3A}"/>
    <cellStyle name="Normal 2 4 3 4 3 2 3" xfId="17398" xr:uid="{3724C3C3-926C-4D5C-9317-FFA69E0799F1}"/>
    <cellStyle name="Normal 2 4 3 4 3 2 3 2" xfId="42890" xr:uid="{3F8811EF-A550-4159-BDFD-F3B46AFFD9DF}"/>
    <cellStyle name="Normal 2 4 3 4 3 2 4" xfId="30299" xr:uid="{814E5B8D-86E5-445D-85CA-93F547CE7AA9}"/>
    <cellStyle name="Normal 2 4 3 4 3 3" xfId="7855" xr:uid="{C039E989-B05F-4613-B6E3-35694DFBBE2E}"/>
    <cellStyle name="Normal 2 4 3 4 3 3 2" xfId="20537" xr:uid="{DC974FFB-1B07-4D58-ABD4-E52B0CDF7650}"/>
    <cellStyle name="Normal 2 4 3 4 3 3 2 2" xfId="46029" xr:uid="{EC6B1171-2BFC-4659-9980-A8D13B03E9B7}"/>
    <cellStyle name="Normal 2 4 3 4 3 3 3" xfId="33438" xr:uid="{CC5E2179-169E-46B0-8715-AE65CAFC675E}"/>
    <cellStyle name="Normal 2 4 3 4 3 4" xfId="14259" xr:uid="{94602206-2F6F-4DBD-A2CF-0E5A7906350B}"/>
    <cellStyle name="Normal 2 4 3 4 3 4 2" xfId="39751" xr:uid="{A1194221-DCAF-4193-8C01-1EBED6904D5F}"/>
    <cellStyle name="Normal 2 4 3 4 3 5" xfId="27160" xr:uid="{0EAEA548-6F01-45FF-838A-6CF36893A846}"/>
    <cellStyle name="Normal 2 4 3 4 4" xfId="2854" xr:uid="{A3FE253C-8AC3-4B7B-87EE-504832EFA451}"/>
    <cellStyle name="Normal 2 4 3 4 4 2" xfId="6008" xr:uid="{9631BA9D-863F-402C-BC1E-0BA4FAE86F4C}"/>
    <cellStyle name="Normal 2 4 3 4 4 2 2" xfId="12301" xr:uid="{0D8EE6F8-C27B-452C-9603-B61B77C51915}"/>
    <cellStyle name="Normal 2 4 3 4 4 2 2 2" xfId="24983" xr:uid="{F593FD0C-56A5-4A3A-9F13-422F8D6A4B5F}"/>
    <cellStyle name="Normal 2 4 3 4 4 2 2 2 2" xfId="50475" xr:uid="{088FD65F-A89D-498F-8318-B819A29241E3}"/>
    <cellStyle name="Normal 2 4 3 4 4 2 2 3" xfId="37884" xr:uid="{B079ABC7-77AF-49DB-94E6-975B2042640A}"/>
    <cellStyle name="Normal 2 4 3 4 4 2 3" xfId="18705" xr:uid="{540E365D-5643-48A8-BB5F-11560C8B16A4}"/>
    <cellStyle name="Normal 2 4 3 4 4 2 3 2" xfId="44197" xr:uid="{75313352-B561-4A26-90A7-A933402B38FF}"/>
    <cellStyle name="Normal 2 4 3 4 4 2 4" xfId="31606" xr:uid="{193AC678-9535-40CF-A952-850EB2BBCB7F}"/>
    <cellStyle name="Normal 2 4 3 4 4 3" xfId="9162" xr:uid="{08F00162-C55E-41A9-BEC5-5CE0B222930E}"/>
    <cellStyle name="Normal 2 4 3 4 4 3 2" xfId="21844" xr:uid="{8715B9BB-40FA-496F-BE8B-E95BEABB70B9}"/>
    <cellStyle name="Normal 2 4 3 4 4 3 2 2" xfId="47336" xr:uid="{F1FF5889-159F-4C29-8440-AE3D5D2E6BC3}"/>
    <cellStyle name="Normal 2 4 3 4 4 3 3" xfId="34745" xr:uid="{71AAAD11-F7BA-4FF5-93AA-5CB0670B2E16}"/>
    <cellStyle name="Normal 2 4 3 4 4 4" xfId="15566" xr:uid="{89C97A06-9838-4CAF-80CE-159E9F491F35}"/>
    <cellStyle name="Normal 2 4 3 4 4 4 2" xfId="41058" xr:uid="{13C47434-223B-4ABA-987B-809BDFD4A2C5}"/>
    <cellStyle name="Normal 2 4 3 4 4 5" xfId="28467" xr:uid="{566B507F-E456-4147-AB30-23F584402822}"/>
    <cellStyle name="Normal 2 4 3 4 5" xfId="3377" xr:uid="{B2E3C3DE-76F6-4CB7-80FB-73B58CC8D30D}"/>
    <cellStyle name="Normal 2 4 3 4 5 2" xfId="6531" xr:uid="{9516B408-090D-4DDD-BF7D-699A17C5AF12}"/>
    <cellStyle name="Normal 2 4 3 4 5 2 2" xfId="12824" xr:uid="{7BCBFC37-C210-4E51-92F4-50DF86C579C0}"/>
    <cellStyle name="Normal 2 4 3 4 5 2 2 2" xfId="25506" xr:uid="{03B42D92-5C62-49E3-830B-138F19990317}"/>
    <cellStyle name="Normal 2 4 3 4 5 2 2 2 2" xfId="50998" xr:uid="{3A0B2E57-25C7-4005-A227-17C1B60B3438}"/>
    <cellStyle name="Normal 2 4 3 4 5 2 2 3" xfId="38407" xr:uid="{45D0DE4D-9D9A-4896-B4B5-BAF350CB3956}"/>
    <cellStyle name="Normal 2 4 3 4 5 2 3" xfId="19228" xr:uid="{2E3B0690-FB87-4ADC-BC88-7C517280780C}"/>
    <cellStyle name="Normal 2 4 3 4 5 2 3 2" xfId="44720" xr:uid="{0F45AACC-A26E-4314-A96E-8A49756016ED}"/>
    <cellStyle name="Normal 2 4 3 4 5 2 4" xfId="32129" xr:uid="{E6C96993-66C1-4E90-BA5A-54954F1C8F9B}"/>
    <cellStyle name="Normal 2 4 3 4 5 3" xfId="9685" xr:uid="{F1058A09-D2FA-4490-9619-A8B65D901071}"/>
    <cellStyle name="Normal 2 4 3 4 5 3 2" xfId="22367" xr:uid="{AA856F58-B1E3-40BC-819C-C470E27286FF}"/>
    <cellStyle name="Normal 2 4 3 4 5 3 2 2" xfId="47859" xr:uid="{05A98FFB-2AAA-43E3-BAC1-8DE6BE363261}"/>
    <cellStyle name="Normal 2 4 3 4 5 3 3" xfId="35268" xr:uid="{6DF55012-DC49-4CBE-BD04-9107F8D37F7A}"/>
    <cellStyle name="Normal 2 4 3 4 5 4" xfId="16089" xr:uid="{94255FC0-1258-46AC-8979-C7F4A95DFD27}"/>
    <cellStyle name="Normal 2 4 3 4 5 4 2" xfId="41581" xr:uid="{52B2D99D-08F2-470D-8DCE-F42AAD0DAB6E}"/>
    <cellStyle name="Normal 2 4 3 4 5 5" xfId="28990" xr:uid="{7E993EB5-8BA7-4F60-B40B-FE8DA5291EF1}"/>
    <cellStyle name="Normal 2 4 3 4 6" xfId="4177" xr:uid="{58E36550-543A-4489-9643-55A20C36964D}"/>
    <cellStyle name="Normal 2 4 3 4 6 2" xfId="10470" xr:uid="{CDD44EE2-E708-4EFF-A6A0-BD7CE9FF6998}"/>
    <cellStyle name="Normal 2 4 3 4 6 2 2" xfId="23152" xr:uid="{37DE0B26-6C4C-494A-AB35-44A64313A93F}"/>
    <cellStyle name="Normal 2 4 3 4 6 2 2 2" xfId="48644" xr:uid="{13CDEBE8-CF6F-4B33-916A-1D7E549F92E5}"/>
    <cellStyle name="Normal 2 4 3 4 6 2 3" xfId="36053" xr:uid="{D2F8515E-7C44-4DFF-8C89-149AC48A55EB}"/>
    <cellStyle name="Normal 2 4 3 4 6 3" xfId="16874" xr:uid="{C169A913-35F8-4C8A-8E6E-12C5EA3F5C78}"/>
    <cellStyle name="Normal 2 4 3 4 6 3 2" xfId="42366" xr:uid="{8F1C7F2F-4DD9-49B3-9664-4FC220BAF5C4}"/>
    <cellStyle name="Normal 2 4 3 4 6 4" xfId="29775" xr:uid="{F5F1C9A8-0D99-4446-83AE-6145F16F3BB8}"/>
    <cellStyle name="Normal 2 4 3 4 7" xfId="7331" xr:uid="{D3AF9168-EAF5-40B3-80AF-A496B0DC97D9}"/>
    <cellStyle name="Normal 2 4 3 4 7 2" xfId="20013" xr:uid="{1F30B0E8-0721-4129-86EF-084DE4EB9097}"/>
    <cellStyle name="Normal 2 4 3 4 7 2 2" xfId="45505" xr:uid="{2CD7E2CE-3E7B-4044-BC00-3070B06B7FB1}"/>
    <cellStyle name="Normal 2 4 3 4 7 3" xfId="32914" xr:uid="{6ED9D6D8-08C9-4EC2-BEF3-CA3A3C7883F0}"/>
    <cellStyle name="Normal 2 4 3 4 8" xfId="13735" xr:uid="{7B072B32-50A4-4152-A35B-5FDC2DF8A075}"/>
    <cellStyle name="Normal 2 4 3 4 8 2" xfId="39227" xr:uid="{7D2A378A-898C-402D-84B9-9AA80F630832}"/>
    <cellStyle name="Normal 2 4 3 4 9" xfId="26636" xr:uid="{A31AA39E-9E50-47FD-ABB6-65F6E0980FD5}"/>
    <cellStyle name="Normal 2 4 3 5" xfId="763" xr:uid="{C3E20FF4-6F23-4951-B224-77286757D1BE}"/>
    <cellStyle name="Normal 2 4 3 5 2" xfId="2070" xr:uid="{6378AC7C-5C2E-49EC-85F8-EA05EFAE98DE}"/>
    <cellStyle name="Normal 2 4 3 5 2 2" xfId="5224" xr:uid="{AB4CAA08-7560-4097-8D57-11FC2F6A9CD3}"/>
    <cellStyle name="Normal 2 4 3 5 2 2 2" xfId="11517" xr:uid="{638BCE1D-763C-445E-8C5B-6402A48F6760}"/>
    <cellStyle name="Normal 2 4 3 5 2 2 2 2" xfId="24199" xr:uid="{9F34206B-E9F9-4609-B911-BB5D5F4DDCC3}"/>
    <cellStyle name="Normal 2 4 3 5 2 2 2 2 2" xfId="49691" xr:uid="{309F9D2E-4CC1-498A-8AE8-8E11E0B694EB}"/>
    <cellStyle name="Normal 2 4 3 5 2 2 2 3" xfId="37100" xr:uid="{98A866E3-981A-4CA4-936F-BE4F81E221D9}"/>
    <cellStyle name="Normal 2 4 3 5 2 2 3" xfId="17921" xr:uid="{5A8FC75D-4FAE-4578-A32B-6F552CA014BF}"/>
    <cellStyle name="Normal 2 4 3 5 2 2 3 2" xfId="43413" xr:uid="{F5B3B107-4197-4C17-93ED-9E8A4C47E1DE}"/>
    <cellStyle name="Normal 2 4 3 5 2 2 4" xfId="30822" xr:uid="{180BF417-71F5-46B0-A880-B833E2F62822}"/>
    <cellStyle name="Normal 2 4 3 5 2 3" xfId="8378" xr:uid="{7FA27553-D1F7-45AE-9CDA-E86944D9D03D}"/>
    <cellStyle name="Normal 2 4 3 5 2 3 2" xfId="21060" xr:uid="{E69296AA-A42F-4636-9556-BC28A5F37C7C}"/>
    <cellStyle name="Normal 2 4 3 5 2 3 2 2" xfId="46552" xr:uid="{91670888-049C-407F-BC31-741DCDC5A0FC}"/>
    <cellStyle name="Normal 2 4 3 5 2 3 3" xfId="33961" xr:uid="{93D51230-BBEB-4D41-AAC3-454853E75A7C}"/>
    <cellStyle name="Normal 2 4 3 5 2 4" xfId="14782" xr:uid="{55666574-6AB0-40D4-ABAF-A61785890B61}"/>
    <cellStyle name="Normal 2 4 3 5 2 4 2" xfId="40274" xr:uid="{F27689BC-5954-4603-9CCC-EFD1DE107C6F}"/>
    <cellStyle name="Normal 2 4 3 5 2 5" xfId="27683" xr:uid="{CAD89F6C-6903-478C-B60A-CBB8024B2311}"/>
    <cellStyle name="Normal 2 4 3 5 3" xfId="3917" xr:uid="{04DBF88A-6E5D-4FAA-83AC-4F4C615B3ABC}"/>
    <cellStyle name="Normal 2 4 3 5 3 2" xfId="10210" xr:uid="{08629733-52D0-4549-B890-B1AA4D117367}"/>
    <cellStyle name="Normal 2 4 3 5 3 2 2" xfId="22892" xr:uid="{BD898B4B-C06D-4517-9861-845CF80D494B}"/>
    <cellStyle name="Normal 2 4 3 5 3 2 2 2" xfId="48384" xr:uid="{2B4E21C7-EAB5-4215-95F0-0E2893D4EF02}"/>
    <cellStyle name="Normal 2 4 3 5 3 2 3" xfId="35793" xr:uid="{E8C27204-A40F-4348-AEC5-D7E9B5EEFDEF}"/>
    <cellStyle name="Normal 2 4 3 5 3 3" xfId="16614" xr:uid="{CF7B6EA5-389A-429F-83A7-A3D39A95361C}"/>
    <cellStyle name="Normal 2 4 3 5 3 3 2" xfId="42106" xr:uid="{D05C892E-766A-4DD8-AC82-9EC20CCFC208}"/>
    <cellStyle name="Normal 2 4 3 5 3 4" xfId="29515" xr:uid="{FAE5999D-1E14-41D3-8B40-52D019C7A0C8}"/>
    <cellStyle name="Normal 2 4 3 5 4" xfId="7071" xr:uid="{4CF1697E-E958-4CDF-B4F5-3F46FC70990A}"/>
    <cellStyle name="Normal 2 4 3 5 4 2" xfId="19753" xr:uid="{AE73800A-17EF-46BF-A312-90ADCAD1A03F}"/>
    <cellStyle name="Normal 2 4 3 5 4 2 2" xfId="45245" xr:uid="{72C38A3C-FBC5-419D-8C3C-799F356FC2AA}"/>
    <cellStyle name="Normal 2 4 3 5 4 3" xfId="32654" xr:uid="{22F50B12-F762-4742-8203-AB8B02D030D2}"/>
    <cellStyle name="Normal 2 4 3 5 5" xfId="13475" xr:uid="{6B2E1CC0-AACC-4813-844F-CE2105DF0657}"/>
    <cellStyle name="Normal 2 4 3 5 5 2" xfId="38967" xr:uid="{B407FAFB-5235-4DA7-BAC5-CC00DFD30A05}"/>
    <cellStyle name="Normal 2 4 3 5 6" xfId="26376" xr:uid="{3F92EC21-0A98-47B3-BAD0-E074FDD3A53F}"/>
    <cellStyle name="Normal 2 4 3 6" xfId="1808" xr:uid="{D1A79B9A-4BCA-4295-9C3E-3673DE6973E3}"/>
    <cellStyle name="Normal 2 4 3 6 2" xfId="4962" xr:uid="{755D223B-AB12-4232-B7E7-56F31F5265F8}"/>
    <cellStyle name="Normal 2 4 3 6 2 2" xfId="11255" xr:uid="{8320EB40-D982-400D-8CCB-55AF3611B364}"/>
    <cellStyle name="Normal 2 4 3 6 2 2 2" xfId="23937" xr:uid="{B113ED2A-F72D-41A6-B3C4-0AAD99CECD18}"/>
    <cellStyle name="Normal 2 4 3 6 2 2 2 2" xfId="49429" xr:uid="{20BDC1C1-A2AE-4D26-8220-66409B824053}"/>
    <cellStyle name="Normal 2 4 3 6 2 2 3" xfId="36838" xr:uid="{2998D788-E4E5-4CE6-9389-DB672B97F2D6}"/>
    <cellStyle name="Normal 2 4 3 6 2 3" xfId="17659" xr:uid="{707767C9-2AF1-4F6A-B769-EA940816FDD0}"/>
    <cellStyle name="Normal 2 4 3 6 2 3 2" xfId="43151" xr:uid="{E79D909F-A296-4262-A986-D489B07FDEAF}"/>
    <cellStyle name="Normal 2 4 3 6 2 4" xfId="30560" xr:uid="{DA1158BA-2630-43D0-86C8-7B1CBFF1D422}"/>
    <cellStyle name="Normal 2 4 3 6 3" xfId="8116" xr:uid="{43E72C54-C384-4B17-9CF3-490EE611FDB6}"/>
    <cellStyle name="Normal 2 4 3 6 3 2" xfId="20798" xr:uid="{AB5BC299-5D95-4B80-8A58-D1A7FD0ED4CF}"/>
    <cellStyle name="Normal 2 4 3 6 3 2 2" xfId="46290" xr:uid="{443E060C-B22D-4CBC-B22A-4C268E8AADD7}"/>
    <cellStyle name="Normal 2 4 3 6 3 3" xfId="33699" xr:uid="{DEB7C13C-8BDC-4AE0-96B8-00F5B62AF10B}"/>
    <cellStyle name="Normal 2 4 3 6 4" xfId="14520" xr:uid="{5DFAABD3-2C8E-47CD-914F-68578AB00CD2}"/>
    <cellStyle name="Normal 2 4 3 6 4 2" xfId="40012" xr:uid="{AF22A5C8-D5FC-4D21-87DC-7C6AB159ECEA}"/>
    <cellStyle name="Normal 2 4 3 6 5" xfId="27421" xr:uid="{5FC0B54E-7FE6-4936-B266-08E3B8F008F0}"/>
    <cellStyle name="Normal 2 4 3 7" xfId="1286" xr:uid="{2DFAA1AE-4D9A-4DC4-86B1-AF5BA5AE2794}"/>
    <cellStyle name="Normal 2 4 3 7 2" xfId="4440" xr:uid="{4D00ED09-E603-4A83-AC44-CB2B7B03BF4C}"/>
    <cellStyle name="Normal 2 4 3 7 2 2" xfId="10733" xr:uid="{61AE589B-83CB-4DA7-99EE-1B7D66FB5559}"/>
    <cellStyle name="Normal 2 4 3 7 2 2 2" xfId="23415" xr:uid="{50A3679C-A863-4510-9F59-9D5EF5E9AB47}"/>
    <cellStyle name="Normal 2 4 3 7 2 2 2 2" xfId="48907" xr:uid="{4E291AED-0950-4FA7-8925-36AC3CF32C24}"/>
    <cellStyle name="Normal 2 4 3 7 2 2 3" xfId="36316" xr:uid="{0C6561B3-82B9-4B40-96E2-7FEEEC5289FA}"/>
    <cellStyle name="Normal 2 4 3 7 2 3" xfId="17137" xr:uid="{A07EC1E2-76A9-45D1-A8DC-B16E82EA73BE}"/>
    <cellStyle name="Normal 2 4 3 7 2 3 2" xfId="42629" xr:uid="{8BEC9732-14F7-40B1-B725-AB5A5069D83A}"/>
    <cellStyle name="Normal 2 4 3 7 2 4" xfId="30038" xr:uid="{C16A9A04-CEED-432F-9337-3DD35B2D596C}"/>
    <cellStyle name="Normal 2 4 3 7 3" xfId="7594" xr:uid="{98241A8B-DA78-49F0-B6EF-FB3AAE8E40B2}"/>
    <cellStyle name="Normal 2 4 3 7 3 2" xfId="20276" xr:uid="{7AC49887-BA48-422F-AEA5-63B41B3E6BF9}"/>
    <cellStyle name="Normal 2 4 3 7 3 2 2" xfId="45768" xr:uid="{D40F3FA5-F9F2-42BD-8AB1-46A47ABA401A}"/>
    <cellStyle name="Normal 2 4 3 7 3 3" xfId="33177" xr:uid="{8C34F330-6E84-415C-B059-A424A58D913C}"/>
    <cellStyle name="Normal 2 4 3 7 4" xfId="13998" xr:uid="{2C06498C-650D-458E-8E8C-11FFAC14592A}"/>
    <cellStyle name="Normal 2 4 3 7 4 2" xfId="39490" xr:uid="{2D16D8D7-2771-4569-8B77-EE4FFB20F446}"/>
    <cellStyle name="Normal 2 4 3 7 5" xfId="26899" xr:uid="{47158127-195F-45AB-84CA-44D428E97BC0}"/>
    <cellStyle name="Normal 2 4 3 8" xfId="2593" xr:uid="{37F1485A-B3D3-439D-9CF4-BAC72C8E066D}"/>
    <cellStyle name="Normal 2 4 3 8 2" xfId="5747" xr:uid="{6F75D5F8-8472-4F11-8551-4A5B674D2550}"/>
    <cellStyle name="Normal 2 4 3 8 2 2" xfId="12040" xr:uid="{B0D46A94-328E-4CE7-AC60-ADF4EC23D039}"/>
    <cellStyle name="Normal 2 4 3 8 2 2 2" xfId="24722" xr:uid="{9D0EFDA9-1D84-4257-BB16-AF42118F6C14}"/>
    <cellStyle name="Normal 2 4 3 8 2 2 2 2" xfId="50214" xr:uid="{98BA4238-0E6F-461B-B0BE-2407326DA311}"/>
    <cellStyle name="Normal 2 4 3 8 2 2 3" xfId="37623" xr:uid="{B3331F72-5AEA-49DA-8142-AAF04013A562}"/>
    <cellStyle name="Normal 2 4 3 8 2 3" xfId="18444" xr:uid="{A6CBB5B9-A146-420C-80CA-F94F221DEC99}"/>
    <cellStyle name="Normal 2 4 3 8 2 3 2" xfId="43936" xr:uid="{6DF9C033-001A-47E9-B2F3-4E27A85DF39F}"/>
    <cellStyle name="Normal 2 4 3 8 2 4" xfId="31345" xr:uid="{7FD004EA-9ABF-4805-ACB4-D7F153F43464}"/>
    <cellStyle name="Normal 2 4 3 8 3" xfId="8901" xr:uid="{1E6F562F-CA2A-43D1-B7EC-AE8E58F2B5BD}"/>
    <cellStyle name="Normal 2 4 3 8 3 2" xfId="21583" xr:uid="{1F0F6CEE-E9D4-4237-8400-CD58DFA33E14}"/>
    <cellStyle name="Normal 2 4 3 8 3 2 2" xfId="47075" xr:uid="{F9330B7B-3D31-48D2-A2F7-5D93FA7DB4CE}"/>
    <cellStyle name="Normal 2 4 3 8 3 3" xfId="34484" xr:uid="{9981DF5C-59A1-460F-97B6-FE3278D3C689}"/>
    <cellStyle name="Normal 2 4 3 8 4" xfId="15305" xr:uid="{DD2156B6-2C7D-41E0-9746-44598262902D}"/>
    <cellStyle name="Normal 2 4 3 8 4 2" xfId="40797" xr:uid="{223AD348-9245-475C-8A0E-EBFC3DF803A0}"/>
    <cellStyle name="Normal 2 4 3 8 5" xfId="28206" xr:uid="{C05D8B23-1560-4030-BFF7-7B50CDC81E68}"/>
    <cellStyle name="Normal 2 4 3 9" xfId="3116" xr:uid="{8010892A-62E9-4027-A564-F318147E9ED9}"/>
    <cellStyle name="Normal 2 4 3 9 2" xfId="6270" xr:uid="{6C8B01BD-2ECC-49C4-AF64-4E686AC1A342}"/>
    <cellStyle name="Normal 2 4 3 9 2 2" xfId="12563" xr:uid="{068733D7-139F-4F18-8510-1496EA68402D}"/>
    <cellStyle name="Normal 2 4 3 9 2 2 2" xfId="25245" xr:uid="{9C5890D1-3870-4B7A-BD69-1E57CA77CA91}"/>
    <cellStyle name="Normal 2 4 3 9 2 2 2 2" xfId="50737" xr:uid="{31F0FDA3-5E7C-4237-89CC-BB0699D4D832}"/>
    <cellStyle name="Normal 2 4 3 9 2 2 3" xfId="38146" xr:uid="{65D95B62-0670-4500-900A-D5B915FD651E}"/>
    <cellStyle name="Normal 2 4 3 9 2 3" xfId="18967" xr:uid="{386A134B-5772-4EA2-969C-1B9319B49E2D}"/>
    <cellStyle name="Normal 2 4 3 9 2 3 2" xfId="44459" xr:uid="{1C99657C-48AF-49F2-94E7-01229A579804}"/>
    <cellStyle name="Normal 2 4 3 9 2 4" xfId="31868" xr:uid="{B090E6C4-ACF6-4F3B-9477-88EC1197B9C4}"/>
    <cellStyle name="Normal 2 4 3 9 3" xfId="9424" xr:uid="{ACC0ED3A-E789-444B-B3DC-DE2453682C44}"/>
    <cellStyle name="Normal 2 4 3 9 3 2" xfId="22106" xr:uid="{E00610E8-883E-46B5-A5D1-1023FD725A32}"/>
    <cellStyle name="Normal 2 4 3 9 3 2 2" xfId="47598" xr:uid="{A8C68BEB-18F7-4A06-AD52-6D5547CABC47}"/>
    <cellStyle name="Normal 2 4 3 9 3 3" xfId="35007" xr:uid="{207D83D2-6076-4605-8230-51BED65BCC4D}"/>
    <cellStyle name="Normal 2 4 3 9 4" xfId="15828" xr:uid="{A9948F19-83B1-44BF-AA97-8BA3C6D1F49E}"/>
    <cellStyle name="Normal 2 4 3 9 4 2" xfId="41320" xr:uid="{767A6365-6B0E-4486-8D8A-A515A9EA9B9C}"/>
    <cellStyle name="Normal 2 4 3 9 5" xfId="28729" xr:uid="{0F2B39D5-905D-454F-B980-8850E5CB2761}"/>
    <cellStyle name="Normal 2 4 4" xfId="467" xr:uid="{CA4FBC7A-8857-4AEA-B88F-8922386EEBC7}"/>
    <cellStyle name="Normal 2 4 4 10" xfId="6790" xr:uid="{AAF760CB-8039-44C6-A284-5DCE386BDA62}"/>
    <cellStyle name="Normal 2 4 4 10 2" xfId="19472" xr:uid="{2C06AE63-5144-4E6D-AB8C-AF5207A53F75}"/>
    <cellStyle name="Normal 2 4 4 10 2 2" xfId="44964" xr:uid="{070EFB14-D7CD-46AC-A1E5-1646EC46E75D}"/>
    <cellStyle name="Normal 2 4 4 10 3" xfId="32373" xr:uid="{6D3CD48E-1EBA-46C7-9E68-3BC90AFB98E5}"/>
    <cellStyle name="Normal 2 4 4 11" xfId="13194" xr:uid="{7669E059-D738-4460-BF26-69313ED6FB07}"/>
    <cellStyle name="Normal 2 4 4 11 2" xfId="38686" xr:uid="{B0D9C052-DFBE-4DE1-B12F-E62DDDCD1A0A}"/>
    <cellStyle name="Normal 2 4 4 12" xfId="26095" xr:uid="{AA48FF22-CE69-4CE4-849E-24B3E32B4E04}"/>
    <cellStyle name="Normal 2 4 4 2" xfId="626" xr:uid="{94D2FBC1-7BCD-41DC-A07F-E325A002F5CB}"/>
    <cellStyle name="Normal 2 4 4 2 10" xfId="13353" xr:uid="{DDD8FB33-25BB-46C4-B34C-D01172787180}"/>
    <cellStyle name="Normal 2 4 4 2 10 2" xfId="38845" xr:uid="{6287C1D7-3E21-42C1-B3D5-3D62C891A32D}"/>
    <cellStyle name="Normal 2 4 4 2 11" xfId="26254" xr:uid="{65FA008A-EA30-467F-A4EB-ACC24945B417}"/>
    <cellStyle name="Normal 2 4 4 2 2" xfId="1163" xr:uid="{FC430C5F-C870-4B22-86DA-987FCC979C4C}"/>
    <cellStyle name="Normal 2 4 4 2 2 2" xfId="2470" xr:uid="{0DC96CB1-3C44-436A-B086-52B1BB289041}"/>
    <cellStyle name="Normal 2 4 4 2 2 2 2" xfId="5624" xr:uid="{AE3D48EE-A616-4717-A508-C5887902C15E}"/>
    <cellStyle name="Normal 2 4 4 2 2 2 2 2" xfId="11917" xr:uid="{35F2FB0E-25B8-4202-9B63-743EB7210D37}"/>
    <cellStyle name="Normal 2 4 4 2 2 2 2 2 2" xfId="24599" xr:uid="{C092020A-5508-471F-BAB0-A646F05C4BC6}"/>
    <cellStyle name="Normal 2 4 4 2 2 2 2 2 2 2" xfId="50091" xr:uid="{E4522001-50B8-422D-A293-D1665BB0002A}"/>
    <cellStyle name="Normal 2 4 4 2 2 2 2 2 3" xfId="37500" xr:uid="{CE5BB1D9-0F14-443B-B323-3CC0553026F7}"/>
    <cellStyle name="Normal 2 4 4 2 2 2 2 3" xfId="18321" xr:uid="{25D2A5AA-0A7B-4C09-BD62-F828172D90FE}"/>
    <cellStyle name="Normal 2 4 4 2 2 2 2 3 2" xfId="43813" xr:uid="{7DF82E3A-6135-4B35-9CC8-90AE3A190E95}"/>
    <cellStyle name="Normal 2 4 4 2 2 2 2 4" xfId="31222" xr:uid="{3CE8DD7E-1C5C-467B-9B13-A4965CE0A265}"/>
    <cellStyle name="Normal 2 4 4 2 2 2 3" xfId="8778" xr:uid="{AC92FF98-3051-4239-AB43-D3A034760354}"/>
    <cellStyle name="Normal 2 4 4 2 2 2 3 2" xfId="21460" xr:uid="{6FAB547A-5552-4DC7-8DA0-2C50C1350C0A}"/>
    <cellStyle name="Normal 2 4 4 2 2 2 3 2 2" xfId="46952" xr:uid="{E34AAF5B-D1B8-4CD6-8712-E34061138341}"/>
    <cellStyle name="Normal 2 4 4 2 2 2 3 3" xfId="34361" xr:uid="{DDE39267-797B-4A87-8A90-275BB783DED8}"/>
    <cellStyle name="Normal 2 4 4 2 2 2 4" xfId="15182" xr:uid="{D9D36C35-F305-4CA2-8A01-5E0179E9D283}"/>
    <cellStyle name="Normal 2 4 4 2 2 2 4 2" xfId="40674" xr:uid="{CA4DB5F3-D997-4E5B-9DA7-5B6C8E66A1C1}"/>
    <cellStyle name="Normal 2 4 4 2 2 2 5" xfId="28083" xr:uid="{5D64F346-C990-40F0-A572-215DFC0EAA0A}"/>
    <cellStyle name="Normal 2 4 4 2 2 3" xfId="1687" xr:uid="{4EE4C095-7642-4056-AE12-606EDAC6A5BA}"/>
    <cellStyle name="Normal 2 4 4 2 2 3 2" xfId="4841" xr:uid="{5D4ACDD3-EF20-4793-8294-6C49CCFB87F1}"/>
    <cellStyle name="Normal 2 4 4 2 2 3 2 2" xfId="11134" xr:uid="{4101C225-4C5A-4D52-9873-02C18AA588C2}"/>
    <cellStyle name="Normal 2 4 4 2 2 3 2 2 2" xfId="23816" xr:uid="{97658480-1394-43C0-9FD0-75928E64DBA2}"/>
    <cellStyle name="Normal 2 4 4 2 2 3 2 2 2 2" xfId="49308" xr:uid="{001F68E8-8CF5-408C-AEFD-372FAD77A854}"/>
    <cellStyle name="Normal 2 4 4 2 2 3 2 2 3" xfId="36717" xr:uid="{19DDF218-DDBD-436C-95EE-C6F6ECE3D0D0}"/>
    <cellStyle name="Normal 2 4 4 2 2 3 2 3" xfId="17538" xr:uid="{673CE3BD-8139-4ADF-AD45-750E911789EE}"/>
    <cellStyle name="Normal 2 4 4 2 2 3 2 3 2" xfId="43030" xr:uid="{3B42EFB7-BBFF-42A1-9486-AC546416744F}"/>
    <cellStyle name="Normal 2 4 4 2 2 3 2 4" xfId="30439" xr:uid="{C24A642F-545E-4B30-9C2D-BF63690D0F76}"/>
    <cellStyle name="Normal 2 4 4 2 2 3 3" xfId="7995" xr:uid="{E5548274-0F28-44E5-9FC2-9C3B98D07553}"/>
    <cellStyle name="Normal 2 4 4 2 2 3 3 2" xfId="20677" xr:uid="{D86D064D-4314-41DA-A2BB-ABDAA0D5D6ED}"/>
    <cellStyle name="Normal 2 4 4 2 2 3 3 2 2" xfId="46169" xr:uid="{0E03CBA0-A62D-488C-AC6B-09046728AD53}"/>
    <cellStyle name="Normal 2 4 4 2 2 3 3 3" xfId="33578" xr:uid="{235DF761-6896-4AD7-A9B8-8E9A938681E8}"/>
    <cellStyle name="Normal 2 4 4 2 2 3 4" xfId="14399" xr:uid="{6CB67759-7AFF-4F42-A8D4-1DFA2ACFC3BA}"/>
    <cellStyle name="Normal 2 4 4 2 2 3 4 2" xfId="39891" xr:uid="{AA15850E-8203-429C-999B-CB626865CC65}"/>
    <cellStyle name="Normal 2 4 4 2 2 3 5" xfId="27300" xr:uid="{E9446D0E-2E34-4682-A665-E7B0CA0B3614}"/>
    <cellStyle name="Normal 2 4 4 2 2 4" xfId="2994" xr:uid="{2A225FA0-4241-42F3-9FD4-C8B821279334}"/>
    <cellStyle name="Normal 2 4 4 2 2 4 2" xfId="6148" xr:uid="{593CC43D-2E34-4EA0-BFDA-72E3185DA877}"/>
    <cellStyle name="Normal 2 4 4 2 2 4 2 2" xfId="12441" xr:uid="{0767E1E1-3821-46C3-A031-6ACE6BB2EC0C}"/>
    <cellStyle name="Normal 2 4 4 2 2 4 2 2 2" xfId="25123" xr:uid="{37BA494E-6CCE-4CCC-9080-A83AC557DD15}"/>
    <cellStyle name="Normal 2 4 4 2 2 4 2 2 2 2" xfId="50615" xr:uid="{312EA12D-85C3-47BF-9B26-572AB3E12F79}"/>
    <cellStyle name="Normal 2 4 4 2 2 4 2 2 3" xfId="38024" xr:uid="{02629081-CF18-4C1F-B157-37F506E5BFB5}"/>
    <cellStyle name="Normal 2 4 4 2 2 4 2 3" xfId="18845" xr:uid="{EF5CB499-8CFC-441E-BD15-9E03B59C325A}"/>
    <cellStyle name="Normal 2 4 4 2 2 4 2 3 2" xfId="44337" xr:uid="{2C706F00-CFDA-4E0F-8766-B74C19193558}"/>
    <cellStyle name="Normal 2 4 4 2 2 4 2 4" xfId="31746" xr:uid="{AA4786DE-8DAD-45A2-A18A-30FEC4E9874E}"/>
    <cellStyle name="Normal 2 4 4 2 2 4 3" xfId="9302" xr:uid="{999ACEE0-A2E7-4ED4-B6B1-33C8BA56A82E}"/>
    <cellStyle name="Normal 2 4 4 2 2 4 3 2" xfId="21984" xr:uid="{EBBDA324-20DC-4CF3-964B-ECD9DB3BDEB2}"/>
    <cellStyle name="Normal 2 4 4 2 2 4 3 2 2" xfId="47476" xr:uid="{7FF54F7F-AB2D-4086-AA91-C9A64B1E2F30}"/>
    <cellStyle name="Normal 2 4 4 2 2 4 3 3" xfId="34885" xr:uid="{AD62D83C-ADAB-44A3-99A8-BC767188FED2}"/>
    <cellStyle name="Normal 2 4 4 2 2 4 4" xfId="15706" xr:uid="{E75D84A8-BA28-4575-8B91-E693B3E7554C}"/>
    <cellStyle name="Normal 2 4 4 2 2 4 4 2" xfId="41198" xr:uid="{31FEECC4-7B2E-47D3-A323-143BFDB903FB}"/>
    <cellStyle name="Normal 2 4 4 2 2 4 5" xfId="28607" xr:uid="{7F801CA4-08A4-487A-BB9C-BC2B89F2D8AF}"/>
    <cellStyle name="Normal 2 4 4 2 2 5" xfId="3517" xr:uid="{0D526D7D-0113-447B-B04F-E0BE81E7E955}"/>
    <cellStyle name="Normal 2 4 4 2 2 5 2" xfId="6671" xr:uid="{CFA76B80-A71D-4CF8-B308-BD55F039D502}"/>
    <cellStyle name="Normal 2 4 4 2 2 5 2 2" xfId="12964" xr:uid="{CE58B445-6045-4BC0-80F2-168C769D02A8}"/>
    <cellStyle name="Normal 2 4 4 2 2 5 2 2 2" xfId="25646" xr:uid="{D5131367-25FB-414F-BFBA-C32DAC443B1A}"/>
    <cellStyle name="Normal 2 4 4 2 2 5 2 2 2 2" xfId="51138" xr:uid="{F182C1D7-AF08-40F4-BC34-671CC8B72D60}"/>
    <cellStyle name="Normal 2 4 4 2 2 5 2 2 3" xfId="38547" xr:uid="{C4437562-5D11-43AD-A760-36657970967C}"/>
    <cellStyle name="Normal 2 4 4 2 2 5 2 3" xfId="19368" xr:uid="{86B8AD69-258E-46B6-9DA8-CE1B1C41C11D}"/>
    <cellStyle name="Normal 2 4 4 2 2 5 2 3 2" xfId="44860" xr:uid="{B9F4BA71-690D-4470-8B14-49525008A4D8}"/>
    <cellStyle name="Normal 2 4 4 2 2 5 2 4" xfId="32269" xr:uid="{B28E2F6B-8A65-49AA-8648-1C95EB712B33}"/>
    <cellStyle name="Normal 2 4 4 2 2 5 3" xfId="9825" xr:uid="{9689AFDC-0666-40AF-8302-41F83030000F}"/>
    <cellStyle name="Normal 2 4 4 2 2 5 3 2" xfId="22507" xr:uid="{AE59AFEF-BE6B-4BAA-AAB7-B4A17366FC4E}"/>
    <cellStyle name="Normal 2 4 4 2 2 5 3 2 2" xfId="47999" xr:uid="{8E44660E-FB01-4943-90D5-753C87FDE983}"/>
    <cellStyle name="Normal 2 4 4 2 2 5 3 3" xfId="35408" xr:uid="{067902BF-3F67-48E5-888D-589FC3F5490A}"/>
    <cellStyle name="Normal 2 4 4 2 2 5 4" xfId="16229" xr:uid="{13ECE667-27BC-4632-9844-54A7FADEB590}"/>
    <cellStyle name="Normal 2 4 4 2 2 5 4 2" xfId="41721" xr:uid="{94953FEE-0DE8-442F-BEB4-9F9F6F12A611}"/>
    <cellStyle name="Normal 2 4 4 2 2 5 5" xfId="29130" xr:uid="{C6F97A34-5D0B-4EF4-8236-DF10BBE299B4}"/>
    <cellStyle name="Normal 2 4 4 2 2 6" xfId="4317" xr:uid="{0ECD5878-20EF-4EFB-8EA3-859E487DE426}"/>
    <cellStyle name="Normal 2 4 4 2 2 6 2" xfId="10610" xr:uid="{0037F3B6-74D3-4484-AB9F-7BE21A8D1D99}"/>
    <cellStyle name="Normal 2 4 4 2 2 6 2 2" xfId="23292" xr:uid="{CDA9AC10-1070-49B4-850E-DED191F179B6}"/>
    <cellStyle name="Normal 2 4 4 2 2 6 2 2 2" xfId="48784" xr:uid="{DF5C44D4-25CF-4000-B1D3-78CB4E4F313E}"/>
    <cellStyle name="Normal 2 4 4 2 2 6 2 3" xfId="36193" xr:uid="{0B2664EE-4372-4EE6-AA1D-F8201440C86D}"/>
    <cellStyle name="Normal 2 4 4 2 2 6 3" xfId="17014" xr:uid="{6276F1F4-BD63-4289-BED6-57698717BD0D}"/>
    <cellStyle name="Normal 2 4 4 2 2 6 3 2" xfId="42506" xr:uid="{EB848733-FA22-4369-A4CC-3CA21B2D173B}"/>
    <cellStyle name="Normal 2 4 4 2 2 6 4" xfId="29915" xr:uid="{ABC9FD8A-9DBB-42DC-A284-15807AE914CC}"/>
    <cellStyle name="Normal 2 4 4 2 2 7" xfId="7471" xr:uid="{EAF75A47-662D-4E0F-9F66-EDFC4D019974}"/>
    <cellStyle name="Normal 2 4 4 2 2 7 2" xfId="20153" xr:uid="{E9566222-F126-4453-A0AA-E24C57D53623}"/>
    <cellStyle name="Normal 2 4 4 2 2 7 2 2" xfId="45645" xr:uid="{A34DEDD2-D4FF-49BE-986C-A206E5A9F701}"/>
    <cellStyle name="Normal 2 4 4 2 2 7 3" xfId="33054" xr:uid="{92D8742F-6753-41ED-9CB3-DF8D357B4501}"/>
    <cellStyle name="Normal 2 4 4 2 2 8" xfId="13875" xr:uid="{F7D172FC-5289-4DD9-B870-F0396E32EBC9}"/>
    <cellStyle name="Normal 2 4 4 2 2 8 2" xfId="39367" xr:uid="{D87CADFF-9E11-4100-8039-8623009ED1EE}"/>
    <cellStyle name="Normal 2 4 4 2 2 9" xfId="26776" xr:uid="{B08467AB-F4A9-42F1-9ECE-548D910C89E7}"/>
    <cellStyle name="Normal 2 4 4 2 3" xfId="903" xr:uid="{0F32CE8C-A438-461E-B6A8-42B583A75D16}"/>
    <cellStyle name="Normal 2 4 4 2 3 2" xfId="2210" xr:uid="{17A8BE3A-883C-4775-BCCB-4B5FAB3E2AF1}"/>
    <cellStyle name="Normal 2 4 4 2 3 2 2" xfId="5364" xr:uid="{C5D75D6E-B068-4C5A-9217-0412F71C9D05}"/>
    <cellStyle name="Normal 2 4 4 2 3 2 2 2" xfId="11657" xr:uid="{969D84DC-8A7B-4053-A133-56092D19BA44}"/>
    <cellStyle name="Normal 2 4 4 2 3 2 2 2 2" xfId="24339" xr:uid="{2B72F591-BD87-4349-8B05-28FDE0A9EC2B}"/>
    <cellStyle name="Normal 2 4 4 2 3 2 2 2 2 2" xfId="49831" xr:uid="{2806204B-8F70-4E94-919E-DBB755F7AC9E}"/>
    <cellStyle name="Normal 2 4 4 2 3 2 2 2 3" xfId="37240" xr:uid="{5ECAC647-747B-4FD3-96C3-5385260FC9E9}"/>
    <cellStyle name="Normal 2 4 4 2 3 2 2 3" xfId="18061" xr:uid="{AFC36DCC-B635-4498-B93A-7896F260469B}"/>
    <cellStyle name="Normal 2 4 4 2 3 2 2 3 2" xfId="43553" xr:uid="{1089C147-D0F8-4C30-9225-C33A9DA52567}"/>
    <cellStyle name="Normal 2 4 4 2 3 2 2 4" xfId="30962" xr:uid="{872378CA-3BC0-49A9-B466-F769842649D6}"/>
    <cellStyle name="Normal 2 4 4 2 3 2 3" xfId="8518" xr:uid="{B005C987-98F0-4D0B-9A79-4EE1FCEC88DE}"/>
    <cellStyle name="Normal 2 4 4 2 3 2 3 2" xfId="21200" xr:uid="{C55FD1B0-BA7B-49B7-BDF5-D504578C639B}"/>
    <cellStyle name="Normal 2 4 4 2 3 2 3 2 2" xfId="46692" xr:uid="{D483EDD4-74EC-40B7-BA78-9B35002B7BCE}"/>
    <cellStyle name="Normal 2 4 4 2 3 2 3 3" xfId="34101" xr:uid="{74B6D6B9-596E-4CA4-912C-2113695A6BAE}"/>
    <cellStyle name="Normal 2 4 4 2 3 2 4" xfId="14922" xr:uid="{5D625345-55A7-40C3-AD46-E4F0E65AEAAF}"/>
    <cellStyle name="Normal 2 4 4 2 3 2 4 2" xfId="40414" xr:uid="{111CF2E6-4D74-48C5-A99E-A27BD6E6A995}"/>
    <cellStyle name="Normal 2 4 4 2 3 2 5" xfId="27823" xr:uid="{D15DCA18-E6A8-4CF3-B070-5FEC55DCFDE1}"/>
    <cellStyle name="Normal 2 4 4 2 3 3" xfId="4057" xr:uid="{E39B5E04-547D-404A-BCC5-8E5372D07557}"/>
    <cellStyle name="Normal 2 4 4 2 3 3 2" xfId="10350" xr:uid="{1E3B201E-7920-4EBA-B4EC-E5AB9D29C796}"/>
    <cellStyle name="Normal 2 4 4 2 3 3 2 2" xfId="23032" xr:uid="{3E32799B-AB2A-4437-A35B-EEA2B0E0D211}"/>
    <cellStyle name="Normal 2 4 4 2 3 3 2 2 2" xfId="48524" xr:uid="{FE71C0FC-08F0-4CFB-AF0A-BF43691AE393}"/>
    <cellStyle name="Normal 2 4 4 2 3 3 2 3" xfId="35933" xr:uid="{6887B273-2DCD-4993-BB43-6A3D9F4223DB}"/>
    <cellStyle name="Normal 2 4 4 2 3 3 3" xfId="16754" xr:uid="{94ED2087-145F-49ED-8405-DEC9C0C56704}"/>
    <cellStyle name="Normal 2 4 4 2 3 3 3 2" xfId="42246" xr:uid="{E4007BBE-AB8D-4548-998F-C2D550B1E5AF}"/>
    <cellStyle name="Normal 2 4 4 2 3 3 4" xfId="29655" xr:uid="{1C922C54-7A13-43FD-971B-7F3F0DE48F9E}"/>
    <cellStyle name="Normal 2 4 4 2 3 4" xfId="7211" xr:uid="{B8CCBAE6-9625-4F3F-9155-26EF797E07AF}"/>
    <cellStyle name="Normal 2 4 4 2 3 4 2" xfId="19893" xr:uid="{0B22F852-080F-48DE-9C68-07A9E7290838}"/>
    <cellStyle name="Normal 2 4 4 2 3 4 2 2" xfId="45385" xr:uid="{A8C2109A-E255-4980-8E08-FCF26D6C3907}"/>
    <cellStyle name="Normal 2 4 4 2 3 4 3" xfId="32794" xr:uid="{48F78CE5-8D6C-4E8C-8313-305E20547FFA}"/>
    <cellStyle name="Normal 2 4 4 2 3 5" xfId="13615" xr:uid="{8C5EC220-5C13-4869-B175-9263B806B364}"/>
    <cellStyle name="Normal 2 4 4 2 3 5 2" xfId="39107" xr:uid="{62D22C41-6EDF-4835-B883-FAE4C730A74F}"/>
    <cellStyle name="Normal 2 4 4 2 3 6" xfId="26516" xr:uid="{BDBCF660-5126-4EB3-AD9F-180A86F3304C}"/>
    <cellStyle name="Normal 2 4 4 2 4" xfId="1948" xr:uid="{9D023990-F6CF-4A71-812C-24387DF8C927}"/>
    <cellStyle name="Normal 2 4 4 2 4 2" xfId="5102" xr:uid="{8A9F2A6F-B0D1-43EE-B364-36701B38E163}"/>
    <cellStyle name="Normal 2 4 4 2 4 2 2" xfId="11395" xr:uid="{93CF6C7B-B741-406F-88F6-D8C8815310E1}"/>
    <cellStyle name="Normal 2 4 4 2 4 2 2 2" xfId="24077" xr:uid="{9A178CF7-941E-4E4F-92DA-BEC7F3213137}"/>
    <cellStyle name="Normal 2 4 4 2 4 2 2 2 2" xfId="49569" xr:uid="{718791E6-AC65-4A82-A89D-91CC99CCAC4B}"/>
    <cellStyle name="Normal 2 4 4 2 4 2 2 3" xfId="36978" xr:uid="{FB7DAD42-DF31-40B7-919E-1ED663F10F49}"/>
    <cellStyle name="Normal 2 4 4 2 4 2 3" xfId="17799" xr:uid="{FCEA9A14-3A6E-4713-AEF2-260ACFDADD4B}"/>
    <cellStyle name="Normal 2 4 4 2 4 2 3 2" xfId="43291" xr:uid="{F6BEEAE2-8730-4F3A-AFDB-AC1AB350655F}"/>
    <cellStyle name="Normal 2 4 4 2 4 2 4" xfId="30700" xr:uid="{4C9579F2-359C-4476-844C-1BD3AFDE1AAB}"/>
    <cellStyle name="Normal 2 4 4 2 4 3" xfId="8256" xr:uid="{7AA8C6CF-5E9A-4305-A58C-3D7AAC949757}"/>
    <cellStyle name="Normal 2 4 4 2 4 3 2" xfId="20938" xr:uid="{7C7702C5-CEA7-4FFC-B086-25F3F4D71825}"/>
    <cellStyle name="Normal 2 4 4 2 4 3 2 2" xfId="46430" xr:uid="{16788A05-F2A6-4761-9601-4D5F22893DA5}"/>
    <cellStyle name="Normal 2 4 4 2 4 3 3" xfId="33839" xr:uid="{1D9821DC-449D-4F76-A0B0-DAA8A65F356F}"/>
    <cellStyle name="Normal 2 4 4 2 4 4" xfId="14660" xr:uid="{8D1B29B0-5226-4418-8282-43AE9802DEF4}"/>
    <cellStyle name="Normal 2 4 4 2 4 4 2" xfId="40152" xr:uid="{84E96FE8-D4A1-4EF4-BE9B-BF474ED375B3}"/>
    <cellStyle name="Normal 2 4 4 2 4 5" xfId="27561" xr:uid="{8D55B38F-DFFC-4EDB-B5C6-FF59E9DD842C}"/>
    <cellStyle name="Normal 2 4 4 2 5" xfId="1426" xr:uid="{64C5C8D6-13C3-4AAB-9C21-12DE31B88689}"/>
    <cellStyle name="Normal 2 4 4 2 5 2" xfId="4580" xr:uid="{472349B2-28E3-4D27-BDF6-89BA6FE42F33}"/>
    <cellStyle name="Normal 2 4 4 2 5 2 2" xfId="10873" xr:uid="{4E66C7FE-4683-46AC-B8A0-28CDA78CAA32}"/>
    <cellStyle name="Normal 2 4 4 2 5 2 2 2" xfId="23555" xr:uid="{C6B14D6E-5EE0-423F-9A8C-72C75B2CC2E6}"/>
    <cellStyle name="Normal 2 4 4 2 5 2 2 2 2" xfId="49047" xr:uid="{1A83147D-01BC-4C9E-A931-1655E099E7AB}"/>
    <cellStyle name="Normal 2 4 4 2 5 2 2 3" xfId="36456" xr:uid="{EBED52D5-82A2-49D7-A470-BC3C6DE3458D}"/>
    <cellStyle name="Normal 2 4 4 2 5 2 3" xfId="17277" xr:uid="{4CDFB11E-359F-44BF-90B9-DE5726674DA8}"/>
    <cellStyle name="Normal 2 4 4 2 5 2 3 2" xfId="42769" xr:uid="{C7D97C8B-6964-472F-B720-08C284CCC5A8}"/>
    <cellStyle name="Normal 2 4 4 2 5 2 4" xfId="30178" xr:uid="{26AE57F4-8A63-4FB1-AA35-1C7BFF698ECF}"/>
    <cellStyle name="Normal 2 4 4 2 5 3" xfId="7734" xr:uid="{9E2BAD3D-3B8E-4DF5-A1C5-523D72006108}"/>
    <cellStyle name="Normal 2 4 4 2 5 3 2" xfId="20416" xr:uid="{62EED066-29DA-485C-8EE4-5D9496D6A9DF}"/>
    <cellStyle name="Normal 2 4 4 2 5 3 2 2" xfId="45908" xr:uid="{4C172261-EBE6-4321-A4A4-35DA1523975E}"/>
    <cellStyle name="Normal 2 4 4 2 5 3 3" xfId="33317" xr:uid="{8058C16D-F3CC-4261-B6D9-DA61902B8417}"/>
    <cellStyle name="Normal 2 4 4 2 5 4" xfId="14138" xr:uid="{17DB60CE-3F1B-4619-ADE6-6D9E2C1B069C}"/>
    <cellStyle name="Normal 2 4 4 2 5 4 2" xfId="39630" xr:uid="{7B31314A-9A84-4B01-87B5-02016F91FE3D}"/>
    <cellStyle name="Normal 2 4 4 2 5 5" xfId="27039" xr:uid="{DE617955-613D-42D2-AE2B-69EBFA5988F4}"/>
    <cellStyle name="Normal 2 4 4 2 6" xfId="2733" xr:uid="{86862B30-39E7-4A4A-90AC-267D3A46E24B}"/>
    <cellStyle name="Normal 2 4 4 2 6 2" xfId="5887" xr:uid="{8124FDFC-BD73-476E-B14C-028CF157FF8B}"/>
    <cellStyle name="Normal 2 4 4 2 6 2 2" xfId="12180" xr:uid="{35B9CBC9-E694-4F2A-B796-02D9F8FB697B}"/>
    <cellStyle name="Normal 2 4 4 2 6 2 2 2" xfId="24862" xr:uid="{BEE58AC0-F3AA-4342-BE33-9AE7F1716015}"/>
    <cellStyle name="Normal 2 4 4 2 6 2 2 2 2" xfId="50354" xr:uid="{E15973D8-39B0-4715-AC15-DC9CB63F334A}"/>
    <cellStyle name="Normal 2 4 4 2 6 2 2 3" xfId="37763" xr:uid="{785BF4E0-D610-448F-BAAF-CCA990CEA92C}"/>
    <cellStyle name="Normal 2 4 4 2 6 2 3" xfId="18584" xr:uid="{9E7A01D4-D5C6-4A26-A4B0-C92110B1DFC7}"/>
    <cellStyle name="Normal 2 4 4 2 6 2 3 2" xfId="44076" xr:uid="{21F1832A-D97C-444C-A079-F2A8E4224C92}"/>
    <cellStyle name="Normal 2 4 4 2 6 2 4" xfId="31485" xr:uid="{2B1A1730-B066-4A0D-B456-F874C4EB9BBA}"/>
    <cellStyle name="Normal 2 4 4 2 6 3" xfId="9041" xr:uid="{4A02CCFB-1289-4E26-A0E2-EDB2BD17D90C}"/>
    <cellStyle name="Normal 2 4 4 2 6 3 2" xfId="21723" xr:uid="{6EE82AF6-D052-4E36-8E1A-8CAE6BB9CEFA}"/>
    <cellStyle name="Normal 2 4 4 2 6 3 2 2" xfId="47215" xr:uid="{1584BE92-95DA-42BE-9D55-2BFC137AB973}"/>
    <cellStyle name="Normal 2 4 4 2 6 3 3" xfId="34624" xr:uid="{7301D51C-FF7F-4BA2-B530-76A624533F52}"/>
    <cellStyle name="Normal 2 4 4 2 6 4" xfId="15445" xr:uid="{D3CF5284-1B15-428F-B518-F68940DE65EF}"/>
    <cellStyle name="Normal 2 4 4 2 6 4 2" xfId="40937" xr:uid="{298FA122-919F-4B26-ADE5-3BA9C057384A}"/>
    <cellStyle name="Normal 2 4 4 2 6 5" xfId="28346" xr:uid="{ED04E453-1A1F-44E7-BDA7-DC3511D356A9}"/>
    <cellStyle name="Normal 2 4 4 2 7" xfId="3256" xr:uid="{5ED0E1E9-4F42-4212-898F-EA3AB19702F4}"/>
    <cellStyle name="Normal 2 4 4 2 7 2" xfId="6410" xr:uid="{2EB9C188-02AB-4EC3-9271-A2F289E17D0B}"/>
    <cellStyle name="Normal 2 4 4 2 7 2 2" xfId="12703" xr:uid="{63A041EE-54BA-4203-A0DA-8BCF728A6CD1}"/>
    <cellStyle name="Normal 2 4 4 2 7 2 2 2" xfId="25385" xr:uid="{5AD2BF29-0074-4D8C-BBAF-C330C03EBF57}"/>
    <cellStyle name="Normal 2 4 4 2 7 2 2 2 2" xfId="50877" xr:uid="{00CCDB25-2D52-40F7-B5FE-2CDEFACDB56D}"/>
    <cellStyle name="Normal 2 4 4 2 7 2 2 3" xfId="38286" xr:uid="{D0BEF0DA-A13F-4E2D-89DD-C5A69DBD7A0B}"/>
    <cellStyle name="Normal 2 4 4 2 7 2 3" xfId="19107" xr:uid="{31026CBF-E49B-4F50-A32C-202BA68B9519}"/>
    <cellStyle name="Normal 2 4 4 2 7 2 3 2" xfId="44599" xr:uid="{221F3D03-0D5F-4072-B623-189477E5638D}"/>
    <cellStyle name="Normal 2 4 4 2 7 2 4" xfId="32008" xr:uid="{B2E9E467-4D4B-460B-BBB5-BF10BF02D6F0}"/>
    <cellStyle name="Normal 2 4 4 2 7 3" xfId="9564" xr:uid="{0F491321-D377-4319-8983-4DA508F4E57D}"/>
    <cellStyle name="Normal 2 4 4 2 7 3 2" xfId="22246" xr:uid="{54875BF7-2F5B-4C91-A581-18DCC2F4ED22}"/>
    <cellStyle name="Normal 2 4 4 2 7 3 2 2" xfId="47738" xr:uid="{6926CFBD-960F-4534-A48F-F9863912EF74}"/>
    <cellStyle name="Normal 2 4 4 2 7 3 3" xfId="35147" xr:uid="{FC38139B-EBA3-4CAF-A5BE-AD79469243C1}"/>
    <cellStyle name="Normal 2 4 4 2 7 4" xfId="15968" xr:uid="{F47B8DC5-7592-4192-9433-430E8D1A0A6D}"/>
    <cellStyle name="Normal 2 4 4 2 7 4 2" xfId="41460" xr:uid="{E64A97C3-F6E5-4C88-A7ED-E0AC9872AC0A}"/>
    <cellStyle name="Normal 2 4 4 2 7 5" xfId="28869" xr:uid="{B753A92F-A6B1-4C81-9E6E-4D5788859C94}"/>
    <cellStyle name="Normal 2 4 4 2 8" xfId="3795" xr:uid="{0EF76301-DE2F-4C3A-8807-F5AC1823FEB9}"/>
    <cellStyle name="Normal 2 4 4 2 8 2" xfId="10088" xr:uid="{605C4E1E-92B8-4386-A4EC-D19C644B526C}"/>
    <cellStyle name="Normal 2 4 4 2 8 2 2" xfId="22770" xr:uid="{C27D775B-214A-4A78-978C-5429B574C3FD}"/>
    <cellStyle name="Normal 2 4 4 2 8 2 2 2" xfId="48262" xr:uid="{9520175B-D346-4981-AA01-A773799ACD22}"/>
    <cellStyle name="Normal 2 4 4 2 8 2 3" xfId="35671" xr:uid="{F8E12884-DD28-4D0B-AE93-3FDF081DBA7F}"/>
    <cellStyle name="Normal 2 4 4 2 8 3" xfId="16492" xr:uid="{9C3BCF32-EC02-433C-9A42-A4DDEB358E2A}"/>
    <cellStyle name="Normal 2 4 4 2 8 3 2" xfId="41984" xr:uid="{958D7DE8-250E-4EA1-AFA6-4A961D9FA1A4}"/>
    <cellStyle name="Normal 2 4 4 2 8 4" xfId="29393" xr:uid="{B13504E3-162F-446F-B890-2A19325790ED}"/>
    <cellStyle name="Normal 2 4 4 2 9" xfId="6949" xr:uid="{7D914560-8A8B-48F5-97F7-7A35556E40FC}"/>
    <cellStyle name="Normal 2 4 4 2 9 2" xfId="19631" xr:uid="{D410C3E7-BEA3-4224-BCBB-BDCE3A92F5B4}"/>
    <cellStyle name="Normal 2 4 4 2 9 2 2" xfId="45123" xr:uid="{5F8C1212-FDB6-4796-8413-AB7B53C76653}"/>
    <cellStyle name="Normal 2 4 4 2 9 3" xfId="32532" xr:uid="{A499AA1F-DA27-4447-9424-0D3E954250A1}"/>
    <cellStyle name="Normal 2 4 4 3" xfId="1004" xr:uid="{CC50BA8F-A17F-45C7-9DCB-886D3B6471A1}"/>
    <cellStyle name="Normal 2 4 4 3 2" xfId="2311" xr:uid="{E819714A-10AE-4E92-ACFA-4EBDF0F5BD8C}"/>
    <cellStyle name="Normal 2 4 4 3 2 2" xfId="5465" xr:uid="{43005EB6-D395-46C1-A094-B778BF1CC0C8}"/>
    <cellStyle name="Normal 2 4 4 3 2 2 2" xfId="11758" xr:uid="{550D317E-C452-47D1-81F1-D8B46A94D8E3}"/>
    <cellStyle name="Normal 2 4 4 3 2 2 2 2" xfId="24440" xr:uid="{07284973-13CE-45C6-82B9-7C88A6048AC3}"/>
    <cellStyle name="Normal 2 4 4 3 2 2 2 2 2" xfId="49932" xr:uid="{C5B5F541-7CC9-4327-90BF-E959DDAA03DA}"/>
    <cellStyle name="Normal 2 4 4 3 2 2 2 3" xfId="37341" xr:uid="{52EF40E3-AD2B-4DFA-995A-D2696834E40B}"/>
    <cellStyle name="Normal 2 4 4 3 2 2 3" xfId="18162" xr:uid="{44E627F1-DA94-4984-9844-D8B5C5816C62}"/>
    <cellStyle name="Normal 2 4 4 3 2 2 3 2" xfId="43654" xr:uid="{B96E16F6-EC0C-44F6-AC8E-3273AE814640}"/>
    <cellStyle name="Normal 2 4 4 3 2 2 4" xfId="31063" xr:uid="{F2A65791-F569-410D-8185-BE8C39A75118}"/>
    <cellStyle name="Normal 2 4 4 3 2 3" xfId="8619" xr:uid="{84840470-774C-462C-8C84-DBE3803CD927}"/>
    <cellStyle name="Normal 2 4 4 3 2 3 2" xfId="21301" xr:uid="{4060EF91-A4B9-457A-A377-0EC63AFF29F9}"/>
    <cellStyle name="Normal 2 4 4 3 2 3 2 2" xfId="46793" xr:uid="{28E8A584-2A8E-46CE-916A-AFC31B253C6D}"/>
    <cellStyle name="Normal 2 4 4 3 2 3 3" xfId="34202" xr:uid="{ADC93ACF-E260-4B56-B9F4-3ED636122D24}"/>
    <cellStyle name="Normal 2 4 4 3 2 4" xfId="15023" xr:uid="{C72F7D85-7AAA-4159-915B-8E22B49EA02D}"/>
    <cellStyle name="Normal 2 4 4 3 2 4 2" xfId="40515" xr:uid="{9AAE047D-BA4A-46B6-AB08-2B1205BF94A9}"/>
    <cellStyle name="Normal 2 4 4 3 2 5" xfId="27924" xr:uid="{869143A7-3C9C-4354-A60E-4154A1D87FD8}"/>
    <cellStyle name="Normal 2 4 4 3 3" xfId="1528" xr:uid="{9861D160-E295-45FB-A6D9-37BDD265F8CD}"/>
    <cellStyle name="Normal 2 4 4 3 3 2" xfId="4682" xr:uid="{878558ED-4F29-46CF-AF20-1B5896203314}"/>
    <cellStyle name="Normal 2 4 4 3 3 2 2" xfId="10975" xr:uid="{0786433D-68D1-451F-8BD8-8DE246E60651}"/>
    <cellStyle name="Normal 2 4 4 3 3 2 2 2" xfId="23657" xr:uid="{37776066-9F43-42CA-B5EB-42A31968A0E9}"/>
    <cellStyle name="Normal 2 4 4 3 3 2 2 2 2" xfId="49149" xr:uid="{6EA9626E-59DA-409F-B7F4-D175E5301370}"/>
    <cellStyle name="Normal 2 4 4 3 3 2 2 3" xfId="36558" xr:uid="{FCC1651E-57F2-45A3-AE61-960233A63DEC}"/>
    <cellStyle name="Normal 2 4 4 3 3 2 3" xfId="17379" xr:uid="{0B1AD392-5DD0-4817-BE1A-B8B8FEDF0535}"/>
    <cellStyle name="Normal 2 4 4 3 3 2 3 2" xfId="42871" xr:uid="{D43BD973-5426-494E-9E8D-20729E99728E}"/>
    <cellStyle name="Normal 2 4 4 3 3 2 4" xfId="30280" xr:uid="{A4A803FF-ABFE-45CF-86F2-A4C7E42108DF}"/>
    <cellStyle name="Normal 2 4 4 3 3 3" xfId="7836" xr:uid="{2B2D2FD2-8D20-4F86-819D-FE55D21627D8}"/>
    <cellStyle name="Normal 2 4 4 3 3 3 2" xfId="20518" xr:uid="{AB82A436-A4AD-48E3-9574-71DF199B85A2}"/>
    <cellStyle name="Normal 2 4 4 3 3 3 2 2" xfId="46010" xr:uid="{0E865C23-AE34-479B-AEEA-464C7563E18C}"/>
    <cellStyle name="Normal 2 4 4 3 3 3 3" xfId="33419" xr:uid="{F63AF35E-A62F-4E3A-BC93-5E8CC63D880E}"/>
    <cellStyle name="Normal 2 4 4 3 3 4" xfId="14240" xr:uid="{575F0A15-E600-4CB3-A776-B96838867C54}"/>
    <cellStyle name="Normal 2 4 4 3 3 4 2" xfId="39732" xr:uid="{9C4F6BE2-12B2-44F6-9C60-577B110C20EA}"/>
    <cellStyle name="Normal 2 4 4 3 3 5" xfId="27141" xr:uid="{F4F7C693-3769-4D6B-9BAA-8A843737FC33}"/>
    <cellStyle name="Normal 2 4 4 3 4" xfId="2835" xr:uid="{0552D1E3-74FD-4FD8-87B6-5A1A8D878597}"/>
    <cellStyle name="Normal 2 4 4 3 4 2" xfId="5989" xr:uid="{E36106A3-D213-4FEC-BC2A-B427209782C7}"/>
    <cellStyle name="Normal 2 4 4 3 4 2 2" xfId="12282" xr:uid="{77D7E557-5FD6-4498-A39E-A085994D8EAB}"/>
    <cellStyle name="Normal 2 4 4 3 4 2 2 2" xfId="24964" xr:uid="{E1EF9C37-206A-4C23-B632-135413B99499}"/>
    <cellStyle name="Normal 2 4 4 3 4 2 2 2 2" xfId="50456" xr:uid="{EAE44494-53E0-484A-AE37-19CCA38DBA43}"/>
    <cellStyle name="Normal 2 4 4 3 4 2 2 3" xfId="37865" xr:uid="{8653F126-F48A-4584-A1AA-533E8ACC3D26}"/>
    <cellStyle name="Normal 2 4 4 3 4 2 3" xfId="18686" xr:uid="{F72B5913-2BD7-4B8C-89C7-98597E8E5C89}"/>
    <cellStyle name="Normal 2 4 4 3 4 2 3 2" xfId="44178" xr:uid="{CC35A97C-F016-437F-BB77-677F6671F9C7}"/>
    <cellStyle name="Normal 2 4 4 3 4 2 4" xfId="31587" xr:uid="{2B8ABD84-E778-431A-91C3-6CC82001785F}"/>
    <cellStyle name="Normal 2 4 4 3 4 3" xfId="9143" xr:uid="{0AD33849-F6E8-41F4-AE54-8D0ADA5123E8}"/>
    <cellStyle name="Normal 2 4 4 3 4 3 2" xfId="21825" xr:uid="{062322A8-00B3-4049-A7B4-9C6B236CF0B2}"/>
    <cellStyle name="Normal 2 4 4 3 4 3 2 2" xfId="47317" xr:uid="{6D69FDD4-4C27-4BE3-A9D0-7057E6B4AF20}"/>
    <cellStyle name="Normal 2 4 4 3 4 3 3" xfId="34726" xr:uid="{A21BC4BE-E971-4B99-A7F4-E17A736D44F6}"/>
    <cellStyle name="Normal 2 4 4 3 4 4" xfId="15547" xr:uid="{822C2E7D-7118-4348-8809-377ED1B3F949}"/>
    <cellStyle name="Normal 2 4 4 3 4 4 2" xfId="41039" xr:uid="{184DEE7F-B036-44B1-9090-ABE999C95693}"/>
    <cellStyle name="Normal 2 4 4 3 4 5" xfId="28448" xr:uid="{5D810910-11B0-49B0-B0F8-DB182A5F7C05}"/>
    <cellStyle name="Normal 2 4 4 3 5" xfId="3358" xr:uid="{14F653FC-8B79-4755-975F-0E7CA04C66D2}"/>
    <cellStyle name="Normal 2 4 4 3 5 2" xfId="6512" xr:uid="{5C44CC80-D539-42E9-A467-1C8685D50A0E}"/>
    <cellStyle name="Normal 2 4 4 3 5 2 2" xfId="12805" xr:uid="{9EFA678A-F951-4AFD-8A51-F1BF67336CD0}"/>
    <cellStyle name="Normal 2 4 4 3 5 2 2 2" xfId="25487" xr:uid="{0F689C58-EF86-4921-8957-E242171A8ACF}"/>
    <cellStyle name="Normal 2 4 4 3 5 2 2 2 2" xfId="50979" xr:uid="{0B2F65BB-DD5E-4B76-94F2-85DE8DA52714}"/>
    <cellStyle name="Normal 2 4 4 3 5 2 2 3" xfId="38388" xr:uid="{C0B1238B-7A08-4AA6-BE5E-1FDC47F48299}"/>
    <cellStyle name="Normal 2 4 4 3 5 2 3" xfId="19209" xr:uid="{A6A60EB8-70B6-4FF8-805D-38E0152BAA6D}"/>
    <cellStyle name="Normal 2 4 4 3 5 2 3 2" xfId="44701" xr:uid="{6E59836A-7620-4720-9DC1-CD84C8D858FA}"/>
    <cellStyle name="Normal 2 4 4 3 5 2 4" xfId="32110" xr:uid="{F0088B2A-6170-4315-873B-A1A345EEA8B0}"/>
    <cellStyle name="Normal 2 4 4 3 5 3" xfId="9666" xr:uid="{C83AADAA-22D0-40EE-8112-2173DB6295E5}"/>
    <cellStyle name="Normal 2 4 4 3 5 3 2" xfId="22348" xr:uid="{76430790-5DD3-4540-A471-F1773CD52E45}"/>
    <cellStyle name="Normal 2 4 4 3 5 3 2 2" xfId="47840" xr:uid="{0B0DD75E-9DCC-41B0-9ED7-2F87A76F7AF5}"/>
    <cellStyle name="Normal 2 4 4 3 5 3 3" xfId="35249" xr:uid="{8E47753B-E108-47E3-B64D-233D78379EB6}"/>
    <cellStyle name="Normal 2 4 4 3 5 4" xfId="16070" xr:uid="{BCCF401B-0BEE-4B3B-A59C-99BCE7F649CB}"/>
    <cellStyle name="Normal 2 4 4 3 5 4 2" xfId="41562" xr:uid="{2EB0F270-E766-4F7C-8CA6-3C65879A8E38}"/>
    <cellStyle name="Normal 2 4 4 3 5 5" xfId="28971" xr:uid="{5F5790D2-D1F8-4BFC-9A83-709E244B96EE}"/>
    <cellStyle name="Normal 2 4 4 3 6" xfId="4158" xr:uid="{EE063289-6D85-4FEF-A4D8-517274123D11}"/>
    <cellStyle name="Normal 2 4 4 3 6 2" xfId="10451" xr:uid="{93CB4F84-F4B7-4198-842E-8D70499A1B49}"/>
    <cellStyle name="Normal 2 4 4 3 6 2 2" xfId="23133" xr:uid="{ED7EE96B-5F70-48B1-A4BA-DB46CCAFB6E3}"/>
    <cellStyle name="Normal 2 4 4 3 6 2 2 2" xfId="48625" xr:uid="{9173BE77-4A82-4600-81BB-BAE928C0928F}"/>
    <cellStyle name="Normal 2 4 4 3 6 2 3" xfId="36034" xr:uid="{F542F152-D97A-4DC1-8C66-97BDF2ECEBF0}"/>
    <cellStyle name="Normal 2 4 4 3 6 3" xfId="16855" xr:uid="{5EA30118-E97A-4DDE-BB11-7FF44E23A090}"/>
    <cellStyle name="Normal 2 4 4 3 6 3 2" xfId="42347" xr:uid="{7FADE975-7C79-405F-9822-C23C4917F8B8}"/>
    <cellStyle name="Normal 2 4 4 3 6 4" xfId="29756" xr:uid="{53ADAB39-FF06-4E3F-9399-9B249EC78DF6}"/>
    <cellStyle name="Normal 2 4 4 3 7" xfId="7312" xr:uid="{344DA09F-DD26-467A-9868-A4B63C6F784E}"/>
    <cellStyle name="Normal 2 4 4 3 7 2" xfId="19994" xr:uid="{22985530-5D52-4EB3-A4AC-B8C562501A5E}"/>
    <cellStyle name="Normal 2 4 4 3 7 2 2" xfId="45486" xr:uid="{C120FB9D-2388-4079-81A6-3F222FA5F921}"/>
    <cellStyle name="Normal 2 4 4 3 7 3" xfId="32895" xr:uid="{32CC0EE8-3C82-48CD-B674-BF3CEC838157}"/>
    <cellStyle name="Normal 2 4 4 3 8" xfId="13716" xr:uid="{CD9C7357-21B7-4EF5-AB0A-61024AF80846}"/>
    <cellStyle name="Normal 2 4 4 3 8 2" xfId="39208" xr:uid="{1D20766B-7DC1-4C1E-9E5F-B79F8385CDFE}"/>
    <cellStyle name="Normal 2 4 4 3 9" xfId="26617" xr:uid="{4D0CD657-E52D-4922-A837-31C01ABA96D1}"/>
    <cellStyle name="Normal 2 4 4 4" xfId="744" xr:uid="{6595E8DD-E571-435C-9686-D6F68FA3194B}"/>
    <cellStyle name="Normal 2 4 4 4 2" xfId="2051" xr:uid="{1C0C5489-4058-4B1E-9A41-9AA1CAAF4F86}"/>
    <cellStyle name="Normal 2 4 4 4 2 2" xfId="5205" xr:uid="{5B96F84E-8E4C-4C88-9A40-4B25B1C49FF2}"/>
    <cellStyle name="Normal 2 4 4 4 2 2 2" xfId="11498" xr:uid="{81B6438C-5018-46BB-AE02-8BBDFD239BE1}"/>
    <cellStyle name="Normal 2 4 4 4 2 2 2 2" xfId="24180" xr:uid="{C135F724-8624-4F46-8172-DD52B350AC47}"/>
    <cellStyle name="Normal 2 4 4 4 2 2 2 2 2" xfId="49672" xr:uid="{296299FC-7613-44D9-A66F-FFEBC374F2F1}"/>
    <cellStyle name="Normal 2 4 4 4 2 2 2 3" xfId="37081" xr:uid="{A88B0CF8-D329-43C1-A0FA-E8BC436A2C52}"/>
    <cellStyle name="Normal 2 4 4 4 2 2 3" xfId="17902" xr:uid="{68ED1044-914C-4099-8E91-3E43B598CDED}"/>
    <cellStyle name="Normal 2 4 4 4 2 2 3 2" xfId="43394" xr:uid="{1BB5C578-F1AA-42BF-AA75-919548921978}"/>
    <cellStyle name="Normal 2 4 4 4 2 2 4" xfId="30803" xr:uid="{84A4F95D-0C6D-4A88-920B-D9DEC829DCBA}"/>
    <cellStyle name="Normal 2 4 4 4 2 3" xfId="8359" xr:uid="{71B61B6A-3EA5-4725-9962-3FA30F57F629}"/>
    <cellStyle name="Normal 2 4 4 4 2 3 2" xfId="21041" xr:uid="{7A268828-2A75-4FD9-B6C0-07801552615C}"/>
    <cellStyle name="Normal 2 4 4 4 2 3 2 2" xfId="46533" xr:uid="{1EF5CF97-4168-4D15-80A8-B9E5EE0CAE17}"/>
    <cellStyle name="Normal 2 4 4 4 2 3 3" xfId="33942" xr:uid="{026EDEF1-B2A9-46E5-AB4F-2055551EBAB7}"/>
    <cellStyle name="Normal 2 4 4 4 2 4" xfId="14763" xr:uid="{C4693440-022A-410A-AA9F-9F535C2C4A5B}"/>
    <cellStyle name="Normal 2 4 4 4 2 4 2" xfId="40255" xr:uid="{2673D9A9-BC87-4223-8B00-C0170CFD5FA9}"/>
    <cellStyle name="Normal 2 4 4 4 2 5" xfId="27664" xr:uid="{11E1702F-E7BC-4C22-A28A-B596E93C681A}"/>
    <cellStyle name="Normal 2 4 4 4 3" xfId="3898" xr:uid="{6E9100D0-E919-4389-A015-A7E8803C49E6}"/>
    <cellStyle name="Normal 2 4 4 4 3 2" xfId="10191" xr:uid="{07421BD1-A5F5-42E8-9259-39A34E5513A5}"/>
    <cellStyle name="Normal 2 4 4 4 3 2 2" xfId="22873" xr:uid="{6E6E0D64-7177-49D2-88C8-1B42709ABA1E}"/>
    <cellStyle name="Normal 2 4 4 4 3 2 2 2" xfId="48365" xr:uid="{A4CCEE07-5B55-4CBF-BD8B-A38E473A5F9E}"/>
    <cellStyle name="Normal 2 4 4 4 3 2 3" xfId="35774" xr:uid="{89B4052B-4EB3-4043-ACA6-105A85F0243C}"/>
    <cellStyle name="Normal 2 4 4 4 3 3" xfId="16595" xr:uid="{ABBAE09E-273C-403D-9722-3D79920E3D04}"/>
    <cellStyle name="Normal 2 4 4 4 3 3 2" xfId="42087" xr:uid="{A4B25EBD-9E0E-4963-A9B5-22DC6ED862D2}"/>
    <cellStyle name="Normal 2 4 4 4 3 4" xfId="29496" xr:uid="{9C0E597A-8826-4A51-9963-7FBEC5A6A7C8}"/>
    <cellStyle name="Normal 2 4 4 4 4" xfId="7052" xr:uid="{31358960-C7AB-4E11-B786-5A894C3A1AAD}"/>
    <cellStyle name="Normal 2 4 4 4 4 2" xfId="19734" xr:uid="{E0E95AFA-2D87-406C-9FC9-88F045F0A021}"/>
    <cellStyle name="Normal 2 4 4 4 4 2 2" xfId="45226" xr:uid="{3982DB38-52D9-4CD4-B193-EDE08E79484A}"/>
    <cellStyle name="Normal 2 4 4 4 4 3" xfId="32635" xr:uid="{6295DD09-FDE5-4352-8798-3005CB21BA8B}"/>
    <cellStyle name="Normal 2 4 4 4 5" xfId="13456" xr:uid="{D45F9178-9085-4F6C-AF7C-A6E3952E13B0}"/>
    <cellStyle name="Normal 2 4 4 4 5 2" xfId="38948" xr:uid="{F3B1DE07-0CE6-423F-B9D9-2421E23F67EE}"/>
    <cellStyle name="Normal 2 4 4 4 6" xfId="26357" xr:uid="{ADCE44C3-E671-49C7-8A18-05EFE5A579AA}"/>
    <cellStyle name="Normal 2 4 4 5" xfId="1789" xr:uid="{078D94F7-C115-4CF3-9FB1-7A5F1F609932}"/>
    <cellStyle name="Normal 2 4 4 5 2" xfId="4943" xr:uid="{031846A5-61DE-4E2F-99CD-3342CD54AD4D}"/>
    <cellStyle name="Normal 2 4 4 5 2 2" xfId="11236" xr:uid="{E5B4889C-C154-4195-823A-4A93CCAF52D8}"/>
    <cellStyle name="Normal 2 4 4 5 2 2 2" xfId="23918" xr:uid="{B7FAA288-1429-4CA7-9A04-D6B66F0A2908}"/>
    <cellStyle name="Normal 2 4 4 5 2 2 2 2" xfId="49410" xr:uid="{FC1A7D54-4CE8-4AC8-82CD-985C25464AA4}"/>
    <cellStyle name="Normal 2 4 4 5 2 2 3" xfId="36819" xr:uid="{55D8FCA4-2113-4F79-9F6E-1C7081B73568}"/>
    <cellStyle name="Normal 2 4 4 5 2 3" xfId="17640" xr:uid="{AD28C052-06FB-4143-B128-F448D7950954}"/>
    <cellStyle name="Normal 2 4 4 5 2 3 2" xfId="43132" xr:uid="{CA8C1F14-FB2C-44C4-BBD2-FE99F8B3902A}"/>
    <cellStyle name="Normal 2 4 4 5 2 4" xfId="30541" xr:uid="{BC96AC84-5851-4B19-B2F1-06CEFC374DDE}"/>
    <cellStyle name="Normal 2 4 4 5 3" xfId="8097" xr:uid="{B8D8B2B5-AB08-4046-86C1-A0A9057C00EC}"/>
    <cellStyle name="Normal 2 4 4 5 3 2" xfId="20779" xr:uid="{1B987498-39A4-49C5-934C-B894FC1EBC77}"/>
    <cellStyle name="Normal 2 4 4 5 3 2 2" xfId="46271" xr:uid="{0C9E27AE-9726-405B-ABA1-DC58F60C494D}"/>
    <cellStyle name="Normal 2 4 4 5 3 3" xfId="33680" xr:uid="{B432481D-8AB4-43B1-ACB2-A1ED4072CE82}"/>
    <cellStyle name="Normal 2 4 4 5 4" xfId="14501" xr:uid="{93C16D6F-B3F0-4C50-8077-6536A1702367}"/>
    <cellStyle name="Normal 2 4 4 5 4 2" xfId="39993" xr:uid="{E2CC8D4C-2955-4CA3-B5A7-AE989B85E2E3}"/>
    <cellStyle name="Normal 2 4 4 5 5" xfId="27402" xr:uid="{1124E542-51B8-4A91-9C65-64AAF96583FE}"/>
    <cellStyle name="Normal 2 4 4 6" xfId="1267" xr:uid="{4135D4B2-FE60-4B47-9E79-6DD5B5E8F482}"/>
    <cellStyle name="Normal 2 4 4 6 2" xfId="4421" xr:uid="{687E0984-3997-4CA7-8440-60AABA4A4B6D}"/>
    <cellStyle name="Normal 2 4 4 6 2 2" xfId="10714" xr:uid="{5898CC65-416B-4A37-AD14-AB99EE686904}"/>
    <cellStyle name="Normal 2 4 4 6 2 2 2" xfId="23396" xr:uid="{839D35E7-78C1-4646-8EBE-7AB4B6BD47DD}"/>
    <cellStyle name="Normal 2 4 4 6 2 2 2 2" xfId="48888" xr:uid="{AFB3DFB2-710B-4D1C-A0DD-A95A3436FD30}"/>
    <cellStyle name="Normal 2 4 4 6 2 2 3" xfId="36297" xr:uid="{0EECB307-9661-49C2-9616-1371BF83F4F2}"/>
    <cellStyle name="Normal 2 4 4 6 2 3" xfId="17118" xr:uid="{71D04E5A-3736-45E8-9134-19D1FC3D3998}"/>
    <cellStyle name="Normal 2 4 4 6 2 3 2" xfId="42610" xr:uid="{1A726B98-39D3-4D86-BA4B-9B86E6D65EC6}"/>
    <cellStyle name="Normal 2 4 4 6 2 4" xfId="30019" xr:uid="{BBA7BF22-5813-4E6E-B546-7DEE8C6D572E}"/>
    <cellStyle name="Normal 2 4 4 6 3" xfId="7575" xr:uid="{C5C022DF-8980-4746-BB83-8ED6FB532F4C}"/>
    <cellStyle name="Normal 2 4 4 6 3 2" xfId="20257" xr:uid="{FB93331F-3C4C-4F2C-8765-2EFBD22636CE}"/>
    <cellStyle name="Normal 2 4 4 6 3 2 2" xfId="45749" xr:uid="{1161A717-59CF-4B5F-82BF-7CD5B0141BFD}"/>
    <cellStyle name="Normal 2 4 4 6 3 3" xfId="33158" xr:uid="{1EC2A992-6863-4258-B731-843D716B76D1}"/>
    <cellStyle name="Normal 2 4 4 6 4" xfId="13979" xr:uid="{5B1088CF-E9AE-46D1-B6F2-1BFBEE439ED5}"/>
    <cellStyle name="Normal 2 4 4 6 4 2" xfId="39471" xr:uid="{48CEAF6A-061D-4D98-A5AE-48C335749D6D}"/>
    <cellStyle name="Normal 2 4 4 6 5" xfId="26880" xr:uid="{BB050472-6494-4712-B584-A98E2029F6F5}"/>
    <cellStyle name="Normal 2 4 4 7" xfId="2574" xr:uid="{320F9EC6-11EB-4423-8F7C-8E59CE862670}"/>
    <cellStyle name="Normal 2 4 4 7 2" xfId="5728" xr:uid="{BFE6C128-3E13-4D62-B526-3F5EF87002A5}"/>
    <cellStyle name="Normal 2 4 4 7 2 2" xfId="12021" xr:uid="{7033C3F3-D1F8-463F-A3E7-D5D1EF0B4794}"/>
    <cellStyle name="Normal 2 4 4 7 2 2 2" xfId="24703" xr:uid="{61C9BACF-DFF7-4E45-A9E9-D41228570C16}"/>
    <cellStyle name="Normal 2 4 4 7 2 2 2 2" xfId="50195" xr:uid="{EF6C6B7C-9B5F-4506-ADB4-55CFC25CBFED}"/>
    <cellStyle name="Normal 2 4 4 7 2 2 3" xfId="37604" xr:uid="{26364E99-166E-4C7B-BE7A-BA11580422A4}"/>
    <cellStyle name="Normal 2 4 4 7 2 3" xfId="18425" xr:uid="{DE84D1E1-7C33-49BC-B424-72598D84A9E2}"/>
    <cellStyle name="Normal 2 4 4 7 2 3 2" xfId="43917" xr:uid="{6D629808-DA99-4747-AA67-8518A5568418}"/>
    <cellStyle name="Normal 2 4 4 7 2 4" xfId="31326" xr:uid="{6FF2E88C-BC02-4355-8551-64317BC55606}"/>
    <cellStyle name="Normal 2 4 4 7 3" xfId="8882" xr:uid="{1911DA6B-93DC-4DBE-8F71-662B82CB1EDD}"/>
    <cellStyle name="Normal 2 4 4 7 3 2" xfId="21564" xr:uid="{7F9D8FC0-0540-457C-A6AB-BEF2B6F534B5}"/>
    <cellStyle name="Normal 2 4 4 7 3 2 2" xfId="47056" xr:uid="{33C14A88-FEB9-4F30-A74B-96A7C1ECFE91}"/>
    <cellStyle name="Normal 2 4 4 7 3 3" xfId="34465" xr:uid="{FC6A9743-3E75-434E-B9F2-DFD0BACE4786}"/>
    <cellStyle name="Normal 2 4 4 7 4" xfId="15286" xr:uid="{A3FCE6B6-5C26-4489-85CD-CE3086AA7045}"/>
    <cellStyle name="Normal 2 4 4 7 4 2" xfId="40778" xr:uid="{7F5A0B9B-4B7A-4031-906D-AEC9709BE368}"/>
    <cellStyle name="Normal 2 4 4 7 5" xfId="28187" xr:uid="{7AA515F9-6C50-47AD-B3DD-3F163E7F14DF}"/>
    <cellStyle name="Normal 2 4 4 8" xfId="3097" xr:uid="{64A761EE-04D2-4CC6-B495-B3F807EB2EA8}"/>
    <cellStyle name="Normal 2 4 4 8 2" xfId="6251" xr:uid="{D374ECEC-3DD8-43DE-B38B-3FE285085E3E}"/>
    <cellStyle name="Normal 2 4 4 8 2 2" xfId="12544" xr:uid="{7A88793B-BAF9-4FD8-99D7-624C68CB5CD9}"/>
    <cellStyle name="Normal 2 4 4 8 2 2 2" xfId="25226" xr:uid="{E10DD44D-08C7-4B11-9EA7-630819764664}"/>
    <cellStyle name="Normal 2 4 4 8 2 2 2 2" xfId="50718" xr:uid="{73AE0AA6-0D4B-4421-932F-325B046CA798}"/>
    <cellStyle name="Normal 2 4 4 8 2 2 3" xfId="38127" xr:uid="{0E9D312B-1E5A-445C-98A2-E32676D23DCA}"/>
    <cellStyle name="Normal 2 4 4 8 2 3" xfId="18948" xr:uid="{D6913567-EA34-41E6-BC29-478C5ED05199}"/>
    <cellStyle name="Normal 2 4 4 8 2 3 2" xfId="44440" xr:uid="{95D8BD0B-7DA1-422E-A01E-EC8A1EEEEF1D}"/>
    <cellStyle name="Normal 2 4 4 8 2 4" xfId="31849" xr:uid="{54741441-4E7D-4EF1-A2D1-48E9EDFCE831}"/>
    <cellStyle name="Normal 2 4 4 8 3" xfId="9405" xr:uid="{0A53C3D0-49E9-43A0-9559-7941479B30A2}"/>
    <cellStyle name="Normal 2 4 4 8 3 2" xfId="22087" xr:uid="{9CB4995B-323F-4E6A-AC4C-C1DEAA188455}"/>
    <cellStyle name="Normal 2 4 4 8 3 2 2" xfId="47579" xr:uid="{EAF54E81-C9BD-45D0-93FC-DB6391D79F78}"/>
    <cellStyle name="Normal 2 4 4 8 3 3" xfId="34988" xr:uid="{9979FE49-58E5-41D5-B748-793436D74ECB}"/>
    <cellStyle name="Normal 2 4 4 8 4" xfId="15809" xr:uid="{3A87FC92-F606-4BDF-97C2-43701316A158}"/>
    <cellStyle name="Normal 2 4 4 8 4 2" xfId="41301" xr:uid="{6981A7DA-F6D0-4CCB-B44D-85D2964E9CB9}"/>
    <cellStyle name="Normal 2 4 4 8 5" xfId="28710" xr:uid="{81F5F993-A2ED-4D67-8847-501819E23A10}"/>
    <cellStyle name="Normal 2 4 4 9" xfId="3636" xr:uid="{DCDEDE20-04D6-42EA-B55C-85FB9B215FEC}"/>
    <cellStyle name="Normal 2 4 4 9 2" xfId="9929" xr:uid="{30D3B54C-734C-4AF1-A3EA-5F217AE630C0}"/>
    <cellStyle name="Normal 2 4 4 9 2 2" xfId="22611" xr:uid="{3B080C42-295C-49DD-ABE2-C8F5DD9938B1}"/>
    <cellStyle name="Normal 2 4 4 9 2 2 2" xfId="48103" xr:uid="{E768D4C1-804B-4C07-AC13-63B9BC91C304}"/>
    <cellStyle name="Normal 2 4 4 9 2 3" xfId="35512" xr:uid="{A6A0247D-B727-434E-9D8B-50DC1B42E8C7}"/>
    <cellStyle name="Normal 2 4 4 9 3" xfId="16333" xr:uid="{FB225E5E-9802-4EDC-B8FB-A926DD9D2993}"/>
    <cellStyle name="Normal 2 4 4 9 3 2" xfId="41825" xr:uid="{FD73343A-9104-4FAE-9D4A-ED1A1B5B4613}"/>
    <cellStyle name="Normal 2 4 4 9 4" xfId="29234" xr:uid="{F6BDF48F-E0E3-49E1-ABAC-20DEA577F33F}"/>
    <cellStyle name="Normal 2 4 5" xfId="584" xr:uid="{D5536C93-3E2E-4D03-A806-AACE72E2247E}"/>
    <cellStyle name="Normal 2 4 5 10" xfId="13311" xr:uid="{E622002B-3018-48DF-9FFA-A08B92AD601F}"/>
    <cellStyle name="Normal 2 4 5 10 2" xfId="38803" xr:uid="{C1A2B4D8-841C-4AB2-A882-4CC66D453777}"/>
    <cellStyle name="Normal 2 4 5 11" xfId="26212" xr:uid="{7638BEAF-714B-4739-8668-F35E544F589F}"/>
    <cellStyle name="Normal 2 4 5 2" xfId="1121" xr:uid="{71A7459D-8382-41C5-B7E5-E75C1BCDA6D3}"/>
    <cellStyle name="Normal 2 4 5 2 2" xfId="2428" xr:uid="{5271247B-06F2-4997-9AB1-2F28A5920191}"/>
    <cellStyle name="Normal 2 4 5 2 2 2" xfId="5582" xr:uid="{C7A19993-7C4E-4235-9F85-306E4572CABF}"/>
    <cellStyle name="Normal 2 4 5 2 2 2 2" xfId="11875" xr:uid="{6D6ED7E5-C27A-4C15-B5C5-BF2F669E97D3}"/>
    <cellStyle name="Normal 2 4 5 2 2 2 2 2" xfId="24557" xr:uid="{A0E3C43F-8945-4D7C-8E4C-B320B9826BE6}"/>
    <cellStyle name="Normal 2 4 5 2 2 2 2 2 2" xfId="50049" xr:uid="{1C97716A-A84A-4787-BEBE-FF3A56A4837F}"/>
    <cellStyle name="Normal 2 4 5 2 2 2 2 3" xfId="37458" xr:uid="{6E7970D3-C527-44C8-AE11-CE8F0F0BD4BD}"/>
    <cellStyle name="Normal 2 4 5 2 2 2 3" xfId="18279" xr:uid="{F421E12D-13CA-47D8-B16F-1BB4C5D35A79}"/>
    <cellStyle name="Normal 2 4 5 2 2 2 3 2" xfId="43771" xr:uid="{9ACC7D5A-2730-4725-A9B1-FC0F87EDCE75}"/>
    <cellStyle name="Normal 2 4 5 2 2 2 4" xfId="31180" xr:uid="{8C9CE13E-1ECA-402A-9BA6-BCD042EEFF2E}"/>
    <cellStyle name="Normal 2 4 5 2 2 3" xfId="8736" xr:uid="{B1FA2335-1A3C-4340-A857-BDA695989221}"/>
    <cellStyle name="Normal 2 4 5 2 2 3 2" xfId="21418" xr:uid="{D27E0F0D-087D-4910-B5A5-1E7B0CA58EF6}"/>
    <cellStyle name="Normal 2 4 5 2 2 3 2 2" xfId="46910" xr:uid="{B76D4E38-9B0E-45C3-8A52-334802D76566}"/>
    <cellStyle name="Normal 2 4 5 2 2 3 3" xfId="34319" xr:uid="{EA24D697-D6B3-4813-ADB8-7C0311D870F8}"/>
    <cellStyle name="Normal 2 4 5 2 2 4" xfId="15140" xr:uid="{3FE26FE9-1ED6-4DD2-BD54-E69ABEEA40E9}"/>
    <cellStyle name="Normal 2 4 5 2 2 4 2" xfId="40632" xr:uid="{8FA953ED-2593-468D-B38B-3119A7CECC8F}"/>
    <cellStyle name="Normal 2 4 5 2 2 5" xfId="28041" xr:uid="{77D019CE-6649-4A88-AE60-F05EA8EF58E0}"/>
    <cellStyle name="Normal 2 4 5 2 3" xfId="1645" xr:uid="{0D59DFB9-FF54-434A-945D-FF45F285F7A7}"/>
    <cellStyle name="Normal 2 4 5 2 3 2" xfId="4799" xr:uid="{EA1CAE00-67F3-4FDF-A1F4-863B2FCF4C2E}"/>
    <cellStyle name="Normal 2 4 5 2 3 2 2" xfId="11092" xr:uid="{EE7C8F35-C03B-49C1-AB6B-817CC6892B0E}"/>
    <cellStyle name="Normal 2 4 5 2 3 2 2 2" xfId="23774" xr:uid="{9AF0A829-31A6-4001-AF00-D18BB7229BB3}"/>
    <cellStyle name="Normal 2 4 5 2 3 2 2 2 2" xfId="49266" xr:uid="{01322AD9-596A-41D9-8593-50343641ACF7}"/>
    <cellStyle name="Normal 2 4 5 2 3 2 2 3" xfId="36675" xr:uid="{BAA2D007-FA6B-45D4-8D6E-76A510CEA18F}"/>
    <cellStyle name="Normal 2 4 5 2 3 2 3" xfId="17496" xr:uid="{C3A0B1B0-CAD0-437E-94F1-AFB14463D1F9}"/>
    <cellStyle name="Normal 2 4 5 2 3 2 3 2" xfId="42988" xr:uid="{97FE786F-7ECC-4304-A94E-D28C18EE6C71}"/>
    <cellStyle name="Normal 2 4 5 2 3 2 4" xfId="30397" xr:uid="{6F7743E5-AB45-4D14-842E-B23B614643AC}"/>
    <cellStyle name="Normal 2 4 5 2 3 3" xfId="7953" xr:uid="{5F8CDC5D-7120-402B-9A45-694F30109ED0}"/>
    <cellStyle name="Normal 2 4 5 2 3 3 2" xfId="20635" xr:uid="{F717424F-7B61-4170-B292-3C629068F3FA}"/>
    <cellStyle name="Normal 2 4 5 2 3 3 2 2" xfId="46127" xr:uid="{EDA8BE29-9F2F-4410-865D-0F1F787A83E7}"/>
    <cellStyle name="Normal 2 4 5 2 3 3 3" xfId="33536" xr:uid="{64217FCA-E369-4164-B306-16B925E682A3}"/>
    <cellStyle name="Normal 2 4 5 2 3 4" xfId="14357" xr:uid="{B8211060-BE09-4DF8-A6E8-D0CEA45A5790}"/>
    <cellStyle name="Normal 2 4 5 2 3 4 2" xfId="39849" xr:uid="{22D9BC13-A840-48A6-A7C9-DF2B72D59C5F}"/>
    <cellStyle name="Normal 2 4 5 2 3 5" xfId="27258" xr:uid="{45F0BF41-9F3F-47F2-903D-4FCFB98983E0}"/>
    <cellStyle name="Normal 2 4 5 2 4" xfId="2952" xr:uid="{AE793666-1441-4D8B-B6BD-DB5DD874F606}"/>
    <cellStyle name="Normal 2 4 5 2 4 2" xfId="6106" xr:uid="{E01739F6-EE40-4484-918D-4CE621557A0C}"/>
    <cellStyle name="Normal 2 4 5 2 4 2 2" xfId="12399" xr:uid="{96927CAF-ABAF-4DD5-AEA2-E5D166440E69}"/>
    <cellStyle name="Normal 2 4 5 2 4 2 2 2" xfId="25081" xr:uid="{349F39DE-06A1-4000-A9A4-25A54899EB64}"/>
    <cellStyle name="Normal 2 4 5 2 4 2 2 2 2" xfId="50573" xr:uid="{8078F916-D738-4753-B60F-6170409530E4}"/>
    <cellStyle name="Normal 2 4 5 2 4 2 2 3" xfId="37982" xr:uid="{D6A6A3F5-C052-42D4-83D6-FBC35D9CFFF2}"/>
    <cellStyle name="Normal 2 4 5 2 4 2 3" xfId="18803" xr:uid="{24F32B00-ACEF-49C2-A335-DF03762D8D5E}"/>
    <cellStyle name="Normal 2 4 5 2 4 2 3 2" xfId="44295" xr:uid="{A7A76E9D-EC49-40FE-8715-F43E47AA9140}"/>
    <cellStyle name="Normal 2 4 5 2 4 2 4" xfId="31704" xr:uid="{3E174084-2587-4C67-B763-5B2BCE7370EB}"/>
    <cellStyle name="Normal 2 4 5 2 4 3" xfId="9260" xr:uid="{1A0E811E-3FD3-481A-A834-7AB908C2B62B}"/>
    <cellStyle name="Normal 2 4 5 2 4 3 2" xfId="21942" xr:uid="{179D4BA3-7CB5-40C8-8905-39302D1E9EFC}"/>
    <cellStyle name="Normal 2 4 5 2 4 3 2 2" xfId="47434" xr:uid="{08D7942B-CF5F-4946-B52E-7CE74508D457}"/>
    <cellStyle name="Normal 2 4 5 2 4 3 3" xfId="34843" xr:uid="{7183D496-B790-43CB-BDB0-5C2C91D7CB02}"/>
    <cellStyle name="Normal 2 4 5 2 4 4" xfId="15664" xr:uid="{C414FE42-A6C6-4AD1-9925-2A181F2B29A4}"/>
    <cellStyle name="Normal 2 4 5 2 4 4 2" xfId="41156" xr:uid="{4A428450-68B0-45A7-8C83-85F9E725E561}"/>
    <cellStyle name="Normal 2 4 5 2 4 5" xfId="28565" xr:uid="{35B5D666-BDB3-4BDD-A524-743CCFEA0FDA}"/>
    <cellStyle name="Normal 2 4 5 2 5" xfId="3475" xr:uid="{F447DA75-BA42-4176-842F-A90D292D119C}"/>
    <cellStyle name="Normal 2 4 5 2 5 2" xfId="6629" xr:uid="{1C69F16C-B020-4B0A-B7D3-C90CBA7B1B23}"/>
    <cellStyle name="Normal 2 4 5 2 5 2 2" xfId="12922" xr:uid="{4393F823-EDD2-424A-9B27-15665441CE1F}"/>
    <cellStyle name="Normal 2 4 5 2 5 2 2 2" xfId="25604" xr:uid="{515ED194-53D9-4E9E-8797-8A798935F5B7}"/>
    <cellStyle name="Normal 2 4 5 2 5 2 2 2 2" xfId="51096" xr:uid="{8ACA013E-5788-4166-8922-04C01589DB1D}"/>
    <cellStyle name="Normal 2 4 5 2 5 2 2 3" xfId="38505" xr:uid="{70B3F94D-F53A-476A-9321-ECF53338D5C0}"/>
    <cellStyle name="Normal 2 4 5 2 5 2 3" xfId="19326" xr:uid="{F3819C8D-20B8-40C5-9E93-89CAB9AE0B2C}"/>
    <cellStyle name="Normal 2 4 5 2 5 2 3 2" xfId="44818" xr:uid="{92A83A9B-65BA-4564-B0BE-9B4CB691F79E}"/>
    <cellStyle name="Normal 2 4 5 2 5 2 4" xfId="32227" xr:uid="{8037AE13-AD97-4649-A840-BE6BF564D2A6}"/>
    <cellStyle name="Normal 2 4 5 2 5 3" xfId="9783" xr:uid="{65A06C67-55BE-4160-B1BD-D409729307A6}"/>
    <cellStyle name="Normal 2 4 5 2 5 3 2" xfId="22465" xr:uid="{4A424E61-262A-4AA9-A653-9B611C9C2352}"/>
    <cellStyle name="Normal 2 4 5 2 5 3 2 2" xfId="47957" xr:uid="{89E0380E-A609-4C8C-B655-1F2C114C52FB}"/>
    <cellStyle name="Normal 2 4 5 2 5 3 3" xfId="35366" xr:uid="{2EC6DEE9-05BC-49C4-8BFF-B274F2C2996E}"/>
    <cellStyle name="Normal 2 4 5 2 5 4" xfId="16187" xr:uid="{87FCDD8C-C350-4313-89E6-1A1EDBABC7C4}"/>
    <cellStyle name="Normal 2 4 5 2 5 4 2" xfId="41679" xr:uid="{AA33470A-2410-4465-AE78-9E494D41229C}"/>
    <cellStyle name="Normal 2 4 5 2 5 5" xfId="29088" xr:uid="{877C69FA-8B46-407A-8C4A-58BE1F883B65}"/>
    <cellStyle name="Normal 2 4 5 2 6" xfId="4275" xr:uid="{3B54F807-6040-4FC2-88A0-BD574DEBC73C}"/>
    <cellStyle name="Normal 2 4 5 2 6 2" xfId="10568" xr:uid="{CF36E190-901E-4499-A93F-2FC0F902E7FE}"/>
    <cellStyle name="Normal 2 4 5 2 6 2 2" xfId="23250" xr:uid="{69B685AF-25D0-41BD-AFED-019E67A2FD32}"/>
    <cellStyle name="Normal 2 4 5 2 6 2 2 2" xfId="48742" xr:uid="{D5609909-D008-4D5E-A668-28A091E514D4}"/>
    <cellStyle name="Normal 2 4 5 2 6 2 3" xfId="36151" xr:uid="{8EBB5477-7D5D-44A2-9E77-32753FA226FA}"/>
    <cellStyle name="Normal 2 4 5 2 6 3" xfId="16972" xr:uid="{933B9312-FDA6-4FCE-8039-CFD1498F116B}"/>
    <cellStyle name="Normal 2 4 5 2 6 3 2" xfId="42464" xr:uid="{C9D1E1C2-6733-4EFA-950F-806B23533404}"/>
    <cellStyle name="Normal 2 4 5 2 6 4" xfId="29873" xr:uid="{77652889-3A37-40D6-A4AD-9DAD02AD392D}"/>
    <cellStyle name="Normal 2 4 5 2 7" xfId="7429" xr:uid="{42416D82-AF9D-4865-92E0-8CD6CF0FB60E}"/>
    <cellStyle name="Normal 2 4 5 2 7 2" xfId="20111" xr:uid="{27DDDEAE-D7C1-490C-8C9E-A199E8B4FDEF}"/>
    <cellStyle name="Normal 2 4 5 2 7 2 2" xfId="45603" xr:uid="{6C4DF715-E63E-4C70-B0EA-BE94C8A4A6B7}"/>
    <cellStyle name="Normal 2 4 5 2 7 3" xfId="33012" xr:uid="{D15168AB-B84C-4EF1-BD7B-1C6ED36B4CB2}"/>
    <cellStyle name="Normal 2 4 5 2 8" xfId="13833" xr:uid="{4DFCCC10-F1A5-4F4B-92DB-FD4D06D97627}"/>
    <cellStyle name="Normal 2 4 5 2 8 2" xfId="39325" xr:uid="{4B3A6591-24A1-4F8B-9E1D-B6A541EA91C8}"/>
    <cellStyle name="Normal 2 4 5 2 9" xfId="26734" xr:uid="{501F85BA-405F-4BDF-8F06-09DF3E666C7E}"/>
    <cellStyle name="Normal 2 4 5 3" xfId="861" xr:uid="{C30E13FB-FCC9-4290-B38D-CF0428B32871}"/>
    <cellStyle name="Normal 2 4 5 3 2" xfId="2168" xr:uid="{9B8C057A-5A5A-4655-8D1C-BD0086D7B36B}"/>
    <cellStyle name="Normal 2 4 5 3 2 2" xfId="5322" xr:uid="{7B51272C-F76B-488C-9917-87ADD05F7861}"/>
    <cellStyle name="Normal 2 4 5 3 2 2 2" xfId="11615" xr:uid="{0DA50E5B-F89A-4C07-A68A-48ED4DC8E660}"/>
    <cellStyle name="Normal 2 4 5 3 2 2 2 2" xfId="24297" xr:uid="{3413E27B-5CEE-4811-ADB5-DFFB5D5EF851}"/>
    <cellStyle name="Normal 2 4 5 3 2 2 2 2 2" xfId="49789" xr:uid="{43AE7743-5DD6-41DF-B3E7-E72DC59CB1B1}"/>
    <cellStyle name="Normal 2 4 5 3 2 2 2 3" xfId="37198" xr:uid="{E6BB5757-9E19-43FC-AC10-3565E995FDDF}"/>
    <cellStyle name="Normal 2 4 5 3 2 2 3" xfId="18019" xr:uid="{B9CA636E-014D-47F8-94FA-218E0B15D412}"/>
    <cellStyle name="Normal 2 4 5 3 2 2 3 2" xfId="43511" xr:uid="{FF6A7001-4CB1-468A-928C-C482A27E13A1}"/>
    <cellStyle name="Normal 2 4 5 3 2 2 4" xfId="30920" xr:uid="{C99C528F-FE66-475D-A50E-F75D26F9A436}"/>
    <cellStyle name="Normal 2 4 5 3 2 3" xfId="8476" xr:uid="{CD8B7117-198F-41EA-8F88-7D2719CD5FC6}"/>
    <cellStyle name="Normal 2 4 5 3 2 3 2" xfId="21158" xr:uid="{B58FA493-6DFB-42AF-BCB7-CEDEC5E59DB6}"/>
    <cellStyle name="Normal 2 4 5 3 2 3 2 2" xfId="46650" xr:uid="{45393C45-DD20-4F49-825B-12B3A3488A6F}"/>
    <cellStyle name="Normal 2 4 5 3 2 3 3" xfId="34059" xr:uid="{94922074-6DC5-4E55-82F9-83F2035A3568}"/>
    <cellStyle name="Normal 2 4 5 3 2 4" xfId="14880" xr:uid="{862B90B3-EE21-414F-9CD3-AE304B3490E9}"/>
    <cellStyle name="Normal 2 4 5 3 2 4 2" xfId="40372" xr:uid="{C2A31B36-6C3F-49B6-8682-33FA2C23BE14}"/>
    <cellStyle name="Normal 2 4 5 3 2 5" xfId="27781" xr:uid="{E5AA8810-36A5-494F-8A29-2C9B76457DF8}"/>
    <cellStyle name="Normal 2 4 5 3 3" xfId="4015" xr:uid="{54AE810F-0494-4095-A2EC-230F421A6F13}"/>
    <cellStyle name="Normal 2 4 5 3 3 2" xfId="10308" xr:uid="{B78E906A-FCCF-430B-8A62-DD8B25DC6ED6}"/>
    <cellStyle name="Normal 2 4 5 3 3 2 2" xfId="22990" xr:uid="{5ED88019-0FFA-409E-97B4-EA6232A77941}"/>
    <cellStyle name="Normal 2 4 5 3 3 2 2 2" xfId="48482" xr:uid="{12BF978A-2EE4-41C3-A17A-0C588DC1215D}"/>
    <cellStyle name="Normal 2 4 5 3 3 2 3" xfId="35891" xr:uid="{5E15071C-0373-4C27-9CCA-BB693CCCCA1C}"/>
    <cellStyle name="Normal 2 4 5 3 3 3" xfId="16712" xr:uid="{3F9EB8C2-DC9F-43C5-BF24-64D495BD7AA6}"/>
    <cellStyle name="Normal 2 4 5 3 3 3 2" xfId="42204" xr:uid="{CB1C89F2-EE6B-448F-AF8C-B0B72915E82F}"/>
    <cellStyle name="Normal 2 4 5 3 3 4" xfId="29613" xr:uid="{8600C68C-1B35-4ED0-8673-83C02DF04661}"/>
    <cellStyle name="Normal 2 4 5 3 4" xfId="7169" xr:uid="{75635430-6597-4C38-A81E-25E4B4067132}"/>
    <cellStyle name="Normal 2 4 5 3 4 2" xfId="19851" xr:uid="{6F800815-A6D8-43AF-8406-C9075C05A85F}"/>
    <cellStyle name="Normal 2 4 5 3 4 2 2" xfId="45343" xr:uid="{1B1E1D67-1187-4C88-A1FE-58B4B937A96E}"/>
    <cellStyle name="Normal 2 4 5 3 4 3" xfId="32752" xr:uid="{4D0660A1-5CE0-4EDD-8410-A6D72EECA6C6}"/>
    <cellStyle name="Normal 2 4 5 3 5" xfId="13573" xr:uid="{A5D20704-B7CF-434C-B669-A9989BD8AD27}"/>
    <cellStyle name="Normal 2 4 5 3 5 2" xfId="39065" xr:uid="{F28C4C2F-CA39-4F62-8F68-2EF47799FF25}"/>
    <cellStyle name="Normal 2 4 5 3 6" xfId="26474" xr:uid="{F6B508EC-59AB-4732-9C8A-C3B85A8A242F}"/>
    <cellStyle name="Normal 2 4 5 4" xfId="1906" xr:uid="{CA254257-66A3-49BA-BF26-7044913E5255}"/>
    <cellStyle name="Normal 2 4 5 4 2" xfId="5060" xr:uid="{74F5F8BF-5241-449B-8F11-56FB79CA596C}"/>
    <cellStyle name="Normal 2 4 5 4 2 2" xfId="11353" xr:uid="{FACF41BE-8D27-4565-8814-91E8CC6ECA42}"/>
    <cellStyle name="Normal 2 4 5 4 2 2 2" xfId="24035" xr:uid="{6E188872-A4E3-4E89-A400-A333CBD010E1}"/>
    <cellStyle name="Normal 2 4 5 4 2 2 2 2" xfId="49527" xr:uid="{289C2E5C-8104-476F-9396-32449E029B3C}"/>
    <cellStyle name="Normal 2 4 5 4 2 2 3" xfId="36936" xr:uid="{4C2F40F7-9AA9-4EC8-A189-0FBAF3B58DFD}"/>
    <cellStyle name="Normal 2 4 5 4 2 3" xfId="17757" xr:uid="{BC354824-BE71-4C94-9029-D410C0CA7CC1}"/>
    <cellStyle name="Normal 2 4 5 4 2 3 2" xfId="43249" xr:uid="{710AD08E-32D2-49E3-94C5-0A8EC4F76204}"/>
    <cellStyle name="Normal 2 4 5 4 2 4" xfId="30658" xr:uid="{D3AEB02C-410B-4B4D-BD68-202964F71E5E}"/>
    <cellStyle name="Normal 2 4 5 4 3" xfId="8214" xr:uid="{24DB2AC7-EB55-44FD-8FE8-54CB5503E425}"/>
    <cellStyle name="Normal 2 4 5 4 3 2" xfId="20896" xr:uid="{8A115192-9F7A-45D9-8215-99D6341B7CDA}"/>
    <cellStyle name="Normal 2 4 5 4 3 2 2" xfId="46388" xr:uid="{9B2A2669-DFC1-4AC1-95C4-20A7ACB23F80}"/>
    <cellStyle name="Normal 2 4 5 4 3 3" xfId="33797" xr:uid="{7D6F161A-601B-482A-99E8-838DE01C9910}"/>
    <cellStyle name="Normal 2 4 5 4 4" xfId="14618" xr:uid="{CAF896F2-9250-41A0-95D6-5693685BE142}"/>
    <cellStyle name="Normal 2 4 5 4 4 2" xfId="40110" xr:uid="{3C286AD0-D0CD-42C8-A390-B4A3FEBD8961}"/>
    <cellStyle name="Normal 2 4 5 4 5" xfId="27519" xr:uid="{B6B22676-770D-408F-AA55-76EFBEF55124}"/>
    <cellStyle name="Normal 2 4 5 5" xfId="1384" xr:uid="{0C3B36EF-1C32-4960-B268-C2F23B7ADFEA}"/>
    <cellStyle name="Normal 2 4 5 5 2" xfId="4538" xr:uid="{AC54CCD4-0CC3-493C-8E31-132BF1D11E06}"/>
    <cellStyle name="Normal 2 4 5 5 2 2" xfId="10831" xr:uid="{CCC15685-657C-43D1-8680-91E639DA4F18}"/>
    <cellStyle name="Normal 2 4 5 5 2 2 2" xfId="23513" xr:uid="{02B88612-0341-45FF-9B3C-A61819F7BA51}"/>
    <cellStyle name="Normal 2 4 5 5 2 2 2 2" xfId="49005" xr:uid="{73E99CB0-9C08-4187-9B11-4CF5725078C5}"/>
    <cellStyle name="Normal 2 4 5 5 2 2 3" xfId="36414" xr:uid="{34E9A33D-F5B8-486B-BCF7-6C0C0D285EC8}"/>
    <cellStyle name="Normal 2 4 5 5 2 3" xfId="17235" xr:uid="{C4FDA8D6-8323-41BD-9F79-EA8F8E7DC20D}"/>
    <cellStyle name="Normal 2 4 5 5 2 3 2" xfId="42727" xr:uid="{AFF30C57-81ED-472D-93B7-985B98E8FF24}"/>
    <cellStyle name="Normal 2 4 5 5 2 4" xfId="30136" xr:uid="{41D2B569-7309-4DFD-9599-712A0DDCB308}"/>
    <cellStyle name="Normal 2 4 5 5 3" xfId="7692" xr:uid="{83EC208C-B768-4477-9F46-107A7016B926}"/>
    <cellStyle name="Normal 2 4 5 5 3 2" xfId="20374" xr:uid="{0E77096A-5F73-457C-A098-EE50EEF6A980}"/>
    <cellStyle name="Normal 2 4 5 5 3 2 2" xfId="45866" xr:uid="{0AA21861-1A3F-4D56-A066-5D83B6ABF219}"/>
    <cellStyle name="Normal 2 4 5 5 3 3" xfId="33275" xr:uid="{07E14E3C-D546-45E9-A832-16FBD1A158FC}"/>
    <cellStyle name="Normal 2 4 5 5 4" xfId="14096" xr:uid="{FAB061B2-9FB3-4BF6-9446-943435DA3E5A}"/>
    <cellStyle name="Normal 2 4 5 5 4 2" xfId="39588" xr:uid="{EA5F983F-7B1B-46BB-B04D-279FF0956586}"/>
    <cellStyle name="Normal 2 4 5 5 5" xfId="26997" xr:uid="{D5E638DC-0F1A-4486-9102-FDA6B2E34FA5}"/>
    <cellStyle name="Normal 2 4 5 6" xfId="2691" xr:uid="{0F92790F-0583-4A2D-A77D-F79499C569A9}"/>
    <cellStyle name="Normal 2 4 5 6 2" xfId="5845" xr:uid="{920909A2-AE3A-47DB-88CD-EC44C4966897}"/>
    <cellStyle name="Normal 2 4 5 6 2 2" xfId="12138" xr:uid="{150C704E-667B-4B66-A016-83828D3186B2}"/>
    <cellStyle name="Normal 2 4 5 6 2 2 2" xfId="24820" xr:uid="{1C733CB9-1126-4BD9-8420-49749C39831C}"/>
    <cellStyle name="Normal 2 4 5 6 2 2 2 2" xfId="50312" xr:uid="{783F59B6-B8E3-4E06-8C9D-586E90CA3A99}"/>
    <cellStyle name="Normal 2 4 5 6 2 2 3" xfId="37721" xr:uid="{82D0A87E-B11E-42F6-9A82-C538D70932F7}"/>
    <cellStyle name="Normal 2 4 5 6 2 3" xfId="18542" xr:uid="{90427490-97D0-4F49-9EBA-19DD360C4298}"/>
    <cellStyle name="Normal 2 4 5 6 2 3 2" xfId="44034" xr:uid="{627523E1-6EFD-42D2-AF15-CD41F2D37F07}"/>
    <cellStyle name="Normal 2 4 5 6 2 4" xfId="31443" xr:uid="{A22F8493-4B43-4D5F-B323-485C0AB5C858}"/>
    <cellStyle name="Normal 2 4 5 6 3" xfId="8999" xr:uid="{07E22D41-4C04-46CD-8E96-07195B0BAC87}"/>
    <cellStyle name="Normal 2 4 5 6 3 2" xfId="21681" xr:uid="{6DEA2F68-D94C-474E-BD84-AD4E0E72A340}"/>
    <cellStyle name="Normal 2 4 5 6 3 2 2" xfId="47173" xr:uid="{70C7C029-F1AE-411A-9F55-47DD77451D5F}"/>
    <cellStyle name="Normal 2 4 5 6 3 3" xfId="34582" xr:uid="{324BE96D-0904-4FE2-A096-40D02CCF0E6D}"/>
    <cellStyle name="Normal 2 4 5 6 4" xfId="15403" xr:uid="{D77BC3E6-C5AC-4451-B2BB-E784B987DA4E}"/>
    <cellStyle name="Normal 2 4 5 6 4 2" xfId="40895" xr:uid="{8F5C141E-4A59-4F7B-A7ED-FEAFF15A1640}"/>
    <cellStyle name="Normal 2 4 5 6 5" xfId="28304" xr:uid="{B61B4154-EDC1-42B5-AA10-FAD25C9F6B1B}"/>
    <cellStyle name="Normal 2 4 5 7" xfId="3214" xr:uid="{59CD0870-4BD9-4F64-8EB6-4A11B15BDB53}"/>
    <cellStyle name="Normal 2 4 5 7 2" xfId="6368" xr:uid="{0BF52A52-DC86-4C13-A25C-2AB5E9E56947}"/>
    <cellStyle name="Normal 2 4 5 7 2 2" xfId="12661" xr:uid="{30FBCE52-E77C-482B-A6A7-01A6016AA54E}"/>
    <cellStyle name="Normal 2 4 5 7 2 2 2" xfId="25343" xr:uid="{D3E34165-6A03-42FD-BD3E-4EFE7A2D7B4F}"/>
    <cellStyle name="Normal 2 4 5 7 2 2 2 2" xfId="50835" xr:uid="{D18214A7-53A0-4B80-B395-3C992ED7595D}"/>
    <cellStyle name="Normal 2 4 5 7 2 2 3" xfId="38244" xr:uid="{E1F5538A-86BE-4C85-922B-88C1BBE7DB00}"/>
    <cellStyle name="Normal 2 4 5 7 2 3" xfId="19065" xr:uid="{D4C78FE5-C1A0-49D7-8844-14CF4C23C21B}"/>
    <cellStyle name="Normal 2 4 5 7 2 3 2" xfId="44557" xr:uid="{D670FCE3-2132-4494-B5CA-E2B15FD599A1}"/>
    <cellStyle name="Normal 2 4 5 7 2 4" xfId="31966" xr:uid="{7E175948-A09F-4CD1-8A27-E95E57184198}"/>
    <cellStyle name="Normal 2 4 5 7 3" xfId="9522" xr:uid="{B5E7C3A8-BA4E-4130-97B9-E2DED4952FC3}"/>
    <cellStyle name="Normal 2 4 5 7 3 2" xfId="22204" xr:uid="{5AAA7127-890A-4701-8AFA-150A1FA9AFB3}"/>
    <cellStyle name="Normal 2 4 5 7 3 2 2" xfId="47696" xr:uid="{D6119202-CADD-41AC-BA6D-E81BB7FD6408}"/>
    <cellStyle name="Normal 2 4 5 7 3 3" xfId="35105" xr:uid="{C28C655E-709D-4172-A300-15D3CE35A9D6}"/>
    <cellStyle name="Normal 2 4 5 7 4" xfId="15926" xr:uid="{027C68B1-A998-4424-8455-DA3196795D1C}"/>
    <cellStyle name="Normal 2 4 5 7 4 2" xfId="41418" xr:uid="{FDFB21B7-E1E0-4434-9ECE-DC678DB0FA20}"/>
    <cellStyle name="Normal 2 4 5 7 5" xfId="28827" xr:uid="{C8BC67A9-9C84-4137-B934-CBE4FC478CA8}"/>
    <cellStyle name="Normal 2 4 5 8" xfId="3753" xr:uid="{B74FABBD-7107-46A7-9F78-8F133051F471}"/>
    <cellStyle name="Normal 2 4 5 8 2" xfId="10046" xr:uid="{93D6BD42-7CC0-472B-A06E-B724F0DBCA39}"/>
    <cellStyle name="Normal 2 4 5 8 2 2" xfId="22728" xr:uid="{983CE1F6-836F-4157-A179-A9241AE91CBF}"/>
    <cellStyle name="Normal 2 4 5 8 2 2 2" xfId="48220" xr:uid="{241FEA64-FB4D-4BEC-86B4-C3A893D04F08}"/>
    <cellStyle name="Normal 2 4 5 8 2 3" xfId="35629" xr:uid="{55A87E73-FE82-4F3B-8F62-E736A5A2CD07}"/>
    <cellStyle name="Normal 2 4 5 8 3" xfId="16450" xr:uid="{3AE04C26-1C7E-4FB0-A0E9-E7EBA1C4B06E}"/>
    <cellStyle name="Normal 2 4 5 8 3 2" xfId="41942" xr:uid="{90025CAC-CFF6-4F0E-9965-453FCE1F479B}"/>
    <cellStyle name="Normal 2 4 5 8 4" xfId="29351" xr:uid="{25D411D9-7D65-4D6C-B152-2AEDA084FF63}"/>
    <cellStyle name="Normal 2 4 5 9" xfId="6907" xr:uid="{7ED047AC-A7FD-4542-80B8-A0A3430A02FD}"/>
    <cellStyle name="Normal 2 4 5 9 2" xfId="19589" xr:uid="{F747E0C9-7E90-4B7D-B974-AB97B5DEECE6}"/>
    <cellStyle name="Normal 2 4 5 9 2 2" xfId="45081" xr:uid="{1C66F331-9296-4DE6-9E67-2311C24FD38A}"/>
    <cellStyle name="Normal 2 4 5 9 3" xfId="32490" xr:uid="{8D17EA16-6FA4-4084-A589-DE59801672DE}"/>
    <cellStyle name="Normal 2 4 6" xfId="526" xr:uid="{9FDF4204-9C1F-4CDF-82BE-5DDE0F5F6ABF}"/>
    <cellStyle name="Normal 2 4 6 10" xfId="13253" xr:uid="{409B5E31-C4AE-47D3-B29A-FA916D31D8E2}"/>
    <cellStyle name="Normal 2 4 6 10 2" xfId="38745" xr:uid="{6B4D8C40-A6C8-438C-ADE0-A0650113C6CA}"/>
    <cellStyle name="Normal 2 4 6 11" xfId="26154" xr:uid="{722A8037-AB6E-4CEA-9B7B-3B009440C0CC}"/>
    <cellStyle name="Normal 2 4 6 2" xfId="1063" xr:uid="{503D0A25-8789-4D48-8EB4-269E6B99EFAE}"/>
    <cellStyle name="Normal 2 4 6 2 2" xfId="2370" xr:uid="{91B5CD5A-2BEC-48E2-97BE-C66827FF285A}"/>
    <cellStyle name="Normal 2 4 6 2 2 2" xfId="5524" xr:uid="{D24CFD53-2304-4D69-839F-72AED98FACA1}"/>
    <cellStyle name="Normal 2 4 6 2 2 2 2" xfId="11817" xr:uid="{DAC5F477-2B63-4822-AA87-916B803123EE}"/>
    <cellStyle name="Normal 2 4 6 2 2 2 2 2" xfId="24499" xr:uid="{1D667E02-3283-485F-B5F1-7CEE77F927EE}"/>
    <cellStyle name="Normal 2 4 6 2 2 2 2 2 2" xfId="49991" xr:uid="{5C967C34-86C0-4353-9371-B1F2316D272E}"/>
    <cellStyle name="Normal 2 4 6 2 2 2 2 3" xfId="37400" xr:uid="{583ADC5A-E530-401A-93C5-AFC15643CC8E}"/>
    <cellStyle name="Normal 2 4 6 2 2 2 3" xfId="18221" xr:uid="{500A2A85-CBEF-41CE-B7FC-45AD1E6BC142}"/>
    <cellStyle name="Normal 2 4 6 2 2 2 3 2" xfId="43713" xr:uid="{848445D7-2BE6-4A9C-B114-DD621D7A7A7D}"/>
    <cellStyle name="Normal 2 4 6 2 2 2 4" xfId="31122" xr:uid="{5CFEDB9F-FAEC-4853-B332-105D7E8BCC42}"/>
    <cellStyle name="Normal 2 4 6 2 2 3" xfId="8678" xr:uid="{A930670D-45E5-4F3D-BC45-17C5429F5D77}"/>
    <cellStyle name="Normal 2 4 6 2 2 3 2" xfId="21360" xr:uid="{533AD741-1966-4706-BED1-0D4C92B81924}"/>
    <cellStyle name="Normal 2 4 6 2 2 3 2 2" xfId="46852" xr:uid="{70A829C7-361F-4F84-9400-75488AC1F0E4}"/>
    <cellStyle name="Normal 2 4 6 2 2 3 3" xfId="34261" xr:uid="{23226959-8445-4AA4-BAF1-86749A5CFB6E}"/>
    <cellStyle name="Normal 2 4 6 2 2 4" xfId="15082" xr:uid="{8C503A19-FC35-4F61-8618-56362D2CC760}"/>
    <cellStyle name="Normal 2 4 6 2 2 4 2" xfId="40574" xr:uid="{7908DCF0-7E51-409C-8B96-E1CA5CEAE63A}"/>
    <cellStyle name="Normal 2 4 6 2 2 5" xfId="27983" xr:uid="{1487939F-DA79-4BC3-AC49-3CB9E5AC4A08}"/>
    <cellStyle name="Normal 2 4 6 2 3" xfId="1587" xr:uid="{BF9FBE55-7073-4476-9D20-81859990952E}"/>
    <cellStyle name="Normal 2 4 6 2 3 2" xfId="4741" xr:uid="{38EFAD07-23E8-4F30-AC75-8CD5DF723E44}"/>
    <cellStyle name="Normal 2 4 6 2 3 2 2" xfId="11034" xr:uid="{983B609F-3980-4367-A8E4-CF2BD5FCEB6F}"/>
    <cellStyle name="Normal 2 4 6 2 3 2 2 2" xfId="23716" xr:uid="{6EA5566D-65D4-4E83-9634-6A609042CBFF}"/>
    <cellStyle name="Normal 2 4 6 2 3 2 2 2 2" xfId="49208" xr:uid="{3D403741-B807-430D-9010-AFFA0F66FBC9}"/>
    <cellStyle name="Normal 2 4 6 2 3 2 2 3" xfId="36617" xr:uid="{9802765D-728C-429D-88F1-1F594A8BF816}"/>
    <cellStyle name="Normal 2 4 6 2 3 2 3" xfId="17438" xr:uid="{F8BC7A26-A5F2-42B3-9041-4DD2B7BD3E02}"/>
    <cellStyle name="Normal 2 4 6 2 3 2 3 2" xfId="42930" xr:uid="{E4A8FDDB-0ED4-4AF7-810F-949E1CA99F87}"/>
    <cellStyle name="Normal 2 4 6 2 3 2 4" xfId="30339" xr:uid="{D150A016-CD4D-41E0-9EB4-A00587CC8242}"/>
    <cellStyle name="Normal 2 4 6 2 3 3" xfId="7895" xr:uid="{D6588D87-AB07-417B-9498-07AE03259E54}"/>
    <cellStyle name="Normal 2 4 6 2 3 3 2" xfId="20577" xr:uid="{EFFC6B14-FC86-43D8-812F-6EBE8AEB5548}"/>
    <cellStyle name="Normal 2 4 6 2 3 3 2 2" xfId="46069" xr:uid="{EB81A16E-C4CA-4866-8AF3-7B6E5C721C12}"/>
    <cellStyle name="Normal 2 4 6 2 3 3 3" xfId="33478" xr:uid="{6F365D0E-0B80-4ADA-8BD3-0F1EA3365220}"/>
    <cellStyle name="Normal 2 4 6 2 3 4" xfId="14299" xr:uid="{D653EE0C-87DE-47C7-BC3E-7FD6546ADABC}"/>
    <cellStyle name="Normal 2 4 6 2 3 4 2" xfId="39791" xr:uid="{673E9A0C-12B5-49E7-8E23-00A75113B650}"/>
    <cellStyle name="Normal 2 4 6 2 3 5" xfId="27200" xr:uid="{4025290B-1BBE-4862-A9A9-50ED629A71DE}"/>
    <cellStyle name="Normal 2 4 6 2 4" xfId="2894" xr:uid="{D9A818C8-EDD8-4B0E-9741-8184152E4C5E}"/>
    <cellStyle name="Normal 2 4 6 2 4 2" xfId="6048" xr:uid="{3C80B10D-8BFE-4247-A9C0-BF3E1CD757A4}"/>
    <cellStyle name="Normal 2 4 6 2 4 2 2" xfId="12341" xr:uid="{A99A2596-ABFA-4AA1-A9D8-4F5000C5BF47}"/>
    <cellStyle name="Normal 2 4 6 2 4 2 2 2" xfId="25023" xr:uid="{22B0C585-95C7-48DA-8E7C-0BF9335462D8}"/>
    <cellStyle name="Normal 2 4 6 2 4 2 2 2 2" xfId="50515" xr:uid="{A6CFDC61-BC63-46E3-ADA0-A9A6620A32BB}"/>
    <cellStyle name="Normal 2 4 6 2 4 2 2 3" xfId="37924" xr:uid="{11C19BC2-2EFF-44A3-871C-3451CDF3619A}"/>
    <cellStyle name="Normal 2 4 6 2 4 2 3" xfId="18745" xr:uid="{1E821223-9A4D-4B33-9E7C-AD936ADDB969}"/>
    <cellStyle name="Normal 2 4 6 2 4 2 3 2" xfId="44237" xr:uid="{E5250A98-764C-4D94-9222-53CD390B5288}"/>
    <cellStyle name="Normal 2 4 6 2 4 2 4" xfId="31646" xr:uid="{99BC3691-0C64-462A-8F17-8BD38F4C251F}"/>
    <cellStyle name="Normal 2 4 6 2 4 3" xfId="9202" xr:uid="{E3FE55DC-429B-4D0B-A182-58592751391A}"/>
    <cellStyle name="Normal 2 4 6 2 4 3 2" xfId="21884" xr:uid="{3467D676-C056-45EF-8CDE-66566620C716}"/>
    <cellStyle name="Normal 2 4 6 2 4 3 2 2" xfId="47376" xr:uid="{5C64AD37-E4D8-4F21-97FA-A8DFFE5B7A96}"/>
    <cellStyle name="Normal 2 4 6 2 4 3 3" xfId="34785" xr:uid="{4E3DCAC5-898E-41C4-95A9-0E92737E7D12}"/>
    <cellStyle name="Normal 2 4 6 2 4 4" xfId="15606" xr:uid="{9E7FB16D-C328-4888-B7EC-4B7564849A54}"/>
    <cellStyle name="Normal 2 4 6 2 4 4 2" xfId="41098" xr:uid="{6421B041-A464-4EB5-9289-B0D062EA1360}"/>
    <cellStyle name="Normal 2 4 6 2 4 5" xfId="28507" xr:uid="{26E39D7A-DAB7-4C2A-A935-73006ED176F4}"/>
    <cellStyle name="Normal 2 4 6 2 5" xfId="3417" xr:uid="{ECC39481-A0E8-409D-967E-E6CCC2510710}"/>
    <cellStyle name="Normal 2 4 6 2 5 2" xfId="6571" xr:uid="{41FA9F46-2D98-45C2-B868-9C33E3086B37}"/>
    <cellStyle name="Normal 2 4 6 2 5 2 2" xfId="12864" xr:uid="{BFCFA1A5-5094-4379-BA50-C5D65F354664}"/>
    <cellStyle name="Normal 2 4 6 2 5 2 2 2" xfId="25546" xr:uid="{16799E44-BC95-4885-A3C2-AFD2C316595C}"/>
    <cellStyle name="Normal 2 4 6 2 5 2 2 2 2" xfId="51038" xr:uid="{77DA4917-7C0A-4ACE-95B4-D0E53638D483}"/>
    <cellStyle name="Normal 2 4 6 2 5 2 2 3" xfId="38447" xr:uid="{EAD024D3-4B8E-498B-B061-0DD55B9DF391}"/>
    <cellStyle name="Normal 2 4 6 2 5 2 3" xfId="19268" xr:uid="{A3B70E76-A100-491B-B5F8-3BB8199F4E23}"/>
    <cellStyle name="Normal 2 4 6 2 5 2 3 2" xfId="44760" xr:uid="{8590D460-3668-40BE-BE15-F5F5FA1819FD}"/>
    <cellStyle name="Normal 2 4 6 2 5 2 4" xfId="32169" xr:uid="{A0084887-B8D1-43BE-9388-D13B0FA027CB}"/>
    <cellStyle name="Normal 2 4 6 2 5 3" xfId="9725" xr:uid="{DB7E2C4D-BE5C-4BAA-820D-04711FE0B432}"/>
    <cellStyle name="Normal 2 4 6 2 5 3 2" xfId="22407" xr:uid="{027E45D2-9D53-4619-A58F-0A604EF3B45B}"/>
    <cellStyle name="Normal 2 4 6 2 5 3 2 2" xfId="47899" xr:uid="{648F2A95-5DA0-43F2-8082-8D7FFFD6DA92}"/>
    <cellStyle name="Normal 2 4 6 2 5 3 3" xfId="35308" xr:uid="{3EEDDA50-8AD1-4ACB-BADB-419A52465512}"/>
    <cellStyle name="Normal 2 4 6 2 5 4" xfId="16129" xr:uid="{D1AD27BC-1F21-4A96-9DDE-7D7C96453339}"/>
    <cellStyle name="Normal 2 4 6 2 5 4 2" xfId="41621" xr:uid="{C01154E2-6242-4B30-B3DA-2B70732484D5}"/>
    <cellStyle name="Normal 2 4 6 2 5 5" xfId="29030" xr:uid="{52D2041A-95F2-4539-8B83-66278361AA89}"/>
    <cellStyle name="Normal 2 4 6 2 6" xfId="4217" xr:uid="{6EAE0C9A-CB4F-40A4-ACFE-0AD705B83162}"/>
    <cellStyle name="Normal 2 4 6 2 6 2" xfId="10510" xr:uid="{062196CF-55CB-4098-92D6-1F18E838B1C0}"/>
    <cellStyle name="Normal 2 4 6 2 6 2 2" xfId="23192" xr:uid="{DED8C4C2-6B7B-496C-9081-3572B12156CF}"/>
    <cellStyle name="Normal 2 4 6 2 6 2 2 2" xfId="48684" xr:uid="{C0CFB247-3F2E-4434-B08F-E65278521D30}"/>
    <cellStyle name="Normal 2 4 6 2 6 2 3" xfId="36093" xr:uid="{0E6C728E-44F1-46DE-84C4-6D9FC87ED0ED}"/>
    <cellStyle name="Normal 2 4 6 2 6 3" xfId="16914" xr:uid="{D4C0674E-C5A7-4693-9645-38471D7DC338}"/>
    <cellStyle name="Normal 2 4 6 2 6 3 2" xfId="42406" xr:uid="{9E4EA507-DDEC-4C7B-8949-D8E85471E9E7}"/>
    <cellStyle name="Normal 2 4 6 2 6 4" xfId="29815" xr:uid="{F0CD7371-9FA7-4D30-B0C5-E027130F1677}"/>
    <cellStyle name="Normal 2 4 6 2 7" xfId="7371" xr:uid="{FBA44506-B378-48F5-99F2-B8E8CD542681}"/>
    <cellStyle name="Normal 2 4 6 2 7 2" xfId="20053" xr:uid="{A886127D-ECDF-43ED-B049-FC068598BEA7}"/>
    <cellStyle name="Normal 2 4 6 2 7 2 2" xfId="45545" xr:uid="{B2513380-98E3-4B31-BF97-8FB1DF9A2986}"/>
    <cellStyle name="Normal 2 4 6 2 7 3" xfId="32954" xr:uid="{1C37E7B3-8D53-4A2D-B754-68C1230ABDF7}"/>
    <cellStyle name="Normal 2 4 6 2 8" xfId="13775" xr:uid="{0624E23A-7C2E-458B-991F-96D351527559}"/>
    <cellStyle name="Normal 2 4 6 2 8 2" xfId="39267" xr:uid="{1B189E25-8803-48BF-A6C3-153A4C57DE89}"/>
    <cellStyle name="Normal 2 4 6 2 9" xfId="26676" xr:uid="{E4E3C90F-0846-4C77-A214-70E8940CBE21}"/>
    <cellStyle name="Normal 2 4 6 3" xfId="803" xr:uid="{B7B296DA-E3AF-4F4A-AC2B-224B453B7C9B}"/>
    <cellStyle name="Normal 2 4 6 3 2" xfId="2110" xr:uid="{6196A324-D58A-4E1B-8927-8719E8248255}"/>
    <cellStyle name="Normal 2 4 6 3 2 2" xfId="5264" xr:uid="{E5B28212-82CB-4388-80C0-6A7F917E2AEE}"/>
    <cellStyle name="Normal 2 4 6 3 2 2 2" xfId="11557" xr:uid="{B5D1A0B2-A105-4380-99D9-28EF422C2DE9}"/>
    <cellStyle name="Normal 2 4 6 3 2 2 2 2" xfId="24239" xr:uid="{4EC24957-39F9-4CE5-8661-7FEE7E141B4D}"/>
    <cellStyle name="Normal 2 4 6 3 2 2 2 2 2" xfId="49731" xr:uid="{46CC9721-3948-4251-A01C-D72586102C2C}"/>
    <cellStyle name="Normal 2 4 6 3 2 2 2 3" xfId="37140" xr:uid="{99784CB8-03E9-4D9A-ACE0-D8BD4C7C4085}"/>
    <cellStyle name="Normal 2 4 6 3 2 2 3" xfId="17961" xr:uid="{1B01309A-FF1E-474F-9CEC-90895A776B78}"/>
    <cellStyle name="Normal 2 4 6 3 2 2 3 2" xfId="43453" xr:uid="{1570C072-D819-4CB3-A17B-2F3F539D1C38}"/>
    <cellStyle name="Normal 2 4 6 3 2 2 4" xfId="30862" xr:uid="{528CD0A4-F7C0-471E-9E51-8382F300E778}"/>
    <cellStyle name="Normal 2 4 6 3 2 3" xfId="8418" xr:uid="{F9848CD3-56CC-44E5-B6C2-4F4FD53884BB}"/>
    <cellStyle name="Normal 2 4 6 3 2 3 2" xfId="21100" xr:uid="{E8754898-8017-4931-AA28-60E100EAA56F}"/>
    <cellStyle name="Normal 2 4 6 3 2 3 2 2" xfId="46592" xr:uid="{77348C2B-6E09-430A-A25E-86DC9BBFEFD1}"/>
    <cellStyle name="Normal 2 4 6 3 2 3 3" xfId="34001" xr:uid="{A0489245-A965-4CEA-B424-FFBD9E153B3C}"/>
    <cellStyle name="Normal 2 4 6 3 2 4" xfId="14822" xr:uid="{FF943BF9-5399-43ED-BFCB-580247553002}"/>
    <cellStyle name="Normal 2 4 6 3 2 4 2" xfId="40314" xr:uid="{0955C19B-BD81-4B9E-B1C3-95FB323B605F}"/>
    <cellStyle name="Normal 2 4 6 3 2 5" xfId="27723" xr:uid="{62BD767E-267C-4084-8EDA-50942B8656BE}"/>
    <cellStyle name="Normal 2 4 6 3 3" xfId="3957" xr:uid="{4EC3998C-0B1F-4871-A9FA-5E3EBD6E664B}"/>
    <cellStyle name="Normal 2 4 6 3 3 2" xfId="10250" xr:uid="{F22B3EA2-90D8-440A-9C4C-07606F689E6D}"/>
    <cellStyle name="Normal 2 4 6 3 3 2 2" xfId="22932" xr:uid="{89D333D2-6BC3-45A6-832F-009C408B8044}"/>
    <cellStyle name="Normal 2 4 6 3 3 2 2 2" xfId="48424" xr:uid="{8EDBF168-E934-4096-81DC-61B0E56DC651}"/>
    <cellStyle name="Normal 2 4 6 3 3 2 3" xfId="35833" xr:uid="{F2E37710-460B-4E41-99D1-CBF7EDD631E2}"/>
    <cellStyle name="Normal 2 4 6 3 3 3" xfId="16654" xr:uid="{BEBDA6C1-383F-40EF-B69D-0615E0A5B225}"/>
    <cellStyle name="Normal 2 4 6 3 3 3 2" xfId="42146" xr:uid="{60BB10CD-63B8-49D4-8063-052A62C2633E}"/>
    <cellStyle name="Normal 2 4 6 3 3 4" xfId="29555" xr:uid="{5681419D-3178-4AC7-BC96-8B058DA1C110}"/>
    <cellStyle name="Normal 2 4 6 3 4" xfId="7111" xr:uid="{10377EE4-9A3B-4069-905A-A480ED672D3D}"/>
    <cellStyle name="Normal 2 4 6 3 4 2" xfId="19793" xr:uid="{0D07E4A2-4644-4DDB-A7CD-505B69FAB3AB}"/>
    <cellStyle name="Normal 2 4 6 3 4 2 2" xfId="45285" xr:uid="{EFC70761-1037-487D-8393-0AFAA8120FDC}"/>
    <cellStyle name="Normal 2 4 6 3 4 3" xfId="32694" xr:uid="{3AD2F6F9-7DA2-42B7-B6DB-E5304387C94F}"/>
    <cellStyle name="Normal 2 4 6 3 5" xfId="13515" xr:uid="{9509280E-9C97-4215-9922-0FAD8BB1EE26}"/>
    <cellStyle name="Normal 2 4 6 3 5 2" xfId="39007" xr:uid="{428BC502-FF97-4D5B-A87F-2D1E6A33626D}"/>
    <cellStyle name="Normal 2 4 6 3 6" xfId="26416" xr:uid="{1854EF34-BBDB-423A-8170-709B7F7E6B45}"/>
    <cellStyle name="Normal 2 4 6 4" xfId="1848" xr:uid="{08D95BA1-AE73-4B4B-84AF-5B250D7286F0}"/>
    <cellStyle name="Normal 2 4 6 4 2" xfId="5002" xr:uid="{F71DCF8E-AD25-4515-B766-F4FA1793C88B}"/>
    <cellStyle name="Normal 2 4 6 4 2 2" xfId="11295" xr:uid="{A6AF04E6-B77F-48E8-852F-220F42224DDD}"/>
    <cellStyle name="Normal 2 4 6 4 2 2 2" xfId="23977" xr:uid="{B519BCDA-8D79-443F-9CB8-47EF986D6B43}"/>
    <cellStyle name="Normal 2 4 6 4 2 2 2 2" xfId="49469" xr:uid="{C89B0526-1172-4BC1-A361-3D8963E7AED0}"/>
    <cellStyle name="Normal 2 4 6 4 2 2 3" xfId="36878" xr:uid="{D034D8A0-A015-41B9-9340-04BC26C0FA74}"/>
    <cellStyle name="Normal 2 4 6 4 2 3" xfId="17699" xr:uid="{DAFD31BE-5408-4F7F-96D2-1F2327B37256}"/>
    <cellStyle name="Normal 2 4 6 4 2 3 2" xfId="43191" xr:uid="{E6EAB839-0DFD-47A1-8AD7-42912ECCF9AC}"/>
    <cellStyle name="Normal 2 4 6 4 2 4" xfId="30600" xr:uid="{F71AA203-1683-433C-9925-7CEC0431FC41}"/>
    <cellStyle name="Normal 2 4 6 4 3" xfId="8156" xr:uid="{1836B688-27F2-4695-8923-33873C085345}"/>
    <cellStyle name="Normal 2 4 6 4 3 2" xfId="20838" xr:uid="{B5CD14EF-51B9-4B72-823B-08C1FD2F41FB}"/>
    <cellStyle name="Normal 2 4 6 4 3 2 2" xfId="46330" xr:uid="{63042C6F-164C-4EBB-9756-BD4995B8BAC8}"/>
    <cellStyle name="Normal 2 4 6 4 3 3" xfId="33739" xr:uid="{3A225B90-5411-420C-8494-9432F1C0669F}"/>
    <cellStyle name="Normal 2 4 6 4 4" xfId="14560" xr:uid="{E3A2B3B1-2042-47A0-9AC4-E62A4AAECB25}"/>
    <cellStyle name="Normal 2 4 6 4 4 2" xfId="40052" xr:uid="{C340A7D2-EE55-4B9D-A657-5AC9000116E0}"/>
    <cellStyle name="Normal 2 4 6 4 5" xfId="27461" xr:uid="{1A416030-60CF-49C6-90FD-3253D1923E29}"/>
    <cellStyle name="Normal 2 4 6 5" xfId="1326" xr:uid="{4E2D2D23-8B16-4BFF-A840-B520AA1E41C9}"/>
    <cellStyle name="Normal 2 4 6 5 2" xfId="4480" xr:uid="{909E196E-9236-4683-9D53-2E5134BDC383}"/>
    <cellStyle name="Normal 2 4 6 5 2 2" xfId="10773" xr:uid="{BAE32382-8F74-4C13-A5D2-34A80572C141}"/>
    <cellStyle name="Normal 2 4 6 5 2 2 2" xfId="23455" xr:uid="{26E265A9-452E-4C7E-93F9-9A5E07225079}"/>
    <cellStyle name="Normal 2 4 6 5 2 2 2 2" xfId="48947" xr:uid="{B55859D2-1C80-44C2-96C6-5EA56CF36752}"/>
    <cellStyle name="Normal 2 4 6 5 2 2 3" xfId="36356" xr:uid="{520EE2EB-5912-4D53-8F41-42C40C233DC5}"/>
    <cellStyle name="Normal 2 4 6 5 2 3" xfId="17177" xr:uid="{52891433-BFED-48D7-8470-9970061CD27D}"/>
    <cellStyle name="Normal 2 4 6 5 2 3 2" xfId="42669" xr:uid="{BEF39D38-D1E8-458A-90D4-F9328948FE25}"/>
    <cellStyle name="Normal 2 4 6 5 2 4" xfId="30078" xr:uid="{7FA4809F-30F9-4281-AF22-ACCD9F4DCBEB}"/>
    <cellStyle name="Normal 2 4 6 5 3" xfId="7634" xr:uid="{E90F5922-A3B3-4D67-B510-27B08FA74DD5}"/>
    <cellStyle name="Normal 2 4 6 5 3 2" xfId="20316" xr:uid="{624BE238-CFF4-4C09-89FA-095F57B9EBDB}"/>
    <cellStyle name="Normal 2 4 6 5 3 2 2" xfId="45808" xr:uid="{89BD3930-A877-49ED-9C5D-76A2CBB4D398}"/>
    <cellStyle name="Normal 2 4 6 5 3 3" xfId="33217" xr:uid="{FC2ACFC9-CA9C-4105-BAF2-136145096A0B}"/>
    <cellStyle name="Normal 2 4 6 5 4" xfId="14038" xr:uid="{D0873082-07A9-4841-BDA3-7155C579FD92}"/>
    <cellStyle name="Normal 2 4 6 5 4 2" xfId="39530" xr:uid="{434C8949-7AF1-44FD-9191-0F4302405D2F}"/>
    <cellStyle name="Normal 2 4 6 5 5" xfId="26939" xr:uid="{AA719D96-AEEF-435F-98EC-BF6297674826}"/>
    <cellStyle name="Normal 2 4 6 6" xfId="2633" xr:uid="{7393B822-266D-48AE-B896-C6CF2142335C}"/>
    <cellStyle name="Normal 2 4 6 6 2" xfId="5787" xr:uid="{43758600-2E9B-4D5A-8734-E1157470E12D}"/>
    <cellStyle name="Normal 2 4 6 6 2 2" xfId="12080" xr:uid="{71DD3C9E-4C8F-4F73-917E-14536FD9A16C}"/>
    <cellStyle name="Normal 2 4 6 6 2 2 2" xfId="24762" xr:uid="{4ED26241-1C9E-4952-828F-D272235963A3}"/>
    <cellStyle name="Normal 2 4 6 6 2 2 2 2" xfId="50254" xr:uid="{6330D8D8-7339-4868-8AA8-C3EFF3944E5B}"/>
    <cellStyle name="Normal 2 4 6 6 2 2 3" xfId="37663" xr:uid="{23145AD6-7C8D-4191-AA0F-40A69C439CC1}"/>
    <cellStyle name="Normal 2 4 6 6 2 3" xfId="18484" xr:uid="{58946D56-F31C-4C47-B5F6-2E6B6719772D}"/>
    <cellStyle name="Normal 2 4 6 6 2 3 2" xfId="43976" xr:uid="{2ABD0892-F98C-4644-BEB8-944C6592303D}"/>
    <cellStyle name="Normal 2 4 6 6 2 4" xfId="31385" xr:uid="{9E66108A-7A0A-47CE-A86A-86B5ECE0C68C}"/>
    <cellStyle name="Normal 2 4 6 6 3" xfId="8941" xr:uid="{E9621AB7-9ADB-4C63-A0CA-50C52CF8C218}"/>
    <cellStyle name="Normal 2 4 6 6 3 2" xfId="21623" xr:uid="{7C53EEDA-15F4-464F-87FB-2F05BCBCAC8E}"/>
    <cellStyle name="Normal 2 4 6 6 3 2 2" xfId="47115" xr:uid="{062C4A48-94D3-416A-9C18-A1A4D1618D1C}"/>
    <cellStyle name="Normal 2 4 6 6 3 3" xfId="34524" xr:uid="{5469CB55-19A1-4FCB-8F16-6CA516695B87}"/>
    <cellStyle name="Normal 2 4 6 6 4" xfId="15345" xr:uid="{F736B9F9-EEAA-4FAB-9896-F1F36EB3A0D1}"/>
    <cellStyle name="Normal 2 4 6 6 4 2" xfId="40837" xr:uid="{013F2FE6-520A-43B1-8277-4104CF0E2334}"/>
    <cellStyle name="Normal 2 4 6 6 5" xfId="28246" xr:uid="{FFC4B4D5-9CB4-47E5-989E-7534EC7589D2}"/>
    <cellStyle name="Normal 2 4 6 7" xfId="3156" xr:uid="{73342AD1-2828-484F-8E3A-AC2CB35A8FB6}"/>
    <cellStyle name="Normal 2 4 6 7 2" xfId="6310" xr:uid="{CD714083-CE47-4B07-9A24-1BB1FF34D0B7}"/>
    <cellStyle name="Normal 2 4 6 7 2 2" xfId="12603" xr:uid="{7D8B7954-47F7-40D7-9CF9-FECF6AE332E0}"/>
    <cellStyle name="Normal 2 4 6 7 2 2 2" xfId="25285" xr:uid="{A16E1EE4-2607-4C92-87B9-3B056B1B8D86}"/>
    <cellStyle name="Normal 2 4 6 7 2 2 2 2" xfId="50777" xr:uid="{BF30FF84-95D8-4593-A874-7B55CEF73DB3}"/>
    <cellStyle name="Normal 2 4 6 7 2 2 3" xfId="38186" xr:uid="{3E3B547C-BE57-4937-BED6-9107873EA0E5}"/>
    <cellStyle name="Normal 2 4 6 7 2 3" xfId="19007" xr:uid="{8DF9DF1E-CE2E-4DBA-976A-60B332A22BBD}"/>
    <cellStyle name="Normal 2 4 6 7 2 3 2" xfId="44499" xr:uid="{15647229-10EA-4D91-ABE5-9B21594C61EA}"/>
    <cellStyle name="Normal 2 4 6 7 2 4" xfId="31908" xr:uid="{AA90F69D-4993-4F91-B9F1-F37CFA004C34}"/>
    <cellStyle name="Normal 2 4 6 7 3" xfId="9464" xr:uid="{A1DDF264-804F-45EA-B0E3-2C919B5A8039}"/>
    <cellStyle name="Normal 2 4 6 7 3 2" xfId="22146" xr:uid="{E468C107-30FC-462D-9C08-07752C57F8AB}"/>
    <cellStyle name="Normal 2 4 6 7 3 2 2" xfId="47638" xr:uid="{A9D3E859-5C26-46B7-A4CD-43C8537FBE92}"/>
    <cellStyle name="Normal 2 4 6 7 3 3" xfId="35047" xr:uid="{2908BF3D-B797-49CB-B60E-0AD197B0F789}"/>
    <cellStyle name="Normal 2 4 6 7 4" xfId="15868" xr:uid="{5F9D6E9E-24FD-4921-BBB0-9C5AE6CF5E8C}"/>
    <cellStyle name="Normal 2 4 6 7 4 2" xfId="41360" xr:uid="{DBBD55AD-B5D1-4C80-8BC7-743D54D40182}"/>
    <cellStyle name="Normal 2 4 6 7 5" xfId="28769" xr:uid="{6673EA36-960C-4E0B-9E3E-90B8A9E9A36F}"/>
    <cellStyle name="Normal 2 4 6 8" xfId="3695" xr:uid="{ECEED5DE-365B-449F-93A0-B290015BCF7D}"/>
    <cellStyle name="Normal 2 4 6 8 2" xfId="9988" xr:uid="{461F2CE1-D101-400F-AF4F-A8DA9D0B57A3}"/>
    <cellStyle name="Normal 2 4 6 8 2 2" xfId="22670" xr:uid="{1E549681-4161-420B-865C-1492C1CFEBCE}"/>
    <cellStyle name="Normal 2 4 6 8 2 2 2" xfId="48162" xr:uid="{D2BA38A1-8799-4501-B3E0-646795A865CD}"/>
    <cellStyle name="Normal 2 4 6 8 2 3" xfId="35571" xr:uid="{109D709A-91C4-4916-8EA9-136765423845}"/>
    <cellStyle name="Normal 2 4 6 8 3" xfId="16392" xr:uid="{85CDB345-E8EC-47C5-88D9-364201CA3B51}"/>
    <cellStyle name="Normal 2 4 6 8 3 2" xfId="41884" xr:uid="{CEFD2139-F221-4FA1-85DF-0223DEE8A51F}"/>
    <cellStyle name="Normal 2 4 6 8 4" xfId="29293" xr:uid="{B13976AD-492C-4C3A-963D-AB4E1FE0CE25}"/>
    <cellStyle name="Normal 2 4 6 9" xfId="6849" xr:uid="{EE59EA5C-3557-42E0-80CC-5FEB0ECE358A}"/>
    <cellStyle name="Normal 2 4 6 9 2" xfId="19531" xr:uid="{C85AB0BF-D5B8-4AEB-8B00-804DFCF24BF1}"/>
    <cellStyle name="Normal 2 4 6 9 2 2" xfId="45023" xr:uid="{21C2BA3F-2E8E-41E0-A5A5-480121CBF271}"/>
    <cellStyle name="Normal 2 4 6 9 3" xfId="32432" xr:uid="{48834A83-23DF-49B0-B460-AF14A2299E5C}"/>
    <cellStyle name="Normal 2 4 7" xfId="962" xr:uid="{2F044066-17AA-4BCD-888D-59C8E22B61E0}"/>
    <cellStyle name="Normal 2 4 7 2" xfId="2269" xr:uid="{F8DF8CCD-444B-4BE1-8FAA-9AD84CF261E8}"/>
    <cellStyle name="Normal 2 4 7 2 2" xfId="5423" xr:uid="{7F338169-017A-4854-A067-032F35797A98}"/>
    <cellStyle name="Normal 2 4 7 2 2 2" xfId="11716" xr:uid="{60379318-0154-4732-BB67-606431A72BDC}"/>
    <cellStyle name="Normal 2 4 7 2 2 2 2" xfId="24398" xr:uid="{AA3A81FB-A3AA-4DC5-B31D-F261C044FC35}"/>
    <cellStyle name="Normal 2 4 7 2 2 2 2 2" xfId="49890" xr:uid="{EDB3C940-4DB9-4759-9F51-8A1BAEF044A2}"/>
    <cellStyle name="Normal 2 4 7 2 2 2 3" xfId="37299" xr:uid="{16D86E69-1DCB-4E26-8964-A43E5DFDC3F2}"/>
    <cellStyle name="Normal 2 4 7 2 2 3" xfId="18120" xr:uid="{D8E98D21-E8CC-47C8-A73E-66B4F4239ADE}"/>
    <cellStyle name="Normal 2 4 7 2 2 3 2" xfId="43612" xr:uid="{1F1DFAA6-6ADB-4940-AF77-2292A145940B}"/>
    <cellStyle name="Normal 2 4 7 2 2 4" xfId="31021" xr:uid="{6DF081E6-0C56-44C4-9D64-EB4146E4B649}"/>
    <cellStyle name="Normal 2 4 7 2 3" xfId="8577" xr:uid="{38C1E5B6-A2D9-4612-88B7-A5A3C28BABD1}"/>
    <cellStyle name="Normal 2 4 7 2 3 2" xfId="21259" xr:uid="{7D123FB0-4B97-443A-B749-D771BDEEA897}"/>
    <cellStyle name="Normal 2 4 7 2 3 2 2" xfId="46751" xr:uid="{F8DD6250-456B-4DEF-A868-421FC1AA2995}"/>
    <cellStyle name="Normal 2 4 7 2 3 3" xfId="34160" xr:uid="{1A85618D-612B-4714-81B9-F5B5BF08887A}"/>
    <cellStyle name="Normal 2 4 7 2 4" xfId="14981" xr:uid="{1B57D27B-04F9-4ABA-863E-41F8506BB850}"/>
    <cellStyle name="Normal 2 4 7 2 4 2" xfId="40473" xr:uid="{A53B4714-1830-497B-AA30-EC4CE6FFDBA3}"/>
    <cellStyle name="Normal 2 4 7 2 5" xfId="27882" xr:uid="{C865947C-DF0B-47F1-8FA1-64C0A5855CA0}"/>
    <cellStyle name="Normal 2 4 7 3" xfId="1486" xr:uid="{1B0C280E-1DA8-4983-951F-BB864667F9E0}"/>
    <cellStyle name="Normal 2 4 7 3 2" xfId="4640" xr:uid="{81D35BC0-7587-4D9C-B280-F77F90845405}"/>
    <cellStyle name="Normal 2 4 7 3 2 2" xfId="10933" xr:uid="{21B70566-82A2-4177-8434-43D7CB9A03B2}"/>
    <cellStyle name="Normal 2 4 7 3 2 2 2" xfId="23615" xr:uid="{54760F0A-2DF9-460F-9A93-2B3AA58F2F5F}"/>
    <cellStyle name="Normal 2 4 7 3 2 2 2 2" xfId="49107" xr:uid="{1EBB6519-5A6C-4D33-87B2-FAF57EACC329}"/>
    <cellStyle name="Normal 2 4 7 3 2 2 3" xfId="36516" xr:uid="{25E0D6D6-0A75-4AF5-96FB-793E308D5E99}"/>
    <cellStyle name="Normal 2 4 7 3 2 3" xfId="17337" xr:uid="{11429D1C-E071-4670-878C-6A65F9C385BF}"/>
    <cellStyle name="Normal 2 4 7 3 2 3 2" xfId="42829" xr:uid="{87ABEE60-CA84-4DC7-8B5D-BFFAC30301B8}"/>
    <cellStyle name="Normal 2 4 7 3 2 4" xfId="30238" xr:uid="{208A898F-3BC5-4BFC-93BC-80DEA18290B3}"/>
    <cellStyle name="Normal 2 4 7 3 3" xfId="7794" xr:uid="{BD26AA91-3455-4348-A034-35BE92E1AD5B}"/>
    <cellStyle name="Normal 2 4 7 3 3 2" xfId="20476" xr:uid="{A3DEFF48-46C4-4EEA-A0A4-CFCE1DB26DD5}"/>
    <cellStyle name="Normal 2 4 7 3 3 2 2" xfId="45968" xr:uid="{6D06F48E-6FDD-45FB-AA3C-1DC4AC6E5D5C}"/>
    <cellStyle name="Normal 2 4 7 3 3 3" xfId="33377" xr:uid="{81C16E5C-234A-40B5-915B-5ABD90F3CE01}"/>
    <cellStyle name="Normal 2 4 7 3 4" xfId="14198" xr:uid="{E937C2D9-D85E-4563-8322-C2AF5D228D5D}"/>
    <cellStyle name="Normal 2 4 7 3 4 2" xfId="39690" xr:uid="{4B6F1F64-924C-4093-B57E-D286CDB728C4}"/>
    <cellStyle name="Normal 2 4 7 3 5" xfId="27099" xr:uid="{2F92F53F-E125-4E53-A1D8-C3748D72DC39}"/>
    <cellStyle name="Normal 2 4 7 4" xfId="2793" xr:uid="{D9D4FE3C-A552-488B-9F4F-9BCEC37F58ED}"/>
    <cellStyle name="Normal 2 4 7 4 2" xfId="5947" xr:uid="{101CD7A7-C9B7-4097-A637-B7D03CD93F87}"/>
    <cellStyle name="Normal 2 4 7 4 2 2" xfId="12240" xr:uid="{8CD12EE6-6A42-4C25-8412-029174730E19}"/>
    <cellStyle name="Normal 2 4 7 4 2 2 2" xfId="24922" xr:uid="{48E00623-5E5D-44CA-8C81-B93D1945FE56}"/>
    <cellStyle name="Normal 2 4 7 4 2 2 2 2" xfId="50414" xr:uid="{5EBD0828-DE5C-4E9C-B225-AC87C3060C06}"/>
    <cellStyle name="Normal 2 4 7 4 2 2 3" xfId="37823" xr:uid="{1DF68389-43A6-4577-86C6-2AF66B48F8D0}"/>
    <cellStyle name="Normal 2 4 7 4 2 3" xfId="18644" xr:uid="{657C7A37-2740-4FFB-8038-FB95D80D2CBA}"/>
    <cellStyle name="Normal 2 4 7 4 2 3 2" xfId="44136" xr:uid="{3283F820-10AE-43A3-969B-22D29CF7679F}"/>
    <cellStyle name="Normal 2 4 7 4 2 4" xfId="31545" xr:uid="{A2BC2A93-A99E-4A51-9FA3-D126439ED3CB}"/>
    <cellStyle name="Normal 2 4 7 4 3" xfId="9101" xr:uid="{F29A2C2E-06F8-4D8F-82EC-5CBFEE6E7A5E}"/>
    <cellStyle name="Normal 2 4 7 4 3 2" xfId="21783" xr:uid="{BB953103-87BF-4651-AB48-39C51D4F4F25}"/>
    <cellStyle name="Normal 2 4 7 4 3 2 2" xfId="47275" xr:uid="{204602AE-6565-43A7-9566-4C950E3E18B3}"/>
    <cellStyle name="Normal 2 4 7 4 3 3" xfId="34684" xr:uid="{5BD3D8A9-B639-49F2-AA98-D0653F1CEE9D}"/>
    <cellStyle name="Normal 2 4 7 4 4" xfId="15505" xr:uid="{EB970779-6931-4348-BCE1-8F1DAC23DEF3}"/>
    <cellStyle name="Normal 2 4 7 4 4 2" xfId="40997" xr:uid="{EADC1115-7CB9-48E9-9897-DD9351E9AD8B}"/>
    <cellStyle name="Normal 2 4 7 4 5" xfId="28406" xr:uid="{6C54C039-6768-4EBB-B728-0D2C4D1AA2FC}"/>
    <cellStyle name="Normal 2 4 7 5" xfId="3316" xr:uid="{20E45BFA-9E18-4FE4-8461-0C27656411E5}"/>
    <cellStyle name="Normal 2 4 7 5 2" xfId="6470" xr:uid="{E7F3631E-A3D9-48F2-A522-BD9D2125D170}"/>
    <cellStyle name="Normal 2 4 7 5 2 2" xfId="12763" xr:uid="{491BB183-61D5-4896-AB65-C9CC3EF8C689}"/>
    <cellStyle name="Normal 2 4 7 5 2 2 2" xfId="25445" xr:uid="{C31829BE-F4D8-4F4C-985A-F7C0B42CE4B1}"/>
    <cellStyle name="Normal 2 4 7 5 2 2 2 2" xfId="50937" xr:uid="{F97E5383-35D0-42E5-B73F-8C03F9EA163E}"/>
    <cellStyle name="Normal 2 4 7 5 2 2 3" xfId="38346" xr:uid="{51B655B6-52A0-4F97-ACBF-466B001E8DB5}"/>
    <cellStyle name="Normal 2 4 7 5 2 3" xfId="19167" xr:uid="{15E40339-CF49-4104-A4D5-7C2AF126600C}"/>
    <cellStyle name="Normal 2 4 7 5 2 3 2" xfId="44659" xr:uid="{0E22D8B8-E301-4F75-902C-3E88B9DB28B8}"/>
    <cellStyle name="Normal 2 4 7 5 2 4" xfId="32068" xr:uid="{41263C6D-0024-4AE8-9201-16707CF2ED5A}"/>
    <cellStyle name="Normal 2 4 7 5 3" xfId="9624" xr:uid="{6D3BAD10-B43F-4FEE-A3B2-BFAD3E597510}"/>
    <cellStyle name="Normal 2 4 7 5 3 2" xfId="22306" xr:uid="{C0DEF5E4-270D-4D03-8B47-E9C75B8C9A47}"/>
    <cellStyle name="Normal 2 4 7 5 3 2 2" xfId="47798" xr:uid="{C9AA2A50-773C-4726-BC7B-44FD28A7833E}"/>
    <cellStyle name="Normal 2 4 7 5 3 3" xfId="35207" xr:uid="{B4275507-B93D-49EC-A250-60912B0F45F4}"/>
    <cellStyle name="Normal 2 4 7 5 4" xfId="16028" xr:uid="{CB6B127F-CA46-4ADE-B709-D058CD657E8B}"/>
    <cellStyle name="Normal 2 4 7 5 4 2" xfId="41520" xr:uid="{95565A1C-8915-48C7-BECA-D93016B1B643}"/>
    <cellStyle name="Normal 2 4 7 5 5" xfId="28929" xr:uid="{4EFD9475-02B9-439C-88EE-145CBCB14D0F}"/>
    <cellStyle name="Normal 2 4 7 6" xfId="4116" xr:uid="{8A7C2CD6-CBA1-45CF-993F-8AAB4BB160C0}"/>
    <cellStyle name="Normal 2 4 7 6 2" xfId="10409" xr:uid="{454C1475-D796-4344-940E-65484AA21D23}"/>
    <cellStyle name="Normal 2 4 7 6 2 2" xfId="23091" xr:uid="{5FFB76D4-B71D-4FAD-AB45-E22938436B1A}"/>
    <cellStyle name="Normal 2 4 7 6 2 2 2" xfId="48583" xr:uid="{6D4F8063-628B-429A-A4C8-F457D1E8EA66}"/>
    <cellStyle name="Normal 2 4 7 6 2 3" xfId="35992" xr:uid="{84001212-62E2-447B-9E13-1D29D35D317D}"/>
    <cellStyle name="Normal 2 4 7 6 3" xfId="16813" xr:uid="{24AE02FA-85C0-45E5-99A4-8681C54F8452}"/>
    <cellStyle name="Normal 2 4 7 6 3 2" xfId="42305" xr:uid="{FDC19530-6562-4F18-B4DA-7AB17C33602E}"/>
    <cellStyle name="Normal 2 4 7 6 4" xfId="29714" xr:uid="{79832880-046A-4DE6-A7B9-635E6F7B3E64}"/>
    <cellStyle name="Normal 2 4 7 7" xfId="7270" xr:uid="{EF0ED459-FA05-4E86-8FD1-9C92ABA6FB4F}"/>
    <cellStyle name="Normal 2 4 7 7 2" xfId="19952" xr:uid="{60C350D5-3FBE-4688-AA54-A767C78EAACF}"/>
    <cellStyle name="Normal 2 4 7 7 2 2" xfId="45444" xr:uid="{DBB7CFB4-D8F5-4340-8381-579D63C72997}"/>
    <cellStyle name="Normal 2 4 7 7 3" xfId="32853" xr:uid="{6A4929D8-C334-4692-BA44-0C9F85C281E8}"/>
    <cellStyle name="Normal 2 4 7 8" xfId="13674" xr:uid="{BE9E1142-5684-46AF-A2FE-BD3FE8C0706E}"/>
    <cellStyle name="Normal 2 4 7 8 2" xfId="39166" xr:uid="{6FABDE56-507C-46F9-A03B-F1E75ECB4C83}"/>
    <cellStyle name="Normal 2 4 7 9" xfId="26575" xr:uid="{AF47F0A9-E092-46E0-A61F-3D07DA57BD00}"/>
    <cellStyle name="Normal 2 4 8" xfId="702" xr:uid="{878B63E7-2C2B-41DE-A23A-7033C2F4FC5B}"/>
    <cellStyle name="Normal 2 4 8 2" xfId="2009" xr:uid="{A5AE4727-327F-4759-A868-10E46C445ADA}"/>
    <cellStyle name="Normal 2 4 8 2 2" xfId="5163" xr:uid="{45FB9385-3F13-425E-AAD6-E6131FAEA8CB}"/>
    <cellStyle name="Normal 2 4 8 2 2 2" xfId="11456" xr:uid="{8BA8616D-B3CA-4E0E-83B3-7703F265AC17}"/>
    <cellStyle name="Normal 2 4 8 2 2 2 2" xfId="24138" xr:uid="{F8B57A5D-D46A-4519-892C-BA5D6389DA3A}"/>
    <cellStyle name="Normal 2 4 8 2 2 2 2 2" xfId="49630" xr:uid="{6232FA3A-A4D1-488D-BA41-1DA276643D0C}"/>
    <cellStyle name="Normal 2 4 8 2 2 2 3" xfId="37039" xr:uid="{B0BF34C1-74AD-41FD-9BF1-385C181AC201}"/>
    <cellStyle name="Normal 2 4 8 2 2 3" xfId="17860" xr:uid="{B8E5933D-FBD0-4123-95CC-A99EFEE9F17D}"/>
    <cellStyle name="Normal 2 4 8 2 2 3 2" xfId="43352" xr:uid="{64593491-17C2-41CD-8CA0-F3B5F472CB30}"/>
    <cellStyle name="Normal 2 4 8 2 2 4" xfId="30761" xr:uid="{DD68E7D7-3FCA-4696-800F-98FDF218C339}"/>
    <cellStyle name="Normal 2 4 8 2 3" xfId="8317" xr:uid="{4DBF8B96-E2F3-4D30-B26A-AE4781936B0E}"/>
    <cellStyle name="Normal 2 4 8 2 3 2" xfId="20999" xr:uid="{2AD6030B-64DA-453A-8D2E-18DAA13AB05B}"/>
    <cellStyle name="Normal 2 4 8 2 3 2 2" xfId="46491" xr:uid="{9FCA6360-D67C-458D-980A-CB36B399E30A}"/>
    <cellStyle name="Normal 2 4 8 2 3 3" xfId="33900" xr:uid="{40DA2C4D-4710-4826-AC6A-203B17B10EB2}"/>
    <cellStyle name="Normal 2 4 8 2 4" xfId="14721" xr:uid="{9EC0A64F-2B5E-4E7D-849B-1072752A246E}"/>
    <cellStyle name="Normal 2 4 8 2 4 2" xfId="40213" xr:uid="{F47FC1A5-CA94-4858-8987-9847FE1712EE}"/>
    <cellStyle name="Normal 2 4 8 2 5" xfId="27622" xr:uid="{F3CD339B-C31D-4A3F-9E1B-D88A4184AE08}"/>
    <cellStyle name="Normal 2 4 8 3" xfId="3856" xr:uid="{57CCD13E-6D6B-4A22-B9C7-7B96E2E82A11}"/>
    <cellStyle name="Normal 2 4 8 3 2" xfId="10149" xr:uid="{D6EEAE77-2EBA-4974-A7AE-44118EFB83CF}"/>
    <cellStyle name="Normal 2 4 8 3 2 2" xfId="22831" xr:uid="{9BC907F0-BD13-4DEF-A4C1-4DB3F0A8A8AB}"/>
    <cellStyle name="Normal 2 4 8 3 2 2 2" xfId="48323" xr:uid="{3017A4CD-20C6-4293-B755-9B2ACF0CC8B3}"/>
    <cellStyle name="Normal 2 4 8 3 2 3" xfId="35732" xr:uid="{17D13C39-2AB6-4002-9CE2-EADCC888C495}"/>
    <cellStyle name="Normal 2 4 8 3 3" xfId="16553" xr:uid="{5815B59B-09E5-4C2C-8ED2-7795EDCAD850}"/>
    <cellStyle name="Normal 2 4 8 3 3 2" xfId="42045" xr:uid="{2CBD1706-A5A5-4709-B8FB-CD72BD4D5B37}"/>
    <cellStyle name="Normal 2 4 8 3 4" xfId="29454" xr:uid="{75C56BA8-3DE7-4F43-8FC0-EE47879929FA}"/>
    <cellStyle name="Normal 2 4 8 4" xfId="7010" xr:uid="{5B5AE6B1-0F0A-4914-9BDC-AA8F70B1861D}"/>
    <cellStyle name="Normal 2 4 8 4 2" xfId="19692" xr:uid="{31FC70A3-A831-4844-BE6F-5505E42A6CD2}"/>
    <cellStyle name="Normal 2 4 8 4 2 2" xfId="45184" xr:uid="{19B9CC6F-40D8-41D6-9EB2-7D0770FB5A20}"/>
    <cellStyle name="Normal 2 4 8 4 3" xfId="32593" xr:uid="{D11B2332-B0B6-4B97-9E47-FBDE1590E628}"/>
    <cellStyle name="Normal 2 4 8 5" xfId="13414" xr:uid="{984EE04C-0A9A-46FA-8B6A-E129707F44E0}"/>
    <cellStyle name="Normal 2 4 8 5 2" xfId="38906" xr:uid="{17272478-CAF7-4DFB-950A-380E5EC04D4C}"/>
    <cellStyle name="Normal 2 4 8 6" xfId="26315" xr:uid="{25109826-018E-4ECA-B1EC-5E8A8A304ADD}"/>
    <cellStyle name="Normal 2 4 9" xfId="1747" xr:uid="{0B32439B-BFE5-4EBE-92C3-F1480453549B}"/>
    <cellStyle name="Normal 2 4 9 2" xfId="4901" xr:uid="{FA450C75-E1A5-4D36-A674-9DE80941A6EB}"/>
    <cellStyle name="Normal 2 4 9 2 2" xfId="11194" xr:uid="{F2C4DB82-BF9A-4DA8-89C0-3E5B27148875}"/>
    <cellStyle name="Normal 2 4 9 2 2 2" xfId="23876" xr:uid="{0B861A10-3CA2-4F0F-B3C1-A0427C8439E9}"/>
    <cellStyle name="Normal 2 4 9 2 2 2 2" xfId="49368" xr:uid="{9C2E22FB-62EC-4D28-B813-5533F64A55F7}"/>
    <cellStyle name="Normal 2 4 9 2 2 3" xfId="36777" xr:uid="{86948862-0BBC-43BB-960B-8F26F3608D9E}"/>
    <cellStyle name="Normal 2 4 9 2 3" xfId="17598" xr:uid="{443EF733-7D42-4CDA-A086-C55FFFC255BE}"/>
    <cellStyle name="Normal 2 4 9 2 3 2" xfId="43090" xr:uid="{6481DCB7-CF3C-4C58-8BB1-8B79629BF01A}"/>
    <cellStyle name="Normal 2 4 9 2 4" xfId="30499" xr:uid="{6B75667D-874C-4CCD-A789-4B7BF2FDC643}"/>
    <cellStyle name="Normal 2 4 9 3" xfId="8055" xr:uid="{50C31001-166B-40C0-AA65-DE40538D2443}"/>
    <cellStyle name="Normal 2 4 9 3 2" xfId="20737" xr:uid="{191DFBE0-B926-4699-864D-73C62EF786AF}"/>
    <cellStyle name="Normal 2 4 9 3 2 2" xfId="46229" xr:uid="{5D1C6FCE-2C37-4C0D-8D8E-1E23E40F30EE}"/>
    <cellStyle name="Normal 2 4 9 3 3" xfId="33638" xr:uid="{C287B7B5-0795-4745-A248-9F84EA57A771}"/>
    <cellStyle name="Normal 2 4 9 4" xfId="14459" xr:uid="{14B7B397-6D9A-482F-A41D-356DE32BAFF8}"/>
    <cellStyle name="Normal 2 4 9 4 2" xfId="39951" xr:uid="{B889C6E4-3470-4D72-98AC-1881BFFB8746}"/>
    <cellStyle name="Normal 2 4 9 5" xfId="27360" xr:uid="{E0693DAE-2A7C-4269-B404-D1934480C27C}"/>
    <cellStyle name="Normal 2 5" xfId="425" xr:uid="{344408A4-7202-4E26-B5EF-B18159EE078C}"/>
    <cellStyle name="Normal 2 5 10" xfId="2534" xr:uid="{46D8966A-5EBB-49AF-8A47-95689243B097}"/>
    <cellStyle name="Normal 2 5 10 2" xfId="5688" xr:uid="{F654D868-3AE6-418A-83B7-41359D09EBB1}"/>
    <cellStyle name="Normal 2 5 10 2 2" xfId="11981" xr:uid="{A3A82A79-B90A-4E85-948C-EDDCA9BB9F62}"/>
    <cellStyle name="Normal 2 5 10 2 2 2" xfId="24663" xr:uid="{D28DD10A-3B1E-4C89-907C-A1013BCFC394}"/>
    <cellStyle name="Normal 2 5 10 2 2 2 2" xfId="50155" xr:uid="{EBA94B77-B2BE-4F86-9FA3-E039A919FC05}"/>
    <cellStyle name="Normal 2 5 10 2 2 3" xfId="37564" xr:uid="{493E0AA8-92C3-4E41-AAE8-A85E1AE127F7}"/>
    <cellStyle name="Normal 2 5 10 2 3" xfId="18385" xr:uid="{DA702788-0585-4923-9C22-02AB35DC3D23}"/>
    <cellStyle name="Normal 2 5 10 2 3 2" xfId="43877" xr:uid="{D3B2CF97-E6EF-4585-83E5-172AE39105B4}"/>
    <cellStyle name="Normal 2 5 10 2 4" xfId="31286" xr:uid="{2CC683D8-C038-49D9-8A23-664D9A99DB0D}"/>
    <cellStyle name="Normal 2 5 10 3" xfId="8842" xr:uid="{0EC7B7D2-B5C0-4C5B-B317-50237407A56F}"/>
    <cellStyle name="Normal 2 5 10 3 2" xfId="21524" xr:uid="{8CC4E39E-5C1C-47AA-B25B-CA2FB23A2CF5}"/>
    <cellStyle name="Normal 2 5 10 3 2 2" xfId="47016" xr:uid="{3E09D8B9-E738-4650-98A7-A09297DE97B8}"/>
    <cellStyle name="Normal 2 5 10 3 3" xfId="34425" xr:uid="{9228DB67-1D24-460E-95FF-02F7FC200763}"/>
    <cellStyle name="Normal 2 5 10 4" xfId="15246" xr:uid="{F9A1BD6D-C426-4C6C-A076-07B81A8EB2C1}"/>
    <cellStyle name="Normal 2 5 10 4 2" xfId="40738" xr:uid="{EDA7B0DB-20C8-4706-B29A-68C391EA4F55}"/>
    <cellStyle name="Normal 2 5 10 5" xfId="28147" xr:uid="{2A1AED67-C4CC-4E12-B389-EAB2D22ACEFA}"/>
    <cellStyle name="Normal 2 5 11" xfId="3057" xr:uid="{715797C2-7B81-4815-8046-0A16A6367D3A}"/>
    <cellStyle name="Normal 2 5 11 2" xfId="6211" xr:uid="{346D27C3-E094-4963-8733-D29AF8368BAA}"/>
    <cellStyle name="Normal 2 5 11 2 2" xfId="12504" xr:uid="{21757DCB-BC74-4AE3-B767-EA97EB229C27}"/>
    <cellStyle name="Normal 2 5 11 2 2 2" xfId="25186" xr:uid="{5A5DF998-9C8C-4150-919F-84AEBB51ACBF}"/>
    <cellStyle name="Normal 2 5 11 2 2 2 2" xfId="50678" xr:uid="{134986C2-2B1E-4D7C-9601-5F9340EC27FB}"/>
    <cellStyle name="Normal 2 5 11 2 2 3" xfId="38087" xr:uid="{EDD0A270-A317-4245-BDC1-AB2C51F669B4}"/>
    <cellStyle name="Normal 2 5 11 2 3" xfId="18908" xr:uid="{624AD56D-7758-4CF1-AB90-D7D10C18BB06}"/>
    <cellStyle name="Normal 2 5 11 2 3 2" xfId="44400" xr:uid="{7B94B9A6-CD42-4A63-AD78-2BDE4974F3C1}"/>
    <cellStyle name="Normal 2 5 11 2 4" xfId="31809" xr:uid="{8046E285-AF47-45BE-BADE-B9EAF70D25DB}"/>
    <cellStyle name="Normal 2 5 11 3" xfId="9365" xr:uid="{56436FC6-8160-4DCC-BD8D-7DC906D15568}"/>
    <cellStyle name="Normal 2 5 11 3 2" xfId="22047" xr:uid="{B21184AA-43EC-48C1-9DC3-93C56D18987D}"/>
    <cellStyle name="Normal 2 5 11 3 2 2" xfId="47539" xr:uid="{725E49F2-F923-429B-8D29-E2E87A2AAC15}"/>
    <cellStyle name="Normal 2 5 11 3 3" xfId="34948" xr:uid="{C9F3FC3E-6D70-45CA-813F-8B2D33BA14FA}"/>
    <cellStyle name="Normal 2 5 11 4" xfId="15769" xr:uid="{15D749B0-32DA-434F-A7EF-323B4ABC73A5}"/>
    <cellStyle name="Normal 2 5 11 4 2" xfId="41261" xr:uid="{4F85A3E2-DC72-4DA7-B315-B66B49186BEC}"/>
    <cellStyle name="Normal 2 5 11 5" xfId="28670" xr:uid="{0F6268D8-0752-45B4-9A9F-5F20CD01D4F5}"/>
    <cellStyle name="Normal 2 5 12" xfId="3596" xr:uid="{F2253E19-7A09-4063-9238-67C9B1173888}"/>
    <cellStyle name="Normal 2 5 12 2" xfId="9889" xr:uid="{10E64802-7901-4FCA-9453-26541271AFF7}"/>
    <cellStyle name="Normal 2 5 12 2 2" xfId="22571" xr:uid="{79F06463-4FAE-4954-BE0B-9BB7B44B0950}"/>
    <cellStyle name="Normal 2 5 12 2 2 2" xfId="48063" xr:uid="{87A7A454-0BF2-4C4E-9E8D-AE8ED5313490}"/>
    <cellStyle name="Normal 2 5 12 2 3" xfId="35472" xr:uid="{D04F53CC-C464-47B3-B154-C1B352D4637C}"/>
    <cellStyle name="Normal 2 5 12 3" xfId="16293" xr:uid="{3CC8F014-3838-4FCE-BBBA-4D4D938283AF}"/>
    <cellStyle name="Normal 2 5 12 3 2" xfId="41785" xr:uid="{02F88D58-60CF-47E9-AF7B-89CD6A59C3D6}"/>
    <cellStyle name="Normal 2 5 12 4" xfId="29194" xr:uid="{A8688C9D-1D77-434E-B02D-C4C577D8FE5A}"/>
    <cellStyle name="Normal 2 5 13" xfId="6750" xr:uid="{92AE8DC4-D046-4A2C-A7E5-071714478362}"/>
    <cellStyle name="Normal 2 5 13 2" xfId="19432" xr:uid="{0686C0D1-2AC5-4C36-B2AC-139A8E2CFB5F}"/>
    <cellStyle name="Normal 2 5 13 2 2" xfId="44924" xr:uid="{3504E4A2-4F35-4231-BC9C-62895DEA43A6}"/>
    <cellStyle name="Normal 2 5 13 3" xfId="32333" xr:uid="{112C0E6B-5865-4263-A645-B829E0E15195}"/>
    <cellStyle name="Normal 2 5 14" xfId="13154" xr:uid="{FD00216C-7A38-4C7D-9265-EAC4EE93F9E0}"/>
    <cellStyle name="Normal 2 5 14 2" xfId="38646" xr:uid="{DE7EDCA6-017F-46DE-A5A0-C7588E4151FB}"/>
    <cellStyle name="Normal 2 5 15" xfId="26055" xr:uid="{AEE3D381-F6A9-45A3-9BF2-47FD924EBA17}"/>
    <cellStyle name="Normal 2 5 2" xfId="488" xr:uid="{E02CA92C-5C8B-4077-9FB4-5C7919EEA998}"/>
    <cellStyle name="Normal 2 5 2 10" xfId="3657" xr:uid="{5848A249-503E-4D92-92FA-D67426B21DEF}"/>
    <cellStyle name="Normal 2 5 2 10 2" xfId="9950" xr:uid="{F4CC006D-0C27-4E6E-A73D-9071A4AD2CDF}"/>
    <cellStyle name="Normal 2 5 2 10 2 2" xfId="22632" xr:uid="{8B935090-15C5-4860-A8A7-0E121ACC00CC}"/>
    <cellStyle name="Normal 2 5 2 10 2 2 2" xfId="48124" xr:uid="{DF417719-5502-4905-9B8A-6FA9A36E3280}"/>
    <cellStyle name="Normal 2 5 2 10 2 3" xfId="35533" xr:uid="{8682281A-7DB0-42C2-B153-71C32EAA7F0D}"/>
    <cellStyle name="Normal 2 5 2 10 3" xfId="16354" xr:uid="{417451A4-69B6-47FC-97B2-A3FC0901ADDF}"/>
    <cellStyle name="Normal 2 5 2 10 3 2" xfId="41846" xr:uid="{FD2E5E03-6C5F-4F9A-9B20-A0BB67CD3C19}"/>
    <cellStyle name="Normal 2 5 2 10 4" xfId="29255" xr:uid="{AC565C29-3D14-42F2-B570-1A536A752FCF}"/>
    <cellStyle name="Normal 2 5 2 11" xfId="6811" xr:uid="{F81C4C76-62F4-40C4-BCC5-B4A8C1ED903B}"/>
    <cellStyle name="Normal 2 5 2 11 2" xfId="19493" xr:uid="{0A0A3C13-C9D2-4000-B0CA-90EE8756DD39}"/>
    <cellStyle name="Normal 2 5 2 11 2 2" xfId="44985" xr:uid="{C3C32C95-278A-4519-BC34-BAEFA80CD0A8}"/>
    <cellStyle name="Normal 2 5 2 11 3" xfId="32394" xr:uid="{348882F3-EF60-49C8-80D8-4A3ACB117CAD}"/>
    <cellStyle name="Normal 2 5 2 12" xfId="13215" xr:uid="{63A28174-C766-4B77-80F2-D0564961686B}"/>
    <cellStyle name="Normal 2 5 2 12 2" xfId="38707" xr:uid="{4E8BB02F-85CE-48AF-81B8-C01AC3F468BD}"/>
    <cellStyle name="Normal 2 5 2 13" xfId="26116" xr:uid="{18B144C3-636C-443D-833D-4D8B3325FBBE}"/>
    <cellStyle name="Normal 2 5 2 2" xfId="647" xr:uid="{94FC50B6-E90B-4F25-9BB7-7A77C9F4668B}"/>
    <cellStyle name="Normal 2 5 2 2 10" xfId="13374" xr:uid="{50391CAA-D524-4BC0-845B-97A8151B267D}"/>
    <cellStyle name="Normal 2 5 2 2 10 2" xfId="38866" xr:uid="{240DCE00-162A-4916-A3CC-0BF051C1F615}"/>
    <cellStyle name="Normal 2 5 2 2 11" xfId="26275" xr:uid="{E5E5605A-3810-46D6-BF12-00883193839D}"/>
    <cellStyle name="Normal 2 5 2 2 2" xfId="1184" xr:uid="{5F7A31AE-0288-4779-817F-094CFB5DC0B9}"/>
    <cellStyle name="Normal 2 5 2 2 2 2" xfId="2491" xr:uid="{1C8BD821-FE98-4943-8A55-ED2EF8838666}"/>
    <cellStyle name="Normal 2 5 2 2 2 2 2" xfId="5645" xr:uid="{6029B5DA-2D41-4F9C-B4D9-CDBB1EC0000F}"/>
    <cellStyle name="Normal 2 5 2 2 2 2 2 2" xfId="11938" xr:uid="{990718AF-7A5A-45E2-B54E-D5769BF66AAF}"/>
    <cellStyle name="Normal 2 5 2 2 2 2 2 2 2" xfId="24620" xr:uid="{EFDA3960-7955-4939-B3C2-6EF086970D52}"/>
    <cellStyle name="Normal 2 5 2 2 2 2 2 2 2 2" xfId="50112" xr:uid="{C693AD4D-05B0-4B68-BFEA-CD68A1EED9A2}"/>
    <cellStyle name="Normal 2 5 2 2 2 2 2 2 3" xfId="37521" xr:uid="{6B06CCBA-FD8C-4411-AD66-24639DE0F390}"/>
    <cellStyle name="Normal 2 5 2 2 2 2 2 3" xfId="18342" xr:uid="{AE1FFFA3-1174-4B18-B12A-33203FC7294A}"/>
    <cellStyle name="Normal 2 5 2 2 2 2 2 3 2" xfId="43834" xr:uid="{29CF41DF-8FEE-468A-BD85-F26D96B9D792}"/>
    <cellStyle name="Normal 2 5 2 2 2 2 2 4" xfId="31243" xr:uid="{DCF7A651-3A7F-4316-94B2-6F021F278DF7}"/>
    <cellStyle name="Normal 2 5 2 2 2 2 3" xfId="8799" xr:uid="{7D082C48-E7BA-4CA7-ABD1-21CF1584A239}"/>
    <cellStyle name="Normal 2 5 2 2 2 2 3 2" xfId="21481" xr:uid="{33BE03D5-1025-45F9-9E83-12529965FC8F}"/>
    <cellStyle name="Normal 2 5 2 2 2 2 3 2 2" xfId="46973" xr:uid="{639B60F8-83CC-4F42-B88F-D212B463F759}"/>
    <cellStyle name="Normal 2 5 2 2 2 2 3 3" xfId="34382" xr:uid="{376C8C2E-84E1-46DA-BEAB-9003EE2BFE4C}"/>
    <cellStyle name="Normal 2 5 2 2 2 2 4" xfId="15203" xr:uid="{31803C19-981E-40C4-9EE0-ECE83200CF44}"/>
    <cellStyle name="Normal 2 5 2 2 2 2 4 2" xfId="40695" xr:uid="{9C051CAC-7BD3-435C-B544-33CD2F9F2643}"/>
    <cellStyle name="Normal 2 5 2 2 2 2 5" xfId="28104" xr:uid="{A09768D5-2477-43D1-9DF7-72474FD96024}"/>
    <cellStyle name="Normal 2 5 2 2 2 3" xfId="1708" xr:uid="{97637CEE-EA89-45AF-897C-040BBB4712FD}"/>
    <cellStyle name="Normal 2 5 2 2 2 3 2" xfId="4862" xr:uid="{33F697FB-0B2B-487E-9419-7EB4F88A8B64}"/>
    <cellStyle name="Normal 2 5 2 2 2 3 2 2" xfId="11155" xr:uid="{0BCD4B1E-345D-47FC-94F8-507E0B12B5B4}"/>
    <cellStyle name="Normal 2 5 2 2 2 3 2 2 2" xfId="23837" xr:uid="{A9F2D24C-01E5-4184-B0F4-6FB8422867CA}"/>
    <cellStyle name="Normal 2 5 2 2 2 3 2 2 2 2" xfId="49329" xr:uid="{C9437B93-2A52-4F6E-9DFD-4B10DED9CA19}"/>
    <cellStyle name="Normal 2 5 2 2 2 3 2 2 3" xfId="36738" xr:uid="{6DE689AF-9CB6-4C25-B95E-41080E62192F}"/>
    <cellStyle name="Normal 2 5 2 2 2 3 2 3" xfId="17559" xr:uid="{CE82DF3A-1D85-4CB0-AA47-B927A761067F}"/>
    <cellStyle name="Normal 2 5 2 2 2 3 2 3 2" xfId="43051" xr:uid="{48D768D6-2013-41B4-A030-F26BE435E64B}"/>
    <cellStyle name="Normal 2 5 2 2 2 3 2 4" xfId="30460" xr:uid="{D528FC1E-702B-4C29-817B-F9B56C4578FA}"/>
    <cellStyle name="Normal 2 5 2 2 2 3 3" xfId="8016" xr:uid="{0CB1CF39-F13B-43BE-B5D1-BD439304F530}"/>
    <cellStyle name="Normal 2 5 2 2 2 3 3 2" xfId="20698" xr:uid="{936EF2F9-51F5-4009-B3CC-03E5224AED4B}"/>
    <cellStyle name="Normal 2 5 2 2 2 3 3 2 2" xfId="46190" xr:uid="{441A1FC9-D411-4001-A994-B33DEF52E6E9}"/>
    <cellStyle name="Normal 2 5 2 2 2 3 3 3" xfId="33599" xr:uid="{6FAE598C-9DBE-4227-840A-3D871CD17832}"/>
    <cellStyle name="Normal 2 5 2 2 2 3 4" xfId="14420" xr:uid="{5C7DD698-5831-40CB-A598-3708F2B344E6}"/>
    <cellStyle name="Normal 2 5 2 2 2 3 4 2" xfId="39912" xr:uid="{15161A9A-E971-4909-9C23-19DC9D36F992}"/>
    <cellStyle name="Normal 2 5 2 2 2 3 5" xfId="27321" xr:uid="{6D982EBB-4474-4650-8644-8971FA3FB5DF}"/>
    <cellStyle name="Normal 2 5 2 2 2 4" xfId="3015" xr:uid="{A6A19372-7587-4E53-9157-1A23BBDC4F30}"/>
    <cellStyle name="Normal 2 5 2 2 2 4 2" xfId="6169" xr:uid="{17626B28-498A-4FDF-AC08-750572801EB7}"/>
    <cellStyle name="Normal 2 5 2 2 2 4 2 2" xfId="12462" xr:uid="{033B0FA2-8DA2-4865-BFA9-55606C69A732}"/>
    <cellStyle name="Normal 2 5 2 2 2 4 2 2 2" xfId="25144" xr:uid="{E69343F8-429C-4B1C-AB41-4F0E79028DC1}"/>
    <cellStyle name="Normal 2 5 2 2 2 4 2 2 2 2" xfId="50636" xr:uid="{B5EAEB72-8B2E-492A-99B8-083EA3E4A354}"/>
    <cellStyle name="Normal 2 5 2 2 2 4 2 2 3" xfId="38045" xr:uid="{64CE5816-AF0A-4E09-83F2-87CD70172CE7}"/>
    <cellStyle name="Normal 2 5 2 2 2 4 2 3" xfId="18866" xr:uid="{615496D7-EF88-459C-9806-E7B029D7C846}"/>
    <cellStyle name="Normal 2 5 2 2 2 4 2 3 2" xfId="44358" xr:uid="{F7403983-F128-4714-9851-F06478A65C4D}"/>
    <cellStyle name="Normal 2 5 2 2 2 4 2 4" xfId="31767" xr:uid="{C3B61210-3F7E-402A-9C23-F521855F0003}"/>
    <cellStyle name="Normal 2 5 2 2 2 4 3" xfId="9323" xr:uid="{49A2E8EB-8F94-4E3E-839A-5DA38A68B3CF}"/>
    <cellStyle name="Normal 2 5 2 2 2 4 3 2" xfId="22005" xr:uid="{03A13ABF-2093-489C-8E85-01AE39A742A2}"/>
    <cellStyle name="Normal 2 5 2 2 2 4 3 2 2" xfId="47497" xr:uid="{A015707F-F2B4-4C37-B0FD-28BCF1686B20}"/>
    <cellStyle name="Normal 2 5 2 2 2 4 3 3" xfId="34906" xr:uid="{E9836BDE-C3D0-4D80-8D00-6985A40ECCEF}"/>
    <cellStyle name="Normal 2 5 2 2 2 4 4" xfId="15727" xr:uid="{00056100-7454-4CD5-A56F-523EDC4B4A2D}"/>
    <cellStyle name="Normal 2 5 2 2 2 4 4 2" xfId="41219" xr:uid="{D9EAB61F-8E97-49CA-BA41-4BE36E06FF63}"/>
    <cellStyle name="Normal 2 5 2 2 2 4 5" xfId="28628" xr:uid="{C83C9F0D-E1A6-43C0-B987-0EE755118FC4}"/>
    <cellStyle name="Normal 2 5 2 2 2 5" xfId="3538" xr:uid="{9D409643-A8FA-4D29-8314-B9A088D3A2FA}"/>
    <cellStyle name="Normal 2 5 2 2 2 5 2" xfId="6692" xr:uid="{EABAF563-225D-43FF-8C81-691B6DBAB91C}"/>
    <cellStyle name="Normal 2 5 2 2 2 5 2 2" xfId="12985" xr:uid="{A2C36168-9E53-4572-9A98-DF364E58C588}"/>
    <cellStyle name="Normal 2 5 2 2 2 5 2 2 2" xfId="25667" xr:uid="{3E38F670-076C-4CDA-9219-34C391684BFB}"/>
    <cellStyle name="Normal 2 5 2 2 2 5 2 2 2 2" xfId="51159" xr:uid="{DDA4C76F-82CB-4A09-A94B-EDD4A6AC2C19}"/>
    <cellStyle name="Normal 2 5 2 2 2 5 2 2 3" xfId="38568" xr:uid="{117E859F-BF3A-4BBA-8C8F-C62B0D550D4A}"/>
    <cellStyle name="Normal 2 5 2 2 2 5 2 3" xfId="19389" xr:uid="{EA55FDC6-E46A-4816-9D8E-6C0CA87BD451}"/>
    <cellStyle name="Normal 2 5 2 2 2 5 2 3 2" xfId="44881" xr:uid="{A1DCF2AB-8AF3-4917-A040-76D8B6A2A720}"/>
    <cellStyle name="Normal 2 5 2 2 2 5 2 4" xfId="32290" xr:uid="{42C03B80-82A5-41CF-B928-225998937F41}"/>
    <cellStyle name="Normal 2 5 2 2 2 5 3" xfId="9846" xr:uid="{C11A1041-925F-4EBC-9BE4-E785AD9C2968}"/>
    <cellStyle name="Normal 2 5 2 2 2 5 3 2" xfId="22528" xr:uid="{D3EBF986-2DA1-4CE8-969C-33FFD374A9CA}"/>
    <cellStyle name="Normal 2 5 2 2 2 5 3 2 2" xfId="48020" xr:uid="{A9680989-3BE7-44D2-9118-D0E9A6F732D7}"/>
    <cellStyle name="Normal 2 5 2 2 2 5 3 3" xfId="35429" xr:uid="{0276A280-8E23-4445-A3ED-E0B510A88A30}"/>
    <cellStyle name="Normal 2 5 2 2 2 5 4" xfId="16250" xr:uid="{5F8BBCF3-801B-474B-8ED9-85CB03A2DC20}"/>
    <cellStyle name="Normal 2 5 2 2 2 5 4 2" xfId="41742" xr:uid="{8577CEF2-BAD1-47F1-893E-5E18F7E3C8D4}"/>
    <cellStyle name="Normal 2 5 2 2 2 5 5" xfId="29151" xr:uid="{E7313310-370D-4F0B-A590-30FDB945D3C1}"/>
    <cellStyle name="Normal 2 5 2 2 2 6" xfId="4338" xr:uid="{B80F76FE-3FA1-476D-BA76-7896C13F7A98}"/>
    <cellStyle name="Normal 2 5 2 2 2 6 2" xfId="10631" xr:uid="{5AFFD24F-EC35-4FA7-B5E6-A921C674DCDD}"/>
    <cellStyle name="Normal 2 5 2 2 2 6 2 2" xfId="23313" xr:uid="{718CE1F0-3E7B-43C8-9AC3-BEB387F27228}"/>
    <cellStyle name="Normal 2 5 2 2 2 6 2 2 2" xfId="48805" xr:uid="{A4E6ACE2-6A09-4CF0-B2AD-17C193A5D0E3}"/>
    <cellStyle name="Normal 2 5 2 2 2 6 2 3" xfId="36214" xr:uid="{3F141C9C-DE89-43E4-91A4-600B249E99B3}"/>
    <cellStyle name="Normal 2 5 2 2 2 6 3" xfId="17035" xr:uid="{DB981CEF-F7C4-42A8-9E7F-584DEB8E90AC}"/>
    <cellStyle name="Normal 2 5 2 2 2 6 3 2" xfId="42527" xr:uid="{06D161DF-11CB-48BE-8FB0-CB10D689F38B}"/>
    <cellStyle name="Normal 2 5 2 2 2 6 4" xfId="29936" xr:uid="{46167CFD-A76A-4EB9-9556-E8B6F278C1D9}"/>
    <cellStyle name="Normal 2 5 2 2 2 7" xfId="7492" xr:uid="{1092E33A-7F82-43E3-9DFD-04EC2141439E}"/>
    <cellStyle name="Normal 2 5 2 2 2 7 2" xfId="20174" xr:uid="{F527FE95-1831-4D11-8D28-7A3091D7A634}"/>
    <cellStyle name="Normal 2 5 2 2 2 7 2 2" xfId="45666" xr:uid="{436C4E7D-86B6-4EFC-B6B4-188759A852F1}"/>
    <cellStyle name="Normal 2 5 2 2 2 7 3" xfId="33075" xr:uid="{5E5AA5AF-C895-449C-983B-6EB9B6D106A1}"/>
    <cellStyle name="Normal 2 5 2 2 2 8" xfId="13896" xr:uid="{7FF9FABF-9BAB-4265-837C-D609203C79D9}"/>
    <cellStyle name="Normal 2 5 2 2 2 8 2" xfId="39388" xr:uid="{C2AD23B0-E36F-40E8-A5CE-ABBD32EEBA13}"/>
    <cellStyle name="Normal 2 5 2 2 2 9" xfId="26797" xr:uid="{761910E0-17A8-4FA6-B333-C0F9B282CF14}"/>
    <cellStyle name="Normal 2 5 2 2 3" xfId="924" xr:uid="{89A7BA5C-D67C-476B-8BCC-705931427814}"/>
    <cellStyle name="Normal 2 5 2 2 3 2" xfId="2231" xr:uid="{644E6165-79A3-41D2-8D84-E92606C36EB8}"/>
    <cellStyle name="Normal 2 5 2 2 3 2 2" xfId="5385" xr:uid="{3D36E3FC-410D-4DBC-BBEE-5C30AAD37B43}"/>
    <cellStyle name="Normal 2 5 2 2 3 2 2 2" xfId="11678" xr:uid="{083BA4B6-66FA-4889-AF9A-1B32B6A4A405}"/>
    <cellStyle name="Normal 2 5 2 2 3 2 2 2 2" xfId="24360" xr:uid="{AF0B7D2C-824E-4B0E-8548-3B2AD1616B32}"/>
    <cellStyle name="Normal 2 5 2 2 3 2 2 2 2 2" xfId="49852" xr:uid="{99573951-42F8-4342-A712-758B36A010DC}"/>
    <cellStyle name="Normal 2 5 2 2 3 2 2 2 3" xfId="37261" xr:uid="{AB0C9245-4F79-4895-8BF8-B6D695FAAD19}"/>
    <cellStyle name="Normal 2 5 2 2 3 2 2 3" xfId="18082" xr:uid="{5B57E62A-7AE3-4968-938F-049164E522F4}"/>
    <cellStyle name="Normal 2 5 2 2 3 2 2 3 2" xfId="43574" xr:uid="{CF095406-30FA-42C0-9643-068136C5BFE7}"/>
    <cellStyle name="Normal 2 5 2 2 3 2 2 4" xfId="30983" xr:uid="{48861EE9-80AC-4FB1-88D6-03C36A24E62F}"/>
    <cellStyle name="Normal 2 5 2 2 3 2 3" xfId="8539" xr:uid="{00B3BC96-38C5-4B07-A4EE-57C8D8C59DF7}"/>
    <cellStyle name="Normal 2 5 2 2 3 2 3 2" xfId="21221" xr:uid="{C04FF828-3944-4182-B139-F4F0BEEB4B4C}"/>
    <cellStyle name="Normal 2 5 2 2 3 2 3 2 2" xfId="46713" xr:uid="{52519FF0-0FF1-4E67-BC14-99AF8BF5F093}"/>
    <cellStyle name="Normal 2 5 2 2 3 2 3 3" xfId="34122" xr:uid="{654AFEE4-CF22-45C0-9F0B-97DC66A54720}"/>
    <cellStyle name="Normal 2 5 2 2 3 2 4" xfId="14943" xr:uid="{863FA8DC-617C-45A0-B43B-98114AFBF721}"/>
    <cellStyle name="Normal 2 5 2 2 3 2 4 2" xfId="40435" xr:uid="{646CECF7-97D6-48FD-9C36-C3CC8B99D8BE}"/>
    <cellStyle name="Normal 2 5 2 2 3 2 5" xfId="27844" xr:uid="{68BDC7E8-7E49-4D10-A134-CF059BB19D9B}"/>
    <cellStyle name="Normal 2 5 2 2 3 3" xfId="4078" xr:uid="{BB2DD7B3-F862-42E3-AB0F-DDEDDF9FF1E7}"/>
    <cellStyle name="Normal 2 5 2 2 3 3 2" xfId="10371" xr:uid="{D81E8835-C60A-4F2B-BCE1-BE00B3D14247}"/>
    <cellStyle name="Normal 2 5 2 2 3 3 2 2" xfId="23053" xr:uid="{C6CBF07F-DA08-45F9-8569-FCE05524316F}"/>
    <cellStyle name="Normal 2 5 2 2 3 3 2 2 2" xfId="48545" xr:uid="{7B2C6A6B-0DB0-41D9-9AB3-F8578C30D428}"/>
    <cellStyle name="Normal 2 5 2 2 3 3 2 3" xfId="35954" xr:uid="{823AD8CD-2107-440D-9F2E-8BF618B29C13}"/>
    <cellStyle name="Normal 2 5 2 2 3 3 3" xfId="16775" xr:uid="{DB1154C5-229E-4BD2-921D-17103550CFF9}"/>
    <cellStyle name="Normal 2 5 2 2 3 3 3 2" xfId="42267" xr:uid="{6CC1D371-1CC1-4A7B-95C8-86E8103CD5F6}"/>
    <cellStyle name="Normal 2 5 2 2 3 3 4" xfId="29676" xr:uid="{205FE510-CD00-4FF9-AD05-4E7824A30535}"/>
    <cellStyle name="Normal 2 5 2 2 3 4" xfId="7232" xr:uid="{B5D42D9A-9728-4307-BB2A-05FE3C5B6F5F}"/>
    <cellStyle name="Normal 2 5 2 2 3 4 2" xfId="19914" xr:uid="{6E498B21-2D9A-44F9-A420-913DB0D2ABAF}"/>
    <cellStyle name="Normal 2 5 2 2 3 4 2 2" xfId="45406" xr:uid="{10635899-B01E-494E-ADD1-32D7B75947B7}"/>
    <cellStyle name="Normal 2 5 2 2 3 4 3" xfId="32815" xr:uid="{5B461F35-4D63-46D6-9ED6-9F6E2E0373E6}"/>
    <cellStyle name="Normal 2 5 2 2 3 5" xfId="13636" xr:uid="{FF9D2C59-36FA-49EF-A1BA-E284A454E347}"/>
    <cellStyle name="Normal 2 5 2 2 3 5 2" xfId="39128" xr:uid="{6075E97C-6F98-4BAB-8FFE-644BA6374AA3}"/>
    <cellStyle name="Normal 2 5 2 2 3 6" xfId="26537" xr:uid="{0FACD1B9-6228-48AE-9306-512D9DCAE13C}"/>
    <cellStyle name="Normal 2 5 2 2 4" xfId="1969" xr:uid="{F9F8D04D-446B-4439-A618-09D4D5A966D4}"/>
    <cellStyle name="Normal 2 5 2 2 4 2" xfId="5123" xr:uid="{F613A66E-6422-42F6-9E3E-C01D2C727F72}"/>
    <cellStyle name="Normal 2 5 2 2 4 2 2" xfId="11416" xr:uid="{36E8DFFF-0D5B-479D-A5F3-879BBF82BA61}"/>
    <cellStyle name="Normal 2 5 2 2 4 2 2 2" xfId="24098" xr:uid="{3D3F4EC8-5A95-4660-BEDF-A13CF5240CB9}"/>
    <cellStyle name="Normal 2 5 2 2 4 2 2 2 2" xfId="49590" xr:uid="{1358CFBD-D49E-4430-A1E2-DE67AAA726C6}"/>
    <cellStyle name="Normal 2 5 2 2 4 2 2 3" xfId="36999" xr:uid="{D5690AEC-DC70-4C17-A4FB-E7DD68CD572A}"/>
    <cellStyle name="Normal 2 5 2 2 4 2 3" xfId="17820" xr:uid="{B957E10B-9D17-448F-9990-55CFBAEE970A}"/>
    <cellStyle name="Normal 2 5 2 2 4 2 3 2" xfId="43312" xr:uid="{8ED1296E-0314-40EA-95F8-00669292EE51}"/>
    <cellStyle name="Normal 2 5 2 2 4 2 4" xfId="30721" xr:uid="{3C24A11A-2040-4AB2-A8BC-7FCCEA81A667}"/>
    <cellStyle name="Normal 2 5 2 2 4 3" xfId="8277" xr:uid="{5C0B81FE-E9E8-4BC2-B2B2-0CE1FE9F2AB2}"/>
    <cellStyle name="Normal 2 5 2 2 4 3 2" xfId="20959" xr:uid="{9301D2D8-8FBD-418B-8522-15150FB56193}"/>
    <cellStyle name="Normal 2 5 2 2 4 3 2 2" xfId="46451" xr:uid="{EFDF00D0-2352-4651-BE66-5BA06E84102D}"/>
    <cellStyle name="Normal 2 5 2 2 4 3 3" xfId="33860" xr:uid="{94293B3F-1E9B-4D99-8A08-60E6EEF720C0}"/>
    <cellStyle name="Normal 2 5 2 2 4 4" xfId="14681" xr:uid="{62EBD59F-343E-4E22-842E-6EB0BBA76EC8}"/>
    <cellStyle name="Normal 2 5 2 2 4 4 2" xfId="40173" xr:uid="{4591C6D6-FEDB-4EFB-ADE4-53DCE26B1BB3}"/>
    <cellStyle name="Normal 2 5 2 2 4 5" xfId="27582" xr:uid="{07260889-6884-4043-B748-C04E90027FC0}"/>
    <cellStyle name="Normal 2 5 2 2 5" xfId="1447" xr:uid="{8A775849-FD87-4668-B772-64B5D1D02403}"/>
    <cellStyle name="Normal 2 5 2 2 5 2" xfId="4601" xr:uid="{8F31D15A-E5BD-44BA-B7DF-A4DC49FF63E8}"/>
    <cellStyle name="Normal 2 5 2 2 5 2 2" xfId="10894" xr:uid="{B7CA8690-D44B-477A-B00D-770093699C70}"/>
    <cellStyle name="Normal 2 5 2 2 5 2 2 2" xfId="23576" xr:uid="{FAB15626-D64C-4FCB-8B3C-001CD53DE25E}"/>
    <cellStyle name="Normal 2 5 2 2 5 2 2 2 2" xfId="49068" xr:uid="{F3A0A5AD-040D-41FE-8EE9-A18DEFDABD55}"/>
    <cellStyle name="Normal 2 5 2 2 5 2 2 3" xfId="36477" xr:uid="{124B9181-9A0F-4EEF-8057-F3DE8AEA35A5}"/>
    <cellStyle name="Normal 2 5 2 2 5 2 3" xfId="17298" xr:uid="{54B2E489-03D3-4331-82BE-EAAE683D7F12}"/>
    <cellStyle name="Normal 2 5 2 2 5 2 3 2" xfId="42790" xr:uid="{9823EB2B-C911-452C-9086-771293814854}"/>
    <cellStyle name="Normal 2 5 2 2 5 2 4" xfId="30199" xr:uid="{ED1207FE-EE62-4701-B8BA-C893318BF4DA}"/>
    <cellStyle name="Normal 2 5 2 2 5 3" xfId="7755" xr:uid="{2BA1AC91-C052-4D8C-B939-49DFD6C93376}"/>
    <cellStyle name="Normal 2 5 2 2 5 3 2" xfId="20437" xr:uid="{DEB98C37-7368-480E-B7FE-4CFBC929EA6C}"/>
    <cellStyle name="Normal 2 5 2 2 5 3 2 2" xfId="45929" xr:uid="{50E5AC07-163C-48C7-8FF6-B0577A84EB71}"/>
    <cellStyle name="Normal 2 5 2 2 5 3 3" xfId="33338" xr:uid="{51ACC851-3BA4-4496-A41F-4294D97F5A11}"/>
    <cellStyle name="Normal 2 5 2 2 5 4" xfId="14159" xr:uid="{56DB0E85-7309-4BE8-8300-AA95E7C7DBF8}"/>
    <cellStyle name="Normal 2 5 2 2 5 4 2" xfId="39651" xr:uid="{4899EA90-9664-46E2-94EC-69D497B0231D}"/>
    <cellStyle name="Normal 2 5 2 2 5 5" xfId="27060" xr:uid="{1F568531-2D02-4537-9094-543F17D56DAE}"/>
    <cellStyle name="Normal 2 5 2 2 6" xfId="2754" xr:uid="{A0A6028D-2673-4F68-B08E-95C54B0E92A4}"/>
    <cellStyle name="Normal 2 5 2 2 6 2" xfId="5908" xr:uid="{E67E9F52-AC35-4295-82AE-00099FEBE6B4}"/>
    <cellStyle name="Normal 2 5 2 2 6 2 2" xfId="12201" xr:uid="{05CC8210-D881-4CB5-8878-CCBC1436DC01}"/>
    <cellStyle name="Normal 2 5 2 2 6 2 2 2" xfId="24883" xr:uid="{9125B080-90A1-4E4C-AEAC-4EEB3EE38409}"/>
    <cellStyle name="Normal 2 5 2 2 6 2 2 2 2" xfId="50375" xr:uid="{5936930E-54D8-4BD9-9299-344EF72D6A34}"/>
    <cellStyle name="Normal 2 5 2 2 6 2 2 3" xfId="37784" xr:uid="{3C620EF2-9B8C-4415-8BA1-779543731F6E}"/>
    <cellStyle name="Normal 2 5 2 2 6 2 3" xfId="18605" xr:uid="{29B43188-9E13-4454-940E-6AEEFC9CCDE4}"/>
    <cellStyle name="Normal 2 5 2 2 6 2 3 2" xfId="44097" xr:uid="{D440EDFE-ABE4-42B3-BD18-03764136AF1C}"/>
    <cellStyle name="Normal 2 5 2 2 6 2 4" xfId="31506" xr:uid="{BCFE0425-E98E-430F-B1A8-E010CF055A61}"/>
    <cellStyle name="Normal 2 5 2 2 6 3" xfId="9062" xr:uid="{5C48B883-9373-41E2-A96A-C2179C91E433}"/>
    <cellStyle name="Normal 2 5 2 2 6 3 2" xfId="21744" xr:uid="{B2993FD0-C6CF-475F-A159-4C0C1EC78844}"/>
    <cellStyle name="Normal 2 5 2 2 6 3 2 2" xfId="47236" xr:uid="{940A79EC-A728-44DF-9B0D-24B248CCF82A}"/>
    <cellStyle name="Normal 2 5 2 2 6 3 3" xfId="34645" xr:uid="{F1AA5E69-8AD0-4847-B4F3-8AC752191930}"/>
    <cellStyle name="Normal 2 5 2 2 6 4" xfId="15466" xr:uid="{BFA123BC-EDCF-4822-8877-51494CBC97E5}"/>
    <cellStyle name="Normal 2 5 2 2 6 4 2" xfId="40958" xr:uid="{749D06CE-4658-46CA-BC1D-6EFACD18D70B}"/>
    <cellStyle name="Normal 2 5 2 2 6 5" xfId="28367" xr:uid="{A782988A-3248-4C95-A9E9-9AB445F15504}"/>
    <cellStyle name="Normal 2 5 2 2 7" xfId="3277" xr:uid="{3EA567C6-18C9-4DD5-8859-B13A14460BB9}"/>
    <cellStyle name="Normal 2 5 2 2 7 2" xfId="6431" xr:uid="{DB024CCE-3055-4FF5-90A0-F5F6CD9CB275}"/>
    <cellStyle name="Normal 2 5 2 2 7 2 2" xfId="12724" xr:uid="{1FE6F124-EF82-4D25-95BD-4B9F2BBE377B}"/>
    <cellStyle name="Normal 2 5 2 2 7 2 2 2" xfId="25406" xr:uid="{5DF55A6C-2FA6-4510-9862-9C528BD256A8}"/>
    <cellStyle name="Normal 2 5 2 2 7 2 2 2 2" xfId="50898" xr:uid="{838D4C9E-F6B0-4D9D-B4B4-E1DF1D76C56F}"/>
    <cellStyle name="Normal 2 5 2 2 7 2 2 3" xfId="38307" xr:uid="{287A176D-8863-4313-B485-EA37C1103090}"/>
    <cellStyle name="Normal 2 5 2 2 7 2 3" xfId="19128" xr:uid="{51B59705-EE83-4B0E-B524-F67CCBDFE644}"/>
    <cellStyle name="Normal 2 5 2 2 7 2 3 2" xfId="44620" xr:uid="{86B117F5-6E68-4F43-B9DC-B029F4CB1B4E}"/>
    <cellStyle name="Normal 2 5 2 2 7 2 4" xfId="32029" xr:uid="{BFC784A0-E2E9-4F49-8C4E-E74FE58CBE21}"/>
    <cellStyle name="Normal 2 5 2 2 7 3" xfId="9585" xr:uid="{020577D6-1847-4B56-9BA2-3066AC6133A9}"/>
    <cellStyle name="Normal 2 5 2 2 7 3 2" xfId="22267" xr:uid="{6B28D7F0-96A2-4662-8C96-F50583E6D4BD}"/>
    <cellStyle name="Normal 2 5 2 2 7 3 2 2" xfId="47759" xr:uid="{DB85087E-FE48-4C5F-AEE8-CD9308692303}"/>
    <cellStyle name="Normal 2 5 2 2 7 3 3" xfId="35168" xr:uid="{0A79BC6A-A309-42B8-B9E6-5D109E03FA1F}"/>
    <cellStyle name="Normal 2 5 2 2 7 4" xfId="15989" xr:uid="{A80B060D-7B6D-4379-835F-75106A2921DD}"/>
    <cellStyle name="Normal 2 5 2 2 7 4 2" xfId="41481" xr:uid="{BAAF9350-5605-4196-BF5E-571EF1020C90}"/>
    <cellStyle name="Normal 2 5 2 2 7 5" xfId="28890" xr:uid="{120F930C-C8E2-458A-98C9-18466019309B}"/>
    <cellStyle name="Normal 2 5 2 2 8" xfId="3816" xr:uid="{0B3E5358-FC9C-4AC1-93ED-0F3E165A3A4C}"/>
    <cellStyle name="Normal 2 5 2 2 8 2" xfId="10109" xr:uid="{8C9FFFD9-8AED-4418-B8B3-46275B33DD36}"/>
    <cellStyle name="Normal 2 5 2 2 8 2 2" xfId="22791" xr:uid="{678A7153-5055-4CB6-845E-934497C4371A}"/>
    <cellStyle name="Normal 2 5 2 2 8 2 2 2" xfId="48283" xr:uid="{757764DE-53E3-4AD2-97CF-215F942484F8}"/>
    <cellStyle name="Normal 2 5 2 2 8 2 3" xfId="35692" xr:uid="{D25CC6F6-4E9E-40E1-9CDC-AAC53789C3BF}"/>
    <cellStyle name="Normal 2 5 2 2 8 3" xfId="16513" xr:uid="{B1391F72-9DCB-4020-BAB2-9C7AE2EF728A}"/>
    <cellStyle name="Normal 2 5 2 2 8 3 2" xfId="42005" xr:uid="{7391D38E-2E97-42A2-9233-960245F32AD3}"/>
    <cellStyle name="Normal 2 5 2 2 8 4" xfId="29414" xr:uid="{861D452F-7409-4B8E-A6C7-13AA98293565}"/>
    <cellStyle name="Normal 2 5 2 2 9" xfId="6970" xr:uid="{51AAFF0D-87BC-4F79-B47C-5F0B66633990}"/>
    <cellStyle name="Normal 2 5 2 2 9 2" xfId="19652" xr:uid="{73334194-9F57-40F7-81DB-7A20A08F63CD}"/>
    <cellStyle name="Normal 2 5 2 2 9 2 2" xfId="45144" xr:uid="{E286E34C-D16D-4B3A-B255-FCEE92D838B6}"/>
    <cellStyle name="Normal 2 5 2 2 9 3" xfId="32553" xr:uid="{4589C016-A5D3-41D6-B1C4-946D37944DE6}"/>
    <cellStyle name="Normal 2 5 2 3" xfId="547" xr:uid="{C4A01B13-2BC4-4906-85A7-EC044B402094}"/>
    <cellStyle name="Normal 2 5 2 3 10" xfId="13274" xr:uid="{47BBBFDE-9D08-489D-B002-CFF03738AB29}"/>
    <cellStyle name="Normal 2 5 2 3 10 2" xfId="38766" xr:uid="{8001E4C3-CFD6-43CA-898A-EE8A7955ED79}"/>
    <cellStyle name="Normal 2 5 2 3 11" xfId="26175" xr:uid="{011636AA-3561-4EDB-AE4D-FB141CC50059}"/>
    <cellStyle name="Normal 2 5 2 3 2" xfId="1084" xr:uid="{F4AAAA82-DCB0-42E7-8228-3512A62C01EE}"/>
    <cellStyle name="Normal 2 5 2 3 2 2" xfId="2391" xr:uid="{2028E265-96E6-4D1B-9209-3D4576CD9C68}"/>
    <cellStyle name="Normal 2 5 2 3 2 2 2" xfId="5545" xr:uid="{ED533194-03F2-4EDE-A763-BF68F55C8F7A}"/>
    <cellStyle name="Normal 2 5 2 3 2 2 2 2" xfId="11838" xr:uid="{4D56F043-110D-4400-AD1E-289F287AF160}"/>
    <cellStyle name="Normal 2 5 2 3 2 2 2 2 2" xfId="24520" xr:uid="{5B972D14-EDF7-45BF-BB4D-62C79BAEEDE7}"/>
    <cellStyle name="Normal 2 5 2 3 2 2 2 2 2 2" xfId="50012" xr:uid="{8A07B969-3865-46E6-98C4-01CEDE9B87E3}"/>
    <cellStyle name="Normal 2 5 2 3 2 2 2 2 3" xfId="37421" xr:uid="{26F2B522-9FE4-4289-B4A3-FC76AC92C74D}"/>
    <cellStyle name="Normal 2 5 2 3 2 2 2 3" xfId="18242" xr:uid="{9DCE662D-3127-408A-8F7D-7FE501BC770B}"/>
    <cellStyle name="Normal 2 5 2 3 2 2 2 3 2" xfId="43734" xr:uid="{13CF6E15-1982-4EAD-96EF-597F319CB1B8}"/>
    <cellStyle name="Normal 2 5 2 3 2 2 2 4" xfId="31143" xr:uid="{1264AF09-4CBD-420A-9BD8-630F2934C878}"/>
    <cellStyle name="Normal 2 5 2 3 2 2 3" xfId="8699" xr:uid="{818FB576-4905-4E47-9262-AC01EEFA0923}"/>
    <cellStyle name="Normal 2 5 2 3 2 2 3 2" xfId="21381" xr:uid="{A6AE5AB7-E92F-4B7A-901A-B47B7BA96A22}"/>
    <cellStyle name="Normal 2 5 2 3 2 2 3 2 2" xfId="46873" xr:uid="{616CC63E-62E0-4F28-9706-A6BC39E7403A}"/>
    <cellStyle name="Normal 2 5 2 3 2 2 3 3" xfId="34282" xr:uid="{B9056673-5CB7-4FD5-ADD7-B83649C323E7}"/>
    <cellStyle name="Normal 2 5 2 3 2 2 4" xfId="15103" xr:uid="{943E473E-B3D3-4D5D-A481-9586468BE2C9}"/>
    <cellStyle name="Normal 2 5 2 3 2 2 4 2" xfId="40595" xr:uid="{D297AD2F-26DC-4D43-AA2E-0A01F2502443}"/>
    <cellStyle name="Normal 2 5 2 3 2 2 5" xfId="28004" xr:uid="{67A1974F-3673-433E-BC6A-397DE7DD9836}"/>
    <cellStyle name="Normal 2 5 2 3 2 3" xfId="1608" xr:uid="{89B371B4-4D4A-43C8-BF32-DA6B91C92903}"/>
    <cellStyle name="Normal 2 5 2 3 2 3 2" xfId="4762" xr:uid="{A1457BD6-6EB5-496C-9832-CA963581283A}"/>
    <cellStyle name="Normal 2 5 2 3 2 3 2 2" xfId="11055" xr:uid="{C0C5899E-377A-45AF-9E2C-7A128877461F}"/>
    <cellStyle name="Normal 2 5 2 3 2 3 2 2 2" xfId="23737" xr:uid="{B3411403-7937-4DB8-8AB3-71AA11235A36}"/>
    <cellStyle name="Normal 2 5 2 3 2 3 2 2 2 2" xfId="49229" xr:uid="{8671E037-6336-4569-9428-CCBFD2A703B5}"/>
    <cellStyle name="Normal 2 5 2 3 2 3 2 2 3" xfId="36638" xr:uid="{95B5AAF0-6CD8-4261-A447-CDF72C8F88AD}"/>
    <cellStyle name="Normal 2 5 2 3 2 3 2 3" xfId="17459" xr:uid="{2D37D25F-34CD-4E90-8DCD-0F38C6DE4303}"/>
    <cellStyle name="Normal 2 5 2 3 2 3 2 3 2" xfId="42951" xr:uid="{1246EDD9-20B5-49E0-AD12-6F2050C244CE}"/>
    <cellStyle name="Normal 2 5 2 3 2 3 2 4" xfId="30360" xr:uid="{1041640C-504E-4B6F-8F85-15C2A3B364C6}"/>
    <cellStyle name="Normal 2 5 2 3 2 3 3" xfId="7916" xr:uid="{C62CB02D-281D-46FA-B651-8FBB8AD12D8E}"/>
    <cellStyle name="Normal 2 5 2 3 2 3 3 2" xfId="20598" xr:uid="{A3FC265F-C47D-495A-BE71-76ED38D4990E}"/>
    <cellStyle name="Normal 2 5 2 3 2 3 3 2 2" xfId="46090" xr:uid="{F9C78305-DBE5-47C5-9FD9-97992EE3E037}"/>
    <cellStyle name="Normal 2 5 2 3 2 3 3 3" xfId="33499" xr:uid="{8190D829-BFA1-4816-932D-1E4502C32C76}"/>
    <cellStyle name="Normal 2 5 2 3 2 3 4" xfId="14320" xr:uid="{1F57D782-6399-4982-A1DF-E59346A3AA59}"/>
    <cellStyle name="Normal 2 5 2 3 2 3 4 2" xfId="39812" xr:uid="{30CA4AD0-3B78-45FF-8FD4-92BF6EB9AF57}"/>
    <cellStyle name="Normal 2 5 2 3 2 3 5" xfId="27221" xr:uid="{71601BEE-085F-4D5B-86EE-97B3C51A09AF}"/>
    <cellStyle name="Normal 2 5 2 3 2 4" xfId="2915" xr:uid="{7A9AE088-01B0-4481-A911-CCEDF3D33D9F}"/>
    <cellStyle name="Normal 2 5 2 3 2 4 2" xfId="6069" xr:uid="{5EEB8D33-681C-4A5D-8C45-BF17799C258F}"/>
    <cellStyle name="Normal 2 5 2 3 2 4 2 2" xfId="12362" xr:uid="{EF376716-BF2C-4938-819B-AFDE032FFDA1}"/>
    <cellStyle name="Normal 2 5 2 3 2 4 2 2 2" xfId="25044" xr:uid="{194947B1-3C2B-415B-B546-DC5F58FDF342}"/>
    <cellStyle name="Normal 2 5 2 3 2 4 2 2 2 2" xfId="50536" xr:uid="{48392A04-6DD6-4614-BFBA-CE7D80042EE7}"/>
    <cellStyle name="Normal 2 5 2 3 2 4 2 2 3" xfId="37945" xr:uid="{746436DD-821B-41A1-AB49-349D4D938DDA}"/>
    <cellStyle name="Normal 2 5 2 3 2 4 2 3" xfId="18766" xr:uid="{4EF8E45D-C114-4B27-8788-9227BF47E9C0}"/>
    <cellStyle name="Normal 2 5 2 3 2 4 2 3 2" xfId="44258" xr:uid="{DFC117D8-F533-47BD-A2C9-A490149761CC}"/>
    <cellStyle name="Normal 2 5 2 3 2 4 2 4" xfId="31667" xr:uid="{7786A270-4E57-448D-8F57-D88092627DC5}"/>
    <cellStyle name="Normal 2 5 2 3 2 4 3" xfId="9223" xr:uid="{92231353-B0C6-4DEB-8ACB-8EA573273C17}"/>
    <cellStyle name="Normal 2 5 2 3 2 4 3 2" xfId="21905" xr:uid="{DC9FCE58-3217-4D5E-8382-22471AB5277E}"/>
    <cellStyle name="Normal 2 5 2 3 2 4 3 2 2" xfId="47397" xr:uid="{2A62D0CA-487F-4E09-B9BE-A7E5B3B6E118}"/>
    <cellStyle name="Normal 2 5 2 3 2 4 3 3" xfId="34806" xr:uid="{DDEA545F-8919-4027-B65E-1D7003DAFEF8}"/>
    <cellStyle name="Normal 2 5 2 3 2 4 4" xfId="15627" xr:uid="{7BA8E93E-7789-4EFB-8BCD-CC5B93368545}"/>
    <cellStyle name="Normal 2 5 2 3 2 4 4 2" xfId="41119" xr:uid="{AF5E0C93-7578-4C59-AD29-E4E054820D23}"/>
    <cellStyle name="Normal 2 5 2 3 2 4 5" xfId="28528" xr:uid="{A81A1904-3291-4092-8D34-ADA8F1927FFB}"/>
    <cellStyle name="Normal 2 5 2 3 2 5" xfId="3438" xr:uid="{D62F3991-FD4D-47DB-A92B-CFB3CF322318}"/>
    <cellStyle name="Normal 2 5 2 3 2 5 2" xfId="6592" xr:uid="{3EB3B877-75C9-4799-97BC-AB843499D95C}"/>
    <cellStyle name="Normal 2 5 2 3 2 5 2 2" xfId="12885" xr:uid="{7FAB3E11-B4C7-4213-AD33-2448866BCAFA}"/>
    <cellStyle name="Normal 2 5 2 3 2 5 2 2 2" xfId="25567" xr:uid="{A0C5C3D0-C183-4324-B625-9C409D655067}"/>
    <cellStyle name="Normal 2 5 2 3 2 5 2 2 2 2" xfId="51059" xr:uid="{5007D385-EE78-4E72-996B-A5BC6245881D}"/>
    <cellStyle name="Normal 2 5 2 3 2 5 2 2 3" xfId="38468" xr:uid="{57730CCD-3054-4E0A-B629-8DCE9167195F}"/>
    <cellStyle name="Normal 2 5 2 3 2 5 2 3" xfId="19289" xr:uid="{627FDAE6-5754-4968-832E-8F970099659F}"/>
    <cellStyle name="Normal 2 5 2 3 2 5 2 3 2" xfId="44781" xr:uid="{2FDDD972-A802-4181-A420-A128FDA44EE9}"/>
    <cellStyle name="Normal 2 5 2 3 2 5 2 4" xfId="32190" xr:uid="{F6008D16-2B24-4424-8D15-BB53DF18840C}"/>
    <cellStyle name="Normal 2 5 2 3 2 5 3" xfId="9746" xr:uid="{1695B4C0-22BD-48F7-9332-566BAF137602}"/>
    <cellStyle name="Normal 2 5 2 3 2 5 3 2" xfId="22428" xr:uid="{FDC93B2E-AAB8-4184-965C-AF82C0E0415F}"/>
    <cellStyle name="Normal 2 5 2 3 2 5 3 2 2" xfId="47920" xr:uid="{126C97A7-6538-4822-84CC-73229E00C7E4}"/>
    <cellStyle name="Normal 2 5 2 3 2 5 3 3" xfId="35329" xr:uid="{4284BC5E-CAB2-4BC0-9BAD-7550E256026B}"/>
    <cellStyle name="Normal 2 5 2 3 2 5 4" xfId="16150" xr:uid="{903F74CB-E57F-40B8-8DB1-F761B042EFB1}"/>
    <cellStyle name="Normal 2 5 2 3 2 5 4 2" xfId="41642" xr:uid="{C7ADE4AA-4E11-4499-BD0A-35D29083DAC6}"/>
    <cellStyle name="Normal 2 5 2 3 2 5 5" xfId="29051" xr:uid="{170D21C5-BA0E-4BB5-91F5-931127D10D5B}"/>
    <cellStyle name="Normal 2 5 2 3 2 6" xfId="4238" xr:uid="{55DFD8A0-49A2-47F3-8ABA-95AA8B62B7C6}"/>
    <cellStyle name="Normal 2 5 2 3 2 6 2" xfId="10531" xr:uid="{3757DD83-74D4-4F30-8F1D-245A15AF0B29}"/>
    <cellStyle name="Normal 2 5 2 3 2 6 2 2" xfId="23213" xr:uid="{4957F8C2-F702-4FB9-8486-8555F6081850}"/>
    <cellStyle name="Normal 2 5 2 3 2 6 2 2 2" xfId="48705" xr:uid="{8E265EB4-1B9D-4CA9-AC61-9D8247DF721A}"/>
    <cellStyle name="Normal 2 5 2 3 2 6 2 3" xfId="36114" xr:uid="{8BD7FA0D-4634-4534-A3B8-43B654B4A29A}"/>
    <cellStyle name="Normal 2 5 2 3 2 6 3" xfId="16935" xr:uid="{46569699-BE67-49B7-8964-CA287C83A409}"/>
    <cellStyle name="Normal 2 5 2 3 2 6 3 2" xfId="42427" xr:uid="{DECF8A2D-33C2-4340-BD5F-39FD9FAF6DAB}"/>
    <cellStyle name="Normal 2 5 2 3 2 6 4" xfId="29836" xr:uid="{71A93A11-2516-413B-8DA7-93684ED18F27}"/>
    <cellStyle name="Normal 2 5 2 3 2 7" xfId="7392" xr:uid="{DD4842D0-E141-4307-BCE7-67D66A2051B6}"/>
    <cellStyle name="Normal 2 5 2 3 2 7 2" xfId="20074" xr:uid="{F28660E6-7E3B-4CA1-B2D2-0DE762522BCB}"/>
    <cellStyle name="Normal 2 5 2 3 2 7 2 2" xfId="45566" xr:uid="{59383BB1-55B7-42ED-BC83-9B5EFC830CAC}"/>
    <cellStyle name="Normal 2 5 2 3 2 7 3" xfId="32975" xr:uid="{FA3843F1-648E-4733-9449-185482E52DF6}"/>
    <cellStyle name="Normal 2 5 2 3 2 8" xfId="13796" xr:uid="{EE87562F-19C6-43D4-AA59-75EB163B6628}"/>
    <cellStyle name="Normal 2 5 2 3 2 8 2" xfId="39288" xr:uid="{78E7EE2A-825B-437C-8602-8A9AEFCC5CA9}"/>
    <cellStyle name="Normal 2 5 2 3 2 9" xfId="26697" xr:uid="{959D9025-8FDB-4A78-97A6-69E509AD225A}"/>
    <cellStyle name="Normal 2 5 2 3 3" xfId="824" xr:uid="{74EBC526-256E-45F3-9515-1FFAECB41FA5}"/>
    <cellStyle name="Normal 2 5 2 3 3 2" xfId="2131" xr:uid="{68E00010-EA42-4D73-88E2-4EEAA9A8D370}"/>
    <cellStyle name="Normal 2 5 2 3 3 2 2" xfId="5285" xr:uid="{59D3ABE2-6338-4DD6-BBD5-47D4E525399C}"/>
    <cellStyle name="Normal 2 5 2 3 3 2 2 2" xfId="11578" xr:uid="{423D90AE-9694-4207-B15A-90E5A494B4C5}"/>
    <cellStyle name="Normal 2 5 2 3 3 2 2 2 2" xfId="24260" xr:uid="{0DEA06E7-82B3-441D-A7B6-0ADC98F2575E}"/>
    <cellStyle name="Normal 2 5 2 3 3 2 2 2 2 2" xfId="49752" xr:uid="{79DE21AD-3901-40AD-A19B-BE9FA3C2567A}"/>
    <cellStyle name="Normal 2 5 2 3 3 2 2 2 3" xfId="37161" xr:uid="{21AD83FE-FA75-43CC-AAC0-F67E0611FF50}"/>
    <cellStyle name="Normal 2 5 2 3 3 2 2 3" xfId="17982" xr:uid="{049BCE46-6A95-47C5-9DD6-FC8EA94760BB}"/>
    <cellStyle name="Normal 2 5 2 3 3 2 2 3 2" xfId="43474" xr:uid="{81E4B98B-5390-4C6B-A213-79ED82B14E0A}"/>
    <cellStyle name="Normal 2 5 2 3 3 2 2 4" xfId="30883" xr:uid="{EADB2798-933E-4903-9D6B-FF73B3732A0E}"/>
    <cellStyle name="Normal 2 5 2 3 3 2 3" xfId="8439" xr:uid="{D53E701C-7279-4633-8E18-1811F5BF2BB3}"/>
    <cellStyle name="Normal 2 5 2 3 3 2 3 2" xfId="21121" xr:uid="{6D03510C-78E4-43F3-9A9A-43D718B60CE0}"/>
    <cellStyle name="Normal 2 5 2 3 3 2 3 2 2" xfId="46613" xr:uid="{5D2FE46E-0D1F-419D-9BD6-3C340E77076D}"/>
    <cellStyle name="Normal 2 5 2 3 3 2 3 3" xfId="34022" xr:uid="{5735280F-7882-46D2-A09E-96B6CDBFF69D}"/>
    <cellStyle name="Normal 2 5 2 3 3 2 4" xfId="14843" xr:uid="{32B2EB91-6BED-4F2D-94A9-BC6CB952966B}"/>
    <cellStyle name="Normal 2 5 2 3 3 2 4 2" xfId="40335" xr:uid="{65501C5B-0D08-4B73-843C-02AB1D3580E4}"/>
    <cellStyle name="Normal 2 5 2 3 3 2 5" xfId="27744" xr:uid="{66E97348-A01C-4BA9-97D6-6504B0AD91D6}"/>
    <cellStyle name="Normal 2 5 2 3 3 3" xfId="3978" xr:uid="{58D406BE-3A04-49AE-8184-D25EFCB69B59}"/>
    <cellStyle name="Normal 2 5 2 3 3 3 2" xfId="10271" xr:uid="{7E055135-204B-4220-A5A9-87866126EE7F}"/>
    <cellStyle name="Normal 2 5 2 3 3 3 2 2" xfId="22953" xr:uid="{6D550A90-CCD8-4957-B3C4-5DB2C3B60855}"/>
    <cellStyle name="Normal 2 5 2 3 3 3 2 2 2" xfId="48445" xr:uid="{01F55951-A9B8-4040-9803-74C6C7520143}"/>
    <cellStyle name="Normal 2 5 2 3 3 3 2 3" xfId="35854" xr:uid="{D0A845FF-FB90-4DC2-A835-1F0B522A59EB}"/>
    <cellStyle name="Normal 2 5 2 3 3 3 3" xfId="16675" xr:uid="{E846CFC2-E062-4E2D-A5A5-1E20865AA23D}"/>
    <cellStyle name="Normal 2 5 2 3 3 3 3 2" xfId="42167" xr:uid="{F3D8B1E0-2CA1-4246-9E24-2E23B9FC0449}"/>
    <cellStyle name="Normal 2 5 2 3 3 3 4" xfId="29576" xr:uid="{F5D0F033-F27F-4CD7-9E7C-013BD865AE13}"/>
    <cellStyle name="Normal 2 5 2 3 3 4" xfId="7132" xr:uid="{8F65B862-8992-4B51-81A8-FB290DC48138}"/>
    <cellStyle name="Normal 2 5 2 3 3 4 2" xfId="19814" xr:uid="{C2C6E2A9-14A1-4ED2-8660-914965560F23}"/>
    <cellStyle name="Normal 2 5 2 3 3 4 2 2" xfId="45306" xr:uid="{C5D71C7B-494E-422B-B0C6-08BB1178EE38}"/>
    <cellStyle name="Normal 2 5 2 3 3 4 3" xfId="32715" xr:uid="{8FFB0D45-572A-4843-94DC-7F7A1227E8FF}"/>
    <cellStyle name="Normal 2 5 2 3 3 5" xfId="13536" xr:uid="{30EA1387-A3B4-40EB-B6D0-31351551C387}"/>
    <cellStyle name="Normal 2 5 2 3 3 5 2" xfId="39028" xr:uid="{D841DCBE-49F3-4D4E-BA22-74FA43442053}"/>
    <cellStyle name="Normal 2 5 2 3 3 6" xfId="26437" xr:uid="{788AC7A4-5ADF-4EAC-BA29-48DB7E283C2C}"/>
    <cellStyle name="Normal 2 5 2 3 4" xfId="1869" xr:uid="{C67A5692-1FF8-4CB4-B1AF-CF3B07FEA4A5}"/>
    <cellStyle name="Normal 2 5 2 3 4 2" xfId="5023" xr:uid="{1FF9E141-DFF0-4A8A-90FA-AF1FAB5CA3AB}"/>
    <cellStyle name="Normal 2 5 2 3 4 2 2" xfId="11316" xr:uid="{EFB62652-FDC2-4BBE-9D4D-D36A85623349}"/>
    <cellStyle name="Normal 2 5 2 3 4 2 2 2" xfId="23998" xr:uid="{374549F8-3932-49B9-A8C1-010D35A6B91A}"/>
    <cellStyle name="Normal 2 5 2 3 4 2 2 2 2" xfId="49490" xr:uid="{1B892700-13F9-46D1-A57C-B35F0A877F99}"/>
    <cellStyle name="Normal 2 5 2 3 4 2 2 3" xfId="36899" xr:uid="{DF4E895B-698C-4D56-835D-CC301F61E05F}"/>
    <cellStyle name="Normal 2 5 2 3 4 2 3" xfId="17720" xr:uid="{FC93949B-065C-4A90-8B81-6DEB4FA2FF60}"/>
    <cellStyle name="Normal 2 5 2 3 4 2 3 2" xfId="43212" xr:uid="{9823FB0F-9202-4F4D-AE50-AED170ABB537}"/>
    <cellStyle name="Normal 2 5 2 3 4 2 4" xfId="30621" xr:uid="{2DCC0078-9BFB-4F20-94A0-12CE9102A38D}"/>
    <cellStyle name="Normal 2 5 2 3 4 3" xfId="8177" xr:uid="{FA23D37B-F963-4FD0-88FB-C6A26EE72802}"/>
    <cellStyle name="Normal 2 5 2 3 4 3 2" xfId="20859" xr:uid="{9CB81A0B-6914-493C-9E27-E66C6E66E0B2}"/>
    <cellStyle name="Normal 2 5 2 3 4 3 2 2" xfId="46351" xr:uid="{9AA25893-A7DA-4A71-AFF6-6EB46DD1ED68}"/>
    <cellStyle name="Normal 2 5 2 3 4 3 3" xfId="33760" xr:uid="{3C0504C8-D9CB-47E8-9FE2-9D1F7CF3859B}"/>
    <cellStyle name="Normal 2 5 2 3 4 4" xfId="14581" xr:uid="{EDA7457E-12F7-4207-A707-087623723557}"/>
    <cellStyle name="Normal 2 5 2 3 4 4 2" xfId="40073" xr:uid="{B3800995-90B0-407E-AAA7-A956392FC0ED}"/>
    <cellStyle name="Normal 2 5 2 3 4 5" xfId="27482" xr:uid="{DFBD1F38-E62F-4B88-94E9-55CD87E7D0FE}"/>
    <cellStyle name="Normal 2 5 2 3 5" xfId="1347" xr:uid="{24117E22-1783-497E-B894-105AED05C2E5}"/>
    <cellStyle name="Normal 2 5 2 3 5 2" xfId="4501" xr:uid="{3873FC12-C9AB-478E-9279-783B9B9AE560}"/>
    <cellStyle name="Normal 2 5 2 3 5 2 2" xfId="10794" xr:uid="{BBCAA67C-CE4F-46F3-AE55-EE9ED33730DC}"/>
    <cellStyle name="Normal 2 5 2 3 5 2 2 2" xfId="23476" xr:uid="{8FD9B7E4-E0BD-4EFB-ADC1-B2451E61B044}"/>
    <cellStyle name="Normal 2 5 2 3 5 2 2 2 2" xfId="48968" xr:uid="{57869DAD-2B0F-4519-96AF-F8F4FF0100E4}"/>
    <cellStyle name="Normal 2 5 2 3 5 2 2 3" xfId="36377" xr:uid="{C67BDD98-ACA3-4C14-93DD-17EA4E16093F}"/>
    <cellStyle name="Normal 2 5 2 3 5 2 3" xfId="17198" xr:uid="{105CBB50-108D-40FD-A343-67FB3D5D5D37}"/>
    <cellStyle name="Normal 2 5 2 3 5 2 3 2" xfId="42690" xr:uid="{5C5ECA2E-BBD9-430D-9C07-01B7016F8F73}"/>
    <cellStyle name="Normal 2 5 2 3 5 2 4" xfId="30099" xr:uid="{D783680D-2618-45E3-B433-D824EAB323F3}"/>
    <cellStyle name="Normal 2 5 2 3 5 3" xfId="7655" xr:uid="{AC5C6527-2297-488E-8B45-913D1266F721}"/>
    <cellStyle name="Normal 2 5 2 3 5 3 2" xfId="20337" xr:uid="{AB0F8855-8E4D-430C-A726-16492B3F0492}"/>
    <cellStyle name="Normal 2 5 2 3 5 3 2 2" xfId="45829" xr:uid="{EE6B67AB-BDB1-4A8B-904A-568DD9216676}"/>
    <cellStyle name="Normal 2 5 2 3 5 3 3" xfId="33238" xr:uid="{F34DDE1A-CC07-46C7-9451-4F84CBAD27E9}"/>
    <cellStyle name="Normal 2 5 2 3 5 4" xfId="14059" xr:uid="{B9A2E331-29C9-4BCC-9E81-9888DB3F757F}"/>
    <cellStyle name="Normal 2 5 2 3 5 4 2" xfId="39551" xr:uid="{13A551F8-5352-4584-8064-5C29FDBF3A01}"/>
    <cellStyle name="Normal 2 5 2 3 5 5" xfId="26960" xr:uid="{74A881A8-32E4-40C9-92A4-D503DC81C074}"/>
    <cellStyle name="Normal 2 5 2 3 6" xfId="2654" xr:uid="{25CE6263-416A-4910-8A01-A9CD550CDFE0}"/>
    <cellStyle name="Normal 2 5 2 3 6 2" xfId="5808" xr:uid="{C455DC85-A8F9-4452-BE51-C4B1DBE439EE}"/>
    <cellStyle name="Normal 2 5 2 3 6 2 2" xfId="12101" xr:uid="{FEADB452-8EEB-417D-9B56-724CE3C88F65}"/>
    <cellStyle name="Normal 2 5 2 3 6 2 2 2" xfId="24783" xr:uid="{687F3525-730F-41C9-A5BF-8786406BE79E}"/>
    <cellStyle name="Normal 2 5 2 3 6 2 2 2 2" xfId="50275" xr:uid="{9CE1F8E9-071D-4D3B-8A27-5E01C98D0EC2}"/>
    <cellStyle name="Normal 2 5 2 3 6 2 2 3" xfId="37684" xr:uid="{988902C3-EBCA-408B-9376-624BFE45FB2A}"/>
    <cellStyle name="Normal 2 5 2 3 6 2 3" xfId="18505" xr:uid="{DDD44C8A-0590-4A2D-848E-DA5574A4D9A1}"/>
    <cellStyle name="Normal 2 5 2 3 6 2 3 2" xfId="43997" xr:uid="{241ED93C-426D-4CDC-A2D5-6D00D9E7D753}"/>
    <cellStyle name="Normal 2 5 2 3 6 2 4" xfId="31406" xr:uid="{A9F68ECB-694B-4FF7-A37F-277B1645E8E5}"/>
    <cellStyle name="Normal 2 5 2 3 6 3" xfId="8962" xr:uid="{E6C3E472-701A-46A1-8CA3-BCF9EDF10A53}"/>
    <cellStyle name="Normal 2 5 2 3 6 3 2" xfId="21644" xr:uid="{B138136D-D9B1-4DE9-92A3-6ABD2E097669}"/>
    <cellStyle name="Normal 2 5 2 3 6 3 2 2" xfId="47136" xr:uid="{640FC4E0-411E-4054-BE80-24E0A5EB006A}"/>
    <cellStyle name="Normal 2 5 2 3 6 3 3" xfId="34545" xr:uid="{FCDD1EF7-31AA-4A86-A444-B4C706DE8D66}"/>
    <cellStyle name="Normal 2 5 2 3 6 4" xfId="15366" xr:uid="{D0D229BE-9965-46AD-AF54-EC91744B3D78}"/>
    <cellStyle name="Normal 2 5 2 3 6 4 2" xfId="40858" xr:uid="{38813BE8-1852-4AC2-A97B-996150167B9D}"/>
    <cellStyle name="Normal 2 5 2 3 6 5" xfId="28267" xr:uid="{AEF38D24-D2DA-4E0F-9C38-FCEB05779346}"/>
    <cellStyle name="Normal 2 5 2 3 7" xfId="3177" xr:uid="{F74D9CDA-46F8-47A0-9B36-8D84C1717826}"/>
    <cellStyle name="Normal 2 5 2 3 7 2" xfId="6331" xr:uid="{F6837541-7815-4B02-B7A7-CA35CB04622F}"/>
    <cellStyle name="Normal 2 5 2 3 7 2 2" xfId="12624" xr:uid="{83DC0043-7276-4537-A45F-5799410E82CD}"/>
    <cellStyle name="Normal 2 5 2 3 7 2 2 2" xfId="25306" xr:uid="{A82A08EE-74EC-4F27-8B2C-2543038513F2}"/>
    <cellStyle name="Normal 2 5 2 3 7 2 2 2 2" xfId="50798" xr:uid="{8CA996D5-AC92-4D76-8D52-78327C257D3E}"/>
    <cellStyle name="Normal 2 5 2 3 7 2 2 3" xfId="38207" xr:uid="{2D191D3F-4D04-45A2-B8B4-F24D42A14DBD}"/>
    <cellStyle name="Normal 2 5 2 3 7 2 3" xfId="19028" xr:uid="{164BD265-902D-4174-B68F-0AB7555AE3A8}"/>
    <cellStyle name="Normal 2 5 2 3 7 2 3 2" xfId="44520" xr:uid="{FEF03CC7-147D-43F4-BD30-FCAD5FE59804}"/>
    <cellStyle name="Normal 2 5 2 3 7 2 4" xfId="31929" xr:uid="{5954EAD6-F98C-4A7C-A4E9-6B751B0876A2}"/>
    <cellStyle name="Normal 2 5 2 3 7 3" xfId="9485" xr:uid="{750A4391-E523-4BEF-BE02-C64F47EEF2FD}"/>
    <cellStyle name="Normal 2 5 2 3 7 3 2" xfId="22167" xr:uid="{4B1DFDFB-60F7-4ECC-9AD3-96017AEE9004}"/>
    <cellStyle name="Normal 2 5 2 3 7 3 2 2" xfId="47659" xr:uid="{46EB5428-71B8-45F3-88C4-54F15F0715FB}"/>
    <cellStyle name="Normal 2 5 2 3 7 3 3" xfId="35068" xr:uid="{B0FF0ECC-024B-4940-8BB4-4F17518F6EBC}"/>
    <cellStyle name="Normal 2 5 2 3 7 4" xfId="15889" xr:uid="{F14D9C59-A50E-48D7-B573-09E7D323A059}"/>
    <cellStyle name="Normal 2 5 2 3 7 4 2" xfId="41381" xr:uid="{AA382AF2-695B-4DF4-99E5-966DACEF9F1C}"/>
    <cellStyle name="Normal 2 5 2 3 7 5" xfId="28790" xr:uid="{BCA5B104-31DF-494F-97B1-40BDFE46B046}"/>
    <cellStyle name="Normal 2 5 2 3 8" xfId="3716" xr:uid="{8B14EC4F-FEEA-46A3-B949-CCEF87B1416B}"/>
    <cellStyle name="Normal 2 5 2 3 8 2" xfId="10009" xr:uid="{77CABC39-4737-4C5F-9483-2125CC5A8BDF}"/>
    <cellStyle name="Normal 2 5 2 3 8 2 2" xfId="22691" xr:uid="{B5553C5F-9BD6-4E6D-91B2-42E13641BD51}"/>
    <cellStyle name="Normal 2 5 2 3 8 2 2 2" xfId="48183" xr:uid="{4735F4D5-9926-460C-A709-9A7DB6DA701A}"/>
    <cellStyle name="Normal 2 5 2 3 8 2 3" xfId="35592" xr:uid="{09BEB60C-375D-4BDE-9EB5-CF05A22F50E7}"/>
    <cellStyle name="Normal 2 5 2 3 8 3" xfId="16413" xr:uid="{BB57D64E-F637-4474-BB99-79788C6261BB}"/>
    <cellStyle name="Normal 2 5 2 3 8 3 2" xfId="41905" xr:uid="{1569B75C-722F-42D8-8E40-4D23954F10E5}"/>
    <cellStyle name="Normal 2 5 2 3 8 4" xfId="29314" xr:uid="{9AAE9D66-D990-489B-9D62-F39E5675ED1A}"/>
    <cellStyle name="Normal 2 5 2 3 9" xfId="6870" xr:uid="{94A7D6FC-B456-4BD8-BFC1-500F6A257029}"/>
    <cellStyle name="Normal 2 5 2 3 9 2" xfId="19552" xr:uid="{56917013-0F71-4E99-8CDA-458E6114C55E}"/>
    <cellStyle name="Normal 2 5 2 3 9 2 2" xfId="45044" xr:uid="{039D1EDD-7BF4-4567-B9EA-C23C313CEE43}"/>
    <cellStyle name="Normal 2 5 2 3 9 3" xfId="32453" xr:uid="{8710377A-99A3-4881-AE6A-ECAB321EFD56}"/>
    <cellStyle name="Normal 2 5 2 4" xfId="1025" xr:uid="{7FD2B1B0-3EB2-4520-84E0-EFB07085FD60}"/>
    <cellStyle name="Normal 2 5 2 4 2" xfId="2332" xr:uid="{57380067-BC4A-4A08-B230-D3618058861F}"/>
    <cellStyle name="Normal 2 5 2 4 2 2" xfId="5486" xr:uid="{9B9021B6-E326-4F84-A82B-6F80BEBAFD72}"/>
    <cellStyle name="Normal 2 5 2 4 2 2 2" xfId="11779" xr:uid="{6C153AF4-D55A-44BD-B638-BC957A161989}"/>
    <cellStyle name="Normal 2 5 2 4 2 2 2 2" xfId="24461" xr:uid="{57D6F354-7CF3-4A30-BD88-30A274CEE350}"/>
    <cellStyle name="Normal 2 5 2 4 2 2 2 2 2" xfId="49953" xr:uid="{40AFFD59-CA8F-46BE-8B70-334EACBFA087}"/>
    <cellStyle name="Normal 2 5 2 4 2 2 2 3" xfId="37362" xr:uid="{67C6A230-660C-45B9-8035-163BC561CB9B}"/>
    <cellStyle name="Normal 2 5 2 4 2 2 3" xfId="18183" xr:uid="{4BA391C8-833E-4D8B-94C7-D3B82FE001A5}"/>
    <cellStyle name="Normal 2 5 2 4 2 2 3 2" xfId="43675" xr:uid="{C27B3F6E-4EB7-44C0-96BF-3984D6893BC5}"/>
    <cellStyle name="Normal 2 5 2 4 2 2 4" xfId="31084" xr:uid="{D1F016D5-4FBC-4772-8903-BC969F564DE2}"/>
    <cellStyle name="Normal 2 5 2 4 2 3" xfId="8640" xr:uid="{43A74314-7DD4-4ABE-B276-6F90DA5C7583}"/>
    <cellStyle name="Normal 2 5 2 4 2 3 2" xfId="21322" xr:uid="{C32E092C-9D3B-4AB1-B0A7-DA00DEF47C83}"/>
    <cellStyle name="Normal 2 5 2 4 2 3 2 2" xfId="46814" xr:uid="{0708B19E-40A6-4569-91EB-F77BF35C0DEF}"/>
    <cellStyle name="Normal 2 5 2 4 2 3 3" xfId="34223" xr:uid="{ACE57F07-1F25-4109-A987-0DE07C12701F}"/>
    <cellStyle name="Normal 2 5 2 4 2 4" xfId="15044" xr:uid="{6BCEEA2C-E0D8-4839-A608-9F24E91D40C5}"/>
    <cellStyle name="Normal 2 5 2 4 2 4 2" xfId="40536" xr:uid="{E508DD14-35EA-4DDD-8533-B2D772B57079}"/>
    <cellStyle name="Normal 2 5 2 4 2 5" xfId="27945" xr:uid="{6A6DD394-2699-4149-8FF8-3A3A3818EC7F}"/>
    <cellStyle name="Normal 2 5 2 4 3" xfId="1549" xr:uid="{C21AC5FE-0F27-4EDA-8DBE-43321516D5B1}"/>
    <cellStyle name="Normal 2 5 2 4 3 2" xfId="4703" xr:uid="{BB668C6D-0F6E-428F-8DE8-AE4C68343E0E}"/>
    <cellStyle name="Normal 2 5 2 4 3 2 2" xfId="10996" xr:uid="{B94224A4-E26C-4D3E-AE90-2C6C776DF411}"/>
    <cellStyle name="Normal 2 5 2 4 3 2 2 2" xfId="23678" xr:uid="{A5A6A3C8-C454-48B2-ADC0-CE7A8125EE74}"/>
    <cellStyle name="Normal 2 5 2 4 3 2 2 2 2" xfId="49170" xr:uid="{04DD53E7-76AF-4A2D-A5D9-74CAE2534019}"/>
    <cellStyle name="Normal 2 5 2 4 3 2 2 3" xfId="36579" xr:uid="{E575D045-A9C8-4FB0-BD80-41794F527967}"/>
    <cellStyle name="Normal 2 5 2 4 3 2 3" xfId="17400" xr:uid="{530BF65F-D6A4-4742-BF6C-B6E2106747D9}"/>
    <cellStyle name="Normal 2 5 2 4 3 2 3 2" xfId="42892" xr:uid="{A44777B5-3150-4FCA-BC7F-6CAF7D622249}"/>
    <cellStyle name="Normal 2 5 2 4 3 2 4" xfId="30301" xr:uid="{1C86AD5A-25B4-47AD-8BE9-2BD93951D8D8}"/>
    <cellStyle name="Normal 2 5 2 4 3 3" xfId="7857" xr:uid="{09D03521-4CFA-4347-9BCD-DC95A1B96377}"/>
    <cellStyle name="Normal 2 5 2 4 3 3 2" xfId="20539" xr:uid="{A10F7C46-EFD7-4682-835A-BD5640BEDDA3}"/>
    <cellStyle name="Normal 2 5 2 4 3 3 2 2" xfId="46031" xr:uid="{E540EC7F-F00F-4372-8793-3577DECC9939}"/>
    <cellStyle name="Normal 2 5 2 4 3 3 3" xfId="33440" xr:uid="{43E3608B-B5DC-4BC8-8897-16B50612777A}"/>
    <cellStyle name="Normal 2 5 2 4 3 4" xfId="14261" xr:uid="{F17B1EAA-2FF5-4380-8725-C77E08B53370}"/>
    <cellStyle name="Normal 2 5 2 4 3 4 2" xfId="39753" xr:uid="{49385185-3C3D-4B06-BA23-9B68EEC88CD4}"/>
    <cellStyle name="Normal 2 5 2 4 3 5" xfId="27162" xr:uid="{123FE929-E1B5-4541-8620-7581A74260B3}"/>
    <cellStyle name="Normal 2 5 2 4 4" xfId="2856" xr:uid="{802D5883-C318-45C5-9B0A-4685652B5804}"/>
    <cellStyle name="Normal 2 5 2 4 4 2" xfId="6010" xr:uid="{60018533-CE35-4025-8A74-3849DB4111A6}"/>
    <cellStyle name="Normal 2 5 2 4 4 2 2" xfId="12303" xr:uid="{DC0E7128-8770-450A-8492-5F99EF351772}"/>
    <cellStyle name="Normal 2 5 2 4 4 2 2 2" xfId="24985" xr:uid="{D62024F4-7AE9-4E14-B7D2-5205AAD59B8B}"/>
    <cellStyle name="Normal 2 5 2 4 4 2 2 2 2" xfId="50477" xr:uid="{81854E68-9323-4C63-A6B0-C73630891DE7}"/>
    <cellStyle name="Normal 2 5 2 4 4 2 2 3" xfId="37886" xr:uid="{08288488-2E74-4B1C-A337-876AC8B98CFA}"/>
    <cellStyle name="Normal 2 5 2 4 4 2 3" xfId="18707" xr:uid="{FDD82CF7-7AD6-45F1-B746-092DBFB4CB4B}"/>
    <cellStyle name="Normal 2 5 2 4 4 2 3 2" xfId="44199" xr:uid="{91EF352C-5E43-4E7D-A53D-F4B7482E96D5}"/>
    <cellStyle name="Normal 2 5 2 4 4 2 4" xfId="31608" xr:uid="{96321E1D-5EE7-4A56-BD5D-759B21391A3D}"/>
    <cellStyle name="Normal 2 5 2 4 4 3" xfId="9164" xr:uid="{DCF14C6D-16EC-4CC1-A03D-A8BF488A377E}"/>
    <cellStyle name="Normal 2 5 2 4 4 3 2" xfId="21846" xr:uid="{D4EFD976-4BD7-4596-9412-E80BE3F0F70D}"/>
    <cellStyle name="Normal 2 5 2 4 4 3 2 2" xfId="47338" xr:uid="{AF5B8FAD-2B6A-4A89-8BE9-2AB63CE8AB21}"/>
    <cellStyle name="Normal 2 5 2 4 4 3 3" xfId="34747" xr:uid="{3356449A-C0EF-451E-8075-1815DFB2ACC1}"/>
    <cellStyle name="Normal 2 5 2 4 4 4" xfId="15568" xr:uid="{8D357454-248A-4799-8CC2-8C31AC8D6D6E}"/>
    <cellStyle name="Normal 2 5 2 4 4 4 2" xfId="41060" xr:uid="{CDE06360-01CF-4057-A761-E0025F711FE9}"/>
    <cellStyle name="Normal 2 5 2 4 4 5" xfId="28469" xr:uid="{9587443A-4279-47AC-BB1A-ED3219AEAD89}"/>
    <cellStyle name="Normal 2 5 2 4 5" xfId="3379" xr:uid="{7B1B7013-8781-40B5-9E25-E9E23587BA72}"/>
    <cellStyle name="Normal 2 5 2 4 5 2" xfId="6533" xr:uid="{9DEB4414-83AA-42DD-8CEF-08C1D393D0BE}"/>
    <cellStyle name="Normal 2 5 2 4 5 2 2" xfId="12826" xr:uid="{9D17ADC1-91DF-401F-B7CE-8D99BB178688}"/>
    <cellStyle name="Normal 2 5 2 4 5 2 2 2" xfId="25508" xr:uid="{5A54634A-2F2B-4869-BF27-5053EA315821}"/>
    <cellStyle name="Normal 2 5 2 4 5 2 2 2 2" xfId="51000" xr:uid="{711143AC-04D1-4A05-8238-C51730101A92}"/>
    <cellStyle name="Normal 2 5 2 4 5 2 2 3" xfId="38409" xr:uid="{90904270-E2B2-4AEB-ADDA-E1F5D4BE6ED7}"/>
    <cellStyle name="Normal 2 5 2 4 5 2 3" xfId="19230" xr:uid="{C1507834-F959-4BA1-A043-34FF7B74624C}"/>
    <cellStyle name="Normal 2 5 2 4 5 2 3 2" xfId="44722" xr:uid="{674BF98E-D612-47B7-ADA7-AF73F979C1D6}"/>
    <cellStyle name="Normal 2 5 2 4 5 2 4" xfId="32131" xr:uid="{60A0754A-BAC7-44B1-B763-9BEDF48435B5}"/>
    <cellStyle name="Normal 2 5 2 4 5 3" xfId="9687" xr:uid="{BB6A03DC-2BDC-4711-8DEC-3010FF30D543}"/>
    <cellStyle name="Normal 2 5 2 4 5 3 2" xfId="22369" xr:uid="{E8909398-F334-4534-BF57-F8072CD46CF4}"/>
    <cellStyle name="Normal 2 5 2 4 5 3 2 2" xfId="47861" xr:uid="{66871A73-6BE0-45A7-A017-0C89E195C216}"/>
    <cellStyle name="Normal 2 5 2 4 5 3 3" xfId="35270" xr:uid="{6115C231-654A-4910-B7F4-B009BCD6A620}"/>
    <cellStyle name="Normal 2 5 2 4 5 4" xfId="16091" xr:uid="{391F9D4B-6FA7-4466-8F7D-71423D425CE6}"/>
    <cellStyle name="Normal 2 5 2 4 5 4 2" xfId="41583" xr:uid="{67228AC1-5FDE-4BA2-AF12-864C43572300}"/>
    <cellStyle name="Normal 2 5 2 4 5 5" xfId="28992" xr:uid="{DD328481-73E8-41D4-92C2-10F08314E8A9}"/>
    <cellStyle name="Normal 2 5 2 4 6" xfId="4179" xr:uid="{55717D55-F5F8-46A1-A90A-AF36E438C924}"/>
    <cellStyle name="Normal 2 5 2 4 6 2" xfId="10472" xr:uid="{3A20B94A-E433-4D19-9A43-B1CD3ABC9639}"/>
    <cellStyle name="Normal 2 5 2 4 6 2 2" xfId="23154" xr:uid="{45C487A4-0B0E-4117-8D3A-6768C05897CD}"/>
    <cellStyle name="Normal 2 5 2 4 6 2 2 2" xfId="48646" xr:uid="{54801939-9F74-4082-9369-A8047BA79037}"/>
    <cellStyle name="Normal 2 5 2 4 6 2 3" xfId="36055" xr:uid="{596CEDC0-5B04-4CBB-869B-7F39FDEA298A}"/>
    <cellStyle name="Normal 2 5 2 4 6 3" xfId="16876" xr:uid="{4AD7B095-26E5-43A6-B10B-E57ADC38CAD6}"/>
    <cellStyle name="Normal 2 5 2 4 6 3 2" xfId="42368" xr:uid="{C57A022D-A7E1-4E5E-B51A-979E4FAE7AE8}"/>
    <cellStyle name="Normal 2 5 2 4 6 4" xfId="29777" xr:uid="{D31760FA-1BED-42BD-8A0D-157D114582A5}"/>
    <cellStyle name="Normal 2 5 2 4 7" xfId="7333" xr:uid="{92487FE2-4C01-456F-A78C-1D58F8CCE8AA}"/>
    <cellStyle name="Normal 2 5 2 4 7 2" xfId="20015" xr:uid="{79016193-ABAB-473B-BEFA-F31AB0773E1C}"/>
    <cellStyle name="Normal 2 5 2 4 7 2 2" xfId="45507" xr:uid="{7C714B5F-1E07-47F3-BDB1-ABA98E7F6D42}"/>
    <cellStyle name="Normal 2 5 2 4 7 3" xfId="32916" xr:uid="{E1E9200B-2BD0-41B3-81D0-7F02F41E1DC0}"/>
    <cellStyle name="Normal 2 5 2 4 8" xfId="13737" xr:uid="{D123EA61-9677-4019-B3B7-9A2B1C36AA6F}"/>
    <cellStyle name="Normal 2 5 2 4 8 2" xfId="39229" xr:uid="{DAE54492-4FB5-47B5-8F34-336637F6454F}"/>
    <cellStyle name="Normal 2 5 2 4 9" xfId="26638" xr:uid="{CC977D10-FC3D-4FD9-A755-47E34098F752}"/>
    <cellStyle name="Normal 2 5 2 5" xfId="765" xr:uid="{FDFA2F25-E4FC-414B-AE73-3DE9CFFACDE2}"/>
    <cellStyle name="Normal 2 5 2 5 2" xfId="2072" xr:uid="{66DE5CD5-4CFC-4131-AE0C-78401CD251EE}"/>
    <cellStyle name="Normal 2 5 2 5 2 2" xfId="5226" xr:uid="{E31A33BD-46D0-406C-BCA8-BDF260A5C3EA}"/>
    <cellStyle name="Normal 2 5 2 5 2 2 2" xfId="11519" xr:uid="{8AAEC98A-BD4C-4CDD-A7CF-83881C6DF233}"/>
    <cellStyle name="Normal 2 5 2 5 2 2 2 2" xfId="24201" xr:uid="{1151C6C2-694A-49DB-8725-95EFBC48924D}"/>
    <cellStyle name="Normal 2 5 2 5 2 2 2 2 2" xfId="49693" xr:uid="{8A2E01C4-24C6-4D5A-82E3-F3550868307C}"/>
    <cellStyle name="Normal 2 5 2 5 2 2 2 3" xfId="37102" xr:uid="{A5F7CE03-50E1-43BE-B6D5-C732F250D040}"/>
    <cellStyle name="Normal 2 5 2 5 2 2 3" xfId="17923" xr:uid="{D56D58AA-F7C3-4639-AEC4-D087C0398CFD}"/>
    <cellStyle name="Normal 2 5 2 5 2 2 3 2" xfId="43415" xr:uid="{ED58A72A-F960-4466-9360-155E7916696D}"/>
    <cellStyle name="Normal 2 5 2 5 2 2 4" xfId="30824" xr:uid="{582AAEF1-382C-4ADA-9C1A-E1085305175B}"/>
    <cellStyle name="Normal 2 5 2 5 2 3" xfId="8380" xr:uid="{C3D4C6FE-93E8-4CD2-8F82-ECCFB97D6A64}"/>
    <cellStyle name="Normal 2 5 2 5 2 3 2" xfId="21062" xr:uid="{7F526CC0-A115-49C8-9CF0-8520DFD79740}"/>
    <cellStyle name="Normal 2 5 2 5 2 3 2 2" xfId="46554" xr:uid="{3259988A-77B0-4BED-8743-4F52D4A0FD79}"/>
    <cellStyle name="Normal 2 5 2 5 2 3 3" xfId="33963" xr:uid="{47A94D8D-3A82-40C5-BD83-E9BEAFA84CC1}"/>
    <cellStyle name="Normal 2 5 2 5 2 4" xfId="14784" xr:uid="{ACCB4581-755A-4C88-8D3E-EFF2DC651355}"/>
    <cellStyle name="Normal 2 5 2 5 2 4 2" xfId="40276" xr:uid="{28440282-5A21-439C-BBF5-F85885336532}"/>
    <cellStyle name="Normal 2 5 2 5 2 5" xfId="27685" xr:uid="{BA315AEC-675E-4F4D-AF43-F15F39C2BB79}"/>
    <cellStyle name="Normal 2 5 2 5 3" xfId="3919" xr:uid="{42CF8D4A-2232-4BD2-818E-CC068261CA92}"/>
    <cellStyle name="Normal 2 5 2 5 3 2" xfId="10212" xr:uid="{5C4E1D0F-96E8-4DE0-A6E1-02B582E5F4CB}"/>
    <cellStyle name="Normal 2 5 2 5 3 2 2" xfId="22894" xr:uid="{F4B71852-7244-4ED7-89D3-4BCC260D137F}"/>
    <cellStyle name="Normal 2 5 2 5 3 2 2 2" xfId="48386" xr:uid="{43C5B577-818A-4C0B-ABC4-4FBDD721F5CE}"/>
    <cellStyle name="Normal 2 5 2 5 3 2 3" xfId="35795" xr:uid="{0DA57AAB-902F-4CCC-9FBB-866766FB0ECD}"/>
    <cellStyle name="Normal 2 5 2 5 3 3" xfId="16616" xr:uid="{17F07EDA-7840-4737-B200-403E62AF136B}"/>
    <cellStyle name="Normal 2 5 2 5 3 3 2" xfId="42108" xr:uid="{818D86BA-E1A3-4B6F-9909-2E2E18C45DE8}"/>
    <cellStyle name="Normal 2 5 2 5 3 4" xfId="29517" xr:uid="{374B967D-8E7A-44E8-89E8-990F425C2579}"/>
    <cellStyle name="Normal 2 5 2 5 4" xfId="7073" xr:uid="{0F06729F-1343-44F0-AD83-553D04637AF4}"/>
    <cellStyle name="Normal 2 5 2 5 4 2" xfId="19755" xr:uid="{1CC02C57-2158-4EC4-90F4-DFEAFD660CFF}"/>
    <cellStyle name="Normal 2 5 2 5 4 2 2" xfId="45247" xr:uid="{5A4C4558-C5A8-4AB1-B53E-B6F8C98BD11A}"/>
    <cellStyle name="Normal 2 5 2 5 4 3" xfId="32656" xr:uid="{272B773F-883D-4538-86F5-15E0FFA32275}"/>
    <cellStyle name="Normal 2 5 2 5 5" xfId="13477" xr:uid="{873B1BEC-D1FF-41C3-AAF6-75FEDA30CA7F}"/>
    <cellStyle name="Normal 2 5 2 5 5 2" xfId="38969" xr:uid="{767ED285-FC42-489A-98BC-F728C0D39450}"/>
    <cellStyle name="Normal 2 5 2 5 6" xfId="26378" xr:uid="{257CB2B0-8144-456F-B30A-76566106AA17}"/>
    <cellStyle name="Normal 2 5 2 6" xfId="1810" xr:uid="{FAEEC695-2B82-4B42-B7AD-4BA14611FC20}"/>
    <cellStyle name="Normal 2 5 2 6 2" xfId="4964" xr:uid="{D202E145-E410-468F-A434-47B15BFC5145}"/>
    <cellStyle name="Normal 2 5 2 6 2 2" xfId="11257" xr:uid="{ACA84B95-EB42-46C9-9DE3-7342A20D1FD9}"/>
    <cellStyle name="Normal 2 5 2 6 2 2 2" xfId="23939" xr:uid="{0E245733-8F56-4DEA-B6F8-2F559E89D2B5}"/>
    <cellStyle name="Normal 2 5 2 6 2 2 2 2" xfId="49431" xr:uid="{F8EC4DA2-BE60-493D-ABB7-D4952FDFD77E}"/>
    <cellStyle name="Normal 2 5 2 6 2 2 3" xfId="36840" xr:uid="{36E6C682-12B2-4B8F-AFF0-659DF59CE0D5}"/>
    <cellStyle name="Normal 2 5 2 6 2 3" xfId="17661" xr:uid="{7E61D4B6-18CB-499E-81C6-42A3EB8FF6D9}"/>
    <cellStyle name="Normal 2 5 2 6 2 3 2" xfId="43153" xr:uid="{D26A2CCD-7327-401B-9F6C-E862350E9330}"/>
    <cellStyle name="Normal 2 5 2 6 2 4" xfId="30562" xr:uid="{F6BD08B0-5E97-4E4C-96F3-C09C0F97A9A2}"/>
    <cellStyle name="Normal 2 5 2 6 3" xfId="8118" xr:uid="{FEB6FD8E-CA85-4393-86ED-399447DA4FDD}"/>
    <cellStyle name="Normal 2 5 2 6 3 2" xfId="20800" xr:uid="{97A63424-4A0E-4367-8DD8-912A79A53170}"/>
    <cellStyle name="Normal 2 5 2 6 3 2 2" xfId="46292" xr:uid="{97D71D73-9305-438A-8A31-5A2D1FC041BA}"/>
    <cellStyle name="Normal 2 5 2 6 3 3" xfId="33701" xr:uid="{26A2B1B9-8DB9-4423-97A7-452A60C1E2C3}"/>
    <cellStyle name="Normal 2 5 2 6 4" xfId="14522" xr:uid="{4329EE21-9B84-4067-B205-4F32B8EEB698}"/>
    <cellStyle name="Normal 2 5 2 6 4 2" xfId="40014" xr:uid="{9FA07B84-A4C7-4FEB-88E6-C65A41729D38}"/>
    <cellStyle name="Normal 2 5 2 6 5" xfId="27423" xr:uid="{EDA97564-95E6-4F43-892A-E676B0B87747}"/>
    <cellStyle name="Normal 2 5 2 7" xfId="1288" xr:uid="{ACF265B4-53A1-4E51-9311-B9EF709AB46E}"/>
    <cellStyle name="Normal 2 5 2 7 2" xfId="4442" xr:uid="{A361BAD9-CB31-436F-AF31-9823F4913F8C}"/>
    <cellStyle name="Normal 2 5 2 7 2 2" xfId="10735" xr:uid="{0FA63C79-013A-4E13-AC89-7C985BCB3742}"/>
    <cellStyle name="Normal 2 5 2 7 2 2 2" xfId="23417" xr:uid="{CB0D2370-EE21-4034-98DB-D5BC026726F1}"/>
    <cellStyle name="Normal 2 5 2 7 2 2 2 2" xfId="48909" xr:uid="{322B3A9D-3E15-486A-A51E-6A7B02CA12DC}"/>
    <cellStyle name="Normal 2 5 2 7 2 2 3" xfId="36318" xr:uid="{C26E89E1-A9E0-4959-9434-A6B5B27F4FA9}"/>
    <cellStyle name="Normal 2 5 2 7 2 3" xfId="17139" xr:uid="{96A42E24-E8AA-4DE4-8429-D68A15B9A83D}"/>
    <cellStyle name="Normal 2 5 2 7 2 3 2" xfId="42631" xr:uid="{E26C1E8E-105B-469C-A705-87CE6403FFA9}"/>
    <cellStyle name="Normal 2 5 2 7 2 4" xfId="30040" xr:uid="{26AB4C8B-C2FD-4D26-A1CC-5A516EFDB11B}"/>
    <cellStyle name="Normal 2 5 2 7 3" xfId="7596" xr:uid="{C6B615B9-F47D-4735-BD5E-1A8EBA510F51}"/>
    <cellStyle name="Normal 2 5 2 7 3 2" xfId="20278" xr:uid="{0040D761-C61E-4375-B526-7605349F044D}"/>
    <cellStyle name="Normal 2 5 2 7 3 2 2" xfId="45770" xr:uid="{E89CAC73-0F16-416A-9403-5645E673D5C8}"/>
    <cellStyle name="Normal 2 5 2 7 3 3" xfId="33179" xr:uid="{685ECC96-FBCC-429F-86B0-077A88F5668E}"/>
    <cellStyle name="Normal 2 5 2 7 4" xfId="14000" xr:uid="{F6046AA6-853E-4231-A50E-09688938F158}"/>
    <cellStyle name="Normal 2 5 2 7 4 2" xfId="39492" xr:uid="{B46A2AF6-FE5F-4121-A377-1280CF9654C0}"/>
    <cellStyle name="Normal 2 5 2 7 5" xfId="26901" xr:uid="{8FD09475-283E-4117-BF6D-215883D6B535}"/>
    <cellStyle name="Normal 2 5 2 8" xfId="2595" xr:uid="{76CCFEEE-7155-44FB-AF06-2A3F76C2E78B}"/>
    <cellStyle name="Normal 2 5 2 8 2" xfId="5749" xr:uid="{BCD92297-5D46-4CA3-A09D-52C71057CCC1}"/>
    <cellStyle name="Normal 2 5 2 8 2 2" xfId="12042" xr:uid="{17D7B827-4694-4944-B84B-B37242727328}"/>
    <cellStyle name="Normal 2 5 2 8 2 2 2" xfId="24724" xr:uid="{542FA981-B26D-4FA2-BF4D-CC4E5A7EB55B}"/>
    <cellStyle name="Normal 2 5 2 8 2 2 2 2" xfId="50216" xr:uid="{58F6FE3A-5618-4F01-A92C-0695117625DE}"/>
    <cellStyle name="Normal 2 5 2 8 2 2 3" xfId="37625" xr:uid="{83AE67CB-D28C-4F25-818D-1B5A54F4D000}"/>
    <cellStyle name="Normal 2 5 2 8 2 3" xfId="18446" xr:uid="{79E67168-2F02-4821-AB25-B982305C4566}"/>
    <cellStyle name="Normal 2 5 2 8 2 3 2" xfId="43938" xr:uid="{25F9B53A-5FC1-4A88-B4F7-4CA7090E437C}"/>
    <cellStyle name="Normal 2 5 2 8 2 4" xfId="31347" xr:uid="{B69FABF7-FF72-4353-BD6E-EDAB4E54D62E}"/>
    <cellStyle name="Normal 2 5 2 8 3" xfId="8903" xr:uid="{0BBE9B65-7120-45AC-ACCB-68ECC0E635D5}"/>
    <cellStyle name="Normal 2 5 2 8 3 2" xfId="21585" xr:uid="{5B4B4D80-0119-4B7B-B9FC-A130CED80CF5}"/>
    <cellStyle name="Normal 2 5 2 8 3 2 2" xfId="47077" xr:uid="{71A3FDEF-8CFB-4CE0-BBDF-5596D2C6EE33}"/>
    <cellStyle name="Normal 2 5 2 8 3 3" xfId="34486" xr:uid="{22AC6F8D-8F73-43B3-83CA-874C2826465D}"/>
    <cellStyle name="Normal 2 5 2 8 4" xfId="15307" xr:uid="{FCAFBB79-E8CC-4527-9657-E901A7AC1A62}"/>
    <cellStyle name="Normal 2 5 2 8 4 2" xfId="40799" xr:uid="{A92D10DB-4366-4BD8-B49A-13ACA169221F}"/>
    <cellStyle name="Normal 2 5 2 8 5" xfId="28208" xr:uid="{A3824201-B1DE-4CE0-9CAA-63620363E9AD}"/>
    <cellStyle name="Normal 2 5 2 9" xfId="3118" xr:uid="{14E1E037-B800-4C79-BDC2-C19075C058BC}"/>
    <cellStyle name="Normal 2 5 2 9 2" xfId="6272" xr:uid="{80E3CED6-3F2B-4B30-8739-9F3C7E892D36}"/>
    <cellStyle name="Normal 2 5 2 9 2 2" xfId="12565" xr:uid="{8BF4DFEC-4A41-4246-A00E-73FD787EF5AC}"/>
    <cellStyle name="Normal 2 5 2 9 2 2 2" xfId="25247" xr:uid="{5C62DD66-F5C3-4357-B12C-5FC185CBC6AB}"/>
    <cellStyle name="Normal 2 5 2 9 2 2 2 2" xfId="50739" xr:uid="{02C94624-9E92-4A44-912A-ED42572EAF49}"/>
    <cellStyle name="Normal 2 5 2 9 2 2 3" xfId="38148" xr:uid="{B506CF73-60B3-4867-9F3B-22578AC08C7D}"/>
    <cellStyle name="Normal 2 5 2 9 2 3" xfId="18969" xr:uid="{15D26D88-2F06-42EA-9F65-110B311E0DFC}"/>
    <cellStyle name="Normal 2 5 2 9 2 3 2" xfId="44461" xr:uid="{0EE04096-1FBE-4143-809E-58704EE92B6D}"/>
    <cellStyle name="Normal 2 5 2 9 2 4" xfId="31870" xr:uid="{8A700497-FCD7-419C-84F4-FA648723E601}"/>
    <cellStyle name="Normal 2 5 2 9 3" xfId="9426" xr:uid="{AB4CE8F4-AEDB-49AD-BE39-160A841A5CFD}"/>
    <cellStyle name="Normal 2 5 2 9 3 2" xfId="22108" xr:uid="{C2E43609-BFB7-4C8C-9D81-D395A5B697DF}"/>
    <cellStyle name="Normal 2 5 2 9 3 2 2" xfId="47600" xr:uid="{D9E6A62B-63F8-430D-A183-ED6E190D2F2E}"/>
    <cellStyle name="Normal 2 5 2 9 3 3" xfId="35009" xr:uid="{7C505F23-F778-4E94-9F8B-65C875EE9C1E}"/>
    <cellStyle name="Normal 2 5 2 9 4" xfId="15830" xr:uid="{6B344E2D-E891-435E-AD07-01C58A5B83E1}"/>
    <cellStyle name="Normal 2 5 2 9 4 2" xfId="41322" xr:uid="{828B82F8-CA8C-4A31-AEE9-8FEA0BB6C8C3}"/>
    <cellStyle name="Normal 2 5 2 9 5" xfId="28731" xr:uid="{181DB6D9-F0C1-4A28-B764-2F4DBD8EAE79}"/>
    <cellStyle name="Normal 2 5 3" xfId="449" xr:uid="{69B8531B-1573-4FBA-9A40-C8F57D08C181}"/>
    <cellStyle name="Normal 2 5 3 10" xfId="6772" xr:uid="{EDBB8B9B-3A9F-482E-815B-5010033B95BC}"/>
    <cellStyle name="Normal 2 5 3 10 2" xfId="19454" xr:uid="{6CDE3439-E1E0-4C74-9CE9-05F18E970556}"/>
    <cellStyle name="Normal 2 5 3 10 2 2" xfId="44946" xr:uid="{F3D7C603-70A0-4759-8406-11CDB39ECBAC}"/>
    <cellStyle name="Normal 2 5 3 10 3" xfId="32355" xr:uid="{84A73BD7-0FC5-435C-A826-65FA5644F34F}"/>
    <cellStyle name="Normal 2 5 3 11" xfId="13176" xr:uid="{0702419D-5A81-4B86-9378-FC2EF689AFC8}"/>
    <cellStyle name="Normal 2 5 3 11 2" xfId="38668" xr:uid="{2DA72D34-BF53-497F-91AF-BF2673790417}"/>
    <cellStyle name="Normal 2 5 3 12" xfId="26077" xr:uid="{0D9AA2F0-FB52-4896-A80B-F6EAABC11359}"/>
    <cellStyle name="Normal 2 5 3 2" xfId="608" xr:uid="{9593968A-9C5B-41DC-82B4-879E77DCC0BC}"/>
    <cellStyle name="Normal 2 5 3 2 10" xfId="13335" xr:uid="{F4217AD7-7949-44CD-A356-080980CD8097}"/>
    <cellStyle name="Normal 2 5 3 2 10 2" xfId="38827" xr:uid="{161952EE-165E-4289-87F3-5A8F86D64D8C}"/>
    <cellStyle name="Normal 2 5 3 2 11" xfId="26236" xr:uid="{6913CCAB-9C64-4DF1-A44E-7C2EB90B74FE}"/>
    <cellStyle name="Normal 2 5 3 2 2" xfId="1145" xr:uid="{5A01D560-4C5E-4667-BDAF-95007A86F568}"/>
    <cellStyle name="Normal 2 5 3 2 2 2" xfId="2452" xr:uid="{6E541B4B-0977-43D3-B014-5E8FAEAD5A82}"/>
    <cellStyle name="Normal 2 5 3 2 2 2 2" xfId="5606" xr:uid="{C2195203-3B88-4642-B92A-8ED5BF70A556}"/>
    <cellStyle name="Normal 2 5 3 2 2 2 2 2" xfId="11899" xr:uid="{8CCE6579-87C2-4462-B7F2-6DD194405A89}"/>
    <cellStyle name="Normal 2 5 3 2 2 2 2 2 2" xfId="24581" xr:uid="{0D58BDAC-C536-42B4-84BA-BE3F0C449D4D}"/>
    <cellStyle name="Normal 2 5 3 2 2 2 2 2 2 2" xfId="50073" xr:uid="{1654F215-48C6-45F0-B4CB-F8E6FC26D455}"/>
    <cellStyle name="Normal 2 5 3 2 2 2 2 2 3" xfId="37482" xr:uid="{7CF890F6-09E9-4294-948C-1907816B2EB8}"/>
    <cellStyle name="Normal 2 5 3 2 2 2 2 3" xfId="18303" xr:uid="{DE2D43F5-5BE5-437A-A301-7B6B4FDC9929}"/>
    <cellStyle name="Normal 2 5 3 2 2 2 2 3 2" xfId="43795" xr:uid="{27156751-D88D-473C-A852-309F2643C68C}"/>
    <cellStyle name="Normal 2 5 3 2 2 2 2 4" xfId="31204" xr:uid="{6816DB67-28BF-4FCB-BF06-F8BDDDF61DA3}"/>
    <cellStyle name="Normal 2 5 3 2 2 2 3" xfId="8760" xr:uid="{BDF45101-6EE7-494B-9D9B-B784B6A3D9FC}"/>
    <cellStyle name="Normal 2 5 3 2 2 2 3 2" xfId="21442" xr:uid="{E4D1B55B-0C15-416B-99FE-1148C59DE4C5}"/>
    <cellStyle name="Normal 2 5 3 2 2 2 3 2 2" xfId="46934" xr:uid="{64F09377-2315-4A11-9B64-D732AAC214EC}"/>
    <cellStyle name="Normal 2 5 3 2 2 2 3 3" xfId="34343" xr:uid="{5501FE04-BB79-4F1E-A101-B72A9F2EC025}"/>
    <cellStyle name="Normal 2 5 3 2 2 2 4" xfId="15164" xr:uid="{D52335D0-C49F-4A8E-883D-33C382D317A8}"/>
    <cellStyle name="Normal 2 5 3 2 2 2 4 2" xfId="40656" xr:uid="{1B5964C8-3937-4EFA-9EA7-354F4CDAB6BE}"/>
    <cellStyle name="Normal 2 5 3 2 2 2 5" xfId="28065" xr:uid="{524A16AA-CB59-43E8-9899-7E164522B5E7}"/>
    <cellStyle name="Normal 2 5 3 2 2 3" xfId="1669" xr:uid="{677DD6BE-CA4E-4985-8937-D3C2742CDB2A}"/>
    <cellStyle name="Normal 2 5 3 2 2 3 2" xfId="4823" xr:uid="{7FB8FDF1-C324-4903-A1C9-89E2A88CFDD7}"/>
    <cellStyle name="Normal 2 5 3 2 2 3 2 2" xfId="11116" xr:uid="{4BD40DFF-2582-4C77-AE98-B207A1D5F3AE}"/>
    <cellStyle name="Normal 2 5 3 2 2 3 2 2 2" xfId="23798" xr:uid="{4EE7CD49-908B-40C3-989B-AA6C4FF23790}"/>
    <cellStyle name="Normal 2 5 3 2 2 3 2 2 2 2" xfId="49290" xr:uid="{62E0974C-0566-45AC-94B7-B395F30BABC8}"/>
    <cellStyle name="Normal 2 5 3 2 2 3 2 2 3" xfId="36699" xr:uid="{70354760-FCBF-49D9-BE9F-E90DBE8F3B05}"/>
    <cellStyle name="Normal 2 5 3 2 2 3 2 3" xfId="17520" xr:uid="{2FA07FCF-D867-4F03-93F2-46C774FBC8B4}"/>
    <cellStyle name="Normal 2 5 3 2 2 3 2 3 2" xfId="43012" xr:uid="{92F7D01D-DF79-4DCA-9332-782761826B96}"/>
    <cellStyle name="Normal 2 5 3 2 2 3 2 4" xfId="30421" xr:uid="{2A0CACDF-1741-4934-9A73-23A37D7CF841}"/>
    <cellStyle name="Normal 2 5 3 2 2 3 3" xfId="7977" xr:uid="{04DAF734-9074-42D9-A8F5-0F843CE81329}"/>
    <cellStyle name="Normal 2 5 3 2 2 3 3 2" xfId="20659" xr:uid="{A337DECF-701E-4B42-BF4B-25AFBF1EBC63}"/>
    <cellStyle name="Normal 2 5 3 2 2 3 3 2 2" xfId="46151" xr:uid="{0624AC01-DDF1-4E8A-B728-C649B69E1A4C}"/>
    <cellStyle name="Normal 2 5 3 2 2 3 3 3" xfId="33560" xr:uid="{1DEEC7D7-1F78-48D7-92EF-AB5C3A2337F9}"/>
    <cellStyle name="Normal 2 5 3 2 2 3 4" xfId="14381" xr:uid="{7E208504-632D-41D9-972A-A6F4DAD25068}"/>
    <cellStyle name="Normal 2 5 3 2 2 3 4 2" xfId="39873" xr:uid="{6A25C03B-3FE7-44CC-BEDC-15715C1DB5B9}"/>
    <cellStyle name="Normal 2 5 3 2 2 3 5" xfId="27282" xr:uid="{92AA8E5E-56C2-4101-95F6-5231FE6C3A38}"/>
    <cellStyle name="Normal 2 5 3 2 2 4" xfId="2976" xr:uid="{C35D7741-657B-4B32-A5B3-4715E319C129}"/>
    <cellStyle name="Normal 2 5 3 2 2 4 2" xfId="6130" xr:uid="{0ADEFECF-F830-4304-B2A4-A82CA82A5018}"/>
    <cellStyle name="Normal 2 5 3 2 2 4 2 2" xfId="12423" xr:uid="{303A338D-7C95-425A-8580-732F5AA9E327}"/>
    <cellStyle name="Normal 2 5 3 2 2 4 2 2 2" xfId="25105" xr:uid="{5C6CDF13-C599-49CF-A862-EA44EC6915A0}"/>
    <cellStyle name="Normal 2 5 3 2 2 4 2 2 2 2" xfId="50597" xr:uid="{912982F8-D421-433C-9124-8CE393210FEF}"/>
    <cellStyle name="Normal 2 5 3 2 2 4 2 2 3" xfId="38006" xr:uid="{689888A1-2661-47A9-93A9-2B8A6575D3FC}"/>
    <cellStyle name="Normal 2 5 3 2 2 4 2 3" xfId="18827" xr:uid="{705626A3-72AF-4AAA-B1D7-CD46E6B23696}"/>
    <cellStyle name="Normal 2 5 3 2 2 4 2 3 2" xfId="44319" xr:uid="{E5D1D95A-622E-4CC3-A312-029C27BEF08B}"/>
    <cellStyle name="Normal 2 5 3 2 2 4 2 4" xfId="31728" xr:uid="{06A2A36C-0CF5-4162-BA1B-25D11BB9E79C}"/>
    <cellStyle name="Normal 2 5 3 2 2 4 3" xfId="9284" xr:uid="{A7557DF2-6003-4867-BBC9-BA376F81A025}"/>
    <cellStyle name="Normal 2 5 3 2 2 4 3 2" xfId="21966" xr:uid="{3B4B987C-136F-4173-8674-4693DCA1CD73}"/>
    <cellStyle name="Normal 2 5 3 2 2 4 3 2 2" xfId="47458" xr:uid="{970873E8-5C07-4AA0-80FD-245C9081E18A}"/>
    <cellStyle name="Normal 2 5 3 2 2 4 3 3" xfId="34867" xr:uid="{054B4E77-303E-4249-B867-C19C0DD9FD9F}"/>
    <cellStyle name="Normal 2 5 3 2 2 4 4" xfId="15688" xr:uid="{91096DC6-1260-4EEB-BCFD-2492A9D75B04}"/>
    <cellStyle name="Normal 2 5 3 2 2 4 4 2" xfId="41180" xr:uid="{429E838E-707D-4A3C-9907-65140F4239F4}"/>
    <cellStyle name="Normal 2 5 3 2 2 4 5" xfId="28589" xr:uid="{85A3D069-7424-4D98-B0E7-0851D02B7ABC}"/>
    <cellStyle name="Normal 2 5 3 2 2 5" xfId="3499" xr:uid="{CB8B7BAF-2822-4DE5-9A80-4627178E78AE}"/>
    <cellStyle name="Normal 2 5 3 2 2 5 2" xfId="6653" xr:uid="{0618F334-1EAB-49AF-AB82-67A0BF69E859}"/>
    <cellStyle name="Normal 2 5 3 2 2 5 2 2" xfId="12946" xr:uid="{92A6839C-2E13-4DC0-A189-073B6620818D}"/>
    <cellStyle name="Normal 2 5 3 2 2 5 2 2 2" xfId="25628" xr:uid="{822F04CB-5873-4D8B-AD22-6018BA17D6D3}"/>
    <cellStyle name="Normal 2 5 3 2 2 5 2 2 2 2" xfId="51120" xr:uid="{A2A9DFB5-B6BF-4DB1-936A-1B22D330F1EB}"/>
    <cellStyle name="Normal 2 5 3 2 2 5 2 2 3" xfId="38529" xr:uid="{348EFBDF-DE50-4168-B977-ABDD5ED08BFD}"/>
    <cellStyle name="Normal 2 5 3 2 2 5 2 3" xfId="19350" xr:uid="{0EF4C553-82BA-4DC2-9315-1B9250ACD798}"/>
    <cellStyle name="Normal 2 5 3 2 2 5 2 3 2" xfId="44842" xr:uid="{B3F871A2-C28C-423A-AAFE-FECB1C529096}"/>
    <cellStyle name="Normal 2 5 3 2 2 5 2 4" xfId="32251" xr:uid="{64A4ED15-2FF4-429A-ACC7-12A240AF4441}"/>
    <cellStyle name="Normal 2 5 3 2 2 5 3" xfId="9807" xr:uid="{D69A79A9-E3DD-4743-B924-097645EA3CE2}"/>
    <cellStyle name="Normal 2 5 3 2 2 5 3 2" xfId="22489" xr:uid="{8105C877-1507-4FCF-94A3-F63C34AB0594}"/>
    <cellStyle name="Normal 2 5 3 2 2 5 3 2 2" xfId="47981" xr:uid="{C6FE1E4E-6BA2-4776-AE11-A465531432EB}"/>
    <cellStyle name="Normal 2 5 3 2 2 5 3 3" xfId="35390" xr:uid="{A1FBA1A2-74FD-498E-AB1C-787BD93ED5F0}"/>
    <cellStyle name="Normal 2 5 3 2 2 5 4" xfId="16211" xr:uid="{72A34B82-0955-443C-9866-9AF280434C77}"/>
    <cellStyle name="Normal 2 5 3 2 2 5 4 2" xfId="41703" xr:uid="{30ECBA6F-E4BB-4331-A914-10CF03B0C9D8}"/>
    <cellStyle name="Normal 2 5 3 2 2 5 5" xfId="29112" xr:uid="{C32492AB-FEBE-4247-B250-4CD99DD35BE6}"/>
    <cellStyle name="Normal 2 5 3 2 2 6" xfId="4299" xr:uid="{6495AE96-D03E-4DBE-8DE3-4B9BA76973E5}"/>
    <cellStyle name="Normal 2 5 3 2 2 6 2" xfId="10592" xr:uid="{A112A487-A637-4A77-8CF7-9B701AB8A26B}"/>
    <cellStyle name="Normal 2 5 3 2 2 6 2 2" xfId="23274" xr:uid="{9BB33807-B6EF-422B-B297-12D95E4FA201}"/>
    <cellStyle name="Normal 2 5 3 2 2 6 2 2 2" xfId="48766" xr:uid="{7CB115D9-F639-4739-AC4D-1C24BE663176}"/>
    <cellStyle name="Normal 2 5 3 2 2 6 2 3" xfId="36175" xr:uid="{EC1F4605-7656-44BC-9359-4C84178F12FB}"/>
    <cellStyle name="Normal 2 5 3 2 2 6 3" xfId="16996" xr:uid="{FB4FA909-101A-455F-95B8-456E710748E0}"/>
    <cellStyle name="Normal 2 5 3 2 2 6 3 2" xfId="42488" xr:uid="{B28B94A2-62E5-4020-893A-3F5E78C461EB}"/>
    <cellStyle name="Normal 2 5 3 2 2 6 4" xfId="29897" xr:uid="{B896305F-7A73-4A62-8F51-4FF61002E548}"/>
    <cellStyle name="Normal 2 5 3 2 2 7" xfId="7453" xr:uid="{DD909825-A314-45F5-97A5-C30CFF1A34F2}"/>
    <cellStyle name="Normal 2 5 3 2 2 7 2" xfId="20135" xr:uid="{331B6F5A-6E09-446E-8888-391336A3C635}"/>
    <cellStyle name="Normal 2 5 3 2 2 7 2 2" xfId="45627" xr:uid="{F66BE728-A720-4350-9300-8811255BE417}"/>
    <cellStyle name="Normal 2 5 3 2 2 7 3" xfId="33036" xr:uid="{5305E400-0D10-4236-81D7-207025BA8373}"/>
    <cellStyle name="Normal 2 5 3 2 2 8" xfId="13857" xr:uid="{1AF608BB-3A4E-4747-8296-941730C05F9C}"/>
    <cellStyle name="Normal 2 5 3 2 2 8 2" xfId="39349" xr:uid="{198EB540-961E-429A-916D-5F2836160AC9}"/>
    <cellStyle name="Normal 2 5 3 2 2 9" xfId="26758" xr:uid="{2F64DFE4-916A-489D-AB00-CAB3879A7453}"/>
    <cellStyle name="Normal 2 5 3 2 3" xfId="885" xr:uid="{446293F0-5552-420E-98CA-7E781CD6ADA3}"/>
    <cellStyle name="Normal 2 5 3 2 3 2" xfId="2192" xr:uid="{7D9C687C-A81F-411B-8687-A3434D7B5108}"/>
    <cellStyle name="Normal 2 5 3 2 3 2 2" xfId="5346" xr:uid="{E282A471-EF36-4175-BE62-991601D8BDED}"/>
    <cellStyle name="Normal 2 5 3 2 3 2 2 2" xfId="11639" xr:uid="{91D3D073-8F73-4D85-9D4E-E2C28F8954F4}"/>
    <cellStyle name="Normal 2 5 3 2 3 2 2 2 2" xfId="24321" xr:uid="{E738ED68-2A5C-4A1A-9F77-DA74A6034B56}"/>
    <cellStyle name="Normal 2 5 3 2 3 2 2 2 2 2" xfId="49813" xr:uid="{AE281BCF-1216-4867-A936-5CB58764B597}"/>
    <cellStyle name="Normal 2 5 3 2 3 2 2 2 3" xfId="37222" xr:uid="{E505990F-D57C-47DE-9391-03B940A877DA}"/>
    <cellStyle name="Normal 2 5 3 2 3 2 2 3" xfId="18043" xr:uid="{9E8EEDEF-513D-4113-AD4E-045558E9D610}"/>
    <cellStyle name="Normal 2 5 3 2 3 2 2 3 2" xfId="43535" xr:uid="{5857F8A5-C734-4637-B91C-5D33500A21A4}"/>
    <cellStyle name="Normal 2 5 3 2 3 2 2 4" xfId="30944" xr:uid="{0CA20356-F652-49EF-929F-6057F565AD84}"/>
    <cellStyle name="Normal 2 5 3 2 3 2 3" xfId="8500" xr:uid="{AC86FB85-619B-4957-AA10-4D490CD8FA8B}"/>
    <cellStyle name="Normal 2 5 3 2 3 2 3 2" xfId="21182" xr:uid="{465DB2DC-F306-471F-A703-C6C594F5E964}"/>
    <cellStyle name="Normal 2 5 3 2 3 2 3 2 2" xfId="46674" xr:uid="{917647BB-DD3C-48CE-B302-30D4EB555CE7}"/>
    <cellStyle name="Normal 2 5 3 2 3 2 3 3" xfId="34083" xr:uid="{0E825BBD-7BF3-4551-8B8D-DFCF051734ED}"/>
    <cellStyle name="Normal 2 5 3 2 3 2 4" xfId="14904" xr:uid="{80C0A6A1-322F-43A5-96B4-1374B39411BC}"/>
    <cellStyle name="Normal 2 5 3 2 3 2 4 2" xfId="40396" xr:uid="{F7ABED70-8CBD-4A5D-8530-61995A52E613}"/>
    <cellStyle name="Normal 2 5 3 2 3 2 5" xfId="27805" xr:uid="{D0303AC0-627E-4C5D-AC7E-EC818C78FEDA}"/>
    <cellStyle name="Normal 2 5 3 2 3 3" xfId="4039" xr:uid="{64151393-8F73-4B9F-872E-50A686E1AD43}"/>
    <cellStyle name="Normal 2 5 3 2 3 3 2" xfId="10332" xr:uid="{67984115-710F-4F41-A024-42C4230C4776}"/>
    <cellStyle name="Normal 2 5 3 2 3 3 2 2" xfId="23014" xr:uid="{531BFDB6-C862-48EC-9708-7DAE2E350B1A}"/>
    <cellStyle name="Normal 2 5 3 2 3 3 2 2 2" xfId="48506" xr:uid="{DA8E3DFA-792A-4B48-92EE-62CE2240BB38}"/>
    <cellStyle name="Normal 2 5 3 2 3 3 2 3" xfId="35915" xr:uid="{C7667147-A63E-4B07-8BBB-B245AA7BF558}"/>
    <cellStyle name="Normal 2 5 3 2 3 3 3" xfId="16736" xr:uid="{442CF136-1776-4F57-97A7-A3FDEFBDF871}"/>
    <cellStyle name="Normal 2 5 3 2 3 3 3 2" xfId="42228" xr:uid="{80A3458D-B756-4A24-9223-7CBD6919B104}"/>
    <cellStyle name="Normal 2 5 3 2 3 3 4" xfId="29637" xr:uid="{B8963DBC-41B2-4299-9DA1-28D3E96762D5}"/>
    <cellStyle name="Normal 2 5 3 2 3 4" xfId="7193" xr:uid="{8DA86682-FE01-4F09-863B-EBA8450DBA1E}"/>
    <cellStyle name="Normal 2 5 3 2 3 4 2" xfId="19875" xr:uid="{541A814A-9185-4E7E-85EB-5AC605F07718}"/>
    <cellStyle name="Normal 2 5 3 2 3 4 2 2" xfId="45367" xr:uid="{FE1E0690-C659-481E-A32A-642DC2EB1CE2}"/>
    <cellStyle name="Normal 2 5 3 2 3 4 3" xfId="32776" xr:uid="{4293B33B-A773-4EE4-BA0E-C389D5BCF025}"/>
    <cellStyle name="Normal 2 5 3 2 3 5" xfId="13597" xr:uid="{57228D3D-9DEF-4FC7-8A2D-095004FB36F0}"/>
    <cellStyle name="Normal 2 5 3 2 3 5 2" xfId="39089" xr:uid="{067197BB-9290-4BB8-8BE3-F4182B491BE8}"/>
    <cellStyle name="Normal 2 5 3 2 3 6" xfId="26498" xr:uid="{66AFAFBA-8E9F-4B79-93A8-2844AD909594}"/>
    <cellStyle name="Normal 2 5 3 2 4" xfId="1930" xr:uid="{EA0725DE-6380-488E-9BDE-A30843D9B764}"/>
    <cellStyle name="Normal 2 5 3 2 4 2" xfId="5084" xr:uid="{F364E2E7-3B9F-4913-9578-A98A2A6EDEBC}"/>
    <cellStyle name="Normal 2 5 3 2 4 2 2" xfId="11377" xr:uid="{5C0B82E9-B197-475F-894A-030FA40FCE04}"/>
    <cellStyle name="Normal 2 5 3 2 4 2 2 2" xfId="24059" xr:uid="{F071E0FA-1EBC-409F-9BA5-029DC8407063}"/>
    <cellStyle name="Normal 2 5 3 2 4 2 2 2 2" xfId="49551" xr:uid="{5B408A32-2C98-4F48-B3F1-2942A6189E3C}"/>
    <cellStyle name="Normal 2 5 3 2 4 2 2 3" xfId="36960" xr:uid="{1F068808-BFA1-40E0-9801-602BB2D95713}"/>
    <cellStyle name="Normal 2 5 3 2 4 2 3" xfId="17781" xr:uid="{4939D98A-CAEB-45A0-93D0-65A33ACD4ADD}"/>
    <cellStyle name="Normal 2 5 3 2 4 2 3 2" xfId="43273" xr:uid="{EB1F88CB-7276-4C11-B9B2-E84A08E92327}"/>
    <cellStyle name="Normal 2 5 3 2 4 2 4" xfId="30682" xr:uid="{99678093-04FA-4190-B3BF-63D47E19F5B1}"/>
    <cellStyle name="Normal 2 5 3 2 4 3" xfId="8238" xr:uid="{B7557E69-2668-40D5-9A57-05A5C56B1FB6}"/>
    <cellStyle name="Normal 2 5 3 2 4 3 2" xfId="20920" xr:uid="{6E6C9E94-BF80-4F2E-8D8C-F16FC993E3AE}"/>
    <cellStyle name="Normal 2 5 3 2 4 3 2 2" xfId="46412" xr:uid="{F8693FD5-AEB9-414D-A0A5-C337FDF92E8B}"/>
    <cellStyle name="Normal 2 5 3 2 4 3 3" xfId="33821" xr:uid="{5ADEC043-B253-490A-A513-15D2ADCF99F6}"/>
    <cellStyle name="Normal 2 5 3 2 4 4" xfId="14642" xr:uid="{E474C918-F25A-4A53-8C74-95F667A530DA}"/>
    <cellStyle name="Normal 2 5 3 2 4 4 2" xfId="40134" xr:uid="{8F085335-27C2-4291-8531-EE3F1135F223}"/>
    <cellStyle name="Normal 2 5 3 2 4 5" xfId="27543" xr:uid="{C1B0FD2C-EEF2-496A-8459-A5C764693E09}"/>
    <cellStyle name="Normal 2 5 3 2 5" xfId="1408" xr:uid="{84F53892-F21C-4996-BEAB-AEB029836776}"/>
    <cellStyle name="Normal 2 5 3 2 5 2" xfId="4562" xr:uid="{CD04A034-9686-4D43-8776-FC1AAB9D0C7E}"/>
    <cellStyle name="Normal 2 5 3 2 5 2 2" xfId="10855" xr:uid="{9DCD01BC-452E-454D-A02D-A94CC55D8465}"/>
    <cellStyle name="Normal 2 5 3 2 5 2 2 2" xfId="23537" xr:uid="{5D56E7E5-9031-495B-8DED-72793BC343C8}"/>
    <cellStyle name="Normal 2 5 3 2 5 2 2 2 2" xfId="49029" xr:uid="{824DA862-9781-4C46-875C-1CB161DB19D4}"/>
    <cellStyle name="Normal 2 5 3 2 5 2 2 3" xfId="36438" xr:uid="{7754026D-FAEF-4D85-8EB9-FCF907CF334B}"/>
    <cellStyle name="Normal 2 5 3 2 5 2 3" xfId="17259" xr:uid="{3F9B4019-F017-4366-AF54-4DC469E5981F}"/>
    <cellStyle name="Normal 2 5 3 2 5 2 3 2" xfId="42751" xr:uid="{D9395194-D0A6-42B9-B40E-A051F73A31C2}"/>
    <cellStyle name="Normal 2 5 3 2 5 2 4" xfId="30160" xr:uid="{07F8BB06-B6F9-41BB-B9AF-70AC45F47E8F}"/>
    <cellStyle name="Normal 2 5 3 2 5 3" xfId="7716" xr:uid="{61F28BDA-DF47-41E3-AB4C-090FD90A3BAB}"/>
    <cellStyle name="Normal 2 5 3 2 5 3 2" xfId="20398" xr:uid="{486ECD84-029A-4233-839E-84484BEA10F1}"/>
    <cellStyle name="Normal 2 5 3 2 5 3 2 2" xfId="45890" xr:uid="{A19BAAE1-EBA8-40E2-9184-E7397868D763}"/>
    <cellStyle name="Normal 2 5 3 2 5 3 3" xfId="33299" xr:uid="{8242FBE0-2085-4B11-9979-28690443619D}"/>
    <cellStyle name="Normal 2 5 3 2 5 4" xfId="14120" xr:uid="{A32C3D94-1BEF-405E-990B-03D30CDE769D}"/>
    <cellStyle name="Normal 2 5 3 2 5 4 2" xfId="39612" xr:uid="{B7E35B1F-9518-46C5-874A-4AEEB1E80A27}"/>
    <cellStyle name="Normal 2 5 3 2 5 5" xfId="27021" xr:uid="{C933BFF8-6BF5-432C-B445-CCAC800CE376}"/>
    <cellStyle name="Normal 2 5 3 2 6" xfId="2715" xr:uid="{64FD6F2B-ACC5-4243-ABF8-5AA308BA3543}"/>
    <cellStyle name="Normal 2 5 3 2 6 2" xfId="5869" xr:uid="{5A2362FD-0587-4B83-81E9-E1D2A0E10B8A}"/>
    <cellStyle name="Normal 2 5 3 2 6 2 2" xfId="12162" xr:uid="{CDC9FCCB-EED6-46D4-AF78-FA28DA28BEA6}"/>
    <cellStyle name="Normal 2 5 3 2 6 2 2 2" xfId="24844" xr:uid="{A8DDAE26-90F5-4CF9-A87A-88243546D4DF}"/>
    <cellStyle name="Normal 2 5 3 2 6 2 2 2 2" xfId="50336" xr:uid="{FC94DF77-57E0-4841-9199-143F046F32E2}"/>
    <cellStyle name="Normal 2 5 3 2 6 2 2 3" xfId="37745" xr:uid="{FD541D42-9E90-49AC-88B8-29B2F4074334}"/>
    <cellStyle name="Normal 2 5 3 2 6 2 3" xfId="18566" xr:uid="{1545510F-5C31-4B90-9DD3-813C2FA13178}"/>
    <cellStyle name="Normal 2 5 3 2 6 2 3 2" xfId="44058" xr:uid="{1600E5B9-48D5-40EB-9389-69215FAE8D31}"/>
    <cellStyle name="Normal 2 5 3 2 6 2 4" xfId="31467" xr:uid="{01153CB7-B143-44C9-8829-1492A3F8B263}"/>
    <cellStyle name="Normal 2 5 3 2 6 3" xfId="9023" xr:uid="{A98D717A-D655-4416-8347-E48173FDAA26}"/>
    <cellStyle name="Normal 2 5 3 2 6 3 2" xfId="21705" xr:uid="{61762837-95AA-435B-9C1B-EDE758C260C1}"/>
    <cellStyle name="Normal 2 5 3 2 6 3 2 2" xfId="47197" xr:uid="{5FF50DD7-09DD-430A-AEDF-0015D8CA8062}"/>
    <cellStyle name="Normal 2 5 3 2 6 3 3" xfId="34606" xr:uid="{DFCFB801-1176-418B-AEF1-89C6A46F55B4}"/>
    <cellStyle name="Normal 2 5 3 2 6 4" xfId="15427" xr:uid="{45E419E4-328C-4347-A6B9-5924D211CA15}"/>
    <cellStyle name="Normal 2 5 3 2 6 4 2" xfId="40919" xr:uid="{334C3C6A-C32D-46E5-B35F-16FE840ECF85}"/>
    <cellStyle name="Normal 2 5 3 2 6 5" xfId="28328" xr:uid="{C9F089A7-5270-4B53-A2C7-EE634F284D2B}"/>
    <cellStyle name="Normal 2 5 3 2 7" xfId="3238" xr:uid="{77F3AAA5-A393-4D7E-A342-E8BD134915D6}"/>
    <cellStyle name="Normal 2 5 3 2 7 2" xfId="6392" xr:uid="{09B9FE00-C62B-4471-A707-CE429CAA000A}"/>
    <cellStyle name="Normal 2 5 3 2 7 2 2" xfId="12685" xr:uid="{73579583-0230-46FA-AA7C-FB2CC39BED3E}"/>
    <cellStyle name="Normal 2 5 3 2 7 2 2 2" xfId="25367" xr:uid="{4DF4E54F-F13F-4AF3-A3F2-1881EFC6016C}"/>
    <cellStyle name="Normal 2 5 3 2 7 2 2 2 2" xfId="50859" xr:uid="{CE09DA77-E146-428D-8A1B-4683BF40D6B6}"/>
    <cellStyle name="Normal 2 5 3 2 7 2 2 3" xfId="38268" xr:uid="{B3F93C74-2E00-43D2-BE9E-47FBE0497CDF}"/>
    <cellStyle name="Normal 2 5 3 2 7 2 3" xfId="19089" xr:uid="{A85A68C7-C58B-472B-B173-9A7B7612F2F9}"/>
    <cellStyle name="Normal 2 5 3 2 7 2 3 2" xfId="44581" xr:uid="{848AD18C-A51A-4C80-83E2-5AD5F57A6B24}"/>
    <cellStyle name="Normal 2 5 3 2 7 2 4" xfId="31990" xr:uid="{99562249-AC0C-4B59-B3C0-2CD98F0A1D39}"/>
    <cellStyle name="Normal 2 5 3 2 7 3" xfId="9546" xr:uid="{A28A3359-B32B-4672-9C49-C3399190E789}"/>
    <cellStyle name="Normal 2 5 3 2 7 3 2" xfId="22228" xr:uid="{276080ED-DD21-4FD3-9C6B-98F2BE3FCA72}"/>
    <cellStyle name="Normal 2 5 3 2 7 3 2 2" xfId="47720" xr:uid="{E7E92628-5CBE-44B5-8D23-97B29906A3F4}"/>
    <cellStyle name="Normal 2 5 3 2 7 3 3" xfId="35129" xr:uid="{A3F96641-4798-4F0D-A930-2A8FAA764CB1}"/>
    <cellStyle name="Normal 2 5 3 2 7 4" xfId="15950" xr:uid="{012DC982-A941-4B44-A59B-8EB33647F126}"/>
    <cellStyle name="Normal 2 5 3 2 7 4 2" xfId="41442" xr:uid="{F6ACADC7-1A0B-4DCA-B247-6FDCD9F9CC6A}"/>
    <cellStyle name="Normal 2 5 3 2 7 5" xfId="28851" xr:uid="{70D9E036-35BA-43D7-B772-C18DAE90114F}"/>
    <cellStyle name="Normal 2 5 3 2 8" xfId="3777" xr:uid="{65CE3409-34EC-4963-AB29-BD0C27F5AB8C}"/>
    <cellStyle name="Normal 2 5 3 2 8 2" xfId="10070" xr:uid="{4A559FFC-5748-40B6-B503-0D17BD03F8E8}"/>
    <cellStyle name="Normal 2 5 3 2 8 2 2" xfId="22752" xr:uid="{E292D9E7-C187-4E4E-8745-FBFA2A043F32}"/>
    <cellStyle name="Normal 2 5 3 2 8 2 2 2" xfId="48244" xr:uid="{2F175F2E-A17F-4E5B-A8B0-83E82F507612}"/>
    <cellStyle name="Normal 2 5 3 2 8 2 3" xfId="35653" xr:uid="{054B4C0C-5102-4829-ADF6-09B381E42C08}"/>
    <cellStyle name="Normal 2 5 3 2 8 3" xfId="16474" xr:uid="{545A8D8E-35A9-4593-AEAB-14BBA3B4176C}"/>
    <cellStyle name="Normal 2 5 3 2 8 3 2" xfId="41966" xr:uid="{47F76910-6BEE-4DD4-BE3B-DC78776E0C2B}"/>
    <cellStyle name="Normal 2 5 3 2 8 4" xfId="29375" xr:uid="{6EE23419-D0EB-4FB2-980A-24CC65DF541F}"/>
    <cellStyle name="Normal 2 5 3 2 9" xfId="6931" xr:uid="{08C7FBA6-E349-4DA5-B116-A558F18F935E}"/>
    <cellStyle name="Normal 2 5 3 2 9 2" xfId="19613" xr:uid="{0C0CA43A-0D13-4FC8-BA29-1A95FC5C0774}"/>
    <cellStyle name="Normal 2 5 3 2 9 2 2" xfId="45105" xr:uid="{E3EADB73-CF71-4DE6-855B-23A2B7CF5557}"/>
    <cellStyle name="Normal 2 5 3 2 9 3" xfId="32514" xr:uid="{09F2EFBF-8C80-4356-A533-A0DAF87BB86D}"/>
    <cellStyle name="Normal 2 5 3 3" xfId="986" xr:uid="{02EBFF3D-9DEE-4843-ADE9-3B3EC3ECB57E}"/>
    <cellStyle name="Normal 2 5 3 3 2" xfId="2293" xr:uid="{1773C21E-269B-4B02-8625-B6E55CFF2FB7}"/>
    <cellStyle name="Normal 2 5 3 3 2 2" xfId="5447" xr:uid="{245EBADD-D425-4552-A1EB-D845FE4C5AD1}"/>
    <cellStyle name="Normal 2 5 3 3 2 2 2" xfId="11740" xr:uid="{80958FD1-7276-435B-B3BD-4B438B22B634}"/>
    <cellStyle name="Normal 2 5 3 3 2 2 2 2" xfId="24422" xr:uid="{1F5C1591-851B-45C3-945A-0ED44E7A1DA1}"/>
    <cellStyle name="Normal 2 5 3 3 2 2 2 2 2" xfId="49914" xr:uid="{292D8B38-FC2D-4275-90CA-5079EA0C4FC0}"/>
    <cellStyle name="Normal 2 5 3 3 2 2 2 3" xfId="37323" xr:uid="{8A27F9C9-EFB4-4C9B-A49A-3EEA87172A5C}"/>
    <cellStyle name="Normal 2 5 3 3 2 2 3" xfId="18144" xr:uid="{530AE608-BFD6-4B55-AD58-684630219742}"/>
    <cellStyle name="Normal 2 5 3 3 2 2 3 2" xfId="43636" xr:uid="{D6D882A2-4ADD-4823-9760-6F858EA7D127}"/>
    <cellStyle name="Normal 2 5 3 3 2 2 4" xfId="31045" xr:uid="{7D747FFA-0B73-4F83-A68C-D683BE53DD94}"/>
    <cellStyle name="Normal 2 5 3 3 2 3" xfId="8601" xr:uid="{8826D6D3-6F61-4D24-B27A-000ED177C29C}"/>
    <cellStyle name="Normal 2 5 3 3 2 3 2" xfId="21283" xr:uid="{A0E92209-E0E8-4851-AB07-AF060D922A72}"/>
    <cellStyle name="Normal 2 5 3 3 2 3 2 2" xfId="46775" xr:uid="{D805CC4B-3635-4C4A-8B2B-55143399BE5A}"/>
    <cellStyle name="Normal 2 5 3 3 2 3 3" xfId="34184" xr:uid="{3783699A-99F9-4005-95AE-FE3CB2F258EA}"/>
    <cellStyle name="Normal 2 5 3 3 2 4" xfId="15005" xr:uid="{4E561A54-777B-4B28-A9DA-E7D9D088650D}"/>
    <cellStyle name="Normal 2 5 3 3 2 4 2" xfId="40497" xr:uid="{0923634E-CA6E-4ED1-AEF6-A0B9C4AB5160}"/>
    <cellStyle name="Normal 2 5 3 3 2 5" xfId="27906" xr:uid="{CEBE8FD9-907A-491C-8015-24102AD68829}"/>
    <cellStyle name="Normal 2 5 3 3 3" xfId="1510" xr:uid="{3A39D01E-C3D0-4B42-AD50-9A7EF5EA6D51}"/>
    <cellStyle name="Normal 2 5 3 3 3 2" xfId="4664" xr:uid="{C11A4A34-A7E1-4184-A061-E4890D59CF19}"/>
    <cellStyle name="Normal 2 5 3 3 3 2 2" xfId="10957" xr:uid="{01D3E629-21CF-4D34-A94A-7702A3C2B411}"/>
    <cellStyle name="Normal 2 5 3 3 3 2 2 2" xfId="23639" xr:uid="{F1BB1374-D03A-477E-924F-E5B13F09617B}"/>
    <cellStyle name="Normal 2 5 3 3 3 2 2 2 2" xfId="49131" xr:uid="{B2F4FDF3-F2BB-49B1-8138-3CDE13AB4706}"/>
    <cellStyle name="Normal 2 5 3 3 3 2 2 3" xfId="36540" xr:uid="{E1BF53A5-97C5-4EF3-85A3-75930F9FB2E9}"/>
    <cellStyle name="Normal 2 5 3 3 3 2 3" xfId="17361" xr:uid="{F281BF51-F73D-46AD-8CF1-B785CCDF88DF}"/>
    <cellStyle name="Normal 2 5 3 3 3 2 3 2" xfId="42853" xr:uid="{FA0C98C3-5601-4D0B-9947-AD49D8D697A6}"/>
    <cellStyle name="Normal 2 5 3 3 3 2 4" xfId="30262" xr:uid="{C078898E-67F4-4AB0-8514-FC21FF389A3F}"/>
    <cellStyle name="Normal 2 5 3 3 3 3" xfId="7818" xr:uid="{ABFAF10F-E3B5-4968-84F7-7681FB37DD5F}"/>
    <cellStyle name="Normal 2 5 3 3 3 3 2" xfId="20500" xr:uid="{018D0FEC-F43B-4CFC-B5A3-6E9CC07D6E82}"/>
    <cellStyle name="Normal 2 5 3 3 3 3 2 2" xfId="45992" xr:uid="{8C3287D1-0EF2-4798-BA02-536ACAADDBDF}"/>
    <cellStyle name="Normal 2 5 3 3 3 3 3" xfId="33401" xr:uid="{958E4B68-58D2-4477-A3E7-5C91A291F1A7}"/>
    <cellStyle name="Normal 2 5 3 3 3 4" xfId="14222" xr:uid="{E82384E3-DACC-42F0-AB2F-1A4511FA81E9}"/>
    <cellStyle name="Normal 2 5 3 3 3 4 2" xfId="39714" xr:uid="{8EF2E2E6-E9DF-4A25-B84E-949EDFA6C2D7}"/>
    <cellStyle name="Normal 2 5 3 3 3 5" xfId="27123" xr:uid="{FE50AF0F-C299-46B4-9510-3C6C920FB023}"/>
    <cellStyle name="Normal 2 5 3 3 4" xfId="2817" xr:uid="{A0FC8376-477B-404C-A107-ED7B3CF65AD1}"/>
    <cellStyle name="Normal 2 5 3 3 4 2" xfId="5971" xr:uid="{A83D1905-AD44-40DF-8240-996EAFC2946A}"/>
    <cellStyle name="Normal 2 5 3 3 4 2 2" xfId="12264" xr:uid="{AB001436-8F15-471D-B553-9BD56380D1F7}"/>
    <cellStyle name="Normal 2 5 3 3 4 2 2 2" xfId="24946" xr:uid="{F4F097D0-31F2-4FD8-BD2C-E2ADCD0CE4EC}"/>
    <cellStyle name="Normal 2 5 3 3 4 2 2 2 2" xfId="50438" xr:uid="{15B529F3-7DB9-47BA-A3C3-A21E68CED579}"/>
    <cellStyle name="Normal 2 5 3 3 4 2 2 3" xfId="37847" xr:uid="{2DD989D9-397D-4C3F-9813-B816100B1B5F}"/>
    <cellStyle name="Normal 2 5 3 3 4 2 3" xfId="18668" xr:uid="{E55DD392-D145-4A0F-BAF1-B48B3A8C5C4B}"/>
    <cellStyle name="Normal 2 5 3 3 4 2 3 2" xfId="44160" xr:uid="{7F2DED13-7311-4507-8595-A8F6334CA437}"/>
    <cellStyle name="Normal 2 5 3 3 4 2 4" xfId="31569" xr:uid="{CB0C8799-873E-401B-A2CA-3EF7DBCEEAD0}"/>
    <cellStyle name="Normal 2 5 3 3 4 3" xfId="9125" xr:uid="{A919C650-0DF6-4DDF-A141-3D47489490F4}"/>
    <cellStyle name="Normal 2 5 3 3 4 3 2" xfId="21807" xr:uid="{6634302D-EEDC-42D6-8445-445FCEE66356}"/>
    <cellStyle name="Normal 2 5 3 3 4 3 2 2" xfId="47299" xr:uid="{03D73E32-9641-4BEA-BD7B-23BE4C9B682C}"/>
    <cellStyle name="Normal 2 5 3 3 4 3 3" xfId="34708" xr:uid="{42B51009-99BA-4D26-A9CF-87AF07CCAE42}"/>
    <cellStyle name="Normal 2 5 3 3 4 4" xfId="15529" xr:uid="{9803C8C6-BEAE-4D2B-8D91-4305A5D2F2AD}"/>
    <cellStyle name="Normal 2 5 3 3 4 4 2" xfId="41021" xr:uid="{B2886639-710D-4E91-A211-D6714BF14647}"/>
    <cellStyle name="Normal 2 5 3 3 4 5" xfId="28430" xr:uid="{15458EDA-0F4A-4160-97CD-9E8BD1C3D5E3}"/>
    <cellStyle name="Normal 2 5 3 3 5" xfId="3340" xr:uid="{5E5F439B-E385-449A-B443-DC668E8AAE74}"/>
    <cellStyle name="Normal 2 5 3 3 5 2" xfId="6494" xr:uid="{080FCA8D-9141-4F8D-8240-0216A0EB2B99}"/>
    <cellStyle name="Normal 2 5 3 3 5 2 2" xfId="12787" xr:uid="{39727D7A-8A8E-47FF-A55F-B1B5DBE1D906}"/>
    <cellStyle name="Normal 2 5 3 3 5 2 2 2" xfId="25469" xr:uid="{BE97EBBD-793A-4DD9-BF8D-4D2E3617CD1B}"/>
    <cellStyle name="Normal 2 5 3 3 5 2 2 2 2" xfId="50961" xr:uid="{34C4C4A7-4CC2-4F29-ADE9-596A5983C628}"/>
    <cellStyle name="Normal 2 5 3 3 5 2 2 3" xfId="38370" xr:uid="{F04C7673-BAB4-4181-A6AE-C2E46F8229DB}"/>
    <cellStyle name="Normal 2 5 3 3 5 2 3" xfId="19191" xr:uid="{6814D51C-8238-47E2-945A-227785855D5E}"/>
    <cellStyle name="Normal 2 5 3 3 5 2 3 2" xfId="44683" xr:uid="{F094E0B7-8812-4AA0-848B-0FFE4F2EB01D}"/>
    <cellStyle name="Normal 2 5 3 3 5 2 4" xfId="32092" xr:uid="{79753322-C411-4A4F-916A-1B252D93F461}"/>
    <cellStyle name="Normal 2 5 3 3 5 3" xfId="9648" xr:uid="{940FBCB8-DE75-4A86-9041-E92FB5A29792}"/>
    <cellStyle name="Normal 2 5 3 3 5 3 2" xfId="22330" xr:uid="{77B23927-F3D6-43E3-A31D-19F1926ABB90}"/>
    <cellStyle name="Normal 2 5 3 3 5 3 2 2" xfId="47822" xr:uid="{11ACE7A0-886F-416A-BD84-9608738DE6A5}"/>
    <cellStyle name="Normal 2 5 3 3 5 3 3" xfId="35231" xr:uid="{B5887517-A5CA-42CF-83B8-D66DB82F1E90}"/>
    <cellStyle name="Normal 2 5 3 3 5 4" xfId="16052" xr:uid="{108EA389-E9BA-46A2-B467-CD6F3C522CB5}"/>
    <cellStyle name="Normal 2 5 3 3 5 4 2" xfId="41544" xr:uid="{CEA36CA9-A295-437D-BF03-A3823F712CF7}"/>
    <cellStyle name="Normal 2 5 3 3 5 5" xfId="28953" xr:uid="{FEF84298-3227-493B-88AA-8C978A3A158F}"/>
    <cellStyle name="Normal 2 5 3 3 6" xfId="4140" xr:uid="{0FEDB2AA-3CB1-4005-B339-CF9C30C291F8}"/>
    <cellStyle name="Normal 2 5 3 3 6 2" xfId="10433" xr:uid="{C68A0ADF-84A2-46DF-8BF4-6A0289A4C1CC}"/>
    <cellStyle name="Normal 2 5 3 3 6 2 2" xfId="23115" xr:uid="{1949B8C8-94CF-4A56-A52D-745D2B8071EB}"/>
    <cellStyle name="Normal 2 5 3 3 6 2 2 2" xfId="48607" xr:uid="{8C862104-4F9E-43B4-9110-FA1098E0C3D5}"/>
    <cellStyle name="Normal 2 5 3 3 6 2 3" xfId="36016" xr:uid="{29E0C510-9423-4951-B159-FA8473C767AE}"/>
    <cellStyle name="Normal 2 5 3 3 6 3" xfId="16837" xr:uid="{846BD0B1-DB82-45D6-BB58-9B03D3D003C0}"/>
    <cellStyle name="Normal 2 5 3 3 6 3 2" xfId="42329" xr:uid="{8E24059A-7718-4943-8FB3-74F8733CEEBC}"/>
    <cellStyle name="Normal 2 5 3 3 6 4" xfId="29738" xr:uid="{0DB194BF-8687-408F-BEE3-BAB68586D190}"/>
    <cellStyle name="Normal 2 5 3 3 7" xfId="7294" xr:uid="{46E08A7E-7E8A-4552-BB4C-190824A3CF3C}"/>
    <cellStyle name="Normal 2 5 3 3 7 2" xfId="19976" xr:uid="{A522F3A9-60FB-4B0B-AEF8-C0F11333BAFF}"/>
    <cellStyle name="Normal 2 5 3 3 7 2 2" xfId="45468" xr:uid="{448EDC96-70B1-429F-A0BB-A46ED1147E4C}"/>
    <cellStyle name="Normal 2 5 3 3 7 3" xfId="32877" xr:uid="{89CD33A0-68B7-4943-B03D-E9B111C152DF}"/>
    <cellStyle name="Normal 2 5 3 3 8" xfId="13698" xr:uid="{C35961DC-A5D8-4468-8B96-6C076B121C6F}"/>
    <cellStyle name="Normal 2 5 3 3 8 2" xfId="39190" xr:uid="{5B468122-47CE-4B7C-A51B-930ED579A47B}"/>
    <cellStyle name="Normal 2 5 3 3 9" xfId="26599" xr:uid="{DBBEC979-35B3-47A4-9367-9AD92DEBDA25}"/>
    <cellStyle name="Normal 2 5 3 4" xfId="726" xr:uid="{DB3DF6A1-EDD8-49E0-95EC-743354A41500}"/>
    <cellStyle name="Normal 2 5 3 4 2" xfId="2033" xr:uid="{42A42C60-20D5-4C0C-8EC5-B90DD6085BAF}"/>
    <cellStyle name="Normal 2 5 3 4 2 2" xfId="5187" xr:uid="{E41E902C-9EED-4075-B682-358BA3446FE9}"/>
    <cellStyle name="Normal 2 5 3 4 2 2 2" xfId="11480" xr:uid="{6AA320B7-F39C-46F4-A82F-BAC47F13B8DA}"/>
    <cellStyle name="Normal 2 5 3 4 2 2 2 2" xfId="24162" xr:uid="{D6EB7758-3E39-49B6-87EE-65D3846FA3FC}"/>
    <cellStyle name="Normal 2 5 3 4 2 2 2 2 2" xfId="49654" xr:uid="{E8B57967-1E4B-4210-9675-CA01EEF72D00}"/>
    <cellStyle name="Normal 2 5 3 4 2 2 2 3" xfId="37063" xr:uid="{46C7C2AD-8D2E-45DD-91FC-7BC13D40DCA0}"/>
    <cellStyle name="Normal 2 5 3 4 2 2 3" xfId="17884" xr:uid="{B3DAD504-69FC-42E9-B7CA-67958E5D2AF1}"/>
    <cellStyle name="Normal 2 5 3 4 2 2 3 2" xfId="43376" xr:uid="{D8BEDD79-E956-42BA-9237-ACFED4A3D249}"/>
    <cellStyle name="Normal 2 5 3 4 2 2 4" xfId="30785" xr:uid="{03493C05-329B-4069-A996-756BFD34D29A}"/>
    <cellStyle name="Normal 2 5 3 4 2 3" xfId="8341" xr:uid="{A46157A6-6DBF-4581-85A1-5B4F39A2FABD}"/>
    <cellStyle name="Normal 2 5 3 4 2 3 2" xfId="21023" xr:uid="{DCAAA910-1011-4539-A2B9-29A197B5E257}"/>
    <cellStyle name="Normal 2 5 3 4 2 3 2 2" xfId="46515" xr:uid="{4A553A88-6B4B-4BF3-A040-0912B58EFA8A}"/>
    <cellStyle name="Normal 2 5 3 4 2 3 3" xfId="33924" xr:uid="{86F87A66-B6AE-447D-B2A2-C00257783522}"/>
    <cellStyle name="Normal 2 5 3 4 2 4" xfId="14745" xr:uid="{47140C2E-4FF5-45FD-874B-B758963E144C}"/>
    <cellStyle name="Normal 2 5 3 4 2 4 2" xfId="40237" xr:uid="{15533069-A556-4488-BA0E-07406B82BBCE}"/>
    <cellStyle name="Normal 2 5 3 4 2 5" xfId="27646" xr:uid="{25C8E23A-1C3A-4D0C-947D-E3ECB3C0FE46}"/>
    <cellStyle name="Normal 2 5 3 4 3" xfId="3880" xr:uid="{15D5CCA8-35EF-4DE7-988D-48638AFA9E8B}"/>
    <cellStyle name="Normal 2 5 3 4 3 2" xfId="10173" xr:uid="{DB238CC2-D360-43EF-8AB6-D9A3D5767F46}"/>
    <cellStyle name="Normal 2 5 3 4 3 2 2" xfId="22855" xr:uid="{5652AE69-A124-40FE-96CE-07D9816CC426}"/>
    <cellStyle name="Normal 2 5 3 4 3 2 2 2" xfId="48347" xr:uid="{B6FE26A9-347E-4644-8F8B-F720CB949C3A}"/>
    <cellStyle name="Normal 2 5 3 4 3 2 3" xfId="35756" xr:uid="{2657EC79-2743-4012-BA26-2B11B45021A4}"/>
    <cellStyle name="Normal 2 5 3 4 3 3" xfId="16577" xr:uid="{FB75E995-73C1-4363-BC0E-C7D35BC990BC}"/>
    <cellStyle name="Normal 2 5 3 4 3 3 2" xfId="42069" xr:uid="{5A44C8D9-BEAA-4A41-973F-DA4721A3F956}"/>
    <cellStyle name="Normal 2 5 3 4 3 4" xfId="29478" xr:uid="{C5342356-FBE3-46F2-8B86-7B027E16AF1E}"/>
    <cellStyle name="Normal 2 5 3 4 4" xfId="7034" xr:uid="{B96414B9-5183-4F9D-A453-5D2C7500F7AD}"/>
    <cellStyle name="Normal 2 5 3 4 4 2" xfId="19716" xr:uid="{B483DDED-0E72-44EF-B725-C17459E2FB22}"/>
    <cellStyle name="Normal 2 5 3 4 4 2 2" xfId="45208" xr:uid="{92E57B25-64F2-48E2-842E-2566D2229455}"/>
    <cellStyle name="Normal 2 5 3 4 4 3" xfId="32617" xr:uid="{7CD15FFB-47E4-4F18-95A2-BC3E04A9537A}"/>
    <cellStyle name="Normal 2 5 3 4 5" xfId="13438" xr:uid="{2A4DADBA-A4B1-439D-A6AD-FDCB9B0B45C2}"/>
    <cellStyle name="Normal 2 5 3 4 5 2" xfId="38930" xr:uid="{DC006C20-76EB-4EEF-BED4-3576DB6BBA39}"/>
    <cellStyle name="Normal 2 5 3 4 6" xfId="26339" xr:uid="{617F97D9-C98A-4C89-B61B-11FAAC151C6C}"/>
    <cellStyle name="Normal 2 5 3 5" xfId="1771" xr:uid="{CD03AACB-7DEB-47C5-83D0-780BE986D6A2}"/>
    <cellStyle name="Normal 2 5 3 5 2" xfId="4925" xr:uid="{4AE5EE70-1355-4D99-B38E-9493F44D7E64}"/>
    <cellStyle name="Normal 2 5 3 5 2 2" xfId="11218" xr:uid="{2BD5AFB0-8EAC-4508-8609-842A5C7C15C8}"/>
    <cellStyle name="Normal 2 5 3 5 2 2 2" xfId="23900" xr:uid="{E553587B-BB87-4AD3-8A4B-EA3140674ECA}"/>
    <cellStyle name="Normal 2 5 3 5 2 2 2 2" xfId="49392" xr:uid="{FF73A057-0EAD-44F1-ABEB-901F40EDB98A}"/>
    <cellStyle name="Normal 2 5 3 5 2 2 3" xfId="36801" xr:uid="{9C3753B9-0AB0-43C4-B829-311EB001ECA6}"/>
    <cellStyle name="Normal 2 5 3 5 2 3" xfId="17622" xr:uid="{A42636C3-A795-46DA-8A09-DBC6AD1C46E5}"/>
    <cellStyle name="Normal 2 5 3 5 2 3 2" xfId="43114" xr:uid="{28201932-5182-4412-9201-2D8AA1CCDBFC}"/>
    <cellStyle name="Normal 2 5 3 5 2 4" xfId="30523" xr:uid="{06966423-1AB2-44B7-ADCA-CC96F1008E3E}"/>
    <cellStyle name="Normal 2 5 3 5 3" xfId="8079" xr:uid="{87F62C2F-AF6B-4894-A3D7-9BD2ABFD7C7A}"/>
    <cellStyle name="Normal 2 5 3 5 3 2" xfId="20761" xr:uid="{4984D940-E74D-4962-8114-68F90E566FDC}"/>
    <cellStyle name="Normal 2 5 3 5 3 2 2" xfId="46253" xr:uid="{E661C116-61E6-46C6-814F-1B7AFC003257}"/>
    <cellStyle name="Normal 2 5 3 5 3 3" xfId="33662" xr:uid="{800E4E47-B703-4863-AC20-63E7316754CB}"/>
    <cellStyle name="Normal 2 5 3 5 4" xfId="14483" xr:uid="{7D242E7A-D4C8-470D-8D81-D0A31708D7F4}"/>
    <cellStyle name="Normal 2 5 3 5 4 2" xfId="39975" xr:uid="{668664E2-71BF-48D6-9C2C-43F4EE2E2615}"/>
    <cellStyle name="Normal 2 5 3 5 5" xfId="27384" xr:uid="{968B7500-8E58-4D25-948F-0EBC24232E41}"/>
    <cellStyle name="Normal 2 5 3 6" xfId="1249" xr:uid="{026D39CA-25C5-42D2-8BFA-26CFF2DF0D02}"/>
    <cellStyle name="Normal 2 5 3 6 2" xfId="4403" xr:uid="{88EA9F81-911D-4DBB-8586-D72E1E35BD00}"/>
    <cellStyle name="Normal 2 5 3 6 2 2" xfId="10696" xr:uid="{C91EECF1-85EA-44B8-8FCA-DAAB4B25724A}"/>
    <cellStyle name="Normal 2 5 3 6 2 2 2" xfId="23378" xr:uid="{BF733147-D61B-489B-97E9-403650ED0BAB}"/>
    <cellStyle name="Normal 2 5 3 6 2 2 2 2" xfId="48870" xr:uid="{B40F0001-B834-433D-BB69-2A13CD46526A}"/>
    <cellStyle name="Normal 2 5 3 6 2 2 3" xfId="36279" xr:uid="{46740B4E-105F-4B12-8E81-766ECB6B3592}"/>
    <cellStyle name="Normal 2 5 3 6 2 3" xfId="17100" xr:uid="{67F8587B-5593-4D95-AD03-E752C647EAA1}"/>
    <cellStyle name="Normal 2 5 3 6 2 3 2" xfId="42592" xr:uid="{7448FBF7-155B-4190-B103-C664957A0D15}"/>
    <cellStyle name="Normal 2 5 3 6 2 4" xfId="30001" xr:uid="{979C805C-B5F1-4DE5-A6A4-3D293DEE8471}"/>
    <cellStyle name="Normal 2 5 3 6 3" xfId="7557" xr:uid="{CD19A285-C10B-4606-B2E1-5B2021937855}"/>
    <cellStyle name="Normal 2 5 3 6 3 2" xfId="20239" xr:uid="{42569756-EE94-4769-86DA-87F26C6C27AD}"/>
    <cellStyle name="Normal 2 5 3 6 3 2 2" xfId="45731" xr:uid="{76ECC608-38AA-4F86-A28B-836A0D89EC3D}"/>
    <cellStyle name="Normal 2 5 3 6 3 3" xfId="33140" xr:uid="{FA6395D8-92C8-423F-870D-98BC6552DCB8}"/>
    <cellStyle name="Normal 2 5 3 6 4" xfId="13961" xr:uid="{A402971B-AF40-4E05-B338-81BF4C63C716}"/>
    <cellStyle name="Normal 2 5 3 6 4 2" xfId="39453" xr:uid="{677FE53D-7200-4D26-A359-F7BEB23DBF43}"/>
    <cellStyle name="Normal 2 5 3 6 5" xfId="26862" xr:uid="{1AF28A94-A57E-462B-AE7C-2C328A9A8005}"/>
    <cellStyle name="Normal 2 5 3 7" xfId="2556" xr:uid="{1AC84EF0-CBEA-4940-BAEB-2C43E6EF76D2}"/>
    <cellStyle name="Normal 2 5 3 7 2" xfId="5710" xr:uid="{2356269B-1349-491F-8E89-9D564CC0F4BB}"/>
    <cellStyle name="Normal 2 5 3 7 2 2" xfId="12003" xr:uid="{0F717364-DAD6-4C99-AB52-E110DDC68ACF}"/>
    <cellStyle name="Normal 2 5 3 7 2 2 2" xfId="24685" xr:uid="{F4496D63-7F97-4521-BF17-C085AF202365}"/>
    <cellStyle name="Normal 2 5 3 7 2 2 2 2" xfId="50177" xr:uid="{5C8AE42F-7FE7-48E9-93FC-76AE7949E860}"/>
    <cellStyle name="Normal 2 5 3 7 2 2 3" xfId="37586" xr:uid="{77BC3C2E-19F9-4C81-A810-E81583E78F69}"/>
    <cellStyle name="Normal 2 5 3 7 2 3" xfId="18407" xr:uid="{A49068FC-DF2E-43A3-9895-96D6C51CAF93}"/>
    <cellStyle name="Normal 2 5 3 7 2 3 2" xfId="43899" xr:uid="{76DF9ADA-F983-42D0-A177-9809B6AD443D}"/>
    <cellStyle name="Normal 2 5 3 7 2 4" xfId="31308" xr:uid="{A7FE8A49-BE3F-4B9A-AAEB-51E3D651D738}"/>
    <cellStyle name="Normal 2 5 3 7 3" xfId="8864" xr:uid="{B5751F7B-3FB5-4E2C-8498-53621192F0F3}"/>
    <cellStyle name="Normal 2 5 3 7 3 2" xfId="21546" xr:uid="{41F18CC4-195E-46D3-B90A-FB90C03C4077}"/>
    <cellStyle name="Normal 2 5 3 7 3 2 2" xfId="47038" xr:uid="{E373E90B-3CA9-48C3-864F-9CC20074F3FE}"/>
    <cellStyle name="Normal 2 5 3 7 3 3" xfId="34447" xr:uid="{B0D41F49-9C02-4155-8DEC-0EA6336BBB5F}"/>
    <cellStyle name="Normal 2 5 3 7 4" xfId="15268" xr:uid="{D3EB50CC-9418-4033-B1D7-7E604E216079}"/>
    <cellStyle name="Normal 2 5 3 7 4 2" xfId="40760" xr:uid="{912C60BE-E006-4C91-9CD5-011838EFA5C3}"/>
    <cellStyle name="Normal 2 5 3 7 5" xfId="28169" xr:uid="{BFB2AE87-41C6-4F80-8AED-24F3EB2857B5}"/>
    <cellStyle name="Normal 2 5 3 8" xfId="3079" xr:uid="{9BC0083D-66E1-4507-924F-87629A76DB80}"/>
    <cellStyle name="Normal 2 5 3 8 2" xfId="6233" xr:uid="{46A41DD1-2268-44CE-979F-E04FCF46C25C}"/>
    <cellStyle name="Normal 2 5 3 8 2 2" xfId="12526" xr:uid="{871B0508-34E5-4F65-9F69-A37DC18F06E9}"/>
    <cellStyle name="Normal 2 5 3 8 2 2 2" xfId="25208" xr:uid="{1951EF18-BAC7-432E-A70C-51C11344AE65}"/>
    <cellStyle name="Normal 2 5 3 8 2 2 2 2" xfId="50700" xr:uid="{B7E54F9E-C3C5-4548-B470-731D0DCBA252}"/>
    <cellStyle name="Normal 2 5 3 8 2 2 3" xfId="38109" xr:uid="{7412BF40-F232-43BF-A525-15BA61B7A2F5}"/>
    <cellStyle name="Normal 2 5 3 8 2 3" xfId="18930" xr:uid="{7308C4A6-09B5-4AA0-B0B0-992E6954C1BA}"/>
    <cellStyle name="Normal 2 5 3 8 2 3 2" xfId="44422" xr:uid="{5B0EC47F-7F4A-4CDA-BB40-CC40800D1347}"/>
    <cellStyle name="Normal 2 5 3 8 2 4" xfId="31831" xr:uid="{5BF20A40-B21D-42D1-8FCA-3F1F203F8C00}"/>
    <cellStyle name="Normal 2 5 3 8 3" xfId="9387" xr:uid="{64DD9AC7-7637-4622-A285-8CF9AE5AEE7F}"/>
    <cellStyle name="Normal 2 5 3 8 3 2" xfId="22069" xr:uid="{F9722637-DE97-4223-BC22-65BEE7606CA3}"/>
    <cellStyle name="Normal 2 5 3 8 3 2 2" xfId="47561" xr:uid="{0CA614DF-286A-44A8-B3BC-CEA558A8BB04}"/>
    <cellStyle name="Normal 2 5 3 8 3 3" xfId="34970" xr:uid="{8534A6B3-5066-4263-A9A1-A4374642D9AA}"/>
    <cellStyle name="Normal 2 5 3 8 4" xfId="15791" xr:uid="{EA66BEB6-BD52-4C76-9BD5-F8A121648FFA}"/>
    <cellStyle name="Normal 2 5 3 8 4 2" xfId="41283" xr:uid="{4607090E-CD10-42A6-9F0B-F1E09BDEC8B0}"/>
    <cellStyle name="Normal 2 5 3 8 5" xfId="28692" xr:uid="{47441AB1-B29B-44E9-86EF-5A3B9A26C161}"/>
    <cellStyle name="Normal 2 5 3 9" xfId="3618" xr:uid="{36DB6E04-7F41-4845-AD0D-651377920045}"/>
    <cellStyle name="Normal 2 5 3 9 2" xfId="9911" xr:uid="{097A4F28-A752-48D0-974D-1D5D8A74E93F}"/>
    <cellStyle name="Normal 2 5 3 9 2 2" xfId="22593" xr:uid="{877DE387-44B5-4E57-86C1-D7EE5DC12610}"/>
    <cellStyle name="Normal 2 5 3 9 2 2 2" xfId="48085" xr:uid="{CFB88B89-48C9-4E55-BDF6-721A67EB48B5}"/>
    <cellStyle name="Normal 2 5 3 9 2 3" xfId="35494" xr:uid="{17E1D5D1-1755-4793-925F-3B2B6B686DF2}"/>
    <cellStyle name="Normal 2 5 3 9 3" xfId="16315" xr:uid="{A2068D2B-21F3-49A9-9CF3-9FFDE1D73A2C}"/>
    <cellStyle name="Normal 2 5 3 9 3 2" xfId="41807" xr:uid="{0FDA2266-529F-4422-BAED-A36DD39F1C0C}"/>
    <cellStyle name="Normal 2 5 3 9 4" xfId="29216" xr:uid="{27E465B3-938C-422D-B4EC-C8D9499D5F94}"/>
    <cellStyle name="Normal 2 5 4" xfId="586" xr:uid="{E8CB82C5-9E83-4D4E-93F2-334843BB5C2C}"/>
    <cellStyle name="Normal 2 5 4 10" xfId="13313" xr:uid="{17F684CD-D003-419A-908A-03EF08D27285}"/>
    <cellStyle name="Normal 2 5 4 10 2" xfId="38805" xr:uid="{A757FE7E-455A-4167-AFB7-5BEE8B18E74B}"/>
    <cellStyle name="Normal 2 5 4 11" xfId="26214" xr:uid="{1668B6D6-958A-47F6-8094-9259B9305887}"/>
    <cellStyle name="Normal 2 5 4 2" xfId="1123" xr:uid="{38B2E076-884D-4C61-B664-42A1181B070C}"/>
    <cellStyle name="Normal 2 5 4 2 2" xfId="2430" xr:uid="{A89EAF5A-5281-4EDD-97EB-F64CE60C91F4}"/>
    <cellStyle name="Normal 2 5 4 2 2 2" xfId="5584" xr:uid="{08A6B148-DCB6-4E86-9B11-A812DF32187D}"/>
    <cellStyle name="Normal 2 5 4 2 2 2 2" xfId="11877" xr:uid="{099CDF47-445B-4DCC-BA48-6669984C337A}"/>
    <cellStyle name="Normal 2 5 4 2 2 2 2 2" xfId="24559" xr:uid="{704C1F67-060D-4CC2-A34E-DA41329316C3}"/>
    <cellStyle name="Normal 2 5 4 2 2 2 2 2 2" xfId="50051" xr:uid="{32FF6A81-B51A-4F93-8596-A1237023B40E}"/>
    <cellStyle name="Normal 2 5 4 2 2 2 2 3" xfId="37460" xr:uid="{D9F5C254-6362-47E0-9C5B-2E3CD982FCB6}"/>
    <cellStyle name="Normal 2 5 4 2 2 2 3" xfId="18281" xr:uid="{33090881-8A7B-4739-8CF1-5A3C016EBE6F}"/>
    <cellStyle name="Normal 2 5 4 2 2 2 3 2" xfId="43773" xr:uid="{6F0DA466-3083-4969-8C84-B9E86E40835A}"/>
    <cellStyle name="Normal 2 5 4 2 2 2 4" xfId="31182" xr:uid="{09C15BAA-E182-4F32-8F71-62EF95D3B000}"/>
    <cellStyle name="Normal 2 5 4 2 2 3" xfId="8738" xr:uid="{70841AA6-45E8-4F51-B3C7-7B2DC9E60FD9}"/>
    <cellStyle name="Normal 2 5 4 2 2 3 2" xfId="21420" xr:uid="{214E2A8A-85EA-44F8-9C85-F91BB849807D}"/>
    <cellStyle name="Normal 2 5 4 2 2 3 2 2" xfId="46912" xr:uid="{AF756EF5-A0B7-49AD-891B-2AD92C663303}"/>
    <cellStyle name="Normal 2 5 4 2 2 3 3" xfId="34321" xr:uid="{101552EC-DB77-423A-ACBE-A7722F20D806}"/>
    <cellStyle name="Normal 2 5 4 2 2 4" xfId="15142" xr:uid="{DE82F200-1BF2-4FCA-AE8A-3D63A966D501}"/>
    <cellStyle name="Normal 2 5 4 2 2 4 2" xfId="40634" xr:uid="{A11B1242-1560-4F1C-8922-C0F6B0AFC600}"/>
    <cellStyle name="Normal 2 5 4 2 2 5" xfId="28043" xr:uid="{C174A0DC-E8DA-4BBA-8BA0-8E89F78B8372}"/>
    <cellStyle name="Normal 2 5 4 2 3" xfId="1647" xr:uid="{47EB5665-C465-4E82-A4F5-AB3484C7DFA1}"/>
    <cellStyle name="Normal 2 5 4 2 3 2" xfId="4801" xr:uid="{51DDB943-1127-4849-86E9-BB7A38EE63A5}"/>
    <cellStyle name="Normal 2 5 4 2 3 2 2" xfId="11094" xr:uid="{0D1CC8EE-BEE9-4D27-8D80-DEC6FDEBF175}"/>
    <cellStyle name="Normal 2 5 4 2 3 2 2 2" xfId="23776" xr:uid="{200DD331-663D-4E37-A003-5497F362EE6E}"/>
    <cellStyle name="Normal 2 5 4 2 3 2 2 2 2" xfId="49268" xr:uid="{CCA73D18-DA50-451C-8C8E-B09DBB95BD63}"/>
    <cellStyle name="Normal 2 5 4 2 3 2 2 3" xfId="36677" xr:uid="{9D2F6A53-9385-4624-B80E-074459ACC922}"/>
    <cellStyle name="Normal 2 5 4 2 3 2 3" xfId="17498" xr:uid="{8DFCD4DC-5047-4009-869B-8ADF72D50663}"/>
    <cellStyle name="Normal 2 5 4 2 3 2 3 2" xfId="42990" xr:uid="{2AF316A8-8790-4789-A1F4-1E86A23ABDCF}"/>
    <cellStyle name="Normal 2 5 4 2 3 2 4" xfId="30399" xr:uid="{2E8FDF8B-AF39-4E8C-A7A2-A24B5B49E238}"/>
    <cellStyle name="Normal 2 5 4 2 3 3" xfId="7955" xr:uid="{B4554290-7179-4AD0-8CD9-79704C601F60}"/>
    <cellStyle name="Normal 2 5 4 2 3 3 2" xfId="20637" xr:uid="{3B86C44F-6DF8-4AFA-ABFD-C855A385ED88}"/>
    <cellStyle name="Normal 2 5 4 2 3 3 2 2" xfId="46129" xr:uid="{455580DB-4BD8-4FB3-A69A-F0F6FE47D72D}"/>
    <cellStyle name="Normal 2 5 4 2 3 3 3" xfId="33538" xr:uid="{DB31506F-C4A8-4DFF-8D02-7F73F3E21886}"/>
    <cellStyle name="Normal 2 5 4 2 3 4" xfId="14359" xr:uid="{68BD3FC0-03DB-4EA9-8322-B3BDFBA6424C}"/>
    <cellStyle name="Normal 2 5 4 2 3 4 2" xfId="39851" xr:uid="{6D01144E-9E08-4254-9F60-69248A7E491D}"/>
    <cellStyle name="Normal 2 5 4 2 3 5" xfId="27260" xr:uid="{504814D0-8C71-4EF9-810B-566B4FDEE093}"/>
    <cellStyle name="Normal 2 5 4 2 4" xfId="2954" xr:uid="{D5AA19EE-28F9-4FEF-B191-0ECE0F95A8C1}"/>
    <cellStyle name="Normal 2 5 4 2 4 2" xfId="6108" xr:uid="{00A48105-3B28-431D-8F31-72D034B8C34B}"/>
    <cellStyle name="Normal 2 5 4 2 4 2 2" xfId="12401" xr:uid="{C1EACDA1-C325-4631-834F-D6E35554D45F}"/>
    <cellStyle name="Normal 2 5 4 2 4 2 2 2" xfId="25083" xr:uid="{408152B6-DBF5-4403-ADEA-896875F161B6}"/>
    <cellStyle name="Normal 2 5 4 2 4 2 2 2 2" xfId="50575" xr:uid="{086764E9-9FCD-4517-BE78-F51E4F7948BC}"/>
    <cellStyle name="Normal 2 5 4 2 4 2 2 3" xfId="37984" xr:uid="{F4EFA564-00D7-4907-BB3E-7D8FDDACC79D}"/>
    <cellStyle name="Normal 2 5 4 2 4 2 3" xfId="18805" xr:uid="{6063FB1C-1F26-48F4-A397-D01CC791BB79}"/>
    <cellStyle name="Normal 2 5 4 2 4 2 3 2" xfId="44297" xr:uid="{26AF73E7-B2E6-42F2-B177-785CA76811C2}"/>
    <cellStyle name="Normal 2 5 4 2 4 2 4" xfId="31706" xr:uid="{1ABA1365-719D-44E1-8DEC-22ED30BB218F}"/>
    <cellStyle name="Normal 2 5 4 2 4 3" xfId="9262" xr:uid="{30C6EFE5-B973-4C07-AA0F-03078F165BB3}"/>
    <cellStyle name="Normal 2 5 4 2 4 3 2" xfId="21944" xr:uid="{A4B6C9BA-0E64-4F4B-9DB9-541451A45169}"/>
    <cellStyle name="Normal 2 5 4 2 4 3 2 2" xfId="47436" xr:uid="{ABD54D41-2348-4E8D-B8DF-314C8A5B8955}"/>
    <cellStyle name="Normal 2 5 4 2 4 3 3" xfId="34845" xr:uid="{97546E95-021A-4036-B944-3DE61972D8AF}"/>
    <cellStyle name="Normal 2 5 4 2 4 4" xfId="15666" xr:uid="{21A622DB-45CF-41D9-A4FB-D2BCE7B29AC9}"/>
    <cellStyle name="Normal 2 5 4 2 4 4 2" xfId="41158" xr:uid="{B8DC3233-4C7E-49C6-A3D1-B5799770C949}"/>
    <cellStyle name="Normal 2 5 4 2 4 5" xfId="28567" xr:uid="{38D02E41-FE28-4786-AD11-D7EB3FA79C2C}"/>
    <cellStyle name="Normal 2 5 4 2 5" xfId="3477" xr:uid="{D26338AB-ADDF-4CEB-BA46-F7E709EC3E78}"/>
    <cellStyle name="Normal 2 5 4 2 5 2" xfId="6631" xr:uid="{C1D5BECC-7649-434D-8441-8C26F5866E08}"/>
    <cellStyle name="Normal 2 5 4 2 5 2 2" xfId="12924" xr:uid="{C56EB77B-6BEA-4DE1-A8AD-20467A32832A}"/>
    <cellStyle name="Normal 2 5 4 2 5 2 2 2" xfId="25606" xr:uid="{2D5C1351-3B6D-4C9C-828E-5AC5798541B5}"/>
    <cellStyle name="Normal 2 5 4 2 5 2 2 2 2" xfId="51098" xr:uid="{6E218EE8-D5E5-4618-9585-CB9EC6C3FBEE}"/>
    <cellStyle name="Normal 2 5 4 2 5 2 2 3" xfId="38507" xr:uid="{DBC3B378-199B-4E63-9C3F-B0F39BC7AF72}"/>
    <cellStyle name="Normal 2 5 4 2 5 2 3" xfId="19328" xr:uid="{2ED4B921-4DB4-4251-9D47-6F174303080A}"/>
    <cellStyle name="Normal 2 5 4 2 5 2 3 2" xfId="44820" xr:uid="{3FEA2F21-EDED-44FF-8138-179D2E80ACFD}"/>
    <cellStyle name="Normal 2 5 4 2 5 2 4" xfId="32229" xr:uid="{A82B300E-6372-4D7A-968B-B2D0CFDFB255}"/>
    <cellStyle name="Normal 2 5 4 2 5 3" xfId="9785" xr:uid="{EE03F7C3-DF67-4C9A-A806-37AD554644B4}"/>
    <cellStyle name="Normal 2 5 4 2 5 3 2" xfId="22467" xr:uid="{0B590426-0AA4-48C9-92C4-49FDCFD93B61}"/>
    <cellStyle name="Normal 2 5 4 2 5 3 2 2" xfId="47959" xr:uid="{4731C03F-9395-4E80-AD64-53145A346A84}"/>
    <cellStyle name="Normal 2 5 4 2 5 3 3" xfId="35368" xr:uid="{5FE6EB10-4151-4EC2-B718-B6DCD6506957}"/>
    <cellStyle name="Normal 2 5 4 2 5 4" xfId="16189" xr:uid="{E2458972-F63E-435C-8543-BF7635B4A98F}"/>
    <cellStyle name="Normal 2 5 4 2 5 4 2" xfId="41681" xr:uid="{84F2A6FD-89A5-40D5-ADEA-94A10D5195F1}"/>
    <cellStyle name="Normal 2 5 4 2 5 5" xfId="29090" xr:uid="{6FF3C956-560C-491D-BA8A-0B678DB934BC}"/>
    <cellStyle name="Normal 2 5 4 2 6" xfId="4277" xr:uid="{AFE02588-74D4-404D-95ED-3524AAEE040A}"/>
    <cellStyle name="Normal 2 5 4 2 6 2" xfId="10570" xr:uid="{C26DF989-F352-4C91-BF45-EECCDFBB7EF3}"/>
    <cellStyle name="Normal 2 5 4 2 6 2 2" xfId="23252" xr:uid="{FDBE583B-85D7-4B27-A92E-3946608863C7}"/>
    <cellStyle name="Normal 2 5 4 2 6 2 2 2" xfId="48744" xr:uid="{8E52FFCA-9C7B-45B8-A21C-036BFB6D6FAB}"/>
    <cellStyle name="Normal 2 5 4 2 6 2 3" xfId="36153" xr:uid="{5A8444E2-8D64-44B2-85F1-A6DF8F94E34A}"/>
    <cellStyle name="Normal 2 5 4 2 6 3" xfId="16974" xr:uid="{FEB3394E-95CE-4A35-84E6-ABF301A6FA01}"/>
    <cellStyle name="Normal 2 5 4 2 6 3 2" xfId="42466" xr:uid="{6A598ED9-BE5E-4193-BB26-806607BE2B61}"/>
    <cellStyle name="Normal 2 5 4 2 6 4" xfId="29875" xr:uid="{6EC09173-BDFB-46EB-90D8-4F34008BF885}"/>
    <cellStyle name="Normal 2 5 4 2 7" xfId="7431" xr:uid="{5C1D4324-6590-4DD1-B406-0EE9C8A50553}"/>
    <cellStyle name="Normal 2 5 4 2 7 2" xfId="20113" xr:uid="{45DDE422-8492-40F0-8160-C39586499C73}"/>
    <cellStyle name="Normal 2 5 4 2 7 2 2" xfId="45605" xr:uid="{D026590B-C721-4477-8BB9-6CCA93A2E624}"/>
    <cellStyle name="Normal 2 5 4 2 7 3" xfId="33014" xr:uid="{365A13D3-EF19-444D-92C8-6BE49E59A112}"/>
    <cellStyle name="Normal 2 5 4 2 8" xfId="13835" xr:uid="{93A27159-3406-4B1F-9E51-2C5CB0AC9BD4}"/>
    <cellStyle name="Normal 2 5 4 2 8 2" xfId="39327" xr:uid="{82A61A66-0E0D-4F4E-A5B6-0DAC28B6A6A5}"/>
    <cellStyle name="Normal 2 5 4 2 9" xfId="26736" xr:uid="{F6665B53-5DE6-497A-A1A6-4C09848D34B4}"/>
    <cellStyle name="Normal 2 5 4 3" xfId="863" xr:uid="{CB6CD453-6A3D-4A03-A67A-01C160E5508A}"/>
    <cellStyle name="Normal 2 5 4 3 2" xfId="2170" xr:uid="{FBFE28B5-A48B-4DB7-B92E-D354EEB9B4A6}"/>
    <cellStyle name="Normal 2 5 4 3 2 2" xfId="5324" xr:uid="{6E008726-0682-4AEA-8657-A9A90ED01185}"/>
    <cellStyle name="Normal 2 5 4 3 2 2 2" xfId="11617" xr:uid="{23580FED-E85A-45E5-BB9B-9EA6D5504972}"/>
    <cellStyle name="Normal 2 5 4 3 2 2 2 2" xfId="24299" xr:uid="{6CD631AE-EAAB-4420-98B3-54796225D00B}"/>
    <cellStyle name="Normal 2 5 4 3 2 2 2 2 2" xfId="49791" xr:uid="{9A41B5D5-9E22-42D1-A59C-F2676F80AE00}"/>
    <cellStyle name="Normal 2 5 4 3 2 2 2 3" xfId="37200" xr:uid="{FF4447DE-92FB-4934-ABD4-03249D30CBC7}"/>
    <cellStyle name="Normal 2 5 4 3 2 2 3" xfId="18021" xr:uid="{1EE475E5-89B1-45EC-87C9-9386541BB008}"/>
    <cellStyle name="Normal 2 5 4 3 2 2 3 2" xfId="43513" xr:uid="{92FF6F82-355C-4955-B9FE-D6394BC4FA3E}"/>
    <cellStyle name="Normal 2 5 4 3 2 2 4" xfId="30922" xr:uid="{DC7DD70B-087E-42B9-9936-104D55023F69}"/>
    <cellStyle name="Normal 2 5 4 3 2 3" xfId="8478" xr:uid="{FC567C9F-9633-4DA4-9647-4EBB95EE2698}"/>
    <cellStyle name="Normal 2 5 4 3 2 3 2" xfId="21160" xr:uid="{B41C1C62-45BE-4CE2-83FC-ABB5309DD841}"/>
    <cellStyle name="Normal 2 5 4 3 2 3 2 2" xfId="46652" xr:uid="{018A5688-B708-4AC6-B478-8DD0583E29F1}"/>
    <cellStyle name="Normal 2 5 4 3 2 3 3" xfId="34061" xr:uid="{CD8C8F0D-6A92-4ADA-BFDD-B9A8CA5BB294}"/>
    <cellStyle name="Normal 2 5 4 3 2 4" xfId="14882" xr:uid="{587A9B39-550A-48F8-9E7E-E5BB888FAD3E}"/>
    <cellStyle name="Normal 2 5 4 3 2 4 2" xfId="40374" xr:uid="{B951CA1A-10C9-4F95-ABB5-D7169EDCEC39}"/>
    <cellStyle name="Normal 2 5 4 3 2 5" xfId="27783" xr:uid="{B9E7827B-02C7-42D1-AE53-D6D8D5DA46DD}"/>
    <cellStyle name="Normal 2 5 4 3 3" xfId="4017" xr:uid="{97609DE6-295A-42CC-95D1-EA9DBFFCB568}"/>
    <cellStyle name="Normal 2 5 4 3 3 2" xfId="10310" xr:uid="{E688E361-E4B2-4C71-BB85-D9511F1F90C1}"/>
    <cellStyle name="Normal 2 5 4 3 3 2 2" xfId="22992" xr:uid="{014B3980-9549-4D2D-93D6-AC3127FD0F12}"/>
    <cellStyle name="Normal 2 5 4 3 3 2 2 2" xfId="48484" xr:uid="{3BB414EF-9F9D-451D-BF87-2B30F585C9F2}"/>
    <cellStyle name="Normal 2 5 4 3 3 2 3" xfId="35893" xr:uid="{EEFBC66A-9F28-432B-AE02-729B8ACA4F73}"/>
    <cellStyle name="Normal 2 5 4 3 3 3" xfId="16714" xr:uid="{ED95A520-26FD-4D28-956C-EB1598B322DD}"/>
    <cellStyle name="Normal 2 5 4 3 3 3 2" xfId="42206" xr:uid="{B4FE0B0B-B220-4345-8A0D-04A11CD0F436}"/>
    <cellStyle name="Normal 2 5 4 3 3 4" xfId="29615" xr:uid="{27E8F863-8B4B-43DE-9D1E-11FE8C33D931}"/>
    <cellStyle name="Normal 2 5 4 3 4" xfId="7171" xr:uid="{07C4E624-419E-4260-9339-55A545FF5062}"/>
    <cellStyle name="Normal 2 5 4 3 4 2" xfId="19853" xr:uid="{FC1F7A06-223A-464B-82D1-3BB83AA23512}"/>
    <cellStyle name="Normal 2 5 4 3 4 2 2" xfId="45345" xr:uid="{F7BA2710-0165-4BD5-AB2D-F2037923B81C}"/>
    <cellStyle name="Normal 2 5 4 3 4 3" xfId="32754" xr:uid="{6D3C7F42-2B8D-4E0B-965D-5F8CA8F9B985}"/>
    <cellStyle name="Normal 2 5 4 3 5" xfId="13575" xr:uid="{75DB7C19-E25D-4A2C-842C-96D338447BE7}"/>
    <cellStyle name="Normal 2 5 4 3 5 2" xfId="39067" xr:uid="{B273B7B2-E2AA-45C8-96DC-F5EB4B228879}"/>
    <cellStyle name="Normal 2 5 4 3 6" xfId="26476" xr:uid="{AC056179-D353-44A2-95FD-772115CCBA21}"/>
    <cellStyle name="Normal 2 5 4 4" xfId="1908" xr:uid="{3431675A-4A73-4AC8-9656-CC37E0D2FBC8}"/>
    <cellStyle name="Normal 2 5 4 4 2" xfId="5062" xr:uid="{DC364C9F-DC8F-4BED-BD88-5C4066EB59A8}"/>
    <cellStyle name="Normal 2 5 4 4 2 2" xfId="11355" xr:uid="{D101BB2B-EF41-4A61-9B8A-F2C681861775}"/>
    <cellStyle name="Normal 2 5 4 4 2 2 2" xfId="24037" xr:uid="{E696B458-1598-48F4-9766-4D98178A5CB1}"/>
    <cellStyle name="Normal 2 5 4 4 2 2 2 2" xfId="49529" xr:uid="{9FCC7AA0-C3BA-4196-B415-DF9E9F075E0B}"/>
    <cellStyle name="Normal 2 5 4 4 2 2 3" xfId="36938" xr:uid="{59CFECB6-447B-4EEC-833C-5033BC6C6A93}"/>
    <cellStyle name="Normal 2 5 4 4 2 3" xfId="17759" xr:uid="{C19BBDAD-A829-4CE9-949A-44C9EAB81933}"/>
    <cellStyle name="Normal 2 5 4 4 2 3 2" xfId="43251" xr:uid="{8D3990FB-E576-4746-A6D5-46D6232567E5}"/>
    <cellStyle name="Normal 2 5 4 4 2 4" xfId="30660" xr:uid="{A8630FCD-1A07-4DDE-BFB6-617A34D9D0FB}"/>
    <cellStyle name="Normal 2 5 4 4 3" xfId="8216" xr:uid="{C5FBD22D-45F3-40E9-99C7-54842AC68034}"/>
    <cellStyle name="Normal 2 5 4 4 3 2" xfId="20898" xr:uid="{8798F168-46F1-42AB-BF7A-088C056524D5}"/>
    <cellStyle name="Normal 2 5 4 4 3 2 2" xfId="46390" xr:uid="{B1F56474-C458-46AC-9739-42583ABE55C1}"/>
    <cellStyle name="Normal 2 5 4 4 3 3" xfId="33799" xr:uid="{72CAA76D-6A83-41D3-B3C3-C7E57EDD60B8}"/>
    <cellStyle name="Normal 2 5 4 4 4" xfId="14620" xr:uid="{A94B9084-8C30-4B66-AA68-B68E3F034DB5}"/>
    <cellStyle name="Normal 2 5 4 4 4 2" xfId="40112" xr:uid="{EBE4155B-4B8C-4DBF-BFB6-3DC13080D446}"/>
    <cellStyle name="Normal 2 5 4 4 5" xfId="27521" xr:uid="{975A45A5-5BA9-4ADE-A3D7-680B861F1B41}"/>
    <cellStyle name="Normal 2 5 4 5" xfId="1386" xr:uid="{513C651B-C513-4EA5-A251-74EEA54831FB}"/>
    <cellStyle name="Normal 2 5 4 5 2" xfId="4540" xr:uid="{F07B3A3E-9EF0-4D95-A975-5AC5F058B446}"/>
    <cellStyle name="Normal 2 5 4 5 2 2" xfId="10833" xr:uid="{7A1140CE-2941-4065-8E9F-6B9D054CCA11}"/>
    <cellStyle name="Normal 2 5 4 5 2 2 2" xfId="23515" xr:uid="{9BDE2CF2-351A-4F31-B991-4CC186C4DF75}"/>
    <cellStyle name="Normal 2 5 4 5 2 2 2 2" xfId="49007" xr:uid="{CCA439E1-77C5-4462-928C-DD604434C7A5}"/>
    <cellStyle name="Normal 2 5 4 5 2 2 3" xfId="36416" xr:uid="{ED07437A-AA97-48CF-B885-B3049F9C2D2D}"/>
    <cellStyle name="Normal 2 5 4 5 2 3" xfId="17237" xr:uid="{11AA30D9-D389-4B4D-ADA5-2489F0058963}"/>
    <cellStyle name="Normal 2 5 4 5 2 3 2" xfId="42729" xr:uid="{5D5EE0FA-F193-476D-B85B-110422B973A5}"/>
    <cellStyle name="Normal 2 5 4 5 2 4" xfId="30138" xr:uid="{3695EEB9-E1AE-46B2-BAA5-FC10B23FA6B4}"/>
    <cellStyle name="Normal 2 5 4 5 3" xfId="7694" xr:uid="{F9546BA8-A97D-483E-A554-87C300B20CDC}"/>
    <cellStyle name="Normal 2 5 4 5 3 2" xfId="20376" xr:uid="{B2902D60-A203-40A9-A39A-9675853DA74C}"/>
    <cellStyle name="Normal 2 5 4 5 3 2 2" xfId="45868" xr:uid="{5AFECD34-1D3C-4FB8-88F5-EAC2C24F0BE8}"/>
    <cellStyle name="Normal 2 5 4 5 3 3" xfId="33277" xr:uid="{E5765F02-DD39-413A-AF86-2E5FE8C0D875}"/>
    <cellStyle name="Normal 2 5 4 5 4" xfId="14098" xr:uid="{F24C49BC-38C3-4115-A253-04F23B43D97D}"/>
    <cellStyle name="Normal 2 5 4 5 4 2" xfId="39590" xr:uid="{6AE16262-239A-45F5-9AED-1820FFB5DD0A}"/>
    <cellStyle name="Normal 2 5 4 5 5" xfId="26999" xr:uid="{7E5F028F-B8B2-4B7D-AB1B-D87DA0E31BEA}"/>
    <cellStyle name="Normal 2 5 4 6" xfId="2693" xr:uid="{7CC7D91F-646B-47CA-B1BC-3EFE13CD0AF5}"/>
    <cellStyle name="Normal 2 5 4 6 2" xfId="5847" xr:uid="{CD991235-D626-420C-9A6C-C590518F51DA}"/>
    <cellStyle name="Normal 2 5 4 6 2 2" xfId="12140" xr:uid="{B8458892-B400-40C6-82DD-C60B85CA118D}"/>
    <cellStyle name="Normal 2 5 4 6 2 2 2" xfId="24822" xr:uid="{A5DAF655-15B8-40E9-84D1-1837C5604F71}"/>
    <cellStyle name="Normal 2 5 4 6 2 2 2 2" xfId="50314" xr:uid="{A4804BBF-B968-4AB3-BEAC-3D778FEFA75A}"/>
    <cellStyle name="Normal 2 5 4 6 2 2 3" xfId="37723" xr:uid="{733ED9DB-9ADD-47B8-A76A-149889A163DD}"/>
    <cellStyle name="Normal 2 5 4 6 2 3" xfId="18544" xr:uid="{85F6E99E-86BB-4CF7-B6F6-665D568EC78D}"/>
    <cellStyle name="Normal 2 5 4 6 2 3 2" xfId="44036" xr:uid="{B8FCE883-29C9-4636-AF6E-35491EA65A06}"/>
    <cellStyle name="Normal 2 5 4 6 2 4" xfId="31445" xr:uid="{3D9B2036-8C1B-4700-8C4F-04D94680C971}"/>
    <cellStyle name="Normal 2 5 4 6 3" xfId="9001" xr:uid="{346A1934-DBBB-4A4D-89F0-44DA463EEA83}"/>
    <cellStyle name="Normal 2 5 4 6 3 2" xfId="21683" xr:uid="{7911D480-FBD6-420B-A620-F4F358B3FB24}"/>
    <cellStyle name="Normal 2 5 4 6 3 2 2" xfId="47175" xr:uid="{76951A76-E3D7-44DD-BAD9-166EEF8A6D2D}"/>
    <cellStyle name="Normal 2 5 4 6 3 3" xfId="34584" xr:uid="{DC71E886-5EB6-4B8A-A093-0F4C065EF1A8}"/>
    <cellStyle name="Normal 2 5 4 6 4" xfId="15405" xr:uid="{809AFECD-F437-4EF0-ABED-B5662863C464}"/>
    <cellStyle name="Normal 2 5 4 6 4 2" xfId="40897" xr:uid="{66506EE8-0732-46FA-B554-F0A8AAF1F20F}"/>
    <cellStyle name="Normal 2 5 4 6 5" xfId="28306" xr:uid="{9629BE75-089E-4653-B5AE-B535E0D2DC80}"/>
    <cellStyle name="Normal 2 5 4 7" xfId="3216" xr:uid="{E74FBFE9-1E2F-4049-9EBB-888F938A9757}"/>
    <cellStyle name="Normal 2 5 4 7 2" xfId="6370" xr:uid="{C64FB3B6-78C7-49E3-8D55-1DD0A2701050}"/>
    <cellStyle name="Normal 2 5 4 7 2 2" xfId="12663" xr:uid="{C8B4B157-2187-4001-B3E3-1D6A84A8B78A}"/>
    <cellStyle name="Normal 2 5 4 7 2 2 2" xfId="25345" xr:uid="{9C2F3C89-32C7-42A5-ABCC-7237585D1CCE}"/>
    <cellStyle name="Normal 2 5 4 7 2 2 2 2" xfId="50837" xr:uid="{F2B4BF4D-F591-457B-A30E-24BC578D40E9}"/>
    <cellStyle name="Normal 2 5 4 7 2 2 3" xfId="38246" xr:uid="{05EE9E18-4933-44C7-8248-F2C031987A6D}"/>
    <cellStyle name="Normal 2 5 4 7 2 3" xfId="19067" xr:uid="{85A4B334-2A5E-4DE8-B8DB-CD1A4EECB99B}"/>
    <cellStyle name="Normal 2 5 4 7 2 3 2" xfId="44559" xr:uid="{9AC94F43-03B6-4CC8-92B9-C74BE3B90707}"/>
    <cellStyle name="Normal 2 5 4 7 2 4" xfId="31968" xr:uid="{6B98FF52-DBD3-4F94-B7F9-E77593CA2E29}"/>
    <cellStyle name="Normal 2 5 4 7 3" xfId="9524" xr:uid="{E30CE580-2C27-441C-A97E-1CD0360C216F}"/>
    <cellStyle name="Normal 2 5 4 7 3 2" xfId="22206" xr:uid="{F1B32E63-A834-4B70-8F00-365FD0D830EF}"/>
    <cellStyle name="Normal 2 5 4 7 3 2 2" xfId="47698" xr:uid="{24989301-D3B8-4BCE-B4CD-903B09552004}"/>
    <cellStyle name="Normal 2 5 4 7 3 3" xfId="35107" xr:uid="{602805E8-EC44-4D73-88D3-B4DD23657303}"/>
    <cellStyle name="Normal 2 5 4 7 4" xfId="15928" xr:uid="{E035091C-A95E-44A8-8D97-B65D2D833B6D}"/>
    <cellStyle name="Normal 2 5 4 7 4 2" xfId="41420" xr:uid="{3577FE1C-A3ED-43B0-86C8-3B5AAD1147E0}"/>
    <cellStyle name="Normal 2 5 4 7 5" xfId="28829" xr:uid="{602C853B-113E-42F5-B2D7-67E97E359928}"/>
    <cellStyle name="Normal 2 5 4 8" xfId="3755" xr:uid="{B2527C3D-93BC-48CB-ACBA-B911DB1834A7}"/>
    <cellStyle name="Normal 2 5 4 8 2" xfId="10048" xr:uid="{62224FF0-9290-47CA-BD55-405B2F0764AD}"/>
    <cellStyle name="Normal 2 5 4 8 2 2" xfId="22730" xr:uid="{02B1AC65-C8C2-4033-BDD9-8C3E7252B36C}"/>
    <cellStyle name="Normal 2 5 4 8 2 2 2" xfId="48222" xr:uid="{ACC7E5AC-2D59-4537-B83C-1E1751225671}"/>
    <cellStyle name="Normal 2 5 4 8 2 3" xfId="35631" xr:uid="{70BB7F9D-1FE5-4DA0-A17A-FDFDA52D22D6}"/>
    <cellStyle name="Normal 2 5 4 8 3" xfId="16452" xr:uid="{84B0FEA0-70D0-46BA-82D3-D1043193F7DF}"/>
    <cellStyle name="Normal 2 5 4 8 3 2" xfId="41944" xr:uid="{E0EF06D6-256A-4FA2-AEDD-FC7E5F6F7D63}"/>
    <cellStyle name="Normal 2 5 4 8 4" xfId="29353" xr:uid="{2F1854D3-FE21-442D-96B0-890980293357}"/>
    <cellStyle name="Normal 2 5 4 9" xfId="6909" xr:uid="{4A0A3187-E05D-4CB3-B28A-CA3029E5B36E}"/>
    <cellStyle name="Normal 2 5 4 9 2" xfId="19591" xr:uid="{68E54674-A4DC-47EB-85D2-4234FA789BB6}"/>
    <cellStyle name="Normal 2 5 4 9 2 2" xfId="45083" xr:uid="{BBCFDDDC-37A5-4610-A951-5BA112895209}"/>
    <cellStyle name="Normal 2 5 4 9 3" xfId="32492" xr:uid="{75613BAD-657C-4257-832F-D067EF7DDA0C}"/>
    <cellStyle name="Normal 2 5 5" xfId="508" xr:uid="{C599CA18-E2E4-457A-9423-2200AC6E0699}"/>
    <cellStyle name="Normal 2 5 5 10" xfId="13235" xr:uid="{C94B4119-FFF8-46DA-BD77-3D18C792E993}"/>
    <cellStyle name="Normal 2 5 5 10 2" xfId="38727" xr:uid="{AFD3F916-D357-4756-A5FD-39C36E55BB67}"/>
    <cellStyle name="Normal 2 5 5 11" xfId="26136" xr:uid="{6AD41C39-1AFF-4483-A4E4-52D19A59B6C6}"/>
    <cellStyle name="Normal 2 5 5 2" xfId="1045" xr:uid="{B699DDCD-4D4E-4A6A-A2EE-E76EC120711E}"/>
    <cellStyle name="Normal 2 5 5 2 2" xfId="2352" xr:uid="{1BFDCD98-5ABA-4265-B6BF-C24F983A4E9E}"/>
    <cellStyle name="Normal 2 5 5 2 2 2" xfId="5506" xr:uid="{01F7D010-9B74-4E87-8190-1606BEFDAA28}"/>
    <cellStyle name="Normal 2 5 5 2 2 2 2" xfId="11799" xr:uid="{74E5EDC9-BDF8-467E-9409-C075D8ADD950}"/>
    <cellStyle name="Normal 2 5 5 2 2 2 2 2" xfId="24481" xr:uid="{2C24BF4F-E4F1-447B-9643-D958511BC15B}"/>
    <cellStyle name="Normal 2 5 5 2 2 2 2 2 2" xfId="49973" xr:uid="{81478B1D-DE23-4246-8814-ACA2035CBC76}"/>
    <cellStyle name="Normal 2 5 5 2 2 2 2 3" xfId="37382" xr:uid="{9F418BF3-5B43-4C91-9637-65401492570E}"/>
    <cellStyle name="Normal 2 5 5 2 2 2 3" xfId="18203" xr:uid="{D726B9FD-D750-449B-BA01-718BCCC9E036}"/>
    <cellStyle name="Normal 2 5 5 2 2 2 3 2" xfId="43695" xr:uid="{CC189C94-B653-4F87-BA08-414D82C75006}"/>
    <cellStyle name="Normal 2 5 5 2 2 2 4" xfId="31104" xr:uid="{6436DAD0-DD5F-4528-A401-DC7D59872C0A}"/>
    <cellStyle name="Normal 2 5 5 2 2 3" xfId="8660" xr:uid="{B644CF31-6B51-45A0-8280-03B12B2B77E1}"/>
    <cellStyle name="Normal 2 5 5 2 2 3 2" xfId="21342" xr:uid="{139E4F75-9676-4C1B-B769-013B838A86F6}"/>
    <cellStyle name="Normal 2 5 5 2 2 3 2 2" xfId="46834" xr:uid="{CD23585D-A5DD-4AC4-9C64-4E0CC224F391}"/>
    <cellStyle name="Normal 2 5 5 2 2 3 3" xfId="34243" xr:uid="{B545E2F4-E287-4034-BB5C-B14EB10DAE5F}"/>
    <cellStyle name="Normal 2 5 5 2 2 4" xfId="15064" xr:uid="{F9E8C7DC-00E8-4B02-AF9F-810070608D1D}"/>
    <cellStyle name="Normal 2 5 5 2 2 4 2" xfId="40556" xr:uid="{E2FB9746-D6B2-4BCC-8C32-39C2BCA48D12}"/>
    <cellStyle name="Normal 2 5 5 2 2 5" xfId="27965" xr:uid="{6392141F-A3E6-4EE0-96EC-ADC8FC38A257}"/>
    <cellStyle name="Normal 2 5 5 2 3" xfId="1569" xr:uid="{C950C5F3-6DA1-47CB-920F-AEB7C30C8F30}"/>
    <cellStyle name="Normal 2 5 5 2 3 2" xfId="4723" xr:uid="{84CD75E7-67F0-4413-B98C-9C0E41897E51}"/>
    <cellStyle name="Normal 2 5 5 2 3 2 2" xfId="11016" xr:uid="{CE49E24D-9AC5-42C5-96E3-D17CE2650682}"/>
    <cellStyle name="Normal 2 5 5 2 3 2 2 2" xfId="23698" xr:uid="{0B1F12CE-488F-4EA6-8849-2697BEEEB3D5}"/>
    <cellStyle name="Normal 2 5 5 2 3 2 2 2 2" xfId="49190" xr:uid="{A179DF64-0746-4FD5-A559-9FEC1F46CB6E}"/>
    <cellStyle name="Normal 2 5 5 2 3 2 2 3" xfId="36599" xr:uid="{FA79E453-854E-4C53-B072-EE791EB77BC9}"/>
    <cellStyle name="Normal 2 5 5 2 3 2 3" xfId="17420" xr:uid="{55C2F72E-30D1-44FA-AB32-2DF1E641CFF9}"/>
    <cellStyle name="Normal 2 5 5 2 3 2 3 2" xfId="42912" xr:uid="{D47D24CF-563B-4207-9E3F-5B043E927943}"/>
    <cellStyle name="Normal 2 5 5 2 3 2 4" xfId="30321" xr:uid="{D164451D-49D3-4532-B7B9-ED0DD654242F}"/>
    <cellStyle name="Normal 2 5 5 2 3 3" xfId="7877" xr:uid="{67E8300B-E1C5-4E5B-ABE4-993F1B953715}"/>
    <cellStyle name="Normal 2 5 5 2 3 3 2" xfId="20559" xr:uid="{E30F9870-3DDB-465F-9062-0EE446F04ABB}"/>
    <cellStyle name="Normal 2 5 5 2 3 3 2 2" xfId="46051" xr:uid="{7F055642-DE62-4E1A-99D4-E7DB6EA416C5}"/>
    <cellStyle name="Normal 2 5 5 2 3 3 3" xfId="33460" xr:uid="{B515B3A3-FAA7-4811-9057-0384AD6621A0}"/>
    <cellStyle name="Normal 2 5 5 2 3 4" xfId="14281" xr:uid="{C67E6516-251A-48A0-A7D5-322ADAA3E81C}"/>
    <cellStyle name="Normal 2 5 5 2 3 4 2" xfId="39773" xr:uid="{4EFEC7AD-DC30-42B8-AAEA-D172BC0C40C7}"/>
    <cellStyle name="Normal 2 5 5 2 3 5" xfId="27182" xr:uid="{F7A26331-0B1F-4D30-86B0-6B2B249D7832}"/>
    <cellStyle name="Normal 2 5 5 2 4" xfId="2876" xr:uid="{7DED97C2-7D28-4FBB-AE3E-8B535D185E06}"/>
    <cellStyle name="Normal 2 5 5 2 4 2" xfId="6030" xr:uid="{F8346877-4B1B-4E83-A570-ED7A052FB833}"/>
    <cellStyle name="Normal 2 5 5 2 4 2 2" xfId="12323" xr:uid="{7D77E37F-7A95-4C17-A59F-6EEBE0A3C6C8}"/>
    <cellStyle name="Normal 2 5 5 2 4 2 2 2" xfId="25005" xr:uid="{4335CF77-945C-4EFD-9B44-292EFE257B0D}"/>
    <cellStyle name="Normal 2 5 5 2 4 2 2 2 2" xfId="50497" xr:uid="{41F94873-715D-4EF1-BDB6-406B348E64C8}"/>
    <cellStyle name="Normal 2 5 5 2 4 2 2 3" xfId="37906" xr:uid="{FD59DC30-7DF5-4284-8195-F5D3D62BB890}"/>
    <cellStyle name="Normal 2 5 5 2 4 2 3" xfId="18727" xr:uid="{C91CF0BA-6491-4554-9554-7B37A58AD458}"/>
    <cellStyle name="Normal 2 5 5 2 4 2 3 2" xfId="44219" xr:uid="{AA3E146C-BA83-4007-A86E-E8AF7480469E}"/>
    <cellStyle name="Normal 2 5 5 2 4 2 4" xfId="31628" xr:uid="{F42E3790-194F-4417-B902-5E8E11B29178}"/>
    <cellStyle name="Normal 2 5 5 2 4 3" xfId="9184" xr:uid="{5AD387A3-1AE0-4D00-B4EF-64FE7FED9B46}"/>
    <cellStyle name="Normal 2 5 5 2 4 3 2" xfId="21866" xr:uid="{1718D2C0-0B80-400F-8514-4DFD35387FA9}"/>
    <cellStyle name="Normal 2 5 5 2 4 3 2 2" xfId="47358" xr:uid="{FB6460C0-0FEE-49E8-94CB-2028D05DFC1A}"/>
    <cellStyle name="Normal 2 5 5 2 4 3 3" xfId="34767" xr:uid="{2FC10F81-41CA-4CD0-9C21-4746CFB08033}"/>
    <cellStyle name="Normal 2 5 5 2 4 4" xfId="15588" xr:uid="{4F387E90-82AD-46CC-B850-249345F7B638}"/>
    <cellStyle name="Normal 2 5 5 2 4 4 2" xfId="41080" xr:uid="{54B566EC-8DCD-48AE-9C0E-286B4F04A5EA}"/>
    <cellStyle name="Normal 2 5 5 2 4 5" xfId="28489" xr:uid="{A28295A9-C2B2-4C39-80B5-E24FA01B63AD}"/>
    <cellStyle name="Normal 2 5 5 2 5" xfId="3399" xr:uid="{C166C93D-34CC-448A-987F-2D301A39A846}"/>
    <cellStyle name="Normal 2 5 5 2 5 2" xfId="6553" xr:uid="{67259216-9109-4E7E-AE80-769BBA95DAC6}"/>
    <cellStyle name="Normal 2 5 5 2 5 2 2" xfId="12846" xr:uid="{D7DE04A1-E27A-44BF-9336-76BFF87F3327}"/>
    <cellStyle name="Normal 2 5 5 2 5 2 2 2" xfId="25528" xr:uid="{3169CEF5-545F-4999-973A-74035B3C65D0}"/>
    <cellStyle name="Normal 2 5 5 2 5 2 2 2 2" xfId="51020" xr:uid="{007E74C5-9C53-48E4-9C9E-2DB9215FF975}"/>
    <cellStyle name="Normal 2 5 5 2 5 2 2 3" xfId="38429" xr:uid="{9FA1DE7C-05C7-4276-AEE5-80E66C74B8F6}"/>
    <cellStyle name="Normal 2 5 5 2 5 2 3" xfId="19250" xr:uid="{22AFF1FB-83E9-40B9-8A63-B6690CF8F0C2}"/>
    <cellStyle name="Normal 2 5 5 2 5 2 3 2" xfId="44742" xr:uid="{CFAC6D27-B482-4427-A520-57C9A9E99AA5}"/>
    <cellStyle name="Normal 2 5 5 2 5 2 4" xfId="32151" xr:uid="{A7FE450B-27DE-4731-8A1F-21EA5FB543E0}"/>
    <cellStyle name="Normal 2 5 5 2 5 3" xfId="9707" xr:uid="{189EE706-4E9E-4BBB-A33E-0F1FEA91185D}"/>
    <cellStyle name="Normal 2 5 5 2 5 3 2" xfId="22389" xr:uid="{1C2AB59E-08D8-42E4-9177-3015885139D5}"/>
    <cellStyle name="Normal 2 5 5 2 5 3 2 2" xfId="47881" xr:uid="{88347B18-BCDC-4C2F-A946-6E9025CA2B80}"/>
    <cellStyle name="Normal 2 5 5 2 5 3 3" xfId="35290" xr:uid="{BDE1DA15-24F1-4DBF-BA56-A53DA140A372}"/>
    <cellStyle name="Normal 2 5 5 2 5 4" xfId="16111" xr:uid="{847FD4FB-CB9E-4C3C-B8EF-23C685D7358C}"/>
    <cellStyle name="Normal 2 5 5 2 5 4 2" xfId="41603" xr:uid="{310FEF9A-9C83-43F4-A628-0F6A7CEC242E}"/>
    <cellStyle name="Normal 2 5 5 2 5 5" xfId="29012" xr:uid="{7F19CF47-1BCF-40B7-AFB0-3A5DC1127346}"/>
    <cellStyle name="Normal 2 5 5 2 6" xfId="4199" xr:uid="{AACF9825-62A8-4023-A5A6-E12A4600BD7F}"/>
    <cellStyle name="Normal 2 5 5 2 6 2" xfId="10492" xr:uid="{B1B78CB7-BD63-40E3-B89A-5EC8240B696E}"/>
    <cellStyle name="Normal 2 5 5 2 6 2 2" xfId="23174" xr:uid="{38314E10-A520-4221-A84B-3E124FC6EA38}"/>
    <cellStyle name="Normal 2 5 5 2 6 2 2 2" xfId="48666" xr:uid="{1D8F20F7-16B7-4E21-8034-9B59058F0601}"/>
    <cellStyle name="Normal 2 5 5 2 6 2 3" xfId="36075" xr:uid="{9E89547B-9B88-4144-B50E-83354312A8A5}"/>
    <cellStyle name="Normal 2 5 5 2 6 3" xfId="16896" xr:uid="{1AEA37B4-BD9C-4BA2-80B7-1D89B74DA38F}"/>
    <cellStyle name="Normal 2 5 5 2 6 3 2" xfId="42388" xr:uid="{031A07E7-624B-46D7-9F3E-76693EB800A0}"/>
    <cellStyle name="Normal 2 5 5 2 6 4" xfId="29797" xr:uid="{2B3BF6BB-1F6B-44EF-90FE-F934A497E3C0}"/>
    <cellStyle name="Normal 2 5 5 2 7" xfId="7353" xr:uid="{DCAAC0A4-D8E7-478B-AA2C-888C850191EF}"/>
    <cellStyle name="Normal 2 5 5 2 7 2" xfId="20035" xr:uid="{45842B1C-F5E4-4566-89C8-6649F0B25494}"/>
    <cellStyle name="Normal 2 5 5 2 7 2 2" xfId="45527" xr:uid="{AF1D0186-F4E1-4184-821A-03E54C95B2F8}"/>
    <cellStyle name="Normal 2 5 5 2 7 3" xfId="32936" xr:uid="{B384B0AE-4E66-42CC-A001-446DAE66E2C5}"/>
    <cellStyle name="Normal 2 5 5 2 8" xfId="13757" xr:uid="{1466FA1A-2184-4F0F-BDB8-A270CD426595}"/>
    <cellStyle name="Normal 2 5 5 2 8 2" xfId="39249" xr:uid="{191534BD-3FE0-4C22-8DE3-800EB863D260}"/>
    <cellStyle name="Normal 2 5 5 2 9" xfId="26658" xr:uid="{AC127DCA-B3CE-44D1-80BC-3064407A6BCD}"/>
    <cellStyle name="Normal 2 5 5 3" xfId="785" xr:uid="{AE9923C5-1083-4278-AB88-4109DAD3B662}"/>
    <cellStyle name="Normal 2 5 5 3 2" xfId="2092" xr:uid="{F30CDA32-A6E3-4F7B-A764-0044000B5855}"/>
    <cellStyle name="Normal 2 5 5 3 2 2" xfId="5246" xr:uid="{DA535074-4061-4F0F-8C18-25F5712D9E5B}"/>
    <cellStyle name="Normal 2 5 5 3 2 2 2" xfId="11539" xr:uid="{6658DAB6-48AB-4F44-8FAD-BA03E0CAD42A}"/>
    <cellStyle name="Normal 2 5 5 3 2 2 2 2" xfId="24221" xr:uid="{693E9981-B950-4DF1-B052-55BCE0ABF78E}"/>
    <cellStyle name="Normal 2 5 5 3 2 2 2 2 2" xfId="49713" xr:uid="{5F6916FA-AEC4-4946-899F-A333B29A38DA}"/>
    <cellStyle name="Normal 2 5 5 3 2 2 2 3" xfId="37122" xr:uid="{8192A963-326D-428E-B5FD-96712C964744}"/>
    <cellStyle name="Normal 2 5 5 3 2 2 3" xfId="17943" xr:uid="{523704C8-1721-453A-951F-4CFF4A4236E2}"/>
    <cellStyle name="Normal 2 5 5 3 2 2 3 2" xfId="43435" xr:uid="{030C9927-E306-4F6F-8071-2942E1170C54}"/>
    <cellStyle name="Normal 2 5 5 3 2 2 4" xfId="30844" xr:uid="{F74EA2F9-9140-4208-A9D0-DBF349DD0BF2}"/>
    <cellStyle name="Normal 2 5 5 3 2 3" xfId="8400" xr:uid="{811A9A9F-0B7C-41B2-9460-27B104D391D0}"/>
    <cellStyle name="Normal 2 5 5 3 2 3 2" xfId="21082" xr:uid="{8157DDCA-009C-4A33-8338-3FF6BACB5F27}"/>
    <cellStyle name="Normal 2 5 5 3 2 3 2 2" xfId="46574" xr:uid="{C698BEAD-2D0C-445F-BF9F-3A60A2086006}"/>
    <cellStyle name="Normal 2 5 5 3 2 3 3" xfId="33983" xr:uid="{6E0B1FCE-E704-4BD9-A569-85F94F68979B}"/>
    <cellStyle name="Normal 2 5 5 3 2 4" xfId="14804" xr:uid="{D895EEA7-10D0-4335-8386-AC50607AAFE4}"/>
    <cellStyle name="Normal 2 5 5 3 2 4 2" xfId="40296" xr:uid="{D2717298-CE24-480D-883E-05E8B146EA1E}"/>
    <cellStyle name="Normal 2 5 5 3 2 5" xfId="27705" xr:uid="{0600F888-F12D-421F-8875-C9615A274ED2}"/>
    <cellStyle name="Normal 2 5 5 3 3" xfId="3939" xr:uid="{C5C356FC-812D-4124-B51E-7FAD0AB71546}"/>
    <cellStyle name="Normal 2 5 5 3 3 2" xfId="10232" xr:uid="{FBD3EE00-117C-48CB-AA97-84DA51124315}"/>
    <cellStyle name="Normal 2 5 5 3 3 2 2" xfId="22914" xr:uid="{FFB8897F-E070-4F2F-8015-9E33C9C50FB5}"/>
    <cellStyle name="Normal 2 5 5 3 3 2 2 2" xfId="48406" xr:uid="{84908502-746F-46C3-8DC7-BB449ADB49D5}"/>
    <cellStyle name="Normal 2 5 5 3 3 2 3" xfId="35815" xr:uid="{4DF05F6B-FEA4-4459-985F-F39DE8C05F89}"/>
    <cellStyle name="Normal 2 5 5 3 3 3" xfId="16636" xr:uid="{9633DB7F-7149-47E3-8EA3-1084F4F9FB7F}"/>
    <cellStyle name="Normal 2 5 5 3 3 3 2" xfId="42128" xr:uid="{228B7BE4-9C91-48DB-9689-F267CE3FCC4B}"/>
    <cellStyle name="Normal 2 5 5 3 3 4" xfId="29537" xr:uid="{BD1BDF41-9C66-4D28-86B3-B6731E6AD5B9}"/>
    <cellStyle name="Normal 2 5 5 3 4" xfId="7093" xr:uid="{00B61485-A1FE-4393-A81E-D8F5A8E7D47C}"/>
    <cellStyle name="Normal 2 5 5 3 4 2" xfId="19775" xr:uid="{8CDC3AFD-3EFA-46EE-9933-3D8AB6466995}"/>
    <cellStyle name="Normal 2 5 5 3 4 2 2" xfId="45267" xr:uid="{A5A5866B-5359-49E2-847D-F50936074BC6}"/>
    <cellStyle name="Normal 2 5 5 3 4 3" xfId="32676" xr:uid="{3C0FA494-2524-4AD8-97BE-5AA176C58419}"/>
    <cellStyle name="Normal 2 5 5 3 5" xfId="13497" xr:uid="{6FB42815-21BA-49EB-9BD6-748A63B63E85}"/>
    <cellStyle name="Normal 2 5 5 3 5 2" xfId="38989" xr:uid="{CFAB0701-9DBA-43E9-A429-6D1B3A64E742}"/>
    <cellStyle name="Normal 2 5 5 3 6" xfId="26398" xr:uid="{96A5B801-4BCC-4625-BAA4-ACE16D8F596E}"/>
    <cellStyle name="Normal 2 5 5 4" xfId="1830" xr:uid="{3C73BD40-6770-47EE-97BC-4F017088C61C}"/>
    <cellStyle name="Normal 2 5 5 4 2" xfId="4984" xr:uid="{236E6455-5C3B-4476-8CD4-61A0900D1CE9}"/>
    <cellStyle name="Normal 2 5 5 4 2 2" xfId="11277" xr:uid="{481F8083-0204-4F25-9340-832D31858F7C}"/>
    <cellStyle name="Normal 2 5 5 4 2 2 2" xfId="23959" xr:uid="{D7D3382A-5646-4E7A-B696-5E9B2E3B29A8}"/>
    <cellStyle name="Normal 2 5 5 4 2 2 2 2" xfId="49451" xr:uid="{4838E377-0638-4CC4-9996-284955FAADC8}"/>
    <cellStyle name="Normal 2 5 5 4 2 2 3" xfId="36860" xr:uid="{07F3B00B-FFB7-49FF-9323-722D7E633F1B}"/>
    <cellStyle name="Normal 2 5 5 4 2 3" xfId="17681" xr:uid="{F404791B-11AE-4EB8-9174-BE69E7CB7D18}"/>
    <cellStyle name="Normal 2 5 5 4 2 3 2" xfId="43173" xr:uid="{ECD5DE65-6711-433A-975E-2EB38D5CBF31}"/>
    <cellStyle name="Normal 2 5 5 4 2 4" xfId="30582" xr:uid="{4CF77A21-BF66-43D4-AFF5-46A95B05CF95}"/>
    <cellStyle name="Normal 2 5 5 4 3" xfId="8138" xr:uid="{6597A510-EB83-43CF-8241-0A486F05F69D}"/>
    <cellStyle name="Normal 2 5 5 4 3 2" xfId="20820" xr:uid="{E2EEEAAE-D2DB-4FCC-950C-B6ACBFF18B76}"/>
    <cellStyle name="Normal 2 5 5 4 3 2 2" xfId="46312" xr:uid="{675EAF26-F6B3-4972-AD75-534CE8316730}"/>
    <cellStyle name="Normal 2 5 5 4 3 3" xfId="33721" xr:uid="{FAFB620D-DE7B-4662-B1DA-4B0A0FA7BB7E}"/>
    <cellStyle name="Normal 2 5 5 4 4" xfId="14542" xr:uid="{265CBC34-9AFB-48CD-A6DC-274A34709676}"/>
    <cellStyle name="Normal 2 5 5 4 4 2" xfId="40034" xr:uid="{6AF9ABDD-74A9-4CB1-916B-4B29F9375CC6}"/>
    <cellStyle name="Normal 2 5 5 4 5" xfId="27443" xr:uid="{A6092D98-F277-4AAD-9856-F5733AA8D900}"/>
    <cellStyle name="Normal 2 5 5 5" xfId="1308" xr:uid="{8DCB1892-C9F7-4CBD-8FF0-C45E82475023}"/>
    <cellStyle name="Normal 2 5 5 5 2" xfId="4462" xr:uid="{7338FF3E-108A-45B8-9344-1F48E81C7DED}"/>
    <cellStyle name="Normal 2 5 5 5 2 2" xfId="10755" xr:uid="{3C24C805-3D87-4CA2-BB49-9E95D61F50D8}"/>
    <cellStyle name="Normal 2 5 5 5 2 2 2" xfId="23437" xr:uid="{5A1BE450-52E8-4F90-8079-469740B369E0}"/>
    <cellStyle name="Normal 2 5 5 5 2 2 2 2" xfId="48929" xr:uid="{53469243-F69F-4B94-9A72-42EBA6682CB5}"/>
    <cellStyle name="Normal 2 5 5 5 2 2 3" xfId="36338" xr:uid="{BF3BE854-A57D-4874-8F68-BFA82AE50CDB}"/>
    <cellStyle name="Normal 2 5 5 5 2 3" xfId="17159" xr:uid="{616CED62-9122-40BA-9215-7280852D2709}"/>
    <cellStyle name="Normal 2 5 5 5 2 3 2" xfId="42651" xr:uid="{C49E3E43-77B2-4AB1-84E2-9A10BF7DDE27}"/>
    <cellStyle name="Normal 2 5 5 5 2 4" xfId="30060" xr:uid="{9C037545-4BB1-4F59-9551-BA1EB5F1D51A}"/>
    <cellStyle name="Normal 2 5 5 5 3" xfId="7616" xr:uid="{8CE65E97-D809-4FE4-892E-D86D8811A632}"/>
    <cellStyle name="Normal 2 5 5 5 3 2" xfId="20298" xr:uid="{10AF8F1D-0562-4F62-8AEB-4AF697C8330A}"/>
    <cellStyle name="Normal 2 5 5 5 3 2 2" xfId="45790" xr:uid="{946D2F67-ACCB-4E0D-9D04-FE46465D5462}"/>
    <cellStyle name="Normal 2 5 5 5 3 3" xfId="33199" xr:uid="{4418B3D9-52F8-42B8-B0F3-303B0F4F2F09}"/>
    <cellStyle name="Normal 2 5 5 5 4" xfId="14020" xr:uid="{50F5048D-3384-45D8-A5EA-A89A326767F2}"/>
    <cellStyle name="Normal 2 5 5 5 4 2" xfId="39512" xr:uid="{3D44A449-584F-440C-BDF2-A6428808E675}"/>
    <cellStyle name="Normal 2 5 5 5 5" xfId="26921" xr:uid="{8FBEF7AE-FC65-45AA-9666-DBAF6E5F23BA}"/>
    <cellStyle name="Normal 2 5 5 6" xfId="2615" xr:uid="{B0E38544-0BCD-419D-91B8-76AA5C295323}"/>
    <cellStyle name="Normal 2 5 5 6 2" xfId="5769" xr:uid="{17C2F99B-DEBE-4AD9-9107-7F0782F3A2ED}"/>
    <cellStyle name="Normal 2 5 5 6 2 2" xfId="12062" xr:uid="{3D0C7E7A-F7ED-4ED3-8659-0B05F5AB7A0D}"/>
    <cellStyle name="Normal 2 5 5 6 2 2 2" xfId="24744" xr:uid="{48DAF9E5-D1AA-4BEB-B143-B22DEA76C6EB}"/>
    <cellStyle name="Normal 2 5 5 6 2 2 2 2" xfId="50236" xr:uid="{1A8E6A16-5443-44E1-B4C2-FEC92886C4F6}"/>
    <cellStyle name="Normal 2 5 5 6 2 2 3" xfId="37645" xr:uid="{86E42D5A-1C5C-4F0D-AB49-86826484FBE0}"/>
    <cellStyle name="Normal 2 5 5 6 2 3" xfId="18466" xr:uid="{F3EEFAF9-12DD-4312-A241-0B7D959FC4F8}"/>
    <cellStyle name="Normal 2 5 5 6 2 3 2" xfId="43958" xr:uid="{4DE9EB65-0DDD-43D0-9C86-DACF55FAC395}"/>
    <cellStyle name="Normal 2 5 5 6 2 4" xfId="31367" xr:uid="{7B176E54-9EEF-47AD-BA9F-BB5DE991D459}"/>
    <cellStyle name="Normal 2 5 5 6 3" xfId="8923" xr:uid="{2F3769A1-933E-4416-8B21-06C8086773B5}"/>
    <cellStyle name="Normal 2 5 5 6 3 2" xfId="21605" xr:uid="{4808BC16-D1BD-47C1-BA01-8D17A1C377D0}"/>
    <cellStyle name="Normal 2 5 5 6 3 2 2" xfId="47097" xr:uid="{097B8F82-972C-40E1-9270-B20F111FBD43}"/>
    <cellStyle name="Normal 2 5 5 6 3 3" xfId="34506" xr:uid="{28DAC673-0A59-4092-83B8-BF697CFC0F82}"/>
    <cellStyle name="Normal 2 5 5 6 4" xfId="15327" xr:uid="{87F771DB-334E-4F3F-B5FC-D4A123108208}"/>
    <cellStyle name="Normal 2 5 5 6 4 2" xfId="40819" xr:uid="{06193AE5-B4E1-4989-A678-A9E7D320A540}"/>
    <cellStyle name="Normal 2 5 5 6 5" xfId="28228" xr:uid="{4E372DCD-3BA0-4543-A100-12C4A215DA0A}"/>
    <cellStyle name="Normal 2 5 5 7" xfId="3138" xr:uid="{CEB1A330-0677-43C0-A0DD-57E8282F8D9C}"/>
    <cellStyle name="Normal 2 5 5 7 2" xfId="6292" xr:uid="{8444FD24-FD79-4314-B00F-F0619EAD533A}"/>
    <cellStyle name="Normal 2 5 5 7 2 2" xfId="12585" xr:uid="{55CEAAE9-0D26-4D7F-BC19-0B3AD5D3B227}"/>
    <cellStyle name="Normal 2 5 5 7 2 2 2" xfId="25267" xr:uid="{7CCCD445-99E2-4E5A-B9B2-6E6459D2E019}"/>
    <cellStyle name="Normal 2 5 5 7 2 2 2 2" xfId="50759" xr:uid="{54F2CE10-F915-42AF-86C0-5C54A53A5E43}"/>
    <cellStyle name="Normal 2 5 5 7 2 2 3" xfId="38168" xr:uid="{BF08E5AA-B959-4911-AA60-8B9E5B1A84E7}"/>
    <cellStyle name="Normal 2 5 5 7 2 3" xfId="18989" xr:uid="{75C454B4-ED53-4DF1-8E86-02FC0EA1D64C}"/>
    <cellStyle name="Normal 2 5 5 7 2 3 2" xfId="44481" xr:uid="{F4F68DA6-8218-45A0-A7BF-2DF0E6AA9E02}"/>
    <cellStyle name="Normal 2 5 5 7 2 4" xfId="31890" xr:uid="{4A22EBCC-21C4-488D-A096-827B5AEB59FB}"/>
    <cellStyle name="Normal 2 5 5 7 3" xfId="9446" xr:uid="{F20BC00E-BED1-4DF9-A53A-6A78FB25F4F5}"/>
    <cellStyle name="Normal 2 5 5 7 3 2" xfId="22128" xr:uid="{C16FA957-9EE8-47A4-9F1A-2C3C24069BC5}"/>
    <cellStyle name="Normal 2 5 5 7 3 2 2" xfId="47620" xr:uid="{0FB3762A-9DD6-42E0-A9DF-356E4BC01D30}"/>
    <cellStyle name="Normal 2 5 5 7 3 3" xfId="35029" xr:uid="{3E584378-31C6-49F6-8ED5-6847C3C62EDB}"/>
    <cellStyle name="Normal 2 5 5 7 4" xfId="15850" xr:uid="{84FF29EB-0B58-4027-A308-0B4E0904C614}"/>
    <cellStyle name="Normal 2 5 5 7 4 2" xfId="41342" xr:uid="{539C734F-DD1A-4FF8-A365-CAAEAC38FCA7}"/>
    <cellStyle name="Normal 2 5 5 7 5" xfId="28751" xr:uid="{7CA434D7-1E45-4147-941B-4ABE66D5275E}"/>
    <cellStyle name="Normal 2 5 5 8" xfId="3677" xr:uid="{4C517C8D-E3A9-4CD9-8D27-2A1E2946260E}"/>
    <cellStyle name="Normal 2 5 5 8 2" xfId="9970" xr:uid="{EE62E4B6-9D4C-4D0A-B43C-34762FECD269}"/>
    <cellStyle name="Normal 2 5 5 8 2 2" xfId="22652" xr:uid="{9D55DB11-24B6-43F8-93A7-CF4E4B34F211}"/>
    <cellStyle name="Normal 2 5 5 8 2 2 2" xfId="48144" xr:uid="{BB539752-C356-4FA7-99D0-2BE8950B8536}"/>
    <cellStyle name="Normal 2 5 5 8 2 3" xfId="35553" xr:uid="{D1849564-2009-4373-8F3C-5C437B092967}"/>
    <cellStyle name="Normal 2 5 5 8 3" xfId="16374" xr:uid="{5C6B474C-7EA4-43EF-9E61-62819B6DED41}"/>
    <cellStyle name="Normal 2 5 5 8 3 2" xfId="41866" xr:uid="{0C5371B3-E662-4539-8C8B-64B4EF8C2DEE}"/>
    <cellStyle name="Normal 2 5 5 8 4" xfId="29275" xr:uid="{B006FC59-1E17-4BFA-985E-EA5538C99B1E}"/>
    <cellStyle name="Normal 2 5 5 9" xfId="6831" xr:uid="{6218DB45-3E6E-44BE-9FA1-4E8902F15976}"/>
    <cellStyle name="Normal 2 5 5 9 2" xfId="19513" xr:uid="{E4DC7DC0-5291-490B-BBBD-B125A8AD5C12}"/>
    <cellStyle name="Normal 2 5 5 9 2 2" xfId="45005" xr:uid="{BEDB9FDF-73AF-456A-B78D-808CE7380126}"/>
    <cellStyle name="Normal 2 5 5 9 3" xfId="32414" xr:uid="{CB88BE8B-9CFB-4190-8D05-F7D36368FC41}"/>
    <cellStyle name="Normal 2 5 6" xfId="964" xr:uid="{C7589F30-ED51-4ED1-BAC0-4F77FF97306D}"/>
    <cellStyle name="Normal 2 5 6 2" xfId="2271" xr:uid="{F766D0CE-9279-4295-A260-887CC6D58F05}"/>
    <cellStyle name="Normal 2 5 6 2 2" xfId="5425" xr:uid="{2E9D1DF2-BBBA-4E1D-A6B4-CF76534C2AFF}"/>
    <cellStyle name="Normal 2 5 6 2 2 2" xfId="11718" xr:uid="{101399CA-2131-466F-BA99-08C1E7E43E73}"/>
    <cellStyle name="Normal 2 5 6 2 2 2 2" xfId="24400" xr:uid="{79DEFA4D-AA1A-4A4E-B730-CF239502A9F9}"/>
    <cellStyle name="Normal 2 5 6 2 2 2 2 2" xfId="49892" xr:uid="{F4C985E6-2164-485E-880F-88D91A3F29FB}"/>
    <cellStyle name="Normal 2 5 6 2 2 2 3" xfId="37301" xr:uid="{84F39FD4-2C86-428D-9FBC-1119873F893D}"/>
    <cellStyle name="Normal 2 5 6 2 2 3" xfId="18122" xr:uid="{C5A66E00-1708-454C-8D3D-62C92E011007}"/>
    <cellStyle name="Normal 2 5 6 2 2 3 2" xfId="43614" xr:uid="{63AC7889-53DA-47EC-9824-3AB7A4677CC4}"/>
    <cellStyle name="Normal 2 5 6 2 2 4" xfId="31023" xr:uid="{3A1F84D0-74AB-4C54-A035-CA9474842235}"/>
    <cellStyle name="Normal 2 5 6 2 3" xfId="8579" xr:uid="{5FD831B1-A9B5-4E99-B841-3D10C22492CA}"/>
    <cellStyle name="Normal 2 5 6 2 3 2" xfId="21261" xr:uid="{A67A355A-CD21-4401-A0CC-3B02AA6639E8}"/>
    <cellStyle name="Normal 2 5 6 2 3 2 2" xfId="46753" xr:uid="{CEFC3949-9DAB-441D-976B-2C76B30CF6DA}"/>
    <cellStyle name="Normal 2 5 6 2 3 3" xfId="34162" xr:uid="{659EA1C5-7001-480E-B7D3-9A1B32624C76}"/>
    <cellStyle name="Normal 2 5 6 2 4" xfId="14983" xr:uid="{701CF6F5-8AEA-4C34-9AA7-FB35AE69FCBF}"/>
    <cellStyle name="Normal 2 5 6 2 4 2" xfId="40475" xr:uid="{F17C9E55-3409-4ECC-82B9-599931029615}"/>
    <cellStyle name="Normal 2 5 6 2 5" xfId="27884" xr:uid="{6AF2CB96-F233-409E-A5E4-AB685AE1E4EF}"/>
    <cellStyle name="Normal 2 5 6 3" xfId="1488" xr:uid="{3A76F2BE-D4F6-4AA8-8630-8E6DB4CD41E1}"/>
    <cellStyle name="Normal 2 5 6 3 2" xfId="4642" xr:uid="{AA8FADE2-1FDF-48FE-A6D4-A9C6D2E20AE3}"/>
    <cellStyle name="Normal 2 5 6 3 2 2" xfId="10935" xr:uid="{326BE793-2683-401C-A72E-60815BC6BB3B}"/>
    <cellStyle name="Normal 2 5 6 3 2 2 2" xfId="23617" xr:uid="{2856815D-D0E8-4507-BF05-E45DCA345B06}"/>
    <cellStyle name="Normal 2 5 6 3 2 2 2 2" xfId="49109" xr:uid="{D663FAC5-7B77-4FEA-A6C9-17F255B98252}"/>
    <cellStyle name="Normal 2 5 6 3 2 2 3" xfId="36518" xr:uid="{9AB03BF8-5FED-407E-9307-849B56385144}"/>
    <cellStyle name="Normal 2 5 6 3 2 3" xfId="17339" xr:uid="{B99E81AF-30D5-48CD-BD35-3AA9A3839E06}"/>
    <cellStyle name="Normal 2 5 6 3 2 3 2" xfId="42831" xr:uid="{BEA2BEA3-B337-4E03-9B6C-9CF025B63050}"/>
    <cellStyle name="Normal 2 5 6 3 2 4" xfId="30240" xr:uid="{1C7E8479-724C-4323-ADF7-F3C2FF53C3C9}"/>
    <cellStyle name="Normal 2 5 6 3 3" xfId="7796" xr:uid="{B5ABD3F2-EE61-4BB5-A795-6A14ABFF86DE}"/>
    <cellStyle name="Normal 2 5 6 3 3 2" xfId="20478" xr:uid="{5325FE31-EAB2-4D10-BA06-073D084FD88D}"/>
    <cellStyle name="Normal 2 5 6 3 3 2 2" xfId="45970" xr:uid="{5C149F3F-0DFD-449C-9448-D3966C496FCB}"/>
    <cellStyle name="Normal 2 5 6 3 3 3" xfId="33379" xr:uid="{73293E9B-CEC3-41A5-8425-D0D549ECDA13}"/>
    <cellStyle name="Normal 2 5 6 3 4" xfId="14200" xr:uid="{C620E1AF-4E23-4C44-AFE3-28F74299FAFE}"/>
    <cellStyle name="Normal 2 5 6 3 4 2" xfId="39692" xr:uid="{69C852C2-EF26-4322-B1BC-E0D7C6398364}"/>
    <cellStyle name="Normal 2 5 6 3 5" xfId="27101" xr:uid="{CC9FB8C4-0AEE-4D0C-9D27-E4600AB90DE7}"/>
    <cellStyle name="Normal 2 5 6 4" xfId="2795" xr:uid="{7657683A-FD8B-487A-A972-883A71AD9FB1}"/>
    <cellStyle name="Normal 2 5 6 4 2" xfId="5949" xr:uid="{B0D75CE5-62A7-407A-81B9-B9486865FE7B}"/>
    <cellStyle name="Normal 2 5 6 4 2 2" xfId="12242" xr:uid="{F0F36A1E-A3CA-46E3-AEF1-8DAE1B2AC753}"/>
    <cellStyle name="Normal 2 5 6 4 2 2 2" xfId="24924" xr:uid="{F7E0AB62-C5D9-47ED-9043-F935F547C758}"/>
    <cellStyle name="Normal 2 5 6 4 2 2 2 2" xfId="50416" xr:uid="{77435D51-5BF3-438B-852E-5C07145F0667}"/>
    <cellStyle name="Normal 2 5 6 4 2 2 3" xfId="37825" xr:uid="{FC3A834E-1A74-464A-A796-25975E8C36B9}"/>
    <cellStyle name="Normal 2 5 6 4 2 3" xfId="18646" xr:uid="{FA6E1BFB-D12E-497B-B32B-AB77C84413A3}"/>
    <cellStyle name="Normal 2 5 6 4 2 3 2" xfId="44138" xr:uid="{C7130905-9BDA-44EF-A8C2-FEB5373BB8FC}"/>
    <cellStyle name="Normal 2 5 6 4 2 4" xfId="31547" xr:uid="{FBA0D3B8-B44A-4CC5-BF54-A85345103568}"/>
    <cellStyle name="Normal 2 5 6 4 3" xfId="9103" xr:uid="{2D466980-530C-460F-ADEE-3A0BD121FFDC}"/>
    <cellStyle name="Normal 2 5 6 4 3 2" xfId="21785" xr:uid="{7184674F-FB4A-474D-95AD-476EC47B86AD}"/>
    <cellStyle name="Normal 2 5 6 4 3 2 2" xfId="47277" xr:uid="{3ED6CE0D-5A6C-4B21-A00E-239CABF52EA7}"/>
    <cellStyle name="Normal 2 5 6 4 3 3" xfId="34686" xr:uid="{DAD76871-D87A-453D-8D34-A46588E4139B}"/>
    <cellStyle name="Normal 2 5 6 4 4" xfId="15507" xr:uid="{4470EE81-CDDA-4B1A-A25D-2139920B6583}"/>
    <cellStyle name="Normal 2 5 6 4 4 2" xfId="40999" xr:uid="{A7CE33E7-70AC-4124-8F5E-FC91E63063F7}"/>
    <cellStyle name="Normal 2 5 6 4 5" xfId="28408" xr:uid="{07EF2DE8-2B8C-4C74-9A32-9C4E13D77EE7}"/>
    <cellStyle name="Normal 2 5 6 5" xfId="3318" xr:uid="{6CBAE7CA-46BD-4F37-8459-A1C3AA1EF144}"/>
    <cellStyle name="Normal 2 5 6 5 2" xfId="6472" xr:uid="{5778058A-E700-4381-979A-D19025F3D3A7}"/>
    <cellStyle name="Normal 2 5 6 5 2 2" xfId="12765" xr:uid="{D2C3CC49-F2D2-46CD-8808-D946611397F6}"/>
    <cellStyle name="Normal 2 5 6 5 2 2 2" xfId="25447" xr:uid="{A04EC1CB-FA7B-4A0C-B0EE-A81DBCCA6EE1}"/>
    <cellStyle name="Normal 2 5 6 5 2 2 2 2" xfId="50939" xr:uid="{F9656985-BD8E-4EB1-9DB5-52DA3E51F1DB}"/>
    <cellStyle name="Normal 2 5 6 5 2 2 3" xfId="38348" xr:uid="{11B0C581-ACD0-4BFB-98F4-DF960353B3FC}"/>
    <cellStyle name="Normal 2 5 6 5 2 3" xfId="19169" xr:uid="{96BE2206-9CD0-4E3F-A643-782B9B06C8FF}"/>
    <cellStyle name="Normal 2 5 6 5 2 3 2" xfId="44661" xr:uid="{F47B7354-6138-45AB-838B-BC842626CC6D}"/>
    <cellStyle name="Normal 2 5 6 5 2 4" xfId="32070" xr:uid="{5DFE4F0C-9E18-4194-9127-A6D7BFED25A5}"/>
    <cellStyle name="Normal 2 5 6 5 3" xfId="9626" xr:uid="{94A1015A-6100-483F-B6EC-BF3DE183352E}"/>
    <cellStyle name="Normal 2 5 6 5 3 2" xfId="22308" xr:uid="{38CBC708-2602-412A-B768-9F8E45FD20E0}"/>
    <cellStyle name="Normal 2 5 6 5 3 2 2" xfId="47800" xr:uid="{17852610-D1D3-4C4A-B33B-1DB4220EDC80}"/>
    <cellStyle name="Normal 2 5 6 5 3 3" xfId="35209" xr:uid="{9FAEF311-FB19-41E1-8BA5-A1C3A24F96D2}"/>
    <cellStyle name="Normal 2 5 6 5 4" xfId="16030" xr:uid="{901EF8FB-1690-4D51-98AB-8EB23706F4B1}"/>
    <cellStyle name="Normal 2 5 6 5 4 2" xfId="41522" xr:uid="{D375CA18-7A97-4D6C-8142-6F20432BBBB2}"/>
    <cellStyle name="Normal 2 5 6 5 5" xfId="28931" xr:uid="{6B5C3E56-1F9C-4E59-B086-631CB00497C7}"/>
    <cellStyle name="Normal 2 5 6 6" xfId="4118" xr:uid="{F1A8A860-6875-4C97-9D1E-C2343E52CB93}"/>
    <cellStyle name="Normal 2 5 6 6 2" xfId="10411" xr:uid="{8C167F35-61B8-4227-ADD2-CD4D23740985}"/>
    <cellStyle name="Normal 2 5 6 6 2 2" xfId="23093" xr:uid="{D02B8CB5-4753-4D8C-A14D-C0AF1A202C64}"/>
    <cellStyle name="Normal 2 5 6 6 2 2 2" xfId="48585" xr:uid="{13A3C34B-0260-4AD3-9705-749A640AEA06}"/>
    <cellStyle name="Normal 2 5 6 6 2 3" xfId="35994" xr:uid="{2D529CED-456A-4990-A7BC-0D7FBEA1692B}"/>
    <cellStyle name="Normal 2 5 6 6 3" xfId="16815" xr:uid="{031BEB24-F79E-49A5-8548-91D59FC2011E}"/>
    <cellStyle name="Normal 2 5 6 6 3 2" xfId="42307" xr:uid="{7CDB9A50-F3DC-4FD0-A237-678FDE69D5C0}"/>
    <cellStyle name="Normal 2 5 6 6 4" xfId="29716" xr:uid="{57F07F2E-E99E-4856-8C45-A57AD1F12131}"/>
    <cellStyle name="Normal 2 5 6 7" xfId="7272" xr:uid="{A2CACB25-1AF8-416A-8943-358BF3834FC2}"/>
    <cellStyle name="Normal 2 5 6 7 2" xfId="19954" xr:uid="{89CCDD23-F32E-42A4-A7F2-C9227751B602}"/>
    <cellStyle name="Normal 2 5 6 7 2 2" xfId="45446" xr:uid="{16A80147-CB4F-48B9-A12A-9F1CED0F51A3}"/>
    <cellStyle name="Normal 2 5 6 7 3" xfId="32855" xr:uid="{AD3DAC9F-3760-4E8E-8CDC-7A4341D71456}"/>
    <cellStyle name="Normal 2 5 6 8" xfId="13676" xr:uid="{CB5B35BF-4500-4E9E-BFBA-704AE77ED3D9}"/>
    <cellStyle name="Normal 2 5 6 8 2" xfId="39168" xr:uid="{7D6B6727-3DEB-46A1-929D-DEFAAF2CAB7A}"/>
    <cellStyle name="Normal 2 5 6 9" xfId="26577" xr:uid="{18EA2619-792D-473D-BFD1-98CA7BB3F9DE}"/>
    <cellStyle name="Normal 2 5 7" xfId="704" xr:uid="{0B3C0E72-3A11-4CD1-8C54-54106BDA19AD}"/>
    <cellStyle name="Normal 2 5 7 2" xfId="2011" xr:uid="{BF57CF17-34BD-4CB1-8D13-D59B884943AF}"/>
    <cellStyle name="Normal 2 5 7 2 2" xfId="5165" xr:uid="{D2D38532-2DE0-4083-84A2-26E514286758}"/>
    <cellStyle name="Normal 2 5 7 2 2 2" xfId="11458" xr:uid="{1C2F0545-FD06-458C-A91C-76FEC2DAE838}"/>
    <cellStyle name="Normal 2 5 7 2 2 2 2" xfId="24140" xr:uid="{BC9F3550-62BE-4DA4-AC90-21535AB97CAF}"/>
    <cellStyle name="Normal 2 5 7 2 2 2 2 2" xfId="49632" xr:uid="{6D67A2DE-99EF-46B2-BD95-4100E0B08AB2}"/>
    <cellStyle name="Normal 2 5 7 2 2 2 3" xfId="37041" xr:uid="{11D716DF-ED33-4264-A3F5-2684DF8613C2}"/>
    <cellStyle name="Normal 2 5 7 2 2 3" xfId="17862" xr:uid="{C3D622BD-A0A9-4A68-9AB3-99539BB5F9D3}"/>
    <cellStyle name="Normal 2 5 7 2 2 3 2" xfId="43354" xr:uid="{8F508D4B-7893-40AF-AB0C-FB87E58C776C}"/>
    <cellStyle name="Normal 2 5 7 2 2 4" xfId="30763" xr:uid="{F0A309A4-13D4-400F-9D19-5056EB3DD029}"/>
    <cellStyle name="Normal 2 5 7 2 3" xfId="8319" xr:uid="{4102EE61-30E5-49A6-A4F3-C4FC9055A79F}"/>
    <cellStyle name="Normal 2 5 7 2 3 2" xfId="21001" xr:uid="{D96D22DC-0FDD-4E8A-B30D-47D266B7397A}"/>
    <cellStyle name="Normal 2 5 7 2 3 2 2" xfId="46493" xr:uid="{32DA8BA5-1B8D-4ECF-A99F-CE485C1D7507}"/>
    <cellStyle name="Normal 2 5 7 2 3 3" xfId="33902" xr:uid="{60AA465E-8F62-4FF2-AA1C-96BBF8B327B2}"/>
    <cellStyle name="Normal 2 5 7 2 4" xfId="14723" xr:uid="{0322A166-89EB-4A19-A49E-0C34ACD1B6AE}"/>
    <cellStyle name="Normal 2 5 7 2 4 2" xfId="40215" xr:uid="{04425125-DB1C-449D-9C26-F07B47021705}"/>
    <cellStyle name="Normal 2 5 7 2 5" xfId="27624" xr:uid="{D6759804-5799-464F-A978-44C512E05A61}"/>
    <cellStyle name="Normal 2 5 7 3" xfId="3858" xr:uid="{2F14B855-7E18-45F0-9F0E-4F9A973575C5}"/>
    <cellStyle name="Normal 2 5 7 3 2" xfId="10151" xr:uid="{28013A58-6687-4662-BB4B-7794A0BE642A}"/>
    <cellStyle name="Normal 2 5 7 3 2 2" xfId="22833" xr:uid="{E5FD956B-DBA8-4F30-96DD-52C20A8D6A79}"/>
    <cellStyle name="Normal 2 5 7 3 2 2 2" xfId="48325" xr:uid="{0CC9B524-FEF1-4EA7-B1B5-6EA06C81DCE3}"/>
    <cellStyle name="Normal 2 5 7 3 2 3" xfId="35734" xr:uid="{384CF956-6ED8-479E-BA41-409C5615A0FC}"/>
    <cellStyle name="Normal 2 5 7 3 3" xfId="16555" xr:uid="{0A2CC086-75AB-442C-BD81-62B680677872}"/>
    <cellStyle name="Normal 2 5 7 3 3 2" xfId="42047" xr:uid="{DC3E75C6-82B4-41FD-AAB1-7E7DE0F52A0E}"/>
    <cellStyle name="Normal 2 5 7 3 4" xfId="29456" xr:uid="{D5AAC770-17BA-4029-9253-4466761A2B35}"/>
    <cellStyle name="Normal 2 5 7 4" xfId="7012" xr:uid="{D2EDAC0D-FCCD-4C04-824B-29041846430D}"/>
    <cellStyle name="Normal 2 5 7 4 2" xfId="19694" xr:uid="{9B7CBC57-62BE-4582-80CF-3D97713E4492}"/>
    <cellStyle name="Normal 2 5 7 4 2 2" xfId="45186" xr:uid="{584A5A12-0FC6-49A9-81B6-0E97AB906AEB}"/>
    <cellStyle name="Normal 2 5 7 4 3" xfId="32595" xr:uid="{F945F804-AF2C-4D05-B5C4-5396279B1F58}"/>
    <cellStyle name="Normal 2 5 7 5" xfId="13416" xr:uid="{6D992A97-02C2-48D9-8F8C-346C692BD27A}"/>
    <cellStyle name="Normal 2 5 7 5 2" xfId="38908" xr:uid="{77B4D015-F15F-49C7-B748-CE8B2B8E7C07}"/>
    <cellStyle name="Normal 2 5 7 6" xfId="26317" xr:uid="{732DCC85-F766-49DC-AC1B-18E13D80288A}"/>
    <cellStyle name="Normal 2 5 8" xfId="1749" xr:uid="{8FA342A7-482B-4603-BCC5-31BD1B552E6C}"/>
    <cellStyle name="Normal 2 5 8 2" xfId="4903" xr:uid="{DD28481B-C17B-4F5E-9540-9F770C10CFF9}"/>
    <cellStyle name="Normal 2 5 8 2 2" xfId="11196" xr:uid="{A06FA9FE-AE92-4EF6-9203-7462C2593EF8}"/>
    <cellStyle name="Normal 2 5 8 2 2 2" xfId="23878" xr:uid="{5EBF1CC3-8128-4DF8-82C5-61CDEEBB2A89}"/>
    <cellStyle name="Normal 2 5 8 2 2 2 2" xfId="49370" xr:uid="{8930CC35-3E01-402E-B358-CC59550FBA4C}"/>
    <cellStyle name="Normal 2 5 8 2 2 3" xfId="36779" xr:uid="{417F7B10-6E2A-4DCE-8902-D85B34AD233E}"/>
    <cellStyle name="Normal 2 5 8 2 3" xfId="17600" xr:uid="{363160A9-BE5B-4B31-8028-4C7FA21A7DA8}"/>
    <cellStyle name="Normal 2 5 8 2 3 2" xfId="43092" xr:uid="{7D0CA284-047D-41FD-8ACB-E5E8128BD476}"/>
    <cellStyle name="Normal 2 5 8 2 4" xfId="30501" xr:uid="{E6CF1139-0E39-4B27-8D2A-39C0F2CC6F0D}"/>
    <cellStyle name="Normal 2 5 8 3" xfId="8057" xr:uid="{AD1C5F02-2C53-4749-8DEE-F85EEF54557C}"/>
    <cellStyle name="Normal 2 5 8 3 2" xfId="20739" xr:uid="{636F8148-DD71-491F-AD07-2DF80C2DD941}"/>
    <cellStyle name="Normal 2 5 8 3 2 2" xfId="46231" xr:uid="{9BAEB273-E4A9-49DC-88E9-8426BA4064E2}"/>
    <cellStyle name="Normal 2 5 8 3 3" xfId="33640" xr:uid="{E9481E4B-1EEA-4107-BF82-BB02500BFF88}"/>
    <cellStyle name="Normal 2 5 8 4" xfId="14461" xr:uid="{56086D9B-6ECF-4914-B53C-CF124389E74C}"/>
    <cellStyle name="Normal 2 5 8 4 2" xfId="39953" xr:uid="{F7ED264B-6F0E-4BF9-921E-544D72256770}"/>
    <cellStyle name="Normal 2 5 8 5" xfId="27362" xr:uid="{FCB24CB3-5FED-4208-B5CA-14E7ACD6E05D}"/>
    <cellStyle name="Normal 2 5 9" xfId="1227" xr:uid="{1A33297F-C445-47EA-AB5C-A7CC172673DF}"/>
    <cellStyle name="Normal 2 5 9 2" xfId="4381" xr:uid="{43B54E2B-B1BC-40B1-8816-712891D5E688}"/>
    <cellStyle name="Normal 2 5 9 2 2" xfId="10674" xr:uid="{D151736B-0B88-4593-AFBA-7B871B626142}"/>
    <cellStyle name="Normal 2 5 9 2 2 2" xfId="23356" xr:uid="{E95D9AEF-2D50-4C30-AEB3-300C68480077}"/>
    <cellStyle name="Normal 2 5 9 2 2 2 2" xfId="48848" xr:uid="{1A7115F4-F8BC-49A1-9D63-CB8CE01C8F05}"/>
    <cellStyle name="Normal 2 5 9 2 2 3" xfId="36257" xr:uid="{B60C79C4-29EF-4049-84D9-57677D21D229}"/>
    <cellStyle name="Normal 2 5 9 2 3" xfId="17078" xr:uid="{2C0371BD-0D9B-4958-8FA7-FAD747E11C1B}"/>
    <cellStyle name="Normal 2 5 9 2 3 2" xfId="42570" xr:uid="{BD75B544-71E5-4CE5-876B-6A4548CFF403}"/>
    <cellStyle name="Normal 2 5 9 2 4" xfId="29979" xr:uid="{0FD1DC0C-7CBB-4BB4-89B5-46037B7D3F61}"/>
    <cellStyle name="Normal 2 5 9 3" xfId="7535" xr:uid="{82A32C9B-7F8D-4186-AEA2-69C09221A3DF}"/>
    <cellStyle name="Normal 2 5 9 3 2" xfId="20217" xr:uid="{B0454536-6CCD-4E98-9561-15C8CCD26D91}"/>
    <cellStyle name="Normal 2 5 9 3 2 2" xfId="45709" xr:uid="{EA30556D-7EE4-4B79-9E7C-0C75F798C619}"/>
    <cellStyle name="Normal 2 5 9 3 3" xfId="33118" xr:uid="{0AFA439D-D7E2-46A7-A533-9520FF7A5DC4}"/>
    <cellStyle name="Normal 2 5 9 4" xfId="13939" xr:uid="{9D87AB75-30C8-4162-871B-0585B41EB639}"/>
    <cellStyle name="Normal 2 5 9 4 2" xfId="39431" xr:uid="{1B762BCB-EAE5-46AB-BF3B-A7A71F60231E}"/>
    <cellStyle name="Normal 2 5 9 5" xfId="26840" xr:uid="{09701347-4D33-4032-9131-75F9F7699D95}"/>
    <cellStyle name="Normal 2 6" xfId="411" xr:uid="{A2111023-95C2-44B7-A489-9A817A75753F}"/>
    <cellStyle name="Normal 2 6 10" xfId="3056" xr:uid="{41ACD89C-9A23-483E-A1E9-6E07827528CD}"/>
    <cellStyle name="Normal 2 6 10 2" xfId="6210" xr:uid="{9792A5C7-9B24-451C-87D3-484BDC1D7B82}"/>
    <cellStyle name="Normal 2 6 10 2 2" xfId="12503" xr:uid="{22978942-213C-440C-8A72-A8B97584F7F5}"/>
    <cellStyle name="Normal 2 6 10 2 2 2" xfId="25185" xr:uid="{3D13370C-FEAB-4843-82E4-2BC60DACB7DB}"/>
    <cellStyle name="Normal 2 6 10 2 2 2 2" xfId="50677" xr:uid="{F883421F-E659-4A6D-BFAF-B65D022572CE}"/>
    <cellStyle name="Normal 2 6 10 2 2 3" xfId="38086" xr:uid="{F14D79C5-BDF4-4C9F-BBDB-272226FD7995}"/>
    <cellStyle name="Normal 2 6 10 2 3" xfId="18907" xr:uid="{B8D75FDB-2BB9-4773-8882-43972DB58B9F}"/>
    <cellStyle name="Normal 2 6 10 2 3 2" xfId="44399" xr:uid="{780AECBA-81FF-46CB-8328-A0743E4D50EE}"/>
    <cellStyle name="Normal 2 6 10 2 4" xfId="31808" xr:uid="{D8EAA2B3-8838-40DD-A917-C0A78EC07991}"/>
    <cellStyle name="Normal 2 6 10 3" xfId="9364" xr:uid="{B45E3E43-C52A-4459-BB50-A11E835BBF6C}"/>
    <cellStyle name="Normal 2 6 10 3 2" xfId="22046" xr:uid="{3AB01A39-7240-4C1E-A80A-AF710C1941A3}"/>
    <cellStyle name="Normal 2 6 10 3 2 2" xfId="47538" xr:uid="{1FC57294-B546-4F96-A5FD-F049686AA979}"/>
    <cellStyle name="Normal 2 6 10 3 3" xfId="34947" xr:uid="{7DB21882-94AF-4DDE-9A47-570B02C34743}"/>
    <cellStyle name="Normal 2 6 10 4" xfId="15768" xr:uid="{E38AE391-5C81-492B-A9B9-2A1A6B298131}"/>
    <cellStyle name="Normal 2 6 10 4 2" xfId="41260" xr:uid="{17D29FF0-872D-4A27-AD1C-55A64BF8EACB}"/>
    <cellStyle name="Normal 2 6 10 5" xfId="28669" xr:uid="{2BCC12A5-D46F-4A80-99BD-4E04BAE6FA1D}"/>
    <cellStyle name="Normal 2 6 11" xfId="3595" xr:uid="{34E6FFB9-C02F-4B7F-A8B2-C98330F02402}"/>
    <cellStyle name="Normal 2 6 11 2" xfId="9888" xr:uid="{64FF22A2-6D34-43CE-A991-181B73BA316F}"/>
    <cellStyle name="Normal 2 6 11 2 2" xfId="22570" xr:uid="{9AC1F648-2190-42FF-A208-98A69D4E81CD}"/>
    <cellStyle name="Normal 2 6 11 2 2 2" xfId="48062" xr:uid="{FADB3996-66B7-4C3A-8093-D86649F6E0BC}"/>
    <cellStyle name="Normal 2 6 11 2 3" xfId="35471" xr:uid="{BD796C46-061C-4308-8FE1-42FF8EF8D0A5}"/>
    <cellStyle name="Normal 2 6 11 3" xfId="16292" xr:uid="{6342E7FA-D281-4A00-975B-3DC013992B05}"/>
    <cellStyle name="Normal 2 6 11 3 2" xfId="41784" xr:uid="{35D63C48-69E2-462A-9228-8EB419C3E7EB}"/>
    <cellStyle name="Normal 2 6 11 4" xfId="29193" xr:uid="{C870D5AF-4D7F-4516-9E41-59F93DF96B68}"/>
    <cellStyle name="Normal 2 6 12" xfId="6749" xr:uid="{A5BD72A4-D298-4D44-981C-F2A12CF143E0}"/>
    <cellStyle name="Normal 2 6 12 2" xfId="19431" xr:uid="{FA3765E5-3DDB-4119-97EB-D171BE189F14}"/>
    <cellStyle name="Normal 2 6 12 2 2" xfId="44923" xr:uid="{18C29F65-FF18-4088-915B-2AE475730AB2}"/>
    <cellStyle name="Normal 2 6 12 3" xfId="32332" xr:uid="{E99CDCE1-6605-4A5E-B7CC-7B10CADEFB30}"/>
    <cellStyle name="Normal 2 6 13" xfId="13151" xr:uid="{099D85C3-2DDD-46DC-96F8-D6FC4FC38CCD}"/>
    <cellStyle name="Normal 2 6 13 2" xfId="38644" xr:uid="{B4738609-667C-4BC8-BA19-AD523C46D3CB}"/>
    <cellStyle name="Normal 2 6 14" xfId="26053" xr:uid="{9E3350E0-567F-441E-9B18-6DA8AEEAF7A6}"/>
    <cellStyle name="Normal 2 6 2" xfId="487" xr:uid="{303F65CE-ECF4-4357-BD61-54DD0F638FE8}"/>
    <cellStyle name="Normal 2 6 2 10" xfId="6810" xr:uid="{8B554632-4DF3-48E3-AB90-542D98F3B4EE}"/>
    <cellStyle name="Normal 2 6 2 10 2" xfId="19492" xr:uid="{3A9DEFEA-B724-4967-AE89-4810A60FF683}"/>
    <cellStyle name="Normal 2 6 2 10 2 2" xfId="44984" xr:uid="{EA13E12D-747C-4A26-87DC-268A18C11925}"/>
    <cellStyle name="Normal 2 6 2 10 3" xfId="32393" xr:uid="{5A35A727-017D-40F4-B4FE-320169BFDC04}"/>
    <cellStyle name="Normal 2 6 2 11" xfId="13214" xr:uid="{7174339D-CFB6-4723-A4BA-75D1654A2380}"/>
    <cellStyle name="Normal 2 6 2 11 2" xfId="38706" xr:uid="{61D888A6-33F2-41E1-8AB9-FA5514199353}"/>
    <cellStyle name="Normal 2 6 2 12" xfId="26115" xr:uid="{BFE8DC0C-28A5-4F0F-8F1E-7E3EDA4BF38B}"/>
    <cellStyle name="Normal 2 6 2 2" xfId="646" xr:uid="{151B1385-3D26-48DC-AD48-8547D6D6CC17}"/>
    <cellStyle name="Normal 2 6 2 2 10" xfId="13373" xr:uid="{370B384C-C324-439E-98FE-166F92FDDCE0}"/>
    <cellStyle name="Normal 2 6 2 2 10 2" xfId="38865" xr:uid="{E6C78407-A40D-42C2-9DD8-AFBCF4684656}"/>
    <cellStyle name="Normal 2 6 2 2 11" xfId="26274" xr:uid="{1340BE46-F6D6-4611-9191-A1882C22EDC2}"/>
    <cellStyle name="Normal 2 6 2 2 2" xfId="1183" xr:uid="{9110EF20-DAFC-47A9-9AAE-372DCA93DFF7}"/>
    <cellStyle name="Normal 2 6 2 2 2 2" xfId="2490" xr:uid="{6694C399-C1A7-4690-B0BB-76379B0150A1}"/>
    <cellStyle name="Normal 2 6 2 2 2 2 2" xfId="5644" xr:uid="{0FB4BC87-F4B6-4951-8FB3-6EEFE5961CCF}"/>
    <cellStyle name="Normal 2 6 2 2 2 2 2 2" xfId="11937" xr:uid="{78C91213-F494-41B3-BA4A-D613113A28E9}"/>
    <cellStyle name="Normal 2 6 2 2 2 2 2 2 2" xfId="24619" xr:uid="{813E511E-C201-4F86-960A-D0AC4E451FF5}"/>
    <cellStyle name="Normal 2 6 2 2 2 2 2 2 2 2" xfId="50111" xr:uid="{6B298939-3F86-49E1-983B-34634BC2D442}"/>
    <cellStyle name="Normal 2 6 2 2 2 2 2 2 3" xfId="37520" xr:uid="{EFDF3938-8ABD-40F5-918A-F2B0DA061D6A}"/>
    <cellStyle name="Normal 2 6 2 2 2 2 2 3" xfId="18341" xr:uid="{6CA0BC06-DFBD-4B16-AB28-2CE5CA125DF4}"/>
    <cellStyle name="Normal 2 6 2 2 2 2 2 3 2" xfId="43833" xr:uid="{10CA89C3-C5B4-446B-84E4-9C3518CC7FBD}"/>
    <cellStyle name="Normal 2 6 2 2 2 2 2 4" xfId="31242" xr:uid="{6914767A-C5C0-4516-8C9D-291D84032A70}"/>
    <cellStyle name="Normal 2 6 2 2 2 2 3" xfId="8798" xr:uid="{9CA779D8-BC94-41BF-9F39-53822D64C6A2}"/>
    <cellStyle name="Normal 2 6 2 2 2 2 3 2" xfId="21480" xr:uid="{F1ED0C49-807F-41DD-92D7-4ACFA938A967}"/>
    <cellStyle name="Normal 2 6 2 2 2 2 3 2 2" xfId="46972" xr:uid="{8E436956-CC82-436A-AE76-F8AF862F649D}"/>
    <cellStyle name="Normal 2 6 2 2 2 2 3 3" xfId="34381" xr:uid="{0A10DBAD-8D6E-498B-A08F-953C739F1967}"/>
    <cellStyle name="Normal 2 6 2 2 2 2 4" xfId="15202" xr:uid="{39C382F7-7EE1-4387-B492-A56221302BB4}"/>
    <cellStyle name="Normal 2 6 2 2 2 2 4 2" xfId="40694" xr:uid="{B43D703E-1495-4AEF-B95E-C978DBF634F7}"/>
    <cellStyle name="Normal 2 6 2 2 2 2 5" xfId="28103" xr:uid="{038EA89B-7624-4A1E-88A8-ED6177B4267C}"/>
    <cellStyle name="Normal 2 6 2 2 2 3" xfId="1707" xr:uid="{80306646-AFE9-4DA1-BDEE-FF59909E1C0C}"/>
    <cellStyle name="Normal 2 6 2 2 2 3 2" xfId="4861" xr:uid="{A701F32B-E161-4626-A055-AEA5959BB1D3}"/>
    <cellStyle name="Normal 2 6 2 2 2 3 2 2" xfId="11154" xr:uid="{9D7F71C2-076C-4C40-B769-E59CDEFEB244}"/>
    <cellStyle name="Normal 2 6 2 2 2 3 2 2 2" xfId="23836" xr:uid="{574F301D-FCEB-426B-8D45-B49810808988}"/>
    <cellStyle name="Normal 2 6 2 2 2 3 2 2 2 2" xfId="49328" xr:uid="{45E43259-7617-49D2-B12E-EF29E030E79D}"/>
    <cellStyle name="Normal 2 6 2 2 2 3 2 2 3" xfId="36737" xr:uid="{A820CC14-0DAE-4CEC-9F34-CCD952B4975C}"/>
    <cellStyle name="Normal 2 6 2 2 2 3 2 3" xfId="17558" xr:uid="{E8541DE8-0F18-4A22-901F-FFB4199BAE50}"/>
    <cellStyle name="Normal 2 6 2 2 2 3 2 3 2" xfId="43050" xr:uid="{38136E73-DC19-4858-B776-936838DD65B3}"/>
    <cellStyle name="Normal 2 6 2 2 2 3 2 4" xfId="30459" xr:uid="{7DEE8236-7749-413D-BE8B-2C580B0EE7E7}"/>
    <cellStyle name="Normal 2 6 2 2 2 3 3" xfId="8015" xr:uid="{7B01ACE3-289C-4689-9050-36FB49A4FCD5}"/>
    <cellStyle name="Normal 2 6 2 2 2 3 3 2" xfId="20697" xr:uid="{A100A8B0-D4FF-43B2-96DA-E03B74EC99E9}"/>
    <cellStyle name="Normal 2 6 2 2 2 3 3 2 2" xfId="46189" xr:uid="{9E57EA4C-2422-42B4-AC3B-0296130B2A72}"/>
    <cellStyle name="Normal 2 6 2 2 2 3 3 3" xfId="33598" xr:uid="{CB96D94F-23BB-4BB2-84EB-2733606DF616}"/>
    <cellStyle name="Normal 2 6 2 2 2 3 4" xfId="14419" xr:uid="{A7BB969A-6DB4-43F8-B567-99A1D3EC284D}"/>
    <cellStyle name="Normal 2 6 2 2 2 3 4 2" xfId="39911" xr:uid="{A4E091D0-8636-4BA5-97D9-538206378105}"/>
    <cellStyle name="Normal 2 6 2 2 2 3 5" xfId="27320" xr:uid="{B63004B2-ECDB-49E5-85CC-BD37AEF8BA38}"/>
    <cellStyle name="Normal 2 6 2 2 2 4" xfId="3014" xr:uid="{CF8CFADF-D89A-43C0-AC5D-4F77FEB9FCC8}"/>
    <cellStyle name="Normal 2 6 2 2 2 4 2" xfId="6168" xr:uid="{A35B2AB9-3D52-4BC8-BC51-E7969A8B2D6F}"/>
    <cellStyle name="Normal 2 6 2 2 2 4 2 2" xfId="12461" xr:uid="{5445BB19-CE96-4B0B-ADD5-8D655F9EFFEE}"/>
    <cellStyle name="Normal 2 6 2 2 2 4 2 2 2" xfId="25143" xr:uid="{8E139ED4-F795-47D5-92BF-A29951F9A6CA}"/>
    <cellStyle name="Normal 2 6 2 2 2 4 2 2 2 2" xfId="50635" xr:uid="{1D8A9CD0-C27C-4669-BB9B-CFDC707B977A}"/>
    <cellStyle name="Normal 2 6 2 2 2 4 2 2 3" xfId="38044" xr:uid="{EE4C1CED-F8F2-407D-ACE6-0ADDD7F78E17}"/>
    <cellStyle name="Normal 2 6 2 2 2 4 2 3" xfId="18865" xr:uid="{BB97BC2F-1ED9-4AD1-A5D0-D8E323E3A634}"/>
    <cellStyle name="Normal 2 6 2 2 2 4 2 3 2" xfId="44357" xr:uid="{07641641-FFD4-4263-B2DB-86AE5596CA82}"/>
    <cellStyle name="Normal 2 6 2 2 2 4 2 4" xfId="31766" xr:uid="{82D0850D-CF18-4890-81B5-D29ECF33E963}"/>
    <cellStyle name="Normal 2 6 2 2 2 4 3" xfId="9322" xr:uid="{B7995749-98CA-4928-A965-262E16D5E35F}"/>
    <cellStyle name="Normal 2 6 2 2 2 4 3 2" xfId="22004" xr:uid="{BA7FACBF-46EC-4810-B579-04BA7480C7AB}"/>
    <cellStyle name="Normal 2 6 2 2 2 4 3 2 2" xfId="47496" xr:uid="{B93EC4DF-1E1A-4C82-A4AE-66DDABB6CCE3}"/>
    <cellStyle name="Normal 2 6 2 2 2 4 3 3" xfId="34905" xr:uid="{9E087BFF-1066-45BB-8579-DB517191A83E}"/>
    <cellStyle name="Normal 2 6 2 2 2 4 4" xfId="15726" xr:uid="{749E908B-581E-4000-A628-0E1C9A3CFEF6}"/>
    <cellStyle name="Normal 2 6 2 2 2 4 4 2" xfId="41218" xr:uid="{88506E27-2A6C-48B5-BB76-AFB23B73F090}"/>
    <cellStyle name="Normal 2 6 2 2 2 4 5" xfId="28627" xr:uid="{8E74D200-4532-4F29-A417-6D8B19553AE8}"/>
    <cellStyle name="Normal 2 6 2 2 2 5" xfId="3537" xr:uid="{5ED6C41D-3CF6-469E-8C37-5050B7CF2F10}"/>
    <cellStyle name="Normal 2 6 2 2 2 5 2" xfId="6691" xr:uid="{CCBFF443-ED57-4511-BC0F-EF0C63AFB630}"/>
    <cellStyle name="Normal 2 6 2 2 2 5 2 2" xfId="12984" xr:uid="{6B000B7D-D695-4F42-9E37-F1256241A061}"/>
    <cellStyle name="Normal 2 6 2 2 2 5 2 2 2" xfId="25666" xr:uid="{3B0F54DD-82F8-44B8-B11B-19E7DF002A9F}"/>
    <cellStyle name="Normal 2 6 2 2 2 5 2 2 2 2" xfId="51158" xr:uid="{0F5B7DF3-42DD-4D3B-A876-AD60FC9E6D3B}"/>
    <cellStyle name="Normal 2 6 2 2 2 5 2 2 3" xfId="38567" xr:uid="{6AD26FDC-A75C-43FE-97A6-F6E8C5FDE8E6}"/>
    <cellStyle name="Normal 2 6 2 2 2 5 2 3" xfId="19388" xr:uid="{C4926085-35A7-4F53-98D0-4CFDC9E70336}"/>
    <cellStyle name="Normal 2 6 2 2 2 5 2 3 2" xfId="44880" xr:uid="{CDD9231D-32AF-4543-9052-9ED815FD4160}"/>
    <cellStyle name="Normal 2 6 2 2 2 5 2 4" xfId="32289" xr:uid="{612E64D2-1BE9-4BAE-808A-331A6646C7F1}"/>
    <cellStyle name="Normal 2 6 2 2 2 5 3" xfId="9845" xr:uid="{EF428D8F-C48E-434E-B4E3-C1A95F37687D}"/>
    <cellStyle name="Normal 2 6 2 2 2 5 3 2" xfId="22527" xr:uid="{44019410-37D6-4299-AC3D-5EBEAE48E01E}"/>
    <cellStyle name="Normal 2 6 2 2 2 5 3 2 2" xfId="48019" xr:uid="{93927C71-DF42-4C20-9518-8554EE520D5B}"/>
    <cellStyle name="Normal 2 6 2 2 2 5 3 3" xfId="35428" xr:uid="{0259AF5A-CF20-4F36-A24D-563D26E8E871}"/>
    <cellStyle name="Normal 2 6 2 2 2 5 4" xfId="16249" xr:uid="{F8463B0D-DBBD-46DE-83FE-975FA2E79DA9}"/>
    <cellStyle name="Normal 2 6 2 2 2 5 4 2" xfId="41741" xr:uid="{23F5198A-007E-47DF-948D-14C9F1508811}"/>
    <cellStyle name="Normal 2 6 2 2 2 5 5" xfId="29150" xr:uid="{068099A0-4650-4D2B-BAFB-4B61D3CBCF60}"/>
    <cellStyle name="Normal 2 6 2 2 2 6" xfId="4337" xr:uid="{B4C18203-4674-457B-8737-90D3E34FD0A4}"/>
    <cellStyle name="Normal 2 6 2 2 2 6 2" xfId="10630" xr:uid="{46CCECA0-FC2D-49B4-8829-D41163C09F83}"/>
    <cellStyle name="Normal 2 6 2 2 2 6 2 2" xfId="23312" xr:uid="{0A29D593-C749-4A42-8ADB-1438F0239771}"/>
    <cellStyle name="Normal 2 6 2 2 2 6 2 2 2" xfId="48804" xr:uid="{CB081CC6-AA24-4187-8B44-6BB6336D63CA}"/>
    <cellStyle name="Normal 2 6 2 2 2 6 2 3" xfId="36213" xr:uid="{2CADFBFB-D1F9-4AEC-9426-E6F63D058055}"/>
    <cellStyle name="Normal 2 6 2 2 2 6 3" xfId="17034" xr:uid="{BEFDF93C-D26B-4744-BDB3-6B38F96206D8}"/>
    <cellStyle name="Normal 2 6 2 2 2 6 3 2" xfId="42526" xr:uid="{EE63A461-741D-4E62-9419-178A39C40506}"/>
    <cellStyle name="Normal 2 6 2 2 2 6 4" xfId="29935" xr:uid="{B7F0118F-197D-4731-B620-E96C81C0CFA5}"/>
    <cellStyle name="Normal 2 6 2 2 2 7" xfId="7491" xr:uid="{B9E850F7-4DF8-4DF0-963F-DE5524B94A7B}"/>
    <cellStyle name="Normal 2 6 2 2 2 7 2" xfId="20173" xr:uid="{0C7148FE-601B-407F-B5BB-7E6CDD5DC4AF}"/>
    <cellStyle name="Normal 2 6 2 2 2 7 2 2" xfId="45665" xr:uid="{6125450C-0C14-4C08-8B4F-1A71F40D3978}"/>
    <cellStyle name="Normal 2 6 2 2 2 7 3" xfId="33074" xr:uid="{D3D41F98-1A5C-4D30-957C-D03B1FEDEA78}"/>
    <cellStyle name="Normal 2 6 2 2 2 8" xfId="13895" xr:uid="{33A4D5CC-614F-4F66-97E2-89175DBFA5ED}"/>
    <cellStyle name="Normal 2 6 2 2 2 8 2" xfId="39387" xr:uid="{16A3AF7B-B742-47D8-B3FF-7666C3A57F56}"/>
    <cellStyle name="Normal 2 6 2 2 2 9" xfId="26796" xr:uid="{DF632F45-6B41-4107-A94C-44793F179EA5}"/>
    <cellStyle name="Normal 2 6 2 2 3" xfId="923" xr:uid="{7244795D-338E-4E97-AE6C-78C80C0B9E6C}"/>
    <cellStyle name="Normal 2 6 2 2 3 2" xfId="2230" xr:uid="{E36904B5-2F3C-41AE-813E-9FD7ACA9C12D}"/>
    <cellStyle name="Normal 2 6 2 2 3 2 2" xfId="5384" xr:uid="{CED3A261-41BA-4470-94DD-DA0FBCCB33AF}"/>
    <cellStyle name="Normal 2 6 2 2 3 2 2 2" xfId="11677" xr:uid="{401CDD4B-49B3-41DC-8D94-C7B916CA8F78}"/>
    <cellStyle name="Normal 2 6 2 2 3 2 2 2 2" xfId="24359" xr:uid="{3B33240A-F700-446F-98EA-C74EDD8E6113}"/>
    <cellStyle name="Normal 2 6 2 2 3 2 2 2 2 2" xfId="49851" xr:uid="{F74F34E1-6DC4-48A5-86B0-1D28066A1267}"/>
    <cellStyle name="Normal 2 6 2 2 3 2 2 2 3" xfId="37260" xr:uid="{3A54FD67-AA7B-4A70-B344-0EDC179C0268}"/>
    <cellStyle name="Normal 2 6 2 2 3 2 2 3" xfId="18081" xr:uid="{DE73AE79-6EE7-40C5-ADFE-345B9334C8B8}"/>
    <cellStyle name="Normal 2 6 2 2 3 2 2 3 2" xfId="43573" xr:uid="{2E0F4F43-C9F9-44B9-A8F6-90B488201A79}"/>
    <cellStyle name="Normal 2 6 2 2 3 2 2 4" xfId="30982" xr:uid="{E7450CD9-78D2-49D9-AED0-8C8C4205208E}"/>
    <cellStyle name="Normal 2 6 2 2 3 2 3" xfId="8538" xr:uid="{D6BFAEAE-5397-42F3-A7D5-E89BCDA424BF}"/>
    <cellStyle name="Normal 2 6 2 2 3 2 3 2" xfId="21220" xr:uid="{0FDBE28D-C091-42E8-922E-14368FB9E4E5}"/>
    <cellStyle name="Normal 2 6 2 2 3 2 3 2 2" xfId="46712" xr:uid="{6B029AF5-4046-4754-8318-D5A2BF187124}"/>
    <cellStyle name="Normal 2 6 2 2 3 2 3 3" xfId="34121" xr:uid="{12188FE9-5A2B-440F-8D80-5DEF122D8358}"/>
    <cellStyle name="Normal 2 6 2 2 3 2 4" xfId="14942" xr:uid="{C89E5067-C1D4-42CE-8BC8-F334AB9ADE22}"/>
    <cellStyle name="Normal 2 6 2 2 3 2 4 2" xfId="40434" xr:uid="{00C66F84-1A4C-4628-807B-F342FA3FE642}"/>
    <cellStyle name="Normal 2 6 2 2 3 2 5" xfId="27843" xr:uid="{8FE374E8-6C33-42CC-8594-DF02F8198EF4}"/>
    <cellStyle name="Normal 2 6 2 2 3 3" xfId="4077" xr:uid="{6D7CF2EB-1AE2-4B83-A783-8DFBB28EDD1B}"/>
    <cellStyle name="Normal 2 6 2 2 3 3 2" xfId="10370" xr:uid="{9A81DD63-BF6C-4698-BD9F-CC9C72249ACB}"/>
    <cellStyle name="Normal 2 6 2 2 3 3 2 2" xfId="23052" xr:uid="{F609E1DA-D3C4-4F4C-84CC-D707FB987745}"/>
    <cellStyle name="Normal 2 6 2 2 3 3 2 2 2" xfId="48544" xr:uid="{34986C6C-1D52-48DF-8697-F3E0B48403C5}"/>
    <cellStyle name="Normal 2 6 2 2 3 3 2 3" xfId="35953" xr:uid="{B5D2DD0D-F6F8-4DC3-9165-49BD4CBE2840}"/>
    <cellStyle name="Normal 2 6 2 2 3 3 3" xfId="16774" xr:uid="{334BABC8-7678-47AC-B50D-9247F2034634}"/>
    <cellStyle name="Normal 2 6 2 2 3 3 3 2" xfId="42266" xr:uid="{84C5A32E-914F-4A64-BFDE-E89F78450386}"/>
    <cellStyle name="Normal 2 6 2 2 3 3 4" xfId="29675" xr:uid="{01F6BE43-D328-4060-A54E-8CF509AA0B65}"/>
    <cellStyle name="Normal 2 6 2 2 3 4" xfId="7231" xr:uid="{C383BC46-D75E-4FDF-8D45-D900B4A8E063}"/>
    <cellStyle name="Normal 2 6 2 2 3 4 2" xfId="19913" xr:uid="{7FC59345-397E-4A02-AC49-D8A8EC7973BE}"/>
    <cellStyle name="Normal 2 6 2 2 3 4 2 2" xfId="45405" xr:uid="{15002F25-3ED6-497A-835B-C033FF57B67A}"/>
    <cellStyle name="Normal 2 6 2 2 3 4 3" xfId="32814" xr:uid="{A181ACA4-16B5-406F-B86A-CC721AE89D24}"/>
    <cellStyle name="Normal 2 6 2 2 3 5" xfId="13635" xr:uid="{50B9018C-80DC-4FAB-89E6-D8BA54013ADD}"/>
    <cellStyle name="Normal 2 6 2 2 3 5 2" xfId="39127" xr:uid="{7E8FC53F-A506-44C0-A63B-C68646061FCA}"/>
    <cellStyle name="Normal 2 6 2 2 3 6" xfId="26536" xr:uid="{7762ADDA-4C7B-482C-AA1E-8AB5A104616F}"/>
    <cellStyle name="Normal 2 6 2 2 4" xfId="1968" xr:uid="{384CF6AA-3B13-496A-B49F-E4CAA9AB5DCF}"/>
    <cellStyle name="Normal 2 6 2 2 4 2" xfId="5122" xr:uid="{9563A844-5519-4CE1-9EF8-98A2AB1FE91E}"/>
    <cellStyle name="Normal 2 6 2 2 4 2 2" xfId="11415" xr:uid="{F8EBFF73-C440-4D47-BC53-B55C0B8184A7}"/>
    <cellStyle name="Normal 2 6 2 2 4 2 2 2" xfId="24097" xr:uid="{3E7ED91A-DA4D-4F8E-88CB-9D99471627E1}"/>
    <cellStyle name="Normal 2 6 2 2 4 2 2 2 2" xfId="49589" xr:uid="{076152B2-A7C7-419D-A598-39782E313217}"/>
    <cellStyle name="Normal 2 6 2 2 4 2 2 3" xfId="36998" xr:uid="{CBF11109-A684-4092-9B95-4DA5E1B746E3}"/>
    <cellStyle name="Normal 2 6 2 2 4 2 3" xfId="17819" xr:uid="{FC4143E0-3181-4331-96A2-5B7732CC4D03}"/>
    <cellStyle name="Normal 2 6 2 2 4 2 3 2" xfId="43311" xr:uid="{B607CA1C-99DD-4A46-8AFF-863BB3EDE3FD}"/>
    <cellStyle name="Normal 2 6 2 2 4 2 4" xfId="30720" xr:uid="{6ACB1866-7FAE-4EF2-A8E0-75768118F4E5}"/>
    <cellStyle name="Normal 2 6 2 2 4 3" xfId="8276" xr:uid="{FBC0458C-D8C8-4DE9-B71F-6325BBEFA377}"/>
    <cellStyle name="Normal 2 6 2 2 4 3 2" xfId="20958" xr:uid="{30650DAF-9951-447B-9587-D0FB3BA7CDBF}"/>
    <cellStyle name="Normal 2 6 2 2 4 3 2 2" xfId="46450" xr:uid="{ED3CF92B-1B72-400B-8537-4ACEC13BF410}"/>
    <cellStyle name="Normal 2 6 2 2 4 3 3" xfId="33859" xr:uid="{48767E6E-21B8-4272-8FAC-D50065BBD61B}"/>
    <cellStyle name="Normal 2 6 2 2 4 4" xfId="14680" xr:uid="{CCD4BE46-54A2-48EA-9E9D-E94497CFF9A5}"/>
    <cellStyle name="Normal 2 6 2 2 4 4 2" xfId="40172" xr:uid="{0EEE13B4-B96D-4088-A7C4-E71D17EDFCE4}"/>
    <cellStyle name="Normal 2 6 2 2 4 5" xfId="27581" xr:uid="{1AC6BC4D-2E73-490B-8D6A-49B6C984B88C}"/>
    <cellStyle name="Normal 2 6 2 2 5" xfId="1446" xr:uid="{BBA6891E-3884-4029-8BA7-D67B88955B2E}"/>
    <cellStyle name="Normal 2 6 2 2 5 2" xfId="4600" xr:uid="{84FE2E5E-CABE-4860-B333-2C0F008E5012}"/>
    <cellStyle name="Normal 2 6 2 2 5 2 2" xfId="10893" xr:uid="{1A15D948-9E9A-4BC3-AF29-5762389C1C67}"/>
    <cellStyle name="Normal 2 6 2 2 5 2 2 2" xfId="23575" xr:uid="{B23502AB-8D92-4985-86C1-EE7C6259B072}"/>
    <cellStyle name="Normal 2 6 2 2 5 2 2 2 2" xfId="49067" xr:uid="{97C86D40-22E6-41B1-B368-6BBAFAB35AF1}"/>
    <cellStyle name="Normal 2 6 2 2 5 2 2 3" xfId="36476" xr:uid="{B4C8894C-421B-4C68-BB28-94CA272141A4}"/>
    <cellStyle name="Normal 2 6 2 2 5 2 3" xfId="17297" xr:uid="{73B81EE2-B85F-47B9-ACC8-AA3999266916}"/>
    <cellStyle name="Normal 2 6 2 2 5 2 3 2" xfId="42789" xr:uid="{2B462FAB-FDB5-4A2A-9D17-9B395883FB03}"/>
    <cellStyle name="Normal 2 6 2 2 5 2 4" xfId="30198" xr:uid="{58627328-13A1-470A-AA0E-68055C73F57C}"/>
    <cellStyle name="Normal 2 6 2 2 5 3" xfId="7754" xr:uid="{343C228E-43B0-4271-AAB1-05EBBE3E2722}"/>
    <cellStyle name="Normal 2 6 2 2 5 3 2" xfId="20436" xr:uid="{A65759E2-E74E-495C-8DAD-94234E23F162}"/>
    <cellStyle name="Normal 2 6 2 2 5 3 2 2" xfId="45928" xr:uid="{E892F18C-F858-4A90-837A-12170A961768}"/>
    <cellStyle name="Normal 2 6 2 2 5 3 3" xfId="33337" xr:uid="{2A3C868D-70A7-43AD-B16A-63D06CCE8DC4}"/>
    <cellStyle name="Normal 2 6 2 2 5 4" xfId="14158" xr:uid="{EFC2501F-A823-49C1-9E10-C41419A64438}"/>
    <cellStyle name="Normal 2 6 2 2 5 4 2" xfId="39650" xr:uid="{9E4F487B-5F4E-434C-919C-752525F64AC6}"/>
    <cellStyle name="Normal 2 6 2 2 5 5" xfId="27059" xr:uid="{AAB326C6-0315-4A37-87AE-2E940CF7F77D}"/>
    <cellStyle name="Normal 2 6 2 2 6" xfId="2753" xr:uid="{5DAC8370-2924-448F-BA5F-9FE5753070AC}"/>
    <cellStyle name="Normal 2 6 2 2 6 2" xfId="5907" xr:uid="{6A23A024-759E-4B76-A04C-B2F304F0EC23}"/>
    <cellStyle name="Normal 2 6 2 2 6 2 2" xfId="12200" xr:uid="{211059D0-727C-4EA1-B76B-4400EE74FCB7}"/>
    <cellStyle name="Normal 2 6 2 2 6 2 2 2" xfId="24882" xr:uid="{73F593D3-66DF-400E-9B18-11DAA81C86D3}"/>
    <cellStyle name="Normal 2 6 2 2 6 2 2 2 2" xfId="50374" xr:uid="{EAD285E6-B5EF-4661-AE08-EEDE9D45FA61}"/>
    <cellStyle name="Normal 2 6 2 2 6 2 2 3" xfId="37783" xr:uid="{394F9101-294C-445D-BB17-6B77884404B7}"/>
    <cellStyle name="Normal 2 6 2 2 6 2 3" xfId="18604" xr:uid="{32FE2F9D-E2AB-4D52-8A24-EC84491D0714}"/>
    <cellStyle name="Normal 2 6 2 2 6 2 3 2" xfId="44096" xr:uid="{22E02F1E-9516-4625-BDA9-B788EBE7685D}"/>
    <cellStyle name="Normal 2 6 2 2 6 2 4" xfId="31505" xr:uid="{7091A4F0-037C-4ACA-81F8-46CD1F64D9F9}"/>
    <cellStyle name="Normal 2 6 2 2 6 3" xfId="9061" xr:uid="{13ECA29D-4CE7-40E1-836B-826B3D35C858}"/>
    <cellStyle name="Normal 2 6 2 2 6 3 2" xfId="21743" xr:uid="{4BC1BBFD-BC23-4A0A-920B-289D4A277DCC}"/>
    <cellStyle name="Normal 2 6 2 2 6 3 2 2" xfId="47235" xr:uid="{F0A60061-F004-422D-806D-B92EF547546D}"/>
    <cellStyle name="Normal 2 6 2 2 6 3 3" xfId="34644" xr:uid="{52E2EA4F-B5E2-44BC-96E0-E3AEDD622528}"/>
    <cellStyle name="Normal 2 6 2 2 6 4" xfId="15465" xr:uid="{1AA2E6D9-50CD-4D2C-80B1-090D6002FC50}"/>
    <cellStyle name="Normal 2 6 2 2 6 4 2" xfId="40957" xr:uid="{10183B95-8DD1-4385-A9C2-B9AAC1B17734}"/>
    <cellStyle name="Normal 2 6 2 2 6 5" xfId="28366" xr:uid="{1761A258-9AFC-4252-B6AF-3360501E9628}"/>
    <cellStyle name="Normal 2 6 2 2 7" xfId="3276" xr:uid="{DF6C5671-2260-4282-9312-0DA3BAF406E9}"/>
    <cellStyle name="Normal 2 6 2 2 7 2" xfId="6430" xr:uid="{D5EF4490-8B14-49AB-BC6A-71D0DF6C5981}"/>
    <cellStyle name="Normal 2 6 2 2 7 2 2" xfId="12723" xr:uid="{1D73C3CA-5182-43A5-BDB9-D708B424765A}"/>
    <cellStyle name="Normal 2 6 2 2 7 2 2 2" xfId="25405" xr:uid="{CDDCFDD4-1D7D-4142-80AB-8C7CE2A95BBE}"/>
    <cellStyle name="Normal 2 6 2 2 7 2 2 2 2" xfId="50897" xr:uid="{AA4119F4-B3EB-49DA-B84F-2710DDD1D1D6}"/>
    <cellStyle name="Normal 2 6 2 2 7 2 2 3" xfId="38306" xr:uid="{A35724DE-BB74-43A9-85AE-85038EEE678B}"/>
    <cellStyle name="Normal 2 6 2 2 7 2 3" xfId="19127" xr:uid="{AB1E8464-8B68-45AF-B525-8B283713B032}"/>
    <cellStyle name="Normal 2 6 2 2 7 2 3 2" xfId="44619" xr:uid="{282334CB-6631-4071-B2C7-E6E4FF8702A3}"/>
    <cellStyle name="Normal 2 6 2 2 7 2 4" xfId="32028" xr:uid="{E140811D-2A80-41FA-AF1F-902608D4C18C}"/>
    <cellStyle name="Normal 2 6 2 2 7 3" xfId="9584" xr:uid="{10BD26DE-4BEA-450F-B576-9F1DD4C668B2}"/>
    <cellStyle name="Normal 2 6 2 2 7 3 2" xfId="22266" xr:uid="{712A3335-D419-40D7-AF30-535760461342}"/>
    <cellStyle name="Normal 2 6 2 2 7 3 2 2" xfId="47758" xr:uid="{0052E243-D55B-412A-888B-2927940577D1}"/>
    <cellStyle name="Normal 2 6 2 2 7 3 3" xfId="35167" xr:uid="{6AF6B10E-503B-48AC-9CC2-64377981D4EB}"/>
    <cellStyle name="Normal 2 6 2 2 7 4" xfId="15988" xr:uid="{E52FAEAD-7EEC-46A0-80E4-F3928549B4DE}"/>
    <cellStyle name="Normal 2 6 2 2 7 4 2" xfId="41480" xr:uid="{3DAF945F-959E-4D0D-9875-BFF41CAE6BF2}"/>
    <cellStyle name="Normal 2 6 2 2 7 5" xfId="28889" xr:uid="{2241E524-09C1-4EA6-9FE0-DCA6C35394AF}"/>
    <cellStyle name="Normal 2 6 2 2 8" xfId="3815" xr:uid="{A4FF04EC-D555-4749-A45C-19DCD56B4CBF}"/>
    <cellStyle name="Normal 2 6 2 2 8 2" xfId="10108" xr:uid="{166FB47F-3D00-4209-B2E0-FDBFBB825524}"/>
    <cellStyle name="Normal 2 6 2 2 8 2 2" xfId="22790" xr:uid="{3B3C36C8-F399-4091-A17A-AD62153471D4}"/>
    <cellStyle name="Normal 2 6 2 2 8 2 2 2" xfId="48282" xr:uid="{6BD3C9F4-8E31-42A4-B8D2-5B918B924BAC}"/>
    <cellStyle name="Normal 2 6 2 2 8 2 3" xfId="35691" xr:uid="{D9EDE475-E182-4B4D-ADFD-EAB3A86D26CF}"/>
    <cellStyle name="Normal 2 6 2 2 8 3" xfId="16512" xr:uid="{8AFF8CC6-4415-46EB-8A8A-1C61CB228295}"/>
    <cellStyle name="Normal 2 6 2 2 8 3 2" xfId="42004" xr:uid="{D3FCF2DB-0E80-4379-8327-A04F899D806A}"/>
    <cellStyle name="Normal 2 6 2 2 8 4" xfId="29413" xr:uid="{ABB88BDA-B959-4DDE-AB07-44442154E726}"/>
    <cellStyle name="Normal 2 6 2 2 9" xfId="6969" xr:uid="{31FEF718-CEFF-479A-A90A-D1F1835C0603}"/>
    <cellStyle name="Normal 2 6 2 2 9 2" xfId="19651" xr:uid="{E3E7B534-C7FA-42FB-AE51-41C108F19401}"/>
    <cellStyle name="Normal 2 6 2 2 9 2 2" xfId="45143" xr:uid="{A6650386-2FAB-4031-A43D-F638BDBF2A8A}"/>
    <cellStyle name="Normal 2 6 2 2 9 3" xfId="32552" xr:uid="{A50474FD-97A6-41F3-A90A-282DEBC33E23}"/>
    <cellStyle name="Normal 2 6 2 3" xfId="1024" xr:uid="{A8721CD0-CF9F-4FF7-AAD3-F605B3E4CBAB}"/>
    <cellStyle name="Normal 2 6 2 3 2" xfId="2331" xr:uid="{35AF43BB-C4AF-4BC9-97D1-40BEBFBDE112}"/>
    <cellStyle name="Normal 2 6 2 3 2 2" xfId="5485" xr:uid="{5926FC78-1891-4198-A170-CE1D492D840F}"/>
    <cellStyle name="Normal 2 6 2 3 2 2 2" xfId="11778" xr:uid="{33FDE174-4B0A-4C21-9B9C-37230B007A87}"/>
    <cellStyle name="Normal 2 6 2 3 2 2 2 2" xfId="24460" xr:uid="{98941B6C-2154-4A38-B237-D765012AAA55}"/>
    <cellStyle name="Normal 2 6 2 3 2 2 2 2 2" xfId="49952" xr:uid="{0DC37FB3-EBCC-46A3-A234-18035B38B21C}"/>
    <cellStyle name="Normal 2 6 2 3 2 2 2 3" xfId="37361" xr:uid="{7185C6F2-DE32-424A-AB63-9E68657D549C}"/>
    <cellStyle name="Normal 2 6 2 3 2 2 3" xfId="18182" xr:uid="{D6C11877-817B-49FA-8366-DE4351E07232}"/>
    <cellStyle name="Normal 2 6 2 3 2 2 3 2" xfId="43674" xr:uid="{1F874E14-7653-4EF4-B2D9-72BE46E2E9F5}"/>
    <cellStyle name="Normal 2 6 2 3 2 2 4" xfId="31083" xr:uid="{6DE11E89-F768-4854-A1E6-378EC2E0F8B4}"/>
    <cellStyle name="Normal 2 6 2 3 2 3" xfId="8639" xr:uid="{FB7BD299-B8A8-4C94-80A2-789A2D4D3CA7}"/>
    <cellStyle name="Normal 2 6 2 3 2 3 2" xfId="21321" xr:uid="{D11E0652-ED2C-4135-9B83-1DAD1FCCDC34}"/>
    <cellStyle name="Normal 2 6 2 3 2 3 2 2" xfId="46813" xr:uid="{6EB5D2E7-205D-49AA-9CFB-4A427FE49BC0}"/>
    <cellStyle name="Normal 2 6 2 3 2 3 3" xfId="34222" xr:uid="{BB857CBA-8559-42A4-AD43-8D17F5A16840}"/>
    <cellStyle name="Normal 2 6 2 3 2 4" xfId="15043" xr:uid="{F0A3756C-1286-49E4-8C0C-7EE15574C5A9}"/>
    <cellStyle name="Normal 2 6 2 3 2 4 2" xfId="40535" xr:uid="{94E66A64-7EB1-4E0F-A8C3-5D746E76BB09}"/>
    <cellStyle name="Normal 2 6 2 3 2 5" xfId="27944" xr:uid="{976F6D95-2DA4-43D7-B293-500C499293AD}"/>
    <cellStyle name="Normal 2 6 2 3 3" xfId="1548" xr:uid="{24C41958-7F7D-4FED-B1A3-EB54A11EC65B}"/>
    <cellStyle name="Normal 2 6 2 3 3 2" xfId="4702" xr:uid="{751718E1-11EF-4902-B4AE-7BAB494E3B11}"/>
    <cellStyle name="Normal 2 6 2 3 3 2 2" xfId="10995" xr:uid="{B5CA7605-5A64-4338-9A7A-9F4B424DE0B5}"/>
    <cellStyle name="Normal 2 6 2 3 3 2 2 2" xfId="23677" xr:uid="{FF95FBDA-6029-421D-929D-D7C1ECA923D5}"/>
    <cellStyle name="Normal 2 6 2 3 3 2 2 2 2" xfId="49169" xr:uid="{8D5FD563-0078-43A0-897E-851857C55ED0}"/>
    <cellStyle name="Normal 2 6 2 3 3 2 2 3" xfId="36578" xr:uid="{F85106B4-8ED0-4DE1-8B89-073A11135B37}"/>
    <cellStyle name="Normal 2 6 2 3 3 2 3" xfId="17399" xr:uid="{1B69129B-B579-4338-8A14-430C104B10C2}"/>
    <cellStyle name="Normal 2 6 2 3 3 2 3 2" xfId="42891" xr:uid="{F211E864-4960-41F8-B12A-488A207B633E}"/>
    <cellStyle name="Normal 2 6 2 3 3 2 4" xfId="30300" xr:uid="{E8DF8843-8ABB-4CCD-9FD3-A07C2DE7FCDD}"/>
    <cellStyle name="Normal 2 6 2 3 3 3" xfId="7856" xr:uid="{D373C8DB-373A-4D87-AE86-8E52AFBD3E1D}"/>
    <cellStyle name="Normal 2 6 2 3 3 3 2" xfId="20538" xr:uid="{92A79858-9C18-4A3E-A6B0-18C8962C0F09}"/>
    <cellStyle name="Normal 2 6 2 3 3 3 2 2" xfId="46030" xr:uid="{69D2E96E-4375-47C2-8BA0-ED575FAABD76}"/>
    <cellStyle name="Normal 2 6 2 3 3 3 3" xfId="33439" xr:uid="{A7A96E34-29F4-4116-BC01-E5C04C4EC94C}"/>
    <cellStyle name="Normal 2 6 2 3 3 4" xfId="14260" xr:uid="{5FA9AABC-C252-4401-9544-DF0176FAA58D}"/>
    <cellStyle name="Normal 2 6 2 3 3 4 2" xfId="39752" xr:uid="{08A9A741-67A6-40AF-8837-C695CB6B149E}"/>
    <cellStyle name="Normal 2 6 2 3 3 5" xfId="27161" xr:uid="{62A6E7BA-8A6C-4381-A8B4-C5A1B305AA10}"/>
    <cellStyle name="Normal 2 6 2 3 4" xfId="2855" xr:uid="{6C42CAF6-5AB2-45F4-B71E-E0CFB9725A9C}"/>
    <cellStyle name="Normal 2 6 2 3 4 2" xfId="6009" xr:uid="{F28F0871-E4DE-4F5F-B1A1-9731F5055CA2}"/>
    <cellStyle name="Normal 2 6 2 3 4 2 2" xfId="12302" xr:uid="{037F57C2-C874-4A53-9AB5-48B1B4CDA77D}"/>
    <cellStyle name="Normal 2 6 2 3 4 2 2 2" xfId="24984" xr:uid="{70FB837F-0299-4C64-B34E-8DC07F8DEA92}"/>
    <cellStyle name="Normal 2 6 2 3 4 2 2 2 2" xfId="50476" xr:uid="{1FA2E323-BEC1-4E49-8E8B-EB7130026456}"/>
    <cellStyle name="Normal 2 6 2 3 4 2 2 3" xfId="37885" xr:uid="{61CD2164-5162-49AB-94BD-235E693EBC90}"/>
    <cellStyle name="Normal 2 6 2 3 4 2 3" xfId="18706" xr:uid="{FFE320A3-89BA-41A3-9D9B-745C71C2BA02}"/>
    <cellStyle name="Normal 2 6 2 3 4 2 3 2" xfId="44198" xr:uid="{80BABF8A-121C-4D99-83E5-05D1B8C6F195}"/>
    <cellStyle name="Normal 2 6 2 3 4 2 4" xfId="31607" xr:uid="{BE9C4F19-0ADC-467A-9F50-0A3065635708}"/>
    <cellStyle name="Normal 2 6 2 3 4 3" xfId="9163" xr:uid="{90DE865B-E33F-435C-8590-A09A5F1AF5B0}"/>
    <cellStyle name="Normal 2 6 2 3 4 3 2" xfId="21845" xr:uid="{42E07E70-4605-4FE5-B887-944FDE52E21D}"/>
    <cellStyle name="Normal 2 6 2 3 4 3 2 2" xfId="47337" xr:uid="{03465C16-DFAD-48EB-9B5E-E61213C9E3FC}"/>
    <cellStyle name="Normal 2 6 2 3 4 3 3" xfId="34746" xr:uid="{57054C3D-254D-42AB-8750-0E31E33E2C5D}"/>
    <cellStyle name="Normal 2 6 2 3 4 4" xfId="15567" xr:uid="{91A7F2B4-1D39-40A8-A0FF-46B2156C51E7}"/>
    <cellStyle name="Normal 2 6 2 3 4 4 2" xfId="41059" xr:uid="{C14EFB53-992D-4CC4-852C-22BB7F54386F}"/>
    <cellStyle name="Normal 2 6 2 3 4 5" xfId="28468" xr:uid="{2E6699AB-2C86-4DD4-A6DC-A75D1E4D3BF1}"/>
    <cellStyle name="Normal 2 6 2 3 5" xfId="3378" xr:uid="{A5EDF264-7454-4D84-B4CD-53B3AAFB26B6}"/>
    <cellStyle name="Normal 2 6 2 3 5 2" xfId="6532" xr:uid="{4C690360-2D41-413B-BE58-EABA39328C74}"/>
    <cellStyle name="Normal 2 6 2 3 5 2 2" xfId="12825" xr:uid="{881D5F25-DE3A-47CF-835A-0F3AC8B9F9D4}"/>
    <cellStyle name="Normal 2 6 2 3 5 2 2 2" xfId="25507" xr:uid="{353D7A38-5671-4C9F-B3BF-3193E9446F27}"/>
    <cellStyle name="Normal 2 6 2 3 5 2 2 2 2" xfId="50999" xr:uid="{5A0ADD05-8F56-44DA-8D24-1A703AA825BA}"/>
    <cellStyle name="Normal 2 6 2 3 5 2 2 3" xfId="38408" xr:uid="{B455FEB1-7528-4BF4-BF19-CEBCF073E9FB}"/>
    <cellStyle name="Normal 2 6 2 3 5 2 3" xfId="19229" xr:uid="{F3AD70C9-5181-46AC-9C3D-C802479E9907}"/>
    <cellStyle name="Normal 2 6 2 3 5 2 3 2" xfId="44721" xr:uid="{30DF0D80-3176-4C8F-8084-78695EFEC72B}"/>
    <cellStyle name="Normal 2 6 2 3 5 2 4" xfId="32130" xr:uid="{4AEE971B-6A52-4DF7-8611-EC577D6B6C52}"/>
    <cellStyle name="Normal 2 6 2 3 5 3" xfId="9686" xr:uid="{196F86C6-699F-4F84-AACC-19DACDD34867}"/>
    <cellStyle name="Normal 2 6 2 3 5 3 2" xfId="22368" xr:uid="{F5243189-9531-4BC3-9456-8A40EAA66E57}"/>
    <cellStyle name="Normal 2 6 2 3 5 3 2 2" xfId="47860" xr:uid="{6BBDC9BF-6FE8-445B-8753-42EAEA28F4C9}"/>
    <cellStyle name="Normal 2 6 2 3 5 3 3" xfId="35269" xr:uid="{01B36726-C976-48A1-9F28-964326206CFA}"/>
    <cellStyle name="Normal 2 6 2 3 5 4" xfId="16090" xr:uid="{452C57AF-5DA5-447A-BD4F-5C6C0576B6EE}"/>
    <cellStyle name="Normal 2 6 2 3 5 4 2" xfId="41582" xr:uid="{FC606AF4-9668-4D6A-AFF4-91BBD9103426}"/>
    <cellStyle name="Normal 2 6 2 3 5 5" xfId="28991" xr:uid="{55183E5C-92E7-4479-8E3E-EA89FFDA1E09}"/>
    <cellStyle name="Normal 2 6 2 3 6" xfId="4178" xr:uid="{1586B7C4-55CE-41A1-9704-06CDC8162816}"/>
    <cellStyle name="Normal 2 6 2 3 6 2" xfId="10471" xr:uid="{1041DAB1-4D77-4DD6-AE3A-5CDE23A4CEB3}"/>
    <cellStyle name="Normal 2 6 2 3 6 2 2" xfId="23153" xr:uid="{069DBFA7-DA8A-408B-8B7A-8181EE1866CE}"/>
    <cellStyle name="Normal 2 6 2 3 6 2 2 2" xfId="48645" xr:uid="{E0F9276D-2A3E-4A6D-B3CD-CA662F75238A}"/>
    <cellStyle name="Normal 2 6 2 3 6 2 3" xfId="36054" xr:uid="{DE04F22C-ED7F-43D8-97BB-67F03F743C83}"/>
    <cellStyle name="Normal 2 6 2 3 6 3" xfId="16875" xr:uid="{B950BBDC-9CD6-46F6-A689-12F94A758E27}"/>
    <cellStyle name="Normal 2 6 2 3 6 3 2" xfId="42367" xr:uid="{E350A024-4D98-4E46-9D60-B8226BEE6FA4}"/>
    <cellStyle name="Normal 2 6 2 3 6 4" xfId="29776" xr:uid="{923F5523-29E0-4279-A083-B783D702467B}"/>
    <cellStyle name="Normal 2 6 2 3 7" xfId="7332" xr:uid="{F87F0FED-BAEC-4E95-949D-0789CA8761E1}"/>
    <cellStyle name="Normal 2 6 2 3 7 2" xfId="20014" xr:uid="{4CF8BEF0-579F-495A-A9BF-C976A2393ADD}"/>
    <cellStyle name="Normal 2 6 2 3 7 2 2" xfId="45506" xr:uid="{A4CD93BC-19D0-4A33-A411-85649457C772}"/>
    <cellStyle name="Normal 2 6 2 3 7 3" xfId="32915" xr:uid="{18EEBFD0-E970-4BE3-9347-476569916702}"/>
    <cellStyle name="Normal 2 6 2 3 8" xfId="13736" xr:uid="{94717374-4071-4ADF-898F-2196B6126748}"/>
    <cellStyle name="Normal 2 6 2 3 8 2" xfId="39228" xr:uid="{B60D136D-1671-44D1-8D23-960E76988324}"/>
    <cellStyle name="Normal 2 6 2 3 9" xfId="26637" xr:uid="{F01F2E66-73A7-466F-A6D5-3A6481F7A99A}"/>
    <cellStyle name="Normal 2 6 2 4" xfId="764" xr:uid="{FE1D8097-07FA-4600-8AC6-1C050C7E1DA7}"/>
    <cellStyle name="Normal 2 6 2 4 2" xfId="2071" xr:uid="{283E2A79-4359-41E7-A8AB-50A08A22E50C}"/>
    <cellStyle name="Normal 2 6 2 4 2 2" xfId="5225" xr:uid="{CA9BE0EC-8D3E-4663-8D45-CBD602020244}"/>
    <cellStyle name="Normal 2 6 2 4 2 2 2" xfId="11518" xr:uid="{917A7024-6D93-4411-ACAF-B0C529BEA702}"/>
    <cellStyle name="Normal 2 6 2 4 2 2 2 2" xfId="24200" xr:uid="{B93E379D-2306-42DB-8116-AD34EB98AB8D}"/>
    <cellStyle name="Normal 2 6 2 4 2 2 2 2 2" xfId="49692" xr:uid="{ABA4AF14-C43A-4298-B607-96F29B4AA8B3}"/>
    <cellStyle name="Normal 2 6 2 4 2 2 2 3" xfId="37101" xr:uid="{ACC94CDD-A465-4336-84BE-CF7711A4D7E1}"/>
    <cellStyle name="Normal 2 6 2 4 2 2 3" xfId="17922" xr:uid="{EBC97DFD-50BF-4DB1-B4F8-60A12DBDCECE}"/>
    <cellStyle name="Normal 2 6 2 4 2 2 3 2" xfId="43414" xr:uid="{FCE6D7E1-D6E6-49D1-94E5-1D469AE40020}"/>
    <cellStyle name="Normal 2 6 2 4 2 2 4" xfId="30823" xr:uid="{DAA70277-89A9-4E8D-B929-882BAE85F68E}"/>
    <cellStyle name="Normal 2 6 2 4 2 3" xfId="8379" xr:uid="{FAB9CEB9-7FC3-4DD1-8959-E2F50F2672EC}"/>
    <cellStyle name="Normal 2 6 2 4 2 3 2" xfId="21061" xr:uid="{9AD6FB0A-E9EF-4FEB-9FC9-DEB9C81D245E}"/>
    <cellStyle name="Normal 2 6 2 4 2 3 2 2" xfId="46553" xr:uid="{3F5B4ACD-4779-4637-9967-791B20C1C32E}"/>
    <cellStyle name="Normal 2 6 2 4 2 3 3" xfId="33962" xr:uid="{F73072B8-EDD2-4C48-A417-A382B6B11DF6}"/>
    <cellStyle name="Normal 2 6 2 4 2 4" xfId="14783" xr:uid="{1AD6275E-5389-4CBA-948C-0BEE25B0C19A}"/>
    <cellStyle name="Normal 2 6 2 4 2 4 2" xfId="40275" xr:uid="{FE313D0A-0A22-49E7-9584-1910B6320EFD}"/>
    <cellStyle name="Normal 2 6 2 4 2 5" xfId="27684" xr:uid="{ED6F3FFE-93E8-47C0-BA3B-36740A30CEDE}"/>
    <cellStyle name="Normal 2 6 2 4 3" xfId="3918" xr:uid="{F5CE5D8B-EE4B-4ECB-ABC8-08C891835B3B}"/>
    <cellStyle name="Normal 2 6 2 4 3 2" xfId="10211" xr:uid="{7FE06E5D-DAF6-4B78-85F7-6391D5EB8630}"/>
    <cellStyle name="Normal 2 6 2 4 3 2 2" xfId="22893" xr:uid="{4C9FF1C5-1382-49C5-B654-5D93AC966BA9}"/>
    <cellStyle name="Normal 2 6 2 4 3 2 2 2" xfId="48385" xr:uid="{E32DE939-3807-46B2-B3EF-39E4CC410899}"/>
    <cellStyle name="Normal 2 6 2 4 3 2 3" xfId="35794" xr:uid="{53738202-6380-4D07-BF64-77D233807DEE}"/>
    <cellStyle name="Normal 2 6 2 4 3 3" xfId="16615" xr:uid="{FE2CE25A-221D-4F2D-966D-32B77810240D}"/>
    <cellStyle name="Normal 2 6 2 4 3 3 2" xfId="42107" xr:uid="{254D7FD6-99CA-4898-9F2C-95D6067D2D41}"/>
    <cellStyle name="Normal 2 6 2 4 3 4" xfId="29516" xr:uid="{6D4B5B3F-74FB-485D-A507-7B2E5BD97695}"/>
    <cellStyle name="Normal 2 6 2 4 4" xfId="7072" xr:uid="{A571CD7A-29F1-451F-9D0F-5BE9A166CF5D}"/>
    <cellStyle name="Normal 2 6 2 4 4 2" xfId="19754" xr:uid="{EEE421A6-26DD-44E6-B1B7-9369F9E636D4}"/>
    <cellStyle name="Normal 2 6 2 4 4 2 2" xfId="45246" xr:uid="{C83F3EA7-09C8-436A-92FB-C17C6C076392}"/>
    <cellStyle name="Normal 2 6 2 4 4 3" xfId="32655" xr:uid="{FC0413B8-474E-4456-A472-AE7CC21ECDC4}"/>
    <cellStyle name="Normal 2 6 2 4 5" xfId="13476" xr:uid="{CA65A3C5-8952-4FC4-8CBB-1BD4A713AB80}"/>
    <cellStyle name="Normal 2 6 2 4 5 2" xfId="38968" xr:uid="{31E5E997-1B61-4931-B38A-E70DC4CBBDC7}"/>
    <cellStyle name="Normal 2 6 2 4 6" xfId="26377" xr:uid="{ABD00115-8D25-43EE-AAB2-5E4632188D99}"/>
    <cellStyle name="Normal 2 6 2 5" xfId="1809" xr:uid="{F0C327C5-C652-453A-ACD9-5A0E8DD59B29}"/>
    <cellStyle name="Normal 2 6 2 5 2" xfId="4963" xr:uid="{7927697B-25C0-488F-AD08-45823C822C4E}"/>
    <cellStyle name="Normal 2 6 2 5 2 2" xfId="11256" xr:uid="{FAC82643-4975-404A-8FC1-A963F4375F44}"/>
    <cellStyle name="Normal 2 6 2 5 2 2 2" xfId="23938" xr:uid="{088DA496-5055-4F29-81CD-59D12E781709}"/>
    <cellStyle name="Normal 2 6 2 5 2 2 2 2" xfId="49430" xr:uid="{112C8DD3-AC4F-4B43-B280-30E819A4E3A4}"/>
    <cellStyle name="Normal 2 6 2 5 2 2 3" xfId="36839" xr:uid="{D61CE490-D373-411E-8CB9-060AC365EFBB}"/>
    <cellStyle name="Normal 2 6 2 5 2 3" xfId="17660" xr:uid="{986188B3-DEC6-4733-8139-1D57B452D58D}"/>
    <cellStyle name="Normal 2 6 2 5 2 3 2" xfId="43152" xr:uid="{8C4EA0D9-4971-48EC-911C-4019937387DE}"/>
    <cellStyle name="Normal 2 6 2 5 2 4" xfId="30561" xr:uid="{9970ABF1-0CD8-424B-940E-8FF982295D96}"/>
    <cellStyle name="Normal 2 6 2 5 3" xfId="8117" xr:uid="{8E521BDA-D784-43BB-AA31-BCA73AE1468C}"/>
    <cellStyle name="Normal 2 6 2 5 3 2" xfId="20799" xr:uid="{0822C99B-3AE1-42DF-9D38-F08F50B6544B}"/>
    <cellStyle name="Normal 2 6 2 5 3 2 2" xfId="46291" xr:uid="{0E8CBED5-ECF8-44DF-A8A1-8BEBEABA2260}"/>
    <cellStyle name="Normal 2 6 2 5 3 3" xfId="33700" xr:uid="{C118754C-B0C7-4377-91B1-0FA946F67A01}"/>
    <cellStyle name="Normal 2 6 2 5 4" xfId="14521" xr:uid="{5DA17029-FA94-4546-B32C-951B405841DD}"/>
    <cellStyle name="Normal 2 6 2 5 4 2" xfId="40013" xr:uid="{6FF2CA18-E598-4955-8A9A-CE96E98AAC40}"/>
    <cellStyle name="Normal 2 6 2 5 5" xfId="27422" xr:uid="{6C26D725-0E09-4E4E-9C76-231D07F12A57}"/>
    <cellStyle name="Normal 2 6 2 6" xfId="1287" xr:uid="{0AD13352-E8D3-45C5-BEA2-FB0C66BEC668}"/>
    <cellStyle name="Normal 2 6 2 6 2" xfId="4441" xr:uid="{340919CE-E9C9-4B78-8722-6B6EAE1C2190}"/>
    <cellStyle name="Normal 2 6 2 6 2 2" xfId="10734" xr:uid="{45B33696-4BC9-44E6-AF1E-A5C85740FEB3}"/>
    <cellStyle name="Normal 2 6 2 6 2 2 2" xfId="23416" xr:uid="{0006EC49-4709-4BF0-9D8E-472485303A62}"/>
    <cellStyle name="Normal 2 6 2 6 2 2 2 2" xfId="48908" xr:uid="{83ABC9F8-1DD9-4B01-8626-DAACFB7DA841}"/>
    <cellStyle name="Normal 2 6 2 6 2 2 3" xfId="36317" xr:uid="{5758C936-502D-4F4F-9061-0E7B45E76B41}"/>
    <cellStyle name="Normal 2 6 2 6 2 3" xfId="17138" xr:uid="{924C4700-ABC0-478D-81A2-AC0142B62E85}"/>
    <cellStyle name="Normal 2 6 2 6 2 3 2" xfId="42630" xr:uid="{3D30D90B-F2A7-45DD-8546-A2757B19FBD0}"/>
    <cellStyle name="Normal 2 6 2 6 2 4" xfId="30039" xr:uid="{279016B2-EBC3-4108-B8FE-E447FC0F2960}"/>
    <cellStyle name="Normal 2 6 2 6 3" xfId="7595" xr:uid="{5687B428-F299-4EC2-8BFB-4BDEE8B3FCD9}"/>
    <cellStyle name="Normal 2 6 2 6 3 2" xfId="20277" xr:uid="{FC403D1B-BA14-4821-B1F6-2E951701DC0A}"/>
    <cellStyle name="Normal 2 6 2 6 3 2 2" xfId="45769" xr:uid="{C60F6DFA-9F7C-4830-9A66-3CC192EDBCBB}"/>
    <cellStyle name="Normal 2 6 2 6 3 3" xfId="33178" xr:uid="{67B3E159-9932-4598-93B5-CC9BEF3BB02C}"/>
    <cellStyle name="Normal 2 6 2 6 4" xfId="13999" xr:uid="{744903AD-6CE0-45AE-B3D1-0ABBCB5B902B}"/>
    <cellStyle name="Normal 2 6 2 6 4 2" xfId="39491" xr:uid="{D81CE45E-1747-40DC-9462-71DCFFFB0CA6}"/>
    <cellStyle name="Normal 2 6 2 6 5" xfId="26900" xr:uid="{3E8A07D6-7D32-42B7-AEA6-9D545676B474}"/>
    <cellStyle name="Normal 2 6 2 7" xfId="2594" xr:uid="{67DB7A6E-BF05-4DC1-A996-82F4BEC1776F}"/>
    <cellStyle name="Normal 2 6 2 7 2" xfId="5748" xr:uid="{91C406F7-CFB0-4FC8-AB87-B5C5603C3DF0}"/>
    <cellStyle name="Normal 2 6 2 7 2 2" xfId="12041" xr:uid="{96CC5C30-FAB9-4AB8-B6D2-1B1CBC8CA1AD}"/>
    <cellStyle name="Normal 2 6 2 7 2 2 2" xfId="24723" xr:uid="{43F2DB89-9045-4CB2-976E-0402925344F5}"/>
    <cellStyle name="Normal 2 6 2 7 2 2 2 2" xfId="50215" xr:uid="{7C3A3CEA-A49E-4519-998F-DC63218263E9}"/>
    <cellStyle name="Normal 2 6 2 7 2 2 3" xfId="37624" xr:uid="{D13EE1F8-280B-49D8-A1F6-4176110C6561}"/>
    <cellStyle name="Normal 2 6 2 7 2 3" xfId="18445" xr:uid="{8FB92355-7887-4CE9-ADE9-CCA11A2B1FF2}"/>
    <cellStyle name="Normal 2 6 2 7 2 3 2" xfId="43937" xr:uid="{4001F744-EBD8-49DC-9FD7-F34C7507FEBE}"/>
    <cellStyle name="Normal 2 6 2 7 2 4" xfId="31346" xr:uid="{5F645473-998C-4768-B79A-823817F3DB30}"/>
    <cellStyle name="Normal 2 6 2 7 3" xfId="8902" xr:uid="{14CDB879-AC9B-4A59-A934-76CA13A6B167}"/>
    <cellStyle name="Normal 2 6 2 7 3 2" xfId="21584" xr:uid="{FF1622AA-DEC5-44E4-BCB2-023D70E69ECB}"/>
    <cellStyle name="Normal 2 6 2 7 3 2 2" xfId="47076" xr:uid="{D1747644-94CE-417E-A9DF-B77F89A00466}"/>
    <cellStyle name="Normal 2 6 2 7 3 3" xfId="34485" xr:uid="{69B0F7CF-163E-4807-8929-BD9A7750C745}"/>
    <cellStyle name="Normal 2 6 2 7 4" xfId="15306" xr:uid="{29E3C98D-3778-47E6-A5F4-1C5FECA37010}"/>
    <cellStyle name="Normal 2 6 2 7 4 2" xfId="40798" xr:uid="{0ABC47DA-56CF-403B-B36A-FDCE0FD7F522}"/>
    <cellStyle name="Normal 2 6 2 7 5" xfId="28207" xr:uid="{A5BEE5BE-03CA-4B82-BAD0-A5E8D8781592}"/>
    <cellStyle name="Normal 2 6 2 8" xfId="3117" xr:uid="{6CD7672E-EE31-42A6-84A8-A429DCEFE024}"/>
    <cellStyle name="Normal 2 6 2 8 2" xfId="6271" xr:uid="{D0748B7B-E75D-4EE7-B536-68E520712B04}"/>
    <cellStyle name="Normal 2 6 2 8 2 2" xfId="12564" xr:uid="{6D00369C-D14E-4D2E-BC97-1AD231A28221}"/>
    <cellStyle name="Normal 2 6 2 8 2 2 2" xfId="25246" xr:uid="{0CFE0818-DF11-4CF7-BFCD-1C589C21C319}"/>
    <cellStyle name="Normal 2 6 2 8 2 2 2 2" xfId="50738" xr:uid="{9DC053E7-786A-47CF-A1C6-D50D094884B4}"/>
    <cellStyle name="Normal 2 6 2 8 2 2 3" xfId="38147" xr:uid="{8E7E36EC-82EF-4CD7-9DCD-72C3AE02504D}"/>
    <cellStyle name="Normal 2 6 2 8 2 3" xfId="18968" xr:uid="{8A94DE75-5A39-416F-93AE-ECC6EF297068}"/>
    <cellStyle name="Normal 2 6 2 8 2 3 2" xfId="44460" xr:uid="{CC92E111-DC96-4159-8D35-92738A8D090B}"/>
    <cellStyle name="Normal 2 6 2 8 2 4" xfId="31869" xr:uid="{4605D29E-427E-4C75-84E1-FA834C9A4C46}"/>
    <cellStyle name="Normal 2 6 2 8 3" xfId="9425" xr:uid="{523B0E66-B3C4-48DD-BAD6-BD860C1189AB}"/>
    <cellStyle name="Normal 2 6 2 8 3 2" xfId="22107" xr:uid="{9090207D-9B3C-46BD-A432-E93815579FC1}"/>
    <cellStyle name="Normal 2 6 2 8 3 2 2" xfId="47599" xr:uid="{1D1E65C9-9774-4DA8-8720-F5325706B5DD}"/>
    <cellStyle name="Normal 2 6 2 8 3 3" xfId="35008" xr:uid="{D449C157-FA6B-4748-9EE8-D3017C153034}"/>
    <cellStyle name="Normal 2 6 2 8 4" xfId="15829" xr:uid="{03240B8F-5E9B-47FD-ADCE-DCFCCA6016A4}"/>
    <cellStyle name="Normal 2 6 2 8 4 2" xfId="41321" xr:uid="{27F4AEF7-92EE-4B66-A0D2-B589296EC62F}"/>
    <cellStyle name="Normal 2 6 2 8 5" xfId="28730" xr:uid="{DF1B57CA-76CE-46E6-B5E6-D4E9D92C430F}"/>
    <cellStyle name="Normal 2 6 2 9" xfId="3656" xr:uid="{A1DDC230-7345-434E-BA03-24AC925133D4}"/>
    <cellStyle name="Normal 2 6 2 9 2" xfId="9949" xr:uid="{FEE19B0E-5D05-49BC-A9F3-D79319CA3425}"/>
    <cellStyle name="Normal 2 6 2 9 2 2" xfId="22631" xr:uid="{B701555F-CF87-460D-AE12-C3DAF0D64D95}"/>
    <cellStyle name="Normal 2 6 2 9 2 2 2" xfId="48123" xr:uid="{9BC57B52-1D86-4F7F-B4B6-7EB847832EE8}"/>
    <cellStyle name="Normal 2 6 2 9 2 3" xfId="35532" xr:uid="{BED10AF0-C51D-41ED-938F-40F078D66B72}"/>
    <cellStyle name="Normal 2 6 2 9 3" xfId="16353" xr:uid="{23829742-0155-4C3A-879A-7D4A1BC42AEB}"/>
    <cellStyle name="Normal 2 6 2 9 3 2" xfId="41845" xr:uid="{26087AFB-1E82-45E8-901C-95D6E4F35362}"/>
    <cellStyle name="Normal 2 6 2 9 4" xfId="29254" xr:uid="{5F9E0877-72CE-48AB-AA2E-0C33441CA4F1}"/>
    <cellStyle name="Normal 2 6 3" xfId="585" xr:uid="{7FA22DC5-4575-43FD-A5CE-DD119A273B35}"/>
    <cellStyle name="Normal 2 6 3 10" xfId="13312" xr:uid="{A83C6627-B54D-4583-9585-CDA2E18DA6B3}"/>
    <cellStyle name="Normal 2 6 3 10 2" xfId="38804" xr:uid="{E6FB03CD-1F0E-4759-9C7C-422AFE4FCCA3}"/>
    <cellStyle name="Normal 2 6 3 11" xfId="26213" xr:uid="{42CB594E-914E-4B9A-9227-6E7EAF325264}"/>
    <cellStyle name="Normal 2 6 3 2" xfId="1122" xr:uid="{254B531B-DCB6-48F5-A18F-EDA8A573A5DB}"/>
    <cellStyle name="Normal 2 6 3 2 2" xfId="2429" xr:uid="{352347A3-C4BA-4FAF-9C86-C49EED21952C}"/>
    <cellStyle name="Normal 2 6 3 2 2 2" xfId="5583" xr:uid="{2CC7040D-B86E-4F50-8E11-321EABC7ADB5}"/>
    <cellStyle name="Normal 2 6 3 2 2 2 2" xfId="11876" xr:uid="{147A2F21-9D48-46DD-A348-A28EEFF046B2}"/>
    <cellStyle name="Normal 2 6 3 2 2 2 2 2" xfId="24558" xr:uid="{46C79FF3-C996-4A32-A871-3251B68BE94B}"/>
    <cellStyle name="Normal 2 6 3 2 2 2 2 2 2" xfId="50050" xr:uid="{25226941-3EA8-4F55-970C-9E93EF29599B}"/>
    <cellStyle name="Normal 2 6 3 2 2 2 2 3" xfId="37459" xr:uid="{DBEC4BA9-9043-4036-A04E-70EC8BF4B264}"/>
    <cellStyle name="Normal 2 6 3 2 2 2 3" xfId="18280" xr:uid="{D0B6678F-B631-4598-91DF-64480E7FA976}"/>
    <cellStyle name="Normal 2 6 3 2 2 2 3 2" xfId="43772" xr:uid="{452ECB77-C1F2-4B4C-B196-F4B2F6AA2083}"/>
    <cellStyle name="Normal 2 6 3 2 2 2 4" xfId="31181" xr:uid="{AE91B87E-A1F3-4DAE-8B3F-B897CA2F64BA}"/>
    <cellStyle name="Normal 2 6 3 2 2 3" xfId="8737" xr:uid="{D6EA3FD5-F4F6-46CA-A1B0-7A2A9094E159}"/>
    <cellStyle name="Normal 2 6 3 2 2 3 2" xfId="21419" xr:uid="{0D477BDC-7176-490C-B2E5-FCF6D9E6C657}"/>
    <cellStyle name="Normal 2 6 3 2 2 3 2 2" xfId="46911" xr:uid="{52CE4E81-413E-401C-91ED-F0AA83BA6234}"/>
    <cellStyle name="Normal 2 6 3 2 2 3 3" xfId="34320" xr:uid="{5B40F97D-CFA4-4278-80D8-28CE8770B0CB}"/>
    <cellStyle name="Normal 2 6 3 2 2 4" xfId="15141" xr:uid="{519E1A32-9A67-4D6E-BFC5-15E53CD0B7E1}"/>
    <cellStyle name="Normal 2 6 3 2 2 4 2" xfId="40633" xr:uid="{3AD8BF70-E002-4E32-B9CA-5CC938F1399A}"/>
    <cellStyle name="Normal 2 6 3 2 2 5" xfId="28042" xr:uid="{C3DBE80B-AE2A-4899-ACE3-24E6554C67ED}"/>
    <cellStyle name="Normal 2 6 3 2 3" xfId="1646" xr:uid="{533F79FF-8EC7-4978-B35F-47CCEA51BCC8}"/>
    <cellStyle name="Normal 2 6 3 2 3 2" xfId="4800" xr:uid="{BB4FEC1F-4DC8-4F2B-86B4-205DD9C10EE7}"/>
    <cellStyle name="Normal 2 6 3 2 3 2 2" xfId="11093" xr:uid="{6737F39F-E149-4529-9B74-56B1C951FE87}"/>
    <cellStyle name="Normal 2 6 3 2 3 2 2 2" xfId="23775" xr:uid="{66A783D0-3982-48ED-9721-F163B3C08880}"/>
    <cellStyle name="Normal 2 6 3 2 3 2 2 2 2" xfId="49267" xr:uid="{B83EE136-4CAE-4CD9-B712-A507B6D6AA84}"/>
    <cellStyle name="Normal 2 6 3 2 3 2 2 3" xfId="36676" xr:uid="{49C92C8F-C307-462C-9AA6-BDD608D7879B}"/>
    <cellStyle name="Normal 2 6 3 2 3 2 3" xfId="17497" xr:uid="{994E1AED-76DA-45F3-BF72-787B3D545C3C}"/>
    <cellStyle name="Normal 2 6 3 2 3 2 3 2" xfId="42989" xr:uid="{811C1EAB-09B3-462B-9C2E-18238964AF66}"/>
    <cellStyle name="Normal 2 6 3 2 3 2 4" xfId="30398" xr:uid="{804E9D66-F59F-4B9F-B5C6-B2268FC06286}"/>
    <cellStyle name="Normal 2 6 3 2 3 3" xfId="7954" xr:uid="{5B1536CE-33C9-4C9A-9E87-FFC4CBE07935}"/>
    <cellStyle name="Normal 2 6 3 2 3 3 2" xfId="20636" xr:uid="{BBBF6000-D050-4617-B87F-4202DB64001E}"/>
    <cellStyle name="Normal 2 6 3 2 3 3 2 2" xfId="46128" xr:uid="{37BF7C26-4996-45FA-9FE3-76D36F8C1D3D}"/>
    <cellStyle name="Normal 2 6 3 2 3 3 3" xfId="33537" xr:uid="{A66B31C2-BC24-4F90-9391-201B3031CA8F}"/>
    <cellStyle name="Normal 2 6 3 2 3 4" xfId="14358" xr:uid="{5F3F73E8-07D9-4D8D-99D3-076FBC385538}"/>
    <cellStyle name="Normal 2 6 3 2 3 4 2" xfId="39850" xr:uid="{1B4E00B8-A0AF-4448-AA4C-21B1FD231780}"/>
    <cellStyle name="Normal 2 6 3 2 3 5" xfId="27259" xr:uid="{F7E68897-A923-4487-84A5-295B3F4B2519}"/>
    <cellStyle name="Normal 2 6 3 2 4" xfId="2953" xr:uid="{FA7A5989-3F95-4133-BE0B-B19DC02A672D}"/>
    <cellStyle name="Normal 2 6 3 2 4 2" xfId="6107" xr:uid="{6D9B72FD-7760-4F97-9D75-91896148251B}"/>
    <cellStyle name="Normal 2 6 3 2 4 2 2" xfId="12400" xr:uid="{DE80A9E8-0C73-4C79-9E34-96A5E3DA2607}"/>
    <cellStyle name="Normal 2 6 3 2 4 2 2 2" xfId="25082" xr:uid="{79FD4513-183D-4DAC-B09C-4FA763EB80B7}"/>
    <cellStyle name="Normal 2 6 3 2 4 2 2 2 2" xfId="50574" xr:uid="{6A460F6E-FB36-4CAA-B6DD-27C9A7355590}"/>
    <cellStyle name="Normal 2 6 3 2 4 2 2 3" xfId="37983" xr:uid="{356215B7-132B-443C-BC8A-BED63E10129E}"/>
    <cellStyle name="Normal 2 6 3 2 4 2 3" xfId="18804" xr:uid="{56434058-53E7-4C90-9D35-CD39969D7655}"/>
    <cellStyle name="Normal 2 6 3 2 4 2 3 2" xfId="44296" xr:uid="{EB93E8FF-B7FE-4016-BD81-5FAE02ADC2A7}"/>
    <cellStyle name="Normal 2 6 3 2 4 2 4" xfId="31705" xr:uid="{6E77FFD3-1902-4EA2-9DB0-4B7CF9FA6505}"/>
    <cellStyle name="Normal 2 6 3 2 4 3" xfId="9261" xr:uid="{354439E4-0F8D-44A8-939D-32D8D0F59531}"/>
    <cellStyle name="Normal 2 6 3 2 4 3 2" xfId="21943" xr:uid="{0B926FBF-1EDB-4175-9419-7F1141EE6E9D}"/>
    <cellStyle name="Normal 2 6 3 2 4 3 2 2" xfId="47435" xr:uid="{8FE67929-34B6-4E6F-B889-F852D8A882D9}"/>
    <cellStyle name="Normal 2 6 3 2 4 3 3" xfId="34844" xr:uid="{22B651B8-8750-4B12-A29A-F926625AD872}"/>
    <cellStyle name="Normal 2 6 3 2 4 4" xfId="15665" xr:uid="{196C2B57-317F-4E4F-AFD9-64A71D5BFDB1}"/>
    <cellStyle name="Normal 2 6 3 2 4 4 2" xfId="41157" xr:uid="{58613037-D43F-4A1A-ABEC-5BD71C70F77B}"/>
    <cellStyle name="Normal 2 6 3 2 4 5" xfId="28566" xr:uid="{F8DC9BC6-647D-4B9D-9A33-3FF7EF555505}"/>
    <cellStyle name="Normal 2 6 3 2 5" xfId="3476" xr:uid="{B099373D-8C99-4207-8DA1-7EBD6D3D43E5}"/>
    <cellStyle name="Normal 2 6 3 2 5 2" xfId="6630" xr:uid="{E72E3482-77E2-40FD-8172-BD76217CFB80}"/>
    <cellStyle name="Normal 2 6 3 2 5 2 2" xfId="12923" xr:uid="{4EEF3715-3BD1-48BF-89E3-C8BE1FC84B43}"/>
    <cellStyle name="Normal 2 6 3 2 5 2 2 2" xfId="25605" xr:uid="{CA12045A-5D87-4B54-9BE1-D2D25B943811}"/>
    <cellStyle name="Normal 2 6 3 2 5 2 2 2 2" xfId="51097" xr:uid="{B00D1E0C-1461-41DF-894D-85FF7840FFA9}"/>
    <cellStyle name="Normal 2 6 3 2 5 2 2 3" xfId="38506" xr:uid="{18BB258E-185B-4FBD-906C-47C68F506550}"/>
    <cellStyle name="Normal 2 6 3 2 5 2 3" xfId="19327" xr:uid="{BBBBE809-9569-48DA-B06C-B9301D372A6A}"/>
    <cellStyle name="Normal 2 6 3 2 5 2 3 2" xfId="44819" xr:uid="{09EACF71-10DA-4E96-B9C3-B5A7FC25A331}"/>
    <cellStyle name="Normal 2 6 3 2 5 2 4" xfId="32228" xr:uid="{B7A912A9-8650-447D-B390-EFF2303D8083}"/>
    <cellStyle name="Normal 2 6 3 2 5 3" xfId="9784" xr:uid="{BAA2A31D-0F99-4736-8CBA-307C496F757B}"/>
    <cellStyle name="Normal 2 6 3 2 5 3 2" xfId="22466" xr:uid="{C0B196E2-C736-4186-92D1-DB13BB9C1AD2}"/>
    <cellStyle name="Normal 2 6 3 2 5 3 2 2" xfId="47958" xr:uid="{B4BD4D7A-D0DF-405C-B988-AEEF76B9FC0B}"/>
    <cellStyle name="Normal 2 6 3 2 5 3 3" xfId="35367" xr:uid="{57391B06-225A-465A-BE09-64EA4C4C401E}"/>
    <cellStyle name="Normal 2 6 3 2 5 4" xfId="16188" xr:uid="{FADA85BB-AE7A-4231-8B5D-8013CD6D9C10}"/>
    <cellStyle name="Normal 2 6 3 2 5 4 2" xfId="41680" xr:uid="{BDE71CB3-0901-406E-89A2-A30323E5DCB8}"/>
    <cellStyle name="Normal 2 6 3 2 5 5" xfId="29089" xr:uid="{77A33144-A77D-450B-8ACE-1733477EBDAF}"/>
    <cellStyle name="Normal 2 6 3 2 6" xfId="4276" xr:uid="{2FCA9745-2120-4394-AAB1-33D3BEADF792}"/>
    <cellStyle name="Normal 2 6 3 2 6 2" xfId="10569" xr:uid="{8F69E0E4-D95B-438C-932B-EA61AE9DACCF}"/>
    <cellStyle name="Normal 2 6 3 2 6 2 2" xfId="23251" xr:uid="{42CF984B-EC03-4C64-93BE-8ED1EA7C2C61}"/>
    <cellStyle name="Normal 2 6 3 2 6 2 2 2" xfId="48743" xr:uid="{0EAD998A-0766-49BA-9691-A15973045528}"/>
    <cellStyle name="Normal 2 6 3 2 6 2 3" xfId="36152" xr:uid="{88A3A85E-B9CE-4088-BE26-9A14EC6C6AAA}"/>
    <cellStyle name="Normal 2 6 3 2 6 3" xfId="16973" xr:uid="{38476D5D-D96C-462C-AF11-A0482EC356F6}"/>
    <cellStyle name="Normal 2 6 3 2 6 3 2" xfId="42465" xr:uid="{B6B81E8D-AB41-4011-91E3-573CC4F116D2}"/>
    <cellStyle name="Normal 2 6 3 2 6 4" xfId="29874" xr:uid="{8216A47A-F0AC-4164-8313-F379F7C35C4C}"/>
    <cellStyle name="Normal 2 6 3 2 7" xfId="7430" xr:uid="{9BFFFFC1-2E81-4807-B09B-ED13722837E4}"/>
    <cellStyle name="Normal 2 6 3 2 7 2" xfId="20112" xr:uid="{40253537-456D-49AD-9DE3-4F43AEF288FE}"/>
    <cellStyle name="Normal 2 6 3 2 7 2 2" xfId="45604" xr:uid="{D53C912B-43F8-48CA-B672-EA38D0587774}"/>
    <cellStyle name="Normal 2 6 3 2 7 3" xfId="33013" xr:uid="{78805666-0F7C-4E24-893E-E9AEC24AEE98}"/>
    <cellStyle name="Normal 2 6 3 2 8" xfId="13834" xr:uid="{0038DBC3-1692-41E5-B8A0-BE87060ED272}"/>
    <cellStyle name="Normal 2 6 3 2 8 2" xfId="39326" xr:uid="{D4A4F76D-4270-41EC-898F-7CFC8152EE81}"/>
    <cellStyle name="Normal 2 6 3 2 9" xfId="26735" xr:uid="{27914163-1A8B-4001-A4E4-B368DB88855E}"/>
    <cellStyle name="Normal 2 6 3 3" xfId="862" xr:uid="{840A0BD1-BB1A-4DB2-B492-47529378FF20}"/>
    <cellStyle name="Normal 2 6 3 3 2" xfId="2169" xr:uid="{5632B98D-AD30-4F1A-BF46-3FFB55D0A521}"/>
    <cellStyle name="Normal 2 6 3 3 2 2" xfId="5323" xr:uid="{678E099A-9A79-48C6-9F94-8A715AE70B5A}"/>
    <cellStyle name="Normal 2 6 3 3 2 2 2" xfId="11616" xr:uid="{6B6AC5C8-CB32-44E5-8982-2496F72632D9}"/>
    <cellStyle name="Normal 2 6 3 3 2 2 2 2" xfId="24298" xr:uid="{11F6B178-A5DE-4106-A855-5A4F8A7D0BE0}"/>
    <cellStyle name="Normal 2 6 3 3 2 2 2 2 2" xfId="49790" xr:uid="{A75B9042-DC65-44DE-9173-D9A74822CE33}"/>
    <cellStyle name="Normal 2 6 3 3 2 2 2 3" xfId="37199" xr:uid="{B459796A-61F2-4ED4-A144-B4D9D9AE72CC}"/>
    <cellStyle name="Normal 2 6 3 3 2 2 3" xfId="18020" xr:uid="{0FFB7DFA-417F-42CB-AFA2-92B0FFC3A195}"/>
    <cellStyle name="Normal 2 6 3 3 2 2 3 2" xfId="43512" xr:uid="{CD4838A8-2449-4F8E-AA22-038A3F89B3BD}"/>
    <cellStyle name="Normal 2 6 3 3 2 2 4" xfId="30921" xr:uid="{15385018-A57E-4765-9DC4-8826D2957B96}"/>
    <cellStyle name="Normal 2 6 3 3 2 3" xfId="8477" xr:uid="{69AEB798-5720-4CA1-94CC-B1971A929517}"/>
    <cellStyle name="Normal 2 6 3 3 2 3 2" xfId="21159" xr:uid="{BA0FE5F7-C7ED-4B2A-B3E3-8945276631C5}"/>
    <cellStyle name="Normal 2 6 3 3 2 3 2 2" xfId="46651" xr:uid="{BA6A8B7B-BDEA-44F6-BF59-87E13A975687}"/>
    <cellStyle name="Normal 2 6 3 3 2 3 3" xfId="34060" xr:uid="{C0023862-1669-4E30-A2F1-C99F088F8C9C}"/>
    <cellStyle name="Normal 2 6 3 3 2 4" xfId="14881" xr:uid="{0CC48F8C-9857-4EAA-905A-51BF22485DE2}"/>
    <cellStyle name="Normal 2 6 3 3 2 4 2" xfId="40373" xr:uid="{6AA8FB22-3BAD-4AE0-9CC1-52132D6F417C}"/>
    <cellStyle name="Normal 2 6 3 3 2 5" xfId="27782" xr:uid="{36DC2F7B-2B12-4A4C-AB83-EEC87FC94D8B}"/>
    <cellStyle name="Normal 2 6 3 3 3" xfId="4016" xr:uid="{D4B9CBF8-9A21-4615-8961-B6A45BA5583D}"/>
    <cellStyle name="Normal 2 6 3 3 3 2" xfId="10309" xr:uid="{28C3FAB7-E9B3-4B7C-88EB-082E3BA42DBC}"/>
    <cellStyle name="Normal 2 6 3 3 3 2 2" xfId="22991" xr:uid="{AF19E9BA-E681-4E65-B1FF-2EC5EBDCCB80}"/>
    <cellStyle name="Normal 2 6 3 3 3 2 2 2" xfId="48483" xr:uid="{867EE943-3F09-4575-8A04-68BC1DE6ABE0}"/>
    <cellStyle name="Normal 2 6 3 3 3 2 3" xfId="35892" xr:uid="{F98C38CA-59AD-411E-8750-F55D8384774A}"/>
    <cellStyle name="Normal 2 6 3 3 3 3" xfId="16713" xr:uid="{9C643514-DEAE-4EBE-948C-BE3CC1416412}"/>
    <cellStyle name="Normal 2 6 3 3 3 3 2" xfId="42205" xr:uid="{4377A2EC-2EFA-4DEB-A156-370EC4B6BD42}"/>
    <cellStyle name="Normal 2 6 3 3 3 4" xfId="29614" xr:uid="{70398A37-486C-4126-96D7-A074081E193D}"/>
    <cellStyle name="Normal 2 6 3 3 4" xfId="7170" xr:uid="{E6CD6D7D-F0F1-4E54-8B0F-1ACF38280994}"/>
    <cellStyle name="Normal 2 6 3 3 4 2" xfId="19852" xr:uid="{1431BC21-DAD7-4D70-8E23-2DDA0EA18C96}"/>
    <cellStyle name="Normal 2 6 3 3 4 2 2" xfId="45344" xr:uid="{5F6E8834-DD84-4A42-9587-CC175A5C7BDC}"/>
    <cellStyle name="Normal 2 6 3 3 4 3" xfId="32753" xr:uid="{87D8F538-EE97-4233-B099-B8DB6933CBAA}"/>
    <cellStyle name="Normal 2 6 3 3 5" xfId="13574" xr:uid="{BDDD6378-4263-436E-A4C1-FB4A3B6E8C44}"/>
    <cellStyle name="Normal 2 6 3 3 5 2" xfId="39066" xr:uid="{4A057A3E-16D3-4BC6-A5A8-CE1AD94546FB}"/>
    <cellStyle name="Normal 2 6 3 3 6" xfId="26475" xr:uid="{FB328182-7F62-4C40-B389-730F937E47C0}"/>
    <cellStyle name="Normal 2 6 3 4" xfId="1907" xr:uid="{91AE43CA-4109-417A-94B7-3A4F5B6806AE}"/>
    <cellStyle name="Normal 2 6 3 4 2" xfId="5061" xr:uid="{1ACEED24-77A8-4F01-8EFD-1AA52298D8D8}"/>
    <cellStyle name="Normal 2 6 3 4 2 2" xfId="11354" xr:uid="{A89C4584-6E6D-4EE3-9F5A-9314336980AD}"/>
    <cellStyle name="Normal 2 6 3 4 2 2 2" xfId="24036" xr:uid="{1B00CBBE-7EA0-4EA7-8E57-B5BCCCD21E63}"/>
    <cellStyle name="Normal 2 6 3 4 2 2 2 2" xfId="49528" xr:uid="{162D36E8-592A-49AD-8866-D65AFA65A5BC}"/>
    <cellStyle name="Normal 2 6 3 4 2 2 3" xfId="36937" xr:uid="{8D471D2E-B56F-4EAF-A963-C3753CDFF068}"/>
    <cellStyle name="Normal 2 6 3 4 2 3" xfId="17758" xr:uid="{C9AAAA1B-904D-4E01-8476-47FF17458850}"/>
    <cellStyle name="Normal 2 6 3 4 2 3 2" xfId="43250" xr:uid="{589D0459-7800-46FA-AA00-5932BB637420}"/>
    <cellStyle name="Normal 2 6 3 4 2 4" xfId="30659" xr:uid="{4C1D7994-10F3-4AAC-8E19-BCFB5B26AEEC}"/>
    <cellStyle name="Normal 2 6 3 4 3" xfId="8215" xr:uid="{1DA40714-8EC3-4732-83BE-F2AA31A0178B}"/>
    <cellStyle name="Normal 2 6 3 4 3 2" xfId="20897" xr:uid="{CE8D58D6-88F0-4786-88EE-D380A86426F8}"/>
    <cellStyle name="Normal 2 6 3 4 3 2 2" xfId="46389" xr:uid="{F4F2B7F5-DDE5-4C78-9643-A3FFE615BDFF}"/>
    <cellStyle name="Normal 2 6 3 4 3 3" xfId="33798" xr:uid="{454834C2-BC0E-450E-936C-AEA339662C57}"/>
    <cellStyle name="Normal 2 6 3 4 4" xfId="14619" xr:uid="{27257218-05C5-405D-AA97-1A2A0E6D1EEF}"/>
    <cellStyle name="Normal 2 6 3 4 4 2" xfId="40111" xr:uid="{7D30EB27-924D-4185-A8AB-F06AFE8EE8C2}"/>
    <cellStyle name="Normal 2 6 3 4 5" xfId="27520" xr:uid="{9CE3A82D-0213-4413-BCB1-02D3B2776421}"/>
    <cellStyle name="Normal 2 6 3 5" xfId="1385" xr:uid="{CF0DE8A1-D95D-4620-A6E3-A1513407C703}"/>
    <cellStyle name="Normal 2 6 3 5 2" xfId="4539" xr:uid="{0D855222-CDD3-4F6C-884F-EE9A6CA641A7}"/>
    <cellStyle name="Normal 2 6 3 5 2 2" xfId="10832" xr:uid="{57A0962C-54FC-419F-BD2E-478F93B72A52}"/>
    <cellStyle name="Normal 2 6 3 5 2 2 2" xfId="23514" xr:uid="{66C8F36A-FECE-4639-9169-61A6FBA7918D}"/>
    <cellStyle name="Normal 2 6 3 5 2 2 2 2" xfId="49006" xr:uid="{7DD7D2C3-172A-41A8-A6F6-606D0EA6E8B4}"/>
    <cellStyle name="Normal 2 6 3 5 2 2 3" xfId="36415" xr:uid="{88A4564B-4FF5-4678-BFA3-74D3EB81F931}"/>
    <cellStyle name="Normal 2 6 3 5 2 3" xfId="17236" xr:uid="{5AEAF2AD-D85D-411E-802F-251F1CF1B661}"/>
    <cellStyle name="Normal 2 6 3 5 2 3 2" xfId="42728" xr:uid="{8F407609-43F9-41DE-9FF4-DA10683B2D95}"/>
    <cellStyle name="Normal 2 6 3 5 2 4" xfId="30137" xr:uid="{943C8269-F5E4-46A5-B198-838DBDA0D98E}"/>
    <cellStyle name="Normal 2 6 3 5 3" xfId="7693" xr:uid="{2863220A-BDA3-446C-BC8C-B6A433CAAF3C}"/>
    <cellStyle name="Normal 2 6 3 5 3 2" xfId="20375" xr:uid="{31DB7815-DBCB-4CCD-93EA-6E64DA78DAEF}"/>
    <cellStyle name="Normal 2 6 3 5 3 2 2" xfId="45867" xr:uid="{32EF2404-20A8-4FC5-A2FC-480982DA9B2D}"/>
    <cellStyle name="Normal 2 6 3 5 3 3" xfId="33276" xr:uid="{19C9CF51-CE72-4030-B8BE-AA06D58D80AB}"/>
    <cellStyle name="Normal 2 6 3 5 4" xfId="14097" xr:uid="{D320885C-A409-4C6C-8A78-465040B9D0E7}"/>
    <cellStyle name="Normal 2 6 3 5 4 2" xfId="39589" xr:uid="{83447DE3-5B4C-4713-B288-8011FD2D92B8}"/>
    <cellStyle name="Normal 2 6 3 5 5" xfId="26998" xr:uid="{B90C6270-3ED4-4DCA-A5B0-C1FB5908504F}"/>
    <cellStyle name="Normal 2 6 3 6" xfId="2692" xr:uid="{B62ADC78-D61A-41B3-8E2B-11F447F363A7}"/>
    <cellStyle name="Normal 2 6 3 6 2" xfId="5846" xr:uid="{DA239D3F-D2E1-47A8-BB7C-9615A7152776}"/>
    <cellStyle name="Normal 2 6 3 6 2 2" xfId="12139" xr:uid="{5D7398B6-610D-4E8E-A279-065DE89922F3}"/>
    <cellStyle name="Normal 2 6 3 6 2 2 2" xfId="24821" xr:uid="{6D58631E-AF4A-4957-A7C4-D07735412722}"/>
    <cellStyle name="Normal 2 6 3 6 2 2 2 2" xfId="50313" xr:uid="{5CBB4FBB-4B9C-40B0-A423-C75600C1A1E8}"/>
    <cellStyle name="Normal 2 6 3 6 2 2 3" xfId="37722" xr:uid="{29CEAF52-6BEE-4C73-817C-AB5209302423}"/>
    <cellStyle name="Normal 2 6 3 6 2 3" xfId="18543" xr:uid="{6479AF9E-86C1-4530-924F-DB6D1A0D68AB}"/>
    <cellStyle name="Normal 2 6 3 6 2 3 2" xfId="44035" xr:uid="{4C45F719-07EA-43B5-9801-D467DBADC8F3}"/>
    <cellStyle name="Normal 2 6 3 6 2 4" xfId="31444" xr:uid="{CEDA8A49-8085-427E-AE79-C47C784606E1}"/>
    <cellStyle name="Normal 2 6 3 6 3" xfId="9000" xr:uid="{30CFCAAA-E0B2-456D-8268-DE3A391950CD}"/>
    <cellStyle name="Normal 2 6 3 6 3 2" xfId="21682" xr:uid="{1855A639-43CD-4F8F-93CF-4741B9F11A97}"/>
    <cellStyle name="Normal 2 6 3 6 3 2 2" xfId="47174" xr:uid="{23EB9907-2527-4101-811F-E5D0ED5923B0}"/>
    <cellStyle name="Normal 2 6 3 6 3 3" xfId="34583" xr:uid="{335BC338-DAE3-4635-8889-B8FD4C2DA227}"/>
    <cellStyle name="Normal 2 6 3 6 4" xfId="15404" xr:uid="{13ECA8DC-8656-4A20-B31F-33D2C0B3D1E2}"/>
    <cellStyle name="Normal 2 6 3 6 4 2" xfId="40896" xr:uid="{12D41FE9-A456-4FB6-AAE9-D4419658D686}"/>
    <cellStyle name="Normal 2 6 3 6 5" xfId="28305" xr:uid="{8A4960C1-EA36-4140-9C84-1E74A242BD40}"/>
    <cellStyle name="Normal 2 6 3 7" xfId="3215" xr:uid="{D3458D4A-D2A9-46A2-8801-A4F9FFC236D3}"/>
    <cellStyle name="Normal 2 6 3 7 2" xfId="6369" xr:uid="{50600918-AE80-42ED-A922-5F7CA1CC9951}"/>
    <cellStyle name="Normal 2 6 3 7 2 2" xfId="12662" xr:uid="{A2488044-797D-4A69-84C0-BF059A0F1213}"/>
    <cellStyle name="Normal 2 6 3 7 2 2 2" xfId="25344" xr:uid="{DBDD16E1-A762-4372-A696-23195E376FE6}"/>
    <cellStyle name="Normal 2 6 3 7 2 2 2 2" xfId="50836" xr:uid="{C4B01266-5E05-4DB8-9EBE-5BDA91EA158E}"/>
    <cellStyle name="Normal 2 6 3 7 2 2 3" xfId="38245" xr:uid="{D75A8B86-7B2D-4C39-B5E7-69BA1B364428}"/>
    <cellStyle name="Normal 2 6 3 7 2 3" xfId="19066" xr:uid="{F3BF46A7-8D5F-4ABE-AFD4-92E787B36A69}"/>
    <cellStyle name="Normal 2 6 3 7 2 3 2" xfId="44558" xr:uid="{CA0B9FF9-BE8C-4660-9E03-0CE6846911FF}"/>
    <cellStyle name="Normal 2 6 3 7 2 4" xfId="31967" xr:uid="{43038C78-5B87-4B31-922A-0E10B508E6C1}"/>
    <cellStyle name="Normal 2 6 3 7 3" xfId="9523" xr:uid="{E447D9E7-AD83-4B00-A6B2-B015FA695362}"/>
    <cellStyle name="Normal 2 6 3 7 3 2" xfId="22205" xr:uid="{727F896B-23AD-4048-89DE-586F18C241C0}"/>
    <cellStyle name="Normal 2 6 3 7 3 2 2" xfId="47697" xr:uid="{84EDD7AA-FD7A-4BBF-85D1-FBEB0038294F}"/>
    <cellStyle name="Normal 2 6 3 7 3 3" xfId="35106" xr:uid="{2EBA6D43-0569-44D2-A93B-F5C4B2B42FDF}"/>
    <cellStyle name="Normal 2 6 3 7 4" xfId="15927" xr:uid="{B8B686A1-3358-4C12-9EFB-205D2802F99C}"/>
    <cellStyle name="Normal 2 6 3 7 4 2" xfId="41419" xr:uid="{8457A502-2BFF-4442-A45D-64A9C1F6120E}"/>
    <cellStyle name="Normal 2 6 3 7 5" xfId="28828" xr:uid="{49130A40-DC52-43CA-9CEC-991CB0594D9B}"/>
    <cellStyle name="Normal 2 6 3 8" xfId="3754" xr:uid="{C7A2E22A-795A-4E37-BE50-06EF31294FB8}"/>
    <cellStyle name="Normal 2 6 3 8 2" xfId="10047" xr:uid="{948B2821-F685-4188-8340-633C4A614340}"/>
    <cellStyle name="Normal 2 6 3 8 2 2" xfId="22729" xr:uid="{89BDE633-47BC-4206-8320-6069E5E369B0}"/>
    <cellStyle name="Normal 2 6 3 8 2 2 2" xfId="48221" xr:uid="{2BB37026-B276-4BBE-A2D6-DEC527404700}"/>
    <cellStyle name="Normal 2 6 3 8 2 3" xfId="35630" xr:uid="{4FDE5CCF-DA47-424F-B2D8-7C3630FDBB4C}"/>
    <cellStyle name="Normal 2 6 3 8 3" xfId="16451" xr:uid="{7EB7E4C8-F84D-43E4-9EA8-993B434660EE}"/>
    <cellStyle name="Normal 2 6 3 8 3 2" xfId="41943" xr:uid="{176C7249-CF00-4590-98E7-D79AC63DBAD5}"/>
    <cellStyle name="Normal 2 6 3 8 4" xfId="29352" xr:uid="{CEF4F166-E7CB-401A-B205-B40C38D6C872}"/>
    <cellStyle name="Normal 2 6 3 9" xfId="6908" xr:uid="{437CB70E-6260-4D46-AA06-091DB9A77CA7}"/>
    <cellStyle name="Normal 2 6 3 9 2" xfId="19590" xr:uid="{A838AA9B-94C5-40B7-868A-AA8E93294342}"/>
    <cellStyle name="Normal 2 6 3 9 2 2" xfId="45082" xr:uid="{DFC002B1-5FB1-42D3-8AF8-83B9A63009C9}"/>
    <cellStyle name="Normal 2 6 3 9 3" xfId="32491" xr:uid="{4AAF6087-349F-43C0-B87B-2B9A9ECE69FB}"/>
    <cellStyle name="Normal 2 6 4" xfId="546" xr:uid="{079B3C2C-CEC2-4419-93C7-F122060D67E6}"/>
    <cellStyle name="Normal 2 6 4 10" xfId="13273" xr:uid="{72FF2C37-C7D4-4957-B357-3D6D74471245}"/>
    <cellStyle name="Normal 2 6 4 10 2" xfId="38765" xr:uid="{BD7A5E21-7DFE-4333-AA79-2E17F716CF30}"/>
    <cellStyle name="Normal 2 6 4 11" xfId="26174" xr:uid="{4E1B8817-225B-408D-9E9D-FC03F781AED2}"/>
    <cellStyle name="Normal 2 6 4 2" xfId="1083" xr:uid="{3E06EE1E-C8AD-4E14-8682-2EF55D31DBC0}"/>
    <cellStyle name="Normal 2 6 4 2 2" xfId="2390" xr:uid="{9735B8CE-AC2F-4397-8988-D24D8741CA59}"/>
    <cellStyle name="Normal 2 6 4 2 2 2" xfId="5544" xr:uid="{686DBEB3-A3EB-4D6B-92FD-155A80EA0E06}"/>
    <cellStyle name="Normal 2 6 4 2 2 2 2" xfId="11837" xr:uid="{FC3A9DA7-2082-4779-96B3-485D3A458430}"/>
    <cellStyle name="Normal 2 6 4 2 2 2 2 2" xfId="24519" xr:uid="{190FE5BB-D4AE-4D72-A967-048FAD113232}"/>
    <cellStyle name="Normal 2 6 4 2 2 2 2 2 2" xfId="50011" xr:uid="{290D52F9-2F80-4C6C-82F2-8BF1C0861512}"/>
    <cellStyle name="Normal 2 6 4 2 2 2 2 3" xfId="37420" xr:uid="{CF3A9BFE-0BB9-4935-804F-E1E04060C359}"/>
    <cellStyle name="Normal 2 6 4 2 2 2 3" xfId="18241" xr:uid="{9CD08638-1320-4D87-A3CE-06C689DE5721}"/>
    <cellStyle name="Normal 2 6 4 2 2 2 3 2" xfId="43733" xr:uid="{12FF8E97-A184-4056-B8A5-5C1DD2EAD7F1}"/>
    <cellStyle name="Normal 2 6 4 2 2 2 4" xfId="31142" xr:uid="{21C7CAC9-FCD0-4924-A839-21AC689A387E}"/>
    <cellStyle name="Normal 2 6 4 2 2 3" xfId="8698" xr:uid="{490905DD-674C-4F3C-ADE1-F8596B47D0ED}"/>
    <cellStyle name="Normal 2 6 4 2 2 3 2" xfId="21380" xr:uid="{EF66E39E-E63C-41E6-AFDC-74099A362142}"/>
    <cellStyle name="Normal 2 6 4 2 2 3 2 2" xfId="46872" xr:uid="{9D64FAF9-A1A7-4F40-8A9E-26D624EC24B4}"/>
    <cellStyle name="Normal 2 6 4 2 2 3 3" xfId="34281" xr:uid="{A18A8166-B9A2-40A8-8855-2BCBE4F95B4F}"/>
    <cellStyle name="Normal 2 6 4 2 2 4" xfId="15102" xr:uid="{179F0421-BDEE-451A-A6C8-79DFF4745912}"/>
    <cellStyle name="Normal 2 6 4 2 2 4 2" xfId="40594" xr:uid="{CE8B93CE-18C4-4950-AF73-2A3CFBC7B4E1}"/>
    <cellStyle name="Normal 2 6 4 2 2 5" xfId="28003" xr:uid="{A1961F7D-2880-4F7C-82F3-41EF5F87DD9E}"/>
    <cellStyle name="Normal 2 6 4 2 3" xfId="1607" xr:uid="{C1DDCEB6-15ED-49EA-AFB7-F8C77355AFF9}"/>
    <cellStyle name="Normal 2 6 4 2 3 2" xfId="4761" xr:uid="{3DD709B8-0D16-4713-BE03-F069CAA9B5A5}"/>
    <cellStyle name="Normal 2 6 4 2 3 2 2" xfId="11054" xr:uid="{F7B63259-B8B5-4A0F-B202-75AE8FFDEC6B}"/>
    <cellStyle name="Normal 2 6 4 2 3 2 2 2" xfId="23736" xr:uid="{C7F2958F-72AC-465B-8B5D-16CE03D21EA6}"/>
    <cellStyle name="Normal 2 6 4 2 3 2 2 2 2" xfId="49228" xr:uid="{21E3EFC4-1F25-4FE3-92F9-E472E1091991}"/>
    <cellStyle name="Normal 2 6 4 2 3 2 2 3" xfId="36637" xr:uid="{2E928B87-BF1D-4DF5-9B03-EC24157C200C}"/>
    <cellStyle name="Normal 2 6 4 2 3 2 3" xfId="17458" xr:uid="{8F484214-1A3C-47EB-9843-6F5BE15008A0}"/>
    <cellStyle name="Normal 2 6 4 2 3 2 3 2" xfId="42950" xr:uid="{CBF91304-1C88-460D-A933-5D090900F784}"/>
    <cellStyle name="Normal 2 6 4 2 3 2 4" xfId="30359" xr:uid="{85149600-86BA-4BD9-A24E-BCD06BBC4C35}"/>
    <cellStyle name="Normal 2 6 4 2 3 3" xfId="7915" xr:uid="{2469291F-840D-4818-B3C1-924D9E09BC33}"/>
    <cellStyle name="Normal 2 6 4 2 3 3 2" xfId="20597" xr:uid="{B59F2561-01A4-445E-8AB6-D88BD2DC265E}"/>
    <cellStyle name="Normal 2 6 4 2 3 3 2 2" xfId="46089" xr:uid="{DBB637A2-12DE-407D-899F-B9E6B29AC3EA}"/>
    <cellStyle name="Normal 2 6 4 2 3 3 3" xfId="33498" xr:uid="{AF1983B4-60B0-4B2F-AE68-CAFBF04FB24B}"/>
    <cellStyle name="Normal 2 6 4 2 3 4" xfId="14319" xr:uid="{F465B27C-BB47-4C9B-929A-E427E5670FEF}"/>
    <cellStyle name="Normal 2 6 4 2 3 4 2" xfId="39811" xr:uid="{D4018CDF-A70C-43DC-8649-A89983989DE5}"/>
    <cellStyle name="Normal 2 6 4 2 3 5" xfId="27220" xr:uid="{26D26B30-AE9F-4E66-8434-766811BC94DB}"/>
    <cellStyle name="Normal 2 6 4 2 4" xfId="2914" xr:uid="{B6C2C654-C773-4900-A4A3-0A3D547414FC}"/>
    <cellStyle name="Normal 2 6 4 2 4 2" xfId="6068" xr:uid="{F132A481-E09D-4266-B574-BB053D044D2E}"/>
    <cellStyle name="Normal 2 6 4 2 4 2 2" xfId="12361" xr:uid="{5FD570E4-11F9-400B-9A9A-4C448B5E9A09}"/>
    <cellStyle name="Normal 2 6 4 2 4 2 2 2" xfId="25043" xr:uid="{8D9275F5-3D79-452B-A780-3F2984A09547}"/>
    <cellStyle name="Normal 2 6 4 2 4 2 2 2 2" xfId="50535" xr:uid="{0D2DAF44-F602-45FA-9DF5-F2451F96525A}"/>
    <cellStyle name="Normal 2 6 4 2 4 2 2 3" xfId="37944" xr:uid="{6277BCED-3DE3-4155-9A4E-A9B3B3CC5A52}"/>
    <cellStyle name="Normal 2 6 4 2 4 2 3" xfId="18765" xr:uid="{43C08FE6-EDB5-4EA3-B622-5BC0CA86C82C}"/>
    <cellStyle name="Normal 2 6 4 2 4 2 3 2" xfId="44257" xr:uid="{69E73E91-832E-42CA-B658-85CA0168B816}"/>
    <cellStyle name="Normal 2 6 4 2 4 2 4" xfId="31666" xr:uid="{E3C26DA9-55F6-4788-8661-67ED61C5CE13}"/>
    <cellStyle name="Normal 2 6 4 2 4 3" xfId="9222" xr:uid="{FBA43379-A57E-4A63-BCD2-9189CD5207EE}"/>
    <cellStyle name="Normal 2 6 4 2 4 3 2" xfId="21904" xr:uid="{4EA44335-DE06-4EA9-8531-4F76B118BBAE}"/>
    <cellStyle name="Normal 2 6 4 2 4 3 2 2" xfId="47396" xr:uid="{21B516EA-5CDF-4BC7-B0AE-F877609C9715}"/>
    <cellStyle name="Normal 2 6 4 2 4 3 3" xfId="34805" xr:uid="{C1548084-CD90-4910-8905-0FA605724A0E}"/>
    <cellStyle name="Normal 2 6 4 2 4 4" xfId="15626" xr:uid="{A16A6F5B-4A93-46BB-BE3A-8F76560F152E}"/>
    <cellStyle name="Normal 2 6 4 2 4 4 2" xfId="41118" xr:uid="{2D2559BF-3E11-431B-8BC9-1677DC7A0F5F}"/>
    <cellStyle name="Normal 2 6 4 2 4 5" xfId="28527" xr:uid="{1ED48F5D-4AF2-4085-B9C7-F24D75D67795}"/>
    <cellStyle name="Normal 2 6 4 2 5" xfId="3437" xr:uid="{527696C8-C5A3-45D7-82FD-5D7999247615}"/>
    <cellStyle name="Normal 2 6 4 2 5 2" xfId="6591" xr:uid="{22D4F5CA-CBB9-4F9C-8BFC-DC482F962045}"/>
    <cellStyle name="Normal 2 6 4 2 5 2 2" xfId="12884" xr:uid="{508BF2E6-7D7F-4710-8893-E5453B315026}"/>
    <cellStyle name="Normal 2 6 4 2 5 2 2 2" xfId="25566" xr:uid="{35382FB8-7431-4B72-9F17-5CE1C9F777D1}"/>
    <cellStyle name="Normal 2 6 4 2 5 2 2 2 2" xfId="51058" xr:uid="{270A8606-D42F-45F2-AC19-DBFC4DFA4DA5}"/>
    <cellStyle name="Normal 2 6 4 2 5 2 2 3" xfId="38467" xr:uid="{FB1B2C64-5BCE-47BB-8317-B2C79A54C2D8}"/>
    <cellStyle name="Normal 2 6 4 2 5 2 3" xfId="19288" xr:uid="{57E5FD9F-C3F8-47D1-86DB-1B9D681CC9DB}"/>
    <cellStyle name="Normal 2 6 4 2 5 2 3 2" xfId="44780" xr:uid="{913780BE-891F-4CFF-BB2C-66699541AF51}"/>
    <cellStyle name="Normal 2 6 4 2 5 2 4" xfId="32189" xr:uid="{534D9700-6C10-4833-996A-80F51C8A8675}"/>
    <cellStyle name="Normal 2 6 4 2 5 3" xfId="9745" xr:uid="{F062E28E-ADC7-4DBD-BF7B-9787E29DCA53}"/>
    <cellStyle name="Normal 2 6 4 2 5 3 2" xfId="22427" xr:uid="{62CFD2F4-9B3A-4182-8A62-036A51B7D01D}"/>
    <cellStyle name="Normal 2 6 4 2 5 3 2 2" xfId="47919" xr:uid="{BB9AB932-591C-4D81-95B5-61D66B285877}"/>
    <cellStyle name="Normal 2 6 4 2 5 3 3" xfId="35328" xr:uid="{9736D07A-989F-492E-8FAD-5778614B4F00}"/>
    <cellStyle name="Normal 2 6 4 2 5 4" xfId="16149" xr:uid="{4F432E40-23E7-4E09-A099-986CF3D9BD8F}"/>
    <cellStyle name="Normal 2 6 4 2 5 4 2" xfId="41641" xr:uid="{C3F63852-E8FC-4D7C-B7BD-FA13517540F8}"/>
    <cellStyle name="Normal 2 6 4 2 5 5" xfId="29050" xr:uid="{96B209FD-BDCB-47D0-BEF3-94FBAE93D102}"/>
    <cellStyle name="Normal 2 6 4 2 6" xfId="4237" xr:uid="{5304D095-E249-46D7-B9BD-9EF222EB13AC}"/>
    <cellStyle name="Normal 2 6 4 2 6 2" xfId="10530" xr:uid="{78544993-041D-4F11-A64C-43898533B848}"/>
    <cellStyle name="Normal 2 6 4 2 6 2 2" xfId="23212" xr:uid="{03234DDA-A959-4A99-97A4-188C8ABB7277}"/>
    <cellStyle name="Normal 2 6 4 2 6 2 2 2" xfId="48704" xr:uid="{F08033B2-1E58-4A5D-8788-520631563AA4}"/>
    <cellStyle name="Normal 2 6 4 2 6 2 3" xfId="36113" xr:uid="{F995EF2F-109C-4000-A8FB-7E773ADA1109}"/>
    <cellStyle name="Normal 2 6 4 2 6 3" xfId="16934" xr:uid="{00229659-1AFD-4ADC-A8A1-84E756964438}"/>
    <cellStyle name="Normal 2 6 4 2 6 3 2" xfId="42426" xr:uid="{3CE60B73-A5D0-4C36-8578-BCA21883BCD4}"/>
    <cellStyle name="Normal 2 6 4 2 6 4" xfId="29835" xr:uid="{974741F2-0AB5-44C0-97F1-23FDFB1EEC02}"/>
    <cellStyle name="Normal 2 6 4 2 7" xfId="7391" xr:uid="{1464EDCC-A137-4A06-B922-A58A55FE34C6}"/>
    <cellStyle name="Normal 2 6 4 2 7 2" xfId="20073" xr:uid="{8179FCBA-A6A1-40EC-9A5A-05B9F3F7F037}"/>
    <cellStyle name="Normal 2 6 4 2 7 2 2" xfId="45565" xr:uid="{062CDCD8-67AF-4A23-ABC1-8F4B510BC026}"/>
    <cellStyle name="Normal 2 6 4 2 7 3" xfId="32974" xr:uid="{04448DEE-75F9-4968-978F-7E8BB196134C}"/>
    <cellStyle name="Normal 2 6 4 2 8" xfId="13795" xr:uid="{C1414F18-1BB2-47EA-8E82-B6AD91A59A22}"/>
    <cellStyle name="Normal 2 6 4 2 8 2" xfId="39287" xr:uid="{25C1817F-A992-4F7B-9D75-4B38E2A734DC}"/>
    <cellStyle name="Normal 2 6 4 2 9" xfId="26696" xr:uid="{E1FC4E77-E49A-4506-88C3-C3CEBC72A8EE}"/>
    <cellStyle name="Normal 2 6 4 3" xfId="823" xr:uid="{62B5EDB1-2ABE-4D40-B26B-A7E07667782F}"/>
    <cellStyle name="Normal 2 6 4 3 2" xfId="2130" xr:uid="{9D6A5B46-BE15-4252-B8F0-E3C5BC66C06E}"/>
    <cellStyle name="Normal 2 6 4 3 2 2" xfId="5284" xr:uid="{B382C2D5-7CFC-4AF9-B11C-BBABEC59E6AF}"/>
    <cellStyle name="Normal 2 6 4 3 2 2 2" xfId="11577" xr:uid="{B468CAC5-74FE-4EDC-B3E5-5839CA141CE7}"/>
    <cellStyle name="Normal 2 6 4 3 2 2 2 2" xfId="24259" xr:uid="{A8A66755-B715-4B8D-9350-5539ACA7F265}"/>
    <cellStyle name="Normal 2 6 4 3 2 2 2 2 2" xfId="49751" xr:uid="{B78FF51D-AF92-483A-9FB2-CF7284AC0A02}"/>
    <cellStyle name="Normal 2 6 4 3 2 2 2 3" xfId="37160" xr:uid="{A95016D2-C625-4AC9-84C3-E57C82A7E1F9}"/>
    <cellStyle name="Normal 2 6 4 3 2 2 3" xfId="17981" xr:uid="{B7259C6E-EE32-4613-8966-1BBBBBD5F8CE}"/>
    <cellStyle name="Normal 2 6 4 3 2 2 3 2" xfId="43473" xr:uid="{17C3A317-2DED-451A-AA1D-A5B6C858D8D3}"/>
    <cellStyle name="Normal 2 6 4 3 2 2 4" xfId="30882" xr:uid="{86C218A1-0621-485D-84E9-792DE27A6987}"/>
    <cellStyle name="Normal 2 6 4 3 2 3" xfId="8438" xr:uid="{2BE781A9-3383-437F-B131-9669BCB189D2}"/>
    <cellStyle name="Normal 2 6 4 3 2 3 2" xfId="21120" xr:uid="{E79EC75E-E661-4B7B-897E-EC435BA34CED}"/>
    <cellStyle name="Normal 2 6 4 3 2 3 2 2" xfId="46612" xr:uid="{622B9012-865B-47EE-B3E0-ACDBC14F0C75}"/>
    <cellStyle name="Normal 2 6 4 3 2 3 3" xfId="34021" xr:uid="{486F6857-214E-48C2-8893-7445697305CF}"/>
    <cellStyle name="Normal 2 6 4 3 2 4" xfId="14842" xr:uid="{ACBE58E3-728D-4654-B500-65C6BA519506}"/>
    <cellStyle name="Normal 2 6 4 3 2 4 2" xfId="40334" xr:uid="{CAF0E031-F2C3-4898-B442-73AF5A75A84A}"/>
    <cellStyle name="Normal 2 6 4 3 2 5" xfId="27743" xr:uid="{EECDD4C4-76F6-4D58-9AA7-C31DF5163A6B}"/>
    <cellStyle name="Normal 2 6 4 3 3" xfId="3977" xr:uid="{C1C1F86A-7DB7-4E89-8B4D-A46CC5EDCD65}"/>
    <cellStyle name="Normal 2 6 4 3 3 2" xfId="10270" xr:uid="{968A2727-D60B-4563-8892-615D8DB910C3}"/>
    <cellStyle name="Normal 2 6 4 3 3 2 2" xfId="22952" xr:uid="{EE118FC0-E610-4EA6-9DC6-08A28E2EADB5}"/>
    <cellStyle name="Normal 2 6 4 3 3 2 2 2" xfId="48444" xr:uid="{43F4558C-33E6-4A3A-8070-15290D54BD95}"/>
    <cellStyle name="Normal 2 6 4 3 3 2 3" xfId="35853" xr:uid="{7F1679B7-A3A0-40B0-A9D5-BB19F4A03010}"/>
    <cellStyle name="Normal 2 6 4 3 3 3" xfId="16674" xr:uid="{3DD11270-DE09-4742-81B7-2DFD1DE1F529}"/>
    <cellStyle name="Normal 2 6 4 3 3 3 2" xfId="42166" xr:uid="{BC0151C6-5D19-4E9E-9842-8C89B67ED2F4}"/>
    <cellStyle name="Normal 2 6 4 3 3 4" xfId="29575" xr:uid="{61D37412-8BB9-480A-98C7-7B33A6CD38A5}"/>
    <cellStyle name="Normal 2 6 4 3 4" xfId="7131" xr:uid="{14906EE0-FEBA-47CE-9E29-352FED46EEFC}"/>
    <cellStyle name="Normal 2 6 4 3 4 2" xfId="19813" xr:uid="{DCB17230-1D46-4A91-870D-5751B82FC736}"/>
    <cellStyle name="Normal 2 6 4 3 4 2 2" xfId="45305" xr:uid="{79C016C1-905B-4E9C-B978-93E8528D2B49}"/>
    <cellStyle name="Normal 2 6 4 3 4 3" xfId="32714" xr:uid="{F0F7524E-CC2E-45DD-8E64-F32DF758D31E}"/>
    <cellStyle name="Normal 2 6 4 3 5" xfId="13535" xr:uid="{21BD1CFA-67E3-4B75-B9FB-CCA49BFDE192}"/>
    <cellStyle name="Normal 2 6 4 3 5 2" xfId="39027" xr:uid="{85BCF3F9-0379-465A-9CFA-849C3058C0FC}"/>
    <cellStyle name="Normal 2 6 4 3 6" xfId="26436" xr:uid="{750BBB1F-0B4E-4582-8A3F-EBAC404B14C1}"/>
    <cellStyle name="Normal 2 6 4 4" xfId="1868" xr:uid="{4755E89A-4FB8-4237-820C-7F06F7867814}"/>
    <cellStyle name="Normal 2 6 4 4 2" xfId="5022" xr:uid="{494D644F-EC91-44B9-9ED6-DCAB3DDDDB27}"/>
    <cellStyle name="Normal 2 6 4 4 2 2" xfId="11315" xr:uid="{E0ABAD46-DDAA-49D0-A9AA-12E37DEE32C0}"/>
    <cellStyle name="Normal 2 6 4 4 2 2 2" xfId="23997" xr:uid="{0366C63E-960C-4122-846E-B7AD3980BA01}"/>
    <cellStyle name="Normal 2 6 4 4 2 2 2 2" xfId="49489" xr:uid="{A6E9D354-73F5-4CC4-B2F1-92BC9BD2D46D}"/>
    <cellStyle name="Normal 2 6 4 4 2 2 3" xfId="36898" xr:uid="{FB619732-7A45-49D5-BA67-1540A2485CDA}"/>
    <cellStyle name="Normal 2 6 4 4 2 3" xfId="17719" xr:uid="{FEDE6D9A-7A94-4FD6-B995-C58DB38AC7AE}"/>
    <cellStyle name="Normal 2 6 4 4 2 3 2" xfId="43211" xr:uid="{43529F0C-34EA-4427-AC77-3DA507093EAE}"/>
    <cellStyle name="Normal 2 6 4 4 2 4" xfId="30620" xr:uid="{CD71F71C-1009-4775-9AC7-F750346E498D}"/>
    <cellStyle name="Normal 2 6 4 4 3" xfId="8176" xr:uid="{40FF325A-41C8-4AAF-9AF9-826D1A69F7E4}"/>
    <cellStyle name="Normal 2 6 4 4 3 2" xfId="20858" xr:uid="{57494287-E7A3-49EC-8682-0A26E31AB78C}"/>
    <cellStyle name="Normal 2 6 4 4 3 2 2" xfId="46350" xr:uid="{66DEA234-4468-44FE-AA98-AB6F6B412746}"/>
    <cellStyle name="Normal 2 6 4 4 3 3" xfId="33759" xr:uid="{9F856CEE-CF6B-471D-A0DE-8EAE612E82E8}"/>
    <cellStyle name="Normal 2 6 4 4 4" xfId="14580" xr:uid="{0540F235-A9F9-480A-841D-26214B97BB2A}"/>
    <cellStyle name="Normal 2 6 4 4 4 2" xfId="40072" xr:uid="{3003F945-E25B-473E-AB9B-373A9F68F094}"/>
    <cellStyle name="Normal 2 6 4 4 5" xfId="27481" xr:uid="{73512D4E-0BD7-4161-B6C0-4C1AC2A442D9}"/>
    <cellStyle name="Normal 2 6 4 5" xfId="1346" xr:uid="{3BB9D286-3F8B-4B37-89DE-C12D1CCD3BF2}"/>
    <cellStyle name="Normal 2 6 4 5 2" xfId="4500" xr:uid="{6C20AB47-CD0B-4065-80D9-AA42F38F7B51}"/>
    <cellStyle name="Normal 2 6 4 5 2 2" xfId="10793" xr:uid="{294547C0-7553-4591-831E-3B417CA5EBE2}"/>
    <cellStyle name="Normal 2 6 4 5 2 2 2" xfId="23475" xr:uid="{96EA21C7-DF8C-4320-BE79-A67AE3BEE107}"/>
    <cellStyle name="Normal 2 6 4 5 2 2 2 2" xfId="48967" xr:uid="{723DBF0B-B971-466E-9B56-0EC61A9D806B}"/>
    <cellStyle name="Normal 2 6 4 5 2 2 3" xfId="36376" xr:uid="{ECF3E0AE-27B7-4ABE-AA56-00351786D48E}"/>
    <cellStyle name="Normal 2 6 4 5 2 3" xfId="17197" xr:uid="{B01BA270-061A-4A9E-A7C9-F561F93A1CB5}"/>
    <cellStyle name="Normal 2 6 4 5 2 3 2" xfId="42689" xr:uid="{A3A7237A-8D39-4DBE-B994-6025655DF2A3}"/>
    <cellStyle name="Normal 2 6 4 5 2 4" xfId="30098" xr:uid="{A859272B-B20F-4966-A94E-E46689F363B5}"/>
    <cellStyle name="Normal 2 6 4 5 3" xfId="7654" xr:uid="{A4288302-1CFB-4ED8-A9A9-16C3FAB23FC0}"/>
    <cellStyle name="Normal 2 6 4 5 3 2" xfId="20336" xr:uid="{9308C2CE-6D7F-4E98-9601-855F9D5046D1}"/>
    <cellStyle name="Normal 2 6 4 5 3 2 2" xfId="45828" xr:uid="{5CCF925B-E0B2-4BF0-901D-2F938C4476F6}"/>
    <cellStyle name="Normal 2 6 4 5 3 3" xfId="33237" xr:uid="{46EE3268-1055-417D-A97E-FDC97E57E6EC}"/>
    <cellStyle name="Normal 2 6 4 5 4" xfId="14058" xr:uid="{5CBFF34E-5B25-46AA-9532-6C3A46D89CA0}"/>
    <cellStyle name="Normal 2 6 4 5 4 2" xfId="39550" xr:uid="{D1D1F47B-E194-4480-85D0-9A6E52C4F7B5}"/>
    <cellStyle name="Normal 2 6 4 5 5" xfId="26959" xr:uid="{67D2C1F9-5956-4928-B666-7A173EBDBDCA}"/>
    <cellStyle name="Normal 2 6 4 6" xfId="2653" xr:uid="{DDAC160E-9069-4080-92D5-43359ABEDBD9}"/>
    <cellStyle name="Normal 2 6 4 6 2" xfId="5807" xr:uid="{AE8ED932-DBAF-4A5A-811F-70BE6E977A0C}"/>
    <cellStyle name="Normal 2 6 4 6 2 2" xfId="12100" xr:uid="{40C7D84A-364C-4721-B16F-EC94B1AEAFA1}"/>
    <cellStyle name="Normal 2 6 4 6 2 2 2" xfId="24782" xr:uid="{E5433F9B-A788-496E-AA08-A973DF36D1B9}"/>
    <cellStyle name="Normal 2 6 4 6 2 2 2 2" xfId="50274" xr:uid="{E2FF07D0-5762-4E6B-80CA-E8D0EAF640CC}"/>
    <cellStyle name="Normal 2 6 4 6 2 2 3" xfId="37683" xr:uid="{84695577-2432-451E-89E6-5254114C0188}"/>
    <cellStyle name="Normal 2 6 4 6 2 3" xfId="18504" xr:uid="{40BCCC6C-D178-4E75-8032-BB89B2019EC4}"/>
    <cellStyle name="Normal 2 6 4 6 2 3 2" xfId="43996" xr:uid="{E78270A0-741A-4BFE-B963-71B44CB97283}"/>
    <cellStyle name="Normal 2 6 4 6 2 4" xfId="31405" xr:uid="{4EC90DEC-91EB-4A9B-ADC7-5858AAE7F6AC}"/>
    <cellStyle name="Normal 2 6 4 6 3" xfId="8961" xr:uid="{40D946EF-9397-4B02-89C1-8A4498D1658E}"/>
    <cellStyle name="Normal 2 6 4 6 3 2" xfId="21643" xr:uid="{AC083D6E-E3FC-4E46-8A9A-2560EB37355A}"/>
    <cellStyle name="Normal 2 6 4 6 3 2 2" xfId="47135" xr:uid="{5078E506-69BE-4DDD-8B60-0EC67DFBCFE3}"/>
    <cellStyle name="Normal 2 6 4 6 3 3" xfId="34544" xr:uid="{BEE55F5C-2F57-4273-AE1F-1BB9939F7527}"/>
    <cellStyle name="Normal 2 6 4 6 4" xfId="15365" xr:uid="{081A225F-4AA3-4524-A717-0944B531E4D2}"/>
    <cellStyle name="Normal 2 6 4 6 4 2" xfId="40857" xr:uid="{8C979041-51DE-4FC3-AC08-E34196473A0A}"/>
    <cellStyle name="Normal 2 6 4 6 5" xfId="28266" xr:uid="{0F483A9A-4F5D-4C17-9549-69B2FAD0E678}"/>
    <cellStyle name="Normal 2 6 4 7" xfId="3176" xr:uid="{94A0228F-ABAF-49B9-B467-F9029CE1C2B1}"/>
    <cellStyle name="Normal 2 6 4 7 2" xfId="6330" xr:uid="{7DAD736E-9237-4D20-A21B-E7676841F31C}"/>
    <cellStyle name="Normal 2 6 4 7 2 2" xfId="12623" xr:uid="{DAE91E63-9750-4ACA-8174-20636C40B092}"/>
    <cellStyle name="Normal 2 6 4 7 2 2 2" xfId="25305" xr:uid="{4033F17A-2A14-46F5-B8C5-FFE7248391B2}"/>
    <cellStyle name="Normal 2 6 4 7 2 2 2 2" xfId="50797" xr:uid="{392828FD-EBC5-4199-9D9F-05351C709FF6}"/>
    <cellStyle name="Normal 2 6 4 7 2 2 3" xfId="38206" xr:uid="{93845AA6-9CC6-4C88-91FE-A58418283D9C}"/>
    <cellStyle name="Normal 2 6 4 7 2 3" xfId="19027" xr:uid="{A49FFF9F-52EE-4AA5-A497-30A25027CA0E}"/>
    <cellStyle name="Normal 2 6 4 7 2 3 2" xfId="44519" xr:uid="{A9C6FC31-F48F-4466-8462-2CFAB846B922}"/>
    <cellStyle name="Normal 2 6 4 7 2 4" xfId="31928" xr:uid="{5D8D4FB1-F24C-453B-A88C-1CBDFD99CEF1}"/>
    <cellStyle name="Normal 2 6 4 7 3" xfId="9484" xr:uid="{6AE1D7E3-25D5-47A9-A6A0-F4CE4C6E930D}"/>
    <cellStyle name="Normal 2 6 4 7 3 2" xfId="22166" xr:uid="{0DA2ADA4-FA52-41E5-8505-9506128DA664}"/>
    <cellStyle name="Normal 2 6 4 7 3 2 2" xfId="47658" xr:uid="{23A6E5B1-E4E1-4243-B65B-A31C73262050}"/>
    <cellStyle name="Normal 2 6 4 7 3 3" xfId="35067" xr:uid="{9C931FD0-7C8C-4A0D-9BA2-B0A49841FC72}"/>
    <cellStyle name="Normal 2 6 4 7 4" xfId="15888" xr:uid="{E110BC52-9392-4A27-993C-AEF7A9ECD1DC}"/>
    <cellStyle name="Normal 2 6 4 7 4 2" xfId="41380" xr:uid="{70AE4353-206D-4356-BAF7-C171BFBAECEF}"/>
    <cellStyle name="Normal 2 6 4 7 5" xfId="28789" xr:uid="{DFC7BD07-10C7-4580-ACC8-CD7A320D5D76}"/>
    <cellStyle name="Normal 2 6 4 8" xfId="3715" xr:uid="{738A522E-8A5D-4799-98FE-CA2D7881A94A}"/>
    <cellStyle name="Normal 2 6 4 8 2" xfId="10008" xr:uid="{C50C255D-F724-4DA0-B3E1-C6873AD6C694}"/>
    <cellStyle name="Normal 2 6 4 8 2 2" xfId="22690" xr:uid="{2D79D06B-EE16-4AB3-88EB-56FDB362CCB1}"/>
    <cellStyle name="Normal 2 6 4 8 2 2 2" xfId="48182" xr:uid="{88DDF587-8621-4EC6-9482-5DAF44650F45}"/>
    <cellStyle name="Normal 2 6 4 8 2 3" xfId="35591" xr:uid="{D4569797-A0D2-41B0-87F8-8427E037F3B3}"/>
    <cellStyle name="Normal 2 6 4 8 3" xfId="16412" xr:uid="{244FA13B-7438-429D-9FAB-4BCA5BEB901D}"/>
    <cellStyle name="Normal 2 6 4 8 3 2" xfId="41904" xr:uid="{D1DC10F4-1E9E-48D3-A29B-CB1518E05A0E}"/>
    <cellStyle name="Normal 2 6 4 8 4" xfId="29313" xr:uid="{CB43F4F8-4718-4549-9DA9-5ABC8C9D83D8}"/>
    <cellStyle name="Normal 2 6 4 9" xfId="6869" xr:uid="{BDC29C33-0F97-429E-B5FC-A53F52761348}"/>
    <cellStyle name="Normal 2 6 4 9 2" xfId="19551" xr:uid="{2D632D3D-F92C-43A0-8408-82E7C1CDDBBB}"/>
    <cellStyle name="Normal 2 6 4 9 2 2" xfId="45043" xr:uid="{A1722646-DFB1-41F5-83AB-43F7276F09D7}"/>
    <cellStyle name="Normal 2 6 4 9 3" xfId="32452" xr:uid="{4AFDA49B-E98B-45B2-BC19-C6FF1D81B17B}"/>
    <cellStyle name="Normal 2 6 5" xfId="963" xr:uid="{5617AE04-CF35-47C7-B18B-4EF9B69B84FD}"/>
    <cellStyle name="Normal 2 6 5 2" xfId="2270" xr:uid="{24DC32C6-434B-456B-AD14-ACA9CBF451FA}"/>
    <cellStyle name="Normal 2 6 5 2 2" xfId="5424" xr:uid="{1E7B2AE8-2D7A-493E-A394-351B6995CC6C}"/>
    <cellStyle name="Normal 2 6 5 2 2 2" xfId="11717" xr:uid="{5922943C-7785-439A-B766-25AD44535782}"/>
    <cellStyle name="Normal 2 6 5 2 2 2 2" xfId="24399" xr:uid="{2906C9B1-49EA-49A0-90C3-A07D4C6264F5}"/>
    <cellStyle name="Normal 2 6 5 2 2 2 2 2" xfId="49891" xr:uid="{A1984D36-71E8-46FA-840D-D4F3DF5DEAFD}"/>
    <cellStyle name="Normal 2 6 5 2 2 2 3" xfId="37300" xr:uid="{1C8FBC77-1015-4B57-9116-B429978CB855}"/>
    <cellStyle name="Normal 2 6 5 2 2 3" xfId="18121" xr:uid="{E73D73F6-4323-4AEF-B2B5-F9270FB0D964}"/>
    <cellStyle name="Normal 2 6 5 2 2 3 2" xfId="43613" xr:uid="{011C22BC-31EE-40AD-9996-49D1464305CF}"/>
    <cellStyle name="Normal 2 6 5 2 2 4" xfId="31022" xr:uid="{D496D3C6-7B6A-4D2B-BDA1-D94C18A818BF}"/>
    <cellStyle name="Normal 2 6 5 2 3" xfId="8578" xr:uid="{508B669E-2485-4524-A7A8-BB0B444C6183}"/>
    <cellStyle name="Normal 2 6 5 2 3 2" xfId="21260" xr:uid="{297F228D-D6D6-4570-A8BA-6BAF0DB794D0}"/>
    <cellStyle name="Normal 2 6 5 2 3 2 2" xfId="46752" xr:uid="{4379BA3F-B135-4EC6-85A0-7A8461CC66A1}"/>
    <cellStyle name="Normal 2 6 5 2 3 3" xfId="34161" xr:uid="{11F28415-9DE9-4830-8228-BBAF20AFCAF8}"/>
    <cellStyle name="Normal 2 6 5 2 4" xfId="14982" xr:uid="{AD285C38-223A-4568-B69A-2BB6EC6CD7C0}"/>
    <cellStyle name="Normal 2 6 5 2 4 2" xfId="40474" xr:uid="{7EAA7EAD-C7E7-42C6-9796-4161644EBF0C}"/>
    <cellStyle name="Normal 2 6 5 2 5" xfId="27883" xr:uid="{C3A1101E-C060-451F-AED8-AC9D3435A493}"/>
    <cellStyle name="Normal 2 6 5 3" xfId="1487" xr:uid="{53DCC856-DECB-4FD1-9C63-D34524664774}"/>
    <cellStyle name="Normal 2 6 5 3 2" xfId="4641" xr:uid="{BB804410-6C72-4C7F-A6F5-4E59663E6D91}"/>
    <cellStyle name="Normal 2 6 5 3 2 2" xfId="10934" xr:uid="{C02E520A-6CA1-4303-BD9F-7F5BE49A7313}"/>
    <cellStyle name="Normal 2 6 5 3 2 2 2" xfId="23616" xr:uid="{181B853A-9AAF-4475-B189-37298EB48556}"/>
    <cellStyle name="Normal 2 6 5 3 2 2 2 2" xfId="49108" xr:uid="{44E7E000-028E-4B71-AA00-8197B4E6B268}"/>
    <cellStyle name="Normal 2 6 5 3 2 2 3" xfId="36517" xr:uid="{36C59554-E558-4D53-8BDB-8812761B187B}"/>
    <cellStyle name="Normal 2 6 5 3 2 3" xfId="17338" xr:uid="{97037150-0F45-4528-83DE-1EE4ACCB3719}"/>
    <cellStyle name="Normal 2 6 5 3 2 3 2" xfId="42830" xr:uid="{7348163E-0B8A-41D0-8769-4F27CB5FAC90}"/>
    <cellStyle name="Normal 2 6 5 3 2 4" xfId="30239" xr:uid="{797DC097-70B7-4EE8-8A63-642DBE5FC5ED}"/>
    <cellStyle name="Normal 2 6 5 3 3" xfId="7795" xr:uid="{F4EA8DBE-4D46-4981-878E-92CF50567750}"/>
    <cellStyle name="Normal 2 6 5 3 3 2" xfId="20477" xr:uid="{5A894627-2F11-43C3-BFB4-C88437B6B7C5}"/>
    <cellStyle name="Normal 2 6 5 3 3 2 2" xfId="45969" xr:uid="{1F73B535-BB4F-427D-8255-E1F50AADA5D5}"/>
    <cellStyle name="Normal 2 6 5 3 3 3" xfId="33378" xr:uid="{FE8C636D-E180-41E2-A493-550727BFEC8A}"/>
    <cellStyle name="Normal 2 6 5 3 4" xfId="14199" xr:uid="{0E04D9C9-137A-4074-A579-AD8C610F6A21}"/>
    <cellStyle name="Normal 2 6 5 3 4 2" xfId="39691" xr:uid="{EB3CDEBA-C7B5-4DE2-9B98-D5274DCACB9A}"/>
    <cellStyle name="Normal 2 6 5 3 5" xfId="27100" xr:uid="{F163F85B-71DF-4299-9615-77D48988D78C}"/>
    <cellStyle name="Normal 2 6 5 4" xfId="2794" xr:uid="{1E9CC216-C143-474F-B231-E30087488CB6}"/>
    <cellStyle name="Normal 2 6 5 4 2" xfId="5948" xr:uid="{CB0D26E2-782F-44EF-971B-966C73B5215F}"/>
    <cellStyle name="Normal 2 6 5 4 2 2" xfId="12241" xr:uid="{49BB0AF3-3CAE-4367-AB12-94EE73DEB191}"/>
    <cellStyle name="Normal 2 6 5 4 2 2 2" xfId="24923" xr:uid="{E6AB4FC6-53EB-4820-8CAD-3902C45EAB35}"/>
    <cellStyle name="Normal 2 6 5 4 2 2 2 2" xfId="50415" xr:uid="{550DC6BB-BC9F-4513-8CE6-CDDB9E7BF0E0}"/>
    <cellStyle name="Normal 2 6 5 4 2 2 3" xfId="37824" xr:uid="{293C23C0-BD5F-4A7E-9C3C-9F57C03A8E20}"/>
    <cellStyle name="Normal 2 6 5 4 2 3" xfId="18645" xr:uid="{6F76ED7B-618A-4669-888F-42F17DDC12E7}"/>
    <cellStyle name="Normal 2 6 5 4 2 3 2" xfId="44137" xr:uid="{D016255B-769B-4DF4-9E03-0EC63120766B}"/>
    <cellStyle name="Normal 2 6 5 4 2 4" xfId="31546" xr:uid="{5CBE37CF-D571-4DC2-8EEB-B972FC663F19}"/>
    <cellStyle name="Normal 2 6 5 4 3" xfId="9102" xr:uid="{78DEA34A-1A69-465D-97F5-ECEC363CC067}"/>
    <cellStyle name="Normal 2 6 5 4 3 2" xfId="21784" xr:uid="{63E3AD2D-B4C5-40DD-90F2-5F4D3332D166}"/>
    <cellStyle name="Normal 2 6 5 4 3 2 2" xfId="47276" xr:uid="{BD347356-4E96-4D19-A51E-88258089C9AE}"/>
    <cellStyle name="Normal 2 6 5 4 3 3" xfId="34685" xr:uid="{7BF91D52-3445-4B37-B468-23D4A032C7B6}"/>
    <cellStyle name="Normal 2 6 5 4 4" xfId="15506" xr:uid="{F8198FB6-023E-4FE4-B916-B836CEBF28CF}"/>
    <cellStyle name="Normal 2 6 5 4 4 2" xfId="40998" xr:uid="{78136295-D4CF-40DC-8976-6368F4721AE9}"/>
    <cellStyle name="Normal 2 6 5 4 5" xfId="28407" xr:uid="{407E3074-833D-4222-9378-B6D3AF63A05F}"/>
    <cellStyle name="Normal 2 6 5 5" xfId="3317" xr:uid="{D9532668-077E-4A6F-9F2D-84DD58EB7093}"/>
    <cellStyle name="Normal 2 6 5 5 2" xfId="6471" xr:uid="{13FBFE28-115A-45DA-A729-2CC5A663BC9B}"/>
    <cellStyle name="Normal 2 6 5 5 2 2" xfId="12764" xr:uid="{9B702862-4AB6-4223-A820-85184077BE23}"/>
    <cellStyle name="Normal 2 6 5 5 2 2 2" xfId="25446" xr:uid="{AC9FEAFC-C897-4D7B-A669-EF66C364BCD8}"/>
    <cellStyle name="Normal 2 6 5 5 2 2 2 2" xfId="50938" xr:uid="{A38B55AF-D55C-4BB5-82C1-84EA98801D65}"/>
    <cellStyle name="Normal 2 6 5 5 2 2 3" xfId="38347" xr:uid="{9F815360-5774-44CE-9A83-765CAF95C98A}"/>
    <cellStyle name="Normal 2 6 5 5 2 3" xfId="19168" xr:uid="{081080B2-BD3A-4CC4-AF90-8C9D89AEDEB6}"/>
    <cellStyle name="Normal 2 6 5 5 2 3 2" xfId="44660" xr:uid="{E38DB690-848B-47DD-8508-CA9F640999FF}"/>
    <cellStyle name="Normal 2 6 5 5 2 4" xfId="32069" xr:uid="{A9637A27-E864-42AA-985E-BCF37817BB0F}"/>
    <cellStyle name="Normal 2 6 5 5 3" xfId="9625" xr:uid="{C0798982-6530-4A77-BC1E-7CF3CE392598}"/>
    <cellStyle name="Normal 2 6 5 5 3 2" xfId="22307" xr:uid="{9D501E97-481D-48FE-A191-95E6C1138D00}"/>
    <cellStyle name="Normal 2 6 5 5 3 2 2" xfId="47799" xr:uid="{CB6B3DE3-A990-4020-A31B-45EE1CD335C7}"/>
    <cellStyle name="Normal 2 6 5 5 3 3" xfId="35208" xr:uid="{52B43C31-6A71-41F4-8D4E-4DCA7A21595D}"/>
    <cellStyle name="Normal 2 6 5 5 4" xfId="16029" xr:uid="{49926D53-24C6-4E0C-B27D-610770491DC8}"/>
    <cellStyle name="Normal 2 6 5 5 4 2" xfId="41521" xr:uid="{00FE21EB-20CA-4EA9-BC21-B250EA82331C}"/>
    <cellStyle name="Normal 2 6 5 5 5" xfId="28930" xr:uid="{80714AED-6E92-4C5E-87EA-34DEB37E0F80}"/>
    <cellStyle name="Normal 2 6 5 6" xfId="4117" xr:uid="{F3261352-8192-42F6-9738-F11FA5DA8AF1}"/>
    <cellStyle name="Normal 2 6 5 6 2" xfId="10410" xr:uid="{3718E6D8-0E77-405C-9A89-73831D39FEA2}"/>
    <cellStyle name="Normal 2 6 5 6 2 2" xfId="23092" xr:uid="{DD64E832-98F4-4A54-AB11-376CDC7C8CA0}"/>
    <cellStyle name="Normal 2 6 5 6 2 2 2" xfId="48584" xr:uid="{23872ACD-9E25-4086-834E-952506A3324F}"/>
    <cellStyle name="Normal 2 6 5 6 2 3" xfId="35993" xr:uid="{6E3721DE-13D4-4EB2-95F1-BB1015384F32}"/>
    <cellStyle name="Normal 2 6 5 6 3" xfId="16814" xr:uid="{6D56404B-12DE-4DF4-B5FF-247743000966}"/>
    <cellStyle name="Normal 2 6 5 6 3 2" xfId="42306" xr:uid="{D29D1B8A-8C49-4D6D-B6D3-F76D1FB2DBF7}"/>
    <cellStyle name="Normal 2 6 5 6 4" xfId="29715" xr:uid="{2A72A5A4-7FED-4FD9-ADEB-2583AF2EE733}"/>
    <cellStyle name="Normal 2 6 5 7" xfId="7271" xr:uid="{71FA9307-4670-4222-9DFC-565CE3EA14EC}"/>
    <cellStyle name="Normal 2 6 5 7 2" xfId="19953" xr:uid="{2226F3CB-2C86-4441-83A4-859069BF330E}"/>
    <cellStyle name="Normal 2 6 5 7 2 2" xfId="45445" xr:uid="{0B9DA29B-7E36-42C6-829C-2B07F9006D97}"/>
    <cellStyle name="Normal 2 6 5 7 3" xfId="32854" xr:uid="{E9CEDEA7-974F-4193-8EB8-4273F8DC8415}"/>
    <cellStyle name="Normal 2 6 5 8" xfId="13675" xr:uid="{78ABB813-B6D4-4BED-84E6-626F27ED29C2}"/>
    <cellStyle name="Normal 2 6 5 8 2" xfId="39167" xr:uid="{F7AA95A3-9380-44F0-977B-06B6A98BA988}"/>
    <cellStyle name="Normal 2 6 5 9" xfId="26576" xr:uid="{6D64BDFC-EA70-439E-9A91-31B0B9AC5F45}"/>
    <cellStyle name="Normal 2 6 6" xfId="703" xr:uid="{909B8B0A-0F06-4FD7-93D2-3FF78C4726DA}"/>
    <cellStyle name="Normal 2 6 6 2" xfId="2010" xr:uid="{E8B067AF-11C4-4AE7-84A7-0BACCA678483}"/>
    <cellStyle name="Normal 2 6 6 2 2" xfId="5164" xr:uid="{DD6ED302-8173-463E-9815-0A44AE75FFBA}"/>
    <cellStyle name="Normal 2 6 6 2 2 2" xfId="11457" xr:uid="{2CCDB826-22E4-4E96-887D-2D0CE4D587E1}"/>
    <cellStyle name="Normal 2 6 6 2 2 2 2" xfId="24139" xr:uid="{32E728D4-DA67-4242-A869-D69DBB56CA74}"/>
    <cellStyle name="Normal 2 6 6 2 2 2 2 2" xfId="49631" xr:uid="{2E887D86-4F4B-4168-BF5E-08584008D4B2}"/>
    <cellStyle name="Normal 2 6 6 2 2 2 3" xfId="37040" xr:uid="{29F55239-B740-4438-8370-C24204CEFA93}"/>
    <cellStyle name="Normal 2 6 6 2 2 3" xfId="17861" xr:uid="{886B110E-D02D-4D0F-830F-83C321D61C58}"/>
    <cellStyle name="Normal 2 6 6 2 2 3 2" xfId="43353" xr:uid="{180D65F6-CF9A-4CE3-B901-99E559050260}"/>
    <cellStyle name="Normal 2 6 6 2 2 4" xfId="30762" xr:uid="{53752820-11EA-4DFA-B2BB-2C74C8B3AC36}"/>
    <cellStyle name="Normal 2 6 6 2 3" xfId="8318" xr:uid="{9B256407-68A9-41CB-A22D-FBFC13AF9726}"/>
    <cellStyle name="Normal 2 6 6 2 3 2" xfId="21000" xr:uid="{3FEAC0A7-5E5E-41B6-B2A2-CEF276774D83}"/>
    <cellStyle name="Normal 2 6 6 2 3 2 2" xfId="46492" xr:uid="{3A79EDBB-45B7-44FB-864A-211549056004}"/>
    <cellStyle name="Normal 2 6 6 2 3 3" xfId="33901" xr:uid="{3ED4538B-1A21-461A-9011-A4B81C92602B}"/>
    <cellStyle name="Normal 2 6 6 2 4" xfId="14722" xr:uid="{C2CADA4B-306B-40EB-A8C9-7DBD8391AF04}"/>
    <cellStyle name="Normal 2 6 6 2 4 2" xfId="40214" xr:uid="{DDD6E9E5-E34D-4043-84C5-1E0DFB0EE2F3}"/>
    <cellStyle name="Normal 2 6 6 2 5" xfId="27623" xr:uid="{7CCF0F9C-4A73-4A49-B88B-1841E7CE2C95}"/>
    <cellStyle name="Normal 2 6 6 3" xfId="3857" xr:uid="{6A2ABFD1-2884-44AA-A3B9-A4DF3E2E0F8C}"/>
    <cellStyle name="Normal 2 6 6 3 2" xfId="10150" xr:uid="{C2BF8F42-A68E-4C67-97D4-3C15D0A8CC1A}"/>
    <cellStyle name="Normal 2 6 6 3 2 2" xfId="22832" xr:uid="{A65689B5-4BD2-48DE-9804-6B459BB2A529}"/>
    <cellStyle name="Normal 2 6 6 3 2 2 2" xfId="48324" xr:uid="{6456F2CC-E3A5-4FEC-A2BC-0003BA3C5DF6}"/>
    <cellStyle name="Normal 2 6 6 3 2 3" xfId="35733" xr:uid="{F4058C05-927D-44A7-BF5E-2F239256C073}"/>
    <cellStyle name="Normal 2 6 6 3 3" xfId="16554" xr:uid="{6A0BEA0A-D637-4D2D-A72D-F8347DFBDC32}"/>
    <cellStyle name="Normal 2 6 6 3 3 2" xfId="42046" xr:uid="{BE2E0DB8-7507-4178-993A-B7447BCB06C1}"/>
    <cellStyle name="Normal 2 6 6 3 4" xfId="29455" xr:uid="{E88C5D3D-1570-4EBC-8D2D-45DE8153204F}"/>
    <cellStyle name="Normal 2 6 6 4" xfId="7011" xr:uid="{2FC02807-8744-4B69-B7F4-6C8E33848C9B}"/>
    <cellStyle name="Normal 2 6 6 4 2" xfId="19693" xr:uid="{590DC3C1-859C-4345-B724-3781C057CE63}"/>
    <cellStyle name="Normal 2 6 6 4 2 2" xfId="45185" xr:uid="{43BB0CBA-F8D5-42FC-A10F-E2867884C449}"/>
    <cellStyle name="Normal 2 6 6 4 3" xfId="32594" xr:uid="{6768176F-9953-462C-AE7C-7F81D3842A04}"/>
    <cellStyle name="Normal 2 6 6 5" xfId="13415" xr:uid="{BA46F2B7-25FF-424A-9506-E2347FC60428}"/>
    <cellStyle name="Normal 2 6 6 5 2" xfId="38907" xr:uid="{329EB175-E9C6-462C-99AC-8257942469FC}"/>
    <cellStyle name="Normal 2 6 6 6" xfId="26316" xr:uid="{A48CE669-49ED-4772-8C7B-9BF07936D916}"/>
    <cellStyle name="Normal 2 6 7" xfId="1748" xr:uid="{9C646BCB-ED3A-4685-863F-9AEC6FDEF6F6}"/>
    <cellStyle name="Normal 2 6 7 2" xfId="4902" xr:uid="{35E5D136-A41A-4652-BECA-8FC5ADDF2AA5}"/>
    <cellStyle name="Normal 2 6 7 2 2" xfId="11195" xr:uid="{63E9C92A-224B-4F06-A0D3-4E855EB2DB51}"/>
    <cellStyle name="Normal 2 6 7 2 2 2" xfId="23877" xr:uid="{8A1C3CA5-A546-45FC-861A-0980C38B47E1}"/>
    <cellStyle name="Normal 2 6 7 2 2 2 2" xfId="49369" xr:uid="{50462ACB-C4DE-404D-88BD-83C2969248EE}"/>
    <cellStyle name="Normal 2 6 7 2 2 3" xfId="36778" xr:uid="{077E51FA-E85D-482C-93AA-83315D1ADC86}"/>
    <cellStyle name="Normal 2 6 7 2 3" xfId="17599" xr:uid="{EE95F951-8A72-4560-A401-99B8D565AB0D}"/>
    <cellStyle name="Normal 2 6 7 2 3 2" xfId="43091" xr:uid="{06069643-361A-4A5F-92D3-BA6A05A652C0}"/>
    <cellStyle name="Normal 2 6 7 2 4" xfId="30500" xr:uid="{5D8F68CA-B9DB-4D01-9598-4ABE8F56FB25}"/>
    <cellStyle name="Normal 2 6 7 3" xfId="8056" xr:uid="{37CFFE4D-C55F-411E-9CFA-A7B35BE5EDDB}"/>
    <cellStyle name="Normal 2 6 7 3 2" xfId="20738" xr:uid="{E506A4A1-7311-4C9A-9396-5B7C6D524E28}"/>
    <cellStyle name="Normal 2 6 7 3 2 2" xfId="46230" xr:uid="{627CA7AE-34C7-4996-8320-935F3623E781}"/>
    <cellStyle name="Normal 2 6 7 3 3" xfId="33639" xr:uid="{F3F1141B-D9E8-4E67-9665-B356EF9F2BC0}"/>
    <cellStyle name="Normal 2 6 7 4" xfId="14460" xr:uid="{F13C0980-8BF7-4BB6-80C1-7D080CAD67E9}"/>
    <cellStyle name="Normal 2 6 7 4 2" xfId="39952" xr:uid="{27731C4B-76A5-45E1-99B0-B6D6AA3DE2C0}"/>
    <cellStyle name="Normal 2 6 7 5" xfId="27361" xr:uid="{0743D547-E595-4972-BC92-F537FED3CA82}"/>
    <cellStyle name="Normal 2 6 8" xfId="1226" xr:uid="{83CD245B-790C-47FB-BD4A-C477A83286A6}"/>
    <cellStyle name="Normal 2 6 8 2" xfId="4380" xr:uid="{1A5B64C6-CC60-4DC0-9854-AD3DF74DFCEA}"/>
    <cellStyle name="Normal 2 6 8 2 2" xfId="10673" xr:uid="{71483247-193D-436F-81C8-E82A7F337096}"/>
    <cellStyle name="Normal 2 6 8 2 2 2" xfId="23355" xr:uid="{3C0CDA14-4A4B-4C88-9586-D56961EFE9A5}"/>
    <cellStyle name="Normal 2 6 8 2 2 2 2" xfId="48847" xr:uid="{CCCEF03B-B1B7-4890-BFD3-6EE07D0F1FDD}"/>
    <cellStyle name="Normal 2 6 8 2 2 3" xfId="36256" xr:uid="{009A93E8-70CA-470A-86C7-9A1B3E74756B}"/>
    <cellStyle name="Normal 2 6 8 2 3" xfId="17077" xr:uid="{7559860C-48F8-4CEC-8540-5CAD908191DF}"/>
    <cellStyle name="Normal 2 6 8 2 3 2" xfId="42569" xr:uid="{7DE9B6AB-3A3D-414A-88C1-035879945B24}"/>
    <cellStyle name="Normal 2 6 8 2 4" xfId="29978" xr:uid="{05317509-0715-4DB8-9731-0C4AC712DCE6}"/>
    <cellStyle name="Normal 2 6 8 3" xfId="7534" xr:uid="{5ECD3EAE-5784-4471-BBAD-C59300779501}"/>
    <cellStyle name="Normal 2 6 8 3 2" xfId="20216" xr:uid="{39DB6C50-79FA-4290-8F86-24FA13098A74}"/>
    <cellStyle name="Normal 2 6 8 3 2 2" xfId="45708" xr:uid="{A8A86C45-8983-4474-93C7-5CFF9BC7458E}"/>
    <cellStyle name="Normal 2 6 8 3 3" xfId="33117" xr:uid="{79F5A8B9-4E9F-427B-A91B-77C2FDCB19B2}"/>
    <cellStyle name="Normal 2 6 8 4" xfId="13938" xr:uid="{D8F668A4-4371-43E2-960D-431C69EF850B}"/>
    <cellStyle name="Normal 2 6 8 4 2" xfId="39430" xr:uid="{B1134A49-4E3C-4F7C-A564-296ACDA03720}"/>
    <cellStyle name="Normal 2 6 8 5" xfId="26839" xr:uid="{00CFB702-C515-47D0-8CE5-9B4E0EDFAAAF}"/>
    <cellStyle name="Normal 2 6 9" xfId="2533" xr:uid="{DE19121F-413E-468A-8CF6-88AC567BDD44}"/>
    <cellStyle name="Normal 2 6 9 2" xfId="5687" xr:uid="{A98F524B-7605-4117-80E6-C815D253A5D3}"/>
    <cellStyle name="Normal 2 6 9 2 2" xfId="11980" xr:uid="{66C7DAA3-F0DD-41E3-949A-8926BF80BF7C}"/>
    <cellStyle name="Normal 2 6 9 2 2 2" xfId="24662" xr:uid="{3E5B799A-C073-4087-944C-9FB1F88F13C2}"/>
    <cellStyle name="Normal 2 6 9 2 2 2 2" xfId="50154" xr:uid="{5EF61250-2938-4CAA-A5F9-2F23ED90AA33}"/>
    <cellStyle name="Normal 2 6 9 2 2 3" xfId="37563" xr:uid="{982EBA57-AFF3-4B95-870B-753DCBC64F67}"/>
    <cellStyle name="Normal 2 6 9 2 3" xfId="18384" xr:uid="{1524345F-8107-4402-BCF4-6FFEC4A8641A}"/>
    <cellStyle name="Normal 2 6 9 2 3 2" xfId="43876" xr:uid="{2C8E4600-C94A-469E-B909-4331732B342E}"/>
    <cellStyle name="Normal 2 6 9 2 4" xfId="31285" xr:uid="{447D9D18-9597-487C-B4CB-BE17F36008A2}"/>
    <cellStyle name="Normal 2 6 9 3" xfId="8841" xr:uid="{C2390599-FE2D-4843-989C-87597600317D}"/>
    <cellStyle name="Normal 2 6 9 3 2" xfId="21523" xr:uid="{C5530FE0-3FD9-4F8E-9D90-098492F5E843}"/>
    <cellStyle name="Normal 2 6 9 3 2 2" xfId="47015" xr:uid="{56A72738-93DA-4DE5-90A2-F5CF0062F84E}"/>
    <cellStyle name="Normal 2 6 9 3 3" xfId="34424" xr:uid="{289AAA81-064F-48B6-B0BA-94D2CC9BAAB4}"/>
    <cellStyle name="Normal 2 6 9 4" xfId="15245" xr:uid="{2B6B3EB6-513E-4D49-A56E-CF13074A22B9}"/>
    <cellStyle name="Normal 2 6 9 4 2" xfId="40737" xr:uid="{393DAEEF-5E81-469F-A47F-0FE22AC9E07D}"/>
    <cellStyle name="Normal 2 6 9 5" xfId="28146" xr:uid="{CF2BE6F7-EF48-423E-85FB-5EB74A2570B1}"/>
    <cellStyle name="Normal 2 7" xfId="468" xr:uid="{29837B65-87D2-4CA7-868B-ACE424C43CE9}"/>
    <cellStyle name="Normal 2 7 10" xfId="3637" xr:uid="{20A60272-3A48-4284-9485-69D7CB8C5792}"/>
    <cellStyle name="Normal 2 7 10 2" xfId="9930" xr:uid="{3DF4DE46-5F2E-4A4A-8EDE-4E954C456FF2}"/>
    <cellStyle name="Normal 2 7 10 2 2" xfId="22612" xr:uid="{71C8B0EB-5B5A-4524-9E01-5FD356749560}"/>
    <cellStyle name="Normal 2 7 10 2 2 2" xfId="48104" xr:uid="{A67A11B0-A4AE-44A4-B162-79F8841735E1}"/>
    <cellStyle name="Normal 2 7 10 2 3" xfId="35513" xr:uid="{F7A236A0-ED9B-4B50-9048-95C21D414346}"/>
    <cellStyle name="Normal 2 7 10 3" xfId="16334" xr:uid="{9C062666-548F-4FEB-819B-07D69A19B513}"/>
    <cellStyle name="Normal 2 7 10 3 2" xfId="41826" xr:uid="{279B7BC4-C5BE-47FF-808C-8D314F7192D8}"/>
    <cellStyle name="Normal 2 7 10 4" xfId="29235" xr:uid="{31821550-0B67-43B2-8020-6DEC799A6CBE}"/>
    <cellStyle name="Normal 2 7 11" xfId="6791" xr:uid="{48BF1B94-E7AA-4C7E-82AD-28103FA2AD14}"/>
    <cellStyle name="Normal 2 7 11 2" xfId="19473" xr:uid="{374A04DB-3B56-4EEA-9D94-6F0D08E5B587}"/>
    <cellStyle name="Normal 2 7 11 2 2" xfId="44965" xr:uid="{BCB78C10-BC68-4FB6-A6AB-6E6AEF8B824C}"/>
    <cellStyle name="Normal 2 7 11 3" xfId="32374" xr:uid="{EE8EB4AA-2AD5-4137-BB19-604A429C3174}"/>
    <cellStyle name="Normal 2 7 12" xfId="13195" xr:uid="{9EE79CA1-2FDD-41AE-AA45-2105F403F96B}"/>
    <cellStyle name="Normal 2 7 12 2" xfId="38687" xr:uid="{D095B79F-2B1A-41EC-B393-B88958AE556D}"/>
    <cellStyle name="Normal 2 7 13" xfId="26096" xr:uid="{66C51303-5F15-4BD6-B97C-921D1D3B3007}"/>
    <cellStyle name="Normal 2 7 2" xfId="627" xr:uid="{66BC0BDC-6C6F-419C-9345-7C595B5BD21B}"/>
    <cellStyle name="Normal 2 7 2 10" xfId="13354" xr:uid="{C3907EC4-FDF5-4DE6-B19B-919783D33B33}"/>
    <cellStyle name="Normal 2 7 2 10 2" xfId="38846" xr:uid="{48805A5A-899B-4068-ADC9-83B08B2C2B2F}"/>
    <cellStyle name="Normal 2 7 2 11" xfId="26255" xr:uid="{30BDDAD8-1EC7-43F3-B38E-B84A205BA82E}"/>
    <cellStyle name="Normal 2 7 2 2" xfId="1164" xr:uid="{04FE2D62-2CE1-4579-96FC-17BDBA0364EA}"/>
    <cellStyle name="Normal 2 7 2 2 2" xfId="2471" xr:uid="{EFF56583-8945-488F-8E3E-E9F970ED6C3D}"/>
    <cellStyle name="Normal 2 7 2 2 2 2" xfId="5625" xr:uid="{BC6121BB-4372-4EAB-9054-55E0C3A02A5F}"/>
    <cellStyle name="Normal 2 7 2 2 2 2 2" xfId="11918" xr:uid="{91FA8E24-B67B-4BEC-AD1E-36618DD70F77}"/>
    <cellStyle name="Normal 2 7 2 2 2 2 2 2" xfId="24600" xr:uid="{4D99DEA4-C8D7-4AE9-9272-53CD0F06D0EA}"/>
    <cellStyle name="Normal 2 7 2 2 2 2 2 2 2" xfId="50092" xr:uid="{CEBDD5CF-CDF4-4312-8C22-AEADC8C93DBD}"/>
    <cellStyle name="Normal 2 7 2 2 2 2 2 3" xfId="37501" xr:uid="{B305953E-DE26-4014-AC6D-0C5454C3EA56}"/>
    <cellStyle name="Normal 2 7 2 2 2 2 3" xfId="18322" xr:uid="{AEE1CAFE-6D62-46DC-8A9E-7C6ED9CD857D}"/>
    <cellStyle name="Normal 2 7 2 2 2 2 3 2" xfId="43814" xr:uid="{1A3E3903-5A96-432B-B49F-ABAD02C1A0DE}"/>
    <cellStyle name="Normal 2 7 2 2 2 2 4" xfId="31223" xr:uid="{76E2B8FF-A4A5-4C9D-9FC0-4B435844A884}"/>
    <cellStyle name="Normal 2 7 2 2 2 3" xfId="8779" xr:uid="{EC80C47A-08C5-4086-A003-D0DD9A7FF696}"/>
    <cellStyle name="Normal 2 7 2 2 2 3 2" xfId="21461" xr:uid="{CDE6DA5B-AA6B-4E51-8183-4243EC5808C1}"/>
    <cellStyle name="Normal 2 7 2 2 2 3 2 2" xfId="46953" xr:uid="{C895FE90-1420-48E6-A016-2440474AD142}"/>
    <cellStyle name="Normal 2 7 2 2 2 3 3" xfId="34362" xr:uid="{92852F33-C3E2-43B3-8D95-D99C943EAE72}"/>
    <cellStyle name="Normal 2 7 2 2 2 4" xfId="15183" xr:uid="{C753BAC6-0F18-4757-8C07-13911DCD4328}"/>
    <cellStyle name="Normal 2 7 2 2 2 4 2" xfId="40675" xr:uid="{A58AE410-242F-4033-9444-E2E295C5E8B0}"/>
    <cellStyle name="Normal 2 7 2 2 2 5" xfId="28084" xr:uid="{28CFDC00-0943-4F18-A668-94510E77A421}"/>
    <cellStyle name="Normal 2 7 2 2 3" xfId="1688" xr:uid="{CE36320B-A1AF-4660-AF18-3972D54A3111}"/>
    <cellStyle name="Normal 2 7 2 2 3 2" xfId="4842" xr:uid="{826348F9-B61E-4EA4-9BEF-519413C3E196}"/>
    <cellStyle name="Normal 2 7 2 2 3 2 2" xfId="11135" xr:uid="{4A3771FA-2CEB-4A8D-8A68-03903A9012DD}"/>
    <cellStyle name="Normal 2 7 2 2 3 2 2 2" xfId="23817" xr:uid="{9DE80C58-A07A-435B-BA64-F89B12B5A8F9}"/>
    <cellStyle name="Normal 2 7 2 2 3 2 2 2 2" xfId="49309" xr:uid="{C1575203-5DED-46A2-AE27-ED1DC622D3FD}"/>
    <cellStyle name="Normal 2 7 2 2 3 2 2 3" xfId="36718" xr:uid="{790A21BF-155E-4D40-B214-AFAFC279EC70}"/>
    <cellStyle name="Normal 2 7 2 2 3 2 3" xfId="17539" xr:uid="{3B1A1668-AC5F-4A53-9045-4AB633134FE0}"/>
    <cellStyle name="Normal 2 7 2 2 3 2 3 2" xfId="43031" xr:uid="{9D880E8A-C8AD-47C1-A118-6BF07AB07A07}"/>
    <cellStyle name="Normal 2 7 2 2 3 2 4" xfId="30440" xr:uid="{6AD26E23-7232-4CE2-A758-41C547D17620}"/>
    <cellStyle name="Normal 2 7 2 2 3 3" xfId="7996" xr:uid="{9A71225C-02F2-4ACE-AA4E-1C930E85E2A3}"/>
    <cellStyle name="Normal 2 7 2 2 3 3 2" xfId="20678" xr:uid="{9F876BFC-7896-4DB2-9561-756DAAC1E606}"/>
    <cellStyle name="Normal 2 7 2 2 3 3 2 2" xfId="46170" xr:uid="{7493772E-CB73-49FE-9CA3-C6AC0C7A2CEC}"/>
    <cellStyle name="Normal 2 7 2 2 3 3 3" xfId="33579" xr:uid="{3592976F-F30F-4F5F-8010-FD5E5A558B07}"/>
    <cellStyle name="Normal 2 7 2 2 3 4" xfId="14400" xr:uid="{8A958050-C6D2-4B34-AB3A-953FDE8C5E00}"/>
    <cellStyle name="Normal 2 7 2 2 3 4 2" xfId="39892" xr:uid="{F96FB8AD-D200-4293-8B39-88253AB486EE}"/>
    <cellStyle name="Normal 2 7 2 2 3 5" xfId="27301" xr:uid="{66B94FFD-A37D-47DC-B8FF-8C131110005F}"/>
    <cellStyle name="Normal 2 7 2 2 4" xfId="2995" xr:uid="{E63E4BB9-6CD3-4C38-88B2-A348930D8A93}"/>
    <cellStyle name="Normal 2 7 2 2 4 2" xfId="6149" xr:uid="{7F36E619-8570-4926-81CA-F69B7A836977}"/>
    <cellStyle name="Normal 2 7 2 2 4 2 2" xfId="12442" xr:uid="{9CC1EDED-2110-494B-A2E3-3D64BB4021AD}"/>
    <cellStyle name="Normal 2 7 2 2 4 2 2 2" xfId="25124" xr:uid="{9D28D560-A945-4BF5-9AE5-E6224101C1C7}"/>
    <cellStyle name="Normal 2 7 2 2 4 2 2 2 2" xfId="50616" xr:uid="{B9BA508E-0248-4148-9FCD-C7230FFCF2BD}"/>
    <cellStyle name="Normal 2 7 2 2 4 2 2 3" xfId="38025" xr:uid="{D0E0CD9D-FE84-423A-99DD-810150293A1A}"/>
    <cellStyle name="Normal 2 7 2 2 4 2 3" xfId="18846" xr:uid="{6C1A6439-5F97-424B-8DB5-5720F61E3D66}"/>
    <cellStyle name="Normal 2 7 2 2 4 2 3 2" xfId="44338" xr:uid="{A4428AF3-0E9F-4063-A977-0739D0B9FA92}"/>
    <cellStyle name="Normal 2 7 2 2 4 2 4" xfId="31747" xr:uid="{B53CD2FF-0DFB-4F19-95A7-FB173343A0EC}"/>
    <cellStyle name="Normal 2 7 2 2 4 3" xfId="9303" xr:uid="{A3B8B375-A14D-450F-9EE3-18406DDCDA02}"/>
    <cellStyle name="Normal 2 7 2 2 4 3 2" xfId="21985" xr:uid="{1918DBBB-43B8-4ED0-BF96-FEB8C43C2019}"/>
    <cellStyle name="Normal 2 7 2 2 4 3 2 2" xfId="47477" xr:uid="{1C3E7093-AD51-496D-997F-24E4716B4878}"/>
    <cellStyle name="Normal 2 7 2 2 4 3 3" xfId="34886" xr:uid="{84D5C445-9850-4C9E-9206-2493653A464C}"/>
    <cellStyle name="Normal 2 7 2 2 4 4" xfId="15707" xr:uid="{449BADDE-9141-41BD-9DE4-74FDC0A6FAE5}"/>
    <cellStyle name="Normal 2 7 2 2 4 4 2" xfId="41199" xr:uid="{5A1F22E5-AA84-43ED-9911-226F0DB21B30}"/>
    <cellStyle name="Normal 2 7 2 2 4 5" xfId="28608" xr:uid="{76B2566C-842D-4C64-A021-08E83829C3CD}"/>
    <cellStyle name="Normal 2 7 2 2 5" xfId="3518" xr:uid="{4045F8C2-B39C-4726-817B-FD24BDD28506}"/>
    <cellStyle name="Normal 2 7 2 2 5 2" xfId="6672" xr:uid="{0E900D36-FE82-4721-AD8B-1A08C50D51A3}"/>
    <cellStyle name="Normal 2 7 2 2 5 2 2" xfId="12965" xr:uid="{4DDFCF9E-FB59-4F34-A1BC-417A076C9B57}"/>
    <cellStyle name="Normal 2 7 2 2 5 2 2 2" xfId="25647" xr:uid="{00C1ED94-D8EF-4504-A33C-A04459C420D5}"/>
    <cellStyle name="Normal 2 7 2 2 5 2 2 2 2" xfId="51139" xr:uid="{59A918B9-57BC-4BDE-9CD7-273D4724843A}"/>
    <cellStyle name="Normal 2 7 2 2 5 2 2 3" xfId="38548" xr:uid="{ABF065AF-8782-4917-A7BA-9DC66D0E9C58}"/>
    <cellStyle name="Normal 2 7 2 2 5 2 3" xfId="19369" xr:uid="{833E01DE-7A0A-4AFF-BDC4-5B6878A2242A}"/>
    <cellStyle name="Normal 2 7 2 2 5 2 3 2" xfId="44861" xr:uid="{100F5445-AB90-47B4-A769-5A7437397F41}"/>
    <cellStyle name="Normal 2 7 2 2 5 2 4" xfId="32270" xr:uid="{7039B2C4-A880-493D-9EAE-955E775EAB14}"/>
    <cellStyle name="Normal 2 7 2 2 5 3" xfId="9826" xr:uid="{A1519076-B03B-43B5-B894-28FF201FA667}"/>
    <cellStyle name="Normal 2 7 2 2 5 3 2" xfId="22508" xr:uid="{F55F2977-63D1-4AE4-B718-FA3AE96005FD}"/>
    <cellStyle name="Normal 2 7 2 2 5 3 2 2" xfId="48000" xr:uid="{324FB205-EDB2-498E-9612-4850B05D9455}"/>
    <cellStyle name="Normal 2 7 2 2 5 3 3" xfId="35409" xr:uid="{2B669F43-02AA-415B-89EC-CE19839D8BE8}"/>
    <cellStyle name="Normal 2 7 2 2 5 4" xfId="16230" xr:uid="{50690A9C-F523-4508-ABBE-3DA2796CCCCA}"/>
    <cellStyle name="Normal 2 7 2 2 5 4 2" xfId="41722" xr:uid="{9B3618AE-3847-4CEA-86BC-6D89364C4D00}"/>
    <cellStyle name="Normal 2 7 2 2 5 5" xfId="29131" xr:uid="{EF00E117-1FD9-4B2A-B78B-32D3A375D174}"/>
    <cellStyle name="Normal 2 7 2 2 6" xfId="4318" xr:uid="{0E3145B4-8BF1-461B-8BF4-FA09ED840793}"/>
    <cellStyle name="Normal 2 7 2 2 6 2" xfId="10611" xr:uid="{9BDAC6F9-17DE-4212-A741-849FC9CF4074}"/>
    <cellStyle name="Normal 2 7 2 2 6 2 2" xfId="23293" xr:uid="{BDF7E665-34BE-40BB-8BB6-F2A32E301AE3}"/>
    <cellStyle name="Normal 2 7 2 2 6 2 2 2" xfId="48785" xr:uid="{ADE6CD24-97D2-4051-950D-7CFEC094E39C}"/>
    <cellStyle name="Normal 2 7 2 2 6 2 3" xfId="36194" xr:uid="{D2BA3435-FBFA-44C1-A5E0-F3C488A036BB}"/>
    <cellStyle name="Normal 2 7 2 2 6 3" xfId="17015" xr:uid="{9FD9A3E7-2B77-4DC0-836B-D04E9CABFDB0}"/>
    <cellStyle name="Normal 2 7 2 2 6 3 2" xfId="42507" xr:uid="{A53B2137-4BAB-47F3-90E6-51B2F86E9AE6}"/>
    <cellStyle name="Normal 2 7 2 2 6 4" xfId="29916" xr:uid="{854C3FB4-30C7-4A16-AD77-F3B6F5188B9D}"/>
    <cellStyle name="Normal 2 7 2 2 7" xfId="7472" xr:uid="{D34C09E9-BC8D-4F1D-BA41-003925F20438}"/>
    <cellStyle name="Normal 2 7 2 2 7 2" xfId="20154" xr:uid="{774CDB0F-3F2C-4D83-A6C6-DE5F547BE720}"/>
    <cellStyle name="Normal 2 7 2 2 7 2 2" xfId="45646" xr:uid="{C447194C-6DEF-4214-AD19-C5CE05C84B3A}"/>
    <cellStyle name="Normal 2 7 2 2 7 3" xfId="33055" xr:uid="{4FD8E46B-D479-4263-95AE-A95131967C46}"/>
    <cellStyle name="Normal 2 7 2 2 8" xfId="13876" xr:uid="{3E87385D-217D-4F5D-AD7E-0FD1D5CF49DB}"/>
    <cellStyle name="Normal 2 7 2 2 8 2" xfId="39368" xr:uid="{ADD62B92-83F4-401F-8A90-46318DD48250}"/>
    <cellStyle name="Normal 2 7 2 2 9" xfId="26777" xr:uid="{B32C56B1-4F9C-447E-98B8-0ECAE8C7D23B}"/>
    <cellStyle name="Normal 2 7 2 3" xfId="904" xr:uid="{7E08D39D-8143-46F3-92E0-F17475C764AD}"/>
    <cellStyle name="Normal 2 7 2 3 2" xfId="2211" xr:uid="{DAD97CD0-FB45-4A9F-84FC-F55D7E195962}"/>
    <cellStyle name="Normal 2 7 2 3 2 2" xfId="5365" xr:uid="{A19A2397-4BBD-4E26-AB97-79FC6ECD436A}"/>
    <cellStyle name="Normal 2 7 2 3 2 2 2" xfId="11658" xr:uid="{5B645E36-E1DE-4174-9069-8D6429B7CEE9}"/>
    <cellStyle name="Normal 2 7 2 3 2 2 2 2" xfId="24340" xr:uid="{B218E90E-BAA9-446E-8655-C7C9899164A9}"/>
    <cellStyle name="Normal 2 7 2 3 2 2 2 2 2" xfId="49832" xr:uid="{6230AADA-126D-44A7-8972-4DA732277717}"/>
    <cellStyle name="Normal 2 7 2 3 2 2 2 3" xfId="37241" xr:uid="{F5926FCC-93AE-4E6B-BB23-7316098B7499}"/>
    <cellStyle name="Normal 2 7 2 3 2 2 3" xfId="18062" xr:uid="{82555855-5450-4164-8C76-1A40C52A2A3A}"/>
    <cellStyle name="Normal 2 7 2 3 2 2 3 2" xfId="43554" xr:uid="{54A82E89-F54B-4451-8EE0-2E16329FFB37}"/>
    <cellStyle name="Normal 2 7 2 3 2 2 4" xfId="30963" xr:uid="{03966919-E020-4A92-95C1-490EDC2A6645}"/>
    <cellStyle name="Normal 2 7 2 3 2 3" xfId="8519" xr:uid="{41EFAFBA-033A-4CA2-B57F-4DF2F35702E3}"/>
    <cellStyle name="Normal 2 7 2 3 2 3 2" xfId="21201" xr:uid="{CD1F6F93-DF3D-49F8-9E41-E89A76F32F37}"/>
    <cellStyle name="Normal 2 7 2 3 2 3 2 2" xfId="46693" xr:uid="{130D5E6D-D207-44A6-A3A6-7AAE88ABCF83}"/>
    <cellStyle name="Normal 2 7 2 3 2 3 3" xfId="34102" xr:uid="{A45BE9E0-0C06-49CE-B483-BB4C13CE9952}"/>
    <cellStyle name="Normal 2 7 2 3 2 4" xfId="14923" xr:uid="{55E92DC3-7C47-486A-8006-1055F90ED61F}"/>
    <cellStyle name="Normal 2 7 2 3 2 4 2" xfId="40415" xr:uid="{D0F6BEE0-9CF5-465B-8735-CD12B4CF54F7}"/>
    <cellStyle name="Normal 2 7 2 3 2 5" xfId="27824" xr:uid="{46323C73-F075-4A59-96A3-0D986019CBA2}"/>
    <cellStyle name="Normal 2 7 2 3 3" xfId="4058" xr:uid="{CF07E17F-E619-428A-BDD9-2250AD78DAE9}"/>
    <cellStyle name="Normal 2 7 2 3 3 2" xfId="10351" xr:uid="{400E3745-E1A1-4311-88B3-48683B7CDB63}"/>
    <cellStyle name="Normal 2 7 2 3 3 2 2" xfId="23033" xr:uid="{98EF4539-CAB8-41E0-BE76-A3F39EA81C9F}"/>
    <cellStyle name="Normal 2 7 2 3 3 2 2 2" xfId="48525" xr:uid="{FE9F8868-7D03-4E0E-9B4D-91445F65CC9B}"/>
    <cellStyle name="Normal 2 7 2 3 3 2 3" xfId="35934" xr:uid="{CB979D2E-6EEC-4FA3-9B6D-7AC3DCDB9904}"/>
    <cellStyle name="Normal 2 7 2 3 3 3" xfId="16755" xr:uid="{85B1C901-B974-40BD-B12E-D3BFCC18DF4F}"/>
    <cellStyle name="Normal 2 7 2 3 3 3 2" xfId="42247" xr:uid="{B2190544-FD1D-4F08-9AAC-BACDD3188CDB}"/>
    <cellStyle name="Normal 2 7 2 3 3 4" xfId="29656" xr:uid="{753AE9D7-7E21-4605-9655-09A6D9EAE2BA}"/>
    <cellStyle name="Normal 2 7 2 3 4" xfId="7212" xr:uid="{D2C75437-865B-446F-91BB-E6A019BF87FB}"/>
    <cellStyle name="Normal 2 7 2 3 4 2" xfId="19894" xr:uid="{1ABE43A4-DDC7-4048-8C6F-93BA35144B8D}"/>
    <cellStyle name="Normal 2 7 2 3 4 2 2" xfId="45386" xr:uid="{18C11E70-B22E-4D58-AFDB-413A9E03A210}"/>
    <cellStyle name="Normal 2 7 2 3 4 3" xfId="32795" xr:uid="{0EBEC89D-39AC-4768-A935-56BA59529366}"/>
    <cellStyle name="Normal 2 7 2 3 5" xfId="13616" xr:uid="{6288230D-9BDE-419C-8867-4462B887150D}"/>
    <cellStyle name="Normal 2 7 2 3 5 2" xfId="39108" xr:uid="{5C2B5B2A-3B8A-4129-A9EA-A62067089FD5}"/>
    <cellStyle name="Normal 2 7 2 3 6" xfId="26517" xr:uid="{C0DDC3B7-EFC2-4872-B19B-44304A7B8512}"/>
    <cellStyle name="Normal 2 7 2 4" xfId="1949" xr:uid="{BAA40A57-C447-443A-A500-85B556303357}"/>
    <cellStyle name="Normal 2 7 2 4 2" xfId="5103" xr:uid="{23B553E8-9216-443A-905D-A9938C9CB1B8}"/>
    <cellStyle name="Normal 2 7 2 4 2 2" xfId="11396" xr:uid="{25CC72B3-B1A0-437A-85E4-FF97D79C594B}"/>
    <cellStyle name="Normal 2 7 2 4 2 2 2" xfId="24078" xr:uid="{4D74D413-151C-4E9D-A858-074CAF5C6460}"/>
    <cellStyle name="Normal 2 7 2 4 2 2 2 2" xfId="49570" xr:uid="{10FD1F70-E4BD-49FD-9634-7E72461195E1}"/>
    <cellStyle name="Normal 2 7 2 4 2 2 3" xfId="36979" xr:uid="{703C1304-AD03-4617-AA2D-8C9F763FD661}"/>
    <cellStyle name="Normal 2 7 2 4 2 3" xfId="17800" xr:uid="{86EB96E5-9725-4C5A-92A1-C9662635BC69}"/>
    <cellStyle name="Normal 2 7 2 4 2 3 2" xfId="43292" xr:uid="{7F2DDD8C-2581-46F4-AD4F-A2C7345CEB47}"/>
    <cellStyle name="Normal 2 7 2 4 2 4" xfId="30701" xr:uid="{EB772648-A370-458F-A672-7014629CE460}"/>
    <cellStyle name="Normal 2 7 2 4 3" xfId="8257" xr:uid="{EF961945-D62C-458D-9CD8-EF5F19D2D4BC}"/>
    <cellStyle name="Normal 2 7 2 4 3 2" xfId="20939" xr:uid="{09B51212-650A-4941-87DB-0F77EA9BBD7B}"/>
    <cellStyle name="Normal 2 7 2 4 3 2 2" xfId="46431" xr:uid="{F717FB7C-B0B1-4850-ADF8-4670A89DF4FD}"/>
    <cellStyle name="Normal 2 7 2 4 3 3" xfId="33840" xr:uid="{F12DA5BC-7DB8-4836-B606-796A7FA7CF8E}"/>
    <cellStyle name="Normal 2 7 2 4 4" xfId="14661" xr:uid="{51357C67-8550-49D2-802E-D033A1A5E441}"/>
    <cellStyle name="Normal 2 7 2 4 4 2" xfId="40153" xr:uid="{EB880A80-E2AE-4C88-ADA1-DB50C34255FA}"/>
    <cellStyle name="Normal 2 7 2 4 5" xfId="27562" xr:uid="{CD00BB61-AB4E-4032-A994-2F4C7246DE68}"/>
    <cellStyle name="Normal 2 7 2 5" xfId="1427" xr:uid="{21A4287C-0B15-49E1-B089-74DCE857A9CF}"/>
    <cellStyle name="Normal 2 7 2 5 2" xfId="4581" xr:uid="{8E5E75B4-3109-4E9F-B9D4-14AA631D48C8}"/>
    <cellStyle name="Normal 2 7 2 5 2 2" xfId="10874" xr:uid="{31E8AD56-161B-4443-9546-B8768726A55E}"/>
    <cellStyle name="Normal 2 7 2 5 2 2 2" xfId="23556" xr:uid="{4271FB3F-8271-42CB-965F-6BAC3AF09D59}"/>
    <cellStyle name="Normal 2 7 2 5 2 2 2 2" xfId="49048" xr:uid="{971538DE-495C-43F0-8E10-6CBB73C3094A}"/>
    <cellStyle name="Normal 2 7 2 5 2 2 3" xfId="36457" xr:uid="{617A871B-E535-4A55-BF87-7E260AAB0335}"/>
    <cellStyle name="Normal 2 7 2 5 2 3" xfId="17278" xr:uid="{39E1C5BE-8891-4110-8656-6B9778908652}"/>
    <cellStyle name="Normal 2 7 2 5 2 3 2" xfId="42770" xr:uid="{7EB3001F-9E00-4920-9981-62690B32E16C}"/>
    <cellStyle name="Normal 2 7 2 5 2 4" xfId="30179" xr:uid="{658E8538-A4B6-4011-9265-54B07843B840}"/>
    <cellStyle name="Normal 2 7 2 5 3" xfId="7735" xr:uid="{3877F4CB-C466-4087-B6ED-3BEB2A5577A4}"/>
    <cellStyle name="Normal 2 7 2 5 3 2" xfId="20417" xr:uid="{682FBC51-DF79-4B77-AE77-D64D37C3241A}"/>
    <cellStyle name="Normal 2 7 2 5 3 2 2" xfId="45909" xr:uid="{69000F11-126C-4E99-93C5-EC5BAFF0BD63}"/>
    <cellStyle name="Normal 2 7 2 5 3 3" xfId="33318" xr:uid="{09DAB7D8-CB95-44EC-8D80-A1EA15A2207A}"/>
    <cellStyle name="Normal 2 7 2 5 4" xfId="14139" xr:uid="{36C269D6-9391-4B66-85B2-F43144688006}"/>
    <cellStyle name="Normal 2 7 2 5 4 2" xfId="39631" xr:uid="{F330E447-9998-4885-8885-92D90A01209A}"/>
    <cellStyle name="Normal 2 7 2 5 5" xfId="27040" xr:uid="{9942D6FF-34E5-480C-9F54-7282C72F65F1}"/>
    <cellStyle name="Normal 2 7 2 6" xfId="2734" xr:uid="{3C973B36-A53D-4196-B59B-FFCDD0C98F36}"/>
    <cellStyle name="Normal 2 7 2 6 2" xfId="5888" xr:uid="{E2DBD13C-B1E7-4837-B587-B2816F77B110}"/>
    <cellStyle name="Normal 2 7 2 6 2 2" xfId="12181" xr:uid="{2514209E-9094-4BC2-ADAF-BBAC8E76F532}"/>
    <cellStyle name="Normal 2 7 2 6 2 2 2" xfId="24863" xr:uid="{C9B649F1-91CE-48F6-8B13-489B0B278CFC}"/>
    <cellStyle name="Normal 2 7 2 6 2 2 2 2" xfId="50355" xr:uid="{B97563A0-3653-430B-895C-C7B337F09C2D}"/>
    <cellStyle name="Normal 2 7 2 6 2 2 3" xfId="37764" xr:uid="{652793C6-8968-4303-B6CF-1B4E509C2125}"/>
    <cellStyle name="Normal 2 7 2 6 2 3" xfId="18585" xr:uid="{F4BED4F2-19D1-4C07-AA06-22C1E4BC109B}"/>
    <cellStyle name="Normal 2 7 2 6 2 3 2" xfId="44077" xr:uid="{0EF887D7-4B89-4707-8BE9-614748CDF724}"/>
    <cellStyle name="Normal 2 7 2 6 2 4" xfId="31486" xr:uid="{46E131E1-17D8-4E8A-9BB7-EAFFAE34781C}"/>
    <cellStyle name="Normal 2 7 2 6 3" xfId="9042" xr:uid="{8AE9A3A7-17AE-467E-8A70-B825A4AEB296}"/>
    <cellStyle name="Normal 2 7 2 6 3 2" xfId="21724" xr:uid="{5372A530-D236-4AE6-A99D-FC30CCD74EBC}"/>
    <cellStyle name="Normal 2 7 2 6 3 2 2" xfId="47216" xr:uid="{CB3BD68D-BFA5-4932-B59F-F60F24310FFD}"/>
    <cellStyle name="Normal 2 7 2 6 3 3" xfId="34625" xr:uid="{F03ACEC2-E4DB-4C83-8035-4F5187D536A7}"/>
    <cellStyle name="Normal 2 7 2 6 4" xfId="15446" xr:uid="{571956AE-A9D5-4B1F-87BF-35E35DA518B2}"/>
    <cellStyle name="Normal 2 7 2 6 4 2" xfId="40938" xr:uid="{45DA2AAC-F22D-4B06-8DB8-3376C4C6696D}"/>
    <cellStyle name="Normal 2 7 2 6 5" xfId="28347" xr:uid="{F98832C7-FF67-469B-B266-E774CABF58A6}"/>
    <cellStyle name="Normal 2 7 2 7" xfId="3257" xr:uid="{8C27C7FE-FD2A-46EE-9B62-C78EB6810098}"/>
    <cellStyle name="Normal 2 7 2 7 2" xfId="6411" xr:uid="{4EA21886-9033-400B-9C30-8BA53276116A}"/>
    <cellStyle name="Normal 2 7 2 7 2 2" xfId="12704" xr:uid="{38C62FCD-07DF-4F53-8DCE-6D4965E7B8EB}"/>
    <cellStyle name="Normal 2 7 2 7 2 2 2" xfId="25386" xr:uid="{37FF83A5-4ADD-4CD1-B5CA-5D9F226B2754}"/>
    <cellStyle name="Normal 2 7 2 7 2 2 2 2" xfId="50878" xr:uid="{CF8EEE8B-76D0-405A-915E-81F8FCC83BCF}"/>
    <cellStyle name="Normal 2 7 2 7 2 2 3" xfId="38287" xr:uid="{0E214507-5B55-4363-9946-AFD0344AC8F8}"/>
    <cellStyle name="Normal 2 7 2 7 2 3" xfId="19108" xr:uid="{9CDDD255-230B-45A4-AC74-92173D1761E1}"/>
    <cellStyle name="Normal 2 7 2 7 2 3 2" xfId="44600" xr:uid="{A2705726-535A-4EBD-83F2-20516BDC191D}"/>
    <cellStyle name="Normal 2 7 2 7 2 4" xfId="32009" xr:uid="{BF74CD2C-706D-4618-821B-ECE57326E10A}"/>
    <cellStyle name="Normal 2 7 2 7 3" xfId="9565" xr:uid="{1EDABBF4-DB54-4C0C-96B7-24C47EEA1FD5}"/>
    <cellStyle name="Normal 2 7 2 7 3 2" xfId="22247" xr:uid="{AB5B350D-CE0B-4219-8829-EB35A0FA102F}"/>
    <cellStyle name="Normal 2 7 2 7 3 2 2" xfId="47739" xr:uid="{93D97113-5930-4608-94B2-B34DD4FD6366}"/>
    <cellStyle name="Normal 2 7 2 7 3 3" xfId="35148" xr:uid="{86631B57-7C6E-441B-AF72-8728E9CDC119}"/>
    <cellStyle name="Normal 2 7 2 7 4" xfId="15969" xr:uid="{156E1D77-7B4D-4337-ABC3-1A0B04E47038}"/>
    <cellStyle name="Normal 2 7 2 7 4 2" xfId="41461" xr:uid="{F16044CD-7A24-4232-B830-F2F60ACD68FD}"/>
    <cellStyle name="Normal 2 7 2 7 5" xfId="28870" xr:uid="{94E5C29A-E7FE-4E92-B6F5-72A3782FA636}"/>
    <cellStyle name="Normal 2 7 2 8" xfId="3796" xr:uid="{A4AA5633-397C-45A4-B133-F4B8A8F06396}"/>
    <cellStyle name="Normal 2 7 2 8 2" xfId="10089" xr:uid="{4AAE29D5-F941-4AD3-A71E-5A0DDEA99985}"/>
    <cellStyle name="Normal 2 7 2 8 2 2" xfId="22771" xr:uid="{8213B663-B533-462E-8A17-B5635CA2BDF2}"/>
    <cellStyle name="Normal 2 7 2 8 2 2 2" xfId="48263" xr:uid="{D7252EF3-73F7-444A-ACC7-EC61C3D38561}"/>
    <cellStyle name="Normal 2 7 2 8 2 3" xfId="35672" xr:uid="{A7CD0D41-AD5D-4A3B-8CE4-FE912D50A5EE}"/>
    <cellStyle name="Normal 2 7 2 8 3" xfId="16493" xr:uid="{572DFAE0-DFCE-47EF-9B76-87962CEAC9D7}"/>
    <cellStyle name="Normal 2 7 2 8 3 2" xfId="41985" xr:uid="{FDC4E6E4-060A-4D55-A78F-C1A77158B767}"/>
    <cellStyle name="Normal 2 7 2 8 4" xfId="29394" xr:uid="{3B1C892A-70DE-492F-B5D7-1494EF1763E7}"/>
    <cellStyle name="Normal 2 7 2 9" xfId="6950" xr:uid="{27836A2A-5F40-4E80-91C1-7E0BC23A3A0C}"/>
    <cellStyle name="Normal 2 7 2 9 2" xfId="19632" xr:uid="{0DEAC3F4-84ED-4882-8255-7EF1E1BF49E9}"/>
    <cellStyle name="Normal 2 7 2 9 2 2" xfId="45124" xr:uid="{DB2C96C8-AC6F-4646-9309-723EB63B3103}"/>
    <cellStyle name="Normal 2 7 2 9 3" xfId="32533" xr:uid="{C587C870-E636-4207-9AC0-0C26508187DD}"/>
    <cellStyle name="Normal 2 7 3" xfId="527" xr:uid="{4A8FC26E-5B6D-44C3-B532-374A75AE179F}"/>
    <cellStyle name="Normal 2 7 3 10" xfId="13254" xr:uid="{C7A641D0-6D7D-4FE6-B8BD-598DB8177E73}"/>
    <cellStyle name="Normal 2 7 3 10 2" xfId="38746" xr:uid="{60DDCF51-5A0F-4CB6-8E2B-48C878A3B4A3}"/>
    <cellStyle name="Normal 2 7 3 11" xfId="26155" xr:uid="{42284EF9-CC72-4EC6-8676-760F2E4BDBC5}"/>
    <cellStyle name="Normal 2 7 3 2" xfId="1064" xr:uid="{238BB47D-6C3A-4186-BA6D-95AF3B877827}"/>
    <cellStyle name="Normal 2 7 3 2 2" xfId="2371" xr:uid="{B1CD968A-53AD-4AB1-8075-5696C083C553}"/>
    <cellStyle name="Normal 2 7 3 2 2 2" xfId="5525" xr:uid="{133CBAC2-98C1-458F-BC46-A388C1501F69}"/>
    <cellStyle name="Normal 2 7 3 2 2 2 2" xfId="11818" xr:uid="{7410EC44-F6EC-4300-A65F-48391E209B49}"/>
    <cellStyle name="Normal 2 7 3 2 2 2 2 2" xfId="24500" xr:uid="{2E060F6A-C0FC-4338-9AC7-25EE45222986}"/>
    <cellStyle name="Normal 2 7 3 2 2 2 2 2 2" xfId="49992" xr:uid="{7018A7C3-B6A1-4F41-9791-E02AAAF47D93}"/>
    <cellStyle name="Normal 2 7 3 2 2 2 2 3" xfId="37401" xr:uid="{D3DD68E4-7C61-4CF0-BF75-0A9425815857}"/>
    <cellStyle name="Normal 2 7 3 2 2 2 3" xfId="18222" xr:uid="{15013B56-2E1B-4CC4-AAEB-63380E425C0D}"/>
    <cellStyle name="Normal 2 7 3 2 2 2 3 2" xfId="43714" xr:uid="{D532F210-2D3D-4F42-A09E-2540D21F8453}"/>
    <cellStyle name="Normal 2 7 3 2 2 2 4" xfId="31123" xr:uid="{11708D3C-B31F-4A93-96D7-50305DE8C578}"/>
    <cellStyle name="Normal 2 7 3 2 2 3" xfId="8679" xr:uid="{344D5A81-D1E6-4803-AE9E-6FEB331C8BFA}"/>
    <cellStyle name="Normal 2 7 3 2 2 3 2" xfId="21361" xr:uid="{FF3E948D-42EE-4F2D-AA05-8ACBD980EEAD}"/>
    <cellStyle name="Normal 2 7 3 2 2 3 2 2" xfId="46853" xr:uid="{CAFD810C-118E-4AFA-89BE-534A83BAEC15}"/>
    <cellStyle name="Normal 2 7 3 2 2 3 3" xfId="34262" xr:uid="{906C8D6C-0D4E-4E4E-BD4F-A960E77627A7}"/>
    <cellStyle name="Normal 2 7 3 2 2 4" xfId="15083" xr:uid="{978474DD-8677-420E-BF80-16E0C6ECD1C6}"/>
    <cellStyle name="Normal 2 7 3 2 2 4 2" xfId="40575" xr:uid="{F505E5E8-1FA0-4AC5-B003-CF74C3B6A144}"/>
    <cellStyle name="Normal 2 7 3 2 2 5" xfId="27984" xr:uid="{4C81D3F1-5430-476E-88BD-1A95901E744F}"/>
    <cellStyle name="Normal 2 7 3 2 3" xfId="1588" xr:uid="{CA03811D-03F6-459C-B1B6-72D24B014BCE}"/>
    <cellStyle name="Normal 2 7 3 2 3 2" xfId="4742" xr:uid="{6518CED4-05C3-440C-A5F8-FE0F74944E25}"/>
    <cellStyle name="Normal 2 7 3 2 3 2 2" xfId="11035" xr:uid="{D61F710D-888F-4016-B75F-5EE00BD5A7DD}"/>
    <cellStyle name="Normal 2 7 3 2 3 2 2 2" xfId="23717" xr:uid="{2D72F2E6-403F-4463-9C30-DFBCF685F96C}"/>
    <cellStyle name="Normal 2 7 3 2 3 2 2 2 2" xfId="49209" xr:uid="{27609784-143E-4D59-8391-2B0C0CDC8FD5}"/>
    <cellStyle name="Normal 2 7 3 2 3 2 2 3" xfId="36618" xr:uid="{475B0A66-B3A2-451A-BAA3-F0FCB93EB37E}"/>
    <cellStyle name="Normal 2 7 3 2 3 2 3" xfId="17439" xr:uid="{FBB532B5-2447-47A2-9331-A403624D986A}"/>
    <cellStyle name="Normal 2 7 3 2 3 2 3 2" xfId="42931" xr:uid="{4C013025-1EC1-4628-8925-595A752825F8}"/>
    <cellStyle name="Normal 2 7 3 2 3 2 4" xfId="30340" xr:uid="{ACC6EDF0-F1C2-4A42-BD09-9596754685AC}"/>
    <cellStyle name="Normal 2 7 3 2 3 3" xfId="7896" xr:uid="{8EB5AC33-13CF-4BBF-BBCF-E1546A8793B0}"/>
    <cellStyle name="Normal 2 7 3 2 3 3 2" xfId="20578" xr:uid="{DA5FD462-79D3-460B-8F87-A3203517541E}"/>
    <cellStyle name="Normal 2 7 3 2 3 3 2 2" xfId="46070" xr:uid="{1E941342-00E6-4696-AA40-57154E6E482D}"/>
    <cellStyle name="Normal 2 7 3 2 3 3 3" xfId="33479" xr:uid="{002EE173-AC6A-49B6-ADD0-B40C515D4CFF}"/>
    <cellStyle name="Normal 2 7 3 2 3 4" xfId="14300" xr:uid="{E3D0B81B-F084-4890-99AA-45AD35C51D5D}"/>
    <cellStyle name="Normal 2 7 3 2 3 4 2" xfId="39792" xr:uid="{DA0CE339-2DCD-4044-B945-7BAB18E7C2EF}"/>
    <cellStyle name="Normal 2 7 3 2 3 5" xfId="27201" xr:uid="{846C375F-D92E-4AEE-AC7B-530DA0BE24A3}"/>
    <cellStyle name="Normal 2 7 3 2 4" xfId="2895" xr:uid="{4EB07FC3-75EE-4BDD-BAC2-73A5C2CCB843}"/>
    <cellStyle name="Normal 2 7 3 2 4 2" xfId="6049" xr:uid="{011F614F-EE94-4C01-88E7-C89A5FB91442}"/>
    <cellStyle name="Normal 2 7 3 2 4 2 2" xfId="12342" xr:uid="{FC416D52-FD4B-4F95-A016-851E09960709}"/>
    <cellStyle name="Normal 2 7 3 2 4 2 2 2" xfId="25024" xr:uid="{3797105C-41EF-4F8F-8C52-21A7F71498A0}"/>
    <cellStyle name="Normal 2 7 3 2 4 2 2 2 2" xfId="50516" xr:uid="{263022AD-3AF2-43E1-8E21-BE7B7ED97209}"/>
    <cellStyle name="Normal 2 7 3 2 4 2 2 3" xfId="37925" xr:uid="{BD1BDCBE-D9AB-4837-88E1-F20BDAF5CFBE}"/>
    <cellStyle name="Normal 2 7 3 2 4 2 3" xfId="18746" xr:uid="{B7AA1CB9-1EFA-4DEA-A1BB-D011086F1004}"/>
    <cellStyle name="Normal 2 7 3 2 4 2 3 2" xfId="44238" xr:uid="{1A97964B-12DB-46E8-8BD6-589DFFFDA5D4}"/>
    <cellStyle name="Normal 2 7 3 2 4 2 4" xfId="31647" xr:uid="{9BB9E656-A0CA-46A8-9D1A-98A04D95C705}"/>
    <cellStyle name="Normal 2 7 3 2 4 3" xfId="9203" xr:uid="{61888236-075D-4D44-B671-322382165989}"/>
    <cellStyle name="Normal 2 7 3 2 4 3 2" xfId="21885" xr:uid="{774014F7-E18A-46B9-B1AB-568059285577}"/>
    <cellStyle name="Normal 2 7 3 2 4 3 2 2" xfId="47377" xr:uid="{E2CBB5FA-2DA1-42B2-89F2-FC17855FCD74}"/>
    <cellStyle name="Normal 2 7 3 2 4 3 3" xfId="34786" xr:uid="{AAE85D50-311B-45D5-8C3D-A3B2A4D44535}"/>
    <cellStyle name="Normal 2 7 3 2 4 4" xfId="15607" xr:uid="{795BAE2B-CBB3-4EFF-B080-8BAB4665A285}"/>
    <cellStyle name="Normal 2 7 3 2 4 4 2" xfId="41099" xr:uid="{5378F94D-41E8-4FCB-A888-5450E09092BE}"/>
    <cellStyle name="Normal 2 7 3 2 4 5" xfId="28508" xr:uid="{73CF7CAF-571F-4C10-B56C-A1FD6E81D7A8}"/>
    <cellStyle name="Normal 2 7 3 2 5" xfId="3418" xr:uid="{D76B219F-C8B2-4B47-B0BF-A6B17CABBADC}"/>
    <cellStyle name="Normal 2 7 3 2 5 2" xfId="6572" xr:uid="{373CC351-241B-41B7-9BD6-1B9FF52880C8}"/>
    <cellStyle name="Normal 2 7 3 2 5 2 2" xfId="12865" xr:uid="{E759F7F3-CCE4-44B5-AD63-CE0F6A8AC704}"/>
    <cellStyle name="Normal 2 7 3 2 5 2 2 2" xfId="25547" xr:uid="{433D53B1-AABA-4DC2-B05F-1232AA7B7E18}"/>
    <cellStyle name="Normal 2 7 3 2 5 2 2 2 2" xfId="51039" xr:uid="{1CA3BF13-A9E4-49F9-9021-F3D28E9B0416}"/>
    <cellStyle name="Normal 2 7 3 2 5 2 2 3" xfId="38448" xr:uid="{B22491F9-790A-4C91-9F99-DF07BF089A93}"/>
    <cellStyle name="Normal 2 7 3 2 5 2 3" xfId="19269" xr:uid="{56EF66E9-9CC5-441D-886D-7F27878A3F85}"/>
    <cellStyle name="Normal 2 7 3 2 5 2 3 2" xfId="44761" xr:uid="{F8018A69-BFC4-4524-90BF-9586C4F95DEB}"/>
    <cellStyle name="Normal 2 7 3 2 5 2 4" xfId="32170" xr:uid="{F21F9F09-C077-4DAA-8D92-1B76338DE032}"/>
    <cellStyle name="Normal 2 7 3 2 5 3" xfId="9726" xr:uid="{9AE06837-0AB1-4C43-BC50-CABED15DC85C}"/>
    <cellStyle name="Normal 2 7 3 2 5 3 2" xfId="22408" xr:uid="{8EBF20E9-91BC-4C07-B5CA-BA120F399F03}"/>
    <cellStyle name="Normal 2 7 3 2 5 3 2 2" xfId="47900" xr:uid="{49F5BF6B-82D6-4ED4-84C6-47F92AD45829}"/>
    <cellStyle name="Normal 2 7 3 2 5 3 3" xfId="35309" xr:uid="{2AE57C83-B853-4C01-A92F-6EE0BEEC5AC5}"/>
    <cellStyle name="Normal 2 7 3 2 5 4" xfId="16130" xr:uid="{9C1EAE99-724C-4FD2-9692-B0F98A1CA6A0}"/>
    <cellStyle name="Normal 2 7 3 2 5 4 2" xfId="41622" xr:uid="{33E8F5DE-2F05-480E-93A7-92739B65D2F3}"/>
    <cellStyle name="Normal 2 7 3 2 5 5" xfId="29031" xr:uid="{0AB6E58A-30E4-41F8-9A76-053A0CEDC3D6}"/>
    <cellStyle name="Normal 2 7 3 2 6" xfId="4218" xr:uid="{4142147E-FF7C-422B-B7C3-27F2046A205F}"/>
    <cellStyle name="Normal 2 7 3 2 6 2" xfId="10511" xr:uid="{C6132154-D164-4078-96BE-5B04C1EA6CD0}"/>
    <cellStyle name="Normal 2 7 3 2 6 2 2" xfId="23193" xr:uid="{1F778940-0010-4ACB-96ED-55AA7FCE302F}"/>
    <cellStyle name="Normal 2 7 3 2 6 2 2 2" xfId="48685" xr:uid="{82DCB192-0B2B-433D-86DB-025F9CA54987}"/>
    <cellStyle name="Normal 2 7 3 2 6 2 3" xfId="36094" xr:uid="{7568570B-F748-473D-9A47-B9845B61AD39}"/>
    <cellStyle name="Normal 2 7 3 2 6 3" xfId="16915" xr:uid="{1B48C37F-9628-42C2-88B9-8774F0EC6424}"/>
    <cellStyle name="Normal 2 7 3 2 6 3 2" xfId="42407" xr:uid="{8DAD788F-CBB5-4952-8327-FB509D061C48}"/>
    <cellStyle name="Normal 2 7 3 2 6 4" xfId="29816" xr:uid="{4AD1CA00-2829-4043-BAFB-86AF3D779AE2}"/>
    <cellStyle name="Normal 2 7 3 2 7" xfId="7372" xr:uid="{D1FAF1F4-0949-4115-BC73-19E72DC6B8B7}"/>
    <cellStyle name="Normal 2 7 3 2 7 2" xfId="20054" xr:uid="{E62A97AB-E38F-4EE8-96BC-D8FBB5204CE6}"/>
    <cellStyle name="Normal 2 7 3 2 7 2 2" xfId="45546" xr:uid="{5A167C51-9F1A-4F90-A573-40C4A36D976D}"/>
    <cellStyle name="Normal 2 7 3 2 7 3" xfId="32955" xr:uid="{179E22E8-2A22-4F37-8E68-BBAC6D092126}"/>
    <cellStyle name="Normal 2 7 3 2 8" xfId="13776" xr:uid="{407D165F-B51B-48AC-AE44-F1C466E7A02D}"/>
    <cellStyle name="Normal 2 7 3 2 8 2" xfId="39268" xr:uid="{3BE58CCB-BC8B-4B47-87DA-E72D98B29445}"/>
    <cellStyle name="Normal 2 7 3 2 9" xfId="26677" xr:uid="{9870BF51-3441-46BF-B278-F1448BDC6A9E}"/>
    <cellStyle name="Normal 2 7 3 3" xfId="804" xr:uid="{30A75B42-6A35-48A3-BC4B-80FBBB65D5C9}"/>
    <cellStyle name="Normal 2 7 3 3 2" xfId="2111" xr:uid="{0D25B2D5-FA92-4A85-81B4-FE18817322E5}"/>
    <cellStyle name="Normal 2 7 3 3 2 2" xfId="5265" xr:uid="{4BA2001C-DF65-42B7-86D0-FEAFBE84E71C}"/>
    <cellStyle name="Normal 2 7 3 3 2 2 2" xfId="11558" xr:uid="{3B50966C-53FB-4293-8B10-4841126DC04F}"/>
    <cellStyle name="Normal 2 7 3 3 2 2 2 2" xfId="24240" xr:uid="{7C07827C-C864-412A-A338-E417C73536AF}"/>
    <cellStyle name="Normal 2 7 3 3 2 2 2 2 2" xfId="49732" xr:uid="{88FD1F2B-A1AF-47A2-82E3-758CAF00EE01}"/>
    <cellStyle name="Normal 2 7 3 3 2 2 2 3" xfId="37141" xr:uid="{468C67AB-1B19-448B-99C1-8BEC02ABA1DC}"/>
    <cellStyle name="Normal 2 7 3 3 2 2 3" xfId="17962" xr:uid="{60B327A2-2E88-455E-AE64-A1724ACB5419}"/>
    <cellStyle name="Normal 2 7 3 3 2 2 3 2" xfId="43454" xr:uid="{09C90710-E5C2-4BD2-8A7B-2E77390F458B}"/>
    <cellStyle name="Normal 2 7 3 3 2 2 4" xfId="30863" xr:uid="{055E16F8-75FB-46EC-9E75-081E678963D0}"/>
    <cellStyle name="Normal 2 7 3 3 2 3" xfId="8419" xr:uid="{8CA37B17-93C8-41C1-BB98-A0E0BA3DA0F9}"/>
    <cellStyle name="Normal 2 7 3 3 2 3 2" xfId="21101" xr:uid="{1727BEE3-E2A3-406D-9306-FB4ECF02768D}"/>
    <cellStyle name="Normal 2 7 3 3 2 3 2 2" xfId="46593" xr:uid="{76C16AF1-7810-4219-8D5D-CC79220876A8}"/>
    <cellStyle name="Normal 2 7 3 3 2 3 3" xfId="34002" xr:uid="{8B2C3337-913F-498C-B74B-4FA75FC7FD94}"/>
    <cellStyle name="Normal 2 7 3 3 2 4" xfId="14823" xr:uid="{C98917A6-2D0C-4324-9BCB-BDDA62F39767}"/>
    <cellStyle name="Normal 2 7 3 3 2 4 2" xfId="40315" xr:uid="{DB9308A7-23C9-4324-958E-268626F6ECEF}"/>
    <cellStyle name="Normal 2 7 3 3 2 5" xfId="27724" xr:uid="{B04E9A90-51BD-4AB7-9B2A-C53BCF6D0431}"/>
    <cellStyle name="Normal 2 7 3 3 3" xfId="3958" xr:uid="{8342D6F8-B3FE-4529-8781-B600EC92EF45}"/>
    <cellStyle name="Normal 2 7 3 3 3 2" xfId="10251" xr:uid="{5A8440F9-BA5A-4276-936B-839920296FCD}"/>
    <cellStyle name="Normal 2 7 3 3 3 2 2" xfId="22933" xr:uid="{275DB402-3CD5-4CCC-83FA-8E19F1DBB566}"/>
    <cellStyle name="Normal 2 7 3 3 3 2 2 2" xfId="48425" xr:uid="{6CFF9C82-BCD9-4867-90D0-2773F9F3BCD3}"/>
    <cellStyle name="Normal 2 7 3 3 3 2 3" xfId="35834" xr:uid="{F27AB808-47BC-4301-AAE4-3E2CD27381F8}"/>
    <cellStyle name="Normal 2 7 3 3 3 3" xfId="16655" xr:uid="{949094F0-CF40-4C76-9BD4-07ADE653A72D}"/>
    <cellStyle name="Normal 2 7 3 3 3 3 2" xfId="42147" xr:uid="{B954B72D-239C-4DED-9DD3-EB94911082CC}"/>
    <cellStyle name="Normal 2 7 3 3 3 4" xfId="29556" xr:uid="{EB8A2D83-E979-4F35-BB1B-FDB771D455BA}"/>
    <cellStyle name="Normal 2 7 3 3 4" xfId="7112" xr:uid="{B2C4D63D-D117-4E09-9CB9-B400E1C60B85}"/>
    <cellStyle name="Normal 2 7 3 3 4 2" xfId="19794" xr:uid="{FA357996-21DE-4C62-8DC5-F67D1F8C02C6}"/>
    <cellStyle name="Normal 2 7 3 3 4 2 2" xfId="45286" xr:uid="{A6533867-C128-413D-BD6D-B9055E4A4309}"/>
    <cellStyle name="Normal 2 7 3 3 4 3" xfId="32695" xr:uid="{ADAB64AC-44D0-4F4A-BF82-3D0E37594567}"/>
    <cellStyle name="Normal 2 7 3 3 5" xfId="13516" xr:uid="{A66BF67F-E7F9-4F96-ABB2-B8E866E8F90D}"/>
    <cellStyle name="Normal 2 7 3 3 5 2" xfId="39008" xr:uid="{F99C5519-B013-412A-803B-B30A63C7D65F}"/>
    <cellStyle name="Normal 2 7 3 3 6" xfId="26417" xr:uid="{125761F4-0E9A-469C-B63C-C2B0D52148FE}"/>
    <cellStyle name="Normal 2 7 3 4" xfId="1849" xr:uid="{CFAE704E-5C30-4847-9980-B8612D58D97C}"/>
    <cellStyle name="Normal 2 7 3 4 2" xfId="5003" xr:uid="{7DCC33B7-9E33-4D03-AFEB-0EBC1EA615D3}"/>
    <cellStyle name="Normal 2 7 3 4 2 2" xfId="11296" xr:uid="{3334C742-170A-43EA-91AF-19793A483642}"/>
    <cellStyle name="Normal 2 7 3 4 2 2 2" xfId="23978" xr:uid="{EAF4056B-DC95-41B7-889D-AC997B2C2DB6}"/>
    <cellStyle name="Normal 2 7 3 4 2 2 2 2" xfId="49470" xr:uid="{55580182-1995-47F5-BAA9-90238B0EAC41}"/>
    <cellStyle name="Normal 2 7 3 4 2 2 3" xfId="36879" xr:uid="{24940DB3-1A80-42F6-B5AB-A89EBBDA6530}"/>
    <cellStyle name="Normal 2 7 3 4 2 3" xfId="17700" xr:uid="{F1E9C343-8228-40C5-AC65-DCD30C433C92}"/>
    <cellStyle name="Normal 2 7 3 4 2 3 2" xfId="43192" xr:uid="{18781366-43D8-40BB-9E8C-7ED5D72903BD}"/>
    <cellStyle name="Normal 2 7 3 4 2 4" xfId="30601" xr:uid="{38DEC22C-3745-405B-AD81-2AFA0035B55F}"/>
    <cellStyle name="Normal 2 7 3 4 3" xfId="8157" xr:uid="{68E0E3EB-AEF7-48E3-B37F-5D1F3C70606E}"/>
    <cellStyle name="Normal 2 7 3 4 3 2" xfId="20839" xr:uid="{521535CC-CE1A-4703-85BF-32CA181D554D}"/>
    <cellStyle name="Normal 2 7 3 4 3 2 2" xfId="46331" xr:uid="{C8668D7C-D8C9-40B0-9230-41CD017D97A1}"/>
    <cellStyle name="Normal 2 7 3 4 3 3" xfId="33740" xr:uid="{96C17BE7-824F-449C-97CB-EF9F10287B54}"/>
    <cellStyle name="Normal 2 7 3 4 4" xfId="14561" xr:uid="{7DEE7968-5495-422A-9076-DD600E5DB594}"/>
    <cellStyle name="Normal 2 7 3 4 4 2" xfId="40053" xr:uid="{8031C140-B26C-40DF-B2E1-0249D45F1E08}"/>
    <cellStyle name="Normal 2 7 3 4 5" xfId="27462" xr:uid="{067E64B6-AA76-445A-BF58-550848C17BE9}"/>
    <cellStyle name="Normal 2 7 3 5" xfId="1327" xr:uid="{1993C005-F3F0-44DD-97A0-301515F3E93B}"/>
    <cellStyle name="Normal 2 7 3 5 2" xfId="4481" xr:uid="{AC690F47-C839-46BF-877B-73FC03EBC538}"/>
    <cellStyle name="Normal 2 7 3 5 2 2" xfId="10774" xr:uid="{58F2A81C-0D22-448D-B1F2-5CCAEAD5246C}"/>
    <cellStyle name="Normal 2 7 3 5 2 2 2" xfId="23456" xr:uid="{0A0E970E-88A9-4455-A81A-569F0FAEE091}"/>
    <cellStyle name="Normal 2 7 3 5 2 2 2 2" xfId="48948" xr:uid="{99DAC7EA-F5E9-4F6E-BE16-A09E6603A213}"/>
    <cellStyle name="Normal 2 7 3 5 2 2 3" xfId="36357" xr:uid="{50EA93E1-0C8F-439E-8F43-4C7CA5C6B44F}"/>
    <cellStyle name="Normal 2 7 3 5 2 3" xfId="17178" xr:uid="{652AC761-A527-498B-A8C9-4DFC7609C2E1}"/>
    <cellStyle name="Normal 2 7 3 5 2 3 2" xfId="42670" xr:uid="{AA11E893-245D-4CD7-8DDE-377552F975A8}"/>
    <cellStyle name="Normal 2 7 3 5 2 4" xfId="30079" xr:uid="{D62FBE1E-0EEC-4776-AF60-D19A2FD0488E}"/>
    <cellStyle name="Normal 2 7 3 5 3" xfId="7635" xr:uid="{B14690AD-0057-4829-A9A9-B45F49830699}"/>
    <cellStyle name="Normal 2 7 3 5 3 2" xfId="20317" xr:uid="{3B850B03-C17D-4E39-B906-42B085933E8C}"/>
    <cellStyle name="Normal 2 7 3 5 3 2 2" xfId="45809" xr:uid="{ECA29439-A4A4-4379-AF0E-9A9ECF9E1EF3}"/>
    <cellStyle name="Normal 2 7 3 5 3 3" xfId="33218" xr:uid="{5A90C639-6391-4761-83B3-4A6726654771}"/>
    <cellStyle name="Normal 2 7 3 5 4" xfId="14039" xr:uid="{3E259DF7-2883-4950-BDDA-49E5C8B03699}"/>
    <cellStyle name="Normal 2 7 3 5 4 2" xfId="39531" xr:uid="{5DC1987F-A5DB-4D40-B81F-E0DAD5003F4F}"/>
    <cellStyle name="Normal 2 7 3 5 5" xfId="26940" xr:uid="{A39C1E9C-F96D-421E-BD34-12FBD49E1848}"/>
    <cellStyle name="Normal 2 7 3 6" xfId="2634" xr:uid="{4A1E7DA5-2F5C-46A5-A54E-7FD8B19C1F11}"/>
    <cellStyle name="Normal 2 7 3 6 2" xfId="5788" xr:uid="{0EBE41E6-5DF7-4C23-808A-3192D230F1C5}"/>
    <cellStyle name="Normal 2 7 3 6 2 2" xfId="12081" xr:uid="{65B0B55C-54B4-4EC1-9DD4-8EEC105889EC}"/>
    <cellStyle name="Normal 2 7 3 6 2 2 2" xfId="24763" xr:uid="{91CB36A7-2C17-425D-BD04-CC92AC95245B}"/>
    <cellStyle name="Normal 2 7 3 6 2 2 2 2" xfId="50255" xr:uid="{B0D5CA40-324E-4197-BEDF-7606D6C08632}"/>
    <cellStyle name="Normal 2 7 3 6 2 2 3" xfId="37664" xr:uid="{F6AB2242-81B8-4134-BB22-B4F63C86E9C0}"/>
    <cellStyle name="Normal 2 7 3 6 2 3" xfId="18485" xr:uid="{0A2E545A-CEEF-4D5E-98CD-C8EBCC8B28BC}"/>
    <cellStyle name="Normal 2 7 3 6 2 3 2" xfId="43977" xr:uid="{8F252DA2-36A9-4E42-A887-64AB700F9B22}"/>
    <cellStyle name="Normal 2 7 3 6 2 4" xfId="31386" xr:uid="{255EBB09-A879-4224-8C47-B28BFA054372}"/>
    <cellStyle name="Normal 2 7 3 6 3" xfId="8942" xr:uid="{055FE968-233A-4FCD-8F92-BE0AD4AF79F9}"/>
    <cellStyle name="Normal 2 7 3 6 3 2" xfId="21624" xr:uid="{FE8882E6-257F-482A-9306-42B27199A537}"/>
    <cellStyle name="Normal 2 7 3 6 3 2 2" xfId="47116" xr:uid="{A8013E73-2E2E-4441-B717-81558A10FDEC}"/>
    <cellStyle name="Normal 2 7 3 6 3 3" xfId="34525" xr:uid="{DA41F2C3-DEEB-463D-AD11-F36A92B3F944}"/>
    <cellStyle name="Normal 2 7 3 6 4" xfId="15346" xr:uid="{62840316-9C00-4869-965D-2FCF99056F7B}"/>
    <cellStyle name="Normal 2 7 3 6 4 2" xfId="40838" xr:uid="{0D4C9303-6282-4228-AB24-5F56BC823DDF}"/>
    <cellStyle name="Normal 2 7 3 6 5" xfId="28247" xr:uid="{FD193FC9-124B-4614-AE74-485E50D728E8}"/>
    <cellStyle name="Normal 2 7 3 7" xfId="3157" xr:uid="{520154C0-F839-46E7-9B44-F8092F22BA17}"/>
    <cellStyle name="Normal 2 7 3 7 2" xfId="6311" xr:uid="{89DE2599-D0D2-458F-8939-E2050D4261AE}"/>
    <cellStyle name="Normal 2 7 3 7 2 2" xfId="12604" xr:uid="{5DDC91E5-BA9C-4179-B414-1C5397C58263}"/>
    <cellStyle name="Normal 2 7 3 7 2 2 2" xfId="25286" xr:uid="{823DDE26-D444-4055-B69A-C53051C0D9FB}"/>
    <cellStyle name="Normal 2 7 3 7 2 2 2 2" xfId="50778" xr:uid="{E71FAFD7-CAC6-4226-B2C2-FF1EDC6DEB0F}"/>
    <cellStyle name="Normal 2 7 3 7 2 2 3" xfId="38187" xr:uid="{AAADDD0F-A5CD-4B0C-8840-4F6FDE4F8D29}"/>
    <cellStyle name="Normal 2 7 3 7 2 3" xfId="19008" xr:uid="{959F6FB5-18F6-4E9E-A7D3-6DE8D76581AD}"/>
    <cellStyle name="Normal 2 7 3 7 2 3 2" xfId="44500" xr:uid="{0C2790DF-9B58-4667-B667-31DC165801D8}"/>
    <cellStyle name="Normal 2 7 3 7 2 4" xfId="31909" xr:uid="{86BC12FB-C90F-49B8-A8C8-FB8C305D6DA8}"/>
    <cellStyle name="Normal 2 7 3 7 3" xfId="9465" xr:uid="{B1AC7AC7-9EFC-4C01-8AF1-6801A2FB6E99}"/>
    <cellStyle name="Normal 2 7 3 7 3 2" xfId="22147" xr:uid="{225D0792-67E0-494C-9FA8-4AE317DD31D6}"/>
    <cellStyle name="Normal 2 7 3 7 3 2 2" xfId="47639" xr:uid="{09138C5B-4F7F-47DA-9EE9-196EADFBA53E}"/>
    <cellStyle name="Normal 2 7 3 7 3 3" xfId="35048" xr:uid="{FBDA1CC7-F571-4892-B3BD-4AC6890DD408}"/>
    <cellStyle name="Normal 2 7 3 7 4" xfId="15869" xr:uid="{48B0BD68-B9CF-461B-86FB-2B5E9CA700A3}"/>
    <cellStyle name="Normal 2 7 3 7 4 2" xfId="41361" xr:uid="{A77D99D7-7318-406C-90BF-FFCF144E99FA}"/>
    <cellStyle name="Normal 2 7 3 7 5" xfId="28770" xr:uid="{195D54D7-28C8-4D51-8BE5-D9E91E62CB08}"/>
    <cellStyle name="Normal 2 7 3 8" xfId="3696" xr:uid="{887022B9-9558-4F43-A636-C3F2F8A9511A}"/>
    <cellStyle name="Normal 2 7 3 8 2" xfId="9989" xr:uid="{298C4EE7-2776-4914-BE24-2362CB6E04DA}"/>
    <cellStyle name="Normal 2 7 3 8 2 2" xfId="22671" xr:uid="{23B28326-D5D7-41F4-BEB2-15369C44F793}"/>
    <cellStyle name="Normal 2 7 3 8 2 2 2" xfId="48163" xr:uid="{5E8B4268-49F9-4C63-B07B-BD0C68F61986}"/>
    <cellStyle name="Normal 2 7 3 8 2 3" xfId="35572" xr:uid="{870EF2B8-6B75-475C-811C-FBDEBAFC1AEF}"/>
    <cellStyle name="Normal 2 7 3 8 3" xfId="16393" xr:uid="{AFD30325-08A5-4541-82C2-FE4D5C42D310}"/>
    <cellStyle name="Normal 2 7 3 8 3 2" xfId="41885" xr:uid="{273C7A44-F8E9-45C2-ACE7-AFCF6B965F24}"/>
    <cellStyle name="Normal 2 7 3 8 4" xfId="29294" xr:uid="{5979D77A-D8A0-424B-93A5-B2010A6437C9}"/>
    <cellStyle name="Normal 2 7 3 9" xfId="6850" xr:uid="{DD5B880C-57FF-4BBB-ADA2-DB28E532EAF2}"/>
    <cellStyle name="Normal 2 7 3 9 2" xfId="19532" xr:uid="{D3C7B56B-511B-4DE0-B121-4529C3E96578}"/>
    <cellStyle name="Normal 2 7 3 9 2 2" xfId="45024" xr:uid="{7B7B75DA-90B1-45FF-9A58-98C44ED9F8EE}"/>
    <cellStyle name="Normal 2 7 3 9 3" xfId="32433" xr:uid="{897C644E-D908-42F3-9586-D9DE72F95558}"/>
    <cellStyle name="Normal 2 7 4" xfId="1005" xr:uid="{AB894C04-84BE-4238-9C78-DC1DEF6416D4}"/>
    <cellStyle name="Normal 2 7 4 2" xfId="2312" xr:uid="{03F15275-79A2-4E26-B822-AE2E9CDC76F1}"/>
    <cellStyle name="Normal 2 7 4 2 2" xfId="5466" xr:uid="{5464BE7D-DE3D-49FA-A68B-ACE5CDF618D2}"/>
    <cellStyle name="Normal 2 7 4 2 2 2" xfId="11759" xr:uid="{8DDCAAB1-A542-4458-B7A6-9450F9770E80}"/>
    <cellStyle name="Normal 2 7 4 2 2 2 2" xfId="24441" xr:uid="{F1D5CBC2-BEDF-44A5-B3E2-856C559F1F7B}"/>
    <cellStyle name="Normal 2 7 4 2 2 2 2 2" xfId="49933" xr:uid="{F82CA6F5-9BB6-47A8-BA15-D2C1C70A1925}"/>
    <cellStyle name="Normal 2 7 4 2 2 2 3" xfId="37342" xr:uid="{9FBB0830-3EF2-4828-A027-EC5171967AB3}"/>
    <cellStyle name="Normal 2 7 4 2 2 3" xfId="18163" xr:uid="{D8E09F10-3562-45C4-852D-0F0CBAB80294}"/>
    <cellStyle name="Normal 2 7 4 2 2 3 2" xfId="43655" xr:uid="{CFFE3204-D3B4-4F82-A119-1975B89CF356}"/>
    <cellStyle name="Normal 2 7 4 2 2 4" xfId="31064" xr:uid="{926D81E5-A2BD-43CC-AFBB-11F805CCFC81}"/>
    <cellStyle name="Normal 2 7 4 2 3" xfId="8620" xr:uid="{2CF44A13-D1BB-4BBA-85FE-C80458EE2534}"/>
    <cellStyle name="Normal 2 7 4 2 3 2" xfId="21302" xr:uid="{54C4A54A-55E1-4A54-81EE-206065E9570D}"/>
    <cellStyle name="Normal 2 7 4 2 3 2 2" xfId="46794" xr:uid="{4D26D62E-3BFF-4ABF-AECA-C35364CFDC05}"/>
    <cellStyle name="Normal 2 7 4 2 3 3" xfId="34203" xr:uid="{3C1D5675-B8CD-4301-B218-00B62431E5EF}"/>
    <cellStyle name="Normal 2 7 4 2 4" xfId="15024" xr:uid="{58761C4A-F1CF-4A1C-A4C5-C65EC7280E3C}"/>
    <cellStyle name="Normal 2 7 4 2 4 2" xfId="40516" xr:uid="{3E21AE8D-83F5-4000-B905-07BF055E4840}"/>
    <cellStyle name="Normal 2 7 4 2 5" xfId="27925" xr:uid="{C32F6E04-D3DB-410E-BDDC-081138954288}"/>
    <cellStyle name="Normal 2 7 4 3" xfId="1529" xr:uid="{63366FD6-DD81-4A87-AB5A-C9EC0C686D49}"/>
    <cellStyle name="Normal 2 7 4 3 2" xfId="4683" xr:uid="{FB0B4A07-F2F7-47A3-B08E-C27F0DBBDCA0}"/>
    <cellStyle name="Normal 2 7 4 3 2 2" xfId="10976" xr:uid="{83DE48AF-7BF4-4864-BEC0-8038FF0779E7}"/>
    <cellStyle name="Normal 2 7 4 3 2 2 2" xfId="23658" xr:uid="{AE3845D1-88C3-40CC-9F34-96DE40BB9B8A}"/>
    <cellStyle name="Normal 2 7 4 3 2 2 2 2" xfId="49150" xr:uid="{5070A933-04BA-4662-A7F7-8CFBE4AA008E}"/>
    <cellStyle name="Normal 2 7 4 3 2 2 3" xfId="36559" xr:uid="{573EC679-F99D-4B5E-8207-AF8A1E1D6A1D}"/>
    <cellStyle name="Normal 2 7 4 3 2 3" xfId="17380" xr:uid="{26FBE6E0-B3E3-4329-830B-05FA706871AE}"/>
    <cellStyle name="Normal 2 7 4 3 2 3 2" xfId="42872" xr:uid="{F7DF1E1B-4DB7-4C0B-9581-431F8FBFFE37}"/>
    <cellStyle name="Normal 2 7 4 3 2 4" xfId="30281" xr:uid="{3D16EEDC-19E2-4AB6-B0AE-5345F84DEC8D}"/>
    <cellStyle name="Normal 2 7 4 3 3" xfId="7837" xr:uid="{ECB48D99-5E0F-4E6A-9364-2BB704749152}"/>
    <cellStyle name="Normal 2 7 4 3 3 2" xfId="20519" xr:uid="{FC536279-2110-4389-8B2B-1F9E69725EC5}"/>
    <cellStyle name="Normal 2 7 4 3 3 2 2" xfId="46011" xr:uid="{92B2FFE6-58EA-47C1-81E1-0D552CD7BAB7}"/>
    <cellStyle name="Normal 2 7 4 3 3 3" xfId="33420" xr:uid="{A38FE396-A0E5-4718-864C-00D1C9924E3B}"/>
    <cellStyle name="Normal 2 7 4 3 4" xfId="14241" xr:uid="{B2D344E0-8D31-4963-BC39-AC07280791B6}"/>
    <cellStyle name="Normal 2 7 4 3 4 2" xfId="39733" xr:uid="{4426D518-5DAA-430D-970F-2B91DA0C5DEF}"/>
    <cellStyle name="Normal 2 7 4 3 5" xfId="27142" xr:uid="{C7856FD7-4B38-42E7-A01E-6C37D1461CCC}"/>
    <cellStyle name="Normal 2 7 4 4" xfId="2836" xr:uid="{C38FCB12-F27E-475C-9B37-6088A3D0D8A0}"/>
    <cellStyle name="Normal 2 7 4 4 2" xfId="5990" xr:uid="{76BD31E8-E16B-412A-B05A-B30DDF772EE7}"/>
    <cellStyle name="Normal 2 7 4 4 2 2" xfId="12283" xr:uid="{8AE643EB-58E2-4AD6-9D2F-4C29EA346283}"/>
    <cellStyle name="Normal 2 7 4 4 2 2 2" xfId="24965" xr:uid="{5FF308B2-D23C-45B3-9BCF-B08D50AEAD30}"/>
    <cellStyle name="Normal 2 7 4 4 2 2 2 2" xfId="50457" xr:uid="{EE217B21-AA1D-4E3D-A6A4-88BC4A3D6C2B}"/>
    <cellStyle name="Normal 2 7 4 4 2 2 3" xfId="37866" xr:uid="{CB040F0A-9B4A-4976-901A-6536F9482461}"/>
    <cellStyle name="Normal 2 7 4 4 2 3" xfId="18687" xr:uid="{81594460-BDD1-4FF6-913D-C6AA6DC4EA28}"/>
    <cellStyle name="Normal 2 7 4 4 2 3 2" xfId="44179" xr:uid="{9D265DB2-79BD-4431-A08C-664D1F07030E}"/>
    <cellStyle name="Normal 2 7 4 4 2 4" xfId="31588" xr:uid="{507B0F8F-20E2-432F-8D2B-C80ABB58637D}"/>
    <cellStyle name="Normal 2 7 4 4 3" xfId="9144" xr:uid="{DB3A213D-82A4-4767-8A83-66D0B73B40D8}"/>
    <cellStyle name="Normal 2 7 4 4 3 2" xfId="21826" xr:uid="{A5CC7D7E-005A-4DE7-98D8-F42B0D77FD20}"/>
    <cellStyle name="Normal 2 7 4 4 3 2 2" xfId="47318" xr:uid="{A1A8B94B-7656-48AB-BB8A-DDD692B7B503}"/>
    <cellStyle name="Normal 2 7 4 4 3 3" xfId="34727" xr:uid="{E0E4BAD6-2220-4661-BBCE-97744827C46D}"/>
    <cellStyle name="Normal 2 7 4 4 4" xfId="15548" xr:uid="{159D83EC-C7AD-48ED-9E24-879CC16D728E}"/>
    <cellStyle name="Normal 2 7 4 4 4 2" xfId="41040" xr:uid="{ACCFB2D8-65ED-43C1-9ED9-369ED332F3DD}"/>
    <cellStyle name="Normal 2 7 4 4 5" xfId="28449" xr:uid="{1974A3CE-4118-4468-8A11-684CA14388C4}"/>
    <cellStyle name="Normal 2 7 4 5" xfId="3359" xr:uid="{2AC9DAD6-5DB9-4302-A131-741CE47D0CDA}"/>
    <cellStyle name="Normal 2 7 4 5 2" xfId="6513" xr:uid="{02928396-02B8-4A24-BE44-51626DFF6415}"/>
    <cellStyle name="Normal 2 7 4 5 2 2" xfId="12806" xr:uid="{F7D88D6C-EDAC-466B-93CD-4036CE8C98F7}"/>
    <cellStyle name="Normal 2 7 4 5 2 2 2" xfId="25488" xr:uid="{E29C6194-2DA6-4BF7-878A-89C7C4CC182C}"/>
    <cellStyle name="Normal 2 7 4 5 2 2 2 2" xfId="50980" xr:uid="{25D0658E-A27A-45C9-B71B-9CA4AAC4945D}"/>
    <cellStyle name="Normal 2 7 4 5 2 2 3" xfId="38389" xr:uid="{12371B39-CD48-4A63-8F41-8E233042267F}"/>
    <cellStyle name="Normal 2 7 4 5 2 3" xfId="19210" xr:uid="{4467CE32-16E4-430E-8672-90DCB241EB28}"/>
    <cellStyle name="Normal 2 7 4 5 2 3 2" xfId="44702" xr:uid="{44CA4697-298C-411D-999D-B3BA013C2429}"/>
    <cellStyle name="Normal 2 7 4 5 2 4" xfId="32111" xr:uid="{1084B200-1F28-4769-B8A2-BF8690F22A4D}"/>
    <cellStyle name="Normal 2 7 4 5 3" xfId="9667" xr:uid="{39A1E21F-8ACF-4189-87A0-DD568CB7F8BD}"/>
    <cellStyle name="Normal 2 7 4 5 3 2" xfId="22349" xr:uid="{03C367F5-075C-40B6-A667-222E06FA91E7}"/>
    <cellStyle name="Normal 2 7 4 5 3 2 2" xfId="47841" xr:uid="{4A55712F-CA33-4D29-BB7D-4489584EB763}"/>
    <cellStyle name="Normal 2 7 4 5 3 3" xfId="35250" xr:uid="{0854EB5C-DB12-409C-890E-EFB265F0E616}"/>
    <cellStyle name="Normal 2 7 4 5 4" xfId="16071" xr:uid="{AB624F6C-91D6-4AF0-9461-AA8BE1AB78EC}"/>
    <cellStyle name="Normal 2 7 4 5 4 2" xfId="41563" xr:uid="{03DD8C29-4BD4-491E-8EA5-73E569C5B154}"/>
    <cellStyle name="Normal 2 7 4 5 5" xfId="28972" xr:uid="{619E9211-F143-47DC-967F-58EADD3B3CF4}"/>
    <cellStyle name="Normal 2 7 4 6" xfId="4159" xr:uid="{CB42E9A6-82F4-4154-8730-18AC7C6C64F8}"/>
    <cellStyle name="Normal 2 7 4 6 2" xfId="10452" xr:uid="{DAEC5C72-7D4D-496F-A97F-340FCFB062E4}"/>
    <cellStyle name="Normal 2 7 4 6 2 2" xfId="23134" xr:uid="{A7AD3F56-78AE-477D-828B-9D01297B1F78}"/>
    <cellStyle name="Normal 2 7 4 6 2 2 2" xfId="48626" xr:uid="{7C0ADCEA-78D4-4FC4-BCB2-20EF6F790A05}"/>
    <cellStyle name="Normal 2 7 4 6 2 3" xfId="36035" xr:uid="{CC33E177-D0C0-45CD-A594-451C71BAF4CB}"/>
    <cellStyle name="Normal 2 7 4 6 3" xfId="16856" xr:uid="{DB4BDC9D-52F6-4C4C-91BB-5D2D4ADD1C66}"/>
    <cellStyle name="Normal 2 7 4 6 3 2" xfId="42348" xr:uid="{3768A391-4DFD-4F72-AAB1-163FA539DD19}"/>
    <cellStyle name="Normal 2 7 4 6 4" xfId="29757" xr:uid="{6D7A774A-7CE7-4311-B653-D4E29FB28A41}"/>
    <cellStyle name="Normal 2 7 4 7" xfId="7313" xr:uid="{A0B6D002-8998-4689-9CD1-A3E80C8B3110}"/>
    <cellStyle name="Normal 2 7 4 7 2" xfId="19995" xr:uid="{3AA36A03-1FB2-4AF2-876C-B2F2A638629D}"/>
    <cellStyle name="Normal 2 7 4 7 2 2" xfId="45487" xr:uid="{ED6393CD-5DA6-4CEC-A5D7-1EAEC00B0416}"/>
    <cellStyle name="Normal 2 7 4 7 3" xfId="32896" xr:uid="{BED99B6A-654B-4C97-820D-4C166D3646C1}"/>
    <cellStyle name="Normal 2 7 4 8" xfId="13717" xr:uid="{8A578B99-5C46-4F65-8E2B-837562A01B99}"/>
    <cellStyle name="Normal 2 7 4 8 2" xfId="39209" xr:uid="{9F0906D9-43EE-45C5-8CA6-7C04217891F6}"/>
    <cellStyle name="Normal 2 7 4 9" xfId="26618" xr:uid="{DC6D0EDD-5B2B-45A9-BAB4-FB77E2639817}"/>
    <cellStyle name="Normal 2 7 5" xfId="745" xr:uid="{C78036E4-D0FF-4CD3-B434-C5EAD5CF6AEE}"/>
    <cellStyle name="Normal 2 7 5 2" xfId="2052" xr:uid="{9E418593-F79B-409A-AB91-B17A6156839E}"/>
    <cellStyle name="Normal 2 7 5 2 2" xfId="5206" xr:uid="{BB9E7A1D-996B-46FD-981E-83BD64BF4B5E}"/>
    <cellStyle name="Normal 2 7 5 2 2 2" xfId="11499" xr:uid="{D0B0F931-D607-40B5-A261-BE05291BB066}"/>
    <cellStyle name="Normal 2 7 5 2 2 2 2" xfId="24181" xr:uid="{4DA0A52D-C8B5-4740-B181-08D96A63FB81}"/>
    <cellStyle name="Normal 2 7 5 2 2 2 2 2" xfId="49673" xr:uid="{9402F524-233D-4090-BE02-E8482FE378E5}"/>
    <cellStyle name="Normal 2 7 5 2 2 2 3" xfId="37082" xr:uid="{0FC392F8-A7B6-4910-AA90-D3F6F26A4588}"/>
    <cellStyle name="Normal 2 7 5 2 2 3" xfId="17903" xr:uid="{BB17B83F-97F3-4633-B92F-800DDEF208A7}"/>
    <cellStyle name="Normal 2 7 5 2 2 3 2" xfId="43395" xr:uid="{9FE0BD05-72A5-48FC-8744-7A226DA7E8ED}"/>
    <cellStyle name="Normal 2 7 5 2 2 4" xfId="30804" xr:uid="{C8FCCE79-7085-4D3A-A475-218E0A012346}"/>
    <cellStyle name="Normal 2 7 5 2 3" xfId="8360" xr:uid="{4605A08D-8028-4A08-9070-8FDA831770BC}"/>
    <cellStyle name="Normal 2 7 5 2 3 2" xfId="21042" xr:uid="{5EC2DD4D-679F-4945-A5DF-7C20FE4E7E94}"/>
    <cellStyle name="Normal 2 7 5 2 3 2 2" xfId="46534" xr:uid="{C9CE7646-7C31-422F-A496-980EB27161B3}"/>
    <cellStyle name="Normal 2 7 5 2 3 3" xfId="33943" xr:uid="{2F4FB3C4-3025-4C62-90A6-7BE2299FB321}"/>
    <cellStyle name="Normal 2 7 5 2 4" xfId="14764" xr:uid="{B503892B-66BB-4540-A461-324D665143FE}"/>
    <cellStyle name="Normal 2 7 5 2 4 2" xfId="40256" xr:uid="{8B43E14C-7A58-497B-A105-36F575F46AA0}"/>
    <cellStyle name="Normal 2 7 5 2 5" xfId="27665" xr:uid="{019BFAF8-F667-449E-B2A4-164894B6A8EF}"/>
    <cellStyle name="Normal 2 7 5 3" xfId="3899" xr:uid="{84EB0485-2C45-4206-BA5C-2BF4B8455765}"/>
    <cellStyle name="Normal 2 7 5 3 2" xfId="10192" xr:uid="{8418B396-63DC-483B-A9B5-A57854225803}"/>
    <cellStyle name="Normal 2 7 5 3 2 2" xfId="22874" xr:uid="{CC4306B3-D2C3-4E9E-BA7A-29E2F2CD09CC}"/>
    <cellStyle name="Normal 2 7 5 3 2 2 2" xfId="48366" xr:uid="{3B50AE46-3759-4E54-A57D-34A14CC2DB82}"/>
    <cellStyle name="Normal 2 7 5 3 2 3" xfId="35775" xr:uid="{2B9B4C96-8F19-4D85-B6CF-239F1DD2D24F}"/>
    <cellStyle name="Normal 2 7 5 3 3" xfId="16596" xr:uid="{C7769D62-F5FC-4FD3-8DE9-C558FBBBB3C1}"/>
    <cellStyle name="Normal 2 7 5 3 3 2" xfId="42088" xr:uid="{B8FA36FF-FB6D-41C5-A6AC-3FC421AFBA48}"/>
    <cellStyle name="Normal 2 7 5 3 4" xfId="29497" xr:uid="{6264EE73-DA27-417B-BDA0-D5630AF5CABC}"/>
    <cellStyle name="Normal 2 7 5 4" xfId="7053" xr:uid="{48193C3E-E78A-45E9-A719-22C234FAD375}"/>
    <cellStyle name="Normal 2 7 5 4 2" xfId="19735" xr:uid="{AE4E43EE-8B1B-4637-A56A-0755BB865EF7}"/>
    <cellStyle name="Normal 2 7 5 4 2 2" xfId="45227" xr:uid="{70FE19CC-F50E-430A-8BA5-08D50AF7B344}"/>
    <cellStyle name="Normal 2 7 5 4 3" xfId="32636" xr:uid="{D6A54F86-09C3-48DD-81EB-0DE267B9D81A}"/>
    <cellStyle name="Normal 2 7 5 5" xfId="13457" xr:uid="{DD694BD9-686C-4A89-8E15-C6F7785DA500}"/>
    <cellStyle name="Normal 2 7 5 5 2" xfId="38949" xr:uid="{DEEDFEE9-E19C-411A-B0D2-774F1E32857C}"/>
    <cellStyle name="Normal 2 7 5 6" xfId="26358" xr:uid="{7BCC8991-B7F1-41ED-8D29-81163D875B7E}"/>
    <cellStyle name="Normal 2 7 6" xfId="1790" xr:uid="{F183F9E9-C4B3-44B6-9E52-C57E6BB6CE89}"/>
    <cellStyle name="Normal 2 7 6 2" xfId="4944" xr:uid="{E7512D42-4041-4049-A1CB-00B438AEB801}"/>
    <cellStyle name="Normal 2 7 6 2 2" xfId="11237" xr:uid="{40AA8C07-C5E4-4F28-AF05-162B4D8DC59B}"/>
    <cellStyle name="Normal 2 7 6 2 2 2" xfId="23919" xr:uid="{48109837-8FC6-450C-B7BE-DF6890B6B07F}"/>
    <cellStyle name="Normal 2 7 6 2 2 2 2" xfId="49411" xr:uid="{84DA80AA-CE28-480D-9579-89515C820531}"/>
    <cellStyle name="Normal 2 7 6 2 2 3" xfId="36820" xr:uid="{EBE3F6A1-1EAF-4A55-9260-8A2BCD5DA876}"/>
    <cellStyle name="Normal 2 7 6 2 3" xfId="17641" xr:uid="{99688642-5B2F-44FA-886D-799D2C67899B}"/>
    <cellStyle name="Normal 2 7 6 2 3 2" xfId="43133" xr:uid="{FCA00575-1C62-4029-947E-F16132C52D8C}"/>
    <cellStyle name="Normal 2 7 6 2 4" xfId="30542" xr:uid="{EB992440-AFCC-4FEA-AA9F-016A51E1BA2A}"/>
    <cellStyle name="Normal 2 7 6 3" xfId="8098" xr:uid="{6749923C-58AD-4316-A2D2-D0AB1B11F529}"/>
    <cellStyle name="Normal 2 7 6 3 2" xfId="20780" xr:uid="{79A5D745-34AA-432D-A35C-95DD6C03CFFF}"/>
    <cellStyle name="Normal 2 7 6 3 2 2" xfId="46272" xr:uid="{6ADDF286-EB26-4ACB-8393-6A8734E4AEB1}"/>
    <cellStyle name="Normal 2 7 6 3 3" xfId="33681" xr:uid="{2823A9E8-5CB5-49E0-95B4-5BE10467F400}"/>
    <cellStyle name="Normal 2 7 6 4" xfId="14502" xr:uid="{6BC62F75-DE3C-4077-B0F3-F2718F99C45F}"/>
    <cellStyle name="Normal 2 7 6 4 2" xfId="39994" xr:uid="{B1DAAA30-8BD8-450E-B377-805A636AFD7C}"/>
    <cellStyle name="Normal 2 7 6 5" xfId="27403" xr:uid="{7280FFA0-C6A4-44B0-AD19-44108F50DE3E}"/>
    <cellStyle name="Normal 2 7 7" xfId="1268" xr:uid="{069BD3C6-C9AE-4C6A-872C-991B6B607CDC}"/>
    <cellStyle name="Normal 2 7 7 2" xfId="4422" xr:uid="{C9A688F5-DD0E-471F-AB73-6A877CDDF008}"/>
    <cellStyle name="Normal 2 7 7 2 2" xfId="10715" xr:uid="{988B1024-EEB5-41E9-97C8-45EF028B8317}"/>
    <cellStyle name="Normal 2 7 7 2 2 2" xfId="23397" xr:uid="{8000B1DD-4272-4131-B86D-01D1A1F590C0}"/>
    <cellStyle name="Normal 2 7 7 2 2 2 2" xfId="48889" xr:uid="{AFEA8522-ADDC-4644-AB16-B8A7A7D4C7EF}"/>
    <cellStyle name="Normal 2 7 7 2 2 3" xfId="36298" xr:uid="{E7E49992-4C96-48D8-831B-C57F17AA2B03}"/>
    <cellStyle name="Normal 2 7 7 2 3" xfId="17119" xr:uid="{9BEE3848-6680-4D2C-99AF-74D53DA948F0}"/>
    <cellStyle name="Normal 2 7 7 2 3 2" xfId="42611" xr:uid="{D9048E1C-38BC-404F-958B-4A664D2EDB5F}"/>
    <cellStyle name="Normal 2 7 7 2 4" xfId="30020" xr:uid="{02190022-52AA-4B00-ABE7-D458CE7DF6DF}"/>
    <cellStyle name="Normal 2 7 7 3" xfId="7576" xr:uid="{D83F836F-E06D-45CB-BD30-783D0E90663E}"/>
    <cellStyle name="Normal 2 7 7 3 2" xfId="20258" xr:uid="{E1FCCD73-418C-4DA0-813D-90D99411ADD8}"/>
    <cellStyle name="Normal 2 7 7 3 2 2" xfId="45750" xr:uid="{42C713D9-6F2C-4B4B-89FF-E06D4F887FF5}"/>
    <cellStyle name="Normal 2 7 7 3 3" xfId="33159" xr:uid="{A0F1F4B3-2E2F-4071-9F49-6C04C0331E4E}"/>
    <cellStyle name="Normal 2 7 7 4" xfId="13980" xr:uid="{3F06BB28-C6C8-437B-87F8-BD3E6947C78A}"/>
    <cellStyle name="Normal 2 7 7 4 2" xfId="39472" xr:uid="{9DE67E42-0E8D-4DA4-94A9-C78E2A00309E}"/>
    <cellStyle name="Normal 2 7 7 5" xfId="26881" xr:uid="{9D2D0387-30DD-44D4-9233-7EFA22AD30BF}"/>
    <cellStyle name="Normal 2 7 8" xfId="2575" xr:uid="{8326DBE1-DCEA-430D-A78F-9E5B526B41C3}"/>
    <cellStyle name="Normal 2 7 8 2" xfId="5729" xr:uid="{6645443B-A022-49CE-A831-05F871E64CE0}"/>
    <cellStyle name="Normal 2 7 8 2 2" xfId="12022" xr:uid="{D0A0C451-C7E7-4F06-8EFC-D2D11F06B8D6}"/>
    <cellStyle name="Normal 2 7 8 2 2 2" xfId="24704" xr:uid="{AA389211-F565-4C24-B848-AE30163F549F}"/>
    <cellStyle name="Normal 2 7 8 2 2 2 2" xfId="50196" xr:uid="{A45FA02C-500F-4581-B136-D01347E225EE}"/>
    <cellStyle name="Normal 2 7 8 2 2 3" xfId="37605" xr:uid="{5CABA288-DCF8-46F7-AA61-5D5528EFE6E9}"/>
    <cellStyle name="Normal 2 7 8 2 3" xfId="18426" xr:uid="{C869F568-3A22-46EA-9627-88D7C62E29B2}"/>
    <cellStyle name="Normal 2 7 8 2 3 2" xfId="43918" xr:uid="{29010DF1-1883-4E97-8751-175465F5471A}"/>
    <cellStyle name="Normal 2 7 8 2 4" xfId="31327" xr:uid="{A3C3B146-33EE-49C6-BB9B-F6D83C47583C}"/>
    <cellStyle name="Normal 2 7 8 3" xfId="8883" xr:uid="{0C3CC27E-7201-4CD7-8D9F-9F77273C370F}"/>
    <cellStyle name="Normal 2 7 8 3 2" xfId="21565" xr:uid="{7647D5F6-A187-4828-A4D3-6A8D71C69EBD}"/>
    <cellStyle name="Normal 2 7 8 3 2 2" xfId="47057" xr:uid="{1FA1E1B6-AF79-4E90-B50B-7BE4BC4F8C11}"/>
    <cellStyle name="Normal 2 7 8 3 3" xfId="34466" xr:uid="{DDB7CBA0-C4A3-4186-91BB-5C04FE9A91EB}"/>
    <cellStyle name="Normal 2 7 8 4" xfId="15287" xr:uid="{52DF683A-AFAE-4DDC-AB0C-D6A271557C3E}"/>
    <cellStyle name="Normal 2 7 8 4 2" xfId="40779" xr:uid="{94E1402A-A362-4BB5-B597-01A44022CE97}"/>
    <cellStyle name="Normal 2 7 8 5" xfId="28188" xr:uid="{59D483A6-F88A-4C03-AF37-3BBC1008ADB3}"/>
    <cellStyle name="Normal 2 7 9" xfId="3098" xr:uid="{EAC2B14F-FB80-494A-8F72-BA7F36BF78DF}"/>
    <cellStyle name="Normal 2 7 9 2" xfId="6252" xr:uid="{856CB307-AECB-46F0-822C-CF9C730A23B8}"/>
    <cellStyle name="Normal 2 7 9 2 2" xfId="12545" xr:uid="{EB71406B-D5D0-44B8-89F4-26F639600B1C}"/>
    <cellStyle name="Normal 2 7 9 2 2 2" xfId="25227" xr:uid="{AB5B58EB-2BD0-49D5-BBD8-D260E8064913}"/>
    <cellStyle name="Normal 2 7 9 2 2 2 2" xfId="50719" xr:uid="{D5B23A10-74B4-4DAA-97BC-E442A9FCE6F6}"/>
    <cellStyle name="Normal 2 7 9 2 2 3" xfId="38128" xr:uid="{29971789-3AF7-4982-AB20-920A1CEE3E2B}"/>
    <cellStyle name="Normal 2 7 9 2 3" xfId="18949" xr:uid="{31B96CFA-EDAC-4BA8-ADC7-1FEF952B0A25}"/>
    <cellStyle name="Normal 2 7 9 2 3 2" xfId="44441" xr:uid="{D3615466-3C14-4DEB-BD0F-B73D2E465B45}"/>
    <cellStyle name="Normal 2 7 9 2 4" xfId="31850" xr:uid="{B1D8CD63-C7C9-42E0-A371-744492B4E23A}"/>
    <cellStyle name="Normal 2 7 9 3" xfId="9406" xr:uid="{A4716975-D78E-4A25-A7C0-66CB368DF54A}"/>
    <cellStyle name="Normal 2 7 9 3 2" xfId="22088" xr:uid="{9BA1C030-91B7-4A0F-B6E5-2E9DBF9BA43D}"/>
    <cellStyle name="Normal 2 7 9 3 2 2" xfId="47580" xr:uid="{881A6E11-CCB2-49D3-BFAE-2130BF7FBBAE}"/>
    <cellStyle name="Normal 2 7 9 3 3" xfId="34989" xr:uid="{0BBADC37-5698-4461-90B4-F15D227AC1A9}"/>
    <cellStyle name="Normal 2 7 9 4" xfId="15810" xr:uid="{78BAAE04-453E-40F2-BE7D-5551A5852202}"/>
    <cellStyle name="Normal 2 7 9 4 2" xfId="41302" xr:uid="{8D1CDE4D-AF0E-45B0-AA05-D88D85983BF1}"/>
    <cellStyle name="Normal 2 7 9 5" xfId="28711" xr:uid="{B3144390-E3AC-48CE-81FF-9F38E7631D5D}"/>
    <cellStyle name="Normal 2 8" xfId="448" xr:uid="{F0F57449-FA26-48C8-8CFE-AC0AD766B8D1}"/>
    <cellStyle name="Normal 2 8 10" xfId="6771" xr:uid="{C833BA6C-6E0A-4E72-AB1F-32B29D5C76D6}"/>
    <cellStyle name="Normal 2 8 10 2" xfId="19453" xr:uid="{128C3C34-219F-4A9C-BD15-48AC49C5E84F}"/>
    <cellStyle name="Normal 2 8 10 2 2" xfId="44945" xr:uid="{7D3701BD-5FC1-4676-AF67-1B14757FFB4A}"/>
    <cellStyle name="Normal 2 8 10 3" xfId="32354" xr:uid="{2525F49B-6B50-41A2-BCF1-49DA61ED3B65}"/>
    <cellStyle name="Normal 2 8 11" xfId="13175" xr:uid="{2D7061CA-EE24-4E8A-8A5A-6602F95C2015}"/>
    <cellStyle name="Normal 2 8 11 2" xfId="38667" xr:uid="{585B4AAF-D876-4D7C-8B41-0606037D5FCA}"/>
    <cellStyle name="Normal 2 8 12" xfId="26076" xr:uid="{2421320C-DCD6-493F-806E-304936034A18}"/>
    <cellStyle name="Normal 2 8 2" xfId="607" xr:uid="{75AA77C3-11EC-4810-961E-C04CCADEDD73}"/>
    <cellStyle name="Normal 2 8 2 10" xfId="13334" xr:uid="{EE8AE127-0A15-48D7-B4B1-6578191A6ADD}"/>
    <cellStyle name="Normal 2 8 2 10 2" xfId="38826" xr:uid="{7C21CA78-CFE3-4B90-ABE9-F0C477694149}"/>
    <cellStyle name="Normal 2 8 2 11" xfId="26235" xr:uid="{A9B5E38B-0313-4E4A-A010-F113E94DE517}"/>
    <cellStyle name="Normal 2 8 2 2" xfId="1144" xr:uid="{6195D97B-02D1-49D6-A1B1-E427ACB0C639}"/>
    <cellStyle name="Normal 2 8 2 2 2" xfId="2451" xr:uid="{4F8375E0-49A8-4111-B9A6-6AB189283075}"/>
    <cellStyle name="Normal 2 8 2 2 2 2" xfId="5605" xr:uid="{059F31F3-F4EB-484C-B828-08864D78544C}"/>
    <cellStyle name="Normal 2 8 2 2 2 2 2" xfId="11898" xr:uid="{CE1CBE8D-B3D9-4B3A-94BE-667BD4F4EBA7}"/>
    <cellStyle name="Normal 2 8 2 2 2 2 2 2" xfId="24580" xr:uid="{021AF44A-BD56-4E85-BE0C-F055EC58A3A9}"/>
    <cellStyle name="Normal 2 8 2 2 2 2 2 2 2" xfId="50072" xr:uid="{FF7D4AB5-824B-4CE6-AFF9-132F2B8EDECD}"/>
    <cellStyle name="Normal 2 8 2 2 2 2 2 3" xfId="37481" xr:uid="{3BE84DD9-7733-4D91-9D91-2683AB03FBFE}"/>
    <cellStyle name="Normal 2 8 2 2 2 2 3" xfId="18302" xr:uid="{B2E22467-48A4-428E-8510-3D3A3D9CB163}"/>
    <cellStyle name="Normal 2 8 2 2 2 2 3 2" xfId="43794" xr:uid="{6345205D-4FAC-4B80-9E0B-A718F4B2E7BC}"/>
    <cellStyle name="Normal 2 8 2 2 2 2 4" xfId="31203" xr:uid="{944C39D5-593F-44E5-A9DF-CB0D3ABF47E3}"/>
    <cellStyle name="Normal 2 8 2 2 2 3" xfId="8759" xr:uid="{7EFB0AAA-113A-4BEC-9441-856BC336BF18}"/>
    <cellStyle name="Normal 2 8 2 2 2 3 2" xfId="21441" xr:uid="{A0F1E5F5-7ACA-46B3-91D3-4126F2B101DD}"/>
    <cellStyle name="Normal 2 8 2 2 2 3 2 2" xfId="46933" xr:uid="{0EED28CC-83DD-4251-BC05-3A90D53788C8}"/>
    <cellStyle name="Normal 2 8 2 2 2 3 3" xfId="34342" xr:uid="{720C6F00-EF64-43AA-B180-63C434A6F179}"/>
    <cellStyle name="Normal 2 8 2 2 2 4" xfId="15163" xr:uid="{978E1E7F-2034-44D9-970A-19585F231080}"/>
    <cellStyle name="Normal 2 8 2 2 2 4 2" xfId="40655" xr:uid="{4D22A3EA-D42B-4E39-B5E6-71B1F3943288}"/>
    <cellStyle name="Normal 2 8 2 2 2 5" xfId="28064" xr:uid="{5EF9B95C-4BD3-4554-9E36-A6F91FFBF08A}"/>
    <cellStyle name="Normal 2 8 2 2 3" xfId="1668" xr:uid="{74366579-71F9-4FFF-A1AB-6B7322D56CF6}"/>
    <cellStyle name="Normal 2 8 2 2 3 2" xfId="4822" xr:uid="{43BEA09D-18B3-4C89-9D27-38007097FAE6}"/>
    <cellStyle name="Normal 2 8 2 2 3 2 2" xfId="11115" xr:uid="{C56CB63F-3ABE-4F01-8173-10D58E99F274}"/>
    <cellStyle name="Normal 2 8 2 2 3 2 2 2" xfId="23797" xr:uid="{3450F8B1-BA18-43F3-B8AE-16839F0AC5E8}"/>
    <cellStyle name="Normal 2 8 2 2 3 2 2 2 2" xfId="49289" xr:uid="{EDDFB570-5824-4932-8B51-42043291C035}"/>
    <cellStyle name="Normal 2 8 2 2 3 2 2 3" xfId="36698" xr:uid="{1BAE1E53-7C5F-473A-A45F-9282CE0D7589}"/>
    <cellStyle name="Normal 2 8 2 2 3 2 3" xfId="17519" xr:uid="{C9E05480-B23E-4E93-B0E9-A49C12D43CD4}"/>
    <cellStyle name="Normal 2 8 2 2 3 2 3 2" xfId="43011" xr:uid="{CF858178-8826-4946-BBAD-791D8D812356}"/>
    <cellStyle name="Normal 2 8 2 2 3 2 4" xfId="30420" xr:uid="{2309663F-15FD-45B3-9E86-E3A55D13BBD4}"/>
    <cellStyle name="Normal 2 8 2 2 3 3" xfId="7976" xr:uid="{D2C9BAC8-A496-4F8E-9DB1-7DA406F4F325}"/>
    <cellStyle name="Normal 2 8 2 2 3 3 2" xfId="20658" xr:uid="{C8D88EB5-F689-4343-B3D5-ECC6FBCB7E0E}"/>
    <cellStyle name="Normal 2 8 2 2 3 3 2 2" xfId="46150" xr:uid="{5A271555-63F6-42EC-BE9F-8D8C6016506D}"/>
    <cellStyle name="Normal 2 8 2 2 3 3 3" xfId="33559" xr:uid="{6D761622-5EE8-4C76-A938-C48CEE3841F5}"/>
    <cellStyle name="Normal 2 8 2 2 3 4" xfId="14380" xr:uid="{F310682D-0D34-473D-8730-653062FD6EFE}"/>
    <cellStyle name="Normal 2 8 2 2 3 4 2" xfId="39872" xr:uid="{4EB78547-89F4-4B3E-B826-62DB5B2DC3C6}"/>
    <cellStyle name="Normal 2 8 2 2 3 5" xfId="27281" xr:uid="{36CA5EE6-E940-47E5-8414-7432D165455F}"/>
    <cellStyle name="Normal 2 8 2 2 4" xfId="2975" xr:uid="{AD1256FA-E5DC-4F83-916C-8D4AF5A0DAB7}"/>
    <cellStyle name="Normal 2 8 2 2 4 2" xfId="6129" xr:uid="{41145300-8C60-49B2-8DCE-D6C25DFAB8C8}"/>
    <cellStyle name="Normal 2 8 2 2 4 2 2" xfId="12422" xr:uid="{7C63B9D5-283C-49D7-B208-5EBF978F4966}"/>
    <cellStyle name="Normal 2 8 2 2 4 2 2 2" xfId="25104" xr:uid="{C6B515CC-111D-4B31-B831-85B52E52E3ED}"/>
    <cellStyle name="Normal 2 8 2 2 4 2 2 2 2" xfId="50596" xr:uid="{6CECD930-14B4-4F49-8F71-88057FE19122}"/>
    <cellStyle name="Normal 2 8 2 2 4 2 2 3" xfId="38005" xr:uid="{0FCD69C0-40CA-4098-A1BF-E8078B98F5BA}"/>
    <cellStyle name="Normal 2 8 2 2 4 2 3" xfId="18826" xr:uid="{02334EE3-6D16-44B7-93EA-EACDF792758D}"/>
    <cellStyle name="Normal 2 8 2 2 4 2 3 2" xfId="44318" xr:uid="{995D78BD-9866-4ADA-87E3-990CF5200641}"/>
    <cellStyle name="Normal 2 8 2 2 4 2 4" xfId="31727" xr:uid="{B28380DF-7C00-4CA9-98B6-B7D06F2492A5}"/>
    <cellStyle name="Normal 2 8 2 2 4 3" xfId="9283" xr:uid="{6C1F2DAA-38FE-4245-A92E-77A828B906C8}"/>
    <cellStyle name="Normal 2 8 2 2 4 3 2" xfId="21965" xr:uid="{A297AD96-5C9C-4D30-BDFA-67A44148CC01}"/>
    <cellStyle name="Normal 2 8 2 2 4 3 2 2" xfId="47457" xr:uid="{8F5C17D1-2E69-4ED8-AC96-1B70BD67ACAE}"/>
    <cellStyle name="Normal 2 8 2 2 4 3 3" xfId="34866" xr:uid="{C25A21B0-8EF8-489F-BC27-C77C67EC140D}"/>
    <cellStyle name="Normal 2 8 2 2 4 4" xfId="15687" xr:uid="{05BAD0BA-551B-47F0-A7D8-52682FB0456A}"/>
    <cellStyle name="Normal 2 8 2 2 4 4 2" xfId="41179" xr:uid="{F04793D6-9D35-40C8-B062-4EC2056B2D68}"/>
    <cellStyle name="Normal 2 8 2 2 4 5" xfId="28588" xr:uid="{17A521B9-6A2E-4BF4-B6B4-0FFD6098159A}"/>
    <cellStyle name="Normal 2 8 2 2 5" xfId="3498" xr:uid="{A44A5D78-AB03-46CB-8279-4EF67861D794}"/>
    <cellStyle name="Normal 2 8 2 2 5 2" xfId="6652" xr:uid="{5469F52F-3243-4D4C-AB5C-100E9034B0CA}"/>
    <cellStyle name="Normal 2 8 2 2 5 2 2" xfId="12945" xr:uid="{7A6ED5B9-4E1A-4664-BCF7-B7BF10A0EBC4}"/>
    <cellStyle name="Normal 2 8 2 2 5 2 2 2" xfId="25627" xr:uid="{D6DB83CD-47E5-4B1E-A932-6322C1AE2DEC}"/>
    <cellStyle name="Normal 2 8 2 2 5 2 2 2 2" xfId="51119" xr:uid="{64E48908-B76C-4338-B7EA-1480CC00B11B}"/>
    <cellStyle name="Normal 2 8 2 2 5 2 2 3" xfId="38528" xr:uid="{C541270C-26B0-4D37-A2A9-6CF7B7103A4B}"/>
    <cellStyle name="Normal 2 8 2 2 5 2 3" xfId="19349" xr:uid="{783C976F-E421-4EFF-86EA-2F042D536519}"/>
    <cellStyle name="Normal 2 8 2 2 5 2 3 2" xfId="44841" xr:uid="{661D4EDB-BBD7-44A1-82C7-4E04DEBF4EEF}"/>
    <cellStyle name="Normal 2 8 2 2 5 2 4" xfId="32250" xr:uid="{0E342ACB-BF5A-460B-81CC-A8DE762B6E03}"/>
    <cellStyle name="Normal 2 8 2 2 5 3" xfId="9806" xr:uid="{15209E60-EB8A-4AE6-8B44-472414024529}"/>
    <cellStyle name="Normal 2 8 2 2 5 3 2" xfId="22488" xr:uid="{A1A5D7EF-E567-4F3C-AAC4-C3AFD10AB155}"/>
    <cellStyle name="Normal 2 8 2 2 5 3 2 2" xfId="47980" xr:uid="{12304275-0F6D-48DC-A408-632BADA7E273}"/>
    <cellStyle name="Normal 2 8 2 2 5 3 3" xfId="35389" xr:uid="{7CF579D1-A073-4142-A5B8-DD9105A131CC}"/>
    <cellStyle name="Normal 2 8 2 2 5 4" xfId="16210" xr:uid="{077B04F7-FAD5-45C7-A9D8-DE2AA915378A}"/>
    <cellStyle name="Normal 2 8 2 2 5 4 2" xfId="41702" xr:uid="{F633D3B1-CA02-44E5-B965-3984D3A5D534}"/>
    <cellStyle name="Normal 2 8 2 2 5 5" xfId="29111" xr:uid="{3D7A360D-932D-4940-B14A-EA7C92132354}"/>
    <cellStyle name="Normal 2 8 2 2 6" xfId="4298" xr:uid="{0E3B24FD-612F-42DE-8A90-403E36326673}"/>
    <cellStyle name="Normal 2 8 2 2 6 2" xfId="10591" xr:uid="{47E6767A-D9B1-4BB6-93F7-4DFFB43D9E73}"/>
    <cellStyle name="Normal 2 8 2 2 6 2 2" xfId="23273" xr:uid="{373D5DDA-6723-466D-89C8-EC21D31F6E83}"/>
    <cellStyle name="Normal 2 8 2 2 6 2 2 2" xfId="48765" xr:uid="{4E27C214-A677-4E72-A4ED-579D6459AEF2}"/>
    <cellStyle name="Normal 2 8 2 2 6 2 3" xfId="36174" xr:uid="{2F11862F-E9EE-45C3-BE6A-C4B103CBBD08}"/>
    <cellStyle name="Normal 2 8 2 2 6 3" xfId="16995" xr:uid="{B85F67DF-5F83-4355-88BD-C8A98CA6E70A}"/>
    <cellStyle name="Normal 2 8 2 2 6 3 2" xfId="42487" xr:uid="{CA3428D0-CE1C-4BF5-AABA-4EA0A4BA8EC9}"/>
    <cellStyle name="Normal 2 8 2 2 6 4" xfId="29896" xr:uid="{630C4BAA-1549-4533-9E69-9A5903ABD905}"/>
    <cellStyle name="Normal 2 8 2 2 7" xfId="7452" xr:uid="{5AC8C4A7-1100-481B-B280-EB180725DAA2}"/>
    <cellStyle name="Normal 2 8 2 2 7 2" xfId="20134" xr:uid="{99130E58-9DC8-42F8-89DF-1BC2A621A4D1}"/>
    <cellStyle name="Normal 2 8 2 2 7 2 2" xfId="45626" xr:uid="{4E990B93-83F1-4273-A542-7FFF59EBE62B}"/>
    <cellStyle name="Normal 2 8 2 2 7 3" xfId="33035" xr:uid="{B3FF6B7D-4EAE-4169-A3F4-355884BBCFA2}"/>
    <cellStyle name="Normal 2 8 2 2 8" xfId="13856" xr:uid="{07C36E6B-26A3-4294-8940-1D3C69C2CD61}"/>
    <cellStyle name="Normal 2 8 2 2 8 2" xfId="39348" xr:uid="{13E37EF4-FB13-4EC3-81F1-020F8381EC06}"/>
    <cellStyle name="Normal 2 8 2 2 9" xfId="26757" xr:uid="{1AA8B5E9-8E4F-4924-B8AC-C8FE83B75992}"/>
    <cellStyle name="Normal 2 8 2 3" xfId="884" xr:uid="{9A6269A8-9EFC-4480-AA36-76FF96AAFEC9}"/>
    <cellStyle name="Normal 2 8 2 3 2" xfId="2191" xr:uid="{02DF2856-9737-4554-9D00-4F5CFCCF5002}"/>
    <cellStyle name="Normal 2 8 2 3 2 2" xfId="5345" xr:uid="{4C41D775-D7F4-46C5-BEDF-E5DD403E26E0}"/>
    <cellStyle name="Normal 2 8 2 3 2 2 2" xfId="11638" xr:uid="{61DA68E2-F5A8-4E33-A732-0FF3FAEAE9F9}"/>
    <cellStyle name="Normal 2 8 2 3 2 2 2 2" xfId="24320" xr:uid="{D0A22914-0B4F-45B3-AB14-EFB72067EB34}"/>
    <cellStyle name="Normal 2 8 2 3 2 2 2 2 2" xfId="49812" xr:uid="{6C4FF5BE-2E9C-49AD-A237-FBCED6FD9A08}"/>
    <cellStyle name="Normal 2 8 2 3 2 2 2 3" xfId="37221" xr:uid="{F1B7FDFE-3F31-4919-807F-2CCF645ADA19}"/>
    <cellStyle name="Normal 2 8 2 3 2 2 3" xfId="18042" xr:uid="{9440B6AD-5343-4C9F-B61E-DE3C55ECEB42}"/>
    <cellStyle name="Normal 2 8 2 3 2 2 3 2" xfId="43534" xr:uid="{2EAC79D0-6FEF-44A0-92B7-8A74D7C00ABB}"/>
    <cellStyle name="Normal 2 8 2 3 2 2 4" xfId="30943" xr:uid="{55F43A50-266E-4171-BB82-860DB5EB9E13}"/>
    <cellStyle name="Normal 2 8 2 3 2 3" xfId="8499" xr:uid="{E3F7D49F-71E8-43EA-A4EF-E8A5F0DFBD60}"/>
    <cellStyle name="Normal 2 8 2 3 2 3 2" xfId="21181" xr:uid="{EC6B530D-FF2C-4628-AB74-2B8E928BA7A0}"/>
    <cellStyle name="Normal 2 8 2 3 2 3 2 2" xfId="46673" xr:uid="{FED9E362-3954-47D5-8589-7FC2910BA08C}"/>
    <cellStyle name="Normal 2 8 2 3 2 3 3" xfId="34082" xr:uid="{26EDEAE4-F6C6-43F5-9E74-AC95F62FBDFA}"/>
    <cellStyle name="Normal 2 8 2 3 2 4" xfId="14903" xr:uid="{C859F964-703F-43D1-9955-CC22B8FBCA99}"/>
    <cellStyle name="Normal 2 8 2 3 2 4 2" xfId="40395" xr:uid="{C3AF59BB-3DD4-4FC6-B25E-E3E28052C40C}"/>
    <cellStyle name="Normal 2 8 2 3 2 5" xfId="27804" xr:uid="{9F5740AE-3B7B-4B00-8F3D-AD89A787A0B7}"/>
    <cellStyle name="Normal 2 8 2 3 3" xfId="4038" xr:uid="{487CA6C9-402F-4619-AC28-18D7FA45B1FA}"/>
    <cellStyle name="Normal 2 8 2 3 3 2" xfId="10331" xr:uid="{05346892-3F78-4BAC-9FF8-6D88152D97EF}"/>
    <cellStyle name="Normal 2 8 2 3 3 2 2" xfId="23013" xr:uid="{D7FEC37B-DA77-4D31-90C7-423362A2B3CE}"/>
    <cellStyle name="Normal 2 8 2 3 3 2 2 2" xfId="48505" xr:uid="{5FD58CA0-DB14-45ED-8BCF-5C8A63B3955D}"/>
    <cellStyle name="Normal 2 8 2 3 3 2 3" xfId="35914" xr:uid="{8E1EA2C8-6512-4467-BAB2-014B4722FA7B}"/>
    <cellStyle name="Normal 2 8 2 3 3 3" xfId="16735" xr:uid="{1B0D0FC1-BFFD-4DD8-8178-AF1D3838AFDD}"/>
    <cellStyle name="Normal 2 8 2 3 3 3 2" xfId="42227" xr:uid="{D12AEAAC-7548-418D-82CA-E334EAF85F63}"/>
    <cellStyle name="Normal 2 8 2 3 3 4" xfId="29636" xr:uid="{37A04906-5080-4764-B695-E95C0E25CC7A}"/>
    <cellStyle name="Normal 2 8 2 3 4" xfId="7192" xr:uid="{A4BE5859-7E90-4DA3-9724-90C88C5B3B00}"/>
    <cellStyle name="Normal 2 8 2 3 4 2" xfId="19874" xr:uid="{978E8251-AE01-4F39-8F87-CE7F3546E724}"/>
    <cellStyle name="Normal 2 8 2 3 4 2 2" xfId="45366" xr:uid="{BAF06968-73E3-4D12-8309-D4E44707E8DC}"/>
    <cellStyle name="Normal 2 8 2 3 4 3" xfId="32775" xr:uid="{FC046FE7-F1C6-47AA-8D01-659E284A1A13}"/>
    <cellStyle name="Normal 2 8 2 3 5" xfId="13596" xr:uid="{B7CA48E3-CA1D-44A2-828F-D3ECD0FD2712}"/>
    <cellStyle name="Normal 2 8 2 3 5 2" xfId="39088" xr:uid="{0D0CE5F0-449F-475C-8791-99AA69425054}"/>
    <cellStyle name="Normal 2 8 2 3 6" xfId="26497" xr:uid="{90C9807A-01C9-4883-9E8D-02DA755545A4}"/>
    <cellStyle name="Normal 2 8 2 4" xfId="1929" xr:uid="{885DF450-D1D8-4524-8862-EB716F0F5777}"/>
    <cellStyle name="Normal 2 8 2 4 2" xfId="5083" xr:uid="{9818E3C8-335A-4273-AE14-C8F142681B79}"/>
    <cellStyle name="Normal 2 8 2 4 2 2" xfId="11376" xr:uid="{A9C41977-31F4-41BF-A3EA-4F8A69AB8BEB}"/>
    <cellStyle name="Normal 2 8 2 4 2 2 2" xfId="24058" xr:uid="{78C3146F-A2C0-4176-9F67-F98A0ED4A480}"/>
    <cellStyle name="Normal 2 8 2 4 2 2 2 2" xfId="49550" xr:uid="{CCE4BA52-8316-4FCE-9821-19B97E7D9B9A}"/>
    <cellStyle name="Normal 2 8 2 4 2 2 3" xfId="36959" xr:uid="{AE5B1C1B-C37B-4FE9-8D71-071E54FEB39F}"/>
    <cellStyle name="Normal 2 8 2 4 2 3" xfId="17780" xr:uid="{592FCD99-1826-4B75-81A4-EB7662C22294}"/>
    <cellStyle name="Normal 2 8 2 4 2 3 2" xfId="43272" xr:uid="{9A5E503A-8A95-4A4A-B46A-86CA85275C57}"/>
    <cellStyle name="Normal 2 8 2 4 2 4" xfId="30681" xr:uid="{6E5772B8-941B-42DE-9380-E102515AAB3F}"/>
    <cellStyle name="Normal 2 8 2 4 3" xfId="8237" xr:uid="{3D4214A5-A74B-4A0E-9793-8EFDCD26CB1E}"/>
    <cellStyle name="Normal 2 8 2 4 3 2" xfId="20919" xr:uid="{A293F852-363C-427C-8023-441308202588}"/>
    <cellStyle name="Normal 2 8 2 4 3 2 2" xfId="46411" xr:uid="{DE8DFBAC-71BC-4FC9-8D34-63D4785BE2C6}"/>
    <cellStyle name="Normal 2 8 2 4 3 3" xfId="33820" xr:uid="{074414F8-59B1-47C7-A875-BFFF83F4BA1C}"/>
    <cellStyle name="Normal 2 8 2 4 4" xfId="14641" xr:uid="{A6A05761-B0EB-4882-8BBB-F67E4348129A}"/>
    <cellStyle name="Normal 2 8 2 4 4 2" xfId="40133" xr:uid="{8E8BCA6B-93B5-41B6-9ACB-132D5F1DEF4C}"/>
    <cellStyle name="Normal 2 8 2 4 5" xfId="27542" xr:uid="{53648687-ABF9-4ADD-862C-28A5B65E45E5}"/>
    <cellStyle name="Normal 2 8 2 5" xfId="1407" xr:uid="{9DAA3FF0-5F03-4591-97E2-B7D836E0801B}"/>
    <cellStyle name="Normal 2 8 2 5 2" xfId="4561" xr:uid="{2CF57293-611A-4443-878C-76AC6130908B}"/>
    <cellStyle name="Normal 2 8 2 5 2 2" xfId="10854" xr:uid="{7701AF7B-594D-448B-9C24-9D7AE1598F6A}"/>
    <cellStyle name="Normal 2 8 2 5 2 2 2" xfId="23536" xr:uid="{A23B91F8-1278-43D1-99F8-D17B186B56D3}"/>
    <cellStyle name="Normal 2 8 2 5 2 2 2 2" xfId="49028" xr:uid="{63D17E02-3EEA-475E-8895-2ED21A9096CA}"/>
    <cellStyle name="Normal 2 8 2 5 2 2 3" xfId="36437" xr:uid="{7E467F5C-DF7A-4D1D-8683-FF5102DEE772}"/>
    <cellStyle name="Normal 2 8 2 5 2 3" xfId="17258" xr:uid="{4BDF5672-410D-4A67-AF88-F82DD7166BB1}"/>
    <cellStyle name="Normal 2 8 2 5 2 3 2" xfId="42750" xr:uid="{983E4EBC-2E7A-4BDA-A3F4-7C5B6356B47C}"/>
    <cellStyle name="Normal 2 8 2 5 2 4" xfId="30159" xr:uid="{6F853D85-CAE4-44C0-AEF0-632F289E8920}"/>
    <cellStyle name="Normal 2 8 2 5 3" xfId="7715" xr:uid="{138D69DD-8673-4788-A1A1-F8424A2E5067}"/>
    <cellStyle name="Normal 2 8 2 5 3 2" xfId="20397" xr:uid="{DA8C1093-976F-44C4-B9AE-430DCC98DCB4}"/>
    <cellStyle name="Normal 2 8 2 5 3 2 2" xfId="45889" xr:uid="{985FDB6C-7C74-4783-A078-E81D7DDB4673}"/>
    <cellStyle name="Normal 2 8 2 5 3 3" xfId="33298" xr:uid="{611CE2BE-30D5-4944-9153-2CC34A8AFBE3}"/>
    <cellStyle name="Normal 2 8 2 5 4" xfId="14119" xr:uid="{75817607-5141-4DA4-8FCC-0B95E8DEB877}"/>
    <cellStyle name="Normal 2 8 2 5 4 2" xfId="39611" xr:uid="{8C27F1A0-EE41-497C-9B1A-067C53E0F5EA}"/>
    <cellStyle name="Normal 2 8 2 5 5" xfId="27020" xr:uid="{F4899EF0-2B97-4AE3-84F0-7C1E8E4200B9}"/>
    <cellStyle name="Normal 2 8 2 6" xfId="2714" xr:uid="{E8E2ABD8-83B6-4837-9A17-05F2C9ABDA6D}"/>
    <cellStyle name="Normal 2 8 2 6 2" xfId="5868" xr:uid="{BB1AD908-4802-42CA-ADA1-24CBB53543F6}"/>
    <cellStyle name="Normal 2 8 2 6 2 2" xfId="12161" xr:uid="{F8DB795A-E465-4289-BAE4-F5BDC5B891F4}"/>
    <cellStyle name="Normal 2 8 2 6 2 2 2" xfId="24843" xr:uid="{BA85826C-84BC-42E1-80C2-44192FA737C6}"/>
    <cellStyle name="Normal 2 8 2 6 2 2 2 2" xfId="50335" xr:uid="{38C98736-0E05-4BCD-AEB9-ED2CE1360A57}"/>
    <cellStyle name="Normal 2 8 2 6 2 2 3" xfId="37744" xr:uid="{A02DF3CA-54FB-4608-8845-6461C935CFB1}"/>
    <cellStyle name="Normal 2 8 2 6 2 3" xfId="18565" xr:uid="{0B55734F-0285-4E05-9E96-FDAE73A622DC}"/>
    <cellStyle name="Normal 2 8 2 6 2 3 2" xfId="44057" xr:uid="{101DE43B-C3D1-434B-A9FA-36CE4427B622}"/>
    <cellStyle name="Normal 2 8 2 6 2 4" xfId="31466" xr:uid="{49D07DE2-44B4-4CB8-9480-90454055A909}"/>
    <cellStyle name="Normal 2 8 2 6 3" xfId="9022" xr:uid="{4D6DEDAA-4D73-4A74-95D1-39BEAB2BBF51}"/>
    <cellStyle name="Normal 2 8 2 6 3 2" xfId="21704" xr:uid="{9413CF6D-6304-4C86-9385-7C4DC087D703}"/>
    <cellStyle name="Normal 2 8 2 6 3 2 2" xfId="47196" xr:uid="{DA506044-A863-48B6-89F4-D3D21D3168C5}"/>
    <cellStyle name="Normal 2 8 2 6 3 3" xfId="34605" xr:uid="{CA6C312C-821A-43CD-B7BB-8E271D1FBD22}"/>
    <cellStyle name="Normal 2 8 2 6 4" xfId="15426" xr:uid="{C51E10DC-0034-4C4B-98C4-9D0AEFCD44C8}"/>
    <cellStyle name="Normal 2 8 2 6 4 2" xfId="40918" xr:uid="{4D965494-A999-4118-9D7A-67A240F93D4C}"/>
    <cellStyle name="Normal 2 8 2 6 5" xfId="28327" xr:uid="{E1B43EA3-DBAF-474B-B70C-17EAF293CB68}"/>
    <cellStyle name="Normal 2 8 2 7" xfId="3237" xr:uid="{5FFE738F-A501-4669-834E-429F836163B3}"/>
    <cellStyle name="Normal 2 8 2 7 2" xfId="6391" xr:uid="{65536773-1C65-4EDB-A7AD-B48BF5135D7C}"/>
    <cellStyle name="Normal 2 8 2 7 2 2" xfId="12684" xr:uid="{1FB70719-1D13-4536-9C98-3D6FE4F10A8A}"/>
    <cellStyle name="Normal 2 8 2 7 2 2 2" xfId="25366" xr:uid="{F40BA041-B0F7-41A7-B571-AF14C49C0772}"/>
    <cellStyle name="Normal 2 8 2 7 2 2 2 2" xfId="50858" xr:uid="{765DB974-7762-412E-A63C-12F6E6C05081}"/>
    <cellStyle name="Normal 2 8 2 7 2 2 3" xfId="38267" xr:uid="{D2ED3427-A981-4040-BB3F-732FF74143E3}"/>
    <cellStyle name="Normal 2 8 2 7 2 3" xfId="19088" xr:uid="{0E7423AE-035A-4BED-9805-F480DFB859EB}"/>
    <cellStyle name="Normal 2 8 2 7 2 3 2" xfId="44580" xr:uid="{5A713D9D-884A-408B-8590-963084FC54F1}"/>
    <cellStyle name="Normal 2 8 2 7 2 4" xfId="31989" xr:uid="{7BD389C8-4963-487E-9E91-0ABD0ED18C54}"/>
    <cellStyle name="Normal 2 8 2 7 3" xfId="9545" xr:uid="{A1E9B688-BB58-4078-84C0-C642F1F63525}"/>
    <cellStyle name="Normal 2 8 2 7 3 2" xfId="22227" xr:uid="{CB6F52C2-91D7-46D7-A93F-E29B41B1BCF2}"/>
    <cellStyle name="Normal 2 8 2 7 3 2 2" xfId="47719" xr:uid="{D4FE1451-CE93-4F02-B1A9-27051ED344E4}"/>
    <cellStyle name="Normal 2 8 2 7 3 3" xfId="35128" xr:uid="{D29E2342-3548-4B80-A9D9-8B4694D2885C}"/>
    <cellStyle name="Normal 2 8 2 7 4" xfId="15949" xr:uid="{E79785EB-A8B0-4239-90D4-27B934B3C022}"/>
    <cellStyle name="Normal 2 8 2 7 4 2" xfId="41441" xr:uid="{69058ABC-166B-4987-ABD7-60801D115A05}"/>
    <cellStyle name="Normal 2 8 2 7 5" xfId="28850" xr:uid="{2E219B18-6463-4D6F-958F-CFC73F01F84C}"/>
    <cellStyle name="Normal 2 8 2 8" xfId="3776" xr:uid="{32B3BE7C-D570-4CB4-83D7-1D90D3E5F68D}"/>
    <cellStyle name="Normal 2 8 2 8 2" xfId="10069" xr:uid="{DC3E2F0A-C443-4FEB-A69C-45B062E14F0E}"/>
    <cellStyle name="Normal 2 8 2 8 2 2" xfId="22751" xr:uid="{D5071883-4187-4303-9928-B738A3A58658}"/>
    <cellStyle name="Normal 2 8 2 8 2 2 2" xfId="48243" xr:uid="{1599E7C6-3929-4734-BD84-9EA1404059CF}"/>
    <cellStyle name="Normal 2 8 2 8 2 3" xfId="35652" xr:uid="{29BDA87E-668A-41D6-8A94-731504385CF5}"/>
    <cellStyle name="Normal 2 8 2 8 3" xfId="16473" xr:uid="{1A720C93-9555-4550-B96F-E215BD59BD3A}"/>
    <cellStyle name="Normal 2 8 2 8 3 2" xfId="41965" xr:uid="{43B58E2F-0ABA-4ACB-948F-999879C3EF76}"/>
    <cellStyle name="Normal 2 8 2 8 4" xfId="29374" xr:uid="{36B3CE17-F4C3-41F8-827C-2C0A952BA55B}"/>
    <cellStyle name="Normal 2 8 2 9" xfId="6930" xr:uid="{797CEB04-650C-47BE-B4BA-414B8940032E}"/>
    <cellStyle name="Normal 2 8 2 9 2" xfId="19612" xr:uid="{6032EA01-430F-41F4-A73E-89DB6B64A6D0}"/>
    <cellStyle name="Normal 2 8 2 9 2 2" xfId="45104" xr:uid="{A754EC52-CD70-4D2E-9007-FF62B065E554}"/>
    <cellStyle name="Normal 2 8 2 9 3" xfId="32513" xr:uid="{B36F24D6-461C-4B0A-A734-E6364A6A6F15}"/>
    <cellStyle name="Normal 2 8 3" xfId="985" xr:uid="{5CA985CA-8B1D-43C3-A277-38BC95D651FA}"/>
    <cellStyle name="Normal 2 8 3 2" xfId="2292" xr:uid="{8024D632-4DC6-4D50-9088-4B1209B2102A}"/>
    <cellStyle name="Normal 2 8 3 2 2" xfId="5446" xr:uid="{AED02F46-9AC4-47E5-907F-812B06116651}"/>
    <cellStyle name="Normal 2 8 3 2 2 2" xfId="11739" xr:uid="{E0BBF953-FFE8-46D4-89E9-37D648072A8C}"/>
    <cellStyle name="Normal 2 8 3 2 2 2 2" xfId="24421" xr:uid="{DD790E38-DD8D-4BE4-85D7-42C9B824135D}"/>
    <cellStyle name="Normal 2 8 3 2 2 2 2 2" xfId="49913" xr:uid="{FC170340-0DE9-44C4-9260-B0687E149879}"/>
    <cellStyle name="Normal 2 8 3 2 2 2 3" xfId="37322" xr:uid="{50A5BC2E-A293-4A37-952C-69A2B12E0FAD}"/>
    <cellStyle name="Normal 2 8 3 2 2 3" xfId="18143" xr:uid="{E48ACD5B-DB87-44D6-A79C-8D559CD2F5D1}"/>
    <cellStyle name="Normal 2 8 3 2 2 3 2" xfId="43635" xr:uid="{81A167D7-0BE8-424B-B987-8EF3212822DE}"/>
    <cellStyle name="Normal 2 8 3 2 2 4" xfId="31044" xr:uid="{79AA046D-2828-4FEA-AEA2-B62B2154E730}"/>
    <cellStyle name="Normal 2 8 3 2 3" xfId="8600" xr:uid="{DDA38C40-26B0-4F58-BCEC-693BE13EFD4B}"/>
    <cellStyle name="Normal 2 8 3 2 3 2" xfId="21282" xr:uid="{172CCFFD-B986-4F93-82A5-DC38659A057E}"/>
    <cellStyle name="Normal 2 8 3 2 3 2 2" xfId="46774" xr:uid="{E8E95F7D-5672-4C49-A66F-2EAF77644551}"/>
    <cellStyle name="Normal 2 8 3 2 3 3" xfId="34183" xr:uid="{A8A3FF36-94C0-41F9-874F-7A43B0422E55}"/>
    <cellStyle name="Normal 2 8 3 2 4" xfId="15004" xr:uid="{884964EA-AC52-43CB-8A31-25DDC521975A}"/>
    <cellStyle name="Normal 2 8 3 2 4 2" xfId="40496" xr:uid="{4E546E5B-BA4C-489F-A13B-818EF4073ABA}"/>
    <cellStyle name="Normal 2 8 3 2 5" xfId="27905" xr:uid="{6149D853-17C3-4A2E-8CB1-0F41A4DC2F77}"/>
    <cellStyle name="Normal 2 8 3 3" xfId="1509" xr:uid="{14DB5AAB-90FE-4B8A-BF71-AB816983E3B3}"/>
    <cellStyle name="Normal 2 8 3 3 2" xfId="4663" xr:uid="{580CE9A4-8CBA-444C-B1D2-A67A5C417327}"/>
    <cellStyle name="Normal 2 8 3 3 2 2" xfId="10956" xr:uid="{45ECA58F-5B5E-4D3C-BA28-1225D0695D20}"/>
    <cellStyle name="Normal 2 8 3 3 2 2 2" xfId="23638" xr:uid="{C0B00F1E-C5FD-4798-8D19-5DA7FC682F61}"/>
    <cellStyle name="Normal 2 8 3 3 2 2 2 2" xfId="49130" xr:uid="{D2B92389-7EB3-42E4-A03C-8E8F02E0AAC8}"/>
    <cellStyle name="Normal 2 8 3 3 2 2 3" xfId="36539" xr:uid="{440AD3AF-F56A-42E8-BEB3-5F10A7A6B834}"/>
    <cellStyle name="Normal 2 8 3 3 2 3" xfId="17360" xr:uid="{BF4AA38C-8EC7-4910-8EDF-3E35155CD68F}"/>
    <cellStyle name="Normal 2 8 3 3 2 3 2" xfId="42852" xr:uid="{E27734C8-3508-46D7-937D-4B7DFA0FB0C3}"/>
    <cellStyle name="Normal 2 8 3 3 2 4" xfId="30261" xr:uid="{EEA40B34-F752-466D-9FDD-F69E930E5306}"/>
    <cellStyle name="Normal 2 8 3 3 3" xfId="7817" xr:uid="{0F74794C-65EB-4625-A778-674890684778}"/>
    <cellStyle name="Normal 2 8 3 3 3 2" xfId="20499" xr:uid="{AF5C873C-68BA-4B0A-9ED8-81FEBCCB88BD}"/>
    <cellStyle name="Normal 2 8 3 3 3 2 2" xfId="45991" xr:uid="{4EBF72CC-3578-4F91-8DE5-B87CFB9F1241}"/>
    <cellStyle name="Normal 2 8 3 3 3 3" xfId="33400" xr:uid="{41F613C3-068C-495C-891A-965BBA3E9BD3}"/>
    <cellStyle name="Normal 2 8 3 3 4" xfId="14221" xr:uid="{F1929105-E843-4366-89CB-809BC47E6076}"/>
    <cellStyle name="Normal 2 8 3 3 4 2" xfId="39713" xr:uid="{FA5DF77C-282B-40E2-9943-5D5AFAE3D0CF}"/>
    <cellStyle name="Normal 2 8 3 3 5" xfId="27122" xr:uid="{ECBAA103-71B4-4FAC-A089-C61C4C4CB495}"/>
    <cellStyle name="Normal 2 8 3 4" xfId="2816" xr:uid="{57C67DD7-3950-4E06-878D-1F484F083AC5}"/>
    <cellStyle name="Normal 2 8 3 4 2" xfId="5970" xr:uid="{2A310BA9-F6E9-48E9-BBAE-D2F5EC073BC0}"/>
    <cellStyle name="Normal 2 8 3 4 2 2" xfId="12263" xr:uid="{B806194B-A9A9-4484-B7D6-A2526E208E7E}"/>
    <cellStyle name="Normal 2 8 3 4 2 2 2" xfId="24945" xr:uid="{31081710-ACE1-4D79-A0B3-FE2E26875F77}"/>
    <cellStyle name="Normal 2 8 3 4 2 2 2 2" xfId="50437" xr:uid="{7D478DC0-6C3E-4E0B-8F74-4897CE13FCC2}"/>
    <cellStyle name="Normal 2 8 3 4 2 2 3" xfId="37846" xr:uid="{A3C943C1-7EB6-4A36-AE7D-AE291A011C33}"/>
    <cellStyle name="Normal 2 8 3 4 2 3" xfId="18667" xr:uid="{2C678ABA-FDB9-49B1-B259-337651435C2C}"/>
    <cellStyle name="Normal 2 8 3 4 2 3 2" xfId="44159" xr:uid="{70769E41-21A4-4CCA-BD90-E5BCCB99A803}"/>
    <cellStyle name="Normal 2 8 3 4 2 4" xfId="31568" xr:uid="{45F0887F-19DB-4B9C-800F-D615E37A19FC}"/>
    <cellStyle name="Normal 2 8 3 4 3" xfId="9124" xr:uid="{6B04103F-12F8-443F-B8CA-68656C1A87F7}"/>
    <cellStyle name="Normal 2 8 3 4 3 2" xfId="21806" xr:uid="{6DF39419-908D-4B98-A2CA-8BEFEDA3D6D4}"/>
    <cellStyle name="Normal 2 8 3 4 3 2 2" xfId="47298" xr:uid="{27313A1F-A40E-4FF8-8DFC-700B947AF3D4}"/>
    <cellStyle name="Normal 2 8 3 4 3 3" xfId="34707" xr:uid="{E6C150F1-69D6-46E3-BC43-CF4D3EA022F6}"/>
    <cellStyle name="Normal 2 8 3 4 4" xfId="15528" xr:uid="{550F46BF-828A-4602-810E-EB8AF2168F35}"/>
    <cellStyle name="Normal 2 8 3 4 4 2" xfId="41020" xr:uid="{8B1C5BAE-ECEA-4AAF-A8A7-82D009ADC749}"/>
    <cellStyle name="Normal 2 8 3 4 5" xfId="28429" xr:uid="{E5687670-709E-469E-AAB8-1BF15477115E}"/>
    <cellStyle name="Normal 2 8 3 5" xfId="3339" xr:uid="{CF98446C-36B1-4B80-8B92-E21C04EFC448}"/>
    <cellStyle name="Normal 2 8 3 5 2" xfId="6493" xr:uid="{C623B16E-5588-4534-ADD2-F7D81C36E1B5}"/>
    <cellStyle name="Normal 2 8 3 5 2 2" xfId="12786" xr:uid="{F39359B3-CFA9-4865-AE09-07978BCE2527}"/>
    <cellStyle name="Normal 2 8 3 5 2 2 2" xfId="25468" xr:uid="{645E15F8-66CF-4159-A3B2-9865FF487FEA}"/>
    <cellStyle name="Normal 2 8 3 5 2 2 2 2" xfId="50960" xr:uid="{CEFBB13F-3F28-4790-B7B2-FD4D0D5B10A2}"/>
    <cellStyle name="Normal 2 8 3 5 2 2 3" xfId="38369" xr:uid="{5C1F4C12-7E5D-4637-9748-D5B17B6E03E3}"/>
    <cellStyle name="Normal 2 8 3 5 2 3" xfId="19190" xr:uid="{9880D7AC-BD57-43F0-9DC5-4AE6FFE06B01}"/>
    <cellStyle name="Normal 2 8 3 5 2 3 2" xfId="44682" xr:uid="{36FB3B83-B525-4CD8-ACF0-7F334F2DD88C}"/>
    <cellStyle name="Normal 2 8 3 5 2 4" xfId="32091" xr:uid="{475D9EE3-0001-443F-A777-F2D630D7EAA4}"/>
    <cellStyle name="Normal 2 8 3 5 3" xfId="9647" xr:uid="{289A6C13-D783-4D57-84FC-4E3D11CEF4F1}"/>
    <cellStyle name="Normal 2 8 3 5 3 2" xfId="22329" xr:uid="{8C840739-CC8C-4403-9B0A-FC02FFAFAB2E}"/>
    <cellStyle name="Normal 2 8 3 5 3 2 2" xfId="47821" xr:uid="{2A32BFF1-DB33-4EF2-BA62-1EA2F0D79FA2}"/>
    <cellStyle name="Normal 2 8 3 5 3 3" xfId="35230" xr:uid="{D2A3700B-4AA6-4B82-B1B3-FAB153293BF7}"/>
    <cellStyle name="Normal 2 8 3 5 4" xfId="16051" xr:uid="{1A8B8A8B-3649-426A-9337-5348093F9963}"/>
    <cellStyle name="Normal 2 8 3 5 4 2" xfId="41543" xr:uid="{9F096A0E-B88C-45FD-B3D0-5E1D7CB21912}"/>
    <cellStyle name="Normal 2 8 3 5 5" xfId="28952" xr:uid="{577220E5-653D-4AF7-9A31-17EF78A247A3}"/>
    <cellStyle name="Normal 2 8 3 6" xfId="4139" xr:uid="{D7599D3D-B297-47F0-BF71-2177E3F56805}"/>
    <cellStyle name="Normal 2 8 3 6 2" xfId="10432" xr:uid="{03D628C8-2E19-4C5F-A642-4066E695E8E9}"/>
    <cellStyle name="Normal 2 8 3 6 2 2" xfId="23114" xr:uid="{1D6514CD-CC4C-476D-90A6-596DF435AD0B}"/>
    <cellStyle name="Normal 2 8 3 6 2 2 2" xfId="48606" xr:uid="{31BEFD9A-D52D-4280-BFCA-33629120580F}"/>
    <cellStyle name="Normal 2 8 3 6 2 3" xfId="36015" xr:uid="{10010EB5-6758-47DC-8F95-3C2029DB0676}"/>
    <cellStyle name="Normal 2 8 3 6 3" xfId="16836" xr:uid="{4943DFDD-FC3B-455A-A548-3AE28ADF0E6C}"/>
    <cellStyle name="Normal 2 8 3 6 3 2" xfId="42328" xr:uid="{89940FE9-B7F0-4ECE-A694-12FA1BAD3272}"/>
    <cellStyle name="Normal 2 8 3 6 4" xfId="29737" xr:uid="{7BD63B1A-60FC-4126-BAF5-02115EFEFC69}"/>
    <cellStyle name="Normal 2 8 3 7" xfId="7293" xr:uid="{EA4F31E0-2EBA-4D86-9DBD-783E12C9A2A5}"/>
    <cellStyle name="Normal 2 8 3 7 2" xfId="19975" xr:uid="{33457B7A-B8EC-4899-A603-3A0727D40AFE}"/>
    <cellStyle name="Normal 2 8 3 7 2 2" xfId="45467" xr:uid="{FDA0705B-DFFD-4BF5-AF3D-9769A9EF3938}"/>
    <cellStyle name="Normal 2 8 3 7 3" xfId="32876" xr:uid="{EBC9ED39-79D2-4753-B328-3B1BEB52EEDB}"/>
    <cellStyle name="Normal 2 8 3 8" xfId="13697" xr:uid="{65AFB6CA-89AE-4F25-BBDE-6AFF19AECBD7}"/>
    <cellStyle name="Normal 2 8 3 8 2" xfId="39189" xr:uid="{5AB21D84-B674-4A14-A6C6-B163A4982CAB}"/>
    <cellStyle name="Normal 2 8 3 9" xfId="26598" xr:uid="{C72AA438-EF4D-47E7-B41B-16CC0993F447}"/>
    <cellStyle name="Normal 2 8 4" xfId="725" xr:uid="{CAA21A42-B73F-4949-98E4-3698D1B67E9B}"/>
    <cellStyle name="Normal 2 8 4 2" xfId="2032" xr:uid="{09D7FDFF-719F-4549-86F7-97EC24581DE3}"/>
    <cellStyle name="Normal 2 8 4 2 2" xfId="5186" xr:uid="{A90149A3-C3FD-4398-947F-C7370F07A36E}"/>
    <cellStyle name="Normal 2 8 4 2 2 2" xfId="11479" xr:uid="{4B6E5771-435F-4A96-890C-9DE49C51E85B}"/>
    <cellStyle name="Normal 2 8 4 2 2 2 2" xfId="24161" xr:uid="{02EF6577-B50D-48D3-A2B2-833A9D4CA220}"/>
    <cellStyle name="Normal 2 8 4 2 2 2 2 2" xfId="49653" xr:uid="{2FD48ED5-D790-4089-9D70-8A26F23F8242}"/>
    <cellStyle name="Normal 2 8 4 2 2 2 3" xfId="37062" xr:uid="{4E4BA136-49C0-463F-9F16-909FF8EB9874}"/>
    <cellStyle name="Normal 2 8 4 2 2 3" xfId="17883" xr:uid="{3932D983-3DFF-4522-B15C-992228A08B99}"/>
    <cellStyle name="Normal 2 8 4 2 2 3 2" xfId="43375" xr:uid="{7D4F3417-0566-4A48-8AEF-E118A8DBE210}"/>
    <cellStyle name="Normal 2 8 4 2 2 4" xfId="30784" xr:uid="{ECC8D151-2D89-4202-BB23-54581EE949AC}"/>
    <cellStyle name="Normal 2 8 4 2 3" xfId="8340" xr:uid="{48B1BFBF-2A5D-44CD-8CF6-5E97F6931D47}"/>
    <cellStyle name="Normal 2 8 4 2 3 2" xfId="21022" xr:uid="{A4337E1D-D7DF-43BD-AD9C-2E1C82F31B81}"/>
    <cellStyle name="Normal 2 8 4 2 3 2 2" xfId="46514" xr:uid="{5E8F8771-4952-4FC9-AAE3-7FD4AAF51563}"/>
    <cellStyle name="Normal 2 8 4 2 3 3" xfId="33923" xr:uid="{334B4AD8-55C4-41FA-8DAD-1150ECADA659}"/>
    <cellStyle name="Normal 2 8 4 2 4" xfId="14744" xr:uid="{3C36EAAE-56DD-4C1D-A8F6-53353F9E82A1}"/>
    <cellStyle name="Normal 2 8 4 2 4 2" xfId="40236" xr:uid="{4EF75F8F-09E1-419E-83DD-1111FDBFD561}"/>
    <cellStyle name="Normal 2 8 4 2 5" xfId="27645" xr:uid="{47CBF664-9354-4893-AF71-B4144FD09C2A}"/>
    <cellStyle name="Normal 2 8 4 3" xfId="3879" xr:uid="{7EAAAAFE-CCA9-458C-9E21-A72F10514A8D}"/>
    <cellStyle name="Normal 2 8 4 3 2" xfId="10172" xr:uid="{52C9FD54-2C50-42F2-8833-CD50643A3481}"/>
    <cellStyle name="Normal 2 8 4 3 2 2" xfId="22854" xr:uid="{AE7C9CB4-53E6-4F51-8418-5B49FD38EFA9}"/>
    <cellStyle name="Normal 2 8 4 3 2 2 2" xfId="48346" xr:uid="{A95F01D0-306C-41BE-9C52-F47D7BC95716}"/>
    <cellStyle name="Normal 2 8 4 3 2 3" xfId="35755" xr:uid="{AC305CA0-E1B7-4CC3-8758-D76A1F125E24}"/>
    <cellStyle name="Normal 2 8 4 3 3" xfId="16576" xr:uid="{619C0672-B1AE-4171-B84F-01CF7F338989}"/>
    <cellStyle name="Normal 2 8 4 3 3 2" xfId="42068" xr:uid="{B53AD2C2-4460-4DE2-8A0F-5BC447B12A1B}"/>
    <cellStyle name="Normal 2 8 4 3 4" xfId="29477" xr:uid="{42A443F3-6080-4E2F-B45C-E296D3C26B28}"/>
    <cellStyle name="Normal 2 8 4 4" xfId="7033" xr:uid="{253FAF39-D1BF-45CA-8185-98CD57ECB4B6}"/>
    <cellStyle name="Normal 2 8 4 4 2" xfId="19715" xr:uid="{673D61F1-5CD5-4DE3-B2C6-D11D68A60C03}"/>
    <cellStyle name="Normal 2 8 4 4 2 2" xfId="45207" xr:uid="{47F7D7F6-EB1A-4DC1-B6FC-E719E285C804}"/>
    <cellStyle name="Normal 2 8 4 4 3" xfId="32616" xr:uid="{E27860C6-8E11-4ECF-801D-24B9ADF1F60C}"/>
    <cellStyle name="Normal 2 8 4 5" xfId="13437" xr:uid="{8B49F036-FFDE-4691-A930-C5A48D8C3F7D}"/>
    <cellStyle name="Normal 2 8 4 5 2" xfId="38929" xr:uid="{B8770AFE-A9A8-4581-8790-0C4502215052}"/>
    <cellStyle name="Normal 2 8 4 6" xfId="26338" xr:uid="{33D17642-D448-40C8-B7AE-B91636D0E5F4}"/>
    <cellStyle name="Normal 2 8 5" xfId="1770" xr:uid="{5DCBA755-D333-47FD-A9B1-4E3B1E155021}"/>
    <cellStyle name="Normal 2 8 5 2" xfId="4924" xr:uid="{823DF0BF-A446-4163-B1C6-38902071D982}"/>
    <cellStyle name="Normal 2 8 5 2 2" xfId="11217" xr:uid="{C157294C-414C-4C26-B8FA-7D32025AEF21}"/>
    <cellStyle name="Normal 2 8 5 2 2 2" xfId="23899" xr:uid="{EAD4BC28-7A99-49D7-B27D-592E0DBDFCBA}"/>
    <cellStyle name="Normal 2 8 5 2 2 2 2" xfId="49391" xr:uid="{A909A9D3-D4C6-4606-B066-B7FF843AAE1A}"/>
    <cellStyle name="Normal 2 8 5 2 2 3" xfId="36800" xr:uid="{8B2C9F49-6485-422A-9A5E-EE1B0B0CED97}"/>
    <cellStyle name="Normal 2 8 5 2 3" xfId="17621" xr:uid="{DCEEECFD-0985-4F9C-930C-6646935BA194}"/>
    <cellStyle name="Normal 2 8 5 2 3 2" xfId="43113" xr:uid="{29131667-998B-49C0-954B-CF349C29A9A2}"/>
    <cellStyle name="Normal 2 8 5 2 4" xfId="30522" xr:uid="{7F333A8C-B444-4ACD-B556-271B0A691874}"/>
    <cellStyle name="Normal 2 8 5 3" xfId="8078" xr:uid="{AE01A1E6-E258-472C-BAB7-ED7ADCB9B2D7}"/>
    <cellStyle name="Normal 2 8 5 3 2" xfId="20760" xr:uid="{2B6E5659-46F7-4C63-AFDA-25B52852BA26}"/>
    <cellStyle name="Normal 2 8 5 3 2 2" xfId="46252" xr:uid="{5F454704-6553-48C6-94B3-419F524290D7}"/>
    <cellStyle name="Normal 2 8 5 3 3" xfId="33661" xr:uid="{C87F6D26-ECBA-4096-BF44-DFA0C664EB6B}"/>
    <cellStyle name="Normal 2 8 5 4" xfId="14482" xr:uid="{CDEB8080-6D22-4408-A1A5-BC269A71801B}"/>
    <cellStyle name="Normal 2 8 5 4 2" xfId="39974" xr:uid="{CC32B95E-0BAE-46FB-B565-436A4BFD4613}"/>
    <cellStyle name="Normal 2 8 5 5" xfId="27383" xr:uid="{A07DAE48-821E-4249-804C-A8C298245445}"/>
    <cellStyle name="Normal 2 8 6" xfId="1248" xr:uid="{DD0F9E66-C47D-4F8B-8730-CA59CCF3AA8F}"/>
    <cellStyle name="Normal 2 8 6 2" xfId="4402" xr:uid="{BE3CC8A6-D4ED-417A-8B7A-987DC350D98B}"/>
    <cellStyle name="Normal 2 8 6 2 2" xfId="10695" xr:uid="{2C475E27-AA0C-4D11-891D-B40856DB4998}"/>
    <cellStyle name="Normal 2 8 6 2 2 2" xfId="23377" xr:uid="{E6FE5975-9B55-48DA-9C8C-E2A7717B8323}"/>
    <cellStyle name="Normal 2 8 6 2 2 2 2" xfId="48869" xr:uid="{B5FAD502-BA09-4B7E-B93C-E912A778FB86}"/>
    <cellStyle name="Normal 2 8 6 2 2 3" xfId="36278" xr:uid="{AA970BAB-1A1C-469A-9A57-92E62957D61E}"/>
    <cellStyle name="Normal 2 8 6 2 3" xfId="17099" xr:uid="{ABC33E4F-D9E7-4622-A34D-81D7A119DB84}"/>
    <cellStyle name="Normal 2 8 6 2 3 2" xfId="42591" xr:uid="{A3BA17B6-BF03-4402-BB83-8CF90BEF004E}"/>
    <cellStyle name="Normal 2 8 6 2 4" xfId="30000" xr:uid="{19E29F84-9B28-4343-B041-9B1AA5DFC990}"/>
    <cellStyle name="Normal 2 8 6 3" xfId="7556" xr:uid="{6A6C84B0-2EE5-40C3-80E9-0AA79F91EC21}"/>
    <cellStyle name="Normal 2 8 6 3 2" xfId="20238" xr:uid="{6A3973A3-915F-4077-A694-24CCA05856CA}"/>
    <cellStyle name="Normal 2 8 6 3 2 2" xfId="45730" xr:uid="{BCA50C6A-7FD9-46AC-B2F8-A8A6254F8BB1}"/>
    <cellStyle name="Normal 2 8 6 3 3" xfId="33139" xr:uid="{DAC9B32D-067E-4D5A-A7EE-0423BC86DA98}"/>
    <cellStyle name="Normal 2 8 6 4" xfId="13960" xr:uid="{DC592E48-C927-4675-98BE-06A1B218347F}"/>
    <cellStyle name="Normal 2 8 6 4 2" xfId="39452" xr:uid="{204E666B-99E4-4F31-8C10-A707E749A1B9}"/>
    <cellStyle name="Normal 2 8 6 5" xfId="26861" xr:uid="{D8D31486-278F-4817-8B13-05AFE07F25AA}"/>
    <cellStyle name="Normal 2 8 7" xfId="2555" xr:uid="{2DB96E06-3CCA-4E76-A70A-3A5F03463BB9}"/>
    <cellStyle name="Normal 2 8 7 2" xfId="5709" xr:uid="{C2CE3A5E-E81A-420C-9134-9DD9F53048EA}"/>
    <cellStyle name="Normal 2 8 7 2 2" xfId="12002" xr:uid="{E6261CCA-0E51-419A-9BAF-A347A5483737}"/>
    <cellStyle name="Normal 2 8 7 2 2 2" xfId="24684" xr:uid="{858BB396-D57F-47DE-99E5-17ACB5E828CE}"/>
    <cellStyle name="Normal 2 8 7 2 2 2 2" xfId="50176" xr:uid="{5C1A748F-2DFA-4D26-AD6B-FA2824E0BD62}"/>
    <cellStyle name="Normal 2 8 7 2 2 3" xfId="37585" xr:uid="{FB6FF2E9-0BD9-41B0-8731-2A22876519CE}"/>
    <cellStyle name="Normal 2 8 7 2 3" xfId="18406" xr:uid="{2855CB2D-5E01-4552-A2F2-F13C2CB9CFD9}"/>
    <cellStyle name="Normal 2 8 7 2 3 2" xfId="43898" xr:uid="{F12A3C41-47A2-4B2F-BD0D-67FAFF22AF2D}"/>
    <cellStyle name="Normal 2 8 7 2 4" xfId="31307" xr:uid="{14544A05-C3FD-4C71-9781-D4B40B580064}"/>
    <cellStyle name="Normal 2 8 7 3" xfId="8863" xr:uid="{51295F8B-EE6F-407E-94BB-B3ACCD08C7CE}"/>
    <cellStyle name="Normal 2 8 7 3 2" xfId="21545" xr:uid="{08FB0CF9-AC98-4290-A779-D28E555A467C}"/>
    <cellStyle name="Normal 2 8 7 3 2 2" xfId="47037" xr:uid="{2FB68BBC-41EA-433E-A563-54E0B6B9F297}"/>
    <cellStyle name="Normal 2 8 7 3 3" xfId="34446" xr:uid="{A65AC6B5-4279-40DF-8740-325A433772DF}"/>
    <cellStyle name="Normal 2 8 7 4" xfId="15267" xr:uid="{EA329BD0-21D0-4E76-81B5-01232AF2038B}"/>
    <cellStyle name="Normal 2 8 7 4 2" xfId="40759" xr:uid="{AE911686-9259-4F2B-96B5-D6DF8909645A}"/>
    <cellStyle name="Normal 2 8 7 5" xfId="28168" xr:uid="{421912A8-2501-4929-AFCB-05FCFB396C99}"/>
    <cellStyle name="Normal 2 8 8" xfId="3078" xr:uid="{2CAE75F3-142E-4D32-A848-995BA88DFE52}"/>
    <cellStyle name="Normal 2 8 8 2" xfId="6232" xr:uid="{2FB0A34E-17E8-4CDC-B44F-58F222ED2FD8}"/>
    <cellStyle name="Normal 2 8 8 2 2" xfId="12525" xr:uid="{08A5CE50-2738-4F5D-87AB-527445FD08E9}"/>
    <cellStyle name="Normal 2 8 8 2 2 2" xfId="25207" xr:uid="{92BF1DFA-7F20-44FB-9417-4C5FD512798E}"/>
    <cellStyle name="Normal 2 8 8 2 2 2 2" xfId="50699" xr:uid="{BA8ADD1C-81BD-4778-AAF9-45FBF6E38130}"/>
    <cellStyle name="Normal 2 8 8 2 2 3" xfId="38108" xr:uid="{D2E12C4C-1187-4FFF-B0EC-EF564C081BAB}"/>
    <cellStyle name="Normal 2 8 8 2 3" xfId="18929" xr:uid="{9058CA3F-2311-4DCE-9F04-D0BD7EA09529}"/>
    <cellStyle name="Normal 2 8 8 2 3 2" xfId="44421" xr:uid="{E0DD6F2B-A91B-4C1F-8A23-7190F1DDA7CB}"/>
    <cellStyle name="Normal 2 8 8 2 4" xfId="31830" xr:uid="{DE7F66BC-E74B-4C17-829A-C7EBEA4D9E11}"/>
    <cellStyle name="Normal 2 8 8 3" xfId="9386" xr:uid="{77475A7E-1A74-4B11-AB0B-94EBF5F8E46D}"/>
    <cellStyle name="Normal 2 8 8 3 2" xfId="22068" xr:uid="{3346BC1A-55A4-4D8E-BA2E-C45A77878BF2}"/>
    <cellStyle name="Normal 2 8 8 3 2 2" xfId="47560" xr:uid="{DF685786-8CFE-4B48-B4CA-EBFCEF1A2488}"/>
    <cellStyle name="Normal 2 8 8 3 3" xfId="34969" xr:uid="{D2FC89D7-04AF-419E-B1E2-9B598A355052}"/>
    <cellStyle name="Normal 2 8 8 4" xfId="15790" xr:uid="{6395FBDA-E1B3-4018-AC98-914624F0D417}"/>
    <cellStyle name="Normal 2 8 8 4 2" xfId="41282" xr:uid="{8B3A203A-6864-4B68-8CB4-89FA1207F8DE}"/>
    <cellStyle name="Normal 2 8 8 5" xfId="28691" xr:uid="{78FF088D-F482-486F-814A-CC51412EA698}"/>
    <cellStyle name="Normal 2 8 9" xfId="3617" xr:uid="{B8374326-2BEC-4689-8C12-60839F2AF481}"/>
    <cellStyle name="Normal 2 8 9 2" xfId="9910" xr:uid="{8BA6E56E-7535-40AB-A76B-FE5156080B1C}"/>
    <cellStyle name="Normal 2 8 9 2 2" xfId="22592" xr:uid="{2EA8E5F2-2645-4D0F-BE59-17901788EC74}"/>
    <cellStyle name="Normal 2 8 9 2 2 2" xfId="48084" xr:uid="{3398A9A5-08EF-4FB9-8ED1-943288ECCE83}"/>
    <cellStyle name="Normal 2 8 9 2 3" xfId="35493" xr:uid="{E088DEE1-C171-464C-8131-81DB2A59876E}"/>
    <cellStyle name="Normal 2 8 9 3" xfId="16314" xr:uid="{6EBA7362-18F8-4DA3-A5A9-4120388580F9}"/>
    <cellStyle name="Normal 2 8 9 3 2" xfId="41806" xr:uid="{B70FED65-86FC-4D12-BC78-FF1E55CC86A8}"/>
    <cellStyle name="Normal 2 8 9 4" xfId="29215" xr:uid="{2985E857-33CC-4DFD-B635-2051A7B4C009}"/>
    <cellStyle name="Normal 2 9" xfId="566" xr:uid="{8A1183CC-3626-4741-A7E5-9DB38245A380}"/>
    <cellStyle name="Normal 2 9 10" xfId="13293" xr:uid="{48346BB6-0882-4982-A973-29B03455BED8}"/>
    <cellStyle name="Normal 2 9 10 2" xfId="38785" xr:uid="{8AA0D81E-97E8-446E-9706-29C522A8C8EA}"/>
    <cellStyle name="Normal 2 9 11" xfId="26194" xr:uid="{2EF347BA-8137-4B0C-B4CC-3E9BAE5FD48C}"/>
    <cellStyle name="Normal 2 9 2" xfId="1103" xr:uid="{63131DF2-1EDB-49D7-BB1E-E8B9F45D3F01}"/>
    <cellStyle name="Normal 2 9 2 2" xfId="2410" xr:uid="{98833529-A871-45CA-848E-DA7309A00FFB}"/>
    <cellStyle name="Normal 2 9 2 2 2" xfId="5564" xr:uid="{5C0F4701-1972-489A-BF4A-A4F77AB2F58D}"/>
    <cellStyle name="Normal 2 9 2 2 2 2" xfId="11857" xr:uid="{625F307F-296B-45BC-908D-D66B8804F611}"/>
    <cellStyle name="Normal 2 9 2 2 2 2 2" xfId="24539" xr:uid="{C96F07BC-EA32-4F6F-8467-92A6556AD28E}"/>
    <cellStyle name="Normal 2 9 2 2 2 2 2 2" xfId="50031" xr:uid="{D0EFFE2E-ABFA-4C65-B197-B5F964B3B383}"/>
    <cellStyle name="Normal 2 9 2 2 2 2 3" xfId="37440" xr:uid="{D4101A97-70B2-4E4D-A449-8C467CE05453}"/>
    <cellStyle name="Normal 2 9 2 2 2 3" xfId="18261" xr:uid="{FF6C71E4-2C57-4869-B463-70180546C74D}"/>
    <cellStyle name="Normal 2 9 2 2 2 3 2" xfId="43753" xr:uid="{8C1445A2-5D58-45C7-8E35-7801388AAA78}"/>
    <cellStyle name="Normal 2 9 2 2 2 4" xfId="31162" xr:uid="{1952D3C5-4A53-4B2C-BFAA-E8639A697EC9}"/>
    <cellStyle name="Normal 2 9 2 2 3" xfId="8718" xr:uid="{4C5EAD84-BFE9-48FF-9043-965F10046D37}"/>
    <cellStyle name="Normal 2 9 2 2 3 2" xfId="21400" xr:uid="{5763D13D-9AEA-4C4C-95EE-09B13BA311A4}"/>
    <cellStyle name="Normal 2 9 2 2 3 2 2" xfId="46892" xr:uid="{790E85A1-4006-4DD0-A2C6-367D49F73D3E}"/>
    <cellStyle name="Normal 2 9 2 2 3 3" xfId="34301" xr:uid="{C79B572F-B6C4-4394-96A0-A38446556A7C}"/>
    <cellStyle name="Normal 2 9 2 2 4" xfId="15122" xr:uid="{1CADF7BC-2511-4E4F-84B5-AFE6D256FB38}"/>
    <cellStyle name="Normal 2 9 2 2 4 2" xfId="40614" xr:uid="{5A6D5D6F-A4B9-4ACF-9AD9-92E536C9D4C8}"/>
    <cellStyle name="Normal 2 9 2 2 5" xfId="28023" xr:uid="{2DBA0066-90E1-4CFB-ADDA-C0734B831AF6}"/>
    <cellStyle name="Normal 2 9 2 3" xfId="1627" xr:uid="{34EA19E7-A8FF-4C83-98C1-6881EF8EC1AC}"/>
    <cellStyle name="Normal 2 9 2 3 2" xfId="4781" xr:uid="{D293F8A7-0412-410F-BB37-8230D008D417}"/>
    <cellStyle name="Normal 2 9 2 3 2 2" xfId="11074" xr:uid="{D8D46FF4-0252-4531-8333-2E734D47409F}"/>
    <cellStyle name="Normal 2 9 2 3 2 2 2" xfId="23756" xr:uid="{4A174720-41E0-4CCB-97AC-7CD18B39E1F2}"/>
    <cellStyle name="Normal 2 9 2 3 2 2 2 2" xfId="49248" xr:uid="{705ACFDB-5369-42B3-83ED-0A6F6296086D}"/>
    <cellStyle name="Normal 2 9 2 3 2 2 3" xfId="36657" xr:uid="{871DE662-7FA3-4C1F-854F-738C6F34C6CF}"/>
    <cellStyle name="Normal 2 9 2 3 2 3" xfId="17478" xr:uid="{65CC7E58-B38C-471F-AFBD-9113717586FF}"/>
    <cellStyle name="Normal 2 9 2 3 2 3 2" xfId="42970" xr:uid="{C9D75F82-D855-4CF0-B420-0AB9C71CD0D2}"/>
    <cellStyle name="Normal 2 9 2 3 2 4" xfId="30379" xr:uid="{04328A76-4B21-4667-A292-229D03349C74}"/>
    <cellStyle name="Normal 2 9 2 3 3" xfId="7935" xr:uid="{80207A8B-F23A-4CD6-9777-27045BB2DFD7}"/>
    <cellStyle name="Normal 2 9 2 3 3 2" xfId="20617" xr:uid="{7D794ACF-195C-4D75-AA09-0AF4A66FEC14}"/>
    <cellStyle name="Normal 2 9 2 3 3 2 2" xfId="46109" xr:uid="{C86BDA00-E929-4188-8E79-B74FF931BB22}"/>
    <cellStyle name="Normal 2 9 2 3 3 3" xfId="33518" xr:uid="{907189EE-7E39-4E26-8F81-A81886743A14}"/>
    <cellStyle name="Normal 2 9 2 3 4" xfId="14339" xr:uid="{C7C73305-23B3-48FE-8773-C8A75CDB6804}"/>
    <cellStyle name="Normal 2 9 2 3 4 2" xfId="39831" xr:uid="{D93ED587-1743-4967-814E-A6CF0BDADDB5}"/>
    <cellStyle name="Normal 2 9 2 3 5" xfId="27240" xr:uid="{D316F43C-6F3E-46F2-8807-10C3CB2D8C0D}"/>
    <cellStyle name="Normal 2 9 2 4" xfId="2934" xr:uid="{97573B5D-0619-43C0-BA64-DC2F1B147F9B}"/>
    <cellStyle name="Normal 2 9 2 4 2" xfId="6088" xr:uid="{3CE69DDF-B96E-4CB7-B717-5CA227DE907A}"/>
    <cellStyle name="Normal 2 9 2 4 2 2" xfId="12381" xr:uid="{19CBA907-2FD0-4F93-BE7C-AAA0BFC1149D}"/>
    <cellStyle name="Normal 2 9 2 4 2 2 2" xfId="25063" xr:uid="{ACD7AFE8-0164-4641-BD31-0581BB2F6F4F}"/>
    <cellStyle name="Normal 2 9 2 4 2 2 2 2" xfId="50555" xr:uid="{14DEC090-0AC1-4A59-80BA-0BD91C8DF07B}"/>
    <cellStyle name="Normal 2 9 2 4 2 2 3" xfId="37964" xr:uid="{BE43A006-FE69-4E07-B0C4-E3E6A00C325B}"/>
    <cellStyle name="Normal 2 9 2 4 2 3" xfId="18785" xr:uid="{AE07E5FA-11F7-41B1-85B8-0A2CED582B66}"/>
    <cellStyle name="Normal 2 9 2 4 2 3 2" xfId="44277" xr:uid="{BA486EB5-C584-4639-BEC5-8FFC59142A05}"/>
    <cellStyle name="Normal 2 9 2 4 2 4" xfId="31686" xr:uid="{33850FEA-548C-4707-AC3D-8C8E36F8DB2B}"/>
    <cellStyle name="Normal 2 9 2 4 3" xfId="9242" xr:uid="{79FE4C38-A209-4854-AB54-28503C094114}"/>
    <cellStyle name="Normal 2 9 2 4 3 2" xfId="21924" xr:uid="{98E18F40-4FBF-4CB2-BA78-6244FDE6FC18}"/>
    <cellStyle name="Normal 2 9 2 4 3 2 2" xfId="47416" xr:uid="{8DC12D80-56C3-4F27-9FB6-2BEC5F71196D}"/>
    <cellStyle name="Normal 2 9 2 4 3 3" xfId="34825" xr:uid="{B7E3AB2B-8593-4BA2-9E6A-41D9609FF0D4}"/>
    <cellStyle name="Normal 2 9 2 4 4" xfId="15646" xr:uid="{3CC32334-1DC8-4FE4-A076-89266D8C2218}"/>
    <cellStyle name="Normal 2 9 2 4 4 2" xfId="41138" xr:uid="{7EFB2B5E-07C5-4B3B-9466-777FA91A6DD7}"/>
    <cellStyle name="Normal 2 9 2 4 5" xfId="28547" xr:uid="{B4CFD0D3-7C74-4BBF-9A92-4B58D62E25B7}"/>
    <cellStyle name="Normal 2 9 2 5" xfId="3457" xr:uid="{0FC54412-6349-41B1-8D1A-15C251821E71}"/>
    <cellStyle name="Normal 2 9 2 5 2" xfId="6611" xr:uid="{92633A66-7417-448A-AC6F-F19D2069CF35}"/>
    <cellStyle name="Normal 2 9 2 5 2 2" xfId="12904" xr:uid="{CD5D07FF-781A-415B-AD37-A99F5022B576}"/>
    <cellStyle name="Normal 2 9 2 5 2 2 2" xfId="25586" xr:uid="{002DAABE-5E08-42B8-BD05-76B02CA16C67}"/>
    <cellStyle name="Normal 2 9 2 5 2 2 2 2" xfId="51078" xr:uid="{542810D6-A5C2-4DA3-BF71-32A4BC8EEB2E}"/>
    <cellStyle name="Normal 2 9 2 5 2 2 3" xfId="38487" xr:uid="{7E2C0EA8-3AB4-4AD1-85AC-DA867DAAC53F}"/>
    <cellStyle name="Normal 2 9 2 5 2 3" xfId="19308" xr:uid="{807F1F19-7B52-494D-B0C0-4E65FFCBFF61}"/>
    <cellStyle name="Normal 2 9 2 5 2 3 2" xfId="44800" xr:uid="{8845D6D9-B2C9-4E80-8A05-C737FAE553D6}"/>
    <cellStyle name="Normal 2 9 2 5 2 4" xfId="32209" xr:uid="{195AD7D4-321B-4540-B307-2FA3A41CC1E9}"/>
    <cellStyle name="Normal 2 9 2 5 3" xfId="9765" xr:uid="{677FB9EA-62AF-4D41-84FD-AE2E835655EA}"/>
    <cellStyle name="Normal 2 9 2 5 3 2" xfId="22447" xr:uid="{25831E22-6AE2-4CF6-B853-CD16EAA7ABC5}"/>
    <cellStyle name="Normal 2 9 2 5 3 2 2" xfId="47939" xr:uid="{4BAE153E-E17B-470C-A33E-B8D9972EE8D9}"/>
    <cellStyle name="Normal 2 9 2 5 3 3" xfId="35348" xr:uid="{79D16C09-1C22-4DE4-9761-4AAB1E2D7B28}"/>
    <cellStyle name="Normal 2 9 2 5 4" xfId="16169" xr:uid="{E7809B00-6C0C-45C9-9B43-24500F5C2EC6}"/>
    <cellStyle name="Normal 2 9 2 5 4 2" xfId="41661" xr:uid="{F782497B-60E5-4B71-9501-F3AFFB1AD3B8}"/>
    <cellStyle name="Normal 2 9 2 5 5" xfId="29070" xr:uid="{3F3CF860-6E34-4721-8A75-746A6ABF624F}"/>
    <cellStyle name="Normal 2 9 2 6" xfId="4257" xr:uid="{F7ED7A0F-D75C-4AF8-9C06-C35633889E44}"/>
    <cellStyle name="Normal 2 9 2 6 2" xfId="10550" xr:uid="{FE0B47F0-625A-4329-B3F4-7727F3D11103}"/>
    <cellStyle name="Normal 2 9 2 6 2 2" xfId="23232" xr:uid="{5CEC190A-47CD-4529-A7BE-0AEB2C8FFC85}"/>
    <cellStyle name="Normal 2 9 2 6 2 2 2" xfId="48724" xr:uid="{B7DC126C-027D-4DB3-BAA4-2E42ED6B68A8}"/>
    <cellStyle name="Normal 2 9 2 6 2 3" xfId="36133" xr:uid="{EFD4F517-1942-4DF6-AB9A-43A8F9E9AB83}"/>
    <cellStyle name="Normal 2 9 2 6 3" xfId="16954" xr:uid="{A0724A4B-8124-4955-86AD-61A7E869D523}"/>
    <cellStyle name="Normal 2 9 2 6 3 2" xfId="42446" xr:uid="{CDFFAF42-175D-4704-8D35-6EB1E0AABE3B}"/>
    <cellStyle name="Normal 2 9 2 6 4" xfId="29855" xr:uid="{4D4E9155-3108-48CC-B550-FAE6E543F96B}"/>
    <cellStyle name="Normal 2 9 2 7" xfId="7411" xr:uid="{7E579A53-E8F9-404C-9757-DFFBAF4A0737}"/>
    <cellStyle name="Normal 2 9 2 7 2" xfId="20093" xr:uid="{6273AF60-6462-4B0E-8A65-F169722F75A0}"/>
    <cellStyle name="Normal 2 9 2 7 2 2" xfId="45585" xr:uid="{FED30E16-240A-4B2E-8AE3-0DF3C9150275}"/>
    <cellStyle name="Normal 2 9 2 7 3" xfId="32994" xr:uid="{3E9610E3-B50C-4D95-B78D-0272CE7B882C}"/>
    <cellStyle name="Normal 2 9 2 8" xfId="13815" xr:uid="{021287A6-6B98-4301-AA4F-A345432460F6}"/>
    <cellStyle name="Normal 2 9 2 8 2" xfId="39307" xr:uid="{BE6AC992-78C7-43F7-8523-AE9088B258AC}"/>
    <cellStyle name="Normal 2 9 2 9" xfId="26716" xr:uid="{A5439AFD-60DC-4306-B360-63EB2B8C72BF}"/>
    <cellStyle name="Normal 2 9 3" xfId="843" xr:uid="{15751496-E81B-4E7B-BD68-51E54348108C}"/>
    <cellStyle name="Normal 2 9 3 2" xfId="2150" xr:uid="{922F5A65-3B14-47C7-BC51-BA3E6AD9FDA8}"/>
    <cellStyle name="Normal 2 9 3 2 2" xfId="5304" xr:uid="{552CA582-073C-4850-8792-A13003A9068B}"/>
    <cellStyle name="Normal 2 9 3 2 2 2" xfId="11597" xr:uid="{A2B07613-0AB3-4B13-8240-75F27EAEFCED}"/>
    <cellStyle name="Normal 2 9 3 2 2 2 2" xfId="24279" xr:uid="{E68AA273-721F-4B03-B9AD-893F82E97DA4}"/>
    <cellStyle name="Normal 2 9 3 2 2 2 2 2" xfId="49771" xr:uid="{7AB756CC-B54D-42FF-8911-10BA59E755AE}"/>
    <cellStyle name="Normal 2 9 3 2 2 2 3" xfId="37180" xr:uid="{DBAE5E9A-59E1-4E00-B099-1AA8269C4CE6}"/>
    <cellStyle name="Normal 2 9 3 2 2 3" xfId="18001" xr:uid="{A6E31DB5-FB99-494E-A236-1753B35D10D9}"/>
    <cellStyle name="Normal 2 9 3 2 2 3 2" xfId="43493" xr:uid="{2F116A0D-1ECD-46BF-94C0-D0879E19E803}"/>
    <cellStyle name="Normal 2 9 3 2 2 4" xfId="30902" xr:uid="{966F7EB4-8BF1-49A5-AC90-A023964E84AC}"/>
    <cellStyle name="Normal 2 9 3 2 3" xfId="8458" xr:uid="{F6E2629A-A19E-40A5-AD3B-D6010282CF70}"/>
    <cellStyle name="Normal 2 9 3 2 3 2" xfId="21140" xr:uid="{EC12349E-D0AA-4C69-9D7F-6179F4AA94F4}"/>
    <cellStyle name="Normal 2 9 3 2 3 2 2" xfId="46632" xr:uid="{555A635D-F9DC-4C26-8C99-8E70B7EBE2A6}"/>
    <cellStyle name="Normal 2 9 3 2 3 3" xfId="34041" xr:uid="{968575AE-6099-4A1B-B85D-C84A47B64F34}"/>
    <cellStyle name="Normal 2 9 3 2 4" xfId="14862" xr:uid="{F173F847-7085-45EE-AADE-22E189611479}"/>
    <cellStyle name="Normal 2 9 3 2 4 2" xfId="40354" xr:uid="{3D632593-535B-483C-A28B-3AEDC8793152}"/>
    <cellStyle name="Normal 2 9 3 2 5" xfId="27763" xr:uid="{C68F4B56-9B4E-498C-B65B-3D824A66DFF4}"/>
    <cellStyle name="Normal 2 9 3 3" xfId="3997" xr:uid="{50586E50-E79A-48A4-863F-12F677E71DC0}"/>
    <cellStyle name="Normal 2 9 3 3 2" xfId="10290" xr:uid="{7ADEF999-DF54-44CD-A8DA-DB7FDA94783F}"/>
    <cellStyle name="Normal 2 9 3 3 2 2" xfId="22972" xr:uid="{E76C37AD-3D70-467E-B782-4C72D9E96F82}"/>
    <cellStyle name="Normal 2 9 3 3 2 2 2" xfId="48464" xr:uid="{B20628ED-1D36-4A8B-BB9B-6F9C90910D96}"/>
    <cellStyle name="Normal 2 9 3 3 2 3" xfId="35873" xr:uid="{BB22A739-6895-460A-AE9A-62ED9017CE3B}"/>
    <cellStyle name="Normal 2 9 3 3 3" xfId="16694" xr:uid="{C7B245B8-2369-4AF6-BD10-F7162A2DC4AE}"/>
    <cellStyle name="Normal 2 9 3 3 3 2" xfId="42186" xr:uid="{40E583AB-7F26-400D-A885-87E228896B6F}"/>
    <cellStyle name="Normal 2 9 3 3 4" xfId="29595" xr:uid="{D7546BF3-EC90-490E-8DC8-1BBABD40F498}"/>
    <cellStyle name="Normal 2 9 3 4" xfId="7151" xr:uid="{6D91D039-0EBB-4CCA-A77E-78C784A959D7}"/>
    <cellStyle name="Normal 2 9 3 4 2" xfId="19833" xr:uid="{114EAABB-8A40-4C1A-81BE-001F35265EB1}"/>
    <cellStyle name="Normal 2 9 3 4 2 2" xfId="45325" xr:uid="{C5A11A3C-9715-468A-9572-0F8FD738EBAB}"/>
    <cellStyle name="Normal 2 9 3 4 3" xfId="32734" xr:uid="{DB1DEE09-9168-4F5D-B8AF-6544AD4DF5FB}"/>
    <cellStyle name="Normal 2 9 3 5" xfId="13555" xr:uid="{4E0AD51F-8756-4E2F-A5D0-E75F5DDE9C2D}"/>
    <cellStyle name="Normal 2 9 3 5 2" xfId="39047" xr:uid="{73CF3B43-02AF-44D9-9B23-D2B6D66B271E}"/>
    <cellStyle name="Normal 2 9 3 6" xfId="26456" xr:uid="{468429A8-67F2-42AA-A782-DBDDA9C8A0EB}"/>
    <cellStyle name="Normal 2 9 4" xfId="1888" xr:uid="{F9F8D58B-E1B2-49C5-A734-EEF47D3C4D0B}"/>
    <cellStyle name="Normal 2 9 4 2" xfId="5042" xr:uid="{C836A6BD-E06A-47C2-8E3E-383E7A13D039}"/>
    <cellStyle name="Normal 2 9 4 2 2" xfId="11335" xr:uid="{3E3971C7-FE67-44AC-9CDB-FEC6201A04D6}"/>
    <cellStyle name="Normal 2 9 4 2 2 2" xfId="24017" xr:uid="{1C63B04E-7DE7-403C-A7E7-056E14E190B4}"/>
    <cellStyle name="Normal 2 9 4 2 2 2 2" xfId="49509" xr:uid="{324EE3D3-BA98-4E3C-9563-28D4110412BD}"/>
    <cellStyle name="Normal 2 9 4 2 2 3" xfId="36918" xr:uid="{02A8681A-F214-490F-A1A7-83AB9BEE6228}"/>
    <cellStyle name="Normal 2 9 4 2 3" xfId="17739" xr:uid="{EC97A757-AB05-4326-8AF6-8D55AFD3D76F}"/>
    <cellStyle name="Normal 2 9 4 2 3 2" xfId="43231" xr:uid="{B543B37A-6E05-43BA-8460-6F9534763861}"/>
    <cellStyle name="Normal 2 9 4 2 4" xfId="30640" xr:uid="{7C98ACA9-FB21-43B8-84F7-56FECE698A97}"/>
    <cellStyle name="Normal 2 9 4 3" xfId="8196" xr:uid="{F7EC40BD-16AD-4547-A17A-1D0125802CC7}"/>
    <cellStyle name="Normal 2 9 4 3 2" xfId="20878" xr:uid="{A45FB4C1-B9A3-467D-8274-8E0345315FC3}"/>
    <cellStyle name="Normal 2 9 4 3 2 2" xfId="46370" xr:uid="{0F5A6DEA-EB03-4A1D-ABB6-037644498500}"/>
    <cellStyle name="Normal 2 9 4 3 3" xfId="33779" xr:uid="{76D84C38-19DF-4994-9CA5-377A318F5500}"/>
    <cellStyle name="Normal 2 9 4 4" xfId="14600" xr:uid="{C203F835-03B7-4C7E-8260-F74DF35FCEA6}"/>
    <cellStyle name="Normal 2 9 4 4 2" xfId="40092" xr:uid="{BADFF52F-3557-41E8-8E6D-A8ACBB516E66}"/>
    <cellStyle name="Normal 2 9 4 5" xfId="27501" xr:uid="{10E05D39-4DDF-4587-9A1E-71EEE982D843}"/>
    <cellStyle name="Normal 2 9 5" xfId="1366" xr:uid="{074E918B-16B3-45F0-87E4-6468ED8F3BF8}"/>
    <cellStyle name="Normal 2 9 5 2" xfId="4520" xr:uid="{F052B358-3E4A-493F-8F68-DA67600E6A41}"/>
    <cellStyle name="Normal 2 9 5 2 2" xfId="10813" xr:uid="{8FAAF0DC-F04C-4D94-8E8C-BC2947E0D889}"/>
    <cellStyle name="Normal 2 9 5 2 2 2" xfId="23495" xr:uid="{1C04F895-B3BA-4D10-A0DE-5E7F789CEF3E}"/>
    <cellStyle name="Normal 2 9 5 2 2 2 2" xfId="48987" xr:uid="{008E06BF-89A1-476D-A46B-4908447C51F3}"/>
    <cellStyle name="Normal 2 9 5 2 2 3" xfId="36396" xr:uid="{868D82CD-45F3-4A19-A6F4-B60C61E4C023}"/>
    <cellStyle name="Normal 2 9 5 2 3" xfId="17217" xr:uid="{8364F979-47F5-4566-A7D5-FBFBBFF00C8C}"/>
    <cellStyle name="Normal 2 9 5 2 3 2" xfId="42709" xr:uid="{D617ED62-3B28-4FB5-9985-09E9B38520DD}"/>
    <cellStyle name="Normal 2 9 5 2 4" xfId="30118" xr:uid="{EF89A050-A7A6-41AF-8ED4-38EA1820EC46}"/>
    <cellStyle name="Normal 2 9 5 3" xfId="7674" xr:uid="{D63E5472-B2AB-4C84-85CB-6F2E4A2FD35F}"/>
    <cellStyle name="Normal 2 9 5 3 2" xfId="20356" xr:uid="{CD1B87BF-3FFF-4FA2-A828-0A75A532A707}"/>
    <cellStyle name="Normal 2 9 5 3 2 2" xfId="45848" xr:uid="{9F553E8F-2B97-490C-8E37-375EBD5CC3F6}"/>
    <cellStyle name="Normal 2 9 5 3 3" xfId="33257" xr:uid="{965BB031-B054-459B-9635-00604AEF2115}"/>
    <cellStyle name="Normal 2 9 5 4" xfId="14078" xr:uid="{E84D1742-DB9F-422A-A34E-679C8914403C}"/>
    <cellStyle name="Normal 2 9 5 4 2" xfId="39570" xr:uid="{359045BB-6828-4E85-A654-EE0061415157}"/>
    <cellStyle name="Normal 2 9 5 5" xfId="26979" xr:uid="{6474234C-23BA-4FF1-802F-09EAEF4855EE}"/>
    <cellStyle name="Normal 2 9 6" xfId="2673" xr:uid="{50DFC7C9-69E6-4C8B-87B1-2837CF13D727}"/>
    <cellStyle name="Normal 2 9 6 2" xfId="5827" xr:uid="{660176EA-B27A-4C5F-BEF8-4914B57D8568}"/>
    <cellStyle name="Normal 2 9 6 2 2" xfId="12120" xr:uid="{B0289662-A034-4A4C-ABB4-60EF2349ECBF}"/>
    <cellStyle name="Normal 2 9 6 2 2 2" xfId="24802" xr:uid="{B7C6B6CD-9110-4A66-B19C-4C9D359400B9}"/>
    <cellStyle name="Normal 2 9 6 2 2 2 2" xfId="50294" xr:uid="{E568F8A8-BB4D-4798-BDD4-EDB7E6F0B0BA}"/>
    <cellStyle name="Normal 2 9 6 2 2 3" xfId="37703" xr:uid="{2A0D0753-29F6-440F-B013-D6524E6244B2}"/>
    <cellStyle name="Normal 2 9 6 2 3" xfId="18524" xr:uid="{1FE496CD-80DF-4C2E-B830-3E24D1F3887A}"/>
    <cellStyle name="Normal 2 9 6 2 3 2" xfId="44016" xr:uid="{4DF8BFE9-7BFB-4D8F-B3B7-AD3F50EC4F1D}"/>
    <cellStyle name="Normal 2 9 6 2 4" xfId="31425" xr:uid="{316DF18A-012C-42CF-B83A-8C2E820477A6}"/>
    <cellStyle name="Normal 2 9 6 3" xfId="8981" xr:uid="{2A1076E0-7A32-416C-9442-F57A70EF185F}"/>
    <cellStyle name="Normal 2 9 6 3 2" xfId="21663" xr:uid="{E3A24B92-3F92-4363-BC29-9846E14A398F}"/>
    <cellStyle name="Normal 2 9 6 3 2 2" xfId="47155" xr:uid="{B55CA0E6-D573-4A71-8B75-C83F731E73D3}"/>
    <cellStyle name="Normal 2 9 6 3 3" xfId="34564" xr:uid="{7D892FEC-9346-4EF1-AC8A-EFE8A9353AF6}"/>
    <cellStyle name="Normal 2 9 6 4" xfId="15385" xr:uid="{0E2F6E38-FFDB-46B7-8EA2-0A44143C214E}"/>
    <cellStyle name="Normal 2 9 6 4 2" xfId="40877" xr:uid="{2B59B2AB-C138-42EB-A2A6-6BEF0CED8477}"/>
    <cellStyle name="Normal 2 9 6 5" xfId="28286" xr:uid="{F24ECE79-C3C1-4A03-BC03-41DED69C491A}"/>
    <cellStyle name="Normal 2 9 7" xfId="3196" xr:uid="{B6FAC1CE-427E-4FC2-98C6-A5C9AFA2E29B}"/>
    <cellStyle name="Normal 2 9 7 2" xfId="6350" xr:uid="{0D54B76A-9761-4AA9-A7D4-EC10A55F0818}"/>
    <cellStyle name="Normal 2 9 7 2 2" xfId="12643" xr:uid="{BE659CD5-A99E-4955-B009-4E57972A01C7}"/>
    <cellStyle name="Normal 2 9 7 2 2 2" xfId="25325" xr:uid="{0F4FAAF5-C387-481B-8F32-F1FAD1AECBF3}"/>
    <cellStyle name="Normal 2 9 7 2 2 2 2" xfId="50817" xr:uid="{4A7DD5D3-D2CD-4FA9-A055-9F6DAFF5A76A}"/>
    <cellStyle name="Normal 2 9 7 2 2 3" xfId="38226" xr:uid="{5EEC3F18-A4A1-463E-8ADE-4F67888B4EC5}"/>
    <cellStyle name="Normal 2 9 7 2 3" xfId="19047" xr:uid="{39BFB9D3-11F8-4DEE-850C-8A123E741B84}"/>
    <cellStyle name="Normal 2 9 7 2 3 2" xfId="44539" xr:uid="{29F962B1-37B6-4143-92A8-EE72EC2816F7}"/>
    <cellStyle name="Normal 2 9 7 2 4" xfId="31948" xr:uid="{CF4D7C44-5E27-4EDE-A2AF-33699F3FF557}"/>
    <cellStyle name="Normal 2 9 7 3" xfId="9504" xr:uid="{7C30CDCA-83D6-48A6-967B-E920E683BC10}"/>
    <cellStyle name="Normal 2 9 7 3 2" xfId="22186" xr:uid="{CC5EB4EC-CEBC-4382-86CF-D15CF24B3377}"/>
    <cellStyle name="Normal 2 9 7 3 2 2" xfId="47678" xr:uid="{05E95B60-DEEF-4B43-BE1E-FD1E54E6088D}"/>
    <cellStyle name="Normal 2 9 7 3 3" xfId="35087" xr:uid="{5E5CE95E-5004-421D-B436-4869063CCD8A}"/>
    <cellStyle name="Normal 2 9 7 4" xfId="15908" xr:uid="{558643BE-94B8-48C2-8E91-B99871FA0363}"/>
    <cellStyle name="Normal 2 9 7 4 2" xfId="41400" xr:uid="{6FB7CF50-A4A3-40DD-B89E-39E4849AB96F}"/>
    <cellStyle name="Normal 2 9 7 5" xfId="28809" xr:uid="{D194D27F-9EDD-4080-A8E3-9984DCD152C0}"/>
    <cellStyle name="Normal 2 9 8" xfId="3735" xr:uid="{EDBBE377-FF7F-4C34-BDD3-275D5C5B46E2}"/>
    <cellStyle name="Normal 2 9 8 2" xfId="10028" xr:uid="{D3794477-49AF-44D5-855F-C12F0BFC94C3}"/>
    <cellStyle name="Normal 2 9 8 2 2" xfId="22710" xr:uid="{D3C3FA94-BDE6-467B-8A71-72C5239EEC4B}"/>
    <cellStyle name="Normal 2 9 8 2 2 2" xfId="48202" xr:uid="{AC545659-A918-424E-BAC7-56588AAAEE5D}"/>
    <cellStyle name="Normal 2 9 8 2 3" xfId="35611" xr:uid="{D6DB7F4F-ACCD-448B-B920-E66CA30D0B34}"/>
    <cellStyle name="Normal 2 9 8 3" xfId="16432" xr:uid="{E97A717D-05F1-4E9E-AE83-40ABAE003A12}"/>
    <cellStyle name="Normal 2 9 8 3 2" xfId="41924" xr:uid="{ABD08359-FDC1-4023-AA5B-DC8782097109}"/>
    <cellStyle name="Normal 2 9 8 4" xfId="29333" xr:uid="{2834816E-D4CC-4552-8966-CA763A4EE840}"/>
    <cellStyle name="Normal 2 9 9" xfId="6889" xr:uid="{B9C15276-2F73-4589-B8DC-689932781812}"/>
    <cellStyle name="Normal 2 9 9 2" xfId="19571" xr:uid="{8C1A4D33-657B-44D5-81B0-9486BABA8EA9}"/>
    <cellStyle name="Normal 2 9 9 2 2" xfId="45063" xr:uid="{93A9FD9D-ECA8-4C7C-8827-38568B932EF6}"/>
    <cellStyle name="Normal 2 9 9 3" xfId="32472" xr:uid="{BB03E723-3840-425C-8FF6-8E4558747D51}"/>
    <cellStyle name="Normal 20" xfId="156" xr:uid="{E28B7929-20AD-4797-AA3D-493D53199D74}"/>
    <cellStyle name="Normal 21" xfId="157" xr:uid="{89FFDE20-5456-46E5-A462-8F201859F742}"/>
    <cellStyle name="Normal 22" xfId="158" xr:uid="{260DBA52-FA66-4FF8-8A3E-6BBC93675F5C}"/>
    <cellStyle name="Normal 23" xfId="159" xr:uid="{84C4EAAC-13F0-4038-BC93-B7EDDD235E58}"/>
    <cellStyle name="Normal 24" xfId="160" xr:uid="{F522ED8B-9AD2-4026-BED2-00A79C7AD052}"/>
    <cellStyle name="Normal 25" xfId="164" xr:uid="{FCC9B52F-10FF-4C40-81C9-9567F588C5F6}"/>
    <cellStyle name="Normal 26" xfId="165" xr:uid="{B4DADD51-3810-4D8F-B992-D57EDC82ED4D}"/>
    <cellStyle name="Normal 27" xfId="51355" xr:uid="{A690463B-D752-43F7-BF62-5C0E8CE5DC24}"/>
    <cellStyle name="Normal 28" xfId="51356" xr:uid="{6E73AC83-C582-4CC4-B99A-F6FAF6DBBFA6}"/>
    <cellStyle name="Normal 29" xfId="51357" xr:uid="{81C13819-ABD0-4FCA-9917-7636BE17D4EF}"/>
    <cellStyle name="Normal 3" xfId="5" xr:uid="{00000000-0005-0000-0000-000005000000}"/>
    <cellStyle name="Normal 3 10" xfId="1731" xr:uid="{2E3C72AD-63F5-42C1-BCFD-7B30925B11CC}"/>
    <cellStyle name="Normal 3 10 2" xfId="4885" xr:uid="{4D5E5714-3484-4A5C-8864-FE597FA74003}"/>
    <cellStyle name="Normal 3 10 2 2" xfId="11178" xr:uid="{BCB829A9-D1C6-4411-A982-AB2D1144837E}"/>
    <cellStyle name="Normal 3 10 2 2 2" xfId="23860" xr:uid="{E231BAA1-4FF6-4581-BC17-681A33E9CE2F}"/>
    <cellStyle name="Normal 3 10 2 2 2 2" xfId="49352" xr:uid="{B1BBC759-443C-4906-B62F-D272A91D5D69}"/>
    <cellStyle name="Normal 3 10 2 2 3" xfId="36761" xr:uid="{0339925D-3886-467B-A025-E14BCBD3B876}"/>
    <cellStyle name="Normal 3 10 2 3" xfId="17582" xr:uid="{AC735C5A-1FBD-49C9-9D2D-1C6FE08D1AAA}"/>
    <cellStyle name="Normal 3 10 2 3 2" xfId="43074" xr:uid="{EE063364-03BB-4465-96CA-3B58AC37D619}"/>
    <cellStyle name="Normal 3 10 2 4" xfId="30483" xr:uid="{71805B5E-44D9-4BAD-ABBB-A4E49C8F79CE}"/>
    <cellStyle name="Normal 3 10 3" xfId="8039" xr:uid="{28E38E31-0343-4748-A21C-44556C646C47}"/>
    <cellStyle name="Normal 3 10 3 2" xfId="20721" xr:uid="{7466B650-7914-4611-8233-F20AA8A0C523}"/>
    <cellStyle name="Normal 3 10 3 2 2" xfId="46213" xr:uid="{D6602C94-6CD8-4F70-9615-8E75C9E5D19F}"/>
    <cellStyle name="Normal 3 10 3 3" xfId="33622" xr:uid="{A1F484C5-FC42-4FAA-A3B5-48C34BF7782F}"/>
    <cellStyle name="Normal 3 10 4" xfId="14443" xr:uid="{A70483FF-CD76-4D24-A39A-8B150C451EAE}"/>
    <cellStyle name="Normal 3 10 4 2" xfId="39935" xr:uid="{666C3542-57C2-4FBA-A73C-738A4CA46828}"/>
    <cellStyle name="Normal 3 10 5" xfId="27344" xr:uid="{824FBBDC-77A6-45B8-A301-FA90C46F938B}"/>
    <cellStyle name="Normal 3 11" xfId="1209" xr:uid="{2962A92F-EF22-4CFA-B0C3-B12045203609}"/>
    <cellStyle name="Normal 3 11 2" xfId="4363" xr:uid="{207E0298-33A0-41FD-ADE1-9E841A5A445C}"/>
    <cellStyle name="Normal 3 11 2 2" xfId="10656" xr:uid="{81320EB8-043E-45E2-8168-71ECDCD725D1}"/>
    <cellStyle name="Normal 3 11 2 2 2" xfId="23338" xr:uid="{8C87B094-E249-4B2E-9A2B-A85DC6C0ABD3}"/>
    <cellStyle name="Normal 3 11 2 2 2 2" xfId="48830" xr:uid="{CCA5ED7C-604F-4AE7-BE48-41DE39DD00CB}"/>
    <cellStyle name="Normal 3 11 2 2 3" xfId="36239" xr:uid="{0E4D3276-D0BA-4CB4-A065-D8F3573BB25C}"/>
    <cellStyle name="Normal 3 11 2 3" xfId="17060" xr:uid="{48C9730A-E660-40E0-8EE6-DAC34EA39A02}"/>
    <cellStyle name="Normal 3 11 2 3 2" xfId="42552" xr:uid="{56538318-CA61-4288-865C-C7C654BD08C1}"/>
    <cellStyle name="Normal 3 11 2 4" xfId="29961" xr:uid="{A7BB819C-CA7E-469A-B17B-5F38AB07B1B4}"/>
    <cellStyle name="Normal 3 11 3" xfId="7517" xr:uid="{D85C138D-952F-472A-BA78-B918236996F1}"/>
    <cellStyle name="Normal 3 11 3 2" xfId="20199" xr:uid="{294EAE6C-CCBC-4129-97A6-111A39E2DC3B}"/>
    <cellStyle name="Normal 3 11 3 2 2" xfId="45691" xr:uid="{04FF4216-B312-465E-A0F1-696C9F96C745}"/>
    <cellStyle name="Normal 3 11 3 3" xfId="33100" xr:uid="{3D022954-CE5E-4BC7-9EFB-D4AB2105652B}"/>
    <cellStyle name="Normal 3 11 4" xfId="13921" xr:uid="{B5E19B51-A909-4FC4-84FF-3FE9A567B2A0}"/>
    <cellStyle name="Normal 3 11 4 2" xfId="39413" xr:uid="{F987CD60-E442-4DD6-97DD-0DFB50EB6D45}"/>
    <cellStyle name="Normal 3 11 5" xfId="26822" xr:uid="{D8535941-EC1D-4716-8CCC-299FDC17EC88}"/>
    <cellStyle name="Normal 3 12" xfId="2516" xr:uid="{C8FFA0C3-F36F-4B6E-880C-219A50690A79}"/>
    <cellStyle name="Normal 3 12 2" xfId="5670" xr:uid="{A614D91F-0B98-416C-97E3-D61B2847A3DD}"/>
    <cellStyle name="Normal 3 12 2 2" xfId="11963" xr:uid="{12A2D27A-7BAD-4CE9-A27D-A60CE7EFB86B}"/>
    <cellStyle name="Normal 3 12 2 2 2" xfId="24645" xr:uid="{21995947-BB90-4ED5-86E2-65E4011E73CD}"/>
    <cellStyle name="Normal 3 12 2 2 2 2" xfId="50137" xr:uid="{4906F8FF-FB55-41B8-BDD0-72371D5D18A8}"/>
    <cellStyle name="Normal 3 12 2 2 3" xfId="37546" xr:uid="{B0CD3390-B59B-450F-B21C-D6A6288E973B}"/>
    <cellStyle name="Normal 3 12 2 3" xfId="18367" xr:uid="{0154D648-3188-4442-B9EC-E42F37AE2143}"/>
    <cellStyle name="Normal 3 12 2 3 2" xfId="43859" xr:uid="{23F424B8-D51F-4FC4-B751-3EAE388C84AA}"/>
    <cellStyle name="Normal 3 12 2 4" xfId="31268" xr:uid="{C356830F-F7B2-496D-96CF-730D93A3F628}"/>
    <cellStyle name="Normal 3 12 3" xfId="8824" xr:uid="{3342C313-CA2A-4A75-9EF4-A9B4FCCF99DC}"/>
    <cellStyle name="Normal 3 12 3 2" xfId="21506" xr:uid="{7ACF0981-A616-42C1-9B12-B46A501776C4}"/>
    <cellStyle name="Normal 3 12 3 2 2" xfId="46998" xr:uid="{BA004D32-EF6D-481E-A66B-0C86358EBF85}"/>
    <cellStyle name="Normal 3 12 3 3" xfId="34407" xr:uid="{2B47207F-881A-4D53-99DE-01948B66937B}"/>
    <cellStyle name="Normal 3 12 4" xfId="15228" xr:uid="{804D1A4D-DBFE-4FC6-8545-3917ED84D8F7}"/>
    <cellStyle name="Normal 3 12 4 2" xfId="40720" xr:uid="{DF93509B-50F1-482A-9246-838491674D72}"/>
    <cellStyle name="Normal 3 12 5" xfId="28129" xr:uid="{367B3D18-A3CD-4189-89BC-AFB874C12FC5}"/>
    <cellStyle name="Normal 3 13" xfId="3039" xr:uid="{C5B89280-1A49-4786-82AB-E3EB8ED74137}"/>
    <cellStyle name="Normal 3 13 2" xfId="6193" xr:uid="{0D995DC6-BE5C-469C-8880-E902CA5728F9}"/>
    <cellStyle name="Normal 3 13 2 2" xfId="12486" xr:uid="{195B8A00-DE4E-44CA-A994-3B072BFD7ABF}"/>
    <cellStyle name="Normal 3 13 2 2 2" xfId="25168" xr:uid="{E235FB36-253D-47FA-9CF3-18EC046F4534}"/>
    <cellStyle name="Normal 3 13 2 2 2 2" xfId="50660" xr:uid="{89E20D02-FBB8-4CBA-A752-D16303A9B2F6}"/>
    <cellStyle name="Normal 3 13 2 2 3" xfId="38069" xr:uid="{80C6C0B4-6F02-4AB0-9798-C1F3834B7A35}"/>
    <cellStyle name="Normal 3 13 2 3" xfId="18890" xr:uid="{1EB2705A-4F59-40C2-A49F-BAE0591E7690}"/>
    <cellStyle name="Normal 3 13 2 3 2" xfId="44382" xr:uid="{FC6DBB57-B90C-41E7-AA67-3B161363E8E3}"/>
    <cellStyle name="Normal 3 13 2 4" xfId="31791" xr:uid="{D85D1467-C2BE-41BE-AE08-0D4AF88B60A9}"/>
    <cellStyle name="Normal 3 13 3" xfId="9347" xr:uid="{3BEE721E-7C6C-4C25-B7FA-8A5EDFB31D63}"/>
    <cellStyle name="Normal 3 13 3 2" xfId="22029" xr:uid="{B095B075-2FF6-4AB9-90CA-A46117F48A7D}"/>
    <cellStyle name="Normal 3 13 3 2 2" xfId="47521" xr:uid="{816684AF-B558-420C-8D86-20D54ED9BF82}"/>
    <cellStyle name="Normal 3 13 3 3" xfId="34930" xr:uid="{37CFE5E3-746F-40C0-8862-76B74ADFEEC4}"/>
    <cellStyle name="Normal 3 13 4" xfId="15751" xr:uid="{0FC73CDE-4E85-4708-924B-876C5D63F904}"/>
    <cellStyle name="Normal 3 13 4 2" xfId="41243" xr:uid="{94D3BDA9-3F0E-4C5F-9B1D-A20A8760BCE5}"/>
    <cellStyle name="Normal 3 13 5" xfId="28652" xr:uid="{E9D02E8F-82A5-4C88-AEA9-E9C802BA37E4}"/>
    <cellStyle name="Normal 3 14" xfId="3578" xr:uid="{3E63FE52-8A24-45FE-BF3C-545B6BCBCFEE}"/>
    <cellStyle name="Normal 3 14 2" xfId="9871" xr:uid="{6DEF8F8A-024E-4C56-9410-529FDF055F68}"/>
    <cellStyle name="Normal 3 14 2 2" xfId="22553" xr:uid="{171877EC-765C-44AC-8D5E-F30E97C24724}"/>
    <cellStyle name="Normal 3 14 2 2 2" xfId="48045" xr:uid="{187F77E8-1147-4296-A5A3-A56257004E87}"/>
    <cellStyle name="Normal 3 14 2 3" xfId="35454" xr:uid="{DDA47D3A-CB4F-4199-ADA8-63BD6D7D761E}"/>
    <cellStyle name="Normal 3 14 3" xfId="16275" xr:uid="{AB4C2BEC-D23C-46C0-B710-EF7D78CC5EA5}"/>
    <cellStyle name="Normal 3 14 3 2" xfId="41767" xr:uid="{B6CDA6CB-3C21-41BD-A6AA-B2A6800A7B3A}"/>
    <cellStyle name="Normal 3 14 4" xfId="29176" xr:uid="{CF2AB2A7-933A-407D-946D-8006CCE2AF0D}"/>
    <cellStyle name="Normal 3 15" xfId="6732" xr:uid="{4C29151D-8F0F-452C-98E6-A05B05A55EE0}"/>
    <cellStyle name="Normal 3 15 2" xfId="19414" xr:uid="{212C88D9-F020-492C-BF59-32FE9AAD00F3}"/>
    <cellStyle name="Normal 3 15 2 2" xfId="44906" xr:uid="{95BEA98C-B588-4EF9-ACB8-D3DD95378A67}"/>
    <cellStyle name="Normal 3 15 3" xfId="32315" xr:uid="{9B8686DD-7798-4187-A742-791E19EBAD26}"/>
    <cellStyle name="Normal 3 16" xfId="13117" xr:uid="{AE976119-F458-492B-B1C3-61E68F729823}"/>
    <cellStyle name="Normal 3 16 2" xfId="38626" xr:uid="{A324F373-7978-4966-ABCA-7906D8C3B072}"/>
    <cellStyle name="Normal 3 17" xfId="13059" xr:uid="{5F453658-18AE-4CB6-B7D5-F72634BB830E}"/>
    <cellStyle name="Normal 3 18" xfId="26020" xr:uid="{DD8AC102-1421-4599-9C2F-9BB5220526B8}"/>
    <cellStyle name="Normal 3 19" xfId="365" xr:uid="{5D8AE0AB-7BE5-4B46-A30F-9814D5483C99}"/>
    <cellStyle name="Normal 3 2" xfId="95" xr:uid="{9D329DA6-0D64-4D6D-84E7-654DB27C973A}"/>
    <cellStyle name="Normal 3 2 10" xfId="1218" xr:uid="{F6920129-3516-4866-A630-56F9A935142E}"/>
    <cellStyle name="Normal 3 2 10 2" xfId="4372" xr:uid="{30A866C3-84F9-42A7-968B-A70DD2793F1E}"/>
    <cellStyle name="Normal 3 2 10 2 2" xfId="10665" xr:uid="{D0D69F43-52D5-42D1-8833-39123B1167D3}"/>
    <cellStyle name="Normal 3 2 10 2 2 2" xfId="23347" xr:uid="{31354A7A-BD47-403A-B73B-198BA79D5E63}"/>
    <cellStyle name="Normal 3 2 10 2 2 2 2" xfId="48839" xr:uid="{84BA925B-A66B-4B0D-8BFF-23E4B9312E07}"/>
    <cellStyle name="Normal 3 2 10 2 2 3" xfId="36248" xr:uid="{05336296-B4A7-4E08-8671-84F2D2AEE4A6}"/>
    <cellStyle name="Normal 3 2 10 2 3" xfId="17069" xr:uid="{325DED1E-DF31-45B2-923E-17DC9A0B026E}"/>
    <cellStyle name="Normal 3 2 10 2 3 2" xfId="42561" xr:uid="{8ECC8730-0664-4934-AC3A-CBC033DD0673}"/>
    <cellStyle name="Normal 3 2 10 2 4" xfId="29970" xr:uid="{272E425C-2ED5-4C5D-AA17-4610F1061F7B}"/>
    <cellStyle name="Normal 3 2 10 3" xfId="7526" xr:uid="{4C8FD0DF-0958-4D86-96D9-4AAB3F1C92A0}"/>
    <cellStyle name="Normal 3 2 10 3 2" xfId="20208" xr:uid="{35C88DD1-B9E2-4989-BBDF-FB9B23A3FC53}"/>
    <cellStyle name="Normal 3 2 10 3 2 2" xfId="45700" xr:uid="{132422D7-6274-4E3B-857F-6EE17BD1EE54}"/>
    <cellStyle name="Normal 3 2 10 3 3" xfId="33109" xr:uid="{E88BDCA3-E97E-4B98-8669-391C7D5D3DD8}"/>
    <cellStyle name="Normal 3 2 10 4" xfId="13930" xr:uid="{CCB5AFE0-4BBC-4881-8E5C-73B899FC9AF3}"/>
    <cellStyle name="Normal 3 2 10 4 2" xfId="39422" xr:uid="{E93099F7-743F-4488-A58E-3F3128886114}"/>
    <cellStyle name="Normal 3 2 10 5" xfId="26831" xr:uid="{CC816BFC-A23D-46A1-8CA6-4A5BC418A1EA}"/>
    <cellStyle name="Normal 3 2 11" xfId="2525" xr:uid="{C334E54F-16F0-4E0F-958D-E94721F8F263}"/>
    <cellStyle name="Normal 3 2 11 2" xfId="5679" xr:uid="{00FAC2F3-E280-4BA0-9365-63A2B54DF3C8}"/>
    <cellStyle name="Normal 3 2 11 2 2" xfId="11972" xr:uid="{91C6599B-1F0F-4F1B-80BA-E2A6D536FDC5}"/>
    <cellStyle name="Normal 3 2 11 2 2 2" xfId="24654" xr:uid="{09763A38-A892-40B2-8FF8-2A6C87C2C8CB}"/>
    <cellStyle name="Normal 3 2 11 2 2 2 2" xfId="50146" xr:uid="{280571A3-99FB-464D-897E-1E455AA674EE}"/>
    <cellStyle name="Normal 3 2 11 2 2 3" xfId="37555" xr:uid="{A7FCD800-9241-41F0-ACCA-73E419A2136F}"/>
    <cellStyle name="Normal 3 2 11 2 3" xfId="18376" xr:uid="{AE60013E-E5E7-4810-B7DF-1B0BE2A235BA}"/>
    <cellStyle name="Normal 3 2 11 2 3 2" xfId="43868" xr:uid="{36707181-7A85-4044-BC4B-7222D5606BCA}"/>
    <cellStyle name="Normal 3 2 11 2 4" xfId="31277" xr:uid="{DC67CC81-0E11-45CA-AFB7-9654D84C19AE}"/>
    <cellStyle name="Normal 3 2 11 3" xfId="8833" xr:uid="{D3EAC977-0BCA-4F9C-88BF-02AFF0CC5EFF}"/>
    <cellStyle name="Normal 3 2 11 3 2" xfId="21515" xr:uid="{496B0B72-D99B-4ADA-A11C-9BE85A37E33B}"/>
    <cellStyle name="Normal 3 2 11 3 2 2" xfId="47007" xr:uid="{AF12E529-476D-4678-B4E4-A3D473A41E96}"/>
    <cellStyle name="Normal 3 2 11 3 3" xfId="34416" xr:uid="{0591ECAE-1A9C-402F-8342-F4391EEFCCDE}"/>
    <cellStyle name="Normal 3 2 11 4" xfId="15237" xr:uid="{6BF17ECC-5CDA-4D67-830F-ECC88D5A83C8}"/>
    <cellStyle name="Normal 3 2 11 4 2" xfId="40729" xr:uid="{1132635C-4968-4B8B-A742-51086582D107}"/>
    <cellStyle name="Normal 3 2 11 5" xfId="28138" xr:uid="{8420A0EB-A2E1-4A95-AA66-26B04BA92FC1}"/>
    <cellStyle name="Normal 3 2 12" xfId="3048" xr:uid="{0B3F3278-30EE-4131-A86B-56B85C8FDEDD}"/>
    <cellStyle name="Normal 3 2 12 2" xfId="6202" xr:uid="{C9516785-CA83-43BE-B7C7-D83F423B8961}"/>
    <cellStyle name="Normal 3 2 12 2 2" xfId="12495" xr:uid="{7F771F7F-550E-428F-975B-492FE3A2B73A}"/>
    <cellStyle name="Normal 3 2 12 2 2 2" xfId="25177" xr:uid="{CCDB05A6-A310-419A-A60A-FB147928CB67}"/>
    <cellStyle name="Normal 3 2 12 2 2 2 2" xfId="50669" xr:uid="{C61B7E5E-D430-4373-B22E-1F54499DCC72}"/>
    <cellStyle name="Normal 3 2 12 2 2 3" xfId="38078" xr:uid="{762FBDDD-CBFF-4192-9B9F-1E88534F4699}"/>
    <cellStyle name="Normal 3 2 12 2 3" xfId="18899" xr:uid="{AB40CA1A-FFA4-4288-80DF-898EAE6C60C2}"/>
    <cellStyle name="Normal 3 2 12 2 3 2" xfId="44391" xr:uid="{473AE803-A29A-4F76-9475-677FEC0DA227}"/>
    <cellStyle name="Normal 3 2 12 2 4" xfId="31800" xr:uid="{745473D2-27FA-4900-8BE5-436F49923740}"/>
    <cellStyle name="Normal 3 2 12 3" xfId="9356" xr:uid="{3B5554C6-4CEF-4788-AD09-8E68142C30D1}"/>
    <cellStyle name="Normal 3 2 12 3 2" xfId="22038" xr:uid="{2566BDB1-E31E-4A4F-98B7-95615B639C2E}"/>
    <cellStyle name="Normal 3 2 12 3 2 2" xfId="47530" xr:uid="{F2631D59-748E-43C3-B784-F9090D8E0D0E}"/>
    <cellStyle name="Normal 3 2 12 3 3" xfId="34939" xr:uid="{99680DCF-5994-4C01-A435-16CF9E0ADE59}"/>
    <cellStyle name="Normal 3 2 12 4" xfId="15760" xr:uid="{EDF89DE9-EE65-44C2-AD1C-6C72D5960022}"/>
    <cellStyle name="Normal 3 2 12 4 2" xfId="41252" xr:uid="{739FF8E3-3098-4F06-AA02-322E51C801C7}"/>
    <cellStyle name="Normal 3 2 12 5" xfId="28661" xr:uid="{26CE0BBD-4EF6-46A4-9E03-23C99F61667A}"/>
    <cellStyle name="Normal 3 2 13" xfId="3587" xr:uid="{18C19E17-69D1-424F-8EAA-BDE8D1D459BE}"/>
    <cellStyle name="Normal 3 2 13 2" xfId="9880" xr:uid="{8CFB9980-6942-4BFC-A005-668415C7FC42}"/>
    <cellStyle name="Normal 3 2 13 2 2" xfId="22562" xr:uid="{915C0FE3-C729-4C9E-B1F1-0ABEB94358F8}"/>
    <cellStyle name="Normal 3 2 13 2 2 2" xfId="48054" xr:uid="{943DAD4F-CEE2-4554-A9D8-21AC175795E5}"/>
    <cellStyle name="Normal 3 2 13 2 3" xfId="35463" xr:uid="{233DA8E9-D19A-4057-81F2-9FE83F5FCE02}"/>
    <cellStyle name="Normal 3 2 13 3" xfId="16284" xr:uid="{F8B9591F-D7E9-4A9E-8424-2FBF90CB5A9B}"/>
    <cellStyle name="Normal 3 2 13 3 2" xfId="41776" xr:uid="{DAA75C8B-89F4-4DC7-8DED-5044B957D873}"/>
    <cellStyle name="Normal 3 2 13 4" xfId="29185" xr:uid="{CF984A74-497C-496A-A5B1-9CB12CE083C3}"/>
    <cellStyle name="Normal 3 2 14" xfId="6741" xr:uid="{0ED605DA-1710-44FC-9830-FCF5C02AFD85}"/>
    <cellStyle name="Normal 3 2 14 2" xfId="19423" xr:uid="{19481248-77E8-47E5-AB04-D5079AFE4F51}"/>
    <cellStyle name="Normal 3 2 14 2 2" xfId="44915" xr:uid="{D2519703-879F-4999-95B2-0153F36100C2}"/>
    <cellStyle name="Normal 3 2 14 3" xfId="32324" xr:uid="{1CF24FDA-7DB6-41C1-A88F-F60EDC4F3D79}"/>
    <cellStyle name="Normal 3 2 15" xfId="13143" xr:uid="{3AA3E045-63EF-4017-9631-8C0BAC8D311A}"/>
    <cellStyle name="Normal 3 2 15 2" xfId="38636" xr:uid="{D6442B22-9D1E-4324-A724-CA4ACF6D9E7F}"/>
    <cellStyle name="Normal 3 2 16" xfId="13069" xr:uid="{5615EA60-1081-4A5E-8C6A-D5751EC1AF29}"/>
    <cellStyle name="Normal 3 2 17" xfId="26045" xr:uid="{B79405FC-E684-4FEA-B9FC-C5C9817E2A9F}"/>
    <cellStyle name="Normal 3 2 18" xfId="403" xr:uid="{7A850856-8862-4EFB-8400-7FFF32D3611A}"/>
    <cellStyle name="Normal 3 2 19" xfId="256" xr:uid="{51E38DF0-7FB6-440F-8E5B-692E4CA6B091}"/>
    <cellStyle name="Normal 3 2 2" xfId="438" xr:uid="{7028EDAC-1ECE-437A-97BB-1C5B4FA45802}"/>
    <cellStyle name="Normal 3 2 2 10" xfId="3068" xr:uid="{21FED65A-0B64-4F4A-AE99-99978AEF713B}"/>
    <cellStyle name="Normal 3 2 2 10 2" xfId="6222" xr:uid="{A29F5815-F9A8-4B7A-AD3F-E236582D9BB2}"/>
    <cellStyle name="Normal 3 2 2 10 2 2" xfId="12515" xr:uid="{92E0AC4C-4BA8-44AE-8DCD-025B34A46B45}"/>
    <cellStyle name="Normal 3 2 2 10 2 2 2" xfId="25197" xr:uid="{78C41565-FE28-4D98-A9BE-09C61923291C}"/>
    <cellStyle name="Normal 3 2 2 10 2 2 2 2" xfId="50689" xr:uid="{81266270-6889-4C69-A9E0-036F7589AA42}"/>
    <cellStyle name="Normal 3 2 2 10 2 2 3" xfId="38098" xr:uid="{8F06B4BA-0B0B-4AC5-A169-2B79A5ECCF2F}"/>
    <cellStyle name="Normal 3 2 2 10 2 3" xfId="18919" xr:uid="{ABEAFBA5-77F3-4FB1-B275-9D908618DCC2}"/>
    <cellStyle name="Normal 3 2 2 10 2 3 2" xfId="44411" xr:uid="{369759B2-23D5-4D66-A579-2A951C75ECF7}"/>
    <cellStyle name="Normal 3 2 2 10 2 4" xfId="31820" xr:uid="{0C144982-F976-423D-9EF7-5BC58888F65B}"/>
    <cellStyle name="Normal 3 2 2 10 3" xfId="9376" xr:uid="{1E7491C6-EFE2-4E42-8901-F36CA3634987}"/>
    <cellStyle name="Normal 3 2 2 10 3 2" xfId="22058" xr:uid="{DD0ECACD-1649-49D8-96D4-EB5FA04F9A4A}"/>
    <cellStyle name="Normal 3 2 2 10 3 2 2" xfId="47550" xr:uid="{CECF2DD0-6B22-4CB4-A620-05BCC7488C1D}"/>
    <cellStyle name="Normal 3 2 2 10 3 3" xfId="34959" xr:uid="{088E1022-8372-445A-B027-666B5BEA9250}"/>
    <cellStyle name="Normal 3 2 2 10 4" xfId="15780" xr:uid="{E7EB1BD7-0FB7-4D09-A64A-91F2E401A4FD}"/>
    <cellStyle name="Normal 3 2 2 10 4 2" xfId="41272" xr:uid="{66E7CEAB-517C-4246-B3A1-C9CABEE2D48D}"/>
    <cellStyle name="Normal 3 2 2 10 5" xfId="28681" xr:uid="{562D6E2D-6CB9-42A3-9D78-3EC71A3777CB}"/>
    <cellStyle name="Normal 3 2 2 11" xfId="3607" xr:uid="{3A0817FF-B3B7-4E2A-99BE-1E21F1D885DF}"/>
    <cellStyle name="Normal 3 2 2 11 2" xfId="9900" xr:uid="{D2F7BEB8-581A-4A1B-952D-FF106C47152A}"/>
    <cellStyle name="Normal 3 2 2 11 2 2" xfId="22582" xr:uid="{1D4DC972-77CA-4FBC-AAA6-FE7E657A5734}"/>
    <cellStyle name="Normal 3 2 2 11 2 2 2" xfId="48074" xr:uid="{08463FBD-2325-4367-8EAC-212E7AD114F2}"/>
    <cellStyle name="Normal 3 2 2 11 2 3" xfId="35483" xr:uid="{F7E58A1F-40C8-4A1E-9AFA-DCC0F950C71F}"/>
    <cellStyle name="Normal 3 2 2 11 3" xfId="16304" xr:uid="{5856B2B0-533B-464C-B659-F41F394C1DB5}"/>
    <cellStyle name="Normal 3 2 2 11 3 2" xfId="41796" xr:uid="{15966ED8-5965-410D-A3A0-0C0E74CC2128}"/>
    <cellStyle name="Normal 3 2 2 11 4" xfId="29205" xr:uid="{AD0255E2-46F1-4B51-A47A-DA6321E6B737}"/>
    <cellStyle name="Normal 3 2 2 12" xfId="6761" xr:uid="{04E6DF06-93DE-409D-B93C-92743373ED8B}"/>
    <cellStyle name="Normal 3 2 2 12 2" xfId="19443" xr:uid="{84F354E4-2E4D-4068-91E3-AAC59147A30B}"/>
    <cellStyle name="Normal 3 2 2 12 2 2" xfId="44935" xr:uid="{50C50F4E-E97D-4C95-9757-790FE0038283}"/>
    <cellStyle name="Normal 3 2 2 12 3" xfId="32344" xr:uid="{25B0AFE8-86C1-45A0-A207-8445670BA95B}"/>
    <cellStyle name="Normal 3 2 2 13" xfId="13165" xr:uid="{BDAB5C0C-A19E-40CC-BF53-519D764586F8}"/>
    <cellStyle name="Normal 3 2 2 13 2" xfId="38657" xr:uid="{0CD121DE-3293-4EC2-B655-9942AF01FBDB}"/>
    <cellStyle name="Normal 3 2 2 14" xfId="26066" xr:uid="{8E15AF2F-D1BB-41A8-84FA-17C8E69F8E27}"/>
    <cellStyle name="Normal 3 2 2 2" xfId="499" xr:uid="{E92EF3F5-EF82-4176-9498-D28F773A0EA9}"/>
    <cellStyle name="Normal 3 2 2 2 10" xfId="6822" xr:uid="{62B231FB-CC90-4631-BC55-536B5BCB1CAB}"/>
    <cellStyle name="Normal 3 2 2 2 10 2" xfId="19504" xr:uid="{8C7C4C11-DC52-43DF-AF6D-6012CB8326D9}"/>
    <cellStyle name="Normal 3 2 2 2 10 2 2" xfId="44996" xr:uid="{444A3DA4-E61A-4EA0-A1DF-00AE8F357335}"/>
    <cellStyle name="Normal 3 2 2 2 10 3" xfId="32405" xr:uid="{C8961FB6-8CC8-42B1-9C2F-8EB4F71BA8BF}"/>
    <cellStyle name="Normal 3 2 2 2 11" xfId="13226" xr:uid="{AFB354A3-2A6B-4554-A24D-0D5964E15096}"/>
    <cellStyle name="Normal 3 2 2 2 11 2" xfId="38718" xr:uid="{50258C22-F3AE-4334-A4D1-ADC3CCB1CD4C}"/>
    <cellStyle name="Normal 3 2 2 2 12" xfId="26127" xr:uid="{E5A19FF0-C2F1-4575-A897-B30B91556E5C}"/>
    <cellStyle name="Normal 3 2 2 2 2" xfId="658" xr:uid="{FBA1FB6E-594E-4FDF-9747-51CED7816651}"/>
    <cellStyle name="Normal 3 2 2 2 2 10" xfId="13385" xr:uid="{A9FFBFB7-C321-4FD0-849A-610384145EC7}"/>
    <cellStyle name="Normal 3 2 2 2 2 10 2" xfId="38877" xr:uid="{04A78891-349E-4CE5-ADF1-FED1F5818178}"/>
    <cellStyle name="Normal 3 2 2 2 2 11" xfId="26286" xr:uid="{D56324E4-B7B4-43A1-8161-823AC1E16FFA}"/>
    <cellStyle name="Normal 3 2 2 2 2 2" xfId="1195" xr:uid="{6D21C49F-53CF-46A3-BC15-B287741EB305}"/>
    <cellStyle name="Normal 3 2 2 2 2 2 2" xfId="2502" xr:uid="{D78090F0-6BD2-4C3C-8C87-754508CD18C3}"/>
    <cellStyle name="Normal 3 2 2 2 2 2 2 2" xfId="5656" xr:uid="{B613B244-5F5A-44CC-BD98-B40AB669A637}"/>
    <cellStyle name="Normal 3 2 2 2 2 2 2 2 2" xfId="11949" xr:uid="{E91BCA7C-E10A-49A5-A3E3-43C6868DC257}"/>
    <cellStyle name="Normal 3 2 2 2 2 2 2 2 2 2" xfId="24631" xr:uid="{90D47F6D-9168-4DEE-A82C-3C6DB27BBDC4}"/>
    <cellStyle name="Normal 3 2 2 2 2 2 2 2 2 2 2" xfId="50123" xr:uid="{3D7F3A15-99BE-439F-A814-D0D2F7C033A0}"/>
    <cellStyle name="Normal 3 2 2 2 2 2 2 2 2 3" xfId="37532" xr:uid="{CFBF5F43-C9C8-4D8E-B095-8B07A6140E3A}"/>
    <cellStyle name="Normal 3 2 2 2 2 2 2 2 3" xfId="18353" xr:uid="{A23D5E5A-884B-45A3-830C-5C62253C852B}"/>
    <cellStyle name="Normal 3 2 2 2 2 2 2 2 3 2" xfId="43845" xr:uid="{119B244E-C479-4ACF-B2E5-612D4D543445}"/>
    <cellStyle name="Normal 3 2 2 2 2 2 2 2 4" xfId="31254" xr:uid="{37860097-5E96-49C0-9361-E740D20052A8}"/>
    <cellStyle name="Normal 3 2 2 2 2 2 2 3" xfId="8810" xr:uid="{A9661CA2-B54C-4230-B55F-C75A23DC1595}"/>
    <cellStyle name="Normal 3 2 2 2 2 2 2 3 2" xfId="21492" xr:uid="{56EE2A56-A2A5-4287-8B3A-816123B20C22}"/>
    <cellStyle name="Normal 3 2 2 2 2 2 2 3 2 2" xfId="46984" xr:uid="{A1C5D200-280E-49BE-90EB-680DA0C44D54}"/>
    <cellStyle name="Normal 3 2 2 2 2 2 2 3 3" xfId="34393" xr:uid="{944C703E-8604-45EB-9164-9F6546D75D64}"/>
    <cellStyle name="Normal 3 2 2 2 2 2 2 4" xfId="15214" xr:uid="{F5075102-1675-4DC0-A0B3-D7AE834A4E88}"/>
    <cellStyle name="Normal 3 2 2 2 2 2 2 4 2" xfId="40706" xr:uid="{ECD1CCD5-2327-4FE3-B8AB-660777110719}"/>
    <cellStyle name="Normal 3 2 2 2 2 2 2 5" xfId="28115" xr:uid="{9A443750-6227-48C5-9D86-829E574FD2F1}"/>
    <cellStyle name="Normal 3 2 2 2 2 2 3" xfId="1719" xr:uid="{BDAEB8EE-D457-47B2-9AEA-F83895BC6CC7}"/>
    <cellStyle name="Normal 3 2 2 2 2 2 3 2" xfId="4873" xr:uid="{74C78D17-3D85-41DE-9E76-21965DBCFC9A}"/>
    <cellStyle name="Normal 3 2 2 2 2 2 3 2 2" xfId="11166" xr:uid="{B6FA1C46-1335-4EAA-BAFC-4ECF0C1AE5F1}"/>
    <cellStyle name="Normal 3 2 2 2 2 2 3 2 2 2" xfId="23848" xr:uid="{CDF41108-6E86-4B11-AEA7-A63A4C64DF2C}"/>
    <cellStyle name="Normal 3 2 2 2 2 2 3 2 2 2 2" xfId="49340" xr:uid="{79F1514C-13CB-40A1-94FC-BD5D54E42F8E}"/>
    <cellStyle name="Normal 3 2 2 2 2 2 3 2 2 3" xfId="36749" xr:uid="{65258A14-94F5-4074-A003-148F2806E87E}"/>
    <cellStyle name="Normal 3 2 2 2 2 2 3 2 3" xfId="17570" xr:uid="{DEFD1E65-D15A-4807-A33F-389EEB476ACB}"/>
    <cellStyle name="Normal 3 2 2 2 2 2 3 2 3 2" xfId="43062" xr:uid="{4014600E-FF89-4D2F-9ABD-529209A59598}"/>
    <cellStyle name="Normal 3 2 2 2 2 2 3 2 4" xfId="30471" xr:uid="{3A9A89A2-688D-4241-9EA8-4D1A49A7F0F9}"/>
    <cellStyle name="Normal 3 2 2 2 2 2 3 3" xfId="8027" xr:uid="{EC1C4057-84F2-4B8B-BE54-8AB4ED30B319}"/>
    <cellStyle name="Normal 3 2 2 2 2 2 3 3 2" xfId="20709" xr:uid="{A606EE05-934F-4A31-8217-828E476FF355}"/>
    <cellStyle name="Normal 3 2 2 2 2 2 3 3 2 2" xfId="46201" xr:uid="{91549DBE-507C-4A4B-B81B-D6099A400FA9}"/>
    <cellStyle name="Normal 3 2 2 2 2 2 3 3 3" xfId="33610" xr:uid="{F6A7FA94-7141-4393-A55F-5016C227494C}"/>
    <cellStyle name="Normal 3 2 2 2 2 2 3 4" xfId="14431" xr:uid="{AF291DA4-0A85-4819-8A50-AFC7D3DDBCB8}"/>
    <cellStyle name="Normal 3 2 2 2 2 2 3 4 2" xfId="39923" xr:uid="{504D794C-B9CC-4E0D-8E46-8B6E413D9363}"/>
    <cellStyle name="Normal 3 2 2 2 2 2 3 5" xfId="27332" xr:uid="{E6BEAF03-49CB-4A02-9796-22CD2E03961B}"/>
    <cellStyle name="Normal 3 2 2 2 2 2 4" xfId="3026" xr:uid="{81798421-7166-4FDE-920A-D247105954E5}"/>
    <cellStyle name="Normal 3 2 2 2 2 2 4 2" xfId="6180" xr:uid="{C361C837-39F9-4BD0-8812-7EF7A9A9C554}"/>
    <cellStyle name="Normal 3 2 2 2 2 2 4 2 2" xfId="12473" xr:uid="{F046D44D-BED3-4801-9B95-6390135FA11E}"/>
    <cellStyle name="Normal 3 2 2 2 2 2 4 2 2 2" xfId="25155" xr:uid="{A552638E-C4F4-4620-80C7-094C94C233E9}"/>
    <cellStyle name="Normal 3 2 2 2 2 2 4 2 2 2 2" xfId="50647" xr:uid="{B155A0EA-7E16-4BAC-89F6-17BAFA13BB10}"/>
    <cellStyle name="Normal 3 2 2 2 2 2 4 2 2 3" xfId="38056" xr:uid="{12198037-8A70-457C-9502-4EA7B017FC72}"/>
    <cellStyle name="Normal 3 2 2 2 2 2 4 2 3" xfId="18877" xr:uid="{05E6CEA2-AAC1-4D18-8472-741BC54135D6}"/>
    <cellStyle name="Normal 3 2 2 2 2 2 4 2 3 2" xfId="44369" xr:uid="{82A259CA-C46A-4B49-BE93-D6BFEA30B0FF}"/>
    <cellStyle name="Normal 3 2 2 2 2 2 4 2 4" xfId="31778" xr:uid="{BDFEFFFC-9B73-4D72-A436-1CEFBEFFE7F4}"/>
    <cellStyle name="Normal 3 2 2 2 2 2 4 3" xfId="9334" xr:uid="{FB907FAE-ED67-4E50-A1EC-DB58EEDB5747}"/>
    <cellStyle name="Normal 3 2 2 2 2 2 4 3 2" xfId="22016" xr:uid="{F7DA08A2-BA6B-4E1E-A0B4-7D94E3C60274}"/>
    <cellStyle name="Normal 3 2 2 2 2 2 4 3 2 2" xfId="47508" xr:uid="{93771E4B-7E70-4E11-A307-CE0A35C49EB2}"/>
    <cellStyle name="Normal 3 2 2 2 2 2 4 3 3" xfId="34917" xr:uid="{9C7262A5-6792-4A0A-8EB6-CCD5201AB759}"/>
    <cellStyle name="Normal 3 2 2 2 2 2 4 4" xfId="15738" xr:uid="{65E74DA1-A170-49E0-AA33-21312CA40333}"/>
    <cellStyle name="Normal 3 2 2 2 2 2 4 4 2" xfId="41230" xr:uid="{B45856B0-68CB-4754-B07E-007DFDA380AE}"/>
    <cellStyle name="Normal 3 2 2 2 2 2 4 5" xfId="28639" xr:uid="{76C1CF4B-6059-493E-AF49-863A7A5A8D10}"/>
    <cellStyle name="Normal 3 2 2 2 2 2 5" xfId="3549" xr:uid="{C7D9F7A9-EE67-42BC-85DE-75C3B53ADF2C}"/>
    <cellStyle name="Normal 3 2 2 2 2 2 5 2" xfId="6703" xr:uid="{FA700267-DEA9-4A9B-9AD3-09397C91C7D7}"/>
    <cellStyle name="Normal 3 2 2 2 2 2 5 2 2" xfId="12996" xr:uid="{9FC25BEF-A817-47FA-B73B-106DD18C0D40}"/>
    <cellStyle name="Normal 3 2 2 2 2 2 5 2 2 2" xfId="25678" xr:uid="{89241B5A-F982-4FAD-9868-3D2B3B5CB5A2}"/>
    <cellStyle name="Normal 3 2 2 2 2 2 5 2 2 2 2" xfId="51170" xr:uid="{889D2A47-4B91-4ECD-831A-E086CB4F680C}"/>
    <cellStyle name="Normal 3 2 2 2 2 2 5 2 2 3" xfId="38579" xr:uid="{5804D344-E41E-41B4-8677-39D74C5E5510}"/>
    <cellStyle name="Normal 3 2 2 2 2 2 5 2 3" xfId="19400" xr:uid="{96959083-143F-4718-9BB8-796AEE9EBBE6}"/>
    <cellStyle name="Normal 3 2 2 2 2 2 5 2 3 2" xfId="44892" xr:uid="{B5579D16-5EBA-49DD-BDFC-02B2952A0FC6}"/>
    <cellStyle name="Normal 3 2 2 2 2 2 5 2 4" xfId="32301" xr:uid="{C68A8FE7-4477-4A44-B341-7169CB488928}"/>
    <cellStyle name="Normal 3 2 2 2 2 2 5 3" xfId="9857" xr:uid="{B97D0210-A118-426A-8D26-DCFEF4BE5249}"/>
    <cellStyle name="Normal 3 2 2 2 2 2 5 3 2" xfId="22539" xr:uid="{79124C55-269F-4BF0-A563-B6EC67663F7C}"/>
    <cellStyle name="Normal 3 2 2 2 2 2 5 3 2 2" xfId="48031" xr:uid="{3F50AEFD-9E3E-4551-AF6B-B7E5E77E59CB}"/>
    <cellStyle name="Normal 3 2 2 2 2 2 5 3 3" xfId="35440" xr:uid="{E004C1DF-2C41-4410-9AE4-4D282F6D975A}"/>
    <cellStyle name="Normal 3 2 2 2 2 2 5 4" xfId="16261" xr:uid="{D06CC23C-2C6D-4E4E-AD18-5BB572759F83}"/>
    <cellStyle name="Normal 3 2 2 2 2 2 5 4 2" xfId="41753" xr:uid="{25526567-B7D7-4D4F-803E-C00A55CBD2F2}"/>
    <cellStyle name="Normal 3 2 2 2 2 2 5 5" xfId="29162" xr:uid="{0D284BF8-022D-4B16-81D2-155F2C4FD403}"/>
    <cellStyle name="Normal 3 2 2 2 2 2 6" xfId="4349" xr:uid="{3555E753-EE57-4B8C-B88E-62B6ED0AAE59}"/>
    <cellStyle name="Normal 3 2 2 2 2 2 6 2" xfId="10642" xr:uid="{AE5AA43F-07F3-4BEB-9874-781C3787BE6E}"/>
    <cellStyle name="Normal 3 2 2 2 2 2 6 2 2" xfId="23324" xr:uid="{C1A0CCBE-6E75-418D-AE21-8DF43BC423A1}"/>
    <cellStyle name="Normal 3 2 2 2 2 2 6 2 2 2" xfId="48816" xr:uid="{C31AEAD5-3487-4241-85DF-6E38F1EB18A2}"/>
    <cellStyle name="Normal 3 2 2 2 2 2 6 2 3" xfId="36225" xr:uid="{B462DC73-6862-4E66-82A6-1F6901927993}"/>
    <cellStyle name="Normal 3 2 2 2 2 2 6 3" xfId="17046" xr:uid="{DD1DF6CF-0750-4E39-8C52-9D98CAACA5F1}"/>
    <cellStyle name="Normal 3 2 2 2 2 2 6 3 2" xfId="42538" xr:uid="{4C375739-654E-4D9B-815F-FE72A907CC4E}"/>
    <cellStyle name="Normal 3 2 2 2 2 2 6 4" xfId="29947" xr:uid="{7C688899-E6C7-457A-AC77-AC5BC7E7F400}"/>
    <cellStyle name="Normal 3 2 2 2 2 2 7" xfId="7503" xr:uid="{8C8072D0-4872-49A3-89C3-8BEAB57C4151}"/>
    <cellStyle name="Normal 3 2 2 2 2 2 7 2" xfId="20185" xr:uid="{8E9BFC91-BC3F-474F-ABDC-5D21BA623FA0}"/>
    <cellStyle name="Normal 3 2 2 2 2 2 7 2 2" xfId="45677" xr:uid="{FCFBDE83-58DE-48A7-BD9D-DCE98EEDAFBB}"/>
    <cellStyle name="Normal 3 2 2 2 2 2 7 3" xfId="33086" xr:uid="{EF9F9BA4-EB05-4990-B28F-3607A2C93BA5}"/>
    <cellStyle name="Normal 3 2 2 2 2 2 8" xfId="13907" xr:uid="{A2CFF7EE-3968-43E1-9C45-EE26A96769AD}"/>
    <cellStyle name="Normal 3 2 2 2 2 2 8 2" xfId="39399" xr:uid="{3FE816C2-554E-4C1F-AE84-6697ED259CA8}"/>
    <cellStyle name="Normal 3 2 2 2 2 2 9" xfId="26808" xr:uid="{4C63F854-702F-472E-A8C7-A78D17AD6549}"/>
    <cellStyle name="Normal 3 2 2 2 2 3" xfId="935" xr:uid="{01440778-8D97-4131-BE11-39D655C4FDC4}"/>
    <cellStyle name="Normal 3 2 2 2 2 3 2" xfId="2242" xr:uid="{6D7F253B-2186-44C5-AA30-AFECFCFEEB0F}"/>
    <cellStyle name="Normal 3 2 2 2 2 3 2 2" xfId="5396" xr:uid="{58198A3D-0FE1-4146-A8A5-6967C388B9D2}"/>
    <cellStyle name="Normal 3 2 2 2 2 3 2 2 2" xfId="11689" xr:uid="{3EFBFB8B-9AEF-4096-B591-5E3DB564C128}"/>
    <cellStyle name="Normal 3 2 2 2 2 3 2 2 2 2" xfId="24371" xr:uid="{CE756563-6CC1-4A91-8FF1-F525428AA57E}"/>
    <cellStyle name="Normal 3 2 2 2 2 3 2 2 2 2 2" xfId="49863" xr:uid="{88CB24C5-892E-4EE4-BAC9-4EED62E266C6}"/>
    <cellStyle name="Normal 3 2 2 2 2 3 2 2 2 3" xfId="37272" xr:uid="{366F2FD7-9406-440B-9AEA-913A86787866}"/>
    <cellStyle name="Normal 3 2 2 2 2 3 2 2 3" xfId="18093" xr:uid="{F15B1137-4FCB-4331-A642-48B882C1E550}"/>
    <cellStyle name="Normal 3 2 2 2 2 3 2 2 3 2" xfId="43585" xr:uid="{55E1195A-D28C-4BD8-BEA5-18DC598ACD1D}"/>
    <cellStyle name="Normal 3 2 2 2 2 3 2 2 4" xfId="30994" xr:uid="{CA431649-5B9A-4624-AF88-2FD7A8D6983D}"/>
    <cellStyle name="Normal 3 2 2 2 2 3 2 3" xfId="8550" xr:uid="{D12289FF-F050-4FCA-823E-AD43F7CDB346}"/>
    <cellStyle name="Normal 3 2 2 2 2 3 2 3 2" xfId="21232" xr:uid="{AD313432-4348-4896-8BD4-05626498190B}"/>
    <cellStyle name="Normal 3 2 2 2 2 3 2 3 2 2" xfId="46724" xr:uid="{17D1D86E-27A7-4C0B-BE7E-BEA2AA0ABC38}"/>
    <cellStyle name="Normal 3 2 2 2 2 3 2 3 3" xfId="34133" xr:uid="{DCFEB38A-113D-4025-B371-3FC66413A26A}"/>
    <cellStyle name="Normal 3 2 2 2 2 3 2 4" xfId="14954" xr:uid="{87DD9842-C5AD-415A-91C5-321730E4576A}"/>
    <cellStyle name="Normal 3 2 2 2 2 3 2 4 2" xfId="40446" xr:uid="{F6BAF1CB-EFB9-42C7-8F24-7E557124904E}"/>
    <cellStyle name="Normal 3 2 2 2 2 3 2 5" xfId="27855" xr:uid="{BCB6A47A-9E46-4D61-A387-B26775EB35E7}"/>
    <cellStyle name="Normal 3 2 2 2 2 3 3" xfId="4089" xr:uid="{D56DB8B0-053E-4D3E-B29F-083B78761EC7}"/>
    <cellStyle name="Normal 3 2 2 2 2 3 3 2" xfId="10382" xr:uid="{A9610355-424B-487D-AAC4-AF11C4D314C8}"/>
    <cellStyle name="Normal 3 2 2 2 2 3 3 2 2" xfId="23064" xr:uid="{506EA348-3E81-430C-A8EF-3ED176C7894E}"/>
    <cellStyle name="Normal 3 2 2 2 2 3 3 2 2 2" xfId="48556" xr:uid="{0BC9191C-F3D2-4F73-B3D7-77CF64803237}"/>
    <cellStyle name="Normal 3 2 2 2 2 3 3 2 3" xfId="35965" xr:uid="{79320C0C-456D-46B6-9513-427DE3773797}"/>
    <cellStyle name="Normal 3 2 2 2 2 3 3 3" xfId="16786" xr:uid="{208D6E2E-2127-4D2D-A76C-3AB1156C7CAD}"/>
    <cellStyle name="Normal 3 2 2 2 2 3 3 3 2" xfId="42278" xr:uid="{FA457534-ECC9-469F-B5E0-C37E4C3AD566}"/>
    <cellStyle name="Normal 3 2 2 2 2 3 3 4" xfId="29687" xr:uid="{A020FE02-0DDF-497A-ABD1-D832EB378A46}"/>
    <cellStyle name="Normal 3 2 2 2 2 3 4" xfId="7243" xr:uid="{B205438A-8C22-41AF-931A-4FE523DDAC24}"/>
    <cellStyle name="Normal 3 2 2 2 2 3 4 2" xfId="19925" xr:uid="{CF13ADAC-6FA8-4541-BF13-F4A3449A0866}"/>
    <cellStyle name="Normal 3 2 2 2 2 3 4 2 2" xfId="45417" xr:uid="{1B74B620-9D61-4294-8F04-6C43D3A4986D}"/>
    <cellStyle name="Normal 3 2 2 2 2 3 4 3" xfId="32826" xr:uid="{92454024-088A-4580-AC78-1A6224B57CA8}"/>
    <cellStyle name="Normal 3 2 2 2 2 3 5" xfId="13647" xr:uid="{960620C9-099C-4395-ACB4-1F5EF049AE68}"/>
    <cellStyle name="Normal 3 2 2 2 2 3 5 2" xfId="39139" xr:uid="{4EE8D503-7434-4857-ACF8-A250A2EE173B}"/>
    <cellStyle name="Normal 3 2 2 2 2 3 6" xfId="26548" xr:uid="{33D1DDE2-5A0A-45AB-B30E-7681AF2F569B}"/>
    <cellStyle name="Normal 3 2 2 2 2 4" xfId="1980" xr:uid="{7217B225-E8D9-48D0-812F-79F5B3A152E6}"/>
    <cellStyle name="Normal 3 2 2 2 2 4 2" xfId="5134" xr:uid="{521F41D2-244C-4FBB-AEF3-11F2A5B1105D}"/>
    <cellStyle name="Normal 3 2 2 2 2 4 2 2" xfId="11427" xr:uid="{BF24AB3F-C6B0-4C57-9515-B88398B3A2E5}"/>
    <cellStyle name="Normal 3 2 2 2 2 4 2 2 2" xfId="24109" xr:uid="{D282285B-A820-4720-92E8-5F3A37D2153E}"/>
    <cellStyle name="Normal 3 2 2 2 2 4 2 2 2 2" xfId="49601" xr:uid="{1AAC18B3-6A2E-420A-922D-0C7537B617F9}"/>
    <cellStyle name="Normal 3 2 2 2 2 4 2 2 3" xfId="37010" xr:uid="{942F2713-8B2D-4E7F-8493-B82C2CA6E86B}"/>
    <cellStyle name="Normal 3 2 2 2 2 4 2 3" xfId="17831" xr:uid="{02E9B709-96F7-48AF-9D1F-D5C5D9FACA57}"/>
    <cellStyle name="Normal 3 2 2 2 2 4 2 3 2" xfId="43323" xr:uid="{17D2BF2E-3E34-4687-B381-430F2630C561}"/>
    <cellStyle name="Normal 3 2 2 2 2 4 2 4" xfId="30732" xr:uid="{EA578EA7-49EF-4691-85E2-EF9DB8A08EC8}"/>
    <cellStyle name="Normal 3 2 2 2 2 4 3" xfId="8288" xr:uid="{FDC32375-5A6A-4227-845A-0F052C4C8BFA}"/>
    <cellStyle name="Normal 3 2 2 2 2 4 3 2" xfId="20970" xr:uid="{21C4B931-6928-4A51-BB02-5625A84339BF}"/>
    <cellStyle name="Normal 3 2 2 2 2 4 3 2 2" xfId="46462" xr:uid="{3A5111BC-C792-4247-B299-ABDA2E40CB88}"/>
    <cellStyle name="Normal 3 2 2 2 2 4 3 3" xfId="33871" xr:uid="{901B4F0D-2E10-4FEB-A4EC-33F10D253243}"/>
    <cellStyle name="Normal 3 2 2 2 2 4 4" xfId="14692" xr:uid="{466E9606-8564-4EAA-9E70-3BC7092172B8}"/>
    <cellStyle name="Normal 3 2 2 2 2 4 4 2" xfId="40184" xr:uid="{AB31D58D-EF12-41D6-B44D-61BBE327121E}"/>
    <cellStyle name="Normal 3 2 2 2 2 4 5" xfId="27593" xr:uid="{C4845924-575B-45FE-9251-E078E3624398}"/>
    <cellStyle name="Normal 3 2 2 2 2 5" xfId="1458" xr:uid="{193C2C31-BA0E-4815-A3B4-30AC7595D160}"/>
    <cellStyle name="Normal 3 2 2 2 2 5 2" xfId="4612" xr:uid="{E742B514-935B-4CF1-ADAA-69FD3B761F87}"/>
    <cellStyle name="Normal 3 2 2 2 2 5 2 2" xfId="10905" xr:uid="{EBCEA968-3623-4C24-926E-0183D330F52B}"/>
    <cellStyle name="Normal 3 2 2 2 2 5 2 2 2" xfId="23587" xr:uid="{DC346639-D11A-4B6D-AC82-5326887BEE6D}"/>
    <cellStyle name="Normal 3 2 2 2 2 5 2 2 2 2" xfId="49079" xr:uid="{DDA8BD45-FBE4-46F1-B743-666E38DA4BB3}"/>
    <cellStyle name="Normal 3 2 2 2 2 5 2 2 3" xfId="36488" xr:uid="{A9C7EE50-4964-49FA-938F-A373A9EB2A7F}"/>
    <cellStyle name="Normal 3 2 2 2 2 5 2 3" xfId="17309" xr:uid="{D6B1A697-F414-4409-915B-90FA218D8B3F}"/>
    <cellStyle name="Normal 3 2 2 2 2 5 2 3 2" xfId="42801" xr:uid="{B3DC3F8C-3AAB-4FC0-92A9-3F79C350E75D}"/>
    <cellStyle name="Normal 3 2 2 2 2 5 2 4" xfId="30210" xr:uid="{A28BDC2B-105B-4575-A014-842358E740BC}"/>
    <cellStyle name="Normal 3 2 2 2 2 5 3" xfId="7766" xr:uid="{34CC9747-8410-4BC0-8EC8-BCE2DCF4EB8B}"/>
    <cellStyle name="Normal 3 2 2 2 2 5 3 2" xfId="20448" xr:uid="{7EECF6E2-991D-4CD7-B4D2-650B6F113F1A}"/>
    <cellStyle name="Normal 3 2 2 2 2 5 3 2 2" xfId="45940" xr:uid="{9196D8F1-9A68-4DCB-8A88-D299EFCDEEC1}"/>
    <cellStyle name="Normal 3 2 2 2 2 5 3 3" xfId="33349" xr:uid="{F2903E3A-0C91-4B54-BDCC-F2BAA445CA69}"/>
    <cellStyle name="Normal 3 2 2 2 2 5 4" xfId="14170" xr:uid="{77F01B7F-DFBB-4127-AA9E-A33519936E1D}"/>
    <cellStyle name="Normal 3 2 2 2 2 5 4 2" xfId="39662" xr:uid="{D296160D-3EFF-4482-B038-3B03983BE244}"/>
    <cellStyle name="Normal 3 2 2 2 2 5 5" xfId="27071" xr:uid="{6E32B356-FE4F-4DB9-BD10-97D0FE76DB10}"/>
    <cellStyle name="Normal 3 2 2 2 2 6" xfId="2765" xr:uid="{647F8FBC-503B-42AA-994F-2CE521C81784}"/>
    <cellStyle name="Normal 3 2 2 2 2 6 2" xfId="5919" xr:uid="{31A8DE9C-A310-4274-A750-BD5352144FD4}"/>
    <cellStyle name="Normal 3 2 2 2 2 6 2 2" xfId="12212" xr:uid="{5A8EF39D-F901-42DA-BBB3-85AADCC7375C}"/>
    <cellStyle name="Normal 3 2 2 2 2 6 2 2 2" xfId="24894" xr:uid="{A46B508E-7487-4AA5-9E36-ED57EE56B38A}"/>
    <cellStyle name="Normal 3 2 2 2 2 6 2 2 2 2" xfId="50386" xr:uid="{13FFBBE2-AA97-4713-91C2-44608A88870C}"/>
    <cellStyle name="Normal 3 2 2 2 2 6 2 2 3" xfId="37795" xr:uid="{35D72F19-23CD-49F5-B884-A2E401F88E47}"/>
    <cellStyle name="Normal 3 2 2 2 2 6 2 3" xfId="18616" xr:uid="{C2AA49AC-8A50-45FC-9A66-29CEC9A65A9B}"/>
    <cellStyle name="Normal 3 2 2 2 2 6 2 3 2" xfId="44108" xr:uid="{ABF2B1B9-5EB6-42E2-94DE-412FF2C514C8}"/>
    <cellStyle name="Normal 3 2 2 2 2 6 2 4" xfId="31517" xr:uid="{EBAA032B-28B0-4D12-8A52-5D69FC960054}"/>
    <cellStyle name="Normal 3 2 2 2 2 6 3" xfId="9073" xr:uid="{AC8FD8E3-E500-4AAF-BD62-EE4D5CD41FE0}"/>
    <cellStyle name="Normal 3 2 2 2 2 6 3 2" xfId="21755" xr:uid="{67C0AA0E-571C-4B31-8183-321055E683A9}"/>
    <cellStyle name="Normal 3 2 2 2 2 6 3 2 2" xfId="47247" xr:uid="{5B240FBA-3FAD-40C4-9C73-4BC1B8FF4E2E}"/>
    <cellStyle name="Normal 3 2 2 2 2 6 3 3" xfId="34656" xr:uid="{8F337CCD-8855-42E2-88AE-46DEBE57329E}"/>
    <cellStyle name="Normal 3 2 2 2 2 6 4" xfId="15477" xr:uid="{B722CF1C-DE52-41B2-88EF-003307EE04F5}"/>
    <cellStyle name="Normal 3 2 2 2 2 6 4 2" xfId="40969" xr:uid="{398217CC-4256-4D65-8001-F530E2B5BC91}"/>
    <cellStyle name="Normal 3 2 2 2 2 6 5" xfId="28378" xr:uid="{25D8057F-1737-40C4-9EF8-3968FC16937D}"/>
    <cellStyle name="Normal 3 2 2 2 2 7" xfId="3288" xr:uid="{D7EB0534-E85A-40F1-87BC-B04B99E0CE9D}"/>
    <cellStyle name="Normal 3 2 2 2 2 7 2" xfId="6442" xr:uid="{CD93317B-B5BC-4948-B86E-4BDC377B8121}"/>
    <cellStyle name="Normal 3 2 2 2 2 7 2 2" xfId="12735" xr:uid="{F452CC1D-F935-4EC2-89EB-AC4A94438974}"/>
    <cellStyle name="Normal 3 2 2 2 2 7 2 2 2" xfId="25417" xr:uid="{C7876D3E-3185-40AD-B236-675B605DD45E}"/>
    <cellStyle name="Normal 3 2 2 2 2 7 2 2 2 2" xfId="50909" xr:uid="{B1E1D780-CD73-4EB3-9174-982EEF000F87}"/>
    <cellStyle name="Normal 3 2 2 2 2 7 2 2 3" xfId="38318" xr:uid="{A8B074CC-EF6F-4EA0-9664-7DEDAD17EC99}"/>
    <cellStyle name="Normal 3 2 2 2 2 7 2 3" xfId="19139" xr:uid="{4F90E462-A554-4EB7-8937-287608C45248}"/>
    <cellStyle name="Normal 3 2 2 2 2 7 2 3 2" xfId="44631" xr:uid="{27C41FD6-006D-4E79-84DB-69A2B379456E}"/>
    <cellStyle name="Normal 3 2 2 2 2 7 2 4" xfId="32040" xr:uid="{7F3A524F-5448-479D-AA0D-795527B293AC}"/>
    <cellStyle name="Normal 3 2 2 2 2 7 3" xfId="9596" xr:uid="{20D28BAA-BE6E-452E-AB90-8C1C57CC5BEC}"/>
    <cellStyle name="Normal 3 2 2 2 2 7 3 2" xfId="22278" xr:uid="{17B6EF26-A877-4346-8133-9A7CA9803586}"/>
    <cellStyle name="Normal 3 2 2 2 2 7 3 2 2" xfId="47770" xr:uid="{A919C65D-E694-4CCC-8006-22834A5CF815}"/>
    <cellStyle name="Normal 3 2 2 2 2 7 3 3" xfId="35179" xr:uid="{0C8FC762-0FBD-4D05-8FDF-7A69CEC3FF3A}"/>
    <cellStyle name="Normal 3 2 2 2 2 7 4" xfId="16000" xr:uid="{B32482F0-D0F1-4C33-BAA2-22A3672B5A00}"/>
    <cellStyle name="Normal 3 2 2 2 2 7 4 2" xfId="41492" xr:uid="{3ED2DEE2-1DA7-4C54-B5CE-A8C024F0F9A8}"/>
    <cellStyle name="Normal 3 2 2 2 2 7 5" xfId="28901" xr:uid="{05B6F058-DD65-42AA-8916-FF97C3721068}"/>
    <cellStyle name="Normal 3 2 2 2 2 8" xfId="3827" xr:uid="{ACC29C68-3201-47A1-95DD-9926354442EB}"/>
    <cellStyle name="Normal 3 2 2 2 2 8 2" xfId="10120" xr:uid="{6076A5FF-0819-49D4-9E79-B0D1ED4028F0}"/>
    <cellStyle name="Normal 3 2 2 2 2 8 2 2" xfId="22802" xr:uid="{F31CDB59-9287-4C7D-825F-F480617DA3D9}"/>
    <cellStyle name="Normal 3 2 2 2 2 8 2 2 2" xfId="48294" xr:uid="{5A4F8EB8-738D-4CE5-B765-F4BCCC79CADE}"/>
    <cellStyle name="Normal 3 2 2 2 2 8 2 3" xfId="35703" xr:uid="{6E5AC686-8EB4-4E75-A23F-71A4E1C9CFCB}"/>
    <cellStyle name="Normal 3 2 2 2 2 8 3" xfId="16524" xr:uid="{2610212C-7F4E-4FDB-B0A9-741DF68C3BA8}"/>
    <cellStyle name="Normal 3 2 2 2 2 8 3 2" xfId="42016" xr:uid="{269B1F47-69CD-4C61-A86B-40E0F141013B}"/>
    <cellStyle name="Normal 3 2 2 2 2 8 4" xfId="29425" xr:uid="{05B15ABE-FA76-473A-801C-E920D6C06D00}"/>
    <cellStyle name="Normal 3 2 2 2 2 9" xfId="6981" xr:uid="{01144A4B-B74C-4193-B7AD-DBF119F1A00B}"/>
    <cellStyle name="Normal 3 2 2 2 2 9 2" xfId="19663" xr:uid="{C17DB4C8-AB54-4161-8587-3270489811C5}"/>
    <cellStyle name="Normal 3 2 2 2 2 9 2 2" xfId="45155" xr:uid="{49403652-430A-4B14-BE41-ECDB3C802441}"/>
    <cellStyle name="Normal 3 2 2 2 2 9 3" xfId="32564" xr:uid="{967C179A-A0E7-4406-ADF6-97ACED343129}"/>
    <cellStyle name="Normal 3 2 2 2 3" xfId="1036" xr:uid="{315990AD-3469-4A6C-9DAF-76F5915BDE89}"/>
    <cellStyle name="Normal 3 2 2 2 3 2" xfId="2343" xr:uid="{8B658E73-F564-47BF-B07B-D77FDA3A9895}"/>
    <cellStyle name="Normal 3 2 2 2 3 2 2" xfId="5497" xr:uid="{9EBDFEA7-D3EB-4EB7-B95D-57EF87502163}"/>
    <cellStyle name="Normal 3 2 2 2 3 2 2 2" xfId="11790" xr:uid="{81FD1022-78BE-4F78-8B22-1120A2323377}"/>
    <cellStyle name="Normal 3 2 2 2 3 2 2 2 2" xfId="24472" xr:uid="{E6D719E4-5A11-4206-B86D-10ECD2AFCBF3}"/>
    <cellStyle name="Normal 3 2 2 2 3 2 2 2 2 2" xfId="49964" xr:uid="{89D4EAC0-E523-4D75-AAD7-3EC0DD46EC53}"/>
    <cellStyle name="Normal 3 2 2 2 3 2 2 2 3" xfId="37373" xr:uid="{ADAEEF68-489C-41E5-AC15-B15752DFA352}"/>
    <cellStyle name="Normal 3 2 2 2 3 2 2 3" xfId="18194" xr:uid="{5D749942-F451-4324-9D39-F49253CFFF80}"/>
    <cellStyle name="Normal 3 2 2 2 3 2 2 3 2" xfId="43686" xr:uid="{2C717493-6566-4CAA-85A9-50191D169812}"/>
    <cellStyle name="Normal 3 2 2 2 3 2 2 4" xfId="31095" xr:uid="{38778631-7D74-4076-8847-FC65DBECA254}"/>
    <cellStyle name="Normal 3 2 2 2 3 2 3" xfId="8651" xr:uid="{969550FC-6DDE-40FF-A0F2-EF44906E9E9F}"/>
    <cellStyle name="Normal 3 2 2 2 3 2 3 2" xfId="21333" xr:uid="{F41F6C77-94E2-4334-80F3-D8FDC54ED80D}"/>
    <cellStyle name="Normal 3 2 2 2 3 2 3 2 2" xfId="46825" xr:uid="{DCDC1E53-8BEA-4435-8E63-8E45B97163B1}"/>
    <cellStyle name="Normal 3 2 2 2 3 2 3 3" xfId="34234" xr:uid="{77DDA902-FD55-4F2B-9916-0C820F826653}"/>
    <cellStyle name="Normal 3 2 2 2 3 2 4" xfId="15055" xr:uid="{56B0D267-A0CE-4732-8840-CE12E77A21BD}"/>
    <cellStyle name="Normal 3 2 2 2 3 2 4 2" xfId="40547" xr:uid="{05092EDC-0677-4ABF-BE3F-59D2CC4F6D69}"/>
    <cellStyle name="Normal 3 2 2 2 3 2 5" xfId="27956" xr:uid="{8387BADF-92F7-4F18-BCD2-CCCBA2BFE3D8}"/>
    <cellStyle name="Normal 3 2 2 2 3 3" xfId="1560" xr:uid="{513506E6-5F9B-4DE1-B2B9-7DCAB9004E6B}"/>
    <cellStyle name="Normal 3 2 2 2 3 3 2" xfId="4714" xr:uid="{6B5EF637-2A2D-4681-ACB9-352935093A9F}"/>
    <cellStyle name="Normal 3 2 2 2 3 3 2 2" xfId="11007" xr:uid="{BA2C0B89-FF9C-43B1-A8A5-6F478665E819}"/>
    <cellStyle name="Normal 3 2 2 2 3 3 2 2 2" xfId="23689" xr:uid="{DD041787-595E-4AD7-8D2E-D8DE6F373DC2}"/>
    <cellStyle name="Normal 3 2 2 2 3 3 2 2 2 2" xfId="49181" xr:uid="{F5978D36-139E-478B-908A-252EE64B3019}"/>
    <cellStyle name="Normal 3 2 2 2 3 3 2 2 3" xfId="36590" xr:uid="{BFC6C444-3255-4476-9FA4-0534AF92D5C2}"/>
    <cellStyle name="Normal 3 2 2 2 3 3 2 3" xfId="17411" xr:uid="{D903F1F0-C361-4480-9112-061A1E494D1F}"/>
    <cellStyle name="Normal 3 2 2 2 3 3 2 3 2" xfId="42903" xr:uid="{B2416401-1B83-4BD5-821F-85E6D2C3F842}"/>
    <cellStyle name="Normal 3 2 2 2 3 3 2 4" xfId="30312" xr:uid="{460D94F2-1F9F-496E-AAAE-B6C7205F5D98}"/>
    <cellStyle name="Normal 3 2 2 2 3 3 3" xfId="7868" xr:uid="{3E2DA235-DAE2-4792-89CA-95104D55263D}"/>
    <cellStyle name="Normal 3 2 2 2 3 3 3 2" xfId="20550" xr:uid="{D0C4FBD6-8A8B-46DF-AA7C-1444F4E45A68}"/>
    <cellStyle name="Normal 3 2 2 2 3 3 3 2 2" xfId="46042" xr:uid="{CC043109-6323-4C9A-8BC7-7C7D6A10ED3C}"/>
    <cellStyle name="Normal 3 2 2 2 3 3 3 3" xfId="33451" xr:uid="{78F11BBE-4B4A-4830-ADA6-D159D77C5B8F}"/>
    <cellStyle name="Normal 3 2 2 2 3 3 4" xfId="14272" xr:uid="{6412DE61-3008-4739-80BD-066AB1133216}"/>
    <cellStyle name="Normal 3 2 2 2 3 3 4 2" xfId="39764" xr:uid="{73B22FEF-7D0E-4AB6-ABA9-AE72D46C5103}"/>
    <cellStyle name="Normal 3 2 2 2 3 3 5" xfId="27173" xr:uid="{FB51599D-6CA4-4ADF-8F25-A9C8BAF19446}"/>
    <cellStyle name="Normal 3 2 2 2 3 4" xfId="2867" xr:uid="{0AF4D11C-AE03-4B6D-80CB-5F516B69B7CF}"/>
    <cellStyle name="Normal 3 2 2 2 3 4 2" xfId="6021" xr:uid="{5ABF8973-65C6-4225-A6B6-01660710A89E}"/>
    <cellStyle name="Normal 3 2 2 2 3 4 2 2" xfId="12314" xr:uid="{ED4087FE-0F7F-4E53-8A98-75231864B841}"/>
    <cellStyle name="Normal 3 2 2 2 3 4 2 2 2" xfId="24996" xr:uid="{748D540A-FC51-4991-94B5-016754148C9D}"/>
    <cellStyle name="Normal 3 2 2 2 3 4 2 2 2 2" xfId="50488" xr:uid="{619A706E-2C88-4D94-B545-4152258A9C9D}"/>
    <cellStyle name="Normal 3 2 2 2 3 4 2 2 3" xfId="37897" xr:uid="{B8D5F6D0-AD1A-41E7-9B74-C8700F52FA57}"/>
    <cellStyle name="Normal 3 2 2 2 3 4 2 3" xfId="18718" xr:uid="{81B380A2-C11B-48BC-90E0-7DCA341CD2F9}"/>
    <cellStyle name="Normal 3 2 2 2 3 4 2 3 2" xfId="44210" xr:uid="{D254558D-9863-428F-9B46-EF9258938FE7}"/>
    <cellStyle name="Normal 3 2 2 2 3 4 2 4" xfId="31619" xr:uid="{670F4632-BBB3-4A97-8254-B8F7A4493878}"/>
    <cellStyle name="Normal 3 2 2 2 3 4 3" xfId="9175" xr:uid="{63178343-8A05-40BB-9D53-FDB8DAFE2D77}"/>
    <cellStyle name="Normal 3 2 2 2 3 4 3 2" xfId="21857" xr:uid="{E8201523-E2BF-4A87-8899-41166831DD5C}"/>
    <cellStyle name="Normal 3 2 2 2 3 4 3 2 2" xfId="47349" xr:uid="{C7DBEDAF-724D-4D82-AC01-1B5D50E13E89}"/>
    <cellStyle name="Normal 3 2 2 2 3 4 3 3" xfId="34758" xr:uid="{06E07EE6-43CA-4EF0-BBF8-CE0CE15E181C}"/>
    <cellStyle name="Normal 3 2 2 2 3 4 4" xfId="15579" xr:uid="{371B0F62-F6B7-4F74-AA43-251D4FDB19F2}"/>
    <cellStyle name="Normal 3 2 2 2 3 4 4 2" xfId="41071" xr:uid="{A18FC673-8E35-4B6B-B0BF-7F6C3BCB46D8}"/>
    <cellStyle name="Normal 3 2 2 2 3 4 5" xfId="28480" xr:uid="{4D05B8FD-1153-4943-A5F8-F1C374EA414E}"/>
    <cellStyle name="Normal 3 2 2 2 3 5" xfId="3390" xr:uid="{6CBA767B-C921-4203-9D6D-C94EE13D4176}"/>
    <cellStyle name="Normal 3 2 2 2 3 5 2" xfId="6544" xr:uid="{2FD1095F-FE1B-4D74-A85C-92C8EEA4911E}"/>
    <cellStyle name="Normal 3 2 2 2 3 5 2 2" xfId="12837" xr:uid="{B8A4D139-98B6-43A3-8252-1326046244C8}"/>
    <cellStyle name="Normal 3 2 2 2 3 5 2 2 2" xfId="25519" xr:uid="{8365E907-7DDB-4E10-B1DF-296282540137}"/>
    <cellStyle name="Normal 3 2 2 2 3 5 2 2 2 2" xfId="51011" xr:uid="{91A5F886-469F-491C-9EC7-F73B4DE7CDA2}"/>
    <cellStyle name="Normal 3 2 2 2 3 5 2 2 3" xfId="38420" xr:uid="{0B771F39-B518-4BF4-BDD1-40D201B6E0F2}"/>
    <cellStyle name="Normal 3 2 2 2 3 5 2 3" xfId="19241" xr:uid="{C4B16A9B-60DD-42EF-811F-812CD4711CFF}"/>
    <cellStyle name="Normal 3 2 2 2 3 5 2 3 2" xfId="44733" xr:uid="{936A0075-1BC0-4646-89A5-7BBA7C464392}"/>
    <cellStyle name="Normal 3 2 2 2 3 5 2 4" xfId="32142" xr:uid="{F2CDAAE4-43C0-4F1D-8078-03B903D6B9D3}"/>
    <cellStyle name="Normal 3 2 2 2 3 5 3" xfId="9698" xr:uid="{FF5757BD-5360-4872-9EAE-6FAC1F81C8C8}"/>
    <cellStyle name="Normal 3 2 2 2 3 5 3 2" xfId="22380" xr:uid="{5B99FFCB-7737-4478-AA44-2487309DCA93}"/>
    <cellStyle name="Normal 3 2 2 2 3 5 3 2 2" xfId="47872" xr:uid="{045461EA-1F50-4F90-8E7F-2FD5D371EF1D}"/>
    <cellStyle name="Normal 3 2 2 2 3 5 3 3" xfId="35281" xr:uid="{C90869A7-04A0-4441-90E9-A135117D55DB}"/>
    <cellStyle name="Normal 3 2 2 2 3 5 4" xfId="16102" xr:uid="{0DF003A6-0E5A-473E-AF44-01AE62C98D55}"/>
    <cellStyle name="Normal 3 2 2 2 3 5 4 2" xfId="41594" xr:uid="{9D03A4A3-7057-418F-88D5-E12CB7F44575}"/>
    <cellStyle name="Normal 3 2 2 2 3 5 5" xfId="29003" xr:uid="{5867FF29-16C6-4A77-94F5-14C5CF46662C}"/>
    <cellStyle name="Normal 3 2 2 2 3 6" xfId="4190" xr:uid="{04F6C5D3-C2AF-4010-9648-7F25CBBE0BC9}"/>
    <cellStyle name="Normal 3 2 2 2 3 6 2" xfId="10483" xr:uid="{441781CD-E7DD-4E2C-94CE-5175EB23A9BB}"/>
    <cellStyle name="Normal 3 2 2 2 3 6 2 2" xfId="23165" xr:uid="{D1077BB3-CA35-4BDC-AD58-898203EC130B}"/>
    <cellStyle name="Normal 3 2 2 2 3 6 2 2 2" xfId="48657" xr:uid="{A82F0DB1-CC43-4021-8B38-9A3694DF2AC9}"/>
    <cellStyle name="Normal 3 2 2 2 3 6 2 3" xfId="36066" xr:uid="{F9971F9E-132E-44EE-855A-4528F2A9418B}"/>
    <cellStyle name="Normal 3 2 2 2 3 6 3" xfId="16887" xr:uid="{1F90DD9D-8609-4B9E-9F6D-CE547ACEDF47}"/>
    <cellStyle name="Normal 3 2 2 2 3 6 3 2" xfId="42379" xr:uid="{1C198921-410D-43FD-B572-AF31EDB0E105}"/>
    <cellStyle name="Normal 3 2 2 2 3 6 4" xfId="29788" xr:uid="{41750480-B337-4ECA-8550-1C62ED757338}"/>
    <cellStyle name="Normal 3 2 2 2 3 7" xfId="7344" xr:uid="{4FE5A091-60DA-4D72-A0C1-7589D1621A9B}"/>
    <cellStyle name="Normal 3 2 2 2 3 7 2" xfId="20026" xr:uid="{36CB13BE-C401-4A08-831E-8C7AC084F174}"/>
    <cellStyle name="Normal 3 2 2 2 3 7 2 2" xfId="45518" xr:uid="{4EFF5F6C-FD21-42B3-8DE5-1CA72BD8818E}"/>
    <cellStyle name="Normal 3 2 2 2 3 7 3" xfId="32927" xr:uid="{7EA89919-CE5B-4545-BBD0-2701D0CCE5F1}"/>
    <cellStyle name="Normal 3 2 2 2 3 8" xfId="13748" xr:uid="{4AC46A76-0B95-4C14-B661-CE41F9540912}"/>
    <cellStyle name="Normal 3 2 2 2 3 8 2" xfId="39240" xr:uid="{03C140E8-9B83-43D7-BF52-AD1E65F70147}"/>
    <cellStyle name="Normal 3 2 2 2 3 9" xfId="26649" xr:uid="{27BCF928-09EC-4039-9A33-B532B2E19383}"/>
    <cellStyle name="Normal 3 2 2 2 4" xfId="776" xr:uid="{91BC0FE0-D87F-4005-8322-A1D249429912}"/>
    <cellStyle name="Normal 3 2 2 2 4 2" xfId="2083" xr:uid="{7353D9C1-2663-4E29-A712-F2852D48FAB6}"/>
    <cellStyle name="Normal 3 2 2 2 4 2 2" xfId="5237" xr:uid="{6E2571A9-92A9-4C4A-BE58-43FF3AED76BB}"/>
    <cellStyle name="Normal 3 2 2 2 4 2 2 2" xfId="11530" xr:uid="{2F798009-E728-4420-9844-3F2AEC94382D}"/>
    <cellStyle name="Normal 3 2 2 2 4 2 2 2 2" xfId="24212" xr:uid="{770F120C-ECBE-40AE-85D5-A842F1154CC2}"/>
    <cellStyle name="Normal 3 2 2 2 4 2 2 2 2 2" xfId="49704" xr:uid="{175CB9CD-52D3-462E-89BE-16B0B8C3DB1D}"/>
    <cellStyle name="Normal 3 2 2 2 4 2 2 2 3" xfId="37113" xr:uid="{6EBB8370-B095-45C2-B391-5459C801F913}"/>
    <cellStyle name="Normal 3 2 2 2 4 2 2 3" xfId="17934" xr:uid="{19097A16-6BA8-4D32-82D1-3D8B28235F03}"/>
    <cellStyle name="Normal 3 2 2 2 4 2 2 3 2" xfId="43426" xr:uid="{6DE035B9-3AC7-4A90-B984-2196D5B5316F}"/>
    <cellStyle name="Normal 3 2 2 2 4 2 2 4" xfId="30835" xr:uid="{2ED7DFBD-D159-42A5-88E9-D040C776F265}"/>
    <cellStyle name="Normal 3 2 2 2 4 2 3" xfId="8391" xr:uid="{500410FD-312B-479E-9B16-652AAF3333DA}"/>
    <cellStyle name="Normal 3 2 2 2 4 2 3 2" xfId="21073" xr:uid="{B76364B1-3504-4F7B-A4DC-2232AF60103B}"/>
    <cellStyle name="Normal 3 2 2 2 4 2 3 2 2" xfId="46565" xr:uid="{36242C00-2757-4EF9-B4E9-7BD2318675EA}"/>
    <cellStyle name="Normal 3 2 2 2 4 2 3 3" xfId="33974" xr:uid="{5E52210B-26C8-48BA-809E-253E12C713EF}"/>
    <cellStyle name="Normal 3 2 2 2 4 2 4" xfId="14795" xr:uid="{688F2C02-7319-4D25-B6E2-9DC39C268033}"/>
    <cellStyle name="Normal 3 2 2 2 4 2 4 2" xfId="40287" xr:uid="{466B2C66-8786-4207-B76C-75F6D8693799}"/>
    <cellStyle name="Normal 3 2 2 2 4 2 5" xfId="27696" xr:uid="{A721157A-03C5-4F70-BD45-250D166F1108}"/>
    <cellStyle name="Normal 3 2 2 2 4 3" xfId="3930" xr:uid="{A8266B7B-B96C-4A83-A751-FEF646C68A62}"/>
    <cellStyle name="Normal 3 2 2 2 4 3 2" xfId="10223" xr:uid="{E1DBA60F-FA88-453A-ACA0-F39C0B44545F}"/>
    <cellStyle name="Normal 3 2 2 2 4 3 2 2" xfId="22905" xr:uid="{6D3FA152-236A-4B29-A57B-42056463385F}"/>
    <cellStyle name="Normal 3 2 2 2 4 3 2 2 2" xfId="48397" xr:uid="{A5EFA211-5A4F-46F2-A86C-3F2F8E3D1C71}"/>
    <cellStyle name="Normal 3 2 2 2 4 3 2 3" xfId="35806" xr:uid="{8B9E6D9B-4231-480A-9DC6-83B7C3D2E92C}"/>
    <cellStyle name="Normal 3 2 2 2 4 3 3" xfId="16627" xr:uid="{66EDEC40-500E-4835-829D-140FD5AA385C}"/>
    <cellStyle name="Normal 3 2 2 2 4 3 3 2" xfId="42119" xr:uid="{E5C40FB1-51DF-49E2-82C9-93B1125337F9}"/>
    <cellStyle name="Normal 3 2 2 2 4 3 4" xfId="29528" xr:uid="{2159F2EA-AB95-4CC8-B783-D0D6FB1EC435}"/>
    <cellStyle name="Normal 3 2 2 2 4 4" xfId="7084" xr:uid="{9F07E0AB-A86A-4480-ADAF-5E6F1F933A5D}"/>
    <cellStyle name="Normal 3 2 2 2 4 4 2" xfId="19766" xr:uid="{745ABE2D-381F-4764-A404-883EC2A6938A}"/>
    <cellStyle name="Normal 3 2 2 2 4 4 2 2" xfId="45258" xr:uid="{09EF117F-2DFA-4888-8EC5-4AFFE2B4EA95}"/>
    <cellStyle name="Normal 3 2 2 2 4 4 3" xfId="32667" xr:uid="{13F95671-D7BD-419C-832A-86B3616FF4DD}"/>
    <cellStyle name="Normal 3 2 2 2 4 5" xfId="13488" xr:uid="{8CFE80C3-0736-4EFB-9FDE-C4E791E4566B}"/>
    <cellStyle name="Normal 3 2 2 2 4 5 2" xfId="38980" xr:uid="{CF343718-8BF2-4610-9A50-209FB660B144}"/>
    <cellStyle name="Normal 3 2 2 2 4 6" xfId="26389" xr:uid="{4310D8B2-A7BA-4631-AE6E-2AA907BBA70D}"/>
    <cellStyle name="Normal 3 2 2 2 5" xfId="1821" xr:uid="{D6CBF84C-75D7-433E-BD7E-EE9FC9CB8402}"/>
    <cellStyle name="Normal 3 2 2 2 5 2" xfId="4975" xr:uid="{8DE1CF4D-1F8A-4F18-AFB5-C949389B6DED}"/>
    <cellStyle name="Normal 3 2 2 2 5 2 2" xfId="11268" xr:uid="{B2C38946-9616-46D7-ABD8-4D05056830E2}"/>
    <cellStyle name="Normal 3 2 2 2 5 2 2 2" xfId="23950" xr:uid="{F35B272C-1B7C-4E76-A061-AA6EC4FC8D1A}"/>
    <cellStyle name="Normal 3 2 2 2 5 2 2 2 2" xfId="49442" xr:uid="{34A5E77E-DD73-483C-8ACF-20258A5CF231}"/>
    <cellStyle name="Normal 3 2 2 2 5 2 2 3" xfId="36851" xr:uid="{12146769-4D3F-49DE-BDD6-5F79E74C03C8}"/>
    <cellStyle name="Normal 3 2 2 2 5 2 3" xfId="17672" xr:uid="{BB2F317D-03D8-41F4-BFC2-8912872226A6}"/>
    <cellStyle name="Normal 3 2 2 2 5 2 3 2" xfId="43164" xr:uid="{8F7EE4FB-E29C-4B53-9315-395834E21F61}"/>
    <cellStyle name="Normal 3 2 2 2 5 2 4" xfId="30573" xr:uid="{87085EDC-1646-4CD3-A4C0-7CC984076919}"/>
    <cellStyle name="Normal 3 2 2 2 5 3" xfId="8129" xr:uid="{BD0DAE67-F1B2-4840-B266-4E11A8DA0555}"/>
    <cellStyle name="Normal 3 2 2 2 5 3 2" xfId="20811" xr:uid="{68101EE9-9522-400F-8EAE-088F2958BA64}"/>
    <cellStyle name="Normal 3 2 2 2 5 3 2 2" xfId="46303" xr:uid="{9D084DC2-F5E8-4352-83E9-80E5B4A6B77C}"/>
    <cellStyle name="Normal 3 2 2 2 5 3 3" xfId="33712" xr:uid="{19248DFC-AAEC-4CB9-9C6D-92E8E49CEF41}"/>
    <cellStyle name="Normal 3 2 2 2 5 4" xfId="14533" xr:uid="{D4C0FD14-A24D-4A1F-8AFF-6E5893709FCE}"/>
    <cellStyle name="Normal 3 2 2 2 5 4 2" xfId="40025" xr:uid="{9443DB81-806B-4444-AF9D-2C509B517B97}"/>
    <cellStyle name="Normal 3 2 2 2 5 5" xfId="27434" xr:uid="{4794CA81-581B-4C9F-B627-B1A351844B20}"/>
    <cellStyle name="Normal 3 2 2 2 6" xfId="1299" xr:uid="{9122101B-62BE-4677-96D2-3B46622D0085}"/>
    <cellStyle name="Normal 3 2 2 2 6 2" xfId="4453" xr:uid="{C1180D1A-0FC7-45AF-9F2C-F58394003F69}"/>
    <cellStyle name="Normal 3 2 2 2 6 2 2" xfId="10746" xr:uid="{09D696F5-4FF5-4B42-AA80-5A8D6461CBA1}"/>
    <cellStyle name="Normal 3 2 2 2 6 2 2 2" xfId="23428" xr:uid="{89F8D954-AFC5-4785-A577-9A1CCEEECC63}"/>
    <cellStyle name="Normal 3 2 2 2 6 2 2 2 2" xfId="48920" xr:uid="{C9AC3703-6873-4738-883A-30DAECB5E235}"/>
    <cellStyle name="Normal 3 2 2 2 6 2 2 3" xfId="36329" xr:uid="{09DF54A4-E2FF-4F3D-A530-3302A411A7BD}"/>
    <cellStyle name="Normal 3 2 2 2 6 2 3" xfId="17150" xr:uid="{02D257C3-2095-4DD7-9864-CB856327A64D}"/>
    <cellStyle name="Normal 3 2 2 2 6 2 3 2" xfId="42642" xr:uid="{D1BF4702-8B29-4564-AAD6-41011263E248}"/>
    <cellStyle name="Normal 3 2 2 2 6 2 4" xfId="30051" xr:uid="{07B20979-70AE-4F6D-A922-EBA0C644CED5}"/>
    <cellStyle name="Normal 3 2 2 2 6 3" xfId="7607" xr:uid="{B2847C5D-473D-44D3-997E-CA31D25572EB}"/>
    <cellStyle name="Normal 3 2 2 2 6 3 2" xfId="20289" xr:uid="{5D67FA99-11E3-4A9C-A1D1-FE795152600B}"/>
    <cellStyle name="Normal 3 2 2 2 6 3 2 2" xfId="45781" xr:uid="{475AB22F-B824-4C10-8C5C-8E0E073B8426}"/>
    <cellStyle name="Normal 3 2 2 2 6 3 3" xfId="33190" xr:uid="{E53FCA46-9213-4B97-A0C6-60B54E7D5B0F}"/>
    <cellStyle name="Normal 3 2 2 2 6 4" xfId="14011" xr:uid="{DBFEA9C1-C945-40DD-B556-1C2B5FB5AE4F}"/>
    <cellStyle name="Normal 3 2 2 2 6 4 2" xfId="39503" xr:uid="{B6CFEA6C-4F53-4EA5-B462-DBF1D8C6A0BB}"/>
    <cellStyle name="Normal 3 2 2 2 6 5" xfId="26912" xr:uid="{7B0B090C-FD77-4B02-A9A2-6AB072AF2BC2}"/>
    <cellStyle name="Normal 3 2 2 2 7" xfId="2606" xr:uid="{E56F92F9-C36E-4096-96F9-76C2A014226B}"/>
    <cellStyle name="Normal 3 2 2 2 7 2" xfId="5760" xr:uid="{9D9CDD9E-B9B5-48F5-B0B1-BF2AC3C056BC}"/>
    <cellStyle name="Normal 3 2 2 2 7 2 2" xfId="12053" xr:uid="{3C809DE0-4268-458C-B2AC-0348021D3474}"/>
    <cellStyle name="Normal 3 2 2 2 7 2 2 2" xfId="24735" xr:uid="{18DD700C-441A-4A76-92DA-2781CC4ACA5B}"/>
    <cellStyle name="Normal 3 2 2 2 7 2 2 2 2" xfId="50227" xr:uid="{12F2595F-EA01-4427-8B9A-A6D5DD231D3F}"/>
    <cellStyle name="Normal 3 2 2 2 7 2 2 3" xfId="37636" xr:uid="{88E749C7-7D16-47A6-A09F-8AA64C87DD34}"/>
    <cellStyle name="Normal 3 2 2 2 7 2 3" xfId="18457" xr:uid="{4B02A34E-EEEE-4AF3-89F2-DCB499DF676A}"/>
    <cellStyle name="Normal 3 2 2 2 7 2 3 2" xfId="43949" xr:uid="{6B624877-5E15-42B3-8761-7328E0A025A3}"/>
    <cellStyle name="Normal 3 2 2 2 7 2 4" xfId="31358" xr:uid="{DAE9DEAC-FA42-4E3F-92D2-69EAC48D9496}"/>
    <cellStyle name="Normal 3 2 2 2 7 3" xfId="8914" xr:uid="{C45E9FAB-A1AF-4CA8-AE03-F87BA4E20C30}"/>
    <cellStyle name="Normal 3 2 2 2 7 3 2" xfId="21596" xr:uid="{8DFEC097-D57A-4EFC-832F-D022D025B1C4}"/>
    <cellStyle name="Normal 3 2 2 2 7 3 2 2" xfId="47088" xr:uid="{F105BE7E-A43A-4CFA-88CB-79DAC4DF9C80}"/>
    <cellStyle name="Normal 3 2 2 2 7 3 3" xfId="34497" xr:uid="{7F6EAD78-F6B7-41E2-9ED3-A2A1E8C8162A}"/>
    <cellStyle name="Normal 3 2 2 2 7 4" xfId="15318" xr:uid="{2908BC94-8537-457A-A3E6-06B2CF16E1DE}"/>
    <cellStyle name="Normal 3 2 2 2 7 4 2" xfId="40810" xr:uid="{D3BD1EBC-6568-4ACB-BC21-FC590797798F}"/>
    <cellStyle name="Normal 3 2 2 2 7 5" xfId="28219" xr:uid="{CC16BEF1-1925-4BF2-911D-BFC6C67108D5}"/>
    <cellStyle name="Normal 3 2 2 2 8" xfId="3129" xr:uid="{6E017079-5474-43F9-BF41-5A93B6DE837D}"/>
    <cellStyle name="Normal 3 2 2 2 8 2" xfId="6283" xr:uid="{57EE127C-1DF2-4E13-A749-DB68CC4CE883}"/>
    <cellStyle name="Normal 3 2 2 2 8 2 2" xfId="12576" xr:uid="{1CC56912-1329-4FD7-AFC5-968C9EB19882}"/>
    <cellStyle name="Normal 3 2 2 2 8 2 2 2" xfId="25258" xr:uid="{A613ECF4-A107-4E41-A6F1-D766236A4C80}"/>
    <cellStyle name="Normal 3 2 2 2 8 2 2 2 2" xfId="50750" xr:uid="{B4E0F912-E6B9-43FE-86CA-E383E55019AF}"/>
    <cellStyle name="Normal 3 2 2 2 8 2 2 3" xfId="38159" xr:uid="{8D485BEA-7879-4654-903C-F5D5DB6AC99F}"/>
    <cellStyle name="Normal 3 2 2 2 8 2 3" xfId="18980" xr:uid="{0324DF17-9769-471B-89B5-C68DDA9CC269}"/>
    <cellStyle name="Normal 3 2 2 2 8 2 3 2" xfId="44472" xr:uid="{0E6C91FB-DC0B-47BE-A3B2-D2E39BC01985}"/>
    <cellStyle name="Normal 3 2 2 2 8 2 4" xfId="31881" xr:uid="{E28C5619-73E6-40DF-BF0A-F2E8042AEE45}"/>
    <cellStyle name="Normal 3 2 2 2 8 3" xfId="9437" xr:uid="{D78C6530-0F4F-4853-B502-8E3CDBBA8F46}"/>
    <cellStyle name="Normal 3 2 2 2 8 3 2" xfId="22119" xr:uid="{3D201D23-2234-4901-B32E-D1C4E37FA4D3}"/>
    <cellStyle name="Normal 3 2 2 2 8 3 2 2" xfId="47611" xr:uid="{40087172-5925-4EAD-862B-FCEA6720F5C2}"/>
    <cellStyle name="Normal 3 2 2 2 8 3 3" xfId="35020" xr:uid="{C0CB1BD2-7480-44CB-B2E0-72664D358F00}"/>
    <cellStyle name="Normal 3 2 2 2 8 4" xfId="15841" xr:uid="{66A15E11-11AA-42E0-B4F6-F3C6EDB62486}"/>
    <cellStyle name="Normal 3 2 2 2 8 4 2" xfId="41333" xr:uid="{001530FB-8C48-4C68-9249-86031983125F}"/>
    <cellStyle name="Normal 3 2 2 2 8 5" xfId="28742" xr:uid="{9CBE71F4-9B67-49CF-9809-FA8568414FE5}"/>
    <cellStyle name="Normal 3 2 2 2 9" xfId="3668" xr:uid="{03DF0A3B-CABC-44B2-BA13-34AF61D2E496}"/>
    <cellStyle name="Normal 3 2 2 2 9 2" xfId="9961" xr:uid="{8C7B26AC-2F36-4ADE-AEAE-836B114DAC1D}"/>
    <cellStyle name="Normal 3 2 2 2 9 2 2" xfId="22643" xr:uid="{B1341C6C-D8C7-47A0-A21E-38A668469993}"/>
    <cellStyle name="Normal 3 2 2 2 9 2 2 2" xfId="48135" xr:uid="{F84406F0-5CAE-49C9-A03B-697ADFC5EC2F}"/>
    <cellStyle name="Normal 3 2 2 2 9 2 3" xfId="35544" xr:uid="{9335DFAC-5655-46D4-8F77-3164F4FB248B}"/>
    <cellStyle name="Normal 3 2 2 2 9 3" xfId="16365" xr:uid="{72460077-0417-4816-A107-C84DBD2831F9}"/>
    <cellStyle name="Normal 3 2 2 2 9 3 2" xfId="41857" xr:uid="{444261F3-C5BC-48D0-8172-4938E971173C}"/>
    <cellStyle name="Normal 3 2 2 2 9 4" xfId="29266" xr:uid="{C05E44BE-9F7A-4C4F-BB82-218239E2CBE3}"/>
    <cellStyle name="Normal 3 2 2 3" xfId="597" xr:uid="{4FDE8AAF-8936-455A-B13C-44B2B394D83D}"/>
    <cellStyle name="Normal 3 2 2 3 10" xfId="13324" xr:uid="{F9D48810-FE1F-4F7C-88F3-E22704F158E2}"/>
    <cellStyle name="Normal 3 2 2 3 10 2" xfId="38816" xr:uid="{B0793AC4-C676-42F0-815A-CBE89FD94FDF}"/>
    <cellStyle name="Normal 3 2 2 3 11" xfId="26225" xr:uid="{932E63BB-1C85-4C07-BD5C-6DBFEF2D8731}"/>
    <cellStyle name="Normal 3 2 2 3 2" xfId="1134" xr:uid="{308ED9FA-96F5-414C-8D93-F7D0896E42FD}"/>
    <cellStyle name="Normal 3 2 2 3 2 2" xfId="2441" xr:uid="{C4336273-FB50-496E-A2BC-8A705A6BBDA1}"/>
    <cellStyle name="Normal 3 2 2 3 2 2 2" xfId="5595" xr:uid="{BB132532-4C28-47E4-8955-AFC076E43189}"/>
    <cellStyle name="Normal 3 2 2 3 2 2 2 2" xfId="11888" xr:uid="{66BEEE64-5FE0-46FA-9062-C9A6AB59B6FD}"/>
    <cellStyle name="Normal 3 2 2 3 2 2 2 2 2" xfId="24570" xr:uid="{140A48F2-DD5E-432F-A483-9FAF4C815A01}"/>
    <cellStyle name="Normal 3 2 2 3 2 2 2 2 2 2" xfId="50062" xr:uid="{A99A0A26-6F78-4770-B61E-AEF49832FDA9}"/>
    <cellStyle name="Normal 3 2 2 3 2 2 2 2 3" xfId="37471" xr:uid="{E59C9CCD-5782-4D3C-B9FC-D918301CA265}"/>
    <cellStyle name="Normal 3 2 2 3 2 2 2 3" xfId="18292" xr:uid="{D15EDDB3-C81D-4EAD-85F6-145409EFFBBF}"/>
    <cellStyle name="Normal 3 2 2 3 2 2 2 3 2" xfId="43784" xr:uid="{D7B71CE9-D3EB-4C49-AC7C-DD4B77BB1607}"/>
    <cellStyle name="Normal 3 2 2 3 2 2 2 4" xfId="31193" xr:uid="{889E09AA-EDC0-4178-8F8F-DF226C6D31EE}"/>
    <cellStyle name="Normal 3 2 2 3 2 2 3" xfId="8749" xr:uid="{77565025-9DA1-498E-9AD5-87D249145A24}"/>
    <cellStyle name="Normal 3 2 2 3 2 2 3 2" xfId="21431" xr:uid="{317B82BD-2EB2-4DE4-92CA-4D0F8CAE5E97}"/>
    <cellStyle name="Normal 3 2 2 3 2 2 3 2 2" xfId="46923" xr:uid="{F72D8E15-8EBC-40E9-BFE8-A33861B4AD68}"/>
    <cellStyle name="Normal 3 2 2 3 2 2 3 3" xfId="34332" xr:uid="{094B3BF2-0F3A-4BC1-B4D9-E5B9A6CEF577}"/>
    <cellStyle name="Normal 3 2 2 3 2 2 4" xfId="15153" xr:uid="{5779072F-30F9-49BB-BE54-55DE25D970F8}"/>
    <cellStyle name="Normal 3 2 2 3 2 2 4 2" xfId="40645" xr:uid="{33321E35-91F6-44F6-BF6B-35B67EB8DDC3}"/>
    <cellStyle name="Normal 3 2 2 3 2 2 5" xfId="28054" xr:uid="{2986D579-E657-4BEE-B5A1-392889C68C6C}"/>
    <cellStyle name="Normal 3 2 2 3 2 3" xfId="1658" xr:uid="{EA148C73-6D4D-4CB6-BF79-BEFC88B55E8C}"/>
    <cellStyle name="Normal 3 2 2 3 2 3 2" xfId="4812" xr:uid="{03AF9B86-EDC2-4131-8FAA-D9ACE5A2B4BA}"/>
    <cellStyle name="Normal 3 2 2 3 2 3 2 2" xfId="11105" xr:uid="{731B1B81-7168-4571-B176-7543DD157B95}"/>
    <cellStyle name="Normal 3 2 2 3 2 3 2 2 2" xfId="23787" xr:uid="{E773EF18-85FB-4814-B723-B09ED56BBE39}"/>
    <cellStyle name="Normal 3 2 2 3 2 3 2 2 2 2" xfId="49279" xr:uid="{6D15F29C-5000-4D3B-A8D1-82A0E8FAB193}"/>
    <cellStyle name="Normal 3 2 2 3 2 3 2 2 3" xfId="36688" xr:uid="{9776173F-B83A-4790-B245-858390A0EDC5}"/>
    <cellStyle name="Normal 3 2 2 3 2 3 2 3" xfId="17509" xr:uid="{810C4ECD-CAA5-49BA-83C3-AC54A1CEBAEA}"/>
    <cellStyle name="Normal 3 2 2 3 2 3 2 3 2" xfId="43001" xr:uid="{D1FED16D-0D72-42F7-98EA-8D133FED10E4}"/>
    <cellStyle name="Normal 3 2 2 3 2 3 2 4" xfId="30410" xr:uid="{F88E86A9-8A13-4B32-9438-45D3FA827C7D}"/>
    <cellStyle name="Normal 3 2 2 3 2 3 3" xfId="7966" xr:uid="{099D516B-0ECB-4EF2-BDE7-7738F6F80AF2}"/>
    <cellStyle name="Normal 3 2 2 3 2 3 3 2" xfId="20648" xr:uid="{B800CB9E-DB2C-4252-B73B-D87277C42BE9}"/>
    <cellStyle name="Normal 3 2 2 3 2 3 3 2 2" xfId="46140" xr:uid="{58CEF0B7-94DC-4B1B-8B83-EB4D0373C069}"/>
    <cellStyle name="Normal 3 2 2 3 2 3 3 3" xfId="33549" xr:uid="{E245AB2D-4626-4902-89AE-BE8EE1D14DD4}"/>
    <cellStyle name="Normal 3 2 2 3 2 3 4" xfId="14370" xr:uid="{190F35FC-8BE0-4491-BF77-25575CECE3CE}"/>
    <cellStyle name="Normal 3 2 2 3 2 3 4 2" xfId="39862" xr:uid="{8309F10F-5C4E-4ABD-8414-A1BAB5323001}"/>
    <cellStyle name="Normal 3 2 2 3 2 3 5" xfId="27271" xr:uid="{712C52CE-E493-4A36-A845-E9A2841715CC}"/>
    <cellStyle name="Normal 3 2 2 3 2 4" xfId="2965" xr:uid="{C5B1D4DD-0842-4E6F-8059-6513D7DE8AB5}"/>
    <cellStyle name="Normal 3 2 2 3 2 4 2" xfId="6119" xr:uid="{90BBFAD3-5B50-41FC-B752-A5337F6BF050}"/>
    <cellStyle name="Normal 3 2 2 3 2 4 2 2" xfId="12412" xr:uid="{66FB5E4E-66B1-4E78-840A-4C359292592F}"/>
    <cellStyle name="Normal 3 2 2 3 2 4 2 2 2" xfId="25094" xr:uid="{191A2EE4-8183-4C92-8734-63100743AAF5}"/>
    <cellStyle name="Normal 3 2 2 3 2 4 2 2 2 2" xfId="50586" xr:uid="{2EA50701-5158-4042-A8D4-58EE6D276BE8}"/>
    <cellStyle name="Normal 3 2 2 3 2 4 2 2 3" xfId="37995" xr:uid="{84D1770D-E41E-438A-8FA1-F604AAFBF5C9}"/>
    <cellStyle name="Normal 3 2 2 3 2 4 2 3" xfId="18816" xr:uid="{F0149BF6-5CC0-48D6-9FE2-957C816F136A}"/>
    <cellStyle name="Normal 3 2 2 3 2 4 2 3 2" xfId="44308" xr:uid="{555A48CC-D09E-44A0-9C64-8AE900FBD980}"/>
    <cellStyle name="Normal 3 2 2 3 2 4 2 4" xfId="31717" xr:uid="{4F2CF259-550E-4F3B-A1E2-67B594FA487A}"/>
    <cellStyle name="Normal 3 2 2 3 2 4 3" xfId="9273" xr:uid="{C98E2348-D00D-40F2-8780-C0D122F53EF9}"/>
    <cellStyle name="Normal 3 2 2 3 2 4 3 2" xfId="21955" xr:uid="{B4FA491B-DA27-4B9A-81A1-16479B278AE1}"/>
    <cellStyle name="Normal 3 2 2 3 2 4 3 2 2" xfId="47447" xr:uid="{79DA73F7-7C69-4E6C-9207-8140020B13CA}"/>
    <cellStyle name="Normal 3 2 2 3 2 4 3 3" xfId="34856" xr:uid="{0FD39CAF-DE75-4DB0-8101-BAB00D29865C}"/>
    <cellStyle name="Normal 3 2 2 3 2 4 4" xfId="15677" xr:uid="{D6821BD9-DDAE-464A-88A9-1C6C829947DE}"/>
    <cellStyle name="Normal 3 2 2 3 2 4 4 2" xfId="41169" xr:uid="{19FB9AEF-3912-4B17-8B16-15E9094DF88A}"/>
    <cellStyle name="Normal 3 2 2 3 2 4 5" xfId="28578" xr:uid="{5D08E290-D9A0-4C4D-85F8-D3CDF4B3AF5C}"/>
    <cellStyle name="Normal 3 2 2 3 2 5" xfId="3488" xr:uid="{F8406DCC-B7DD-41CB-ADA9-03B5A584F799}"/>
    <cellStyle name="Normal 3 2 2 3 2 5 2" xfId="6642" xr:uid="{1B5E7C8A-A920-47E0-B033-79DF6981E001}"/>
    <cellStyle name="Normal 3 2 2 3 2 5 2 2" xfId="12935" xr:uid="{41792661-10D7-491A-BA00-1EAE519A9DDD}"/>
    <cellStyle name="Normal 3 2 2 3 2 5 2 2 2" xfId="25617" xr:uid="{4FECE072-CB71-411E-85B0-572A949A39A5}"/>
    <cellStyle name="Normal 3 2 2 3 2 5 2 2 2 2" xfId="51109" xr:uid="{1C5EBFE6-2723-4663-8073-0D9C879A1EB5}"/>
    <cellStyle name="Normal 3 2 2 3 2 5 2 2 3" xfId="38518" xr:uid="{B3E688B6-47C8-45C3-B789-3F42BE7E64C8}"/>
    <cellStyle name="Normal 3 2 2 3 2 5 2 3" xfId="19339" xr:uid="{6997DBB4-B2E5-4B97-9AD7-36391A3192FE}"/>
    <cellStyle name="Normal 3 2 2 3 2 5 2 3 2" xfId="44831" xr:uid="{CDF8C92A-E749-4749-ABF2-BE3148AFE3DF}"/>
    <cellStyle name="Normal 3 2 2 3 2 5 2 4" xfId="32240" xr:uid="{FAAB80CF-30C2-4A79-A27B-8BEDD7E7CF6A}"/>
    <cellStyle name="Normal 3 2 2 3 2 5 3" xfId="9796" xr:uid="{6A91D31A-5338-4BA2-BF4E-A3D9F7868BE7}"/>
    <cellStyle name="Normal 3 2 2 3 2 5 3 2" xfId="22478" xr:uid="{5E5FBAA9-EA9D-4F6D-AC5A-451C71363B82}"/>
    <cellStyle name="Normal 3 2 2 3 2 5 3 2 2" xfId="47970" xr:uid="{A93B4394-E03E-407C-850E-DA641C2BDDC0}"/>
    <cellStyle name="Normal 3 2 2 3 2 5 3 3" xfId="35379" xr:uid="{E89BA699-6C8C-4792-A672-D599F08A0648}"/>
    <cellStyle name="Normal 3 2 2 3 2 5 4" xfId="16200" xr:uid="{0C3EDA84-6C57-4EDE-81A0-51E022493079}"/>
    <cellStyle name="Normal 3 2 2 3 2 5 4 2" xfId="41692" xr:uid="{06ECFF80-2CAA-46CB-89FF-E5F661016D9D}"/>
    <cellStyle name="Normal 3 2 2 3 2 5 5" xfId="29101" xr:uid="{03D11DFC-CF06-4C3B-AC80-C3D70D9D0779}"/>
    <cellStyle name="Normal 3 2 2 3 2 6" xfId="4288" xr:uid="{26DB6903-04AB-43A3-8AA8-A50882636F3D}"/>
    <cellStyle name="Normal 3 2 2 3 2 6 2" xfId="10581" xr:uid="{FAC6EB85-906D-42F5-AB22-ACDBF20ED9AD}"/>
    <cellStyle name="Normal 3 2 2 3 2 6 2 2" xfId="23263" xr:uid="{9EA72BC8-B1CC-4B99-8E3B-D8DABC902EEB}"/>
    <cellStyle name="Normal 3 2 2 3 2 6 2 2 2" xfId="48755" xr:uid="{276F0DB7-DD70-4FF9-A551-0F04E5603C12}"/>
    <cellStyle name="Normal 3 2 2 3 2 6 2 3" xfId="36164" xr:uid="{81521E43-E88A-40E5-80A8-33C1FC1BE546}"/>
    <cellStyle name="Normal 3 2 2 3 2 6 3" xfId="16985" xr:uid="{4FF49D42-12A3-47CE-951A-BA3D87B2804B}"/>
    <cellStyle name="Normal 3 2 2 3 2 6 3 2" xfId="42477" xr:uid="{F755A638-6D60-4255-BC8A-3B6B76A35A33}"/>
    <cellStyle name="Normal 3 2 2 3 2 6 4" xfId="29886" xr:uid="{695F1658-E7FB-42A2-9FC6-7DAD059FB426}"/>
    <cellStyle name="Normal 3 2 2 3 2 7" xfId="7442" xr:uid="{47A21273-9BCC-4889-8989-9B4B8C36CC4B}"/>
    <cellStyle name="Normal 3 2 2 3 2 7 2" xfId="20124" xr:uid="{E50C6CF9-A934-401B-844A-94ED8E92A547}"/>
    <cellStyle name="Normal 3 2 2 3 2 7 2 2" xfId="45616" xr:uid="{0C987E8C-3329-4987-973B-811F88611BF7}"/>
    <cellStyle name="Normal 3 2 2 3 2 7 3" xfId="33025" xr:uid="{CD3085D1-50D8-4FE6-A841-1FA7B6D6FE9B}"/>
    <cellStyle name="Normal 3 2 2 3 2 8" xfId="13846" xr:uid="{F701FFCA-030C-4575-8694-D6DB8A673C81}"/>
    <cellStyle name="Normal 3 2 2 3 2 8 2" xfId="39338" xr:uid="{E4E309D9-0BDF-4D56-882C-072B3E988D62}"/>
    <cellStyle name="Normal 3 2 2 3 2 9" xfId="26747" xr:uid="{3FF7ED39-8A0F-4B05-9E96-6F0974A7D781}"/>
    <cellStyle name="Normal 3 2 2 3 3" xfId="874" xr:uid="{18810699-3591-4B3B-842F-3C33D03914FE}"/>
    <cellStyle name="Normal 3 2 2 3 3 2" xfId="2181" xr:uid="{84348780-7672-4FB0-8497-884BAEEB7DA5}"/>
    <cellStyle name="Normal 3 2 2 3 3 2 2" xfId="5335" xr:uid="{EC94AA56-1D5D-44BC-B4DD-A91A4F2638F8}"/>
    <cellStyle name="Normal 3 2 2 3 3 2 2 2" xfId="11628" xr:uid="{A334B1CD-4D20-4779-B82A-54CFE03BA3D3}"/>
    <cellStyle name="Normal 3 2 2 3 3 2 2 2 2" xfId="24310" xr:uid="{7800DDB4-D63C-4AAE-827F-FDAB28851A3F}"/>
    <cellStyle name="Normal 3 2 2 3 3 2 2 2 2 2" xfId="49802" xr:uid="{F3C8788E-3D02-4C3C-B40E-69D46299C374}"/>
    <cellStyle name="Normal 3 2 2 3 3 2 2 2 3" xfId="37211" xr:uid="{1744990E-8D24-421D-9B8E-035F256ECBA9}"/>
    <cellStyle name="Normal 3 2 2 3 3 2 2 3" xfId="18032" xr:uid="{0AD968E9-0D85-4C14-8552-B6E468431102}"/>
    <cellStyle name="Normal 3 2 2 3 3 2 2 3 2" xfId="43524" xr:uid="{680A1559-C0BB-47C2-9BEB-DEA9D9AF489F}"/>
    <cellStyle name="Normal 3 2 2 3 3 2 2 4" xfId="30933" xr:uid="{505073DB-C95E-42E5-9DCD-898E02014C08}"/>
    <cellStyle name="Normal 3 2 2 3 3 2 3" xfId="8489" xr:uid="{D150116D-0394-422F-B2EE-195E94AC93B2}"/>
    <cellStyle name="Normal 3 2 2 3 3 2 3 2" xfId="21171" xr:uid="{A8C166B2-5DE5-40D8-AB64-AE5FC8D78015}"/>
    <cellStyle name="Normal 3 2 2 3 3 2 3 2 2" xfId="46663" xr:uid="{2806051B-ED3C-4A5D-821E-CCB41BC33282}"/>
    <cellStyle name="Normal 3 2 2 3 3 2 3 3" xfId="34072" xr:uid="{2155E9B1-E77A-4575-B96B-4ECF3C3FACFA}"/>
    <cellStyle name="Normal 3 2 2 3 3 2 4" xfId="14893" xr:uid="{F377FC59-F245-4FDF-9455-045EC50FE575}"/>
    <cellStyle name="Normal 3 2 2 3 3 2 4 2" xfId="40385" xr:uid="{597AF072-6075-46CD-8153-F2D828DA59D6}"/>
    <cellStyle name="Normal 3 2 2 3 3 2 5" xfId="27794" xr:uid="{DEE17A65-DB58-4D13-A3E6-12C80859B166}"/>
    <cellStyle name="Normal 3 2 2 3 3 3" xfId="4028" xr:uid="{99379C0C-18D1-4369-8D11-C43ABD687147}"/>
    <cellStyle name="Normal 3 2 2 3 3 3 2" xfId="10321" xr:uid="{B5C2289D-3D85-4925-8046-670CA8B52064}"/>
    <cellStyle name="Normal 3 2 2 3 3 3 2 2" xfId="23003" xr:uid="{2C94B1D0-B081-472B-A2B1-EDD1317351C7}"/>
    <cellStyle name="Normal 3 2 2 3 3 3 2 2 2" xfId="48495" xr:uid="{C51AB64C-4E18-473A-8617-15D3E8D78EE9}"/>
    <cellStyle name="Normal 3 2 2 3 3 3 2 3" xfId="35904" xr:uid="{52714F40-DE4A-4563-8259-66C8460440F4}"/>
    <cellStyle name="Normal 3 2 2 3 3 3 3" xfId="16725" xr:uid="{87771DDE-C8F7-43DA-BC57-0151F009B53A}"/>
    <cellStyle name="Normal 3 2 2 3 3 3 3 2" xfId="42217" xr:uid="{B73D4BD1-2E71-4E3E-AF2B-AB92B4DD387E}"/>
    <cellStyle name="Normal 3 2 2 3 3 3 4" xfId="29626" xr:uid="{46BD6355-A2E7-4102-A7CD-C84B6AF467EA}"/>
    <cellStyle name="Normal 3 2 2 3 3 4" xfId="7182" xr:uid="{F044330B-03DD-4C89-84F7-52818E94E8CA}"/>
    <cellStyle name="Normal 3 2 2 3 3 4 2" xfId="19864" xr:uid="{DB46B11B-E54E-4044-A019-231D1571AA74}"/>
    <cellStyle name="Normal 3 2 2 3 3 4 2 2" xfId="45356" xr:uid="{E070316A-D495-4A97-B747-03FB9EB29C20}"/>
    <cellStyle name="Normal 3 2 2 3 3 4 3" xfId="32765" xr:uid="{63888641-9589-48D2-955E-9D4B1AB8C4A4}"/>
    <cellStyle name="Normal 3 2 2 3 3 5" xfId="13586" xr:uid="{AA0CDA9C-DCCE-4CA3-B6F7-CDE653D5020A}"/>
    <cellStyle name="Normal 3 2 2 3 3 5 2" xfId="39078" xr:uid="{C0B48BDF-85D4-467F-BC6A-9D7D21EA8C55}"/>
    <cellStyle name="Normal 3 2 2 3 3 6" xfId="26487" xr:uid="{BEE7DFF4-0EA8-4ED9-8C74-BCE45D394EBC}"/>
    <cellStyle name="Normal 3 2 2 3 4" xfId="1919" xr:uid="{8AFC6F00-4653-4581-A2CE-4D6C3D78F476}"/>
    <cellStyle name="Normal 3 2 2 3 4 2" xfId="5073" xr:uid="{14F535FF-536C-47D4-A209-8CB2529F686D}"/>
    <cellStyle name="Normal 3 2 2 3 4 2 2" xfId="11366" xr:uid="{37773D71-70EF-4087-A165-66B6F9CBCE23}"/>
    <cellStyle name="Normal 3 2 2 3 4 2 2 2" xfId="24048" xr:uid="{BD0212CD-5060-4EA9-9917-ABF0C08A5830}"/>
    <cellStyle name="Normal 3 2 2 3 4 2 2 2 2" xfId="49540" xr:uid="{A3A1626F-2EDB-4B73-A25E-954ABB572888}"/>
    <cellStyle name="Normal 3 2 2 3 4 2 2 3" xfId="36949" xr:uid="{C9B88B22-3EB8-4C55-A1CD-81510571A278}"/>
    <cellStyle name="Normal 3 2 2 3 4 2 3" xfId="17770" xr:uid="{86C757CA-5F38-420D-B925-9D9561C484AA}"/>
    <cellStyle name="Normal 3 2 2 3 4 2 3 2" xfId="43262" xr:uid="{CFDD076A-D95E-47BE-B62E-19D42BF7FF81}"/>
    <cellStyle name="Normal 3 2 2 3 4 2 4" xfId="30671" xr:uid="{EEF189F6-036E-4694-8B4E-C1D9332AAE16}"/>
    <cellStyle name="Normal 3 2 2 3 4 3" xfId="8227" xr:uid="{682025F8-6DC7-4674-8BFD-5108EFEB2897}"/>
    <cellStyle name="Normal 3 2 2 3 4 3 2" xfId="20909" xr:uid="{2DD80A3E-8232-402A-8FE7-3DFAD92AEEFD}"/>
    <cellStyle name="Normal 3 2 2 3 4 3 2 2" xfId="46401" xr:uid="{8853CC34-6818-468F-A561-93FE1F96924F}"/>
    <cellStyle name="Normal 3 2 2 3 4 3 3" xfId="33810" xr:uid="{F0308986-A5A3-4B55-BB63-700E281A6DF2}"/>
    <cellStyle name="Normal 3 2 2 3 4 4" xfId="14631" xr:uid="{29AF47C9-2D41-4A27-B76D-51A1CA4C4A56}"/>
    <cellStyle name="Normal 3 2 2 3 4 4 2" xfId="40123" xr:uid="{3D9B82B4-4A8E-42FC-882F-431751808D73}"/>
    <cellStyle name="Normal 3 2 2 3 4 5" xfId="27532" xr:uid="{47BB7870-6B1B-4AEB-A7A2-0C8E7A06FD28}"/>
    <cellStyle name="Normal 3 2 2 3 5" xfId="1397" xr:uid="{DD396D87-DAE2-4CEB-8FA7-54BD1877CA4D}"/>
    <cellStyle name="Normal 3 2 2 3 5 2" xfId="4551" xr:uid="{55512106-BE22-433D-9DD5-9CC29240FD39}"/>
    <cellStyle name="Normal 3 2 2 3 5 2 2" xfId="10844" xr:uid="{609E408C-14ED-4665-A031-3D4AED367407}"/>
    <cellStyle name="Normal 3 2 2 3 5 2 2 2" xfId="23526" xr:uid="{1853B5BA-C123-40CD-9857-19D57005A578}"/>
    <cellStyle name="Normal 3 2 2 3 5 2 2 2 2" xfId="49018" xr:uid="{C068B187-A0C1-473D-BB1A-66AAE9E47DDE}"/>
    <cellStyle name="Normal 3 2 2 3 5 2 2 3" xfId="36427" xr:uid="{5A92EAF2-F85E-4317-B252-239799B4385E}"/>
    <cellStyle name="Normal 3 2 2 3 5 2 3" xfId="17248" xr:uid="{0FE071D0-D782-4575-AD0F-DE9E4D4EDB0E}"/>
    <cellStyle name="Normal 3 2 2 3 5 2 3 2" xfId="42740" xr:uid="{EC9A9F02-5B2C-403D-9363-BB89EF58DE90}"/>
    <cellStyle name="Normal 3 2 2 3 5 2 4" xfId="30149" xr:uid="{BCF77F65-841F-48F1-B24D-2B2A9C0D339D}"/>
    <cellStyle name="Normal 3 2 2 3 5 3" xfId="7705" xr:uid="{D7D04C02-7174-459C-952B-5AD53868FC90}"/>
    <cellStyle name="Normal 3 2 2 3 5 3 2" xfId="20387" xr:uid="{094EB5D8-CD5F-4851-BBE0-82282077D16E}"/>
    <cellStyle name="Normal 3 2 2 3 5 3 2 2" xfId="45879" xr:uid="{41A53B84-2412-4FEF-9AC5-3FAD7A17E73B}"/>
    <cellStyle name="Normal 3 2 2 3 5 3 3" xfId="33288" xr:uid="{A4E695D0-63A2-4908-AA5A-2EB8D708759A}"/>
    <cellStyle name="Normal 3 2 2 3 5 4" xfId="14109" xr:uid="{F6E38A54-ED86-42E6-94C7-D190847B543E}"/>
    <cellStyle name="Normal 3 2 2 3 5 4 2" xfId="39601" xr:uid="{E4CC2617-00B7-4A98-9203-3E2B745F92BC}"/>
    <cellStyle name="Normal 3 2 2 3 5 5" xfId="27010" xr:uid="{83D9F0B5-5EE3-4BEE-B318-0651ABBE02C8}"/>
    <cellStyle name="Normal 3 2 2 3 6" xfId="2704" xr:uid="{B096C563-43D9-49D4-9077-A1047C7A64C9}"/>
    <cellStyle name="Normal 3 2 2 3 6 2" xfId="5858" xr:uid="{D25F0A6E-F101-46FE-AE74-728FC63431BF}"/>
    <cellStyle name="Normal 3 2 2 3 6 2 2" xfId="12151" xr:uid="{C80B6FC1-925F-4E24-979E-A5DD1577287A}"/>
    <cellStyle name="Normal 3 2 2 3 6 2 2 2" xfId="24833" xr:uid="{8764D0DA-A263-4AFD-AFFE-91B198A69F63}"/>
    <cellStyle name="Normal 3 2 2 3 6 2 2 2 2" xfId="50325" xr:uid="{BAD6A60B-7447-456B-B0FD-BAC31365150C}"/>
    <cellStyle name="Normal 3 2 2 3 6 2 2 3" xfId="37734" xr:uid="{B8E1D938-A70F-46CB-BEED-8AEBFD9119DD}"/>
    <cellStyle name="Normal 3 2 2 3 6 2 3" xfId="18555" xr:uid="{687A9281-4725-4A28-BE2D-97AEF929865A}"/>
    <cellStyle name="Normal 3 2 2 3 6 2 3 2" xfId="44047" xr:uid="{77A9B5F6-1D97-4DFB-AE2D-522743B74F5D}"/>
    <cellStyle name="Normal 3 2 2 3 6 2 4" xfId="31456" xr:uid="{82D8964F-A392-4708-8645-26E1B580BE5D}"/>
    <cellStyle name="Normal 3 2 2 3 6 3" xfId="9012" xr:uid="{3E305C7D-BCCA-4A80-BA11-257B55E53CFF}"/>
    <cellStyle name="Normal 3 2 2 3 6 3 2" xfId="21694" xr:uid="{A79F2146-D052-4132-A464-2F43DD3997BE}"/>
    <cellStyle name="Normal 3 2 2 3 6 3 2 2" xfId="47186" xr:uid="{19409CE0-FAA3-4611-8209-E63E8E6256F7}"/>
    <cellStyle name="Normal 3 2 2 3 6 3 3" xfId="34595" xr:uid="{5F466A96-DD73-40E9-8FB6-2618D6EDA5FF}"/>
    <cellStyle name="Normal 3 2 2 3 6 4" xfId="15416" xr:uid="{0DBDCCDB-F2C3-4C56-B417-03A680E2E7FC}"/>
    <cellStyle name="Normal 3 2 2 3 6 4 2" xfId="40908" xr:uid="{B4B3C8F8-5665-4542-9854-66141106DB40}"/>
    <cellStyle name="Normal 3 2 2 3 6 5" xfId="28317" xr:uid="{A5D9BC53-CEA4-41A2-8F29-F1AC2331E7D2}"/>
    <cellStyle name="Normal 3 2 2 3 7" xfId="3227" xr:uid="{2ECD1281-85E7-4C5A-924A-B8197D7BDF9B}"/>
    <cellStyle name="Normal 3 2 2 3 7 2" xfId="6381" xr:uid="{5A7C8014-A48A-48E3-9F32-645E04B5B213}"/>
    <cellStyle name="Normal 3 2 2 3 7 2 2" xfId="12674" xr:uid="{76F03ED0-BE5F-4FD1-B251-442FDB1A2DCC}"/>
    <cellStyle name="Normal 3 2 2 3 7 2 2 2" xfId="25356" xr:uid="{A343EC8E-1041-4FD3-9A82-DBF3ACD5F2BD}"/>
    <cellStyle name="Normal 3 2 2 3 7 2 2 2 2" xfId="50848" xr:uid="{793A07DE-4C37-42C2-B083-341D7F329D25}"/>
    <cellStyle name="Normal 3 2 2 3 7 2 2 3" xfId="38257" xr:uid="{CBE94293-C47D-4086-BC75-545AE6D9DF5D}"/>
    <cellStyle name="Normal 3 2 2 3 7 2 3" xfId="19078" xr:uid="{CC29E8A1-7EEB-4D97-89EF-1A24F67DD97A}"/>
    <cellStyle name="Normal 3 2 2 3 7 2 3 2" xfId="44570" xr:uid="{7302CE96-5BAE-499C-A631-52E58B8ADFA6}"/>
    <cellStyle name="Normal 3 2 2 3 7 2 4" xfId="31979" xr:uid="{F0FDD9D9-0D0E-433B-92D9-C1E7F3543627}"/>
    <cellStyle name="Normal 3 2 2 3 7 3" xfId="9535" xr:uid="{B1B771E7-5761-47CC-B42B-53633EC7F859}"/>
    <cellStyle name="Normal 3 2 2 3 7 3 2" xfId="22217" xr:uid="{2A8294E0-FEE9-42A1-9C74-1DC5F99F59EC}"/>
    <cellStyle name="Normal 3 2 2 3 7 3 2 2" xfId="47709" xr:uid="{7F51F1EF-2676-43F3-8DBE-187B44ED19DA}"/>
    <cellStyle name="Normal 3 2 2 3 7 3 3" xfId="35118" xr:uid="{868C71BB-DC64-40AE-A03F-E7CEE1BDCA2B}"/>
    <cellStyle name="Normal 3 2 2 3 7 4" xfId="15939" xr:uid="{282E1D4F-1161-4F0D-92FA-019BA0B3A372}"/>
    <cellStyle name="Normal 3 2 2 3 7 4 2" xfId="41431" xr:uid="{86946026-B049-4BBF-8DC3-D5EA60BFB200}"/>
    <cellStyle name="Normal 3 2 2 3 7 5" xfId="28840" xr:uid="{3C5D89D3-6F8C-49C2-A1DC-77C7D379D332}"/>
    <cellStyle name="Normal 3 2 2 3 8" xfId="3766" xr:uid="{C952B7FB-FD96-43E9-9031-D55DE98B044C}"/>
    <cellStyle name="Normal 3 2 2 3 8 2" xfId="10059" xr:uid="{82290CB8-498D-4088-AF8F-ED08D9D4FB2C}"/>
    <cellStyle name="Normal 3 2 2 3 8 2 2" xfId="22741" xr:uid="{4CAADB1B-87BA-40F0-AA37-AC3F2403F637}"/>
    <cellStyle name="Normal 3 2 2 3 8 2 2 2" xfId="48233" xr:uid="{40FDAAE7-4054-47C9-BE4F-95C9D32DF364}"/>
    <cellStyle name="Normal 3 2 2 3 8 2 3" xfId="35642" xr:uid="{059BFE0A-2E14-44E6-B8A8-4CF7D0850828}"/>
    <cellStyle name="Normal 3 2 2 3 8 3" xfId="16463" xr:uid="{B6D2F97F-B105-4DCD-A2D2-BD9D077F899A}"/>
    <cellStyle name="Normal 3 2 2 3 8 3 2" xfId="41955" xr:uid="{B8C88D4A-302B-47E8-AD19-D9DCB6662FE9}"/>
    <cellStyle name="Normal 3 2 2 3 8 4" xfId="29364" xr:uid="{D6733F22-0F6E-499B-9A73-869E333CC878}"/>
    <cellStyle name="Normal 3 2 2 3 9" xfId="6920" xr:uid="{F2BA85DC-F79F-496C-8035-C6383823DD6B}"/>
    <cellStyle name="Normal 3 2 2 3 9 2" xfId="19602" xr:uid="{05306E22-9397-4C0A-A0AA-495FA821B8CF}"/>
    <cellStyle name="Normal 3 2 2 3 9 2 2" xfId="45094" xr:uid="{977AD947-44B8-4199-8E2E-D979FFB85D0A}"/>
    <cellStyle name="Normal 3 2 2 3 9 3" xfId="32503" xr:uid="{AB68F763-D643-4FB3-A3EF-A9E0637D6BFB}"/>
    <cellStyle name="Normal 3 2 2 4" xfId="558" xr:uid="{F909BA49-9D60-4A35-A506-311D1172BF36}"/>
    <cellStyle name="Normal 3 2 2 4 10" xfId="13285" xr:uid="{6CFE4CF8-2405-4AE6-9B76-10DA16071546}"/>
    <cellStyle name="Normal 3 2 2 4 10 2" xfId="38777" xr:uid="{532D79CB-DB0E-4DF7-98AA-450330136F44}"/>
    <cellStyle name="Normal 3 2 2 4 11" xfId="26186" xr:uid="{1F60A615-F4EF-4AE1-AD34-F23CB4292E82}"/>
    <cellStyle name="Normal 3 2 2 4 2" xfId="1095" xr:uid="{8F59583B-074A-487D-8A62-22DCC01441E6}"/>
    <cellStyle name="Normal 3 2 2 4 2 2" xfId="2402" xr:uid="{6D294447-7CD4-4177-B89A-A53161CCFD82}"/>
    <cellStyle name="Normal 3 2 2 4 2 2 2" xfId="5556" xr:uid="{0468B883-8D9B-4DA7-B21C-A6E32CBBED47}"/>
    <cellStyle name="Normal 3 2 2 4 2 2 2 2" xfId="11849" xr:uid="{FC2B28E3-EAD5-4AE8-A230-3C25AFA3D521}"/>
    <cellStyle name="Normal 3 2 2 4 2 2 2 2 2" xfId="24531" xr:uid="{3D95D153-BC3E-4740-9E0B-362473D74991}"/>
    <cellStyle name="Normal 3 2 2 4 2 2 2 2 2 2" xfId="50023" xr:uid="{D101B758-5E40-4B22-8556-8739CD04FC66}"/>
    <cellStyle name="Normal 3 2 2 4 2 2 2 2 3" xfId="37432" xr:uid="{C77E0A5A-1781-4ED0-9A5F-C3EDDF90F7D3}"/>
    <cellStyle name="Normal 3 2 2 4 2 2 2 3" xfId="18253" xr:uid="{CA974A8F-C9CA-40FA-BC48-13D2006499B7}"/>
    <cellStyle name="Normal 3 2 2 4 2 2 2 3 2" xfId="43745" xr:uid="{7FF141BB-EB24-4E50-B34B-5EAC49290BA8}"/>
    <cellStyle name="Normal 3 2 2 4 2 2 2 4" xfId="31154" xr:uid="{4AB1E5A3-4333-4091-9D0B-FC276DB24C60}"/>
    <cellStyle name="Normal 3 2 2 4 2 2 3" xfId="8710" xr:uid="{7C557918-FE91-4E8C-A30A-D289B9851616}"/>
    <cellStyle name="Normal 3 2 2 4 2 2 3 2" xfId="21392" xr:uid="{09D3307C-F99A-462C-B07A-37D7650A0A82}"/>
    <cellStyle name="Normal 3 2 2 4 2 2 3 2 2" xfId="46884" xr:uid="{9215E706-2DA1-431F-BABF-347790E4AB71}"/>
    <cellStyle name="Normal 3 2 2 4 2 2 3 3" xfId="34293" xr:uid="{0BF3B41F-E642-4ED3-AC7A-792998A562A6}"/>
    <cellStyle name="Normal 3 2 2 4 2 2 4" xfId="15114" xr:uid="{CFEE077C-AECF-4B30-9211-007F146185E0}"/>
    <cellStyle name="Normal 3 2 2 4 2 2 4 2" xfId="40606" xr:uid="{2BC20D2E-A3F8-4E34-B045-9F2055D81F4E}"/>
    <cellStyle name="Normal 3 2 2 4 2 2 5" xfId="28015" xr:uid="{A6B9833A-BE6E-4EEF-B8C3-9AC6D7F4A317}"/>
    <cellStyle name="Normal 3 2 2 4 2 3" xfId="1619" xr:uid="{B464ECD7-6E36-4F4D-818F-551D7D463B40}"/>
    <cellStyle name="Normal 3 2 2 4 2 3 2" xfId="4773" xr:uid="{CC7BFDE9-A32F-41E5-8920-982EB6434083}"/>
    <cellStyle name="Normal 3 2 2 4 2 3 2 2" xfId="11066" xr:uid="{AD5AAECC-A31B-47DA-BA6E-D1A9EAA5CD29}"/>
    <cellStyle name="Normal 3 2 2 4 2 3 2 2 2" xfId="23748" xr:uid="{D6B584C9-9FBB-4071-80BD-6D3FD3D485B5}"/>
    <cellStyle name="Normal 3 2 2 4 2 3 2 2 2 2" xfId="49240" xr:uid="{5D229881-5609-4D83-8D3E-FA31F7C0325C}"/>
    <cellStyle name="Normal 3 2 2 4 2 3 2 2 3" xfId="36649" xr:uid="{FF6C028A-D753-4113-9215-43A247DF9790}"/>
    <cellStyle name="Normal 3 2 2 4 2 3 2 3" xfId="17470" xr:uid="{E095458E-054A-408E-822B-8A3CE820A77D}"/>
    <cellStyle name="Normal 3 2 2 4 2 3 2 3 2" xfId="42962" xr:uid="{062E12B2-FC5F-4225-BE37-6B6B9DC14570}"/>
    <cellStyle name="Normal 3 2 2 4 2 3 2 4" xfId="30371" xr:uid="{4BAB3443-E92C-4332-B1B3-1015A810B4B1}"/>
    <cellStyle name="Normal 3 2 2 4 2 3 3" xfId="7927" xr:uid="{253B2F15-6570-4602-815B-B4F068E99593}"/>
    <cellStyle name="Normal 3 2 2 4 2 3 3 2" xfId="20609" xr:uid="{425F7028-1BE5-4BB3-8204-46EEEC6EEF5F}"/>
    <cellStyle name="Normal 3 2 2 4 2 3 3 2 2" xfId="46101" xr:uid="{27B6C532-3581-4095-9604-897A7F4D49D5}"/>
    <cellStyle name="Normal 3 2 2 4 2 3 3 3" xfId="33510" xr:uid="{F2E0DA57-B02F-4F29-810F-8DE71243D2C3}"/>
    <cellStyle name="Normal 3 2 2 4 2 3 4" xfId="14331" xr:uid="{E24AB975-0CB2-45CE-B564-B49C8B4BCA2B}"/>
    <cellStyle name="Normal 3 2 2 4 2 3 4 2" xfId="39823" xr:uid="{37F185AB-1B2A-4CB7-8E88-1A8905E21A8C}"/>
    <cellStyle name="Normal 3 2 2 4 2 3 5" xfId="27232" xr:uid="{43CC641D-52C7-4C75-B178-F31F124B6FE9}"/>
    <cellStyle name="Normal 3 2 2 4 2 4" xfId="2926" xr:uid="{C48EE57F-DEC9-43B5-B9DF-36445E328AA6}"/>
    <cellStyle name="Normal 3 2 2 4 2 4 2" xfId="6080" xr:uid="{E1F4158B-0A3F-499B-84FC-E3359789E406}"/>
    <cellStyle name="Normal 3 2 2 4 2 4 2 2" xfId="12373" xr:uid="{F338FE58-1165-4E0C-8244-E83A507C7889}"/>
    <cellStyle name="Normal 3 2 2 4 2 4 2 2 2" xfId="25055" xr:uid="{138EA9F1-B256-4C55-BCBD-ED949F0832B2}"/>
    <cellStyle name="Normal 3 2 2 4 2 4 2 2 2 2" xfId="50547" xr:uid="{7202F22E-49B7-439F-9B46-5B39DEAD8153}"/>
    <cellStyle name="Normal 3 2 2 4 2 4 2 2 3" xfId="37956" xr:uid="{4932A41E-B8E1-4EF5-9737-CCD1302F4D8C}"/>
    <cellStyle name="Normal 3 2 2 4 2 4 2 3" xfId="18777" xr:uid="{8A96CA10-A26C-4B50-AC36-5C69C8711DCD}"/>
    <cellStyle name="Normal 3 2 2 4 2 4 2 3 2" xfId="44269" xr:uid="{8C7A4D69-DEE3-45AC-A55E-C25EB81A8014}"/>
    <cellStyle name="Normal 3 2 2 4 2 4 2 4" xfId="31678" xr:uid="{5FDE2DBB-BFCB-4F27-8218-2DE7885F4962}"/>
    <cellStyle name="Normal 3 2 2 4 2 4 3" xfId="9234" xr:uid="{B4793FCC-8000-45A3-B9FD-ADA8D0E3BE2B}"/>
    <cellStyle name="Normal 3 2 2 4 2 4 3 2" xfId="21916" xr:uid="{3A204540-95DC-4806-8010-A4E2511AC19D}"/>
    <cellStyle name="Normal 3 2 2 4 2 4 3 2 2" xfId="47408" xr:uid="{CCC7F1E0-973F-4BED-B6B0-CBA1A8ED5378}"/>
    <cellStyle name="Normal 3 2 2 4 2 4 3 3" xfId="34817" xr:uid="{7869CD85-5D60-464A-B0E1-34E14A925ED0}"/>
    <cellStyle name="Normal 3 2 2 4 2 4 4" xfId="15638" xr:uid="{F3B8E188-2719-48A5-8FA4-AFB4EC2E8236}"/>
    <cellStyle name="Normal 3 2 2 4 2 4 4 2" xfId="41130" xr:uid="{ED55CE95-0EFD-422F-9874-1D2E21AFB2AD}"/>
    <cellStyle name="Normal 3 2 2 4 2 4 5" xfId="28539" xr:uid="{A9587E54-BA63-4484-AB3D-EBA5F84021F0}"/>
    <cellStyle name="Normal 3 2 2 4 2 5" xfId="3449" xr:uid="{8D82238B-708A-4DE9-B860-66C5147583A6}"/>
    <cellStyle name="Normal 3 2 2 4 2 5 2" xfId="6603" xr:uid="{B9187333-41CA-4430-8604-4481EA3C96EE}"/>
    <cellStyle name="Normal 3 2 2 4 2 5 2 2" xfId="12896" xr:uid="{EBDDB39C-DB47-415D-BE87-AAAFDB8CE6B2}"/>
    <cellStyle name="Normal 3 2 2 4 2 5 2 2 2" xfId="25578" xr:uid="{F4BDC6AF-B3D4-41FE-A114-DF7DE57E2701}"/>
    <cellStyle name="Normal 3 2 2 4 2 5 2 2 2 2" xfId="51070" xr:uid="{E32A2686-37DA-47E0-9711-674BBF6E5B93}"/>
    <cellStyle name="Normal 3 2 2 4 2 5 2 2 3" xfId="38479" xr:uid="{A087F425-5A05-4B00-BCB9-7BEBE67AD845}"/>
    <cellStyle name="Normal 3 2 2 4 2 5 2 3" xfId="19300" xr:uid="{5B199AF4-0DE8-45CB-ADEC-ABB6423C1EF0}"/>
    <cellStyle name="Normal 3 2 2 4 2 5 2 3 2" xfId="44792" xr:uid="{2117FBCA-6E48-4DB5-8AF8-FA43D5F93750}"/>
    <cellStyle name="Normal 3 2 2 4 2 5 2 4" xfId="32201" xr:uid="{2171A18C-2BBB-4533-A4CD-2A87508253D9}"/>
    <cellStyle name="Normal 3 2 2 4 2 5 3" xfId="9757" xr:uid="{82037DF2-E2B8-41CB-B69F-CC77BEF688D5}"/>
    <cellStyle name="Normal 3 2 2 4 2 5 3 2" xfId="22439" xr:uid="{95BB286F-556E-4817-9D4B-479F5E0AA6DF}"/>
    <cellStyle name="Normal 3 2 2 4 2 5 3 2 2" xfId="47931" xr:uid="{9BD82DE2-1C99-426A-B554-E8FBA67BA7FF}"/>
    <cellStyle name="Normal 3 2 2 4 2 5 3 3" xfId="35340" xr:uid="{7420A8C4-4548-4F11-BE62-74E29639876F}"/>
    <cellStyle name="Normal 3 2 2 4 2 5 4" xfId="16161" xr:uid="{41A385E1-D117-4F43-9BC8-40371F67D060}"/>
    <cellStyle name="Normal 3 2 2 4 2 5 4 2" xfId="41653" xr:uid="{9A61AEDB-8988-4EB4-B126-C6B5222D17D3}"/>
    <cellStyle name="Normal 3 2 2 4 2 5 5" xfId="29062" xr:uid="{2296D686-6140-4B96-B2C5-083C4DA11E45}"/>
    <cellStyle name="Normal 3 2 2 4 2 6" xfId="4249" xr:uid="{D42117EC-FFB8-4802-86A4-3E7EB077FDD2}"/>
    <cellStyle name="Normal 3 2 2 4 2 6 2" xfId="10542" xr:uid="{DD438C16-F979-4FDA-910A-B5CF771CBFAC}"/>
    <cellStyle name="Normal 3 2 2 4 2 6 2 2" xfId="23224" xr:uid="{77734BD4-697E-4F16-8F2F-162544F55599}"/>
    <cellStyle name="Normal 3 2 2 4 2 6 2 2 2" xfId="48716" xr:uid="{5D7B8253-CF10-4431-8F90-1BED15403477}"/>
    <cellStyle name="Normal 3 2 2 4 2 6 2 3" xfId="36125" xr:uid="{2B31F65F-F2DF-4A17-AA51-2EB792C4CB36}"/>
    <cellStyle name="Normal 3 2 2 4 2 6 3" xfId="16946" xr:uid="{3C644E26-C2D6-4854-8C70-EC7816B115BA}"/>
    <cellStyle name="Normal 3 2 2 4 2 6 3 2" xfId="42438" xr:uid="{D10B1962-1CD9-4DAB-A1DE-2768B1CF43B7}"/>
    <cellStyle name="Normal 3 2 2 4 2 6 4" xfId="29847" xr:uid="{A0D6C7BD-8A80-40A7-80E7-08F52F147092}"/>
    <cellStyle name="Normal 3 2 2 4 2 7" xfId="7403" xr:uid="{26FC01A2-3841-459B-877F-32E87D8CC626}"/>
    <cellStyle name="Normal 3 2 2 4 2 7 2" xfId="20085" xr:uid="{3810257C-7DAC-4904-B46C-59B604395961}"/>
    <cellStyle name="Normal 3 2 2 4 2 7 2 2" xfId="45577" xr:uid="{95319F83-87C8-4631-A8F6-372CE21270AC}"/>
    <cellStyle name="Normal 3 2 2 4 2 7 3" xfId="32986" xr:uid="{986758B5-2AE9-4176-9903-95368BD576E9}"/>
    <cellStyle name="Normal 3 2 2 4 2 8" xfId="13807" xr:uid="{8F0B369E-AB2B-4B31-B421-3349F15676E2}"/>
    <cellStyle name="Normal 3 2 2 4 2 8 2" xfId="39299" xr:uid="{75F4F0F1-B7F3-43E5-AF90-9FA4DCE479E2}"/>
    <cellStyle name="Normal 3 2 2 4 2 9" xfId="26708" xr:uid="{64B5CA95-362A-4A13-9842-C7AA8FD153A4}"/>
    <cellStyle name="Normal 3 2 2 4 3" xfId="835" xr:uid="{2972DE7C-022E-46D1-9F85-805391241859}"/>
    <cellStyle name="Normal 3 2 2 4 3 2" xfId="2142" xr:uid="{95BDB48E-DBD7-4BDB-B1D9-417EB4D17401}"/>
    <cellStyle name="Normal 3 2 2 4 3 2 2" xfId="5296" xr:uid="{27D3061B-7AE6-4EAC-A7E1-64AE6B079AB3}"/>
    <cellStyle name="Normal 3 2 2 4 3 2 2 2" xfId="11589" xr:uid="{A80D5BF2-5777-4827-827B-E1DF76FEBF72}"/>
    <cellStyle name="Normal 3 2 2 4 3 2 2 2 2" xfId="24271" xr:uid="{9073CC15-A4A6-4F11-9A77-7EB84A3D61D9}"/>
    <cellStyle name="Normal 3 2 2 4 3 2 2 2 2 2" xfId="49763" xr:uid="{D920D2AC-35F7-4110-915C-BA1FF0D1983C}"/>
    <cellStyle name="Normal 3 2 2 4 3 2 2 2 3" xfId="37172" xr:uid="{E474959E-F098-4349-9534-F6F6DA81DBC3}"/>
    <cellStyle name="Normal 3 2 2 4 3 2 2 3" xfId="17993" xr:uid="{F9722CDB-AA0C-4A74-9AD0-671F3AF8AF8F}"/>
    <cellStyle name="Normal 3 2 2 4 3 2 2 3 2" xfId="43485" xr:uid="{5FA5765C-1F8F-46C5-8210-24671D4E3B45}"/>
    <cellStyle name="Normal 3 2 2 4 3 2 2 4" xfId="30894" xr:uid="{3AD5EC83-21B9-4E61-B80D-1FC2B56103FB}"/>
    <cellStyle name="Normal 3 2 2 4 3 2 3" xfId="8450" xr:uid="{BE51342C-C32B-4FF8-A9AB-A7852E79876D}"/>
    <cellStyle name="Normal 3 2 2 4 3 2 3 2" xfId="21132" xr:uid="{9535CBD1-ECD1-4125-A4D8-372CDA5BCD7D}"/>
    <cellStyle name="Normal 3 2 2 4 3 2 3 2 2" xfId="46624" xr:uid="{4175497D-28CC-4531-87CA-612369DFFA0D}"/>
    <cellStyle name="Normal 3 2 2 4 3 2 3 3" xfId="34033" xr:uid="{6546FDAC-BBAD-4A90-A410-382EF45FFE8D}"/>
    <cellStyle name="Normal 3 2 2 4 3 2 4" xfId="14854" xr:uid="{17B4113A-1AF0-49B1-BD3C-57AD5ED08F21}"/>
    <cellStyle name="Normal 3 2 2 4 3 2 4 2" xfId="40346" xr:uid="{7260BA8F-05A4-46B6-B0FC-1DF2DF01E613}"/>
    <cellStyle name="Normal 3 2 2 4 3 2 5" xfId="27755" xr:uid="{B43BD2DC-1A9D-415E-A423-FE9CB746DCD7}"/>
    <cellStyle name="Normal 3 2 2 4 3 3" xfId="3989" xr:uid="{26A5A9B8-0E08-4EB7-8359-68C775412AF1}"/>
    <cellStyle name="Normal 3 2 2 4 3 3 2" xfId="10282" xr:uid="{D79EDA13-5D43-40A6-AE8B-E638B86EC664}"/>
    <cellStyle name="Normal 3 2 2 4 3 3 2 2" xfId="22964" xr:uid="{B5B71E1F-9821-4995-8FE8-84D1CC68D871}"/>
    <cellStyle name="Normal 3 2 2 4 3 3 2 2 2" xfId="48456" xr:uid="{E7CAB719-7858-4945-A76E-2276F544A5E8}"/>
    <cellStyle name="Normal 3 2 2 4 3 3 2 3" xfId="35865" xr:uid="{496002A6-C371-4A0F-82F5-3FF16F358283}"/>
    <cellStyle name="Normal 3 2 2 4 3 3 3" xfId="16686" xr:uid="{D19F3E9E-DB76-4911-B674-2C146E944300}"/>
    <cellStyle name="Normal 3 2 2 4 3 3 3 2" xfId="42178" xr:uid="{A8A53720-532C-4B7D-8E4E-4393C9ED4BE4}"/>
    <cellStyle name="Normal 3 2 2 4 3 3 4" xfId="29587" xr:uid="{7C7792E5-DA82-4D89-9A61-6585741C2D1B}"/>
    <cellStyle name="Normal 3 2 2 4 3 4" xfId="7143" xr:uid="{A45BBAFA-3D4C-4066-8AE6-08D5670B1FF3}"/>
    <cellStyle name="Normal 3 2 2 4 3 4 2" xfId="19825" xr:uid="{82CBFFB3-F7DE-4C81-A0C2-973CA27668E4}"/>
    <cellStyle name="Normal 3 2 2 4 3 4 2 2" xfId="45317" xr:uid="{410A0FAF-E718-40B8-9736-CFB0C39B9C23}"/>
    <cellStyle name="Normal 3 2 2 4 3 4 3" xfId="32726" xr:uid="{A7C0E9AE-A8F5-4A0E-A3FB-D64C45E2373F}"/>
    <cellStyle name="Normal 3 2 2 4 3 5" xfId="13547" xr:uid="{6A7AFC4D-C21B-4ED3-B90C-FE493B805076}"/>
    <cellStyle name="Normal 3 2 2 4 3 5 2" xfId="39039" xr:uid="{4B1A06C8-8A10-45E6-8470-037B4C98B9C7}"/>
    <cellStyle name="Normal 3 2 2 4 3 6" xfId="26448" xr:uid="{D14AA09D-7684-4A85-91F3-61CE10FCCE7D}"/>
    <cellStyle name="Normal 3 2 2 4 4" xfId="1880" xr:uid="{6A2D9F25-E28C-46F2-BC83-6743818C80CC}"/>
    <cellStyle name="Normal 3 2 2 4 4 2" xfId="5034" xr:uid="{B44976EC-752F-496A-91E0-D762EE07A987}"/>
    <cellStyle name="Normal 3 2 2 4 4 2 2" xfId="11327" xr:uid="{3D664F51-B4D7-4E52-BAC8-DB7AE0C41462}"/>
    <cellStyle name="Normal 3 2 2 4 4 2 2 2" xfId="24009" xr:uid="{C6CE0700-C066-4308-B3C1-FDC17B9B5C84}"/>
    <cellStyle name="Normal 3 2 2 4 4 2 2 2 2" xfId="49501" xr:uid="{AC816D25-9409-4F1E-8A43-E68FB0B91C9C}"/>
    <cellStyle name="Normal 3 2 2 4 4 2 2 3" xfId="36910" xr:uid="{D90CBB78-E02A-4989-B60F-60D0EAA46E06}"/>
    <cellStyle name="Normal 3 2 2 4 4 2 3" xfId="17731" xr:uid="{D842F12E-4EF5-45F3-92E6-45029B786D8A}"/>
    <cellStyle name="Normal 3 2 2 4 4 2 3 2" xfId="43223" xr:uid="{E023E54A-806F-42D5-8D0B-2DFEFFC095D9}"/>
    <cellStyle name="Normal 3 2 2 4 4 2 4" xfId="30632" xr:uid="{D4FE13BE-A9AE-46A9-B756-280BC5B93EC1}"/>
    <cellStyle name="Normal 3 2 2 4 4 3" xfId="8188" xr:uid="{48F3393B-BB63-4E87-ADF6-C3672574E679}"/>
    <cellStyle name="Normal 3 2 2 4 4 3 2" xfId="20870" xr:uid="{A873387D-11B1-4AD3-A731-6F5D1E98D7E4}"/>
    <cellStyle name="Normal 3 2 2 4 4 3 2 2" xfId="46362" xr:uid="{E9EA27CB-79CF-4943-95C3-3F6C4A626FCA}"/>
    <cellStyle name="Normal 3 2 2 4 4 3 3" xfId="33771" xr:uid="{45EFFA0F-5640-4EB7-9B06-E9A1F178D259}"/>
    <cellStyle name="Normal 3 2 2 4 4 4" xfId="14592" xr:uid="{E0D037E4-7613-4970-988E-67AED5851902}"/>
    <cellStyle name="Normal 3 2 2 4 4 4 2" xfId="40084" xr:uid="{3B4EAEB8-6F26-4150-BA8E-E98C63E3BD44}"/>
    <cellStyle name="Normal 3 2 2 4 4 5" xfId="27493" xr:uid="{0FB38A8A-E983-496F-966F-BAB9E55354B6}"/>
    <cellStyle name="Normal 3 2 2 4 5" xfId="1358" xr:uid="{1228F159-7BE2-4012-A1B0-ECF07C4D39D8}"/>
    <cellStyle name="Normal 3 2 2 4 5 2" xfId="4512" xr:uid="{30DBD421-6B0E-4A5D-99B2-C5DDB5664F27}"/>
    <cellStyle name="Normal 3 2 2 4 5 2 2" xfId="10805" xr:uid="{72EB2F1E-035D-4DC4-AC8A-2DF8778779A8}"/>
    <cellStyle name="Normal 3 2 2 4 5 2 2 2" xfId="23487" xr:uid="{F9567372-5A1F-4F65-A6D9-016BD25C69E4}"/>
    <cellStyle name="Normal 3 2 2 4 5 2 2 2 2" xfId="48979" xr:uid="{CB9EC7F8-8D1A-4B46-BCF4-084633E96C45}"/>
    <cellStyle name="Normal 3 2 2 4 5 2 2 3" xfId="36388" xr:uid="{C5356FA8-A6F6-4955-8A06-A70CCD17B31E}"/>
    <cellStyle name="Normal 3 2 2 4 5 2 3" xfId="17209" xr:uid="{6EB5423B-6F55-4337-AAED-C059EAA466C5}"/>
    <cellStyle name="Normal 3 2 2 4 5 2 3 2" xfId="42701" xr:uid="{90BFAA87-8ED0-4FDE-86BD-B8DB3B205E55}"/>
    <cellStyle name="Normal 3 2 2 4 5 2 4" xfId="30110" xr:uid="{F3CBE30C-4BAD-47A9-B373-FF08D43D5416}"/>
    <cellStyle name="Normal 3 2 2 4 5 3" xfId="7666" xr:uid="{2A612014-6538-4870-B304-1DA6760BE32D}"/>
    <cellStyle name="Normal 3 2 2 4 5 3 2" xfId="20348" xr:uid="{EF21AD6D-EC6F-4805-BC46-B1865779F165}"/>
    <cellStyle name="Normal 3 2 2 4 5 3 2 2" xfId="45840" xr:uid="{C1CD5328-2CFB-42DB-8972-3845CB2D24BC}"/>
    <cellStyle name="Normal 3 2 2 4 5 3 3" xfId="33249" xr:uid="{6621F750-B74B-46C5-9248-73013A0B4271}"/>
    <cellStyle name="Normal 3 2 2 4 5 4" xfId="14070" xr:uid="{8350B5D3-D4B5-4B55-B188-28D0FF00E962}"/>
    <cellStyle name="Normal 3 2 2 4 5 4 2" xfId="39562" xr:uid="{B31BC591-D46F-4337-A9CD-2B43AA1C6C9E}"/>
    <cellStyle name="Normal 3 2 2 4 5 5" xfId="26971" xr:uid="{0EE8F44D-DE57-4E9F-9787-C0E5E6DDA615}"/>
    <cellStyle name="Normal 3 2 2 4 6" xfId="2665" xr:uid="{DA147F0B-DF13-43BC-9E1B-28BA917A40E2}"/>
    <cellStyle name="Normal 3 2 2 4 6 2" xfId="5819" xr:uid="{5CC04F5B-3D2E-4DDB-8ACF-E91CF8EE4AD1}"/>
    <cellStyle name="Normal 3 2 2 4 6 2 2" xfId="12112" xr:uid="{54B8A34A-4B26-44D4-89B0-048F43EE51F5}"/>
    <cellStyle name="Normal 3 2 2 4 6 2 2 2" xfId="24794" xr:uid="{8C4D8FED-B4B0-457A-8111-E73B1EEC4CF4}"/>
    <cellStyle name="Normal 3 2 2 4 6 2 2 2 2" xfId="50286" xr:uid="{4AF97A83-BD92-4242-922B-D910C4152EE1}"/>
    <cellStyle name="Normal 3 2 2 4 6 2 2 3" xfId="37695" xr:uid="{D7781470-1D34-4A89-85B7-5FE626F2C11D}"/>
    <cellStyle name="Normal 3 2 2 4 6 2 3" xfId="18516" xr:uid="{7BA62BF3-4CB0-48DF-BC19-6912F7F7AEDE}"/>
    <cellStyle name="Normal 3 2 2 4 6 2 3 2" xfId="44008" xr:uid="{E3752AAE-E5BF-4336-8694-14F36B12CF7E}"/>
    <cellStyle name="Normal 3 2 2 4 6 2 4" xfId="31417" xr:uid="{D7A3446A-4911-4D37-AA94-3C43D8F683CC}"/>
    <cellStyle name="Normal 3 2 2 4 6 3" xfId="8973" xr:uid="{B80A2855-7912-486E-BA86-A34BC9948529}"/>
    <cellStyle name="Normal 3 2 2 4 6 3 2" xfId="21655" xr:uid="{0A10ABA2-6B07-407A-92A1-3AAECDF99FA7}"/>
    <cellStyle name="Normal 3 2 2 4 6 3 2 2" xfId="47147" xr:uid="{F40D6748-14BB-4F7F-844F-2CE587BF6442}"/>
    <cellStyle name="Normal 3 2 2 4 6 3 3" xfId="34556" xr:uid="{F6D3F26A-7C90-49C7-9EA1-F39D4903B435}"/>
    <cellStyle name="Normal 3 2 2 4 6 4" xfId="15377" xr:uid="{DB064C6F-E65D-48C3-87CC-6AD7CCC2A76E}"/>
    <cellStyle name="Normal 3 2 2 4 6 4 2" xfId="40869" xr:uid="{67DB8C6B-9272-49AC-B124-EB0A705880EB}"/>
    <cellStyle name="Normal 3 2 2 4 6 5" xfId="28278" xr:uid="{91D605C8-EC9C-42A8-96F5-74D8C92CEF65}"/>
    <cellStyle name="Normal 3 2 2 4 7" xfId="3188" xr:uid="{81F6A142-141E-4A31-9604-29797BB5F6C1}"/>
    <cellStyle name="Normal 3 2 2 4 7 2" xfId="6342" xr:uid="{6882518A-6581-4723-9255-684A128AFA2F}"/>
    <cellStyle name="Normal 3 2 2 4 7 2 2" xfId="12635" xr:uid="{D27561BC-32AC-4AD9-A1BC-50353EF89708}"/>
    <cellStyle name="Normal 3 2 2 4 7 2 2 2" xfId="25317" xr:uid="{DDE22554-2C01-4166-9A4E-39345F42FF0F}"/>
    <cellStyle name="Normal 3 2 2 4 7 2 2 2 2" xfId="50809" xr:uid="{03169C41-DAD9-4BE7-9851-28B8EF06B84A}"/>
    <cellStyle name="Normal 3 2 2 4 7 2 2 3" xfId="38218" xr:uid="{E3D0845D-4EF1-4A28-B6A2-6053C8069D3B}"/>
    <cellStyle name="Normal 3 2 2 4 7 2 3" xfId="19039" xr:uid="{FBCC1B62-5F05-42C8-BE79-6A58CEA64FE5}"/>
    <cellStyle name="Normal 3 2 2 4 7 2 3 2" xfId="44531" xr:uid="{4EE8AF64-B480-47F4-83EF-A54859318410}"/>
    <cellStyle name="Normal 3 2 2 4 7 2 4" xfId="31940" xr:uid="{2558B98E-5953-46BA-AEBF-F648EBE9EB3E}"/>
    <cellStyle name="Normal 3 2 2 4 7 3" xfId="9496" xr:uid="{B1F47FD7-6C7D-4AE8-9D32-3874C49AD339}"/>
    <cellStyle name="Normal 3 2 2 4 7 3 2" xfId="22178" xr:uid="{3A4AB233-72E1-4FED-929A-21D7B5092B25}"/>
    <cellStyle name="Normal 3 2 2 4 7 3 2 2" xfId="47670" xr:uid="{A4F97364-CA03-4649-851F-145CC5665B81}"/>
    <cellStyle name="Normal 3 2 2 4 7 3 3" xfId="35079" xr:uid="{B4EEFF48-3F3D-4807-867D-BE9D208FA027}"/>
    <cellStyle name="Normal 3 2 2 4 7 4" xfId="15900" xr:uid="{14499C3D-5F5B-4C55-8D4C-9DB7B05BBB34}"/>
    <cellStyle name="Normal 3 2 2 4 7 4 2" xfId="41392" xr:uid="{391E9466-0CB8-4EC5-A841-16AEDE87796B}"/>
    <cellStyle name="Normal 3 2 2 4 7 5" xfId="28801" xr:uid="{D4D18A49-CB2D-46C5-9399-408BB440C128}"/>
    <cellStyle name="Normal 3 2 2 4 8" xfId="3727" xr:uid="{2AD281C1-E59E-415F-BC2E-F3703EED022C}"/>
    <cellStyle name="Normal 3 2 2 4 8 2" xfId="10020" xr:uid="{E8430200-4F9D-44DF-9DE3-AB173FF68FBD}"/>
    <cellStyle name="Normal 3 2 2 4 8 2 2" xfId="22702" xr:uid="{C0BB116C-CA37-4E2A-8391-490EE80B45AD}"/>
    <cellStyle name="Normal 3 2 2 4 8 2 2 2" xfId="48194" xr:uid="{BE3234F5-0B48-4F38-98D3-DB3D1B1CC4B1}"/>
    <cellStyle name="Normal 3 2 2 4 8 2 3" xfId="35603" xr:uid="{BA134950-B9E2-4B1E-94F0-D31BFF1FC1F6}"/>
    <cellStyle name="Normal 3 2 2 4 8 3" xfId="16424" xr:uid="{72D0C05E-0DD6-4817-88FA-E9261081D9A4}"/>
    <cellStyle name="Normal 3 2 2 4 8 3 2" xfId="41916" xr:uid="{AAC4E0D4-999E-4390-807F-10A77DDD596F}"/>
    <cellStyle name="Normal 3 2 2 4 8 4" xfId="29325" xr:uid="{6757CEFC-84DB-494A-9D0C-B94A151CC142}"/>
    <cellStyle name="Normal 3 2 2 4 9" xfId="6881" xr:uid="{EE53697A-6598-44EF-9BA8-755A77DE442B}"/>
    <cellStyle name="Normal 3 2 2 4 9 2" xfId="19563" xr:uid="{2F2A21F4-9630-430A-9E28-04578645F757}"/>
    <cellStyle name="Normal 3 2 2 4 9 2 2" xfId="45055" xr:uid="{D2BB16A9-4E63-4493-98FA-AB88489E8289}"/>
    <cellStyle name="Normal 3 2 2 4 9 3" xfId="32464" xr:uid="{719F0552-38AF-4222-8118-3038C2E1D738}"/>
    <cellStyle name="Normal 3 2 2 5" xfId="975" xr:uid="{3AD561F1-4B00-4FA6-9655-1E8922CA2D86}"/>
    <cellStyle name="Normal 3 2 2 5 2" xfId="2282" xr:uid="{45D2D913-559E-4F61-B52A-8108121894CB}"/>
    <cellStyle name="Normal 3 2 2 5 2 2" xfId="5436" xr:uid="{09DA1422-AD1C-42CF-AC8B-346D4C79D955}"/>
    <cellStyle name="Normal 3 2 2 5 2 2 2" xfId="11729" xr:uid="{FB86640B-8725-4E96-B326-BFC9E6E16992}"/>
    <cellStyle name="Normal 3 2 2 5 2 2 2 2" xfId="24411" xr:uid="{F75045EB-8590-426C-95BF-94D4694B78EF}"/>
    <cellStyle name="Normal 3 2 2 5 2 2 2 2 2" xfId="49903" xr:uid="{05454DF3-2F32-4E57-A3DC-D73BB248736A}"/>
    <cellStyle name="Normal 3 2 2 5 2 2 2 3" xfId="37312" xr:uid="{10866BBB-05A6-43D7-9662-EF05C95BFB2A}"/>
    <cellStyle name="Normal 3 2 2 5 2 2 3" xfId="18133" xr:uid="{1F999374-EA61-471D-A761-2798C7C1446B}"/>
    <cellStyle name="Normal 3 2 2 5 2 2 3 2" xfId="43625" xr:uid="{62E42A16-FAD3-44A3-9F8E-DD989BEA64AA}"/>
    <cellStyle name="Normal 3 2 2 5 2 2 4" xfId="31034" xr:uid="{D3CE1A7C-5A11-4FC4-9442-E21701E20A45}"/>
    <cellStyle name="Normal 3 2 2 5 2 3" xfId="8590" xr:uid="{CBE6E32C-3C3E-4703-AD54-CBD9CD3A98B3}"/>
    <cellStyle name="Normal 3 2 2 5 2 3 2" xfId="21272" xr:uid="{3638360C-F2E0-44A5-BEEF-A4880880864C}"/>
    <cellStyle name="Normal 3 2 2 5 2 3 2 2" xfId="46764" xr:uid="{F8ADD863-1FDB-4078-962D-0E7F08799A77}"/>
    <cellStyle name="Normal 3 2 2 5 2 3 3" xfId="34173" xr:uid="{A9239E74-9765-45C7-923B-43300D673B30}"/>
    <cellStyle name="Normal 3 2 2 5 2 4" xfId="14994" xr:uid="{C2D0BAA9-C99C-44CD-9CF9-E98163EFD512}"/>
    <cellStyle name="Normal 3 2 2 5 2 4 2" xfId="40486" xr:uid="{FE2C0703-132A-46EF-A88F-4E13BAB56B89}"/>
    <cellStyle name="Normal 3 2 2 5 2 5" xfId="27895" xr:uid="{501F7348-624A-4F80-B899-0BB0EFA90196}"/>
    <cellStyle name="Normal 3 2 2 5 3" xfId="1499" xr:uid="{CC709573-A9E7-46EE-9B81-3590D3205063}"/>
    <cellStyle name="Normal 3 2 2 5 3 2" xfId="4653" xr:uid="{69EE8137-9C74-40F0-85E3-512498047B95}"/>
    <cellStyle name="Normal 3 2 2 5 3 2 2" xfId="10946" xr:uid="{22F00D88-5D1E-404E-9A91-33CBD1E8CFEE}"/>
    <cellStyle name="Normal 3 2 2 5 3 2 2 2" xfId="23628" xr:uid="{59734AA9-7D32-44F4-A043-FC76958DE405}"/>
    <cellStyle name="Normal 3 2 2 5 3 2 2 2 2" xfId="49120" xr:uid="{7DC44E92-4EE1-440F-A9D1-C8357AAAF63B}"/>
    <cellStyle name="Normal 3 2 2 5 3 2 2 3" xfId="36529" xr:uid="{460CFFCB-B236-4E99-8F49-80B85AB3FEE0}"/>
    <cellStyle name="Normal 3 2 2 5 3 2 3" xfId="17350" xr:uid="{46620F88-E7E8-4F6A-9761-2BBAF9CB19BD}"/>
    <cellStyle name="Normal 3 2 2 5 3 2 3 2" xfId="42842" xr:uid="{58FEBC96-C837-4671-BB3C-FE70AE9C8A2C}"/>
    <cellStyle name="Normal 3 2 2 5 3 2 4" xfId="30251" xr:uid="{BEFB0578-4924-45C6-9230-86C4344A64B5}"/>
    <cellStyle name="Normal 3 2 2 5 3 3" xfId="7807" xr:uid="{E90B324D-0E58-4DE2-9190-4E2F53D954D5}"/>
    <cellStyle name="Normal 3 2 2 5 3 3 2" xfId="20489" xr:uid="{4CB3B064-97A9-407B-AB46-00258A1B3FC3}"/>
    <cellStyle name="Normal 3 2 2 5 3 3 2 2" xfId="45981" xr:uid="{581CB03F-386E-47BC-9E48-0E2E793FDDA4}"/>
    <cellStyle name="Normal 3 2 2 5 3 3 3" xfId="33390" xr:uid="{2C098ECA-2C91-462B-8AFE-875331905949}"/>
    <cellStyle name="Normal 3 2 2 5 3 4" xfId="14211" xr:uid="{A9E6FEA5-D35C-431B-92F4-C027851D237F}"/>
    <cellStyle name="Normal 3 2 2 5 3 4 2" xfId="39703" xr:uid="{66CE8D66-6BFD-4C46-91B9-579A6C57A7FE}"/>
    <cellStyle name="Normal 3 2 2 5 3 5" xfId="27112" xr:uid="{EEA29509-1A4E-4EED-8A4B-6D90FE0F3EF1}"/>
    <cellStyle name="Normal 3 2 2 5 4" xfId="2806" xr:uid="{C6091F82-0D2F-4EFC-9A00-1BB51C54C3E5}"/>
    <cellStyle name="Normal 3 2 2 5 4 2" xfId="5960" xr:uid="{FF05D8D2-2D41-485E-8EC9-1FE29939E7E9}"/>
    <cellStyle name="Normal 3 2 2 5 4 2 2" xfId="12253" xr:uid="{AC974EA8-FC71-44AC-A001-903D731C1C9B}"/>
    <cellStyle name="Normal 3 2 2 5 4 2 2 2" xfId="24935" xr:uid="{E5000F9C-9422-4DE4-8EFD-4909059829AA}"/>
    <cellStyle name="Normal 3 2 2 5 4 2 2 2 2" xfId="50427" xr:uid="{2BBF07E6-3C24-440A-848E-1F7B66BF39BA}"/>
    <cellStyle name="Normal 3 2 2 5 4 2 2 3" xfId="37836" xr:uid="{851261C3-72AC-4C1A-A6C8-727950728A6E}"/>
    <cellStyle name="Normal 3 2 2 5 4 2 3" xfId="18657" xr:uid="{1560D615-4B71-4D3C-AA40-0C830D17E3DF}"/>
    <cellStyle name="Normal 3 2 2 5 4 2 3 2" xfId="44149" xr:uid="{E7541D49-554B-44DA-A5E5-7267ADA8C6FE}"/>
    <cellStyle name="Normal 3 2 2 5 4 2 4" xfId="31558" xr:uid="{8CE206C9-F2FC-4DE4-95F5-07A40F876A98}"/>
    <cellStyle name="Normal 3 2 2 5 4 3" xfId="9114" xr:uid="{9FDDA464-EC75-42FE-B066-5793DBA4727C}"/>
    <cellStyle name="Normal 3 2 2 5 4 3 2" xfId="21796" xr:uid="{EE2A4254-2F26-42CE-A047-8060DF80BB8E}"/>
    <cellStyle name="Normal 3 2 2 5 4 3 2 2" xfId="47288" xr:uid="{36CC1B01-0622-4AC5-AE65-C8217743F6E5}"/>
    <cellStyle name="Normal 3 2 2 5 4 3 3" xfId="34697" xr:uid="{E282DCE6-CA28-4A8F-A186-C18967663F17}"/>
    <cellStyle name="Normal 3 2 2 5 4 4" xfId="15518" xr:uid="{DA6166AD-196B-45B0-AC30-FAEE4B912138}"/>
    <cellStyle name="Normal 3 2 2 5 4 4 2" xfId="41010" xr:uid="{F6BA6A79-2269-470C-953A-3B4FAEB46826}"/>
    <cellStyle name="Normal 3 2 2 5 4 5" xfId="28419" xr:uid="{9F85B1F0-E063-4C40-B402-63267860381E}"/>
    <cellStyle name="Normal 3 2 2 5 5" xfId="3329" xr:uid="{CF154660-8FBE-4286-BCED-3BED37672A08}"/>
    <cellStyle name="Normal 3 2 2 5 5 2" xfId="6483" xr:uid="{9C1D6773-6694-4B7C-87EA-E691A53A40F4}"/>
    <cellStyle name="Normal 3 2 2 5 5 2 2" xfId="12776" xr:uid="{712F9EC7-08E8-489B-B2A3-0638CC896060}"/>
    <cellStyle name="Normal 3 2 2 5 5 2 2 2" xfId="25458" xr:uid="{EA9B838C-F53C-4E36-BE9F-AEB3BC24E5A3}"/>
    <cellStyle name="Normal 3 2 2 5 5 2 2 2 2" xfId="50950" xr:uid="{2F55AAD1-C6DC-414A-BDC4-11192A01E871}"/>
    <cellStyle name="Normal 3 2 2 5 5 2 2 3" xfId="38359" xr:uid="{18C56B60-5976-4969-A83D-531ED0B8DBC9}"/>
    <cellStyle name="Normal 3 2 2 5 5 2 3" xfId="19180" xr:uid="{DD13A7D5-5C61-435B-B49B-DDA19A700DE3}"/>
    <cellStyle name="Normal 3 2 2 5 5 2 3 2" xfId="44672" xr:uid="{B64EF661-F7B3-4AA2-912F-94F6CDF6E5E8}"/>
    <cellStyle name="Normal 3 2 2 5 5 2 4" xfId="32081" xr:uid="{49BAF00F-EDD0-4C45-B128-79AB8A5E7106}"/>
    <cellStyle name="Normal 3 2 2 5 5 3" xfId="9637" xr:uid="{A01F8198-1F7F-4F09-A855-789BCA6C2F93}"/>
    <cellStyle name="Normal 3 2 2 5 5 3 2" xfId="22319" xr:uid="{168AFB7C-11AB-45F0-9138-F7B988897064}"/>
    <cellStyle name="Normal 3 2 2 5 5 3 2 2" xfId="47811" xr:uid="{312FA472-6F18-4F4B-A7B5-EA094FE94C8A}"/>
    <cellStyle name="Normal 3 2 2 5 5 3 3" xfId="35220" xr:uid="{1B8CD295-9CC9-48B3-A875-4D6DC83F34D3}"/>
    <cellStyle name="Normal 3 2 2 5 5 4" xfId="16041" xr:uid="{6FA3B25D-9B43-40B7-949B-2801577FE170}"/>
    <cellStyle name="Normal 3 2 2 5 5 4 2" xfId="41533" xr:uid="{75A214BB-2488-4369-9959-B41C15D92788}"/>
    <cellStyle name="Normal 3 2 2 5 5 5" xfId="28942" xr:uid="{2D4EABF5-465F-4522-970D-CA6D6E4788D9}"/>
    <cellStyle name="Normal 3 2 2 5 6" xfId="4129" xr:uid="{43C3B03D-6FE8-4E33-B6B6-DABD39DC601E}"/>
    <cellStyle name="Normal 3 2 2 5 6 2" xfId="10422" xr:uid="{E2E78FCA-DF27-4AF9-9F8A-CB3238B5DB29}"/>
    <cellStyle name="Normal 3 2 2 5 6 2 2" xfId="23104" xr:uid="{9F9DFA77-577B-48AE-9FFE-D3EEB1009A0B}"/>
    <cellStyle name="Normal 3 2 2 5 6 2 2 2" xfId="48596" xr:uid="{BDFDFB42-8B32-4B2C-8877-3D443F78AE75}"/>
    <cellStyle name="Normal 3 2 2 5 6 2 3" xfId="36005" xr:uid="{4C2E2BF9-C78F-46B3-8E1C-D805A434881B}"/>
    <cellStyle name="Normal 3 2 2 5 6 3" xfId="16826" xr:uid="{72E20DBA-83F9-4982-956E-54A3F9288D5F}"/>
    <cellStyle name="Normal 3 2 2 5 6 3 2" xfId="42318" xr:uid="{865BF790-08F3-42E0-B6B2-3C0942E00970}"/>
    <cellStyle name="Normal 3 2 2 5 6 4" xfId="29727" xr:uid="{005E34CC-247F-43FE-AD03-2A67A0E6C930}"/>
    <cellStyle name="Normal 3 2 2 5 7" xfId="7283" xr:uid="{D0D0E05F-F671-4DFE-8C6E-12420337686E}"/>
    <cellStyle name="Normal 3 2 2 5 7 2" xfId="19965" xr:uid="{F3E8EA09-F25F-4264-BAA9-469265CEC7A9}"/>
    <cellStyle name="Normal 3 2 2 5 7 2 2" xfId="45457" xr:uid="{345A75E2-18A8-4587-812A-1209F680BACC}"/>
    <cellStyle name="Normal 3 2 2 5 7 3" xfId="32866" xr:uid="{798ADEB0-C527-4E76-B744-D4D07755F5D0}"/>
    <cellStyle name="Normal 3 2 2 5 8" xfId="13687" xr:uid="{2F1E222F-CF8E-457D-8DBB-51D66A5B3772}"/>
    <cellStyle name="Normal 3 2 2 5 8 2" xfId="39179" xr:uid="{5E495B61-1799-49C3-8D92-636834DDEF02}"/>
    <cellStyle name="Normal 3 2 2 5 9" xfId="26588" xr:uid="{93C05CCA-7900-411C-98FC-40C69D753F19}"/>
    <cellStyle name="Normal 3 2 2 6" xfId="715" xr:uid="{63C26FD1-1FD4-498A-A77C-517187CB4611}"/>
    <cellStyle name="Normal 3 2 2 6 2" xfId="2022" xr:uid="{78248231-F6D0-41B0-A209-9F5F10283579}"/>
    <cellStyle name="Normal 3 2 2 6 2 2" xfId="5176" xr:uid="{00266575-BFB9-4935-813A-163EFE73058E}"/>
    <cellStyle name="Normal 3 2 2 6 2 2 2" xfId="11469" xr:uid="{B3AE23A0-0817-4759-9C39-5033A493CA11}"/>
    <cellStyle name="Normal 3 2 2 6 2 2 2 2" xfId="24151" xr:uid="{1104F9D3-C436-4331-AED0-3F4A1EC8B393}"/>
    <cellStyle name="Normal 3 2 2 6 2 2 2 2 2" xfId="49643" xr:uid="{C84ABBE9-113A-42FF-8BA5-AB17D4DB8E8B}"/>
    <cellStyle name="Normal 3 2 2 6 2 2 2 3" xfId="37052" xr:uid="{AF03D33E-D20C-4506-BE45-F7400784CD99}"/>
    <cellStyle name="Normal 3 2 2 6 2 2 3" xfId="17873" xr:uid="{0F47CCC6-4C44-43A9-AB2E-0B6741C96F66}"/>
    <cellStyle name="Normal 3 2 2 6 2 2 3 2" xfId="43365" xr:uid="{419867E8-3AD2-4A34-9EDE-A08F0AD8B2C1}"/>
    <cellStyle name="Normal 3 2 2 6 2 2 4" xfId="30774" xr:uid="{E5E6D1A6-C19D-4C44-AF43-4179EB1557FF}"/>
    <cellStyle name="Normal 3 2 2 6 2 3" xfId="8330" xr:uid="{8EFF6607-E948-4669-B893-13B87C11EA08}"/>
    <cellStyle name="Normal 3 2 2 6 2 3 2" xfId="21012" xr:uid="{240A0664-57C9-4DB8-AA19-A665BDC0CBCA}"/>
    <cellStyle name="Normal 3 2 2 6 2 3 2 2" xfId="46504" xr:uid="{6A12937C-6BDA-403D-B885-7E77EEC0AAFF}"/>
    <cellStyle name="Normal 3 2 2 6 2 3 3" xfId="33913" xr:uid="{04C250F4-9CB6-4AF3-912A-A2403AD174FA}"/>
    <cellStyle name="Normal 3 2 2 6 2 4" xfId="14734" xr:uid="{6AB56FB2-453E-4E00-9DB1-1DD5850F6F2D}"/>
    <cellStyle name="Normal 3 2 2 6 2 4 2" xfId="40226" xr:uid="{9FEDB721-FA37-455A-BFC7-421870E262F5}"/>
    <cellStyle name="Normal 3 2 2 6 2 5" xfId="27635" xr:uid="{0E086A3F-8669-4BA2-A4F2-C9B34D25F79D}"/>
    <cellStyle name="Normal 3 2 2 6 3" xfId="3869" xr:uid="{1E4B6BC6-4E52-450E-AF36-A2F3319672AD}"/>
    <cellStyle name="Normal 3 2 2 6 3 2" xfId="10162" xr:uid="{A03A5812-53CD-46F1-AD7C-A1DA91598F3B}"/>
    <cellStyle name="Normal 3 2 2 6 3 2 2" xfId="22844" xr:uid="{CB918F82-A5F2-4C33-9AB1-9E763C82172F}"/>
    <cellStyle name="Normal 3 2 2 6 3 2 2 2" xfId="48336" xr:uid="{F7DA2FF0-D5EB-4D02-BA9E-E2411CEF04BA}"/>
    <cellStyle name="Normal 3 2 2 6 3 2 3" xfId="35745" xr:uid="{752BD63E-1135-4E8B-BBBD-6B5EB8D710CB}"/>
    <cellStyle name="Normal 3 2 2 6 3 3" xfId="16566" xr:uid="{B1DBFB2F-911B-4274-94C9-566BC3F93C96}"/>
    <cellStyle name="Normal 3 2 2 6 3 3 2" xfId="42058" xr:uid="{4A90E080-0FA4-4C6F-B65C-C69414727631}"/>
    <cellStyle name="Normal 3 2 2 6 3 4" xfId="29467" xr:uid="{7DB7243B-3C26-42FE-B1FE-AC757B0A990F}"/>
    <cellStyle name="Normal 3 2 2 6 4" xfId="7023" xr:uid="{89A9B4D1-F46F-4137-A41E-278C3B1C1522}"/>
    <cellStyle name="Normal 3 2 2 6 4 2" xfId="19705" xr:uid="{944B1298-0F4F-4299-8A02-9E8B0A5DFCF9}"/>
    <cellStyle name="Normal 3 2 2 6 4 2 2" xfId="45197" xr:uid="{EE315D80-2F85-4276-A07C-8E66D25A5DE5}"/>
    <cellStyle name="Normal 3 2 2 6 4 3" xfId="32606" xr:uid="{E071C6C5-FC40-4649-96DB-0697C8AD15B7}"/>
    <cellStyle name="Normal 3 2 2 6 5" xfId="13427" xr:uid="{9B4ACC3C-8296-48AD-B4E8-0930D4E3E1C3}"/>
    <cellStyle name="Normal 3 2 2 6 5 2" xfId="38919" xr:uid="{70FF6E1D-6E0A-420D-AB8A-524C51C9CA61}"/>
    <cellStyle name="Normal 3 2 2 6 6" xfId="26328" xr:uid="{86A17E1C-BE8C-4AE8-B0B8-8D5E4A57D5DC}"/>
    <cellStyle name="Normal 3 2 2 7" xfId="1760" xr:uid="{C42DED6D-7C63-4AC7-9679-F8A1F1A2AA0A}"/>
    <cellStyle name="Normal 3 2 2 7 2" xfId="4914" xr:uid="{C9FD51F5-9527-440D-BAEB-049BC8F2F712}"/>
    <cellStyle name="Normal 3 2 2 7 2 2" xfId="11207" xr:uid="{9755E419-F41D-4401-AD30-732D4150167D}"/>
    <cellStyle name="Normal 3 2 2 7 2 2 2" xfId="23889" xr:uid="{1DC85057-27E8-4E5F-B7AE-59CD244F503F}"/>
    <cellStyle name="Normal 3 2 2 7 2 2 2 2" xfId="49381" xr:uid="{058F55F1-C0A1-4239-8A09-A97FD2DE3B91}"/>
    <cellStyle name="Normal 3 2 2 7 2 2 3" xfId="36790" xr:uid="{9A383B09-F536-4767-BDA3-07C1AD181C78}"/>
    <cellStyle name="Normal 3 2 2 7 2 3" xfId="17611" xr:uid="{5E348D6F-F935-4DD1-9DC0-4B97B1129333}"/>
    <cellStyle name="Normal 3 2 2 7 2 3 2" xfId="43103" xr:uid="{4BC366C7-97F1-412E-9647-3F9524E15ED5}"/>
    <cellStyle name="Normal 3 2 2 7 2 4" xfId="30512" xr:uid="{585217B6-9B0D-4DB4-A0F5-2874BB770A08}"/>
    <cellStyle name="Normal 3 2 2 7 3" xfId="8068" xr:uid="{14420B2E-D58B-4110-8BFE-D910EACF16B8}"/>
    <cellStyle name="Normal 3 2 2 7 3 2" xfId="20750" xr:uid="{25C3B373-9BEB-48F9-866F-5AD8020A2DBE}"/>
    <cellStyle name="Normal 3 2 2 7 3 2 2" xfId="46242" xr:uid="{1045026F-22FF-4246-A524-EB5B4B36BA89}"/>
    <cellStyle name="Normal 3 2 2 7 3 3" xfId="33651" xr:uid="{BDC00B2D-34B5-4D79-B0F4-A31617B57E02}"/>
    <cellStyle name="Normal 3 2 2 7 4" xfId="14472" xr:uid="{8EC06CEA-AB53-49BA-8E73-D6E4011988E7}"/>
    <cellStyle name="Normal 3 2 2 7 4 2" xfId="39964" xr:uid="{F3FC96C5-8723-4509-9E36-AB904AD56EF0}"/>
    <cellStyle name="Normal 3 2 2 7 5" xfId="27373" xr:uid="{803EF57D-39C1-48DF-90D0-D48A69EE0286}"/>
    <cellStyle name="Normal 3 2 2 8" xfId="1238" xr:uid="{8329C26F-FEA2-4EC4-A6F0-20BDAAD83F12}"/>
    <cellStyle name="Normal 3 2 2 8 2" xfId="4392" xr:uid="{B626F042-7149-4009-AF09-63AA39D0B4A0}"/>
    <cellStyle name="Normal 3 2 2 8 2 2" xfId="10685" xr:uid="{DAF38A86-764D-4BBC-8027-EE90C6E8854B}"/>
    <cellStyle name="Normal 3 2 2 8 2 2 2" xfId="23367" xr:uid="{4693AB62-2EE9-432A-A0A0-712F8CB745A8}"/>
    <cellStyle name="Normal 3 2 2 8 2 2 2 2" xfId="48859" xr:uid="{0F7E10B2-13C5-41F8-9650-615FF44AF000}"/>
    <cellStyle name="Normal 3 2 2 8 2 2 3" xfId="36268" xr:uid="{7F5C2032-04F2-4788-8A03-7410F75A3CC8}"/>
    <cellStyle name="Normal 3 2 2 8 2 3" xfId="17089" xr:uid="{91C1CB78-ED00-48D8-91E3-CA631E7A2056}"/>
    <cellStyle name="Normal 3 2 2 8 2 3 2" xfId="42581" xr:uid="{6EA8E43D-E8D2-442C-9C1E-CEE73A4A60DC}"/>
    <cellStyle name="Normal 3 2 2 8 2 4" xfId="29990" xr:uid="{971F59B5-EC91-4F52-97B3-54FED101E58E}"/>
    <cellStyle name="Normal 3 2 2 8 3" xfId="7546" xr:uid="{ABCB91F6-646B-4BE9-B50E-3A8EE75C1B7F}"/>
    <cellStyle name="Normal 3 2 2 8 3 2" xfId="20228" xr:uid="{1645DF70-7818-460B-9AC9-B598A469008D}"/>
    <cellStyle name="Normal 3 2 2 8 3 2 2" xfId="45720" xr:uid="{2BB2FBA4-570B-4287-8052-9114D57747AC}"/>
    <cellStyle name="Normal 3 2 2 8 3 3" xfId="33129" xr:uid="{C110CB86-705F-43B5-8E83-73D1B2F08C1A}"/>
    <cellStyle name="Normal 3 2 2 8 4" xfId="13950" xr:uid="{96969618-87DA-4B09-8BED-D28A9283BD53}"/>
    <cellStyle name="Normal 3 2 2 8 4 2" xfId="39442" xr:uid="{919B2BF9-46C8-4CB3-A8EE-41932827F340}"/>
    <cellStyle name="Normal 3 2 2 8 5" xfId="26851" xr:uid="{F56B940E-BD56-4996-A826-7D8AF16E0BD8}"/>
    <cellStyle name="Normal 3 2 2 9" xfId="2545" xr:uid="{E7F3F6C6-F474-4401-8F6E-FA662E24DB84}"/>
    <cellStyle name="Normal 3 2 2 9 2" xfId="5699" xr:uid="{A8BDAF3F-914E-42FD-81FD-D04A4C3C13FA}"/>
    <cellStyle name="Normal 3 2 2 9 2 2" xfId="11992" xr:uid="{E3DBB13F-6D02-4957-B5FB-12F2338FD24D}"/>
    <cellStyle name="Normal 3 2 2 9 2 2 2" xfId="24674" xr:uid="{21753A28-38CA-4F38-83A7-BF2E2E919A97}"/>
    <cellStyle name="Normal 3 2 2 9 2 2 2 2" xfId="50166" xr:uid="{A46A6F84-0D64-4539-B355-B0ACCFC1AB12}"/>
    <cellStyle name="Normal 3 2 2 9 2 2 3" xfId="37575" xr:uid="{E85237FA-4B55-40D7-A3F8-37C1679D08C8}"/>
    <cellStyle name="Normal 3 2 2 9 2 3" xfId="18396" xr:uid="{47384D59-32CB-42C6-AC6F-F89CADD44152}"/>
    <cellStyle name="Normal 3 2 2 9 2 3 2" xfId="43888" xr:uid="{790DCB6C-6384-4979-91A2-794B2F80746D}"/>
    <cellStyle name="Normal 3 2 2 9 2 4" xfId="31297" xr:uid="{5B030B1D-B5C6-4B5A-8644-687152A35250}"/>
    <cellStyle name="Normal 3 2 2 9 3" xfId="8853" xr:uid="{E9F9DDD5-461D-4385-9738-D96F0BCCB2DF}"/>
    <cellStyle name="Normal 3 2 2 9 3 2" xfId="21535" xr:uid="{F7B228C6-7EBF-4162-80F5-FD8025B65E78}"/>
    <cellStyle name="Normal 3 2 2 9 3 2 2" xfId="47027" xr:uid="{3C5E4CB6-CE76-4D34-951B-1D4C74559797}"/>
    <cellStyle name="Normal 3 2 2 9 3 3" xfId="34436" xr:uid="{230EA8F6-0B97-4D49-A333-5CE0412B1F52}"/>
    <cellStyle name="Normal 3 2 2 9 4" xfId="15257" xr:uid="{323AD295-D017-4D60-9593-A1C074DA0F93}"/>
    <cellStyle name="Normal 3 2 2 9 4 2" xfId="40749" xr:uid="{E6BB46CD-E191-4A91-BF52-AC931482AE96}"/>
    <cellStyle name="Normal 3 2 2 9 5" xfId="28158" xr:uid="{B4D1B9BA-759E-4239-A7BA-33C82AC10337}"/>
    <cellStyle name="Normal 3 2 3" xfId="479" xr:uid="{EA1DCB2B-CDE0-450D-8733-979B793F07E0}"/>
    <cellStyle name="Normal 3 2 3 10" xfId="3648" xr:uid="{8FAC786E-A923-4B87-BE35-744D3E8EA4D2}"/>
    <cellStyle name="Normal 3 2 3 10 2" xfId="9941" xr:uid="{DE15A377-1E07-460D-862B-E58774EC42AE}"/>
    <cellStyle name="Normal 3 2 3 10 2 2" xfId="22623" xr:uid="{AE188B2D-6EBB-42CF-838E-6D8C65897611}"/>
    <cellStyle name="Normal 3 2 3 10 2 2 2" xfId="48115" xr:uid="{8CD62104-521A-42EE-8518-FF2A4FD9EF67}"/>
    <cellStyle name="Normal 3 2 3 10 2 3" xfId="35524" xr:uid="{D760E32D-E2CA-46A8-8227-281AF5DB0475}"/>
    <cellStyle name="Normal 3 2 3 10 3" xfId="16345" xr:uid="{DF067585-449A-497E-8D43-FD1CD220D2D7}"/>
    <cellStyle name="Normal 3 2 3 10 3 2" xfId="41837" xr:uid="{CE4DA5C0-EC27-4F4E-BD32-71CF34EBF6A1}"/>
    <cellStyle name="Normal 3 2 3 10 4" xfId="29246" xr:uid="{612844C9-CA27-4530-9093-BA3680291B49}"/>
    <cellStyle name="Normal 3 2 3 11" xfId="6802" xr:uid="{76AD4D8B-35FD-40DE-9577-E827527147CC}"/>
    <cellStyle name="Normal 3 2 3 11 2" xfId="19484" xr:uid="{197D552E-5370-45FB-9CF3-BF4F8EB1EF31}"/>
    <cellStyle name="Normal 3 2 3 11 2 2" xfId="44976" xr:uid="{1B7AFD7C-4D08-4164-A9A2-4A327CC68DE0}"/>
    <cellStyle name="Normal 3 2 3 11 3" xfId="32385" xr:uid="{50CB6BBD-88EB-44D1-BC76-178CD2D22414}"/>
    <cellStyle name="Normal 3 2 3 12" xfId="13206" xr:uid="{C041784B-9F64-45F6-AB61-D5D008FB5B41}"/>
    <cellStyle name="Normal 3 2 3 12 2" xfId="38698" xr:uid="{BC5679DA-11A3-45BE-95F0-A70392357270}"/>
    <cellStyle name="Normal 3 2 3 13" xfId="26107" xr:uid="{179EA150-D7E1-43A5-8F16-EAA4955FA25D}"/>
    <cellStyle name="Normal 3 2 3 2" xfId="638" xr:uid="{7AF1B8B2-FE60-4CF3-9D7E-AEE4D1853D95}"/>
    <cellStyle name="Normal 3 2 3 2 10" xfId="13365" xr:uid="{57A329C5-277E-443C-BDC4-0FF95C0EA3A9}"/>
    <cellStyle name="Normal 3 2 3 2 10 2" xfId="38857" xr:uid="{6E8CC4F4-F371-4504-AFC4-4D299E8C8B36}"/>
    <cellStyle name="Normal 3 2 3 2 11" xfId="26266" xr:uid="{3F29BADC-8313-4D7F-B38A-7E0D2C0AAC90}"/>
    <cellStyle name="Normal 3 2 3 2 2" xfId="1175" xr:uid="{6E7A33C6-F548-47B9-A005-4E8DD9CE0DBF}"/>
    <cellStyle name="Normal 3 2 3 2 2 2" xfId="2482" xr:uid="{798EEC5E-35D0-4BD6-8728-88265D13C2C9}"/>
    <cellStyle name="Normal 3 2 3 2 2 2 2" xfId="5636" xr:uid="{A9786CAF-B309-4B94-98AC-C559E0339DCA}"/>
    <cellStyle name="Normal 3 2 3 2 2 2 2 2" xfId="11929" xr:uid="{56F57656-0997-44A2-9605-D48F076694A9}"/>
    <cellStyle name="Normal 3 2 3 2 2 2 2 2 2" xfId="24611" xr:uid="{24544E17-40AB-4E57-9003-BADA1F087858}"/>
    <cellStyle name="Normal 3 2 3 2 2 2 2 2 2 2" xfId="50103" xr:uid="{3EA21805-EC05-4C17-A37B-C2C14FF0EA47}"/>
    <cellStyle name="Normal 3 2 3 2 2 2 2 2 3" xfId="37512" xr:uid="{F4CC0911-74D5-4DA9-9214-083D26794C7F}"/>
    <cellStyle name="Normal 3 2 3 2 2 2 2 3" xfId="18333" xr:uid="{2BE1E2BC-910B-4D2B-BA04-AD225C632099}"/>
    <cellStyle name="Normal 3 2 3 2 2 2 2 3 2" xfId="43825" xr:uid="{990385C3-F9BC-404A-88C7-911BDB31DC30}"/>
    <cellStyle name="Normal 3 2 3 2 2 2 2 4" xfId="31234" xr:uid="{D8118275-1F9A-4131-AA92-F4D6CCA02B96}"/>
    <cellStyle name="Normal 3 2 3 2 2 2 3" xfId="8790" xr:uid="{F1FCA67C-CF58-483C-984F-51EBEDEEDC0E}"/>
    <cellStyle name="Normal 3 2 3 2 2 2 3 2" xfId="21472" xr:uid="{EC0E308A-CD0E-4E92-9DCA-3C6140DF99DB}"/>
    <cellStyle name="Normal 3 2 3 2 2 2 3 2 2" xfId="46964" xr:uid="{55BCDEB7-F3D6-47AC-AD3D-5CDBEF432599}"/>
    <cellStyle name="Normal 3 2 3 2 2 2 3 3" xfId="34373" xr:uid="{E37A6DE1-75F8-4FB2-B1D1-09233DE78C99}"/>
    <cellStyle name="Normal 3 2 3 2 2 2 4" xfId="15194" xr:uid="{72CC3FAB-CA14-4D31-A1BA-221E2F3273BA}"/>
    <cellStyle name="Normal 3 2 3 2 2 2 4 2" xfId="40686" xr:uid="{8A7EDC3C-82A7-4044-9768-6C4F8AA95569}"/>
    <cellStyle name="Normal 3 2 3 2 2 2 5" xfId="28095" xr:uid="{3BCF3C18-D24D-4D5F-BE43-22F28B3E604A}"/>
    <cellStyle name="Normal 3 2 3 2 2 3" xfId="1699" xr:uid="{74740BA8-E704-4D95-9767-A922EB607433}"/>
    <cellStyle name="Normal 3 2 3 2 2 3 2" xfId="4853" xr:uid="{3FED881A-982B-4869-BB6A-B2D8DD8ED58A}"/>
    <cellStyle name="Normal 3 2 3 2 2 3 2 2" xfId="11146" xr:uid="{2A1C7E4C-BF7D-49C8-AEF0-25A5D5A19867}"/>
    <cellStyle name="Normal 3 2 3 2 2 3 2 2 2" xfId="23828" xr:uid="{A74B24D4-7A9F-41B0-8160-30A0970AC00D}"/>
    <cellStyle name="Normal 3 2 3 2 2 3 2 2 2 2" xfId="49320" xr:uid="{E265074B-B31C-4D89-83D6-D70FE4ACC075}"/>
    <cellStyle name="Normal 3 2 3 2 2 3 2 2 3" xfId="36729" xr:uid="{A69566D3-0055-41C0-A864-AE25DA0BDCDA}"/>
    <cellStyle name="Normal 3 2 3 2 2 3 2 3" xfId="17550" xr:uid="{E1BBBD3F-30EF-4429-BE09-1A1ECABC57B4}"/>
    <cellStyle name="Normal 3 2 3 2 2 3 2 3 2" xfId="43042" xr:uid="{90EC1FFB-3BE1-4702-A90C-3D2DF8C5F403}"/>
    <cellStyle name="Normal 3 2 3 2 2 3 2 4" xfId="30451" xr:uid="{3391E5AB-AAFF-4A49-ACBA-415521C4681F}"/>
    <cellStyle name="Normal 3 2 3 2 2 3 3" xfId="8007" xr:uid="{14F36108-1C9C-4C35-9714-13546277DDCF}"/>
    <cellStyle name="Normal 3 2 3 2 2 3 3 2" xfId="20689" xr:uid="{E26E5340-7093-4A9D-8751-EE71F9A7A325}"/>
    <cellStyle name="Normal 3 2 3 2 2 3 3 2 2" xfId="46181" xr:uid="{8E6E9CB5-A813-487D-A0E1-91A94D9CA1BB}"/>
    <cellStyle name="Normal 3 2 3 2 2 3 3 3" xfId="33590" xr:uid="{BAA72833-6D9A-4EC3-BBBF-86BDCACFDCD2}"/>
    <cellStyle name="Normal 3 2 3 2 2 3 4" xfId="14411" xr:uid="{4E4D96C1-F82D-4C36-B6DA-B6F71C837C7C}"/>
    <cellStyle name="Normal 3 2 3 2 2 3 4 2" xfId="39903" xr:uid="{9EF0F8CF-BDB6-442C-83CE-0134203507B0}"/>
    <cellStyle name="Normal 3 2 3 2 2 3 5" xfId="27312" xr:uid="{BBB3B735-3521-4457-AC9A-AA464B96779A}"/>
    <cellStyle name="Normal 3 2 3 2 2 4" xfId="3006" xr:uid="{C29915B9-52C9-4EBF-817E-B044527C0148}"/>
    <cellStyle name="Normal 3 2 3 2 2 4 2" xfId="6160" xr:uid="{6C6DAB3E-F62B-4DCD-A2B9-A480AE56BBC2}"/>
    <cellStyle name="Normal 3 2 3 2 2 4 2 2" xfId="12453" xr:uid="{517050F9-2066-4F83-A7C1-334208238B74}"/>
    <cellStyle name="Normal 3 2 3 2 2 4 2 2 2" xfId="25135" xr:uid="{75D90DB9-7049-4B93-B355-D048F55D84B2}"/>
    <cellStyle name="Normal 3 2 3 2 2 4 2 2 2 2" xfId="50627" xr:uid="{0CFCB609-C4B6-4104-9E9F-9D12759A835B}"/>
    <cellStyle name="Normal 3 2 3 2 2 4 2 2 3" xfId="38036" xr:uid="{A6F77FC0-1C43-405B-98CD-A830184AE707}"/>
    <cellStyle name="Normal 3 2 3 2 2 4 2 3" xfId="18857" xr:uid="{A95E0C77-F096-4685-81A2-DDC8E7B1C56F}"/>
    <cellStyle name="Normal 3 2 3 2 2 4 2 3 2" xfId="44349" xr:uid="{3DF4F708-D6EE-4145-BEA9-10574470C3E2}"/>
    <cellStyle name="Normal 3 2 3 2 2 4 2 4" xfId="31758" xr:uid="{C29C9B2E-2809-4363-94A7-CAC4716F6FD1}"/>
    <cellStyle name="Normal 3 2 3 2 2 4 3" xfId="9314" xr:uid="{ACF3B46B-6888-4C98-BDCB-EF5DEFEEF0FE}"/>
    <cellStyle name="Normal 3 2 3 2 2 4 3 2" xfId="21996" xr:uid="{F7D2E44D-ED78-4942-B781-35712B9F8359}"/>
    <cellStyle name="Normal 3 2 3 2 2 4 3 2 2" xfId="47488" xr:uid="{34A1B5BC-2E14-4C9A-B50A-E99A6BB23324}"/>
    <cellStyle name="Normal 3 2 3 2 2 4 3 3" xfId="34897" xr:uid="{58E7D716-9540-4E6D-AEC5-7D4C4BF6C1ED}"/>
    <cellStyle name="Normal 3 2 3 2 2 4 4" xfId="15718" xr:uid="{9CAE6E6A-943C-4A85-8890-02E3550BCC0E}"/>
    <cellStyle name="Normal 3 2 3 2 2 4 4 2" xfId="41210" xr:uid="{417C52A1-7174-4CC0-B2E0-F1F89179A061}"/>
    <cellStyle name="Normal 3 2 3 2 2 4 5" xfId="28619" xr:uid="{B8B931B8-B707-49D6-9593-BF96CB73C059}"/>
    <cellStyle name="Normal 3 2 3 2 2 5" xfId="3529" xr:uid="{ED7D2AAF-FE48-47A9-AB55-5865A28F1708}"/>
    <cellStyle name="Normal 3 2 3 2 2 5 2" xfId="6683" xr:uid="{A5720DA0-CAB3-4E99-B83E-708656D060B1}"/>
    <cellStyle name="Normal 3 2 3 2 2 5 2 2" xfId="12976" xr:uid="{20011838-CAF1-4F04-8408-A28B05D14E41}"/>
    <cellStyle name="Normal 3 2 3 2 2 5 2 2 2" xfId="25658" xr:uid="{BF8083E8-5B22-4611-9EDF-638CAD4F23E7}"/>
    <cellStyle name="Normal 3 2 3 2 2 5 2 2 2 2" xfId="51150" xr:uid="{2E9BB05F-A5F9-48C0-B4A2-F8D9853C7298}"/>
    <cellStyle name="Normal 3 2 3 2 2 5 2 2 3" xfId="38559" xr:uid="{78A48B8E-38B9-4069-B029-4CC4A6C4B58D}"/>
    <cellStyle name="Normal 3 2 3 2 2 5 2 3" xfId="19380" xr:uid="{917647AF-D383-4E9E-AAB3-5CEB8B91E92E}"/>
    <cellStyle name="Normal 3 2 3 2 2 5 2 3 2" xfId="44872" xr:uid="{1F82E26D-87C5-4ADD-A2CE-024EC53A7A91}"/>
    <cellStyle name="Normal 3 2 3 2 2 5 2 4" xfId="32281" xr:uid="{A947A877-8540-44C3-AEC0-FBF1A81FE724}"/>
    <cellStyle name="Normal 3 2 3 2 2 5 3" xfId="9837" xr:uid="{15CE2451-3AC2-469D-B1BF-D5CB18AF7674}"/>
    <cellStyle name="Normal 3 2 3 2 2 5 3 2" xfId="22519" xr:uid="{AB336F61-87B2-4CDF-A636-3D2442F10EFA}"/>
    <cellStyle name="Normal 3 2 3 2 2 5 3 2 2" xfId="48011" xr:uid="{F975C647-0E3F-49E1-8059-69C42CD84DD9}"/>
    <cellStyle name="Normal 3 2 3 2 2 5 3 3" xfId="35420" xr:uid="{2B0EEADF-46F6-438F-8E22-8923EC66E74E}"/>
    <cellStyle name="Normal 3 2 3 2 2 5 4" xfId="16241" xr:uid="{402A44A2-3A80-4170-9AE2-73831B980E76}"/>
    <cellStyle name="Normal 3 2 3 2 2 5 4 2" xfId="41733" xr:uid="{623B0696-AB2B-45DD-A4F6-D13EC18AACA2}"/>
    <cellStyle name="Normal 3 2 3 2 2 5 5" xfId="29142" xr:uid="{D2BEB2D6-0221-4901-B27D-3110757A43C2}"/>
    <cellStyle name="Normal 3 2 3 2 2 6" xfId="4329" xr:uid="{6695566A-E0D6-413B-88A1-A09A5C94B2FD}"/>
    <cellStyle name="Normal 3 2 3 2 2 6 2" xfId="10622" xr:uid="{5D3E574D-E438-4E33-B032-A847E05342E0}"/>
    <cellStyle name="Normal 3 2 3 2 2 6 2 2" xfId="23304" xr:uid="{B04C6214-1747-446C-B451-779BD844037B}"/>
    <cellStyle name="Normal 3 2 3 2 2 6 2 2 2" xfId="48796" xr:uid="{4920BE5B-2E49-49A7-9A27-69D33A7E7652}"/>
    <cellStyle name="Normal 3 2 3 2 2 6 2 3" xfId="36205" xr:uid="{E446D64B-6E63-476B-8543-CF547BEBB654}"/>
    <cellStyle name="Normal 3 2 3 2 2 6 3" xfId="17026" xr:uid="{70D29004-7B75-4C55-9495-9DF0B36C516D}"/>
    <cellStyle name="Normal 3 2 3 2 2 6 3 2" xfId="42518" xr:uid="{26CA720B-DBBE-4183-9E15-75D6C409A148}"/>
    <cellStyle name="Normal 3 2 3 2 2 6 4" xfId="29927" xr:uid="{B5600BB0-61D9-459B-8A1E-E0942665DCE6}"/>
    <cellStyle name="Normal 3 2 3 2 2 7" xfId="7483" xr:uid="{3063D151-D0D0-46A1-8118-5868F41B3B9C}"/>
    <cellStyle name="Normal 3 2 3 2 2 7 2" xfId="20165" xr:uid="{9E6DA558-BF0D-4FAF-B4E9-855BEC3CA235}"/>
    <cellStyle name="Normal 3 2 3 2 2 7 2 2" xfId="45657" xr:uid="{F3AA403C-8005-4741-A416-0A8E10AD8777}"/>
    <cellStyle name="Normal 3 2 3 2 2 7 3" xfId="33066" xr:uid="{1DF51C0C-6FB1-4DD4-B44E-1ECABA0694B6}"/>
    <cellStyle name="Normal 3 2 3 2 2 8" xfId="13887" xr:uid="{E512F14C-72E1-4345-ACA7-B25EEE56F353}"/>
    <cellStyle name="Normal 3 2 3 2 2 8 2" xfId="39379" xr:uid="{F8299848-0747-4CD6-8B97-8E5FECA4E3C8}"/>
    <cellStyle name="Normal 3 2 3 2 2 9" xfId="26788" xr:uid="{5AA93D8F-614F-4DEC-8E82-B6B55FC2927C}"/>
    <cellStyle name="Normal 3 2 3 2 3" xfId="915" xr:uid="{7BE2AAA7-06EB-4157-BFDA-6F38BB6341C3}"/>
    <cellStyle name="Normal 3 2 3 2 3 2" xfId="2222" xr:uid="{6678E85A-DD14-4071-A040-DA7361958834}"/>
    <cellStyle name="Normal 3 2 3 2 3 2 2" xfId="5376" xr:uid="{0C34CE0D-5C7B-4B41-B1D8-369F8B336712}"/>
    <cellStyle name="Normal 3 2 3 2 3 2 2 2" xfId="11669" xr:uid="{31B1CDE9-0BE4-4D2E-BFEE-1812108A9FA6}"/>
    <cellStyle name="Normal 3 2 3 2 3 2 2 2 2" xfId="24351" xr:uid="{1F476B0A-5ECB-41B6-BBBD-47562955B9D7}"/>
    <cellStyle name="Normal 3 2 3 2 3 2 2 2 2 2" xfId="49843" xr:uid="{4957E8DD-BCD5-4728-AFEE-431896B884AA}"/>
    <cellStyle name="Normal 3 2 3 2 3 2 2 2 3" xfId="37252" xr:uid="{2CDB3DB2-1438-4AA3-A27F-3B8B2B66420E}"/>
    <cellStyle name="Normal 3 2 3 2 3 2 2 3" xfId="18073" xr:uid="{8E7B4F59-9C6D-444C-B86D-2ED3946A9EE0}"/>
    <cellStyle name="Normal 3 2 3 2 3 2 2 3 2" xfId="43565" xr:uid="{B45C40D8-6D2F-42E5-9A3E-CA5657EF9AA2}"/>
    <cellStyle name="Normal 3 2 3 2 3 2 2 4" xfId="30974" xr:uid="{B4A5F6F7-CF2C-46F6-87C8-A5189CE71716}"/>
    <cellStyle name="Normal 3 2 3 2 3 2 3" xfId="8530" xr:uid="{B286DF51-426D-410A-844E-DC819AD2E923}"/>
    <cellStyle name="Normal 3 2 3 2 3 2 3 2" xfId="21212" xr:uid="{42182AB0-54B0-46EA-87BB-D87FD49CB277}"/>
    <cellStyle name="Normal 3 2 3 2 3 2 3 2 2" xfId="46704" xr:uid="{8FA32369-7F77-4491-8FBC-2BF4DB834454}"/>
    <cellStyle name="Normal 3 2 3 2 3 2 3 3" xfId="34113" xr:uid="{A91319E4-3E70-4660-9538-DFEE91ECB40D}"/>
    <cellStyle name="Normal 3 2 3 2 3 2 4" xfId="14934" xr:uid="{BEBACA24-9534-4B12-BB42-247549A804B8}"/>
    <cellStyle name="Normal 3 2 3 2 3 2 4 2" xfId="40426" xr:uid="{34B68DD5-0298-420F-846E-1DA456F4346F}"/>
    <cellStyle name="Normal 3 2 3 2 3 2 5" xfId="27835" xr:uid="{1199C5AD-6004-4D1B-94D3-46C63775AFFB}"/>
    <cellStyle name="Normal 3 2 3 2 3 3" xfId="4069" xr:uid="{EE50AAFA-7814-4E0F-A5DD-AAE306A22DAB}"/>
    <cellStyle name="Normal 3 2 3 2 3 3 2" xfId="10362" xr:uid="{264E6B22-7EF0-4439-90DC-A47B38E29FA1}"/>
    <cellStyle name="Normal 3 2 3 2 3 3 2 2" xfId="23044" xr:uid="{BAE7722B-84BC-4DA8-AB82-CE006C5DBA55}"/>
    <cellStyle name="Normal 3 2 3 2 3 3 2 2 2" xfId="48536" xr:uid="{D8716EA9-0B5B-48FE-8D2D-4C97B693B7AE}"/>
    <cellStyle name="Normal 3 2 3 2 3 3 2 3" xfId="35945" xr:uid="{841B044C-CF36-4EC3-9FD3-256509EDC31D}"/>
    <cellStyle name="Normal 3 2 3 2 3 3 3" xfId="16766" xr:uid="{4B2AA15F-7FB3-4123-9346-8A7B18F57DC8}"/>
    <cellStyle name="Normal 3 2 3 2 3 3 3 2" xfId="42258" xr:uid="{871E13BF-4BD3-47F8-A8DB-25CB678E6E24}"/>
    <cellStyle name="Normal 3 2 3 2 3 3 4" xfId="29667" xr:uid="{B576FC92-C919-46F0-8EC0-F7B1326F7321}"/>
    <cellStyle name="Normal 3 2 3 2 3 4" xfId="7223" xr:uid="{D97A4196-5B12-4948-A324-3D410BDDD63D}"/>
    <cellStyle name="Normal 3 2 3 2 3 4 2" xfId="19905" xr:uid="{CD999CC4-5CA2-4DEE-B467-2FBBF01E946B}"/>
    <cellStyle name="Normal 3 2 3 2 3 4 2 2" xfId="45397" xr:uid="{CA1C19C8-53AF-4E11-9B48-5C539CF72A87}"/>
    <cellStyle name="Normal 3 2 3 2 3 4 3" xfId="32806" xr:uid="{689358B2-BA9B-499F-9735-F80ED9F84017}"/>
    <cellStyle name="Normal 3 2 3 2 3 5" xfId="13627" xr:uid="{8EC83181-8AD4-464F-9EF4-65CFB79D60F5}"/>
    <cellStyle name="Normal 3 2 3 2 3 5 2" xfId="39119" xr:uid="{1128D553-79AA-4C47-BB15-6124168BB95D}"/>
    <cellStyle name="Normal 3 2 3 2 3 6" xfId="26528" xr:uid="{8B247082-645D-49D5-99B8-1D7939971690}"/>
    <cellStyle name="Normal 3 2 3 2 4" xfId="1960" xr:uid="{3BACCBB4-6F76-4E3F-AE47-1060F1F3EC8D}"/>
    <cellStyle name="Normal 3 2 3 2 4 2" xfId="5114" xr:uid="{629C7325-2A6E-43C9-A7D9-0674A9C71C02}"/>
    <cellStyle name="Normal 3 2 3 2 4 2 2" xfId="11407" xr:uid="{DA3912EE-B7BD-45BE-84D5-51D2C29C99BE}"/>
    <cellStyle name="Normal 3 2 3 2 4 2 2 2" xfId="24089" xr:uid="{E327BDB0-DBA9-4F0A-A811-0F22C4DAE26D}"/>
    <cellStyle name="Normal 3 2 3 2 4 2 2 2 2" xfId="49581" xr:uid="{A7C74B7D-B12E-4381-BFBF-3F0C8C0E20F3}"/>
    <cellStyle name="Normal 3 2 3 2 4 2 2 3" xfId="36990" xr:uid="{06228FC5-0B52-4387-A751-5250AC35A790}"/>
    <cellStyle name="Normal 3 2 3 2 4 2 3" xfId="17811" xr:uid="{7A88202F-3A17-4BC9-A020-C04C3D54662A}"/>
    <cellStyle name="Normal 3 2 3 2 4 2 3 2" xfId="43303" xr:uid="{D8CF0AC2-D87F-4DD1-924F-1658A039CE63}"/>
    <cellStyle name="Normal 3 2 3 2 4 2 4" xfId="30712" xr:uid="{D7E4A1A9-2D3B-4E44-84B1-D8F72473C9ED}"/>
    <cellStyle name="Normal 3 2 3 2 4 3" xfId="8268" xr:uid="{7CDB438E-4227-46E0-A172-08DD0C0B605B}"/>
    <cellStyle name="Normal 3 2 3 2 4 3 2" xfId="20950" xr:uid="{71EA5A51-F378-4A6F-8617-841EB10055BA}"/>
    <cellStyle name="Normal 3 2 3 2 4 3 2 2" xfId="46442" xr:uid="{1B6FE8B4-CC1D-4120-9EEE-2F626BD16F6C}"/>
    <cellStyle name="Normal 3 2 3 2 4 3 3" xfId="33851" xr:uid="{3F27180C-E676-440D-803F-5AAB1058ADE2}"/>
    <cellStyle name="Normal 3 2 3 2 4 4" xfId="14672" xr:uid="{E5D92600-5D02-448B-A698-D40B8819FCA4}"/>
    <cellStyle name="Normal 3 2 3 2 4 4 2" xfId="40164" xr:uid="{17271CE7-8CE5-4E23-B3C6-4BA922D28393}"/>
    <cellStyle name="Normal 3 2 3 2 4 5" xfId="27573" xr:uid="{1FBE6000-76A5-42B8-B74F-34047F6F7932}"/>
    <cellStyle name="Normal 3 2 3 2 5" xfId="1438" xr:uid="{0ABCAC60-F873-44E4-9065-86BEC6FD2EC6}"/>
    <cellStyle name="Normal 3 2 3 2 5 2" xfId="4592" xr:uid="{819C24E1-53FD-441D-AB3B-63839474E069}"/>
    <cellStyle name="Normal 3 2 3 2 5 2 2" xfId="10885" xr:uid="{01220637-9745-4C20-BA2C-22A6FA1DCFF1}"/>
    <cellStyle name="Normal 3 2 3 2 5 2 2 2" xfId="23567" xr:uid="{002295C7-104C-4B4C-BE2F-49E40E2CC7AB}"/>
    <cellStyle name="Normal 3 2 3 2 5 2 2 2 2" xfId="49059" xr:uid="{70BE7799-741B-4880-BF79-93A42601060E}"/>
    <cellStyle name="Normal 3 2 3 2 5 2 2 3" xfId="36468" xr:uid="{E3420EB8-0178-4691-998F-6D64F9B2B2C3}"/>
    <cellStyle name="Normal 3 2 3 2 5 2 3" xfId="17289" xr:uid="{6260F5DA-A1B5-482F-B0F0-C0A9C89E0313}"/>
    <cellStyle name="Normal 3 2 3 2 5 2 3 2" xfId="42781" xr:uid="{469532AE-4640-4D1F-8655-A6F8421A4B14}"/>
    <cellStyle name="Normal 3 2 3 2 5 2 4" xfId="30190" xr:uid="{F91AA403-02D5-40FD-BA1B-E40EF4A5EA96}"/>
    <cellStyle name="Normal 3 2 3 2 5 3" xfId="7746" xr:uid="{3BC42A7F-47EC-4AA7-BDDE-E2B63550B7C5}"/>
    <cellStyle name="Normal 3 2 3 2 5 3 2" xfId="20428" xr:uid="{EDB183A5-A05E-4927-AD37-CEBC43D42AA0}"/>
    <cellStyle name="Normal 3 2 3 2 5 3 2 2" xfId="45920" xr:uid="{9BF0C27F-6A12-44AE-A94F-4932638D14AC}"/>
    <cellStyle name="Normal 3 2 3 2 5 3 3" xfId="33329" xr:uid="{BAC912CF-E13A-4B58-BA92-8E8A8103BA88}"/>
    <cellStyle name="Normal 3 2 3 2 5 4" xfId="14150" xr:uid="{C6795363-F53D-4EB9-BD83-84D42C4AA427}"/>
    <cellStyle name="Normal 3 2 3 2 5 4 2" xfId="39642" xr:uid="{628B9B2A-9579-407D-890E-2B9FCE6CCEF6}"/>
    <cellStyle name="Normal 3 2 3 2 5 5" xfId="27051" xr:uid="{C788ABDB-2CD4-4C4E-93D1-2DB2F1A9EE56}"/>
    <cellStyle name="Normal 3 2 3 2 6" xfId="2745" xr:uid="{F10D618F-FC1E-4294-B563-628F18C34B87}"/>
    <cellStyle name="Normal 3 2 3 2 6 2" xfId="5899" xr:uid="{7E0E2381-73A9-44BC-ADB8-109FE7FC1828}"/>
    <cellStyle name="Normal 3 2 3 2 6 2 2" xfId="12192" xr:uid="{1E5339F1-40C2-4494-8291-E6B03203FA07}"/>
    <cellStyle name="Normal 3 2 3 2 6 2 2 2" xfId="24874" xr:uid="{096B2D0A-560E-42B4-B3D3-FF86189AE0BD}"/>
    <cellStyle name="Normal 3 2 3 2 6 2 2 2 2" xfId="50366" xr:uid="{DA1D0B9A-3AFC-46FE-B025-457BF79BD600}"/>
    <cellStyle name="Normal 3 2 3 2 6 2 2 3" xfId="37775" xr:uid="{C42CB373-B96C-4AA5-855D-15AB4CA1C1E0}"/>
    <cellStyle name="Normal 3 2 3 2 6 2 3" xfId="18596" xr:uid="{F874F538-8058-4029-8C3C-D0B552692F0D}"/>
    <cellStyle name="Normal 3 2 3 2 6 2 3 2" xfId="44088" xr:uid="{4741DE6C-38F4-4CE2-AFA8-6C9A0D4D6CBC}"/>
    <cellStyle name="Normal 3 2 3 2 6 2 4" xfId="31497" xr:uid="{825211DD-426E-4986-B57A-B97819632816}"/>
    <cellStyle name="Normal 3 2 3 2 6 3" xfId="9053" xr:uid="{6E206A59-61C9-4323-BACE-32FE63A2D14B}"/>
    <cellStyle name="Normal 3 2 3 2 6 3 2" xfId="21735" xr:uid="{396020BE-448B-466F-B7F8-CDEFDE5EB056}"/>
    <cellStyle name="Normal 3 2 3 2 6 3 2 2" xfId="47227" xr:uid="{FB7F3A79-7501-44D3-9425-C249BDAD6F8F}"/>
    <cellStyle name="Normal 3 2 3 2 6 3 3" xfId="34636" xr:uid="{41DC3236-84D8-4246-A2B4-1305BCC2D0FE}"/>
    <cellStyle name="Normal 3 2 3 2 6 4" xfId="15457" xr:uid="{30415143-0BA9-4AFA-B497-F20320C3D9F6}"/>
    <cellStyle name="Normal 3 2 3 2 6 4 2" xfId="40949" xr:uid="{77085CE6-E8E1-40DD-9D12-27CFEE69F003}"/>
    <cellStyle name="Normal 3 2 3 2 6 5" xfId="28358" xr:uid="{9C5C1DAD-A3FC-40F9-8D97-94C498649284}"/>
    <cellStyle name="Normal 3 2 3 2 7" xfId="3268" xr:uid="{F6494C83-189B-4943-8DC6-53FA715EED8D}"/>
    <cellStyle name="Normal 3 2 3 2 7 2" xfId="6422" xr:uid="{9CAFAC2D-7246-4EF9-AE68-7AA6B9B7C12D}"/>
    <cellStyle name="Normal 3 2 3 2 7 2 2" xfId="12715" xr:uid="{74B92816-EEC1-4130-BFC8-1696B0F26A8B}"/>
    <cellStyle name="Normal 3 2 3 2 7 2 2 2" xfId="25397" xr:uid="{98430618-1F10-4955-BD1A-4AA3D317CA14}"/>
    <cellStyle name="Normal 3 2 3 2 7 2 2 2 2" xfId="50889" xr:uid="{B7D461E2-0BC6-4572-821F-61522F48C310}"/>
    <cellStyle name="Normal 3 2 3 2 7 2 2 3" xfId="38298" xr:uid="{2937980B-47C3-4E76-BC09-5F70A5BD4FAA}"/>
    <cellStyle name="Normal 3 2 3 2 7 2 3" xfId="19119" xr:uid="{DF9E92B3-8956-4272-94F2-7BF2D700020C}"/>
    <cellStyle name="Normal 3 2 3 2 7 2 3 2" xfId="44611" xr:uid="{40A4841B-41C5-4C12-897C-F09A03A01599}"/>
    <cellStyle name="Normal 3 2 3 2 7 2 4" xfId="32020" xr:uid="{587BEEBE-332E-40B5-A17E-6430D978F267}"/>
    <cellStyle name="Normal 3 2 3 2 7 3" xfId="9576" xr:uid="{D409D54B-ACB9-4C98-9BCB-45E617DC4A7B}"/>
    <cellStyle name="Normal 3 2 3 2 7 3 2" xfId="22258" xr:uid="{3DC0AABA-5F33-411B-AD99-B1E8E7D58CB8}"/>
    <cellStyle name="Normal 3 2 3 2 7 3 2 2" xfId="47750" xr:uid="{E842082A-7F01-4B23-9DA1-484E906FF5A8}"/>
    <cellStyle name="Normal 3 2 3 2 7 3 3" xfId="35159" xr:uid="{2397E19C-9B61-494C-9675-681136794F3C}"/>
    <cellStyle name="Normal 3 2 3 2 7 4" xfId="15980" xr:uid="{ACCE2080-31EE-4552-8126-BBF75604905E}"/>
    <cellStyle name="Normal 3 2 3 2 7 4 2" xfId="41472" xr:uid="{3F8DC599-FB1A-4B37-BFF2-A189D400DC22}"/>
    <cellStyle name="Normal 3 2 3 2 7 5" xfId="28881" xr:uid="{E43BCB58-0814-4E7D-9E24-92EC1E497323}"/>
    <cellStyle name="Normal 3 2 3 2 8" xfId="3807" xr:uid="{AA3AE94E-A82B-4EDF-AC14-AB4BD66DE9B9}"/>
    <cellStyle name="Normal 3 2 3 2 8 2" xfId="10100" xr:uid="{635A1895-6316-4166-A594-8CE8EB4F9F83}"/>
    <cellStyle name="Normal 3 2 3 2 8 2 2" xfId="22782" xr:uid="{20107726-A6B7-4144-A5C5-20653B8B0DC1}"/>
    <cellStyle name="Normal 3 2 3 2 8 2 2 2" xfId="48274" xr:uid="{0CB5E29C-48A5-4BFB-AB50-AA164AF6AAAC}"/>
    <cellStyle name="Normal 3 2 3 2 8 2 3" xfId="35683" xr:uid="{6DABCB08-5A70-4A4B-9A05-BB8FF64E45DF}"/>
    <cellStyle name="Normal 3 2 3 2 8 3" xfId="16504" xr:uid="{F2C2238D-B659-4A8B-9626-9BA269856C79}"/>
    <cellStyle name="Normal 3 2 3 2 8 3 2" xfId="41996" xr:uid="{8BB0AD39-7C74-499F-B404-E3D3D1F2B219}"/>
    <cellStyle name="Normal 3 2 3 2 8 4" xfId="29405" xr:uid="{97AC6C5B-1EBB-40C9-9363-DF601B8450BB}"/>
    <cellStyle name="Normal 3 2 3 2 9" xfId="6961" xr:uid="{B0ED283B-A7D5-4C77-8354-EAB0D72689C3}"/>
    <cellStyle name="Normal 3 2 3 2 9 2" xfId="19643" xr:uid="{85C0E807-BE0E-4497-BB38-C2BD7EA1832F}"/>
    <cellStyle name="Normal 3 2 3 2 9 2 2" xfId="45135" xr:uid="{A17E98C9-B161-4831-A61A-959B9B63773C}"/>
    <cellStyle name="Normal 3 2 3 2 9 3" xfId="32544" xr:uid="{AC40704D-C40B-4005-BC5A-6EFC2B709828}"/>
    <cellStyle name="Normal 3 2 3 3" xfId="538" xr:uid="{C6F4B343-5F40-4EFA-8DBD-695CB8F2C6CD}"/>
    <cellStyle name="Normal 3 2 3 3 10" xfId="13265" xr:uid="{44B33979-3A34-425C-969A-89A2282E3B33}"/>
    <cellStyle name="Normal 3 2 3 3 10 2" xfId="38757" xr:uid="{2AB64704-9196-46F5-AB25-27F2115D43EE}"/>
    <cellStyle name="Normal 3 2 3 3 11" xfId="26166" xr:uid="{244C4E0C-01C7-47A3-9F86-FE26BF0111A0}"/>
    <cellStyle name="Normal 3 2 3 3 2" xfId="1075" xr:uid="{C5DDED7E-B30E-469A-B2C4-D43A962B1D79}"/>
    <cellStyle name="Normal 3 2 3 3 2 2" xfId="2382" xr:uid="{929ACA78-6C04-4A44-A979-999C85A35ABC}"/>
    <cellStyle name="Normal 3 2 3 3 2 2 2" xfId="5536" xr:uid="{94969580-A589-46B9-A4FA-F0EF121ACF40}"/>
    <cellStyle name="Normal 3 2 3 3 2 2 2 2" xfId="11829" xr:uid="{AC9BBF0D-1300-485B-84AD-24B7DA772D1D}"/>
    <cellStyle name="Normal 3 2 3 3 2 2 2 2 2" xfId="24511" xr:uid="{8393C3C3-CC96-48F8-AFE1-493EFDDDC66C}"/>
    <cellStyle name="Normal 3 2 3 3 2 2 2 2 2 2" xfId="50003" xr:uid="{A31DA5A1-6B9B-442D-B7B7-DE511BFD2EB0}"/>
    <cellStyle name="Normal 3 2 3 3 2 2 2 2 3" xfId="37412" xr:uid="{53BDCE6F-D592-45FF-B1FF-A9A17DE73402}"/>
    <cellStyle name="Normal 3 2 3 3 2 2 2 3" xfId="18233" xr:uid="{E667EA3E-C4AA-459A-A732-62B9EA61C0B3}"/>
    <cellStyle name="Normal 3 2 3 3 2 2 2 3 2" xfId="43725" xr:uid="{6C44E9CE-96D3-4656-B75D-10DEA312D737}"/>
    <cellStyle name="Normal 3 2 3 3 2 2 2 4" xfId="31134" xr:uid="{9B55621A-9267-419E-B028-F83A261B2094}"/>
    <cellStyle name="Normal 3 2 3 3 2 2 3" xfId="8690" xr:uid="{568A201E-8CB7-46A3-B894-C9DDF2915563}"/>
    <cellStyle name="Normal 3 2 3 3 2 2 3 2" xfId="21372" xr:uid="{612D5891-480B-4887-9D69-243DBE5821CC}"/>
    <cellStyle name="Normal 3 2 3 3 2 2 3 2 2" xfId="46864" xr:uid="{449B38FC-DE81-4188-8057-0BAF630FDA5C}"/>
    <cellStyle name="Normal 3 2 3 3 2 2 3 3" xfId="34273" xr:uid="{465053B8-1402-4A59-B7A3-F18D61F2A5F8}"/>
    <cellStyle name="Normal 3 2 3 3 2 2 4" xfId="15094" xr:uid="{36C4427A-CC06-45AE-9D65-26ABC04A4601}"/>
    <cellStyle name="Normal 3 2 3 3 2 2 4 2" xfId="40586" xr:uid="{CFB8EFE7-6E8B-4B5C-A71C-0A2C477680A8}"/>
    <cellStyle name="Normal 3 2 3 3 2 2 5" xfId="27995" xr:uid="{2237E109-43D7-4F6F-9636-CFC10EBD4CF3}"/>
    <cellStyle name="Normal 3 2 3 3 2 3" xfId="1599" xr:uid="{6C035710-1A01-49C6-B5BF-BCBCACF55A3A}"/>
    <cellStyle name="Normal 3 2 3 3 2 3 2" xfId="4753" xr:uid="{0E8B9A80-E7DD-40CB-AA1F-415A54174341}"/>
    <cellStyle name="Normal 3 2 3 3 2 3 2 2" xfId="11046" xr:uid="{78B601A0-A5F2-453C-B8E7-58A878EAECB1}"/>
    <cellStyle name="Normal 3 2 3 3 2 3 2 2 2" xfId="23728" xr:uid="{993815B8-ACA7-4A5B-A9E0-A49A4A46E884}"/>
    <cellStyle name="Normal 3 2 3 3 2 3 2 2 2 2" xfId="49220" xr:uid="{941F478E-1C30-4699-B169-293BDD093FC7}"/>
    <cellStyle name="Normal 3 2 3 3 2 3 2 2 3" xfId="36629" xr:uid="{F248ED3C-E42B-42AB-97F5-D2325B72BE2F}"/>
    <cellStyle name="Normal 3 2 3 3 2 3 2 3" xfId="17450" xr:uid="{DDE8099A-4B2D-4D8E-A75A-0CACD1FFDF10}"/>
    <cellStyle name="Normal 3 2 3 3 2 3 2 3 2" xfId="42942" xr:uid="{33490F24-8528-4B94-BCBF-865A7B7EF8E2}"/>
    <cellStyle name="Normal 3 2 3 3 2 3 2 4" xfId="30351" xr:uid="{A23C8268-B773-447A-822E-1A3DDBB9D6F6}"/>
    <cellStyle name="Normal 3 2 3 3 2 3 3" xfId="7907" xr:uid="{52385006-6039-4068-9196-978F3AE1ACC7}"/>
    <cellStyle name="Normal 3 2 3 3 2 3 3 2" xfId="20589" xr:uid="{EF0F38C4-9815-4392-A049-E0B8AC2DACA3}"/>
    <cellStyle name="Normal 3 2 3 3 2 3 3 2 2" xfId="46081" xr:uid="{B7A640AF-DEF6-4FB3-B5D4-03777DF3B948}"/>
    <cellStyle name="Normal 3 2 3 3 2 3 3 3" xfId="33490" xr:uid="{87A9E6B8-D8CD-4ABD-B8D0-543BF9C04288}"/>
    <cellStyle name="Normal 3 2 3 3 2 3 4" xfId="14311" xr:uid="{970861B6-DA18-4CD1-BEFB-7229C4A5D14D}"/>
    <cellStyle name="Normal 3 2 3 3 2 3 4 2" xfId="39803" xr:uid="{9581962D-9154-4E22-959C-BE5FD6938601}"/>
    <cellStyle name="Normal 3 2 3 3 2 3 5" xfId="27212" xr:uid="{3B49E0EE-672D-46B4-9921-F1F8D74BBC5A}"/>
    <cellStyle name="Normal 3 2 3 3 2 4" xfId="2906" xr:uid="{732AB63F-1B2C-4B15-A300-944198619165}"/>
    <cellStyle name="Normal 3 2 3 3 2 4 2" xfId="6060" xr:uid="{ECA0AE52-370C-4831-B120-337E43801549}"/>
    <cellStyle name="Normal 3 2 3 3 2 4 2 2" xfId="12353" xr:uid="{E565BCB4-0F49-49C5-B22C-EB7A32D282D3}"/>
    <cellStyle name="Normal 3 2 3 3 2 4 2 2 2" xfId="25035" xr:uid="{A086F1EF-3060-428F-A0E2-33727C0DB676}"/>
    <cellStyle name="Normal 3 2 3 3 2 4 2 2 2 2" xfId="50527" xr:uid="{EDE87E5E-1B56-4938-866B-72F9F45005C2}"/>
    <cellStyle name="Normal 3 2 3 3 2 4 2 2 3" xfId="37936" xr:uid="{694A1F9F-189C-49B7-B50A-0B651C083451}"/>
    <cellStyle name="Normal 3 2 3 3 2 4 2 3" xfId="18757" xr:uid="{CF3989B2-878A-4C29-A635-67F75D1E9681}"/>
    <cellStyle name="Normal 3 2 3 3 2 4 2 3 2" xfId="44249" xr:uid="{C0FA8C3F-2DCA-44BF-9F4E-8EAEFB04EF05}"/>
    <cellStyle name="Normal 3 2 3 3 2 4 2 4" xfId="31658" xr:uid="{A5DB03B0-3127-4290-AFF3-F4DF0301ED7C}"/>
    <cellStyle name="Normal 3 2 3 3 2 4 3" xfId="9214" xr:uid="{D9F3187D-1568-408F-9091-464FB389BD84}"/>
    <cellStyle name="Normal 3 2 3 3 2 4 3 2" xfId="21896" xr:uid="{E165A84D-3FFA-4EC1-BA68-EF1CE08D3639}"/>
    <cellStyle name="Normal 3 2 3 3 2 4 3 2 2" xfId="47388" xr:uid="{BD47F516-A087-4E54-B842-246405F8487B}"/>
    <cellStyle name="Normal 3 2 3 3 2 4 3 3" xfId="34797" xr:uid="{D08D2189-A715-4497-AA11-2185DB1818B1}"/>
    <cellStyle name="Normal 3 2 3 3 2 4 4" xfId="15618" xr:uid="{C9E6CE6A-D58B-4370-A268-BC5901924EF1}"/>
    <cellStyle name="Normal 3 2 3 3 2 4 4 2" xfId="41110" xr:uid="{C133EA74-26F1-4CF7-AA45-BC00CB038B35}"/>
    <cellStyle name="Normal 3 2 3 3 2 4 5" xfId="28519" xr:uid="{4182DC5D-695F-4DC8-B4D7-B163A0D1D0C1}"/>
    <cellStyle name="Normal 3 2 3 3 2 5" xfId="3429" xr:uid="{9B4B18ED-DEDE-4BB7-ACCC-556076CFACE3}"/>
    <cellStyle name="Normal 3 2 3 3 2 5 2" xfId="6583" xr:uid="{90D59DD0-0A30-436D-BA20-76FF8CEE1C3F}"/>
    <cellStyle name="Normal 3 2 3 3 2 5 2 2" xfId="12876" xr:uid="{3172115F-C3FF-4E40-B8D5-C9A6EF9723F9}"/>
    <cellStyle name="Normal 3 2 3 3 2 5 2 2 2" xfId="25558" xr:uid="{0CEF299B-457C-4405-A4CF-8DA6DE40F356}"/>
    <cellStyle name="Normal 3 2 3 3 2 5 2 2 2 2" xfId="51050" xr:uid="{9E80F1D9-1212-4BDD-B8D8-BA7E6D3FD991}"/>
    <cellStyle name="Normal 3 2 3 3 2 5 2 2 3" xfId="38459" xr:uid="{C6A5AF7D-4D08-455E-84AB-D4A3B01F3A82}"/>
    <cellStyle name="Normal 3 2 3 3 2 5 2 3" xfId="19280" xr:uid="{43C1691D-D2A4-4531-9F62-20997ACF93E2}"/>
    <cellStyle name="Normal 3 2 3 3 2 5 2 3 2" xfId="44772" xr:uid="{E8356F76-9CEF-45E5-8E4D-EF914BBE9DAB}"/>
    <cellStyle name="Normal 3 2 3 3 2 5 2 4" xfId="32181" xr:uid="{E1819875-5E40-4D7D-A803-B277D263B499}"/>
    <cellStyle name="Normal 3 2 3 3 2 5 3" xfId="9737" xr:uid="{990C70C7-6757-4805-B595-024102D97146}"/>
    <cellStyle name="Normal 3 2 3 3 2 5 3 2" xfId="22419" xr:uid="{B2FF31A2-9F08-4952-B67C-6F98F7D56339}"/>
    <cellStyle name="Normal 3 2 3 3 2 5 3 2 2" xfId="47911" xr:uid="{15C796D6-B60F-4BFE-9678-9BB7D0D6DB62}"/>
    <cellStyle name="Normal 3 2 3 3 2 5 3 3" xfId="35320" xr:uid="{BFDB8164-5EE5-4637-B6B7-F0DBFBC86B67}"/>
    <cellStyle name="Normal 3 2 3 3 2 5 4" xfId="16141" xr:uid="{0CB7BD0B-2A67-4790-88A6-898E362DAAA3}"/>
    <cellStyle name="Normal 3 2 3 3 2 5 4 2" xfId="41633" xr:uid="{86DF59CF-7625-41FF-81DF-7E5AAE3CE220}"/>
    <cellStyle name="Normal 3 2 3 3 2 5 5" xfId="29042" xr:uid="{6A2D15BC-D93E-4F14-B33D-BD8346E1F77C}"/>
    <cellStyle name="Normal 3 2 3 3 2 6" xfId="4229" xr:uid="{E44A9C0D-F016-4710-B1AE-F895FBFB1030}"/>
    <cellStyle name="Normal 3 2 3 3 2 6 2" xfId="10522" xr:uid="{FC3D6286-D3AF-4DAF-8C8E-E6B125E29FA5}"/>
    <cellStyle name="Normal 3 2 3 3 2 6 2 2" xfId="23204" xr:uid="{4889CB1A-74EB-4982-89CE-052E3B629B9F}"/>
    <cellStyle name="Normal 3 2 3 3 2 6 2 2 2" xfId="48696" xr:uid="{B39B126D-DC32-48F9-823C-3986A19BF3D0}"/>
    <cellStyle name="Normal 3 2 3 3 2 6 2 3" xfId="36105" xr:uid="{3F604AD1-7395-4BAA-A00E-C7435272664B}"/>
    <cellStyle name="Normal 3 2 3 3 2 6 3" xfId="16926" xr:uid="{BC7DCA37-E5E9-4603-8CB1-545F7390A9E7}"/>
    <cellStyle name="Normal 3 2 3 3 2 6 3 2" xfId="42418" xr:uid="{0C05972D-D2F5-4B32-AB4D-A16BA401E716}"/>
    <cellStyle name="Normal 3 2 3 3 2 6 4" xfId="29827" xr:uid="{EF262D48-5A8A-48C0-AFF6-B3B050C77ED0}"/>
    <cellStyle name="Normal 3 2 3 3 2 7" xfId="7383" xr:uid="{66026907-D7DA-4CAF-A854-87A012F2059E}"/>
    <cellStyle name="Normal 3 2 3 3 2 7 2" xfId="20065" xr:uid="{759B294B-DE38-40E5-B72A-76AFBB3D217A}"/>
    <cellStyle name="Normal 3 2 3 3 2 7 2 2" xfId="45557" xr:uid="{BC4E8481-0CF1-411B-A606-08F47421A894}"/>
    <cellStyle name="Normal 3 2 3 3 2 7 3" xfId="32966" xr:uid="{18732135-9D5E-4A2A-AEE6-92A8DC2422FF}"/>
    <cellStyle name="Normal 3 2 3 3 2 8" xfId="13787" xr:uid="{A47335EB-620A-4794-887E-72327348D6CA}"/>
    <cellStyle name="Normal 3 2 3 3 2 8 2" xfId="39279" xr:uid="{4C3552BE-D1BD-440A-89FE-B7A41C2C3654}"/>
    <cellStyle name="Normal 3 2 3 3 2 9" xfId="26688" xr:uid="{373BB4FA-81DD-449B-8FEF-1E8967F8B907}"/>
    <cellStyle name="Normal 3 2 3 3 3" xfId="815" xr:uid="{10C62E37-E017-4576-89D4-E484CC287315}"/>
    <cellStyle name="Normal 3 2 3 3 3 2" xfId="2122" xr:uid="{A72896A0-AD19-4130-8864-E9A8556CEA54}"/>
    <cellStyle name="Normal 3 2 3 3 3 2 2" xfId="5276" xr:uid="{7B4B2EA8-CE6D-4065-9A42-6509BA75E855}"/>
    <cellStyle name="Normal 3 2 3 3 3 2 2 2" xfId="11569" xr:uid="{346C58BF-CBD9-4C7B-8913-2663520F70A5}"/>
    <cellStyle name="Normal 3 2 3 3 3 2 2 2 2" xfId="24251" xr:uid="{74C41186-D7D7-4F39-8088-489F666FA4BF}"/>
    <cellStyle name="Normal 3 2 3 3 3 2 2 2 2 2" xfId="49743" xr:uid="{6B661F52-E39F-451D-B36C-37C7FB638B04}"/>
    <cellStyle name="Normal 3 2 3 3 3 2 2 2 3" xfId="37152" xr:uid="{296562B8-7CEC-488B-96BA-2A22C9B2EA50}"/>
    <cellStyle name="Normal 3 2 3 3 3 2 2 3" xfId="17973" xr:uid="{DEF21130-E3F7-4567-897C-879E5D232B74}"/>
    <cellStyle name="Normal 3 2 3 3 3 2 2 3 2" xfId="43465" xr:uid="{D6BC039E-C9D3-403D-8A98-82E95EDC8831}"/>
    <cellStyle name="Normal 3 2 3 3 3 2 2 4" xfId="30874" xr:uid="{E400D72B-1959-45C0-A565-612B5FB06E64}"/>
    <cellStyle name="Normal 3 2 3 3 3 2 3" xfId="8430" xr:uid="{3DE0FB12-4360-4BFE-AA83-920E5912935D}"/>
    <cellStyle name="Normal 3 2 3 3 3 2 3 2" xfId="21112" xr:uid="{3A5B8E8C-1A92-4CFC-841C-7CD39A92E089}"/>
    <cellStyle name="Normal 3 2 3 3 3 2 3 2 2" xfId="46604" xr:uid="{690EDC27-E0BE-4987-A7DC-4EE738885260}"/>
    <cellStyle name="Normal 3 2 3 3 3 2 3 3" xfId="34013" xr:uid="{44310B9F-D32A-4AEF-AB48-E114758A8BBB}"/>
    <cellStyle name="Normal 3 2 3 3 3 2 4" xfId="14834" xr:uid="{B193360E-358D-4ADD-BFCB-8BC1BCBD673E}"/>
    <cellStyle name="Normal 3 2 3 3 3 2 4 2" xfId="40326" xr:uid="{535D9AC4-223E-498C-856F-5F4410DE11D6}"/>
    <cellStyle name="Normal 3 2 3 3 3 2 5" xfId="27735" xr:uid="{7F8F6461-42FA-4F98-B068-1B24D229D003}"/>
    <cellStyle name="Normal 3 2 3 3 3 3" xfId="3969" xr:uid="{9C4D5FF1-0B0C-495B-ABD4-9B4446B7717C}"/>
    <cellStyle name="Normal 3 2 3 3 3 3 2" xfId="10262" xr:uid="{5F0D7858-05EA-434B-9A89-0CD4B5A78282}"/>
    <cellStyle name="Normal 3 2 3 3 3 3 2 2" xfId="22944" xr:uid="{32C7BE81-434C-419A-9B4A-F1F100CAE55F}"/>
    <cellStyle name="Normal 3 2 3 3 3 3 2 2 2" xfId="48436" xr:uid="{CC4D2260-4342-4489-85A8-450ADDD2BD6D}"/>
    <cellStyle name="Normal 3 2 3 3 3 3 2 3" xfId="35845" xr:uid="{B330388C-68C9-437A-9286-2CE7F38D5BB7}"/>
    <cellStyle name="Normal 3 2 3 3 3 3 3" xfId="16666" xr:uid="{AAB8C5D3-5F04-4862-A90F-D1600CBCD8BA}"/>
    <cellStyle name="Normal 3 2 3 3 3 3 3 2" xfId="42158" xr:uid="{335342E5-F5BE-4BE6-8CDF-E74480AD274E}"/>
    <cellStyle name="Normal 3 2 3 3 3 3 4" xfId="29567" xr:uid="{0FAFEBEC-F3EF-40AB-93A8-FDB00EC614BE}"/>
    <cellStyle name="Normal 3 2 3 3 3 4" xfId="7123" xr:uid="{26C7C558-1B80-49E8-B997-5F3DC434CA0F}"/>
    <cellStyle name="Normal 3 2 3 3 3 4 2" xfId="19805" xr:uid="{984BCAC2-1A02-40FC-9BF3-A1F5C58DE780}"/>
    <cellStyle name="Normal 3 2 3 3 3 4 2 2" xfId="45297" xr:uid="{33130C2F-17D0-4644-A253-C0928F82D305}"/>
    <cellStyle name="Normal 3 2 3 3 3 4 3" xfId="32706" xr:uid="{8D270040-AFC9-4E23-BA05-5F961723B8C5}"/>
    <cellStyle name="Normal 3 2 3 3 3 5" xfId="13527" xr:uid="{24170F61-2ADD-4EAC-AD0A-1C26631B343D}"/>
    <cellStyle name="Normal 3 2 3 3 3 5 2" xfId="39019" xr:uid="{D57CBFC3-A37A-4C69-B535-9854B68B6CD2}"/>
    <cellStyle name="Normal 3 2 3 3 3 6" xfId="26428" xr:uid="{23EC0B0F-5E72-41C8-98CE-09BF20893FE8}"/>
    <cellStyle name="Normal 3 2 3 3 4" xfId="1860" xr:uid="{7BBDC60B-4C09-49D0-82CF-1EBA30EB29D4}"/>
    <cellStyle name="Normal 3 2 3 3 4 2" xfId="5014" xr:uid="{86C4C727-1B11-4140-9AC4-B5A2A0E94EE9}"/>
    <cellStyle name="Normal 3 2 3 3 4 2 2" xfId="11307" xr:uid="{537E2B62-BE53-4788-B780-FF1768D3FE1E}"/>
    <cellStyle name="Normal 3 2 3 3 4 2 2 2" xfId="23989" xr:uid="{7DBF9C87-AC58-4434-BDB3-BD5001439DF4}"/>
    <cellStyle name="Normal 3 2 3 3 4 2 2 2 2" xfId="49481" xr:uid="{D4D67D8A-847A-4EF2-AC0E-AD56C2167C7C}"/>
    <cellStyle name="Normal 3 2 3 3 4 2 2 3" xfId="36890" xr:uid="{9905D620-6324-438B-93C3-119961C36A68}"/>
    <cellStyle name="Normal 3 2 3 3 4 2 3" xfId="17711" xr:uid="{FCD288B9-046E-494B-8455-AD224B375950}"/>
    <cellStyle name="Normal 3 2 3 3 4 2 3 2" xfId="43203" xr:uid="{D4CF2FDB-706A-4FF1-B984-D7FD66425D1F}"/>
    <cellStyle name="Normal 3 2 3 3 4 2 4" xfId="30612" xr:uid="{77C9ED21-C523-4439-AB08-6D6D0BF2EA9E}"/>
    <cellStyle name="Normal 3 2 3 3 4 3" xfId="8168" xr:uid="{A6BE62D4-0F18-4C45-BBFB-57E0F677B38E}"/>
    <cellStyle name="Normal 3 2 3 3 4 3 2" xfId="20850" xr:uid="{FC354839-0139-4216-8A8B-BCCBD938642C}"/>
    <cellStyle name="Normal 3 2 3 3 4 3 2 2" xfId="46342" xr:uid="{9921E2FD-873A-489F-B10B-095CDBCBF31E}"/>
    <cellStyle name="Normal 3 2 3 3 4 3 3" xfId="33751" xr:uid="{09899DCC-8291-4C03-8DA1-5723CBA95EC6}"/>
    <cellStyle name="Normal 3 2 3 3 4 4" xfId="14572" xr:uid="{B1C83F64-2504-489C-A363-D297052B6544}"/>
    <cellStyle name="Normal 3 2 3 3 4 4 2" xfId="40064" xr:uid="{A790530B-7700-47B8-B924-44909C61F3FA}"/>
    <cellStyle name="Normal 3 2 3 3 4 5" xfId="27473" xr:uid="{AA844487-2160-4932-819A-23ACB33A4ECB}"/>
    <cellStyle name="Normal 3 2 3 3 5" xfId="1338" xr:uid="{69D1381B-3131-4102-A3F8-6C5CABD57903}"/>
    <cellStyle name="Normal 3 2 3 3 5 2" xfId="4492" xr:uid="{1F2CB1FA-D70E-4E21-BC58-BFB13A796FDC}"/>
    <cellStyle name="Normal 3 2 3 3 5 2 2" xfId="10785" xr:uid="{F616F7ED-7D6E-4187-A057-E12508F77924}"/>
    <cellStyle name="Normal 3 2 3 3 5 2 2 2" xfId="23467" xr:uid="{B73541CE-25A2-4D69-B3C4-BB87A620948C}"/>
    <cellStyle name="Normal 3 2 3 3 5 2 2 2 2" xfId="48959" xr:uid="{1592BCAC-A9C8-46FB-B695-C237EEAE2AE5}"/>
    <cellStyle name="Normal 3 2 3 3 5 2 2 3" xfId="36368" xr:uid="{540077B9-D886-4A93-A570-F35CBBD58C4F}"/>
    <cellStyle name="Normal 3 2 3 3 5 2 3" xfId="17189" xr:uid="{28D28E9F-5A22-4E2B-8165-DFD6D0527DC1}"/>
    <cellStyle name="Normal 3 2 3 3 5 2 3 2" xfId="42681" xr:uid="{37F9A143-C7A3-48D4-BD32-3A22C13D15B6}"/>
    <cellStyle name="Normal 3 2 3 3 5 2 4" xfId="30090" xr:uid="{EE2C45EE-4B8B-4A53-AC5E-CBD5B011E404}"/>
    <cellStyle name="Normal 3 2 3 3 5 3" xfId="7646" xr:uid="{3575E146-F7B8-4CA6-AC1C-2FF6FA8E13DC}"/>
    <cellStyle name="Normal 3 2 3 3 5 3 2" xfId="20328" xr:uid="{10496BBE-948D-416D-9C26-765D9ED65DB7}"/>
    <cellStyle name="Normal 3 2 3 3 5 3 2 2" xfId="45820" xr:uid="{35AAB9CC-5A67-47B9-86B5-CA57986873AF}"/>
    <cellStyle name="Normal 3 2 3 3 5 3 3" xfId="33229" xr:uid="{7EE7C9FF-3883-4FE0-B22D-12B9D1F80D66}"/>
    <cellStyle name="Normal 3 2 3 3 5 4" xfId="14050" xr:uid="{5DD5C51F-2AD8-4FA7-B9AB-FDD0889795F5}"/>
    <cellStyle name="Normal 3 2 3 3 5 4 2" xfId="39542" xr:uid="{B5C4A497-F759-41C6-941C-1532BD2E165C}"/>
    <cellStyle name="Normal 3 2 3 3 5 5" xfId="26951" xr:uid="{B4123DA8-123A-4915-B0D5-A51D73C4F2C5}"/>
    <cellStyle name="Normal 3 2 3 3 6" xfId="2645" xr:uid="{CFFE4C5F-4BE6-4A9F-AAF9-EE93CD20AAC1}"/>
    <cellStyle name="Normal 3 2 3 3 6 2" xfId="5799" xr:uid="{40F24544-6493-4961-A92E-7A4895D71843}"/>
    <cellStyle name="Normal 3 2 3 3 6 2 2" xfId="12092" xr:uid="{04CBF146-0AA6-4EAF-A8B6-8FDB54EC844D}"/>
    <cellStyle name="Normal 3 2 3 3 6 2 2 2" xfId="24774" xr:uid="{6AFE2803-910E-495E-B7FC-F3B83ED2E8BE}"/>
    <cellStyle name="Normal 3 2 3 3 6 2 2 2 2" xfId="50266" xr:uid="{53F815EB-18F9-44D1-B7D8-D5012A64B7BD}"/>
    <cellStyle name="Normal 3 2 3 3 6 2 2 3" xfId="37675" xr:uid="{E710639A-DBB7-45A8-9FB1-65322EA0A4CC}"/>
    <cellStyle name="Normal 3 2 3 3 6 2 3" xfId="18496" xr:uid="{921D2F1D-FBA7-4C3B-89A5-750E9F299620}"/>
    <cellStyle name="Normal 3 2 3 3 6 2 3 2" xfId="43988" xr:uid="{1227BC56-B9CA-4295-A01E-B5B2A22212F9}"/>
    <cellStyle name="Normal 3 2 3 3 6 2 4" xfId="31397" xr:uid="{016E6316-B8CA-451E-BA6F-4CEE14651A5F}"/>
    <cellStyle name="Normal 3 2 3 3 6 3" xfId="8953" xr:uid="{5C102998-FE7B-4874-BB91-5E08928FFA5B}"/>
    <cellStyle name="Normal 3 2 3 3 6 3 2" xfId="21635" xr:uid="{EE74F01A-6E85-4032-B6B2-73F76CC5C591}"/>
    <cellStyle name="Normal 3 2 3 3 6 3 2 2" xfId="47127" xr:uid="{DD74CA6F-4950-4633-A21A-3ECFF9E3469D}"/>
    <cellStyle name="Normal 3 2 3 3 6 3 3" xfId="34536" xr:uid="{EB4B3030-4350-471D-8A2E-CE019DDE8B8F}"/>
    <cellStyle name="Normal 3 2 3 3 6 4" xfId="15357" xr:uid="{1BB1C5D9-735B-43D5-959D-A5BBB59E7E31}"/>
    <cellStyle name="Normal 3 2 3 3 6 4 2" xfId="40849" xr:uid="{E98AC565-7AB2-477D-B1A6-C916C0F4CCC5}"/>
    <cellStyle name="Normal 3 2 3 3 6 5" xfId="28258" xr:uid="{4F94F628-5CCB-4535-B4B2-C64325DE521E}"/>
    <cellStyle name="Normal 3 2 3 3 7" xfId="3168" xr:uid="{5D1B9535-4F2D-43AC-B69C-0E80C409E3EF}"/>
    <cellStyle name="Normal 3 2 3 3 7 2" xfId="6322" xr:uid="{FE743A98-E000-41E5-B489-754C55E606DF}"/>
    <cellStyle name="Normal 3 2 3 3 7 2 2" xfId="12615" xr:uid="{84607127-EBE4-4F1E-8FFB-16A73716180E}"/>
    <cellStyle name="Normal 3 2 3 3 7 2 2 2" xfId="25297" xr:uid="{55994976-ED01-47E6-A869-C5B8FAE63139}"/>
    <cellStyle name="Normal 3 2 3 3 7 2 2 2 2" xfId="50789" xr:uid="{601CA9A4-17DB-43F5-9A20-D0B795DF81F0}"/>
    <cellStyle name="Normal 3 2 3 3 7 2 2 3" xfId="38198" xr:uid="{9BE7F454-936B-4023-8398-710A92890E47}"/>
    <cellStyle name="Normal 3 2 3 3 7 2 3" xfId="19019" xr:uid="{82C7F2DF-4EBE-4FE2-BC29-53F77F3D43B8}"/>
    <cellStyle name="Normal 3 2 3 3 7 2 3 2" xfId="44511" xr:uid="{96A73EBF-4485-4E25-9D38-F5A78838F46E}"/>
    <cellStyle name="Normal 3 2 3 3 7 2 4" xfId="31920" xr:uid="{91B0AD7F-8C61-48EE-B707-2F78005827C5}"/>
    <cellStyle name="Normal 3 2 3 3 7 3" xfId="9476" xr:uid="{78012781-F12C-45F1-8CA5-A73FAF11617F}"/>
    <cellStyle name="Normal 3 2 3 3 7 3 2" xfId="22158" xr:uid="{8F92AD0F-A89B-4000-BCDE-C5F99267070A}"/>
    <cellStyle name="Normal 3 2 3 3 7 3 2 2" xfId="47650" xr:uid="{44B907BC-1B68-45BB-919B-92603A449E8E}"/>
    <cellStyle name="Normal 3 2 3 3 7 3 3" xfId="35059" xr:uid="{9CCC82C7-9B8E-4125-8164-45AC43481A1A}"/>
    <cellStyle name="Normal 3 2 3 3 7 4" xfId="15880" xr:uid="{09BC9A60-3E44-47F4-B172-15C00427AAD7}"/>
    <cellStyle name="Normal 3 2 3 3 7 4 2" xfId="41372" xr:uid="{E524EDEB-D8BA-4BFA-84E7-D83438BE219A}"/>
    <cellStyle name="Normal 3 2 3 3 7 5" xfId="28781" xr:uid="{BD355EAD-AB32-4446-B76F-21E2A5249252}"/>
    <cellStyle name="Normal 3 2 3 3 8" xfId="3707" xr:uid="{B1FA437C-95FF-4325-B245-0CFE7B2BBB32}"/>
    <cellStyle name="Normal 3 2 3 3 8 2" xfId="10000" xr:uid="{8C0D0AF7-826B-463E-8005-60D20F961062}"/>
    <cellStyle name="Normal 3 2 3 3 8 2 2" xfId="22682" xr:uid="{8C57F94F-CE5F-45AE-B3C5-24228E621422}"/>
    <cellStyle name="Normal 3 2 3 3 8 2 2 2" xfId="48174" xr:uid="{863A7A96-E16E-4ED9-A808-40D5DC529832}"/>
    <cellStyle name="Normal 3 2 3 3 8 2 3" xfId="35583" xr:uid="{663D1C9F-4104-4CAF-BBF6-62F45EBB9B53}"/>
    <cellStyle name="Normal 3 2 3 3 8 3" xfId="16404" xr:uid="{02308526-8172-4BEB-9604-81B18DC894FA}"/>
    <cellStyle name="Normal 3 2 3 3 8 3 2" xfId="41896" xr:uid="{19D5808D-BEA8-4293-B30B-5FBCE5696171}"/>
    <cellStyle name="Normal 3 2 3 3 8 4" xfId="29305" xr:uid="{E9A4C202-3A0E-4BFF-8954-716A76625EC4}"/>
    <cellStyle name="Normal 3 2 3 3 9" xfId="6861" xr:uid="{4FA3C079-FE50-4D7E-8B16-8AF9E5B6785E}"/>
    <cellStyle name="Normal 3 2 3 3 9 2" xfId="19543" xr:uid="{C7D58AA3-5390-486F-8822-A6C3DC01B706}"/>
    <cellStyle name="Normal 3 2 3 3 9 2 2" xfId="45035" xr:uid="{06C30972-E914-42D7-9A07-E0FDB18DC8DF}"/>
    <cellStyle name="Normal 3 2 3 3 9 3" xfId="32444" xr:uid="{FBDA7D12-18BF-4CCE-9E21-D47F76E4F349}"/>
    <cellStyle name="Normal 3 2 3 4" xfId="1016" xr:uid="{52421F23-4459-4269-AC0F-F2ED2F0A4A18}"/>
    <cellStyle name="Normal 3 2 3 4 2" xfId="2323" xr:uid="{7EB27D42-22B5-4804-8B78-2B30A9C3A947}"/>
    <cellStyle name="Normal 3 2 3 4 2 2" xfId="5477" xr:uid="{F86FBD34-C82E-4754-AF98-F8A774009B3F}"/>
    <cellStyle name="Normal 3 2 3 4 2 2 2" xfId="11770" xr:uid="{2C046553-9C50-4FE3-8AFA-9D4B42BA174C}"/>
    <cellStyle name="Normal 3 2 3 4 2 2 2 2" xfId="24452" xr:uid="{E597F079-C0F1-4F35-BD4A-1491E44F5BF8}"/>
    <cellStyle name="Normal 3 2 3 4 2 2 2 2 2" xfId="49944" xr:uid="{22C80F65-CE2D-467A-A5DA-7E4DFC1FD36D}"/>
    <cellStyle name="Normal 3 2 3 4 2 2 2 3" xfId="37353" xr:uid="{A28A90F4-7DE5-472B-865D-E96BDA7A84E0}"/>
    <cellStyle name="Normal 3 2 3 4 2 2 3" xfId="18174" xr:uid="{FD8E2569-540F-4CCE-854A-F9BF5A3874FD}"/>
    <cellStyle name="Normal 3 2 3 4 2 2 3 2" xfId="43666" xr:uid="{A2E64432-85A0-44C8-BB55-CFF61EC6675D}"/>
    <cellStyle name="Normal 3 2 3 4 2 2 4" xfId="31075" xr:uid="{E1FF70CA-0168-43A4-9FFB-045777F8BEC8}"/>
    <cellStyle name="Normal 3 2 3 4 2 3" xfId="8631" xr:uid="{B03CF433-6464-444B-B1FA-9DE333D97175}"/>
    <cellStyle name="Normal 3 2 3 4 2 3 2" xfId="21313" xr:uid="{2497CCBE-4513-47F5-B1AA-7FE8D6322FE8}"/>
    <cellStyle name="Normal 3 2 3 4 2 3 2 2" xfId="46805" xr:uid="{715AE541-FED5-4243-9F6D-138DBE5015B5}"/>
    <cellStyle name="Normal 3 2 3 4 2 3 3" xfId="34214" xr:uid="{81FF7272-4554-426C-BDBE-542C8C6A1969}"/>
    <cellStyle name="Normal 3 2 3 4 2 4" xfId="15035" xr:uid="{39F81678-BDBD-47E8-8206-B4C39D5C96A0}"/>
    <cellStyle name="Normal 3 2 3 4 2 4 2" xfId="40527" xr:uid="{A157D7C2-15A1-4A42-84E9-B3A20034B17A}"/>
    <cellStyle name="Normal 3 2 3 4 2 5" xfId="27936" xr:uid="{1BC8258B-2576-4080-B3FC-8AF003F952B5}"/>
    <cellStyle name="Normal 3 2 3 4 3" xfId="1540" xr:uid="{6317F359-44CC-469F-9807-C270E1774A1F}"/>
    <cellStyle name="Normal 3 2 3 4 3 2" xfId="4694" xr:uid="{A06A1386-586E-424F-81FB-289BA2EB6D51}"/>
    <cellStyle name="Normal 3 2 3 4 3 2 2" xfId="10987" xr:uid="{59579B17-8104-4CE9-AB67-5630F96FDECD}"/>
    <cellStyle name="Normal 3 2 3 4 3 2 2 2" xfId="23669" xr:uid="{A9BFEE12-2EE9-438B-8C24-35E1DE200955}"/>
    <cellStyle name="Normal 3 2 3 4 3 2 2 2 2" xfId="49161" xr:uid="{813FECDA-73B4-4F66-A535-DC09E94607CA}"/>
    <cellStyle name="Normal 3 2 3 4 3 2 2 3" xfId="36570" xr:uid="{EC6FEC35-66D1-44D1-A318-89F9ECF83237}"/>
    <cellStyle name="Normal 3 2 3 4 3 2 3" xfId="17391" xr:uid="{7C139245-5B4A-410D-A2B0-B50A280470D6}"/>
    <cellStyle name="Normal 3 2 3 4 3 2 3 2" xfId="42883" xr:uid="{64BA85CA-47C1-4591-88AD-9C1E675366ED}"/>
    <cellStyle name="Normal 3 2 3 4 3 2 4" xfId="30292" xr:uid="{B787D2BE-1DA1-4941-950B-D1838E03D99E}"/>
    <cellStyle name="Normal 3 2 3 4 3 3" xfId="7848" xr:uid="{737EA2A1-F1DB-4AD4-95E8-828662053DF1}"/>
    <cellStyle name="Normal 3 2 3 4 3 3 2" xfId="20530" xr:uid="{A11382ED-76FE-4B93-B40F-1BD0DB02D111}"/>
    <cellStyle name="Normal 3 2 3 4 3 3 2 2" xfId="46022" xr:uid="{AF6328D4-4498-46FE-8F84-E7C4654E5154}"/>
    <cellStyle name="Normal 3 2 3 4 3 3 3" xfId="33431" xr:uid="{845ABD59-D3CB-43C7-981B-6720414192CF}"/>
    <cellStyle name="Normal 3 2 3 4 3 4" xfId="14252" xr:uid="{EE25E20C-5798-437D-B89E-0A4C2D7C526A}"/>
    <cellStyle name="Normal 3 2 3 4 3 4 2" xfId="39744" xr:uid="{06CCC695-0A6A-4D56-81DE-6B60562E6ABF}"/>
    <cellStyle name="Normal 3 2 3 4 3 5" xfId="27153" xr:uid="{ED294BBE-DFFE-4DE8-81AC-86296B115D75}"/>
    <cellStyle name="Normal 3 2 3 4 4" xfId="2847" xr:uid="{137C014F-B6A6-409B-AA14-644AE1273749}"/>
    <cellStyle name="Normal 3 2 3 4 4 2" xfId="6001" xr:uid="{1BF0233A-D254-4928-AE75-08432DF6E2BA}"/>
    <cellStyle name="Normal 3 2 3 4 4 2 2" xfId="12294" xr:uid="{B025CCA3-0207-4CF6-9D67-57AD04D38481}"/>
    <cellStyle name="Normal 3 2 3 4 4 2 2 2" xfId="24976" xr:uid="{870354D5-EF09-43F8-A2F2-168632D95F0F}"/>
    <cellStyle name="Normal 3 2 3 4 4 2 2 2 2" xfId="50468" xr:uid="{FEB07FCB-5B7E-4D0A-9FB4-01B8ED2524D8}"/>
    <cellStyle name="Normal 3 2 3 4 4 2 2 3" xfId="37877" xr:uid="{4A6356E1-D201-4BFC-88BE-0C942AC4F54D}"/>
    <cellStyle name="Normal 3 2 3 4 4 2 3" xfId="18698" xr:uid="{3285A4E1-38DF-4F76-BD44-1DB5F6B97DF3}"/>
    <cellStyle name="Normal 3 2 3 4 4 2 3 2" xfId="44190" xr:uid="{46FDAC7C-5EAD-46A7-A4DB-862096CD7839}"/>
    <cellStyle name="Normal 3 2 3 4 4 2 4" xfId="31599" xr:uid="{11385C30-57BE-421E-B7C5-7441D7EBBBF2}"/>
    <cellStyle name="Normal 3 2 3 4 4 3" xfId="9155" xr:uid="{C29F1C7B-D112-4801-A29C-D35821A8BFE6}"/>
    <cellStyle name="Normal 3 2 3 4 4 3 2" xfId="21837" xr:uid="{97F1B3F6-40F9-42FD-9C5E-BB6354E8927D}"/>
    <cellStyle name="Normal 3 2 3 4 4 3 2 2" xfId="47329" xr:uid="{CE17C3CD-3E68-4742-B7A8-F1B8200573AF}"/>
    <cellStyle name="Normal 3 2 3 4 4 3 3" xfId="34738" xr:uid="{9A61C142-8092-48FF-A889-B24B40E9D6DC}"/>
    <cellStyle name="Normal 3 2 3 4 4 4" xfId="15559" xr:uid="{F527437F-E656-45C6-997F-1F0D961FE8C4}"/>
    <cellStyle name="Normal 3 2 3 4 4 4 2" xfId="41051" xr:uid="{C6168DA1-50BE-4EBB-9D46-1DA7DBC59044}"/>
    <cellStyle name="Normal 3 2 3 4 4 5" xfId="28460" xr:uid="{45FCD01C-8A0F-4657-A957-0C62A3D8C4B6}"/>
    <cellStyle name="Normal 3 2 3 4 5" xfId="3370" xr:uid="{94141832-174C-485E-A604-49BCE3C34752}"/>
    <cellStyle name="Normal 3 2 3 4 5 2" xfId="6524" xr:uid="{8663BA80-5A7A-4747-A170-A44D71DBC853}"/>
    <cellStyle name="Normal 3 2 3 4 5 2 2" xfId="12817" xr:uid="{222887C6-BF04-4F74-9B6D-A078BE1225A7}"/>
    <cellStyle name="Normal 3 2 3 4 5 2 2 2" xfId="25499" xr:uid="{8F0E4E19-2D8C-41BD-82B3-06AC674E3B88}"/>
    <cellStyle name="Normal 3 2 3 4 5 2 2 2 2" xfId="50991" xr:uid="{AEAF474E-9249-4317-B057-8A9D628DF4D8}"/>
    <cellStyle name="Normal 3 2 3 4 5 2 2 3" xfId="38400" xr:uid="{BD85BCFE-CB07-40EE-BF60-8EB2A2FE478D}"/>
    <cellStyle name="Normal 3 2 3 4 5 2 3" xfId="19221" xr:uid="{4B1CC891-E227-45F4-8F04-BEA0CAD5687D}"/>
    <cellStyle name="Normal 3 2 3 4 5 2 3 2" xfId="44713" xr:uid="{DD90F0E1-3D8B-4FA1-9397-3467415B4C4B}"/>
    <cellStyle name="Normal 3 2 3 4 5 2 4" xfId="32122" xr:uid="{3B6611BE-BE01-4B30-82DA-6FD79DFA08CD}"/>
    <cellStyle name="Normal 3 2 3 4 5 3" xfId="9678" xr:uid="{08A66E1C-FC64-4634-AED4-58DFE3C70C16}"/>
    <cellStyle name="Normal 3 2 3 4 5 3 2" xfId="22360" xr:uid="{CE36A54B-AEBD-4BA9-81C6-B4630A091C56}"/>
    <cellStyle name="Normal 3 2 3 4 5 3 2 2" xfId="47852" xr:uid="{B39FE5EB-BD61-4C7D-9C32-5EA4C6B7554B}"/>
    <cellStyle name="Normal 3 2 3 4 5 3 3" xfId="35261" xr:uid="{8E27CA60-F96D-49B8-9456-C3458824FBE6}"/>
    <cellStyle name="Normal 3 2 3 4 5 4" xfId="16082" xr:uid="{73305408-A508-4FE6-B33E-48C30BEFC3BD}"/>
    <cellStyle name="Normal 3 2 3 4 5 4 2" xfId="41574" xr:uid="{8B473688-8E8D-4907-A925-42AC5E8976BE}"/>
    <cellStyle name="Normal 3 2 3 4 5 5" xfId="28983" xr:uid="{BB2511F1-917A-44D4-9668-0BB8D4D77B32}"/>
    <cellStyle name="Normal 3 2 3 4 6" xfId="4170" xr:uid="{CDFA687C-A798-4751-98DF-F9A8316E9344}"/>
    <cellStyle name="Normal 3 2 3 4 6 2" xfId="10463" xr:uid="{67FCC268-3E9A-4C0F-A5F8-3A21A39CA69B}"/>
    <cellStyle name="Normal 3 2 3 4 6 2 2" xfId="23145" xr:uid="{7316F823-6004-4652-8B1D-38EE35A82016}"/>
    <cellStyle name="Normal 3 2 3 4 6 2 2 2" xfId="48637" xr:uid="{D8B53947-B2FE-4D69-AC8C-662A0840555E}"/>
    <cellStyle name="Normal 3 2 3 4 6 2 3" xfId="36046" xr:uid="{8C173664-78C2-4693-8A58-B77B4956E31C}"/>
    <cellStyle name="Normal 3 2 3 4 6 3" xfId="16867" xr:uid="{69BD8CAC-F893-4E62-9363-9BA885012E66}"/>
    <cellStyle name="Normal 3 2 3 4 6 3 2" xfId="42359" xr:uid="{555C2157-96BE-4CDD-AD1E-0ABB2FE3D440}"/>
    <cellStyle name="Normal 3 2 3 4 6 4" xfId="29768" xr:uid="{F83ACD88-3757-4336-8182-5F50F321C2C4}"/>
    <cellStyle name="Normal 3 2 3 4 7" xfId="7324" xr:uid="{FF95F16D-28A0-4DC9-853C-6FDF04D989E8}"/>
    <cellStyle name="Normal 3 2 3 4 7 2" xfId="20006" xr:uid="{39F941CC-1DFE-4063-97EE-2897C52EF15D}"/>
    <cellStyle name="Normal 3 2 3 4 7 2 2" xfId="45498" xr:uid="{4120CE91-623C-40DD-861A-484CE29CE0E1}"/>
    <cellStyle name="Normal 3 2 3 4 7 3" xfId="32907" xr:uid="{3636F540-DEBA-4B6B-B8EF-61F7F8983CDF}"/>
    <cellStyle name="Normal 3 2 3 4 8" xfId="13728" xr:uid="{4FD7AFA8-EEAC-4EA0-9759-C17C527E8D80}"/>
    <cellStyle name="Normal 3 2 3 4 8 2" xfId="39220" xr:uid="{84BF35D2-9FA9-40C5-B91E-A283A629AA38}"/>
    <cellStyle name="Normal 3 2 3 4 9" xfId="26629" xr:uid="{6F7C9512-1057-4653-80DE-B5EFA7F06609}"/>
    <cellStyle name="Normal 3 2 3 5" xfId="756" xr:uid="{F74037DE-2B9A-43AC-B639-A9C90EDF0DEC}"/>
    <cellStyle name="Normal 3 2 3 5 2" xfId="2063" xr:uid="{DDA608A9-6460-4E2E-8B19-C1A9959C8B94}"/>
    <cellStyle name="Normal 3 2 3 5 2 2" xfId="5217" xr:uid="{7D71BD75-4116-43CB-87E3-21EC06685720}"/>
    <cellStyle name="Normal 3 2 3 5 2 2 2" xfId="11510" xr:uid="{55018B87-A2C9-416F-9A64-864E36EC09E9}"/>
    <cellStyle name="Normal 3 2 3 5 2 2 2 2" xfId="24192" xr:uid="{0CC6081E-E31E-4EA4-8E49-961F697CEB83}"/>
    <cellStyle name="Normal 3 2 3 5 2 2 2 2 2" xfId="49684" xr:uid="{B2004D0B-BB93-4323-B893-E64A3660DD98}"/>
    <cellStyle name="Normal 3 2 3 5 2 2 2 3" xfId="37093" xr:uid="{B08AA357-1957-47DE-9018-1D60858C5DC3}"/>
    <cellStyle name="Normal 3 2 3 5 2 2 3" xfId="17914" xr:uid="{A43C3D63-EFF1-43A5-8FA0-7846C68598FB}"/>
    <cellStyle name="Normal 3 2 3 5 2 2 3 2" xfId="43406" xr:uid="{DFB9D8E2-67DC-47DF-8958-7F99943CE966}"/>
    <cellStyle name="Normal 3 2 3 5 2 2 4" xfId="30815" xr:uid="{824CAB52-9B4B-437D-9424-FE98B066F179}"/>
    <cellStyle name="Normal 3 2 3 5 2 3" xfId="8371" xr:uid="{5B6E3020-F122-46FC-974A-A8C382E18F4F}"/>
    <cellStyle name="Normal 3 2 3 5 2 3 2" xfId="21053" xr:uid="{A88CEA0D-B021-42A7-A595-EA660EB93BE1}"/>
    <cellStyle name="Normal 3 2 3 5 2 3 2 2" xfId="46545" xr:uid="{91C95269-A929-462C-8D3B-7D004870A8E3}"/>
    <cellStyle name="Normal 3 2 3 5 2 3 3" xfId="33954" xr:uid="{C2624584-6543-4156-AE39-E9FC24F98C6E}"/>
    <cellStyle name="Normal 3 2 3 5 2 4" xfId="14775" xr:uid="{1C5CC82D-B792-46C1-9162-4DD397AE2947}"/>
    <cellStyle name="Normal 3 2 3 5 2 4 2" xfId="40267" xr:uid="{873E0B6E-AB0F-4D24-B742-FEAB0BDE5BB3}"/>
    <cellStyle name="Normal 3 2 3 5 2 5" xfId="27676" xr:uid="{B0ECE3EE-C439-4292-A030-359C74A4AA8B}"/>
    <cellStyle name="Normal 3 2 3 5 3" xfId="3910" xr:uid="{7D4E7AAD-7481-457B-9681-C74E8ADF1B52}"/>
    <cellStyle name="Normal 3 2 3 5 3 2" xfId="10203" xr:uid="{BD394291-77FF-4FAB-8515-61D39588EF12}"/>
    <cellStyle name="Normal 3 2 3 5 3 2 2" xfId="22885" xr:uid="{AA6575E3-AE1C-4DB4-83C0-F5B667AF9667}"/>
    <cellStyle name="Normal 3 2 3 5 3 2 2 2" xfId="48377" xr:uid="{A60EB315-1CFD-432C-B6B1-8053176E787E}"/>
    <cellStyle name="Normal 3 2 3 5 3 2 3" xfId="35786" xr:uid="{53D87709-852D-4654-A9BA-857CCEBA2812}"/>
    <cellStyle name="Normal 3 2 3 5 3 3" xfId="16607" xr:uid="{875AF205-216C-482B-BD04-CEE1694BEC6C}"/>
    <cellStyle name="Normal 3 2 3 5 3 3 2" xfId="42099" xr:uid="{12750A1C-D655-425B-89FE-918E018F466F}"/>
    <cellStyle name="Normal 3 2 3 5 3 4" xfId="29508" xr:uid="{DE89A6BE-738D-4F88-87B4-55F76D73E43B}"/>
    <cellStyle name="Normal 3 2 3 5 4" xfId="7064" xr:uid="{1223C799-EA12-4361-947C-3C94BB312EDD}"/>
    <cellStyle name="Normal 3 2 3 5 4 2" xfId="19746" xr:uid="{967C6A45-74D2-4D48-A5C0-5495ECD1FCB2}"/>
    <cellStyle name="Normal 3 2 3 5 4 2 2" xfId="45238" xr:uid="{772C4E8A-7D1F-4E8B-A9B0-9AC3FEB7A019}"/>
    <cellStyle name="Normal 3 2 3 5 4 3" xfId="32647" xr:uid="{0CB0C8D4-1D24-4E53-B4BF-D356BA3F0558}"/>
    <cellStyle name="Normal 3 2 3 5 5" xfId="13468" xr:uid="{10E78E2D-376D-49A9-B141-EE000BD2501E}"/>
    <cellStyle name="Normal 3 2 3 5 5 2" xfId="38960" xr:uid="{2B45EEAB-0A63-47DE-BE59-AE714B5875CE}"/>
    <cellStyle name="Normal 3 2 3 5 6" xfId="26369" xr:uid="{FCA24BCC-55C6-4C3C-8A14-49445DE168CF}"/>
    <cellStyle name="Normal 3 2 3 6" xfId="1801" xr:uid="{CC240FF1-AF75-4C1B-B280-077166D46FEC}"/>
    <cellStyle name="Normal 3 2 3 6 2" xfId="4955" xr:uid="{E8046727-4E89-49BE-903F-22FFF9B9738E}"/>
    <cellStyle name="Normal 3 2 3 6 2 2" xfId="11248" xr:uid="{31C3627C-24ED-4004-A89D-AFA55D747799}"/>
    <cellStyle name="Normal 3 2 3 6 2 2 2" xfId="23930" xr:uid="{98CE42E2-CB41-47F1-B978-EDD125FA1111}"/>
    <cellStyle name="Normal 3 2 3 6 2 2 2 2" xfId="49422" xr:uid="{95153A4B-2CC2-4563-BEDC-69C86DF1E03E}"/>
    <cellStyle name="Normal 3 2 3 6 2 2 3" xfId="36831" xr:uid="{EE87538E-0D91-4BD6-81A7-C2154C291F07}"/>
    <cellStyle name="Normal 3 2 3 6 2 3" xfId="17652" xr:uid="{5908764F-D3ED-45DE-B09F-DDDAEA2E98C3}"/>
    <cellStyle name="Normal 3 2 3 6 2 3 2" xfId="43144" xr:uid="{E506A000-1E24-46CA-B506-5F6F16D9E62C}"/>
    <cellStyle name="Normal 3 2 3 6 2 4" xfId="30553" xr:uid="{57E643EA-03A3-46BD-B956-ABD575F297FF}"/>
    <cellStyle name="Normal 3 2 3 6 3" xfId="8109" xr:uid="{564EDDF3-12A8-400F-ACD3-9D5A28530652}"/>
    <cellStyle name="Normal 3 2 3 6 3 2" xfId="20791" xr:uid="{47CA591B-6138-4949-92EB-0A823EA0E540}"/>
    <cellStyle name="Normal 3 2 3 6 3 2 2" xfId="46283" xr:uid="{295A8FA3-C929-4F3D-89F1-CE9D445A3EF0}"/>
    <cellStyle name="Normal 3 2 3 6 3 3" xfId="33692" xr:uid="{B74844EF-6D9B-4410-A7C1-29470C6DC489}"/>
    <cellStyle name="Normal 3 2 3 6 4" xfId="14513" xr:uid="{59D16521-C611-41FF-ACE5-A51D5C02BAD1}"/>
    <cellStyle name="Normal 3 2 3 6 4 2" xfId="40005" xr:uid="{5F5A74B3-99FE-4EEC-8436-4B63CD2643BE}"/>
    <cellStyle name="Normal 3 2 3 6 5" xfId="27414" xr:uid="{1BD7E064-CD64-4F4F-9A6B-2BB366C98DF9}"/>
    <cellStyle name="Normal 3 2 3 7" xfId="1279" xr:uid="{F3E5437F-C7A4-42C8-B1B7-A4A1A3897316}"/>
    <cellStyle name="Normal 3 2 3 7 2" xfId="4433" xr:uid="{CD8867C5-EC8D-4B1F-99DF-F43D6257B917}"/>
    <cellStyle name="Normal 3 2 3 7 2 2" xfId="10726" xr:uid="{2ED8A7B9-E7CB-464D-B53F-2DE0991175C2}"/>
    <cellStyle name="Normal 3 2 3 7 2 2 2" xfId="23408" xr:uid="{50232D77-E161-44BB-8243-06BB116EB59F}"/>
    <cellStyle name="Normal 3 2 3 7 2 2 2 2" xfId="48900" xr:uid="{48850B9D-30D8-445D-88AD-B05CAE91B285}"/>
    <cellStyle name="Normal 3 2 3 7 2 2 3" xfId="36309" xr:uid="{C5A384A1-F811-4F71-A02A-66B474532330}"/>
    <cellStyle name="Normal 3 2 3 7 2 3" xfId="17130" xr:uid="{78F88FCB-87B9-468C-9AAE-0C8518E1BD21}"/>
    <cellStyle name="Normal 3 2 3 7 2 3 2" xfId="42622" xr:uid="{216EA236-A070-4626-B444-01BF3CF3E820}"/>
    <cellStyle name="Normal 3 2 3 7 2 4" xfId="30031" xr:uid="{5CAEB9AD-3E0C-46C4-BE79-AA0047349840}"/>
    <cellStyle name="Normal 3 2 3 7 3" xfId="7587" xr:uid="{CF94784A-8C38-4693-8C9C-D79654349795}"/>
    <cellStyle name="Normal 3 2 3 7 3 2" xfId="20269" xr:uid="{6D2B34A7-53A8-4F39-BF20-67D4DF2248D6}"/>
    <cellStyle name="Normal 3 2 3 7 3 2 2" xfId="45761" xr:uid="{C86513CC-CAD1-4545-B520-2B0B3085D048}"/>
    <cellStyle name="Normal 3 2 3 7 3 3" xfId="33170" xr:uid="{D369E88C-57FD-4713-95FC-2E8A08182C30}"/>
    <cellStyle name="Normal 3 2 3 7 4" xfId="13991" xr:uid="{EB778337-01FC-4950-8AFC-71956ECDB1D3}"/>
    <cellStyle name="Normal 3 2 3 7 4 2" xfId="39483" xr:uid="{594A324C-5308-4760-A7E4-866862FFD53A}"/>
    <cellStyle name="Normal 3 2 3 7 5" xfId="26892" xr:uid="{112E0C70-605F-4EF4-B1B2-BDD3D3691AE4}"/>
    <cellStyle name="Normal 3 2 3 8" xfId="2586" xr:uid="{392FAC9E-B2FD-47A5-BD2F-3BC74250C7D4}"/>
    <cellStyle name="Normal 3 2 3 8 2" xfId="5740" xr:uid="{6D48FE23-3402-4F57-9A70-746CDBEFE95D}"/>
    <cellStyle name="Normal 3 2 3 8 2 2" xfId="12033" xr:uid="{07874181-33CC-47FC-ADDD-EB8AFC2E9697}"/>
    <cellStyle name="Normal 3 2 3 8 2 2 2" xfId="24715" xr:uid="{FB8435DD-A91D-443B-96CB-CBE2B5B6FA0A}"/>
    <cellStyle name="Normal 3 2 3 8 2 2 2 2" xfId="50207" xr:uid="{9852403E-1EC6-4765-9119-9616BF5ACF8C}"/>
    <cellStyle name="Normal 3 2 3 8 2 2 3" xfId="37616" xr:uid="{A364956E-8836-4D7D-ACBF-C770F2A2EBBD}"/>
    <cellStyle name="Normal 3 2 3 8 2 3" xfId="18437" xr:uid="{E3DE0C49-EF72-45DF-8DFE-DF1DF127E5DE}"/>
    <cellStyle name="Normal 3 2 3 8 2 3 2" xfId="43929" xr:uid="{A02ADFD8-2C46-4DC2-BA82-8250F5E03854}"/>
    <cellStyle name="Normal 3 2 3 8 2 4" xfId="31338" xr:uid="{15B2B050-AB24-45C5-AB8B-E369B4099491}"/>
    <cellStyle name="Normal 3 2 3 8 3" xfId="8894" xr:uid="{172E88D6-CFFC-46F9-96E1-0091E74ABC03}"/>
    <cellStyle name="Normal 3 2 3 8 3 2" xfId="21576" xr:uid="{A29C34B0-2087-4A33-98DC-B116896E5C7A}"/>
    <cellStyle name="Normal 3 2 3 8 3 2 2" xfId="47068" xr:uid="{2B550B20-4ABF-4EBD-A472-E999553C372A}"/>
    <cellStyle name="Normal 3 2 3 8 3 3" xfId="34477" xr:uid="{A59991FB-DFE7-4726-A9F2-0AF6CA90944B}"/>
    <cellStyle name="Normal 3 2 3 8 4" xfId="15298" xr:uid="{C8DF4558-4FE5-4126-9141-D7B808F6CDC6}"/>
    <cellStyle name="Normal 3 2 3 8 4 2" xfId="40790" xr:uid="{93244E6F-F46B-4346-92DD-7871731F617E}"/>
    <cellStyle name="Normal 3 2 3 8 5" xfId="28199" xr:uid="{BC67A32C-0356-487C-8420-848B6052CCC0}"/>
    <cellStyle name="Normal 3 2 3 9" xfId="3109" xr:uid="{5D30370F-E1B1-47C1-A0C2-F2049287E06E}"/>
    <cellStyle name="Normal 3 2 3 9 2" xfId="6263" xr:uid="{F2440409-C61A-4B4D-B4FD-88953066833C}"/>
    <cellStyle name="Normal 3 2 3 9 2 2" xfId="12556" xr:uid="{55B9A719-C9E2-4FB1-8858-A4FF84AC6A85}"/>
    <cellStyle name="Normal 3 2 3 9 2 2 2" xfId="25238" xr:uid="{A503A970-FC5C-4ED3-8435-39B3F6843182}"/>
    <cellStyle name="Normal 3 2 3 9 2 2 2 2" xfId="50730" xr:uid="{0FCACBCE-A47E-4869-8D7F-9AE4520EB219}"/>
    <cellStyle name="Normal 3 2 3 9 2 2 3" xfId="38139" xr:uid="{35C524B8-4CA5-4C8A-A760-DECBE326EF37}"/>
    <cellStyle name="Normal 3 2 3 9 2 3" xfId="18960" xr:uid="{57DED51F-E250-4FAA-93A9-C89CDFC17F42}"/>
    <cellStyle name="Normal 3 2 3 9 2 3 2" xfId="44452" xr:uid="{B61F5EBA-6A7B-417A-90CB-CC3601267DD5}"/>
    <cellStyle name="Normal 3 2 3 9 2 4" xfId="31861" xr:uid="{F148D61C-2347-4342-8AD9-4DE36D7BDCDB}"/>
    <cellStyle name="Normal 3 2 3 9 3" xfId="9417" xr:uid="{ABD1F179-80F6-4B83-86D1-3AB21E0556D9}"/>
    <cellStyle name="Normal 3 2 3 9 3 2" xfId="22099" xr:uid="{938CC425-A4B5-442C-98C4-897A26C79832}"/>
    <cellStyle name="Normal 3 2 3 9 3 2 2" xfId="47591" xr:uid="{5947A46B-81BB-4031-9F03-F1304D238B30}"/>
    <cellStyle name="Normal 3 2 3 9 3 3" xfId="35000" xr:uid="{AF1301E7-04E7-4B33-8CD8-E290C9FB23A2}"/>
    <cellStyle name="Normal 3 2 3 9 4" xfId="15821" xr:uid="{9FD64B3F-7953-4C34-978F-DB1539B6419F}"/>
    <cellStyle name="Normal 3 2 3 9 4 2" xfId="41313" xr:uid="{7A99AC32-07AB-44D9-9BBB-5ACCB269B200}"/>
    <cellStyle name="Normal 3 2 3 9 5" xfId="28722" xr:uid="{4A92E44F-06FF-412D-84B2-3CC5CE146D73}"/>
    <cellStyle name="Normal 3 2 4" xfId="460" xr:uid="{B301BB12-6307-47DA-8245-B9D5A5113BE5}"/>
    <cellStyle name="Normal 3 2 4 10" xfId="6783" xr:uid="{7AAD13E8-AE0C-4155-AE42-7D234FFEE911}"/>
    <cellStyle name="Normal 3 2 4 10 2" xfId="19465" xr:uid="{6250203B-0DC9-417C-817C-09F323CDE51D}"/>
    <cellStyle name="Normal 3 2 4 10 2 2" xfId="44957" xr:uid="{0A479594-E01C-4861-BD9B-8E7B7FA6C9C2}"/>
    <cellStyle name="Normal 3 2 4 10 3" xfId="32366" xr:uid="{F2D1EC78-0878-41A5-9632-68F8D7F7916E}"/>
    <cellStyle name="Normal 3 2 4 11" xfId="13187" xr:uid="{AAFB6EC1-F64B-4D7B-A51D-3463F45C597A}"/>
    <cellStyle name="Normal 3 2 4 11 2" xfId="38679" xr:uid="{3B567679-A681-4C6F-932B-3BC203E82DA8}"/>
    <cellStyle name="Normal 3 2 4 12" xfId="26088" xr:uid="{B5CACF8F-E1BE-4AD6-8308-79E3F6ADC63E}"/>
    <cellStyle name="Normal 3 2 4 2" xfId="619" xr:uid="{C0368EB7-73CF-497E-A4E4-601F3BE3EF06}"/>
    <cellStyle name="Normal 3 2 4 2 10" xfId="13346" xr:uid="{4E7BE061-4217-4E1C-B771-C836A2A85651}"/>
    <cellStyle name="Normal 3 2 4 2 10 2" xfId="38838" xr:uid="{5F065039-AE10-4166-A845-7F0FEF0DAAA5}"/>
    <cellStyle name="Normal 3 2 4 2 11" xfId="26247" xr:uid="{661DCAB2-EDB1-421B-8768-C21EB0EE8213}"/>
    <cellStyle name="Normal 3 2 4 2 2" xfId="1156" xr:uid="{4221A2BB-5080-40B0-9F16-CEA92F0423B5}"/>
    <cellStyle name="Normal 3 2 4 2 2 2" xfId="2463" xr:uid="{FF1B5235-1FBC-4D1F-85D3-454AF9798125}"/>
    <cellStyle name="Normal 3 2 4 2 2 2 2" xfId="5617" xr:uid="{9AE2C2AF-3190-4180-A7DE-88B4D3D66342}"/>
    <cellStyle name="Normal 3 2 4 2 2 2 2 2" xfId="11910" xr:uid="{DF0582DC-702B-46AF-98AA-0A44869165C3}"/>
    <cellStyle name="Normal 3 2 4 2 2 2 2 2 2" xfId="24592" xr:uid="{E9EACB76-61A8-46DF-A268-DC7F41308D58}"/>
    <cellStyle name="Normal 3 2 4 2 2 2 2 2 2 2" xfId="50084" xr:uid="{8944C15C-A819-43A0-BD8B-7ACCF0F15E17}"/>
    <cellStyle name="Normal 3 2 4 2 2 2 2 2 3" xfId="37493" xr:uid="{500E8380-DEB0-4013-B5D3-766BEB47B40A}"/>
    <cellStyle name="Normal 3 2 4 2 2 2 2 3" xfId="18314" xr:uid="{417B9224-568D-41E9-836C-2D5DCB0BEB07}"/>
    <cellStyle name="Normal 3 2 4 2 2 2 2 3 2" xfId="43806" xr:uid="{D9C44FA3-3BDC-4641-84B2-F62D250959F1}"/>
    <cellStyle name="Normal 3 2 4 2 2 2 2 4" xfId="31215" xr:uid="{C88E491D-0F29-47F0-9E0A-F1AEC8DC2B1C}"/>
    <cellStyle name="Normal 3 2 4 2 2 2 3" xfId="8771" xr:uid="{660BE96F-88CF-441E-9A86-C1756C5DC911}"/>
    <cellStyle name="Normal 3 2 4 2 2 2 3 2" xfId="21453" xr:uid="{E950B27E-113E-4C54-BEBE-7EC38DC78819}"/>
    <cellStyle name="Normal 3 2 4 2 2 2 3 2 2" xfId="46945" xr:uid="{33FCE2E3-40C7-473C-BDC7-E1944A121BC4}"/>
    <cellStyle name="Normal 3 2 4 2 2 2 3 3" xfId="34354" xr:uid="{4C103275-5285-4CD0-949B-EC57BB5B8DC8}"/>
    <cellStyle name="Normal 3 2 4 2 2 2 4" xfId="15175" xr:uid="{0166EB37-E180-4BED-BB43-7F74978E8EE6}"/>
    <cellStyle name="Normal 3 2 4 2 2 2 4 2" xfId="40667" xr:uid="{AE7E8931-9299-4EF6-AB8D-6A602F48B7C6}"/>
    <cellStyle name="Normal 3 2 4 2 2 2 5" xfId="28076" xr:uid="{FBB7439A-48B5-41F2-B0C5-A5B45752E3D1}"/>
    <cellStyle name="Normal 3 2 4 2 2 3" xfId="1680" xr:uid="{FF1671A7-B526-495F-AB71-DA15DC0FD7AD}"/>
    <cellStyle name="Normal 3 2 4 2 2 3 2" xfId="4834" xr:uid="{7760EB40-DB8D-42A7-A485-0692AABE6539}"/>
    <cellStyle name="Normal 3 2 4 2 2 3 2 2" xfId="11127" xr:uid="{0DE5E08B-D5CF-4D73-8413-C5E5875E956C}"/>
    <cellStyle name="Normal 3 2 4 2 2 3 2 2 2" xfId="23809" xr:uid="{0EE6E874-385A-454C-A5D5-0358D327FA70}"/>
    <cellStyle name="Normal 3 2 4 2 2 3 2 2 2 2" xfId="49301" xr:uid="{E962680B-50CF-4D2E-AB89-306A76E29956}"/>
    <cellStyle name="Normal 3 2 4 2 2 3 2 2 3" xfId="36710" xr:uid="{D21C322E-3FD0-434E-B670-3FE5E1EF2496}"/>
    <cellStyle name="Normal 3 2 4 2 2 3 2 3" xfId="17531" xr:uid="{E12BB466-522F-479A-B42B-D9FB1B1361D4}"/>
    <cellStyle name="Normal 3 2 4 2 2 3 2 3 2" xfId="43023" xr:uid="{E2E4EBA4-CD11-4269-8383-EE5C8AC30B23}"/>
    <cellStyle name="Normal 3 2 4 2 2 3 2 4" xfId="30432" xr:uid="{F4532F8B-1059-4936-A969-9781C24D5818}"/>
    <cellStyle name="Normal 3 2 4 2 2 3 3" xfId="7988" xr:uid="{376775E2-4E30-45F7-9D72-651800B5371D}"/>
    <cellStyle name="Normal 3 2 4 2 2 3 3 2" xfId="20670" xr:uid="{B2217CB3-B42D-4EFF-BA32-21157351252C}"/>
    <cellStyle name="Normal 3 2 4 2 2 3 3 2 2" xfId="46162" xr:uid="{FDB5F3D9-459A-4E74-A11E-709AA0452018}"/>
    <cellStyle name="Normal 3 2 4 2 2 3 3 3" xfId="33571" xr:uid="{AEC9BD35-E375-4CDC-A9D8-A7966F03BA65}"/>
    <cellStyle name="Normal 3 2 4 2 2 3 4" xfId="14392" xr:uid="{284237AE-CC3C-4121-A98C-71DD41D34D5C}"/>
    <cellStyle name="Normal 3 2 4 2 2 3 4 2" xfId="39884" xr:uid="{B57DDA77-992A-4B13-B0A8-1116948E751E}"/>
    <cellStyle name="Normal 3 2 4 2 2 3 5" xfId="27293" xr:uid="{206F17D0-666A-4700-9B6F-C5D457098DBB}"/>
    <cellStyle name="Normal 3 2 4 2 2 4" xfId="2987" xr:uid="{00753DB2-29E2-40B6-BB1E-94469069EC32}"/>
    <cellStyle name="Normal 3 2 4 2 2 4 2" xfId="6141" xr:uid="{975A2134-DC6B-466E-8A37-784C8C2D701E}"/>
    <cellStyle name="Normal 3 2 4 2 2 4 2 2" xfId="12434" xr:uid="{B0A7502E-B508-416B-B07A-4909BE356F7F}"/>
    <cellStyle name="Normal 3 2 4 2 2 4 2 2 2" xfId="25116" xr:uid="{0D896E94-A20C-4D80-AE51-655D2B2263E9}"/>
    <cellStyle name="Normal 3 2 4 2 2 4 2 2 2 2" xfId="50608" xr:uid="{4F829EC4-ABCF-450E-A8A7-811A4E482A59}"/>
    <cellStyle name="Normal 3 2 4 2 2 4 2 2 3" xfId="38017" xr:uid="{6856B385-7F81-4BF9-A0E8-BF15EBA54E45}"/>
    <cellStyle name="Normal 3 2 4 2 2 4 2 3" xfId="18838" xr:uid="{25B752B3-74CC-40B6-A125-1BF5E686A646}"/>
    <cellStyle name="Normal 3 2 4 2 2 4 2 3 2" xfId="44330" xr:uid="{79197B55-0260-4679-B5FE-14F9C0A83C54}"/>
    <cellStyle name="Normal 3 2 4 2 2 4 2 4" xfId="31739" xr:uid="{5992F5D6-CEC8-42D4-843B-4F047F014BB6}"/>
    <cellStyle name="Normal 3 2 4 2 2 4 3" xfId="9295" xr:uid="{B1DCFA87-CB4F-4B26-A501-1B765267DA99}"/>
    <cellStyle name="Normal 3 2 4 2 2 4 3 2" xfId="21977" xr:uid="{D5DC454F-3EBE-4B95-A8CF-3D9E70EA716B}"/>
    <cellStyle name="Normal 3 2 4 2 2 4 3 2 2" xfId="47469" xr:uid="{20508218-364E-405E-A1EA-99BE5866F306}"/>
    <cellStyle name="Normal 3 2 4 2 2 4 3 3" xfId="34878" xr:uid="{A9400DA5-339A-4C5C-B30E-CE13D65D632C}"/>
    <cellStyle name="Normal 3 2 4 2 2 4 4" xfId="15699" xr:uid="{027E53CE-1B81-4916-8550-E0472A8F8026}"/>
    <cellStyle name="Normal 3 2 4 2 2 4 4 2" xfId="41191" xr:uid="{76CB0558-63A2-4728-B3C2-7FE3202ECDA5}"/>
    <cellStyle name="Normal 3 2 4 2 2 4 5" xfId="28600" xr:uid="{A86958E7-FA5F-4C7C-AEB6-902967099EFE}"/>
    <cellStyle name="Normal 3 2 4 2 2 5" xfId="3510" xr:uid="{A3D8B792-CC56-42E8-BBBD-85F54A7FAC11}"/>
    <cellStyle name="Normal 3 2 4 2 2 5 2" xfId="6664" xr:uid="{C8EE8730-8478-4BD3-94A8-E55D50723C0E}"/>
    <cellStyle name="Normal 3 2 4 2 2 5 2 2" xfId="12957" xr:uid="{20A60663-D508-48F1-A00D-5173211BB62B}"/>
    <cellStyle name="Normal 3 2 4 2 2 5 2 2 2" xfId="25639" xr:uid="{DD0D501F-B519-498C-9AF5-129C57C210B7}"/>
    <cellStyle name="Normal 3 2 4 2 2 5 2 2 2 2" xfId="51131" xr:uid="{703DC7A0-02A1-4724-A6A9-5E29189EBE7A}"/>
    <cellStyle name="Normal 3 2 4 2 2 5 2 2 3" xfId="38540" xr:uid="{BE0368B7-F50A-4819-A64D-BA6E9D4B66B6}"/>
    <cellStyle name="Normal 3 2 4 2 2 5 2 3" xfId="19361" xr:uid="{43D7417F-569B-4498-9FEE-6281683FB944}"/>
    <cellStyle name="Normal 3 2 4 2 2 5 2 3 2" xfId="44853" xr:uid="{DE71CB0A-1CFC-4E7F-B1E8-AAB78F78F81A}"/>
    <cellStyle name="Normal 3 2 4 2 2 5 2 4" xfId="32262" xr:uid="{BCB8F987-47C0-44DA-97D1-FD6C5976A4F6}"/>
    <cellStyle name="Normal 3 2 4 2 2 5 3" xfId="9818" xr:uid="{E96B5952-5D6C-4968-9373-9D29FE5813AD}"/>
    <cellStyle name="Normal 3 2 4 2 2 5 3 2" xfId="22500" xr:uid="{FB59DD09-7287-462F-BBD8-9C818EE0300C}"/>
    <cellStyle name="Normal 3 2 4 2 2 5 3 2 2" xfId="47992" xr:uid="{0A6695E6-5B8E-4E8A-BC29-352574E6CAA4}"/>
    <cellStyle name="Normal 3 2 4 2 2 5 3 3" xfId="35401" xr:uid="{B38DF197-14C7-40F2-AF3C-803EAC41EB3F}"/>
    <cellStyle name="Normal 3 2 4 2 2 5 4" xfId="16222" xr:uid="{0E709DC7-62DB-489F-B8FE-B97770B0E5E1}"/>
    <cellStyle name="Normal 3 2 4 2 2 5 4 2" xfId="41714" xr:uid="{720682EF-8455-41D3-BE39-33C4D1849DB0}"/>
    <cellStyle name="Normal 3 2 4 2 2 5 5" xfId="29123" xr:uid="{DEAAF3B1-868F-4BA0-B1FE-AAD3A35E3F1F}"/>
    <cellStyle name="Normal 3 2 4 2 2 6" xfId="4310" xr:uid="{48A29A05-F929-4268-9F32-D1C4BB416B31}"/>
    <cellStyle name="Normal 3 2 4 2 2 6 2" xfId="10603" xr:uid="{436457B1-F20D-4683-8A04-08E2CE819D26}"/>
    <cellStyle name="Normal 3 2 4 2 2 6 2 2" xfId="23285" xr:uid="{293AFA43-A687-47E8-A77C-A549E6CF7682}"/>
    <cellStyle name="Normal 3 2 4 2 2 6 2 2 2" xfId="48777" xr:uid="{A38FAA48-F63D-4DA6-9536-5F656063C90B}"/>
    <cellStyle name="Normal 3 2 4 2 2 6 2 3" xfId="36186" xr:uid="{7C342D10-D36F-4F86-893B-B1D56CD42C58}"/>
    <cellStyle name="Normal 3 2 4 2 2 6 3" xfId="17007" xr:uid="{0ADF46D5-829D-4809-BF4E-119866930764}"/>
    <cellStyle name="Normal 3 2 4 2 2 6 3 2" xfId="42499" xr:uid="{F35D6560-05D5-4053-BD43-10349AA059E9}"/>
    <cellStyle name="Normal 3 2 4 2 2 6 4" xfId="29908" xr:uid="{B2EE1C37-E860-4150-8B4D-9417D2DA3E6F}"/>
    <cellStyle name="Normal 3 2 4 2 2 7" xfId="7464" xr:uid="{21418F12-97E7-46DE-9F44-94E206F6FD0A}"/>
    <cellStyle name="Normal 3 2 4 2 2 7 2" xfId="20146" xr:uid="{71ABE7C3-5E86-43F5-827F-5FAB3414C502}"/>
    <cellStyle name="Normal 3 2 4 2 2 7 2 2" xfId="45638" xr:uid="{A503E039-8143-44E6-82A3-D69A1A730D57}"/>
    <cellStyle name="Normal 3 2 4 2 2 7 3" xfId="33047" xr:uid="{BCB55731-FDFB-4E79-A7E7-0B22D99BDBD2}"/>
    <cellStyle name="Normal 3 2 4 2 2 8" xfId="13868" xr:uid="{555024A5-4F7B-4E26-8785-3E93AE02907F}"/>
    <cellStyle name="Normal 3 2 4 2 2 8 2" xfId="39360" xr:uid="{E1BAB786-6F78-456E-BDED-04B689341177}"/>
    <cellStyle name="Normal 3 2 4 2 2 9" xfId="26769" xr:uid="{294512E7-4C9C-45E0-BBFE-714AED3F1384}"/>
    <cellStyle name="Normal 3 2 4 2 3" xfId="896" xr:uid="{AA16870E-428C-4194-BBC2-32175DA36C5E}"/>
    <cellStyle name="Normal 3 2 4 2 3 2" xfId="2203" xr:uid="{95BD9FD3-4786-4DDE-9B9F-E7938EE12B6E}"/>
    <cellStyle name="Normal 3 2 4 2 3 2 2" xfId="5357" xr:uid="{435B407D-D151-4188-8117-D3E416C2E3B0}"/>
    <cellStyle name="Normal 3 2 4 2 3 2 2 2" xfId="11650" xr:uid="{2BB1151E-2F80-4629-A9EE-DA7F3CB5F7A3}"/>
    <cellStyle name="Normal 3 2 4 2 3 2 2 2 2" xfId="24332" xr:uid="{372D6A78-E2C6-41FF-8932-B43D3FA0E0B7}"/>
    <cellStyle name="Normal 3 2 4 2 3 2 2 2 2 2" xfId="49824" xr:uid="{4608B6F9-0C01-409E-9618-32E73CC44E4A}"/>
    <cellStyle name="Normal 3 2 4 2 3 2 2 2 3" xfId="37233" xr:uid="{D7FC526E-396B-4E7D-899F-65C302F2576F}"/>
    <cellStyle name="Normal 3 2 4 2 3 2 2 3" xfId="18054" xr:uid="{C3BC4247-1942-4E6C-95C3-87A06AA0CDF5}"/>
    <cellStyle name="Normal 3 2 4 2 3 2 2 3 2" xfId="43546" xr:uid="{8566B716-C2F2-4E30-9650-EFE088D4EE56}"/>
    <cellStyle name="Normal 3 2 4 2 3 2 2 4" xfId="30955" xr:uid="{911C39C1-A132-499C-A9B4-B217EAC8B6CC}"/>
    <cellStyle name="Normal 3 2 4 2 3 2 3" xfId="8511" xr:uid="{41151EEB-21B6-480D-AC09-08F036263441}"/>
    <cellStyle name="Normal 3 2 4 2 3 2 3 2" xfId="21193" xr:uid="{68A220FE-4421-4E6D-8070-91EBA93C9E30}"/>
    <cellStyle name="Normal 3 2 4 2 3 2 3 2 2" xfId="46685" xr:uid="{F1094E51-1135-470B-95C5-59D92BE1242E}"/>
    <cellStyle name="Normal 3 2 4 2 3 2 3 3" xfId="34094" xr:uid="{08E315F8-DC1C-4B75-A562-F8483EA3FCCA}"/>
    <cellStyle name="Normal 3 2 4 2 3 2 4" xfId="14915" xr:uid="{41D24218-DB98-4E1A-95A2-351DAAAC71FB}"/>
    <cellStyle name="Normal 3 2 4 2 3 2 4 2" xfId="40407" xr:uid="{579DB794-BC56-44D9-B3D8-5770BEBA77E9}"/>
    <cellStyle name="Normal 3 2 4 2 3 2 5" xfId="27816" xr:uid="{EDE9B4F4-6AE9-44C3-943A-F16F919D01EC}"/>
    <cellStyle name="Normal 3 2 4 2 3 3" xfId="4050" xr:uid="{288B32CE-7E05-490D-82F9-60A39256E606}"/>
    <cellStyle name="Normal 3 2 4 2 3 3 2" xfId="10343" xr:uid="{875C7A4F-A347-4511-94F4-8338D50AF59C}"/>
    <cellStyle name="Normal 3 2 4 2 3 3 2 2" xfId="23025" xr:uid="{D8E8E407-6C4A-4088-A502-9DD3E4A92B8D}"/>
    <cellStyle name="Normal 3 2 4 2 3 3 2 2 2" xfId="48517" xr:uid="{01969B17-007C-4A4C-B13F-815B01271B4F}"/>
    <cellStyle name="Normal 3 2 4 2 3 3 2 3" xfId="35926" xr:uid="{2FD904C3-55C5-4863-88E2-DF2C822BA8C6}"/>
    <cellStyle name="Normal 3 2 4 2 3 3 3" xfId="16747" xr:uid="{57A03F5E-2CA1-46C2-A8ED-E0DA95B4B33A}"/>
    <cellStyle name="Normal 3 2 4 2 3 3 3 2" xfId="42239" xr:uid="{A3DD8AEB-7C8E-47CC-B06C-EED992659B4A}"/>
    <cellStyle name="Normal 3 2 4 2 3 3 4" xfId="29648" xr:uid="{9E95441E-B753-48AB-BB80-5B64B821120E}"/>
    <cellStyle name="Normal 3 2 4 2 3 4" xfId="7204" xr:uid="{6A05FCB1-3250-4618-B52D-7FDEFBCDE386}"/>
    <cellStyle name="Normal 3 2 4 2 3 4 2" xfId="19886" xr:uid="{98B69D92-C11F-4B5B-A8DC-CC50483651E3}"/>
    <cellStyle name="Normal 3 2 4 2 3 4 2 2" xfId="45378" xr:uid="{D41D187E-3EDD-43A4-BCEE-1CE8526873CD}"/>
    <cellStyle name="Normal 3 2 4 2 3 4 3" xfId="32787" xr:uid="{484F78FA-80BE-478C-80A4-DEC02E1BD99D}"/>
    <cellStyle name="Normal 3 2 4 2 3 5" xfId="13608" xr:uid="{94040BCE-45E1-45FF-BC53-DF92F6F10E3F}"/>
    <cellStyle name="Normal 3 2 4 2 3 5 2" xfId="39100" xr:uid="{9FE9326A-0374-4D2D-9936-807F387E4020}"/>
    <cellStyle name="Normal 3 2 4 2 3 6" xfId="26509" xr:uid="{852D00CE-2ECF-43A8-A7EF-7A6E67DCF018}"/>
    <cellStyle name="Normal 3 2 4 2 4" xfId="1941" xr:uid="{29626A4D-7918-4753-B3AA-969AEA2D0A5F}"/>
    <cellStyle name="Normal 3 2 4 2 4 2" xfId="5095" xr:uid="{53D172F8-1655-49CA-B5A7-678A70C3BAFF}"/>
    <cellStyle name="Normal 3 2 4 2 4 2 2" xfId="11388" xr:uid="{3F76C424-DB31-436E-8E29-1E8A330C06D5}"/>
    <cellStyle name="Normal 3 2 4 2 4 2 2 2" xfId="24070" xr:uid="{308128E3-9EB2-4159-8FFF-4DDFA8C4746D}"/>
    <cellStyle name="Normal 3 2 4 2 4 2 2 2 2" xfId="49562" xr:uid="{CD18834C-30B7-4DEA-A135-6C86D0CED319}"/>
    <cellStyle name="Normal 3 2 4 2 4 2 2 3" xfId="36971" xr:uid="{0E484262-14F2-4467-9449-6819B29BB944}"/>
    <cellStyle name="Normal 3 2 4 2 4 2 3" xfId="17792" xr:uid="{F9BD066B-4AE5-4F5B-B4A9-0307C42C91DA}"/>
    <cellStyle name="Normal 3 2 4 2 4 2 3 2" xfId="43284" xr:uid="{1F420E20-ACDB-460C-B4D8-07266DCA741F}"/>
    <cellStyle name="Normal 3 2 4 2 4 2 4" xfId="30693" xr:uid="{F7E83BDB-E7FE-4305-BBCC-85C5B90E5AB0}"/>
    <cellStyle name="Normal 3 2 4 2 4 3" xfId="8249" xr:uid="{59B7778A-B963-4871-B2C4-C5EE1AC2039D}"/>
    <cellStyle name="Normal 3 2 4 2 4 3 2" xfId="20931" xr:uid="{5360955F-C4D3-428E-8CE2-4073B77C56FC}"/>
    <cellStyle name="Normal 3 2 4 2 4 3 2 2" xfId="46423" xr:uid="{A433748A-ACB1-4C4E-95C7-263E9916E906}"/>
    <cellStyle name="Normal 3 2 4 2 4 3 3" xfId="33832" xr:uid="{3C20F5AB-C4F8-4515-A6F6-7F63E8A4CDB9}"/>
    <cellStyle name="Normal 3 2 4 2 4 4" xfId="14653" xr:uid="{D884AA06-3906-44DD-A84E-7DD2E6237E31}"/>
    <cellStyle name="Normal 3 2 4 2 4 4 2" xfId="40145" xr:uid="{2ABABB4F-BB75-49F1-B445-2DC0C247D86F}"/>
    <cellStyle name="Normal 3 2 4 2 4 5" xfId="27554" xr:uid="{BCBEA03D-918A-43A0-81CD-67C13DE30D63}"/>
    <cellStyle name="Normal 3 2 4 2 5" xfId="1419" xr:uid="{849F99CA-7C70-41AB-BEE6-080EA1199AC0}"/>
    <cellStyle name="Normal 3 2 4 2 5 2" xfId="4573" xr:uid="{28B67488-8F1F-4468-925F-370A4C746A23}"/>
    <cellStyle name="Normal 3 2 4 2 5 2 2" xfId="10866" xr:uid="{31911DD4-0491-4E0A-ACFB-50A6DEF0559C}"/>
    <cellStyle name="Normal 3 2 4 2 5 2 2 2" xfId="23548" xr:uid="{02F1BB1C-B1BE-40BF-A97C-6111AC5C32C1}"/>
    <cellStyle name="Normal 3 2 4 2 5 2 2 2 2" xfId="49040" xr:uid="{C789DDCB-78D2-4E73-B089-DBE2D0D8A2E6}"/>
    <cellStyle name="Normal 3 2 4 2 5 2 2 3" xfId="36449" xr:uid="{D00030BA-E09E-4186-88A2-E9F081951FB3}"/>
    <cellStyle name="Normal 3 2 4 2 5 2 3" xfId="17270" xr:uid="{C9745A23-9FA7-4C40-BD97-09B3496A1D84}"/>
    <cellStyle name="Normal 3 2 4 2 5 2 3 2" xfId="42762" xr:uid="{32244947-66DE-4262-9427-E27B6F94BEA3}"/>
    <cellStyle name="Normal 3 2 4 2 5 2 4" xfId="30171" xr:uid="{430F6CCF-71F9-433F-AD1F-75C1FF59EC8A}"/>
    <cellStyle name="Normal 3 2 4 2 5 3" xfId="7727" xr:uid="{85519693-9DA5-4962-BA30-9C70655AFACF}"/>
    <cellStyle name="Normal 3 2 4 2 5 3 2" xfId="20409" xr:uid="{1C00952C-599A-49FC-852F-B2CA09ECAE9D}"/>
    <cellStyle name="Normal 3 2 4 2 5 3 2 2" xfId="45901" xr:uid="{E913D177-C7CC-4E09-890F-30865435DF1B}"/>
    <cellStyle name="Normal 3 2 4 2 5 3 3" xfId="33310" xr:uid="{710054FB-E5E9-444B-8F36-FFCF606B3118}"/>
    <cellStyle name="Normal 3 2 4 2 5 4" xfId="14131" xr:uid="{2815ACD9-B609-4DF8-8032-01345516F77B}"/>
    <cellStyle name="Normal 3 2 4 2 5 4 2" xfId="39623" xr:uid="{710A4463-ADCF-4A44-9169-C3D88A295BD5}"/>
    <cellStyle name="Normal 3 2 4 2 5 5" xfId="27032" xr:uid="{7AC80370-C316-4C18-9858-E2A7C7AFC1C1}"/>
    <cellStyle name="Normal 3 2 4 2 6" xfId="2726" xr:uid="{5EDEB90D-B782-44D6-BE1B-A43A28DAC622}"/>
    <cellStyle name="Normal 3 2 4 2 6 2" xfId="5880" xr:uid="{F729B00B-8A0C-4D64-BD59-04ACF46638DF}"/>
    <cellStyle name="Normal 3 2 4 2 6 2 2" xfId="12173" xr:uid="{7E552FC1-2DE8-4DE4-A1C5-AD0EC663CD50}"/>
    <cellStyle name="Normal 3 2 4 2 6 2 2 2" xfId="24855" xr:uid="{D0A465EE-B8BB-4800-8A1E-872A64771D8B}"/>
    <cellStyle name="Normal 3 2 4 2 6 2 2 2 2" xfId="50347" xr:uid="{970B2CEF-A4A2-42F7-A984-D59ADA60ACA9}"/>
    <cellStyle name="Normal 3 2 4 2 6 2 2 3" xfId="37756" xr:uid="{451D990B-C555-40A8-B84B-C60FF628AB79}"/>
    <cellStyle name="Normal 3 2 4 2 6 2 3" xfId="18577" xr:uid="{6187EAC4-56CB-43CE-AC6F-5D69160EF51A}"/>
    <cellStyle name="Normal 3 2 4 2 6 2 3 2" xfId="44069" xr:uid="{BA21350B-7CBB-4E3F-B2A7-0A5D0FD6E7DC}"/>
    <cellStyle name="Normal 3 2 4 2 6 2 4" xfId="31478" xr:uid="{FBC02AC0-D571-4FBD-A66A-E0DAAA8B532F}"/>
    <cellStyle name="Normal 3 2 4 2 6 3" xfId="9034" xr:uid="{643FCA2A-EF30-4172-89C3-3BDCE6E5BE9F}"/>
    <cellStyle name="Normal 3 2 4 2 6 3 2" xfId="21716" xr:uid="{D0FAC0F2-2ACE-41A8-B446-DAEC301C1C0B}"/>
    <cellStyle name="Normal 3 2 4 2 6 3 2 2" xfId="47208" xr:uid="{58C24914-464F-451D-AB87-84214AAFF34C}"/>
    <cellStyle name="Normal 3 2 4 2 6 3 3" xfId="34617" xr:uid="{F2560AC0-61E1-446B-9FE2-7268C559D936}"/>
    <cellStyle name="Normal 3 2 4 2 6 4" xfId="15438" xr:uid="{E25B2D69-8627-45BE-BD2F-EF62202DBF91}"/>
    <cellStyle name="Normal 3 2 4 2 6 4 2" xfId="40930" xr:uid="{6C5B0308-9861-4966-BC41-6576A16F9356}"/>
    <cellStyle name="Normal 3 2 4 2 6 5" xfId="28339" xr:uid="{F08D107C-8D70-46F6-A1D0-4AA49836F4B0}"/>
    <cellStyle name="Normal 3 2 4 2 7" xfId="3249" xr:uid="{D6F51894-EF43-4715-8617-65CDF51D0343}"/>
    <cellStyle name="Normal 3 2 4 2 7 2" xfId="6403" xr:uid="{1F6A724E-B11A-4610-A50D-2975536AAE92}"/>
    <cellStyle name="Normal 3 2 4 2 7 2 2" xfId="12696" xr:uid="{15FD6E6B-8DF3-4D99-873A-EAB211DDEB09}"/>
    <cellStyle name="Normal 3 2 4 2 7 2 2 2" xfId="25378" xr:uid="{28C439FF-E58E-43C7-8AD8-74E2486B88A7}"/>
    <cellStyle name="Normal 3 2 4 2 7 2 2 2 2" xfId="50870" xr:uid="{8AEC3387-AA71-4AFC-B5E4-B4258F09F7DF}"/>
    <cellStyle name="Normal 3 2 4 2 7 2 2 3" xfId="38279" xr:uid="{5FFC6064-8DC1-438D-B1AA-AFAFF9BE03CD}"/>
    <cellStyle name="Normal 3 2 4 2 7 2 3" xfId="19100" xr:uid="{6E3EFED0-915D-41B0-973B-643C107DC3D1}"/>
    <cellStyle name="Normal 3 2 4 2 7 2 3 2" xfId="44592" xr:uid="{50138FE3-CC62-4A35-80B4-CC200CB72D26}"/>
    <cellStyle name="Normal 3 2 4 2 7 2 4" xfId="32001" xr:uid="{B667988D-B4CA-48B1-9F31-689F99F3F68D}"/>
    <cellStyle name="Normal 3 2 4 2 7 3" xfId="9557" xr:uid="{8380AC4B-0AD4-4831-82C2-A7E7DD437180}"/>
    <cellStyle name="Normal 3 2 4 2 7 3 2" xfId="22239" xr:uid="{9DB4240B-4002-4420-9B66-53FE5C0B1CE0}"/>
    <cellStyle name="Normal 3 2 4 2 7 3 2 2" xfId="47731" xr:uid="{CEE15C34-9B06-4A53-97C2-EC28613C49A8}"/>
    <cellStyle name="Normal 3 2 4 2 7 3 3" xfId="35140" xr:uid="{0843F0E7-8DE2-49C9-A9F6-26EEDE939B20}"/>
    <cellStyle name="Normal 3 2 4 2 7 4" xfId="15961" xr:uid="{C0723248-3FEC-494A-A22A-47537C14BAA4}"/>
    <cellStyle name="Normal 3 2 4 2 7 4 2" xfId="41453" xr:uid="{EE502352-FBFA-4D1B-A767-FE09BD34A80A}"/>
    <cellStyle name="Normal 3 2 4 2 7 5" xfId="28862" xr:uid="{FE96C9B5-E63B-4C06-9990-3A789C7DC0A4}"/>
    <cellStyle name="Normal 3 2 4 2 8" xfId="3788" xr:uid="{1E6D8701-C0FA-47D8-AFB6-538161E358C5}"/>
    <cellStyle name="Normal 3 2 4 2 8 2" xfId="10081" xr:uid="{4578CF86-5BE8-47A8-9DC7-80C797095BF8}"/>
    <cellStyle name="Normal 3 2 4 2 8 2 2" xfId="22763" xr:uid="{E0825CCB-C8A2-4949-AB09-887FC12C951E}"/>
    <cellStyle name="Normal 3 2 4 2 8 2 2 2" xfId="48255" xr:uid="{65E754B1-F9DE-4908-9F83-AE1D17574BA3}"/>
    <cellStyle name="Normal 3 2 4 2 8 2 3" xfId="35664" xr:uid="{BD39B694-7F3F-45E1-8189-0D08B3AEFFED}"/>
    <cellStyle name="Normal 3 2 4 2 8 3" xfId="16485" xr:uid="{9E087149-DB64-43F5-963B-1852A9358883}"/>
    <cellStyle name="Normal 3 2 4 2 8 3 2" xfId="41977" xr:uid="{94038205-672D-420E-AEC7-991AD72988EF}"/>
    <cellStyle name="Normal 3 2 4 2 8 4" xfId="29386" xr:uid="{EA923C6A-F9BC-4DFB-BAA7-A812E8AAEA4C}"/>
    <cellStyle name="Normal 3 2 4 2 9" xfId="6942" xr:uid="{EAC91E3C-DFE4-4AF3-BA0B-CDC603AEF510}"/>
    <cellStyle name="Normal 3 2 4 2 9 2" xfId="19624" xr:uid="{3E6FAA37-CED2-4069-BEF4-774C35FB5552}"/>
    <cellStyle name="Normal 3 2 4 2 9 2 2" xfId="45116" xr:uid="{F7035BC4-4AEE-4DDF-BCBE-8A2625D4D973}"/>
    <cellStyle name="Normal 3 2 4 2 9 3" xfId="32525" xr:uid="{0DA36566-41D0-4F0A-841C-D937BD93B9FC}"/>
    <cellStyle name="Normal 3 2 4 3" xfId="997" xr:uid="{2784D457-EAAF-4E88-90BD-3E763C1E0207}"/>
    <cellStyle name="Normal 3 2 4 3 2" xfId="2304" xr:uid="{A7B7D7F3-0657-4BEF-9640-CCF4D56C88EB}"/>
    <cellStyle name="Normal 3 2 4 3 2 2" xfId="5458" xr:uid="{C522720A-97F1-42A6-8AE3-B4A42C4CBE2D}"/>
    <cellStyle name="Normal 3 2 4 3 2 2 2" xfId="11751" xr:uid="{9CAB90C6-8609-4740-8101-9FE5962C59F7}"/>
    <cellStyle name="Normal 3 2 4 3 2 2 2 2" xfId="24433" xr:uid="{60F6C72A-8A41-4386-8B48-95B6BAB39509}"/>
    <cellStyle name="Normal 3 2 4 3 2 2 2 2 2" xfId="49925" xr:uid="{A87B6FF3-F3BA-4B29-BED2-1FC6E2C1E6B9}"/>
    <cellStyle name="Normal 3 2 4 3 2 2 2 3" xfId="37334" xr:uid="{D5445679-2637-42B8-9CAD-2976011AE0B1}"/>
    <cellStyle name="Normal 3 2 4 3 2 2 3" xfId="18155" xr:uid="{66EF9CC3-A6FD-45E5-BA94-28B16A189F91}"/>
    <cellStyle name="Normal 3 2 4 3 2 2 3 2" xfId="43647" xr:uid="{72ECB831-1B10-4FF2-9BC3-2E26EBCBF608}"/>
    <cellStyle name="Normal 3 2 4 3 2 2 4" xfId="31056" xr:uid="{1BDD608C-E69B-4783-9682-58D2BF5852A0}"/>
    <cellStyle name="Normal 3 2 4 3 2 3" xfId="8612" xr:uid="{994E2A1F-F6FF-43A5-90EF-2FA1458310A0}"/>
    <cellStyle name="Normal 3 2 4 3 2 3 2" xfId="21294" xr:uid="{BF095C0B-9E38-4D3A-964A-6610B860F9D1}"/>
    <cellStyle name="Normal 3 2 4 3 2 3 2 2" xfId="46786" xr:uid="{D6890D63-248F-47CC-8B06-19AD7898031C}"/>
    <cellStyle name="Normal 3 2 4 3 2 3 3" xfId="34195" xr:uid="{9138FB2D-852E-430F-AA0E-6B37215BBF48}"/>
    <cellStyle name="Normal 3 2 4 3 2 4" xfId="15016" xr:uid="{78693B2D-44D1-438B-B785-E1147E8B4C41}"/>
    <cellStyle name="Normal 3 2 4 3 2 4 2" xfId="40508" xr:uid="{600D3FC6-9ECB-48FE-BDAD-52C37D2A74E5}"/>
    <cellStyle name="Normal 3 2 4 3 2 5" xfId="27917" xr:uid="{EB4E8FE2-C67F-4967-9F70-A740E4085CB2}"/>
    <cellStyle name="Normal 3 2 4 3 3" xfId="1521" xr:uid="{88401295-F744-4153-BE13-DD0F71416129}"/>
    <cellStyle name="Normal 3 2 4 3 3 2" xfId="4675" xr:uid="{C8F30761-B671-4D88-AEAD-C732CB714B62}"/>
    <cellStyle name="Normal 3 2 4 3 3 2 2" xfId="10968" xr:uid="{44786F65-D2FA-4952-8D3C-2D2FFE3F8BB8}"/>
    <cellStyle name="Normal 3 2 4 3 3 2 2 2" xfId="23650" xr:uid="{9A9982AA-6D7A-4AA5-B001-108403D7A924}"/>
    <cellStyle name="Normal 3 2 4 3 3 2 2 2 2" xfId="49142" xr:uid="{B33873E9-D869-4E5D-B363-2B88822FB683}"/>
    <cellStyle name="Normal 3 2 4 3 3 2 2 3" xfId="36551" xr:uid="{9351528B-1D03-4884-BDB4-96CB817A2573}"/>
    <cellStyle name="Normal 3 2 4 3 3 2 3" xfId="17372" xr:uid="{1865F72E-C224-4552-8909-5156AD0227BD}"/>
    <cellStyle name="Normal 3 2 4 3 3 2 3 2" xfId="42864" xr:uid="{03E3D2BC-97F9-4E12-B749-C9B186AC596A}"/>
    <cellStyle name="Normal 3 2 4 3 3 2 4" xfId="30273" xr:uid="{8036457C-ED54-47B1-AFF3-DAF9FC72C6B5}"/>
    <cellStyle name="Normal 3 2 4 3 3 3" xfId="7829" xr:uid="{EF9CC355-577C-45D5-AFDE-6770E37FD15A}"/>
    <cellStyle name="Normal 3 2 4 3 3 3 2" xfId="20511" xr:uid="{8B1632FD-B6E2-4505-BD5D-1F70D258E3A3}"/>
    <cellStyle name="Normal 3 2 4 3 3 3 2 2" xfId="46003" xr:uid="{20E8FEFC-AE00-44A5-B6B9-944290BBE352}"/>
    <cellStyle name="Normal 3 2 4 3 3 3 3" xfId="33412" xr:uid="{A3035FB0-93DD-4B8D-B457-0ACE7B9CF7BC}"/>
    <cellStyle name="Normal 3 2 4 3 3 4" xfId="14233" xr:uid="{C1FAAC13-5C63-4193-AB3E-B065BCA626AD}"/>
    <cellStyle name="Normal 3 2 4 3 3 4 2" xfId="39725" xr:uid="{0DE22B81-4340-4BD3-B574-A508B759FB79}"/>
    <cellStyle name="Normal 3 2 4 3 3 5" xfId="27134" xr:uid="{05FDC71B-6676-4686-AC1B-30490A6A5481}"/>
    <cellStyle name="Normal 3 2 4 3 4" xfId="2828" xr:uid="{6E70778E-D475-4C39-A24F-C083CAA7E248}"/>
    <cellStyle name="Normal 3 2 4 3 4 2" xfId="5982" xr:uid="{E5E61E7B-EFBA-478E-8EF3-0C3FF3751958}"/>
    <cellStyle name="Normal 3 2 4 3 4 2 2" xfId="12275" xr:uid="{D321828C-3E08-49D6-B6E9-010CA6F6A490}"/>
    <cellStyle name="Normal 3 2 4 3 4 2 2 2" xfId="24957" xr:uid="{A4753535-4704-4F8C-BF36-5F27686551C7}"/>
    <cellStyle name="Normal 3 2 4 3 4 2 2 2 2" xfId="50449" xr:uid="{9BFB2DB0-4FE5-4563-A721-B6B5121200ED}"/>
    <cellStyle name="Normal 3 2 4 3 4 2 2 3" xfId="37858" xr:uid="{E4D0C987-E666-4275-AE43-BADA071A796F}"/>
    <cellStyle name="Normal 3 2 4 3 4 2 3" xfId="18679" xr:uid="{59B5839E-6871-421F-84A3-D7BD7FEB3155}"/>
    <cellStyle name="Normal 3 2 4 3 4 2 3 2" xfId="44171" xr:uid="{72E94F5E-E464-4D3A-8734-3BB36899A6B2}"/>
    <cellStyle name="Normal 3 2 4 3 4 2 4" xfId="31580" xr:uid="{BEE349E7-EDE2-48A6-B259-F15349BA5BA6}"/>
    <cellStyle name="Normal 3 2 4 3 4 3" xfId="9136" xr:uid="{1FAF816B-502D-4DE6-8EFA-66B4269EA8A1}"/>
    <cellStyle name="Normal 3 2 4 3 4 3 2" xfId="21818" xr:uid="{E4B6C43D-1221-4685-89B4-6625FF5E0362}"/>
    <cellStyle name="Normal 3 2 4 3 4 3 2 2" xfId="47310" xr:uid="{6C894872-A0D0-4681-8B8B-68AF955EDEA8}"/>
    <cellStyle name="Normal 3 2 4 3 4 3 3" xfId="34719" xr:uid="{7B5C7A9B-A566-4B02-AD7D-69984F87E119}"/>
    <cellStyle name="Normal 3 2 4 3 4 4" xfId="15540" xr:uid="{AF633D2B-65FA-4F0E-B073-FDCF6DA509A7}"/>
    <cellStyle name="Normal 3 2 4 3 4 4 2" xfId="41032" xr:uid="{0C902923-971E-498E-98DC-5CB45F085C8B}"/>
    <cellStyle name="Normal 3 2 4 3 4 5" xfId="28441" xr:uid="{DE50A421-4A0A-428E-AA62-87AD2600FA7F}"/>
    <cellStyle name="Normal 3 2 4 3 5" xfId="3351" xr:uid="{A4798F65-BEED-4C99-9514-96B5A2396C70}"/>
    <cellStyle name="Normal 3 2 4 3 5 2" xfId="6505" xr:uid="{948F0504-4CC9-47BC-8238-54F76C315623}"/>
    <cellStyle name="Normal 3 2 4 3 5 2 2" xfId="12798" xr:uid="{DFB81E60-38BF-41DD-B1D3-ADA134486E4F}"/>
    <cellStyle name="Normal 3 2 4 3 5 2 2 2" xfId="25480" xr:uid="{236307B4-154C-44A8-97B8-16221D8DB021}"/>
    <cellStyle name="Normal 3 2 4 3 5 2 2 2 2" xfId="50972" xr:uid="{70C7DC21-45D8-445E-85E4-B46E970768F6}"/>
    <cellStyle name="Normal 3 2 4 3 5 2 2 3" xfId="38381" xr:uid="{58EB267E-68D6-4E76-B388-2FBD3EF51357}"/>
    <cellStyle name="Normal 3 2 4 3 5 2 3" xfId="19202" xr:uid="{8E329D74-9C7D-4EE0-AE42-FA6DD0DFC419}"/>
    <cellStyle name="Normal 3 2 4 3 5 2 3 2" xfId="44694" xr:uid="{63241E81-9584-4B6A-8D80-E265EECA8C0C}"/>
    <cellStyle name="Normal 3 2 4 3 5 2 4" xfId="32103" xr:uid="{17CCCB55-C4E7-4795-8B48-1BC3A500AC57}"/>
    <cellStyle name="Normal 3 2 4 3 5 3" xfId="9659" xr:uid="{2DBCC448-1084-4C5A-814E-2DD382541AB8}"/>
    <cellStyle name="Normal 3 2 4 3 5 3 2" xfId="22341" xr:uid="{7D50A56F-BDBC-46A0-AB4C-36F4262E1C24}"/>
    <cellStyle name="Normal 3 2 4 3 5 3 2 2" xfId="47833" xr:uid="{3E96E8DB-BB64-4DD9-8CC9-FD065956E756}"/>
    <cellStyle name="Normal 3 2 4 3 5 3 3" xfId="35242" xr:uid="{33E3237B-C0B8-48B4-BEB0-FFF1D11CE847}"/>
    <cellStyle name="Normal 3 2 4 3 5 4" xfId="16063" xr:uid="{E4638894-2699-43FC-87B7-E5DD1C3E550D}"/>
    <cellStyle name="Normal 3 2 4 3 5 4 2" xfId="41555" xr:uid="{0B16C40A-CD06-4A44-A35F-07AC36EAF033}"/>
    <cellStyle name="Normal 3 2 4 3 5 5" xfId="28964" xr:uid="{B3D4D7FE-F876-4270-B598-AFFC82CB513B}"/>
    <cellStyle name="Normal 3 2 4 3 6" xfId="4151" xr:uid="{CE678FC8-F52D-4649-888C-9EE216EACF5F}"/>
    <cellStyle name="Normal 3 2 4 3 6 2" xfId="10444" xr:uid="{A0C9CAD9-86EB-4FFB-8DF0-54984FB90CEC}"/>
    <cellStyle name="Normal 3 2 4 3 6 2 2" xfId="23126" xr:uid="{8B52FD87-4850-4ACD-AEBD-E0D7A109F485}"/>
    <cellStyle name="Normal 3 2 4 3 6 2 2 2" xfId="48618" xr:uid="{E62D2FE3-F426-4C92-A656-B626B540AD93}"/>
    <cellStyle name="Normal 3 2 4 3 6 2 3" xfId="36027" xr:uid="{AE5A5178-500C-41E1-9B3E-46B560654834}"/>
    <cellStyle name="Normal 3 2 4 3 6 3" xfId="16848" xr:uid="{76795508-A60E-4B2F-9AE3-FD69632A0E16}"/>
    <cellStyle name="Normal 3 2 4 3 6 3 2" xfId="42340" xr:uid="{766AA7E1-D56C-4F2C-8548-1F1D81336760}"/>
    <cellStyle name="Normal 3 2 4 3 6 4" xfId="29749" xr:uid="{D88F2743-1224-44DE-BCFA-E6A7F3608D50}"/>
    <cellStyle name="Normal 3 2 4 3 7" xfId="7305" xr:uid="{96C78876-C166-4160-8906-CF2F890AC557}"/>
    <cellStyle name="Normal 3 2 4 3 7 2" xfId="19987" xr:uid="{F429307B-F5BE-4391-970A-C4B97413F14C}"/>
    <cellStyle name="Normal 3 2 4 3 7 2 2" xfId="45479" xr:uid="{ED62BD17-AD80-4185-BCB8-42775668C059}"/>
    <cellStyle name="Normal 3 2 4 3 7 3" xfId="32888" xr:uid="{B2FDEDFF-90EA-47FB-85AE-A0C9C5341112}"/>
    <cellStyle name="Normal 3 2 4 3 8" xfId="13709" xr:uid="{A4736763-B347-41D1-A8E2-34B7FA705313}"/>
    <cellStyle name="Normal 3 2 4 3 8 2" xfId="39201" xr:uid="{8667C555-A9D6-496A-BF03-E0F02C020C1D}"/>
    <cellStyle name="Normal 3 2 4 3 9" xfId="26610" xr:uid="{BFCAA83A-0B9A-4038-BD41-5F6818B6D9E4}"/>
    <cellStyle name="Normal 3 2 4 4" xfId="737" xr:uid="{561BD807-2522-4AF4-9CA2-F77A13B6BEB4}"/>
    <cellStyle name="Normal 3 2 4 4 2" xfId="2044" xr:uid="{9A02E249-2982-4E3D-9B88-E91110BB91BE}"/>
    <cellStyle name="Normal 3 2 4 4 2 2" xfId="5198" xr:uid="{8487C5F5-287D-45C1-8460-8B1BBEC4B0EA}"/>
    <cellStyle name="Normal 3 2 4 4 2 2 2" xfId="11491" xr:uid="{1D41080D-566D-4F42-A387-16E06AE79F36}"/>
    <cellStyle name="Normal 3 2 4 4 2 2 2 2" xfId="24173" xr:uid="{E365C6E2-A67A-4A9A-AD79-333870C04741}"/>
    <cellStyle name="Normal 3 2 4 4 2 2 2 2 2" xfId="49665" xr:uid="{06E260BC-20C7-479A-9EDF-B08BDE4F3FE0}"/>
    <cellStyle name="Normal 3 2 4 4 2 2 2 3" xfId="37074" xr:uid="{ADBB4B22-4B68-4F19-97D5-E5FA77A76A80}"/>
    <cellStyle name="Normal 3 2 4 4 2 2 3" xfId="17895" xr:uid="{0A108F96-E1FB-49F4-956B-054B6B31E1A0}"/>
    <cellStyle name="Normal 3 2 4 4 2 2 3 2" xfId="43387" xr:uid="{5C820AFD-712B-4416-8312-FF0ABFB24A0C}"/>
    <cellStyle name="Normal 3 2 4 4 2 2 4" xfId="30796" xr:uid="{89D98080-B469-4C61-9C4A-7973EB468777}"/>
    <cellStyle name="Normal 3 2 4 4 2 3" xfId="8352" xr:uid="{165C34A2-E076-4D19-B1C5-843C821A3B9F}"/>
    <cellStyle name="Normal 3 2 4 4 2 3 2" xfId="21034" xr:uid="{B620AB72-EDFD-4920-904E-816E8875E6A0}"/>
    <cellStyle name="Normal 3 2 4 4 2 3 2 2" xfId="46526" xr:uid="{A0B02223-3E7F-420D-BFEB-13B10F8992DC}"/>
    <cellStyle name="Normal 3 2 4 4 2 3 3" xfId="33935" xr:uid="{DCF2D1B1-A4A4-4359-BBF6-656D838DCB0C}"/>
    <cellStyle name="Normal 3 2 4 4 2 4" xfId="14756" xr:uid="{A2AB8D8A-EAC6-4D4C-9EFE-50844D73287A}"/>
    <cellStyle name="Normal 3 2 4 4 2 4 2" xfId="40248" xr:uid="{264177EA-F905-46FC-AC30-CC24707AD881}"/>
    <cellStyle name="Normal 3 2 4 4 2 5" xfId="27657" xr:uid="{8D0E767D-66DF-4CB7-940A-279622676D36}"/>
    <cellStyle name="Normal 3 2 4 4 3" xfId="3891" xr:uid="{129A3295-59E9-4B4A-9A3F-4168C18F0DE1}"/>
    <cellStyle name="Normal 3 2 4 4 3 2" xfId="10184" xr:uid="{0FA4AA26-A03A-4B7F-A053-46C3416D6882}"/>
    <cellStyle name="Normal 3 2 4 4 3 2 2" xfId="22866" xr:uid="{C14F6F13-C11C-430F-8EA0-B49915495F4A}"/>
    <cellStyle name="Normal 3 2 4 4 3 2 2 2" xfId="48358" xr:uid="{0A8E99E0-E9DC-43BD-8311-59E73F4FEF7D}"/>
    <cellStyle name="Normal 3 2 4 4 3 2 3" xfId="35767" xr:uid="{C4056A3F-75A4-46B3-85DF-D0CBFCC8B9D9}"/>
    <cellStyle name="Normal 3 2 4 4 3 3" xfId="16588" xr:uid="{D915FA5E-2691-4CA1-B7AF-8B1C21705A57}"/>
    <cellStyle name="Normal 3 2 4 4 3 3 2" xfId="42080" xr:uid="{C177C7CB-D0FD-43D0-A7B4-CBC11198D1C4}"/>
    <cellStyle name="Normal 3 2 4 4 3 4" xfId="29489" xr:uid="{97177AF0-BB95-47A1-BC2E-F9C2776F1F8B}"/>
    <cellStyle name="Normal 3 2 4 4 4" xfId="7045" xr:uid="{9482CA89-4EA6-4220-8CBD-A5F665462EAB}"/>
    <cellStyle name="Normal 3 2 4 4 4 2" xfId="19727" xr:uid="{3F1A18E1-6EE3-47C9-820F-79D718A24C76}"/>
    <cellStyle name="Normal 3 2 4 4 4 2 2" xfId="45219" xr:uid="{7B63CA3C-88D5-4F01-A6EC-034D13E7ACEC}"/>
    <cellStyle name="Normal 3 2 4 4 4 3" xfId="32628" xr:uid="{B84C9B7C-C331-44B3-9A62-A3C9CF62DCEA}"/>
    <cellStyle name="Normal 3 2 4 4 5" xfId="13449" xr:uid="{3B4674DE-CC59-4A59-B88C-B7664B7BF302}"/>
    <cellStyle name="Normal 3 2 4 4 5 2" xfId="38941" xr:uid="{69726522-B9DF-441A-B699-DDEF4FDA942F}"/>
    <cellStyle name="Normal 3 2 4 4 6" xfId="26350" xr:uid="{11000DAE-B174-46E6-8EF6-D099C306F7D6}"/>
    <cellStyle name="Normal 3 2 4 5" xfId="1782" xr:uid="{B93DE70D-AB9D-480B-98C5-1AA4652AE04D}"/>
    <cellStyle name="Normal 3 2 4 5 2" xfId="4936" xr:uid="{ED15417A-C28E-4A6E-8660-F1283E601B97}"/>
    <cellStyle name="Normal 3 2 4 5 2 2" xfId="11229" xr:uid="{14F06ACA-B5C0-4336-8445-6D8788D2ED00}"/>
    <cellStyle name="Normal 3 2 4 5 2 2 2" xfId="23911" xr:uid="{6A49B8E6-550B-416C-ADBF-6600A7CBC174}"/>
    <cellStyle name="Normal 3 2 4 5 2 2 2 2" xfId="49403" xr:uid="{3392FF0A-0BDF-4071-A448-9A7CB096961E}"/>
    <cellStyle name="Normal 3 2 4 5 2 2 3" xfId="36812" xr:uid="{1E0E04BA-7A47-4F0E-89AA-2AC81CD425A5}"/>
    <cellStyle name="Normal 3 2 4 5 2 3" xfId="17633" xr:uid="{40C30C8D-1D48-4826-8CFE-B13D3320455E}"/>
    <cellStyle name="Normal 3 2 4 5 2 3 2" xfId="43125" xr:uid="{4C3EBB47-94BB-4551-A366-015D4229FB5C}"/>
    <cellStyle name="Normal 3 2 4 5 2 4" xfId="30534" xr:uid="{12FF6851-C55C-43C5-89E9-9221C110E29C}"/>
    <cellStyle name="Normal 3 2 4 5 3" xfId="8090" xr:uid="{4D89D66F-90BA-43BB-86C7-C820FC26E5F5}"/>
    <cellStyle name="Normal 3 2 4 5 3 2" xfId="20772" xr:uid="{E2188F9C-D54D-410F-AB3F-F34FC81E8293}"/>
    <cellStyle name="Normal 3 2 4 5 3 2 2" xfId="46264" xr:uid="{09915E42-0616-4A9D-90A7-54B3B77BCDA1}"/>
    <cellStyle name="Normal 3 2 4 5 3 3" xfId="33673" xr:uid="{488816DF-42BA-4EBF-AA18-54CD4C529D6F}"/>
    <cellStyle name="Normal 3 2 4 5 4" xfId="14494" xr:uid="{23931596-7D40-4135-A30D-A6CBCCB1A439}"/>
    <cellStyle name="Normal 3 2 4 5 4 2" xfId="39986" xr:uid="{BD3DCF63-D229-488D-952E-36E9539827E7}"/>
    <cellStyle name="Normal 3 2 4 5 5" xfId="27395" xr:uid="{7743EED4-580C-4B46-B0B1-BAE87075777A}"/>
    <cellStyle name="Normal 3 2 4 6" xfId="1260" xr:uid="{EBF219B5-579D-4AAB-AAAF-E1E739C7167E}"/>
    <cellStyle name="Normal 3 2 4 6 2" xfId="4414" xr:uid="{4F43293D-3B37-4F8C-80EF-606C4095921E}"/>
    <cellStyle name="Normal 3 2 4 6 2 2" xfId="10707" xr:uid="{6B638A63-C97E-4293-8F28-46E999DA0216}"/>
    <cellStyle name="Normal 3 2 4 6 2 2 2" xfId="23389" xr:uid="{442C7E88-6FEB-4C8B-8D5A-E1ACA733C6BA}"/>
    <cellStyle name="Normal 3 2 4 6 2 2 2 2" xfId="48881" xr:uid="{D26ACF6D-8202-43D3-92D0-A5686DC3D2F4}"/>
    <cellStyle name="Normal 3 2 4 6 2 2 3" xfId="36290" xr:uid="{1951E8D5-16B2-434A-A5FF-C4D86BBCB2BE}"/>
    <cellStyle name="Normal 3 2 4 6 2 3" xfId="17111" xr:uid="{FCB20A24-5CA5-4168-B6B9-AEFF60C07F33}"/>
    <cellStyle name="Normal 3 2 4 6 2 3 2" xfId="42603" xr:uid="{C0D2181E-E78B-41E7-A9A3-3026EC217AD7}"/>
    <cellStyle name="Normal 3 2 4 6 2 4" xfId="30012" xr:uid="{665D2A49-CF04-48C2-B2AB-C43AD598C165}"/>
    <cellStyle name="Normal 3 2 4 6 3" xfId="7568" xr:uid="{ABFC0CCD-78FE-4439-8303-602DBCCD5F2F}"/>
    <cellStyle name="Normal 3 2 4 6 3 2" xfId="20250" xr:uid="{735DED4A-F880-4028-A04B-806AE472BEE6}"/>
    <cellStyle name="Normal 3 2 4 6 3 2 2" xfId="45742" xr:uid="{10385AA6-EEE5-4825-BBBA-41E03CC4D8D4}"/>
    <cellStyle name="Normal 3 2 4 6 3 3" xfId="33151" xr:uid="{0CBF0D97-CEEB-43D2-8433-F42FDA9E3EEE}"/>
    <cellStyle name="Normal 3 2 4 6 4" xfId="13972" xr:uid="{FC220D5E-1690-4138-AA59-3A489752F2D5}"/>
    <cellStyle name="Normal 3 2 4 6 4 2" xfId="39464" xr:uid="{10A4CBE9-6E1C-4AD5-AFAE-FA112CC2B69B}"/>
    <cellStyle name="Normal 3 2 4 6 5" xfId="26873" xr:uid="{0199F9DF-E168-46D5-BF43-430DA9ECB519}"/>
    <cellStyle name="Normal 3 2 4 7" xfId="2567" xr:uid="{044A6A65-B8E7-42A9-8A20-D4578C7F2B3E}"/>
    <cellStyle name="Normal 3 2 4 7 2" xfId="5721" xr:uid="{2A0477CC-2573-43A6-B0B3-DD647F251C0E}"/>
    <cellStyle name="Normal 3 2 4 7 2 2" xfId="12014" xr:uid="{1C12D63B-CFC7-4E72-9B2B-20369F8A9115}"/>
    <cellStyle name="Normal 3 2 4 7 2 2 2" xfId="24696" xr:uid="{5994FC0A-C8B2-45AD-93A5-FA9404ECB3E6}"/>
    <cellStyle name="Normal 3 2 4 7 2 2 2 2" xfId="50188" xr:uid="{009E6AF1-DCC9-4A3D-B274-A6B1455C8A42}"/>
    <cellStyle name="Normal 3 2 4 7 2 2 3" xfId="37597" xr:uid="{30B86F20-67DE-4AEB-A3AC-757D7535D38B}"/>
    <cellStyle name="Normal 3 2 4 7 2 3" xfId="18418" xr:uid="{1EE06D9D-B3F3-4F48-9E94-D646270056C8}"/>
    <cellStyle name="Normal 3 2 4 7 2 3 2" xfId="43910" xr:uid="{355F5B62-AB39-420E-B103-BEE216FEDF62}"/>
    <cellStyle name="Normal 3 2 4 7 2 4" xfId="31319" xr:uid="{84A8C528-1812-4F53-B8A1-D44FB99036D5}"/>
    <cellStyle name="Normal 3 2 4 7 3" xfId="8875" xr:uid="{BD165DF5-FA9B-44CE-8594-4EE574152128}"/>
    <cellStyle name="Normal 3 2 4 7 3 2" xfId="21557" xr:uid="{EB6D8841-3E14-4CB3-A865-0D30BFC327FE}"/>
    <cellStyle name="Normal 3 2 4 7 3 2 2" xfId="47049" xr:uid="{A95C876A-8ED9-45A1-AF23-17A7A7779EB3}"/>
    <cellStyle name="Normal 3 2 4 7 3 3" xfId="34458" xr:uid="{F2757EC7-AB31-428A-8A04-B2BB995712C9}"/>
    <cellStyle name="Normal 3 2 4 7 4" xfId="15279" xr:uid="{ADCF817D-8EE1-4B4A-A69C-E6FDF5E503AA}"/>
    <cellStyle name="Normal 3 2 4 7 4 2" xfId="40771" xr:uid="{CD54049C-B7B0-42C0-BBBD-927AC698581D}"/>
    <cellStyle name="Normal 3 2 4 7 5" xfId="28180" xr:uid="{76D2DD29-C077-4C75-AD1D-213517A15C73}"/>
    <cellStyle name="Normal 3 2 4 8" xfId="3090" xr:uid="{1642FD05-F34F-4844-83AD-F86B6FEE2B8A}"/>
    <cellStyle name="Normal 3 2 4 8 2" xfId="6244" xr:uid="{341AAE19-617E-469D-B4C8-63B206EF2019}"/>
    <cellStyle name="Normal 3 2 4 8 2 2" xfId="12537" xr:uid="{8BF85AF5-77AA-48F7-9E7A-9163FD9F22AB}"/>
    <cellStyle name="Normal 3 2 4 8 2 2 2" xfId="25219" xr:uid="{4879B4A2-0A5E-42CC-A760-5771B26FBF25}"/>
    <cellStyle name="Normal 3 2 4 8 2 2 2 2" xfId="50711" xr:uid="{F167153B-2A46-4374-84ED-745838B21A24}"/>
    <cellStyle name="Normal 3 2 4 8 2 2 3" xfId="38120" xr:uid="{A632BC0C-0F0E-4F2E-A443-110FB1D2ADBE}"/>
    <cellStyle name="Normal 3 2 4 8 2 3" xfId="18941" xr:uid="{E56762EA-4A0B-42A1-A953-2D3D97760B9C}"/>
    <cellStyle name="Normal 3 2 4 8 2 3 2" xfId="44433" xr:uid="{BD05D122-4C42-41DE-9415-CE7F207EFA98}"/>
    <cellStyle name="Normal 3 2 4 8 2 4" xfId="31842" xr:uid="{598AFD76-F344-48A2-B2A6-0F91F22910A9}"/>
    <cellStyle name="Normal 3 2 4 8 3" xfId="9398" xr:uid="{A88F09FF-EA0A-4D83-959A-5D2546F7E77B}"/>
    <cellStyle name="Normal 3 2 4 8 3 2" xfId="22080" xr:uid="{0E856C43-FF63-4314-A4F1-6EE2DBB0AAB7}"/>
    <cellStyle name="Normal 3 2 4 8 3 2 2" xfId="47572" xr:uid="{D80BAA55-F63D-4B5B-9D8F-7158A6081C38}"/>
    <cellStyle name="Normal 3 2 4 8 3 3" xfId="34981" xr:uid="{F6D9B73A-C357-4DBD-9ABB-CDFDF301BE79}"/>
    <cellStyle name="Normal 3 2 4 8 4" xfId="15802" xr:uid="{91D93D4C-503A-4B99-8919-1B7F300577C8}"/>
    <cellStyle name="Normal 3 2 4 8 4 2" xfId="41294" xr:uid="{346DB263-2CD2-412F-B14D-BE0180EAA7F9}"/>
    <cellStyle name="Normal 3 2 4 8 5" xfId="28703" xr:uid="{9FC34362-FCCA-4183-8927-A9AF60D4CA49}"/>
    <cellStyle name="Normal 3 2 4 9" xfId="3629" xr:uid="{D3BD6336-0C33-48B5-AEAE-C6393E25290C}"/>
    <cellStyle name="Normal 3 2 4 9 2" xfId="9922" xr:uid="{E68AF10A-94C1-4EC9-8549-8075B1F22563}"/>
    <cellStyle name="Normal 3 2 4 9 2 2" xfId="22604" xr:uid="{53CA033C-F9D4-46A8-84BF-387813CC2D78}"/>
    <cellStyle name="Normal 3 2 4 9 2 2 2" xfId="48096" xr:uid="{B8034362-6539-4B36-A011-6C8312158A7D}"/>
    <cellStyle name="Normal 3 2 4 9 2 3" xfId="35505" xr:uid="{4637DA6D-C092-4E91-811C-D9BBD2B7F0AB}"/>
    <cellStyle name="Normal 3 2 4 9 3" xfId="16326" xr:uid="{D3093606-33CE-41E0-BA6C-B63C3A9D4386}"/>
    <cellStyle name="Normal 3 2 4 9 3 2" xfId="41818" xr:uid="{338EAEE5-4399-4CC8-A41D-3F26D84C3C1E}"/>
    <cellStyle name="Normal 3 2 4 9 4" xfId="29227" xr:uid="{36033644-0473-4CF9-8E16-B98B2E9CE656}"/>
    <cellStyle name="Normal 3 2 5" xfId="577" xr:uid="{43F32F68-DD6E-4264-94BE-F77D5510C5F1}"/>
    <cellStyle name="Normal 3 2 5 10" xfId="13304" xr:uid="{A0E66C17-0836-4D97-8638-99554DCA4E19}"/>
    <cellStyle name="Normal 3 2 5 10 2" xfId="38796" xr:uid="{26D37D9B-570C-40F0-BFD7-6F39E3A2B33B}"/>
    <cellStyle name="Normal 3 2 5 11" xfId="26205" xr:uid="{971B8106-CF66-4FF1-A37A-AD1E8D9ADB2F}"/>
    <cellStyle name="Normal 3 2 5 2" xfId="1114" xr:uid="{03F25F3F-7518-4396-BD0F-71E27CD921AA}"/>
    <cellStyle name="Normal 3 2 5 2 2" xfId="2421" xr:uid="{73C88D7B-BC77-481A-90A3-B8D0604CFA1C}"/>
    <cellStyle name="Normal 3 2 5 2 2 2" xfId="5575" xr:uid="{D42E67E0-4DC4-4804-BECC-7C89B36AA60B}"/>
    <cellStyle name="Normal 3 2 5 2 2 2 2" xfId="11868" xr:uid="{D90045D5-8B3D-4C28-855C-C6FD26D1683A}"/>
    <cellStyle name="Normal 3 2 5 2 2 2 2 2" xfId="24550" xr:uid="{4B5D64EE-F398-4ED7-9A91-281AE657AF3D}"/>
    <cellStyle name="Normal 3 2 5 2 2 2 2 2 2" xfId="50042" xr:uid="{4115295B-B877-4657-8E71-0073F9955213}"/>
    <cellStyle name="Normal 3 2 5 2 2 2 2 3" xfId="37451" xr:uid="{ADA609CA-1160-4C2D-A667-7737F6549D54}"/>
    <cellStyle name="Normal 3 2 5 2 2 2 3" xfId="18272" xr:uid="{2FAE7F3E-0B32-4107-A62B-339DC8B0E919}"/>
    <cellStyle name="Normal 3 2 5 2 2 2 3 2" xfId="43764" xr:uid="{99F738BF-881E-4B35-B1E0-546108BE6CB1}"/>
    <cellStyle name="Normal 3 2 5 2 2 2 4" xfId="31173" xr:uid="{302F2E8D-6FFA-4A5C-99E0-3DB90DD5D987}"/>
    <cellStyle name="Normal 3 2 5 2 2 3" xfId="8729" xr:uid="{9E96ABD3-F176-4DBE-B464-1217412E916D}"/>
    <cellStyle name="Normal 3 2 5 2 2 3 2" xfId="21411" xr:uid="{D7B1F36B-00DF-4D6A-BBD6-BC00A1EBBFFF}"/>
    <cellStyle name="Normal 3 2 5 2 2 3 2 2" xfId="46903" xr:uid="{4C5DDC12-7414-457E-BE4A-EBBF17325CAD}"/>
    <cellStyle name="Normal 3 2 5 2 2 3 3" xfId="34312" xr:uid="{CF4C170E-4E7E-45E4-8AD1-D6D88A91779F}"/>
    <cellStyle name="Normal 3 2 5 2 2 4" xfId="15133" xr:uid="{B2A8351E-32FE-43FE-8C4E-DE687FBC5313}"/>
    <cellStyle name="Normal 3 2 5 2 2 4 2" xfId="40625" xr:uid="{58B6F059-8270-4B66-A3FE-26AE99BDF23A}"/>
    <cellStyle name="Normal 3 2 5 2 2 5" xfId="28034" xr:uid="{9CE837C7-D1E1-4B94-BB19-FA16F2035D4E}"/>
    <cellStyle name="Normal 3 2 5 2 3" xfId="1638" xr:uid="{89732C55-20A4-4F96-BE9A-56014A5A4AB2}"/>
    <cellStyle name="Normal 3 2 5 2 3 2" xfId="4792" xr:uid="{FAE5CCDC-C778-48D6-B481-4054E7385C0F}"/>
    <cellStyle name="Normal 3 2 5 2 3 2 2" xfId="11085" xr:uid="{39790B0B-E0B2-4A57-8444-A1F086BC73E2}"/>
    <cellStyle name="Normal 3 2 5 2 3 2 2 2" xfId="23767" xr:uid="{0C9BDC1F-CE10-4F7C-A5AD-8854376873A4}"/>
    <cellStyle name="Normal 3 2 5 2 3 2 2 2 2" xfId="49259" xr:uid="{D4D927AC-338B-46CD-B876-B045B20E37AA}"/>
    <cellStyle name="Normal 3 2 5 2 3 2 2 3" xfId="36668" xr:uid="{FCDCD770-4D98-4E40-BE3B-C30A5ADBB682}"/>
    <cellStyle name="Normal 3 2 5 2 3 2 3" xfId="17489" xr:uid="{9EAF9A50-CFC0-4634-84D8-A6EC0D5DAC39}"/>
    <cellStyle name="Normal 3 2 5 2 3 2 3 2" xfId="42981" xr:uid="{35984BAE-EF1D-4ACC-8C60-95E08BDD4B9E}"/>
    <cellStyle name="Normal 3 2 5 2 3 2 4" xfId="30390" xr:uid="{5FA46201-F7AD-4D2D-9684-0FC33FB73CF2}"/>
    <cellStyle name="Normal 3 2 5 2 3 3" xfId="7946" xr:uid="{B6E64BA2-6F5F-4503-A850-3789D134F519}"/>
    <cellStyle name="Normal 3 2 5 2 3 3 2" xfId="20628" xr:uid="{DCB6AE00-1055-4FE3-A33C-3F0E57F4CC39}"/>
    <cellStyle name="Normal 3 2 5 2 3 3 2 2" xfId="46120" xr:uid="{2E56DF82-EE6F-441B-963C-72133B5729CA}"/>
    <cellStyle name="Normal 3 2 5 2 3 3 3" xfId="33529" xr:uid="{5F4EC31D-7E86-424A-886A-507A861A5B1E}"/>
    <cellStyle name="Normal 3 2 5 2 3 4" xfId="14350" xr:uid="{89193D00-E480-48DD-8114-7BD04B702F38}"/>
    <cellStyle name="Normal 3 2 5 2 3 4 2" xfId="39842" xr:uid="{E99563A2-3A34-4588-9BA1-731F5211C1CE}"/>
    <cellStyle name="Normal 3 2 5 2 3 5" xfId="27251" xr:uid="{3D6D9CA9-FA1F-443C-A806-B0E96A7A6392}"/>
    <cellStyle name="Normal 3 2 5 2 4" xfId="2945" xr:uid="{0F13B062-BE83-4970-A231-F62DB2E6EF67}"/>
    <cellStyle name="Normal 3 2 5 2 4 2" xfId="6099" xr:uid="{612A8349-443B-45CD-9641-9316852ECED1}"/>
    <cellStyle name="Normal 3 2 5 2 4 2 2" xfId="12392" xr:uid="{F05BFC45-4D32-45BA-B84B-74FA194AC4B5}"/>
    <cellStyle name="Normal 3 2 5 2 4 2 2 2" xfId="25074" xr:uid="{1A5F9B5D-03E3-4C09-94A2-223C987AB1CD}"/>
    <cellStyle name="Normal 3 2 5 2 4 2 2 2 2" xfId="50566" xr:uid="{2818C659-AD07-46A1-9FD0-3A731DE48FA3}"/>
    <cellStyle name="Normal 3 2 5 2 4 2 2 3" xfId="37975" xr:uid="{83AC4ECD-B062-4F9E-B7BC-AFF43E5E2A90}"/>
    <cellStyle name="Normal 3 2 5 2 4 2 3" xfId="18796" xr:uid="{08662CAE-62E3-4430-A6B8-7EEAF64F14C8}"/>
    <cellStyle name="Normal 3 2 5 2 4 2 3 2" xfId="44288" xr:uid="{156D9B2E-0679-4E4D-9D77-30CB058655A8}"/>
    <cellStyle name="Normal 3 2 5 2 4 2 4" xfId="31697" xr:uid="{ECAD8BAB-D50B-4F53-9CA6-CC0A1B8D4370}"/>
    <cellStyle name="Normal 3 2 5 2 4 3" xfId="9253" xr:uid="{FD3DFAD8-203F-4968-B8B0-3DC89271A39C}"/>
    <cellStyle name="Normal 3 2 5 2 4 3 2" xfId="21935" xr:uid="{C0CB65A2-82A8-4498-8D5E-3D3B65797F29}"/>
    <cellStyle name="Normal 3 2 5 2 4 3 2 2" xfId="47427" xr:uid="{8777398A-1945-47BC-9EFA-1A62DB4C2746}"/>
    <cellStyle name="Normal 3 2 5 2 4 3 3" xfId="34836" xr:uid="{1BB7E617-EE8A-49C8-90C1-24B7D28C85C1}"/>
    <cellStyle name="Normal 3 2 5 2 4 4" xfId="15657" xr:uid="{548C3069-5C5B-438D-A208-BD3430D92BC8}"/>
    <cellStyle name="Normal 3 2 5 2 4 4 2" xfId="41149" xr:uid="{DC48AABB-910D-428D-BECA-12D5943C485E}"/>
    <cellStyle name="Normal 3 2 5 2 4 5" xfId="28558" xr:uid="{7A546BA6-D761-44D3-8148-3560D979F1A5}"/>
    <cellStyle name="Normal 3 2 5 2 5" xfId="3468" xr:uid="{C88992C5-BF75-4363-A95E-A5D5202D7757}"/>
    <cellStyle name="Normal 3 2 5 2 5 2" xfId="6622" xr:uid="{15C8E1CA-0ED9-44B2-878B-D1ABEE608ACC}"/>
    <cellStyle name="Normal 3 2 5 2 5 2 2" xfId="12915" xr:uid="{DBC6A570-F290-4F5E-93B7-33DAABE4D1D9}"/>
    <cellStyle name="Normal 3 2 5 2 5 2 2 2" xfId="25597" xr:uid="{5305A3C3-42C3-4985-B197-B2B4DD72D570}"/>
    <cellStyle name="Normal 3 2 5 2 5 2 2 2 2" xfId="51089" xr:uid="{8001B4DD-011D-467E-A01B-58B07CEC7B42}"/>
    <cellStyle name="Normal 3 2 5 2 5 2 2 3" xfId="38498" xr:uid="{D765DFFA-8FA8-485F-A445-6560FDB89096}"/>
    <cellStyle name="Normal 3 2 5 2 5 2 3" xfId="19319" xr:uid="{1A39F9FE-23D9-4B83-887D-574B2B26827E}"/>
    <cellStyle name="Normal 3 2 5 2 5 2 3 2" xfId="44811" xr:uid="{5665AC1D-E9C1-4706-9BB1-2374263452E0}"/>
    <cellStyle name="Normal 3 2 5 2 5 2 4" xfId="32220" xr:uid="{172743EA-9F1A-4C9E-9120-05B3309233A6}"/>
    <cellStyle name="Normal 3 2 5 2 5 3" xfId="9776" xr:uid="{93FF275D-F506-4CEF-AFA6-ECB41592B24B}"/>
    <cellStyle name="Normal 3 2 5 2 5 3 2" xfId="22458" xr:uid="{C517FB54-1480-4A32-882E-5682FC6BBE8F}"/>
    <cellStyle name="Normal 3 2 5 2 5 3 2 2" xfId="47950" xr:uid="{03DE6C9F-CBC3-46FB-B8C0-73E151C30B18}"/>
    <cellStyle name="Normal 3 2 5 2 5 3 3" xfId="35359" xr:uid="{B47E4046-D912-43CF-9C3A-6A6B1C4BF045}"/>
    <cellStyle name="Normal 3 2 5 2 5 4" xfId="16180" xr:uid="{EB4276CA-67EE-446B-98B6-48815240E546}"/>
    <cellStyle name="Normal 3 2 5 2 5 4 2" xfId="41672" xr:uid="{11089E82-5D9B-4944-A345-3300024CBBA7}"/>
    <cellStyle name="Normal 3 2 5 2 5 5" xfId="29081" xr:uid="{76ECF9B1-6529-4533-AD02-CA0D98AB6A47}"/>
    <cellStyle name="Normal 3 2 5 2 6" xfId="4268" xr:uid="{97554CBF-B108-4624-8891-7C62B50B7A05}"/>
    <cellStyle name="Normal 3 2 5 2 6 2" xfId="10561" xr:uid="{55A53770-B285-499E-B5E1-051552AD6684}"/>
    <cellStyle name="Normal 3 2 5 2 6 2 2" xfId="23243" xr:uid="{D06C78AE-5CB2-45C4-80C8-165418616E24}"/>
    <cellStyle name="Normal 3 2 5 2 6 2 2 2" xfId="48735" xr:uid="{E45AD778-D5C6-44F1-AC0D-ED48D5E1B34D}"/>
    <cellStyle name="Normal 3 2 5 2 6 2 3" xfId="36144" xr:uid="{10DFDC0F-925D-4FCA-B815-E4C32672F48E}"/>
    <cellStyle name="Normal 3 2 5 2 6 3" xfId="16965" xr:uid="{3B3465E5-F802-4C13-860B-9E57E56FB8F1}"/>
    <cellStyle name="Normal 3 2 5 2 6 3 2" xfId="42457" xr:uid="{3BBBAEEA-8FDC-4B64-98AE-9AA9F7F25778}"/>
    <cellStyle name="Normal 3 2 5 2 6 4" xfId="29866" xr:uid="{03BEEF45-A326-4F6B-94B0-DCCD8204426F}"/>
    <cellStyle name="Normal 3 2 5 2 7" xfId="7422" xr:uid="{517AC992-02D5-4985-9C08-56C5DAE47EDA}"/>
    <cellStyle name="Normal 3 2 5 2 7 2" xfId="20104" xr:uid="{FAC29F28-3AC7-4FC0-A3FE-B6B47EB147C7}"/>
    <cellStyle name="Normal 3 2 5 2 7 2 2" xfId="45596" xr:uid="{C21454ED-1A95-4C6A-9C66-B827C9A47E84}"/>
    <cellStyle name="Normal 3 2 5 2 7 3" xfId="33005" xr:uid="{9ED6E269-812C-49FB-9BC6-2318CA1042EC}"/>
    <cellStyle name="Normal 3 2 5 2 8" xfId="13826" xr:uid="{D869FA71-1764-455B-A422-06F29D3F628D}"/>
    <cellStyle name="Normal 3 2 5 2 8 2" xfId="39318" xr:uid="{0AA63D6D-7695-476E-BB89-ACF0DDB65E01}"/>
    <cellStyle name="Normal 3 2 5 2 9" xfId="26727" xr:uid="{A24EA6BE-84D1-43C9-91D9-3F64B45369E7}"/>
    <cellStyle name="Normal 3 2 5 3" xfId="854" xr:uid="{A9810652-B148-4BF4-9251-9262F5898410}"/>
    <cellStyle name="Normal 3 2 5 3 2" xfId="2161" xr:uid="{5983B406-FFBA-4915-A4C8-18374B743382}"/>
    <cellStyle name="Normal 3 2 5 3 2 2" xfId="5315" xr:uid="{26D1679A-AF33-400D-8573-AFD9AFE2778D}"/>
    <cellStyle name="Normal 3 2 5 3 2 2 2" xfId="11608" xr:uid="{32FE31BA-4A28-4875-B759-C4970E917470}"/>
    <cellStyle name="Normal 3 2 5 3 2 2 2 2" xfId="24290" xr:uid="{5F20384C-3F3A-4E2C-A38F-E61721199473}"/>
    <cellStyle name="Normal 3 2 5 3 2 2 2 2 2" xfId="49782" xr:uid="{90751116-B94C-430F-85CB-C14298B301B2}"/>
    <cellStyle name="Normal 3 2 5 3 2 2 2 3" xfId="37191" xr:uid="{5CB0E00F-9153-40D5-A8F1-8DC38335A955}"/>
    <cellStyle name="Normal 3 2 5 3 2 2 3" xfId="18012" xr:uid="{7E62EC8A-237F-42B8-81EB-6CE4974D6A8B}"/>
    <cellStyle name="Normal 3 2 5 3 2 2 3 2" xfId="43504" xr:uid="{346E7981-1F52-455D-A0D7-CDA89DD76E61}"/>
    <cellStyle name="Normal 3 2 5 3 2 2 4" xfId="30913" xr:uid="{ABEE4D63-A780-4D80-9EE2-4CB6CA2856F6}"/>
    <cellStyle name="Normal 3 2 5 3 2 3" xfId="8469" xr:uid="{607EB956-7946-4EBB-ADD0-41604F609FAC}"/>
    <cellStyle name="Normal 3 2 5 3 2 3 2" xfId="21151" xr:uid="{4B083456-7FE9-4E42-A09A-B2665361821D}"/>
    <cellStyle name="Normal 3 2 5 3 2 3 2 2" xfId="46643" xr:uid="{7B9B5BFB-FE91-4CDF-8A49-F035C114FA35}"/>
    <cellStyle name="Normal 3 2 5 3 2 3 3" xfId="34052" xr:uid="{F9ECE6C1-B771-4A0A-975B-899B2F0DC87F}"/>
    <cellStyle name="Normal 3 2 5 3 2 4" xfId="14873" xr:uid="{67160E9D-E2D0-4AB2-A0C5-359EB847936A}"/>
    <cellStyle name="Normal 3 2 5 3 2 4 2" xfId="40365" xr:uid="{BB5AA8A0-CB88-45C2-8A6A-A905DBC028C8}"/>
    <cellStyle name="Normal 3 2 5 3 2 5" xfId="27774" xr:uid="{45B97E89-DF3C-4BA9-8854-FA4F10154A23}"/>
    <cellStyle name="Normal 3 2 5 3 3" xfId="4008" xr:uid="{AA9FC3E4-6AF7-49B0-888F-737F58D2BE7B}"/>
    <cellStyle name="Normal 3 2 5 3 3 2" xfId="10301" xr:uid="{E0B06983-BE3E-4780-A452-EA59037CD81B}"/>
    <cellStyle name="Normal 3 2 5 3 3 2 2" xfId="22983" xr:uid="{B3307193-6246-4B16-B7AF-DDE81FF89B83}"/>
    <cellStyle name="Normal 3 2 5 3 3 2 2 2" xfId="48475" xr:uid="{7BB4E0F6-634D-40E6-9C3A-E200E85C6262}"/>
    <cellStyle name="Normal 3 2 5 3 3 2 3" xfId="35884" xr:uid="{9971F5F4-5108-4792-BB6B-FA9A8A7ACBAE}"/>
    <cellStyle name="Normal 3 2 5 3 3 3" xfId="16705" xr:uid="{72294321-28BD-48CE-B894-4DAD24FE3002}"/>
    <cellStyle name="Normal 3 2 5 3 3 3 2" xfId="42197" xr:uid="{DBCE6A2C-F234-4356-959E-AABCA625D344}"/>
    <cellStyle name="Normal 3 2 5 3 3 4" xfId="29606" xr:uid="{6EF15E9E-431B-4828-B9F9-0950D77F0776}"/>
    <cellStyle name="Normal 3 2 5 3 4" xfId="7162" xr:uid="{5A5600AB-CBF9-4476-A1D0-ADA329F5AC66}"/>
    <cellStyle name="Normal 3 2 5 3 4 2" xfId="19844" xr:uid="{DA06B4B0-8D0E-439A-B8EC-57E3BDFB0487}"/>
    <cellStyle name="Normal 3 2 5 3 4 2 2" xfId="45336" xr:uid="{21976C75-7912-42C6-B6AD-C4AA74CD504A}"/>
    <cellStyle name="Normal 3 2 5 3 4 3" xfId="32745" xr:uid="{599F9786-B56D-4339-9F4F-7798ED2A4637}"/>
    <cellStyle name="Normal 3 2 5 3 5" xfId="13566" xr:uid="{79E63586-4AE5-46B6-9DE9-83BDBAF10869}"/>
    <cellStyle name="Normal 3 2 5 3 5 2" xfId="39058" xr:uid="{0771861A-C976-44B2-B0BF-A942D10F744D}"/>
    <cellStyle name="Normal 3 2 5 3 6" xfId="26467" xr:uid="{2D8F3C8D-5408-48F9-A689-03539FF45E36}"/>
    <cellStyle name="Normal 3 2 5 4" xfId="1899" xr:uid="{2E3AF160-C7F8-475A-8CB3-D58C6A4F4B38}"/>
    <cellStyle name="Normal 3 2 5 4 2" xfId="5053" xr:uid="{19C01F63-E344-4156-817E-01EBDEA38084}"/>
    <cellStyle name="Normal 3 2 5 4 2 2" xfId="11346" xr:uid="{C075080F-C0D9-4975-83ED-D874FFFBB583}"/>
    <cellStyle name="Normal 3 2 5 4 2 2 2" xfId="24028" xr:uid="{25546B10-FA5D-4FE4-9EF1-2E851A8FBD27}"/>
    <cellStyle name="Normal 3 2 5 4 2 2 2 2" xfId="49520" xr:uid="{B1757B68-7BF6-4A24-9B30-EE51030179F1}"/>
    <cellStyle name="Normal 3 2 5 4 2 2 3" xfId="36929" xr:uid="{27224486-E08C-4714-A7F4-D4870085A18F}"/>
    <cellStyle name="Normal 3 2 5 4 2 3" xfId="17750" xr:uid="{F81DEE03-B0E7-4AC3-94CF-C788A8F598F8}"/>
    <cellStyle name="Normal 3 2 5 4 2 3 2" xfId="43242" xr:uid="{C470A0A4-39DB-4A34-AF67-B70A56B2CE4A}"/>
    <cellStyle name="Normal 3 2 5 4 2 4" xfId="30651" xr:uid="{B95B6590-97F6-45A5-9E8A-CF8BC6C2EB2D}"/>
    <cellStyle name="Normal 3 2 5 4 3" xfId="8207" xr:uid="{631A7E2D-7C80-46E3-8536-37CCAA69E661}"/>
    <cellStyle name="Normal 3 2 5 4 3 2" xfId="20889" xr:uid="{14E9DA9C-4116-4152-AC98-2661EA5C2339}"/>
    <cellStyle name="Normal 3 2 5 4 3 2 2" xfId="46381" xr:uid="{8F8FCB51-FFE8-409F-A3B7-7A62E8A3E817}"/>
    <cellStyle name="Normal 3 2 5 4 3 3" xfId="33790" xr:uid="{A022D1ED-18AA-4421-BC9E-9A3DF77454E1}"/>
    <cellStyle name="Normal 3 2 5 4 4" xfId="14611" xr:uid="{23387294-2682-4BBA-A011-98F0A078AFA1}"/>
    <cellStyle name="Normal 3 2 5 4 4 2" xfId="40103" xr:uid="{26EF0028-DA00-49D8-B680-9011EDFF5252}"/>
    <cellStyle name="Normal 3 2 5 4 5" xfId="27512" xr:uid="{8A247307-B884-4835-BFCB-77CE54B72460}"/>
    <cellStyle name="Normal 3 2 5 5" xfId="1377" xr:uid="{D6D225D9-B9FE-418D-94F5-9AF0A8D0D764}"/>
    <cellStyle name="Normal 3 2 5 5 2" xfId="4531" xr:uid="{4D5041AF-FBC2-4B33-B627-30C7763B9E3B}"/>
    <cellStyle name="Normal 3 2 5 5 2 2" xfId="10824" xr:uid="{3C28843E-0A72-4D66-AA19-DEBAB5EB74F1}"/>
    <cellStyle name="Normal 3 2 5 5 2 2 2" xfId="23506" xr:uid="{B0C65D62-70B0-4F43-81F0-18144A878514}"/>
    <cellStyle name="Normal 3 2 5 5 2 2 2 2" xfId="48998" xr:uid="{808480BB-4927-4874-989E-A4D5E00F216A}"/>
    <cellStyle name="Normal 3 2 5 5 2 2 3" xfId="36407" xr:uid="{7506F272-016A-4471-AB1E-36A08A2EA517}"/>
    <cellStyle name="Normal 3 2 5 5 2 3" xfId="17228" xr:uid="{CDCBC501-E32E-49BD-80F0-81454978782D}"/>
    <cellStyle name="Normal 3 2 5 5 2 3 2" xfId="42720" xr:uid="{3A37DD95-1558-4FA6-B3BE-3866DF503B82}"/>
    <cellStyle name="Normal 3 2 5 5 2 4" xfId="30129" xr:uid="{BE8D6F48-313C-465E-8F20-A272CD9AEACF}"/>
    <cellStyle name="Normal 3 2 5 5 3" xfId="7685" xr:uid="{4D10AF46-DB44-4247-AF32-98DF82064F2A}"/>
    <cellStyle name="Normal 3 2 5 5 3 2" xfId="20367" xr:uid="{6F1F1A5B-F2BC-4608-8C81-48A5C811FB97}"/>
    <cellStyle name="Normal 3 2 5 5 3 2 2" xfId="45859" xr:uid="{C719D07F-3B0C-471B-B423-CC0F650D7F7C}"/>
    <cellStyle name="Normal 3 2 5 5 3 3" xfId="33268" xr:uid="{91DAB954-D987-43D7-AD10-1167AE95CA93}"/>
    <cellStyle name="Normal 3 2 5 5 4" xfId="14089" xr:uid="{2C6EA899-64DE-4000-9157-905E6B222A15}"/>
    <cellStyle name="Normal 3 2 5 5 4 2" xfId="39581" xr:uid="{61CDA7C1-0BAE-4E40-AADD-741A4CACCECD}"/>
    <cellStyle name="Normal 3 2 5 5 5" xfId="26990" xr:uid="{6B732088-324A-4057-809B-7AFCE664A51B}"/>
    <cellStyle name="Normal 3 2 5 6" xfId="2684" xr:uid="{D93E0EC5-1AB2-40CF-AA82-0EEC7F5EEC00}"/>
    <cellStyle name="Normal 3 2 5 6 2" xfId="5838" xr:uid="{4D1DACE7-59C0-49DF-946F-A69C6EC16919}"/>
    <cellStyle name="Normal 3 2 5 6 2 2" xfId="12131" xr:uid="{AAE5BA83-5C40-4C24-860D-27825012E907}"/>
    <cellStyle name="Normal 3 2 5 6 2 2 2" xfId="24813" xr:uid="{191564C4-9AFD-4606-9A92-98CAB272E610}"/>
    <cellStyle name="Normal 3 2 5 6 2 2 2 2" xfId="50305" xr:uid="{51C4B01D-586A-419F-8452-0EBA90A80566}"/>
    <cellStyle name="Normal 3 2 5 6 2 2 3" xfId="37714" xr:uid="{B5BC67E6-DAD8-4467-9151-8D4579DDEBC0}"/>
    <cellStyle name="Normal 3 2 5 6 2 3" xfId="18535" xr:uid="{6ADB362C-B68B-4874-ACFB-575EF6C09EB9}"/>
    <cellStyle name="Normal 3 2 5 6 2 3 2" xfId="44027" xr:uid="{3E65FCF7-AA7C-43C2-A6B3-A646A559828B}"/>
    <cellStyle name="Normal 3 2 5 6 2 4" xfId="31436" xr:uid="{9956F1C8-7307-4FAF-92CC-834EC48913E2}"/>
    <cellStyle name="Normal 3 2 5 6 3" xfId="8992" xr:uid="{37D4BABA-CCF9-4D37-97FF-0864F1F24D3A}"/>
    <cellStyle name="Normal 3 2 5 6 3 2" xfId="21674" xr:uid="{394202B8-B6F7-4389-BF37-3CBB47A465AC}"/>
    <cellStyle name="Normal 3 2 5 6 3 2 2" xfId="47166" xr:uid="{F7724479-3F43-4C29-88F8-15929D03A3DD}"/>
    <cellStyle name="Normal 3 2 5 6 3 3" xfId="34575" xr:uid="{B05AED6F-6B63-4986-8DC4-DB7149F5427C}"/>
    <cellStyle name="Normal 3 2 5 6 4" xfId="15396" xr:uid="{7FFE1396-7100-447C-A823-C3AC79EC3753}"/>
    <cellStyle name="Normal 3 2 5 6 4 2" xfId="40888" xr:uid="{422B736E-D62A-4BF3-986D-B536DF3D6D06}"/>
    <cellStyle name="Normal 3 2 5 6 5" xfId="28297" xr:uid="{19E341EF-6B12-4087-A326-73F8941BEE38}"/>
    <cellStyle name="Normal 3 2 5 7" xfId="3207" xr:uid="{08D8F2B7-EADB-44B4-BA9C-FCFB6F2D44AB}"/>
    <cellStyle name="Normal 3 2 5 7 2" xfId="6361" xr:uid="{4E2D58EE-CD05-428A-8D72-C978E8521F2A}"/>
    <cellStyle name="Normal 3 2 5 7 2 2" xfId="12654" xr:uid="{8E7739F9-FF10-478A-AB24-1DA5707AE38E}"/>
    <cellStyle name="Normal 3 2 5 7 2 2 2" xfId="25336" xr:uid="{0630D6A6-59AF-4BA4-80A0-35BAAEF7C4C2}"/>
    <cellStyle name="Normal 3 2 5 7 2 2 2 2" xfId="50828" xr:uid="{29250895-BEC7-4E43-97E1-28866E17F103}"/>
    <cellStyle name="Normal 3 2 5 7 2 2 3" xfId="38237" xr:uid="{947C93C0-848C-4F21-B45A-D951721359D1}"/>
    <cellStyle name="Normal 3 2 5 7 2 3" xfId="19058" xr:uid="{1C9F8D40-7A41-4810-B8ED-1D8A255D0580}"/>
    <cellStyle name="Normal 3 2 5 7 2 3 2" xfId="44550" xr:uid="{E25184B5-A9DC-4404-9234-3C6723578E46}"/>
    <cellStyle name="Normal 3 2 5 7 2 4" xfId="31959" xr:uid="{87603869-67B9-4D11-B611-F84C0EBC0540}"/>
    <cellStyle name="Normal 3 2 5 7 3" xfId="9515" xr:uid="{D110DB7D-2D9B-4D0A-BAE8-640C4B51B5A6}"/>
    <cellStyle name="Normal 3 2 5 7 3 2" xfId="22197" xr:uid="{EC20A682-6CDE-4AEE-BCD2-41A005548712}"/>
    <cellStyle name="Normal 3 2 5 7 3 2 2" xfId="47689" xr:uid="{85DD1465-FA08-493E-93B5-0E9B5F8CA83C}"/>
    <cellStyle name="Normal 3 2 5 7 3 3" xfId="35098" xr:uid="{5554B0F9-988E-4C01-92E5-944D70339129}"/>
    <cellStyle name="Normal 3 2 5 7 4" xfId="15919" xr:uid="{A617E8B7-46D3-4590-83A9-AC64FCA6BFDD}"/>
    <cellStyle name="Normal 3 2 5 7 4 2" xfId="41411" xr:uid="{774F19C1-9336-4F08-94FA-42305CDCA065}"/>
    <cellStyle name="Normal 3 2 5 7 5" xfId="28820" xr:uid="{4D2DC9CE-F972-4EBF-A7DD-9279606D77FF}"/>
    <cellStyle name="Normal 3 2 5 8" xfId="3746" xr:uid="{5C834250-84FA-4512-B0D0-A879B490F952}"/>
    <cellStyle name="Normal 3 2 5 8 2" xfId="10039" xr:uid="{EAEDA94A-8C42-473B-BB51-D810B8EC3486}"/>
    <cellStyle name="Normal 3 2 5 8 2 2" xfId="22721" xr:uid="{6E6A6C36-1794-478B-B264-CC683CAF400B}"/>
    <cellStyle name="Normal 3 2 5 8 2 2 2" xfId="48213" xr:uid="{4FA81F74-BBF3-455E-89F4-62A5D38B51D0}"/>
    <cellStyle name="Normal 3 2 5 8 2 3" xfId="35622" xr:uid="{A9841C1C-149C-4B8E-BB5C-776E0C71C2AB}"/>
    <cellStyle name="Normal 3 2 5 8 3" xfId="16443" xr:uid="{BB9141BF-4185-4EE4-A8D3-B45E66386BD5}"/>
    <cellStyle name="Normal 3 2 5 8 3 2" xfId="41935" xr:uid="{EBE2D834-D9A9-496E-A916-7E485915C748}"/>
    <cellStyle name="Normal 3 2 5 8 4" xfId="29344" xr:uid="{FBB8704D-AD12-49CD-A7FE-67FDDA6B5D89}"/>
    <cellStyle name="Normal 3 2 5 9" xfId="6900" xr:uid="{5DC82AAC-1946-4BE0-B575-71A2F2620DDA}"/>
    <cellStyle name="Normal 3 2 5 9 2" xfId="19582" xr:uid="{8D9D3A1E-35A7-4F85-A4E9-E8CCBCD5584C}"/>
    <cellStyle name="Normal 3 2 5 9 2 2" xfId="45074" xr:uid="{59E74D6C-5AB2-4B33-9C37-DB7DAE6A0ED9}"/>
    <cellStyle name="Normal 3 2 5 9 3" xfId="32483" xr:uid="{D1637429-4A67-4F09-B633-A7EAC50349E3}"/>
    <cellStyle name="Normal 3 2 6" xfId="519" xr:uid="{1F4F57FC-55EA-44EE-8FCF-6BC4E91F4519}"/>
    <cellStyle name="Normal 3 2 6 10" xfId="13246" xr:uid="{DB710321-4308-4DF6-957F-205701268034}"/>
    <cellStyle name="Normal 3 2 6 10 2" xfId="38738" xr:uid="{20FCEDE6-FBC3-40BC-99DD-C1839415B0D8}"/>
    <cellStyle name="Normal 3 2 6 11" xfId="26147" xr:uid="{C77B3B13-6869-4D85-901E-2266E47B350F}"/>
    <cellStyle name="Normal 3 2 6 2" xfId="1056" xr:uid="{DAD1D333-87B5-4E44-9D9F-F8C63A0A20D4}"/>
    <cellStyle name="Normal 3 2 6 2 2" xfId="2363" xr:uid="{011D2943-465A-40C3-84F5-C0A74411F83A}"/>
    <cellStyle name="Normal 3 2 6 2 2 2" xfId="5517" xr:uid="{A69DBF12-4402-4A8A-BE8C-0481B563170F}"/>
    <cellStyle name="Normal 3 2 6 2 2 2 2" xfId="11810" xr:uid="{7BCE46F7-01D2-4A41-AC04-3A22F876A6FD}"/>
    <cellStyle name="Normal 3 2 6 2 2 2 2 2" xfId="24492" xr:uid="{5A904997-09E5-4D65-A144-1BDE129EAEF6}"/>
    <cellStyle name="Normal 3 2 6 2 2 2 2 2 2" xfId="49984" xr:uid="{5EC6591A-2A47-4679-968C-FE09A46615A9}"/>
    <cellStyle name="Normal 3 2 6 2 2 2 2 3" xfId="37393" xr:uid="{D258B19F-2634-44BD-AC4F-41B84D81858B}"/>
    <cellStyle name="Normal 3 2 6 2 2 2 3" xfId="18214" xr:uid="{9C0DBD96-EC6E-4A6E-ADD8-D6C066CE948A}"/>
    <cellStyle name="Normal 3 2 6 2 2 2 3 2" xfId="43706" xr:uid="{05FE3D8B-FFEB-4940-A4FD-589D09A8968B}"/>
    <cellStyle name="Normal 3 2 6 2 2 2 4" xfId="31115" xr:uid="{2C9641EB-1061-4229-B619-B2B56F4D934A}"/>
    <cellStyle name="Normal 3 2 6 2 2 3" xfId="8671" xr:uid="{ADE30083-7974-4F19-BA72-CF8221E914F1}"/>
    <cellStyle name="Normal 3 2 6 2 2 3 2" xfId="21353" xr:uid="{7491437C-5273-42F0-B1D3-675E51B3AD21}"/>
    <cellStyle name="Normal 3 2 6 2 2 3 2 2" xfId="46845" xr:uid="{54234E7C-7FDA-4285-991F-C83EA72C2698}"/>
    <cellStyle name="Normal 3 2 6 2 2 3 3" xfId="34254" xr:uid="{0918928C-EB5C-48EB-93A2-0E943D7D0AC8}"/>
    <cellStyle name="Normal 3 2 6 2 2 4" xfId="15075" xr:uid="{69F122D6-81C8-4B9F-B045-A1EAB8FD2CF9}"/>
    <cellStyle name="Normal 3 2 6 2 2 4 2" xfId="40567" xr:uid="{9BD8A6B0-1236-45C4-9DCF-06FF55E8607E}"/>
    <cellStyle name="Normal 3 2 6 2 2 5" xfId="27976" xr:uid="{996EA51A-240B-4BE8-8431-C1FD4B3351F9}"/>
    <cellStyle name="Normal 3 2 6 2 3" xfId="1580" xr:uid="{4ECB2880-0173-404A-9FAC-9CA667C6C776}"/>
    <cellStyle name="Normal 3 2 6 2 3 2" xfId="4734" xr:uid="{49788B10-B463-4307-9492-3B64A9B3141A}"/>
    <cellStyle name="Normal 3 2 6 2 3 2 2" xfId="11027" xr:uid="{B26967FB-D08B-4F94-A298-4C2D39283EF1}"/>
    <cellStyle name="Normal 3 2 6 2 3 2 2 2" xfId="23709" xr:uid="{2B71A133-8B33-4482-A8CA-D3A846D7CA83}"/>
    <cellStyle name="Normal 3 2 6 2 3 2 2 2 2" xfId="49201" xr:uid="{C812A16E-02F4-4F4A-B3B4-4DE57826A753}"/>
    <cellStyle name="Normal 3 2 6 2 3 2 2 3" xfId="36610" xr:uid="{68149F0B-8C0E-49D3-8618-8395C584A108}"/>
    <cellStyle name="Normal 3 2 6 2 3 2 3" xfId="17431" xr:uid="{9965B3F7-08CB-47E1-AB3D-38B959C9E58B}"/>
    <cellStyle name="Normal 3 2 6 2 3 2 3 2" xfId="42923" xr:uid="{8C0EAC55-274A-498D-81CB-76A2821EA103}"/>
    <cellStyle name="Normal 3 2 6 2 3 2 4" xfId="30332" xr:uid="{4AF1775F-8413-4B00-8D52-510A99D06CB1}"/>
    <cellStyle name="Normal 3 2 6 2 3 3" xfId="7888" xr:uid="{C7955E44-4CDC-40C6-87B4-91EA6F5756A1}"/>
    <cellStyle name="Normal 3 2 6 2 3 3 2" xfId="20570" xr:uid="{CDF71F17-CCDC-4500-815D-9486FDC59935}"/>
    <cellStyle name="Normal 3 2 6 2 3 3 2 2" xfId="46062" xr:uid="{39D14FB9-411A-40D4-84F6-EDA6021AC8CD}"/>
    <cellStyle name="Normal 3 2 6 2 3 3 3" xfId="33471" xr:uid="{B83872D0-F571-434F-B7B4-7AE006D9FE8A}"/>
    <cellStyle name="Normal 3 2 6 2 3 4" xfId="14292" xr:uid="{EA8AC596-42CD-44BB-87EF-464CCAE1C8B3}"/>
    <cellStyle name="Normal 3 2 6 2 3 4 2" xfId="39784" xr:uid="{D92FBD45-E09B-4799-88E0-C4429C038EC3}"/>
    <cellStyle name="Normal 3 2 6 2 3 5" xfId="27193" xr:uid="{553AA637-BEA3-456B-BA5B-AABE7D7926F4}"/>
    <cellStyle name="Normal 3 2 6 2 4" xfId="2887" xr:uid="{66DEA3ED-569D-46E3-9A8F-34FAC0079256}"/>
    <cellStyle name="Normal 3 2 6 2 4 2" xfId="6041" xr:uid="{3DEBF6A9-A7B0-4C5D-AD60-0F27D9B98E1C}"/>
    <cellStyle name="Normal 3 2 6 2 4 2 2" xfId="12334" xr:uid="{F9E8081E-31BE-4BE5-BA3E-C0484DD54145}"/>
    <cellStyle name="Normal 3 2 6 2 4 2 2 2" xfId="25016" xr:uid="{6FBDA856-7B74-4E94-87FD-2974731870E2}"/>
    <cellStyle name="Normal 3 2 6 2 4 2 2 2 2" xfId="50508" xr:uid="{112488FE-F95A-4094-96C0-31D6A7493F7E}"/>
    <cellStyle name="Normal 3 2 6 2 4 2 2 3" xfId="37917" xr:uid="{B65FA82E-94EC-421C-9207-98DC33013B59}"/>
    <cellStyle name="Normal 3 2 6 2 4 2 3" xfId="18738" xr:uid="{52507E80-97E5-4620-9667-7B90B67B488F}"/>
    <cellStyle name="Normal 3 2 6 2 4 2 3 2" xfId="44230" xr:uid="{6FD1ACF7-010F-4831-96B3-F555E8977C76}"/>
    <cellStyle name="Normal 3 2 6 2 4 2 4" xfId="31639" xr:uid="{6CA20829-E241-4D4A-ACB2-6FDFC7CEE0C0}"/>
    <cellStyle name="Normal 3 2 6 2 4 3" xfId="9195" xr:uid="{323DDFF8-40D2-4726-A5A5-51F73E067F24}"/>
    <cellStyle name="Normal 3 2 6 2 4 3 2" xfId="21877" xr:uid="{0C6CF159-E3F0-4CD3-88FA-DCCE747FEF06}"/>
    <cellStyle name="Normal 3 2 6 2 4 3 2 2" xfId="47369" xr:uid="{6A0C1CBF-3764-4612-99E5-F9D18B2B74CA}"/>
    <cellStyle name="Normal 3 2 6 2 4 3 3" xfId="34778" xr:uid="{98CBED09-6234-400F-8D08-69793EDF119D}"/>
    <cellStyle name="Normal 3 2 6 2 4 4" xfId="15599" xr:uid="{E5CA290D-2F31-4E0B-B3A4-C2C5AD08F8AA}"/>
    <cellStyle name="Normal 3 2 6 2 4 4 2" xfId="41091" xr:uid="{01C3F6B2-4ADB-4CE4-B677-14703C1097DB}"/>
    <cellStyle name="Normal 3 2 6 2 4 5" xfId="28500" xr:uid="{A2C42A98-F993-48AC-8FB3-D4E49DF363AD}"/>
    <cellStyle name="Normal 3 2 6 2 5" xfId="3410" xr:uid="{4D66283C-9E54-4D76-85D2-721073189926}"/>
    <cellStyle name="Normal 3 2 6 2 5 2" xfId="6564" xr:uid="{ACB94DA1-222D-42A7-B63C-C0C41ACE2F18}"/>
    <cellStyle name="Normal 3 2 6 2 5 2 2" xfId="12857" xr:uid="{B1B7C4B4-34BA-4D5C-8384-73513214E7EE}"/>
    <cellStyle name="Normal 3 2 6 2 5 2 2 2" xfId="25539" xr:uid="{5ACAB5B7-4663-4C8A-A8B9-B95B1E8C045E}"/>
    <cellStyle name="Normal 3 2 6 2 5 2 2 2 2" xfId="51031" xr:uid="{E18F474B-6361-47F7-817C-C8050C26BAFC}"/>
    <cellStyle name="Normal 3 2 6 2 5 2 2 3" xfId="38440" xr:uid="{E2492F9B-D04F-4B85-8541-387AF62C4EC5}"/>
    <cellStyle name="Normal 3 2 6 2 5 2 3" xfId="19261" xr:uid="{FA5234A8-D6F2-40E4-AB53-C160115EE290}"/>
    <cellStyle name="Normal 3 2 6 2 5 2 3 2" xfId="44753" xr:uid="{78F6704F-E473-4030-9FC6-83E2D71ECDAA}"/>
    <cellStyle name="Normal 3 2 6 2 5 2 4" xfId="32162" xr:uid="{881EC93F-CE95-49F4-A880-EF0B17159017}"/>
    <cellStyle name="Normal 3 2 6 2 5 3" xfId="9718" xr:uid="{B3B8121F-B62B-4CE2-B827-45BA2C7AA82F}"/>
    <cellStyle name="Normal 3 2 6 2 5 3 2" xfId="22400" xr:uid="{158E5E28-1BFF-4AEC-A71D-8D455C7EBFAD}"/>
    <cellStyle name="Normal 3 2 6 2 5 3 2 2" xfId="47892" xr:uid="{5F6E621B-B508-4507-A4B0-C6CE73F89252}"/>
    <cellStyle name="Normal 3 2 6 2 5 3 3" xfId="35301" xr:uid="{F0F6B6BD-8344-4E81-9148-F6B2851A4559}"/>
    <cellStyle name="Normal 3 2 6 2 5 4" xfId="16122" xr:uid="{0476376D-10F0-4878-8BB8-E10B64DB9E3E}"/>
    <cellStyle name="Normal 3 2 6 2 5 4 2" xfId="41614" xr:uid="{13E60D34-A553-496C-8A8A-E6928EC98F0D}"/>
    <cellStyle name="Normal 3 2 6 2 5 5" xfId="29023" xr:uid="{EA62048E-3C4F-488D-920B-9938FF85E903}"/>
    <cellStyle name="Normal 3 2 6 2 6" xfId="4210" xr:uid="{BD1BCA35-7910-4CA5-ABD3-387D1398F41E}"/>
    <cellStyle name="Normal 3 2 6 2 6 2" xfId="10503" xr:uid="{A2D8A88A-8624-43B4-AE57-8AA5CCB93FB5}"/>
    <cellStyle name="Normal 3 2 6 2 6 2 2" xfId="23185" xr:uid="{EFED0E6C-0A5B-4156-9D1F-6097A99C8F62}"/>
    <cellStyle name="Normal 3 2 6 2 6 2 2 2" xfId="48677" xr:uid="{C72E4777-A7A9-4EBD-B576-3B9D042EAD70}"/>
    <cellStyle name="Normal 3 2 6 2 6 2 3" xfId="36086" xr:uid="{582BCC32-8B7B-42B6-90B1-F5F821016103}"/>
    <cellStyle name="Normal 3 2 6 2 6 3" xfId="16907" xr:uid="{3C50382C-8B9D-4A64-8EFE-A97521819B67}"/>
    <cellStyle name="Normal 3 2 6 2 6 3 2" xfId="42399" xr:uid="{397421B6-E116-48BC-9AE6-02F0F55708A2}"/>
    <cellStyle name="Normal 3 2 6 2 6 4" xfId="29808" xr:uid="{C4D54114-3999-402C-881C-B7579D1D5F43}"/>
    <cellStyle name="Normal 3 2 6 2 7" xfId="7364" xr:uid="{240DA46F-3452-4907-8432-786B536275FE}"/>
    <cellStyle name="Normal 3 2 6 2 7 2" xfId="20046" xr:uid="{7DFEE5D0-A559-4F2D-9FA4-5CE722813C49}"/>
    <cellStyle name="Normal 3 2 6 2 7 2 2" xfId="45538" xr:uid="{0055BDB4-F141-4D9C-B7B4-D8DD5E991F7A}"/>
    <cellStyle name="Normal 3 2 6 2 7 3" xfId="32947" xr:uid="{9205D148-F321-4E0C-96C8-8B068B579606}"/>
    <cellStyle name="Normal 3 2 6 2 8" xfId="13768" xr:uid="{4700EE8D-65CA-45A1-8312-CA2674F3865E}"/>
    <cellStyle name="Normal 3 2 6 2 8 2" xfId="39260" xr:uid="{C4CE4606-A316-4D02-A2D6-D86A89F8AB9A}"/>
    <cellStyle name="Normal 3 2 6 2 9" xfId="26669" xr:uid="{EDD4D589-1AD8-41B5-8CD4-D0DF1717320E}"/>
    <cellStyle name="Normal 3 2 6 3" xfId="796" xr:uid="{76CA189A-3220-4D80-AC86-70D9186888FD}"/>
    <cellStyle name="Normal 3 2 6 3 2" xfId="2103" xr:uid="{6A664FF0-577F-473B-932C-42E570D756C6}"/>
    <cellStyle name="Normal 3 2 6 3 2 2" xfId="5257" xr:uid="{D5C8B0F8-BBA5-4EA9-A27F-F8A783FFEA83}"/>
    <cellStyle name="Normal 3 2 6 3 2 2 2" xfId="11550" xr:uid="{C7531351-219A-428D-884A-D34129811FB2}"/>
    <cellStyle name="Normal 3 2 6 3 2 2 2 2" xfId="24232" xr:uid="{334DE7ED-E429-42B5-B8F9-0E1BB7BBA644}"/>
    <cellStyle name="Normal 3 2 6 3 2 2 2 2 2" xfId="49724" xr:uid="{F689B2BC-1EB8-4CBE-8272-EC19C6ECE191}"/>
    <cellStyle name="Normal 3 2 6 3 2 2 2 3" xfId="37133" xr:uid="{E09C1A04-AB2B-4AFC-83FE-83D1178E7D39}"/>
    <cellStyle name="Normal 3 2 6 3 2 2 3" xfId="17954" xr:uid="{8AB83139-C973-42DB-831C-4152B9436E50}"/>
    <cellStyle name="Normal 3 2 6 3 2 2 3 2" xfId="43446" xr:uid="{751F69F9-DAFE-484A-A064-587930C9AC33}"/>
    <cellStyle name="Normal 3 2 6 3 2 2 4" xfId="30855" xr:uid="{58714E76-99B7-43FA-86F8-D0D635C89B8D}"/>
    <cellStyle name="Normal 3 2 6 3 2 3" xfId="8411" xr:uid="{5B46F445-1D88-453E-8707-6BC141BA54C2}"/>
    <cellStyle name="Normal 3 2 6 3 2 3 2" xfId="21093" xr:uid="{CA333F07-512B-4F20-970A-428BEC99589C}"/>
    <cellStyle name="Normal 3 2 6 3 2 3 2 2" xfId="46585" xr:uid="{2EBAAFC5-3B84-44E8-AA4A-F5C5CB9F915D}"/>
    <cellStyle name="Normal 3 2 6 3 2 3 3" xfId="33994" xr:uid="{41B488BA-7BB1-41BD-86E9-D24DE8097513}"/>
    <cellStyle name="Normal 3 2 6 3 2 4" xfId="14815" xr:uid="{1C96A2B8-4046-4012-9773-2164312ED4D5}"/>
    <cellStyle name="Normal 3 2 6 3 2 4 2" xfId="40307" xr:uid="{E6F24035-69D8-4625-AA18-E7530482FAC3}"/>
    <cellStyle name="Normal 3 2 6 3 2 5" xfId="27716" xr:uid="{9C1C6733-E7CE-4DB7-A7C1-6961FA1735D8}"/>
    <cellStyle name="Normal 3 2 6 3 3" xfId="3950" xr:uid="{B571E8C1-C775-416B-BA40-C5A9A4CB2375}"/>
    <cellStyle name="Normal 3 2 6 3 3 2" xfId="10243" xr:uid="{A06CDA8D-9CB5-4652-8C0E-9BCFF9486423}"/>
    <cellStyle name="Normal 3 2 6 3 3 2 2" xfId="22925" xr:uid="{E48BA146-11F1-432D-B533-D0773A1FA0BC}"/>
    <cellStyle name="Normal 3 2 6 3 3 2 2 2" xfId="48417" xr:uid="{C89C5E88-14D2-43FD-97BA-AF0BCBB5878D}"/>
    <cellStyle name="Normal 3 2 6 3 3 2 3" xfId="35826" xr:uid="{6FE52D97-E578-4380-9091-DC7254484CCA}"/>
    <cellStyle name="Normal 3 2 6 3 3 3" xfId="16647" xr:uid="{6C63C203-852B-49B7-8C51-DA9655977DD1}"/>
    <cellStyle name="Normal 3 2 6 3 3 3 2" xfId="42139" xr:uid="{51EF4A3B-C41B-4D45-8063-5A2E3856F111}"/>
    <cellStyle name="Normal 3 2 6 3 3 4" xfId="29548" xr:uid="{CFDBF255-C006-406C-92BE-BE6CF606CA4F}"/>
    <cellStyle name="Normal 3 2 6 3 4" xfId="7104" xr:uid="{AB57BE7D-3F65-4992-8124-6B0400E201EF}"/>
    <cellStyle name="Normal 3 2 6 3 4 2" xfId="19786" xr:uid="{8D7EF983-427C-4225-AE9C-5943C2351F17}"/>
    <cellStyle name="Normal 3 2 6 3 4 2 2" xfId="45278" xr:uid="{42349CCA-BC94-4F91-B24D-4029C612E815}"/>
    <cellStyle name="Normal 3 2 6 3 4 3" xfId="32687" xr:uid="{72019113-5884-470E-AE1F-45FB978211E1}"/>
    <cellStyle name="Normal 3 2 6 3 5" xfId="13508" xr:uid="{1CE60732-9DCB-4BE3-8D66-3E184F950491}"/>
    <cellStyle name="Normal 3 2 6 3 5 2" xfId="39000" xr:uid="{A54C3EB7-B726-48E1-AF35-28117D218CEE}"/>
    <cellStyle name="Normal 3 2 6 3 6" xfId="26409" xr:uid="{F45555D9-E997-4DE0-8EE9-B3B43440A37E}"/>
    <cellStyle name="Normal 3 2 6 4" xfId="1841" xr:uid="{C979AD13-7020-4A45-A9E1-E52B07263688}"/>
    <cellStyle name="Normal 3 2 6 4 2" xfId="4995" xr:uid="{A403833C-C522-4637-B79A-15D35FA2B0C4}"/>
    <cellStyle name="Normal 3 2 6 4 2 2" xfId="11288" xr:uid="{4A976FC3-ADBD-4D77-B596-46FE3FBF297C}"/>
    <cellStyle name="Normal 3 2 6 4 2 2 2" xfId="23970" xr:uid="{E205D329-B8F7-4E43-91B6-8B02550432F4}"/>
    <cellStyle name="Normal 3 2 6 4 2 2 2 2" xfId="49462" xr:uid="{09F7F1BD-B0C8-4895-8BBA-1A859699B17B}"/>
    <cellStyle name="Normal 3 2 6 4 2 2 3" xfId="36871" xr:uid="{411DFFF5-607A-4C58-917C-2CB5F3B5C923}"/>
    <cellStyle name="Normal 3 2 6 4 2 3" xfId="17692" xr:uid="{204B253A-D846-4BE6-94FF-B065DD4ABEA2}"/>
    <cellStyle name="Normal 3 2 6 4 2 3 2" xfId="43184" xr:uid="{F9FC0F80-A97A-465B-8C22-BA46CBF3662D}"/>
    <cellStyle name="Normal 3 2 6 4 2 4" xfId="30593" xr:uid="{ABF181EF-5C8B-44E3-9E68-3495649798C1}"/>
    <cellStyle name="Normal 3 2 6 4 3" xfId="8149" xr:uid="{AFF57BB9-63DE-442F-8104-42F25C0864B2}"/>
    <cellStyle name="Normal 3 2 6 4 3 2" xfId="20831" xr:uid="{C371F0C4-49F0-4D06-A326-F78A0D2D84F9}"/>
    <cellStyle name="Normal 3 2 6 4 3 2 2" xfId="46323" xr:uid="{E37200D6-82B6-40B1-9A57-F4EC1AD4F6AB}"/>
    <cellStyle name="Normal 3 2 6 4 3 3" xfId="33732" xr:uid="{87B5D4DF-CB2C-4C02-B3AA-642EF210BE5A}"/>
    <cellStyle name="Normal 3 2 6 4 4" xfId="14553" xr:uid="{490B5AA7-18BD-4438-B53E-8FCE4D6008E2}"/>
    <cellStyle name="Normal 3 2 6 4 4 2" xfId="40045" xr:uid="{34CBAD87-4950-475B-BEE4-9BD5E7CC139B}"/>
    <cellStyle name="Normal 3 2 6 4 5" xfId="27454" xr:uid="{BBDBA012-873D-4AE4-BB88-A8D585B95D8E}"/>
    <cellStyle name="Normal 3 2 6 5" xfId="1319" xr:uid="{EB3DFEFA-510F-4E0D-89AB-31135F8BB971}"/>
    <cellStyle name="Normal 3 2 6 5 2" xfId="4473" xr:uid="{6C4B3FB7-9CAB-4F4C-A5E4-DCD661A0BC25}"/>
    <cellStyle name="Normal 3 2 6 5 2 2" xfId="10766" xr:uid="{967F5E24-6757-46CB-ACB5-C6F5D517405E}"/>
    <cellStyle name="Normal 3 2 6 5 2 2 2" xfId="23448" xr:uid="{2C91C305-E146-4685-8D72-9F90295BB7FF}"/>
    <cellStyle name="Normal 3 2 6 5 2 2 2 2" xfId="48940" xr:uid="{09974EF5-EBF5-4B20-B71E-4A70992ADEDB}"/>
    <cellStyle name="Normal 3 2 6 5 2 2 3" xfId="36349" xr:uid="{4D174794-9E02-4F20-B3C0-DF1D8C7F09C7}"/>
    <cellStyle name="Normal 3 2 6 5 2 3" xfId="17170" xr:uid="{E9882DD0-066F-4995-8CE5-351DF6A585BF}"/>
    <cellStyle name="Normal 3 2 6 5 2 3 2" xfId="42662" xr:uid="{D2E70446-75AF-4418-A3C7-897C1A1B26BC}"/>
    <cellStyle name="Normal 3 2 6 5 2 4" xfId="30071" xr:uid="{DC3D6396-B2FD-4714-963B-BF8B258D8141}"/>
    <cellStyle name="Normal 3 2 6 5 3" xfId="7627" xr:uid="{AC7E276C-1DD4-4579-84CE-2BFE5EB6890A}"/>
    <cellStyle name="Normal 3 2 6 5 3 2" xfId="20309" xr:uid="{1BD25235-BB27-4D66-8052-4B80103937E0}"/>
    <cellStyle name="Normal 3 2 6 5 3 2 2" xfId="45801" xr:uid="{A673661C-AAF7-4DFF-966A-A6CCBA7C8D8C}"/>
    <cellStyle name="Normal 3 2 6 5 3 3" xfId="33210" xr:uid="{9F2A3B95-5231-4348-BDA1-CF4280AD8297}"/>
    <cellStyle name="Normal 3 2 6 5 4" xfId="14031" xr:uid="{97A7CFA6-C225-41CA-A544-F6F26231726F}"/>
    <cellStyle name="Normal 3 2 6 5 4 2" xfId="39523" xr:uid="{5CEF4D5B-B329-4EEE-92B9-DEB9689AA834}"/>
    <cellStyle name="Normal 3 2 6 5 5" xfId="26932" xr:uid="{93AD6C0A-9756-4E07-BFDF-FE17309844C1}"/>
    <cellStyle name="Normal 3 2 6 6" xfId="2626" xr:uid="{B0FF0009-5203-4BA8-9360-9E7FC22DAEF3}"/>
    <cellStyle name="Normal 3 2 6 6 2" xfId="5780" xr:uid="{0C2C4342-769D-4C77-AC4E-226F14EC992B}"/>
    <cellStyle name="Normal 3 2 6 6 2 2" xfId="12073" xr:uid="{75BB49F1-4AB4-4AFB-A07C-0D66B4119321}"/>
    <cellStyle name="Normal 3 2 6 6 2 2 2" xfId="24755" xr:uid="{7BB8D670-0FAF-4D6D-9B83-E4D524855D9A}"/>
    <cellStyle name="Normal 3 2 6 6 2 2 2 2" xfId="50247" xr:uid="{B2536CDB-746A-4378-B650-6DB0D60861BD}"/>
    <cellStyle name="Normal 3 2 6 6 2 2 3" xfId="37656" xr:uid="{D34A3148-F551-4E5E-841B-6774A2D71534}"/>
    <cellStyle name="Normal 3 2 6 6 2 3" xfId="18477" xr:uid="{1BEE2957-7384-4B7A-9352-0407141B8F16}"/>
    <cellStyle name="Normal 3 2 6 6 2 3 2" xfId="43969" xr:uid="{F4020F3C-046C-4BA2-BDB9-000B3DBBE6D2}"/>
    <cellStyle name="Normal 3 2 6 6 2 4" xfId="31378" xr:uid="{2243EECE-34D1-46DD-8D33-35E2DE7B7F47}"/>
    <cellStyle name="Normal 3 2 6 6 3" xfId="8934" xr:uid="{2D1529B3-0354-4F36-9772-A38CD83FD69E}"/>
    <cellStyle name="Normal 3 2 6 6 3 2" xfId="21616" xr:uid="{5422019F-4898-4460-9342-078692167A98}"/>
    <cellStyle name="Normal 3 2 6 6 3 2 2" xfId="47108" xr:uid="{45FB703F-58FB-4D9B-969D-0E5E3C29E4A9}"/>
    <cellStyle name="Normal 3 2 6 6 3 3" xfId="34517" xr:uid="{41584D52-AB4D-4EA8-8F95-5ECF3375EFCC}"/>
    <cellStyle name="Normal 3 2 6 6 4" xfId="15338" xr:uid="{AF1DD14C-549B-4BD9-9C0C-7E08D445EB59}"/>
    <cellStyle name="Normal 3 2 6 6 4 2" xfId="40830" xr:uid="{79ACB663-1112-4FA5-9182-8FB14747E149}"/>
    <cellStyle name="Normal 3 2 6 6 5" xfId="28239" xr:uid="{6BFC0996-0D1A-4FD4-8E29-9BE4F888A1B5}"/>
    <cellStyle name="Normal 3 2 6 7" xfId="3149" xr:uid="{C2517BFD-E367-47FC-A42D-B18D1973554C}"/>
    <cellStyle name="Normal 3 2 6 7 2" xfId="6303" xr:uid="{9279A175-9101-4FC4-BAAC-8007EB3448E6}"/>
    <cellStyle name="Normal 3 2 6 7 2 2" xfId="12596" xr:uid="{BE5C8D57-B2D8-4BC3-A396-FFD5C1B6D27F}"/>
    <cellStyle name="Normal 3 2 6 7 2 2 2" xfId="25278" xr:uid="{16D617D8-1428-4016-928B-3864F3757B5E}"/>
    <cellStyle name="Normal 3 2 6 7 2 2 2 2" xfId="50770" xr:uid="{3D31536E-5AB8-4132-86E0-E49D9248191C}"/>
    <cellStyle name="Normal 3 2 6 7 2 2 3" xfId="38179" xr:uid="{B135ADA6-B4D8-4AC3-931B-CDA168AE5DE1}"/>
    <cellStyle name="Normal 3 2 6 7 2 3" xfId="19000" xr:uid="{D339FE3B-B195-48D7-A508-9B383A748AB5}"/>
    <cellStyle name="Normal 3 2 6 7 2 3 2" xfId="44492" xr:uid="{40693C1A-414C-4931-A8D7-665B784AC619}"/>
    <cellStyle name="Normal 3 2 6 7 2 4" xfId="31901" xr:uid="{A224C8DC-D008-421B-B827-DB1E8E413E0E}"/>
    <cellStyle name="Normal 3 2 6 7 3" xfId="9457" xr:uid="{8354F3E1-BC88-478F-B2AC-E2A1319CC0B7}"/>
    <cellStyle name="Normal 3 2 6 7 3 2" xfId="22139" xr:uid="{C393ACE4-6193-4248-9BAF-74C18AEC65D8}"/>
    <cellStyle name="Normal 3 2 6 7 3 2 2" xfId="47631" xr:uid="{AEAC995E-0975-4A36-84E8-686961264BEB}"/>
    <cellStyle name="Normal 3 2 6 7 3 3" xfId="35040" xr:uid="{E69696C4-E5E4-40D1-A276-E8C1D24A9969}"/>
    <cellStyle name="Normal 3 2 6 7 4" xfId="15861" xr:uid="{16955ACF-0E7A-4373-93BE-99DB9B87C39F}"/>
    <cellStyle name="Normal 3 2 6 7 4 2" xfId="41353" xr:uid="{DC0C3320-7E77-4334-AE46-85D3CE161269}"/>
    <cellStyle name="Normal 3 2 6 7 5" xfId="28762" xr:uid="{F50B7847-5D49-4155-9014-04BFB8B85729}"/>
    <cellStyle name="Normal 3 2 6 8" xfId="3688" xr:uid="{85C0F1A0-B2BC-4AAC-86CB-7F514B24C183}"/>
    <cellStyle name="Normal 3 2 6 8 2" xfId="9981" xr:uid="{A14CE66D-87DA-4EB0-B008-5132C5DE575E}"/>
    <cellStyle name="Normal 3 2 6 8 2 2" xfId="22663" xr:uid="{CF831816-1D18-4FE4-AE93-A739A296F0F5}"/>
    <cellStyle name="Normal 3 2 6 8 2 2 2" xfId="48155" xr:uid="{E1ADBA8A-6F35-4407-B2E3-C47205924DCF}"/>
    <cellStyle name="Normal 3 2 6 8 2 3" xfId="35564" xr:uid="{7C563839-1548-49C0-A11F-B69DDAFFCF93}"/>
    <cellStyle name="Normal 3 2 6 8 3" xfId="16385" xr:uid="{7160DB05-82D6-4CD4-BFBB-5F766F83897E}"/>
    <cellStyle name="Normal 3 2 6 8 3 2" xfId="41877" xr:uid="{54FDEEE0-D438-492B-A3AA-4E391759F7E0}"/>
    <cellStyle name="Normal 3 2 6 8 4" xfId="29286" xr:uid="{CE53822B-3B0C-4595-B146-04FC318117C8}"/>
    <cellStyle name="Normal 3 2 6 9" xfId="6842" xr:uid="{83691886-A624-4FBD-A512-013694A65376}"/>
    <cellStyle name="Normal 3 2 6 9 2" xfId="19524" xr:uid="{9CF6AF5A-7EA4-412C-83C6-BA90DEBC7049}"/>
    <cellStyle name="Normal 3 2 6 9 2 2" xfId="45016" xr:uid="{442C5645-4BBB-4A97-B3E2-679DBDE52FEA}"/>
    <cellStyle name="Normal 3 2 6 9 3" xfId="32425" xr:uid="{F780D950-09F2-468B-A31B-0AE799EFE7EE}"/>
    <cellStyle name="Normal 3 2 7" xfId="955" xr:uid="{BBB69909-B4DB-41C8-A842-CE298B657255}"/>
    <cellStyle name="Normal 3 2 7 2" xfId="2262" xr:uid="{4DDF007F-7E07-42B6-AA37-A25557CB6F24}"/>
    <cellStyle name="Normal 3 2 7 2 2" xfId="5416" xr:uid="{0205F3B7-1A35-4787-9ADB-BCA269F3FDF0}"/>
    <cellStyle name="Normal 3 2 7 2 2 2" xfId="11709" xr:uid="{F2E1A502-0DFE-4BAE-B876-D28927B5B86F}"/>
    <cellStyle name="Normal 3 2 7 2 2 2 2" xfId="24391" xr:uid="{A9A5710F-E532-4A83-B00E-66903BD7EF20}"/>
    <cellStyle name="Normal 3 2 7 2 2 2 2 2" xfId="49883" xr:uid="{1D748117-F80F-4984-BCDE-29832CE300DE}"/>
    <cellStyle name="Normal 3 2 7 2 2 2 3" xfId="37292" xr:uid="{3D78287F-DA9A-4F34-A47C-7D93B525CD22}"/>
    <cellStyle name="Normal 3 2 7 2 2 3" xfId="18113" xr:uid="{6D25F0F0-FFB5-4B87-AB00-6E5AFC94E88C}"/>
    <cellStyle name="Normal 3 2 7 2 2 3 2" xfId="43605" xr:uid="{BA580114-B352-48AF-863B-BFF1D26EF2F5}"/>
    <cellStyle name="Normal 3 2 7 2 2 4" xfId="31014" xr:uid="{F1A98E31-26B0-4030-8CCD-C1F49A38CA16}"/>
    <cellStyle name="Normal 3 2 7 2 3" xfId="8570" xr:uid="{B1219CFA-CC15-450F-9DC2-94083AFFBDB8}"/>
    <cellStyle name="Normal 3 2 7 2 3 2" xfId="21252" xr:uid="{C821D1DC-B592-45D3-A7FD-BEACC8F61ACF}"/>
    <cellStyle name="Normal 3 2 7 2 3 2 2" xfId="46744" xr:uid="{C3FA7F8B-8833-47E6-B481-AD38130D4088}"/>
    <cellStyle name="Normal 3 2 7 2 3 3" xfId="34153" xr:uid="{31DAC6FA-3392-42C1-894E-7A851E94181E}"/>
    <cellStyle name="Normal 3 2 7 2 4" xfId="14974" xr:uid="{E8912E1C-D973-4C6D-9190-C9F9616177A0}"/>
    <cellStyle name="Normal 3 2 7 2 4 2" xfId="40466" xr:uid="{AB79CF1C-72BA-4D4C-9D3C-9C4C0B4BA451}"/>
    <cellStyle name="Normal 3 2 7 2 5" xfId="27875" xr:uid="{40A41CEF-D47A-45CB-B965-E895D334C717}"/>
    <cellStyle name="Normal 3 2 7 3" xfId="1479" xr:uid="{21E6E7BE-37DE-420D-8560-E0A5611B3D20}"/>
    <cellStyle name="Normal 3 2 7 3 2" xfId="4633" xr:uid="{DA3C2B8F-95AF-4C69-95CE-8F34F089D572}"/>
    <cellStyle name="Normal 3 2 7 3 2 2" xfId="10926" xr:uid="{C0596AAD-5CCF-40C5-89D5-70DDBF6E4118}"/>
    <cellStyle name="Normal 3 2 7 3 2 2 2" xfId="23608" xr:uid="{164A87CF-F8F7-401A-8508-A88D670B8B43}"/>
    <cellStyle name="Normal 3 2 7 3 2 2 2 2" xfId="49100" xr:uid="{BF0BEDBB-ED9D-41CA-B400-F55AC57F9751}"/>
    <cellStyle name="Normal 3 2 7 3 2 2 3" xfId="36509" xr:uid="{C1FB0F96-07A7-4508-A2A2-01DF77FD80E3}"/>
    <cellStyle name="Normal 3 2 7 3 2 3" xfId="17330" xr:uid="{E452E0BF-E829-460F-B295-4C763C13A635}"/>
    <cellStyle name="Normal 3 2 7 3 2 3 2" xfId="42822" xr:uid="{F04C2874-045D-461C-AD36-102A743CDAB3}"/>
    <cellStyle name="Normal 3 2 7 3 2 4" xfId="30231" xr:uid="{CEBE645B-32FA-47F2-A11F-228114EB8767}"/>
    <cellStyle name="Normal 3 2 7 3 3" xfId="7787" xr:uid="{90D935FC-BB98-4FBC-82E9-AF2CD19CA9FC}"/>
    <cellStyle name="Normal 3 2 7 3 3 2" xfId="20469" xr:uid="{F052D3DA-DF5D-4793-945D-A4B2810CEDFE}"/>
    <cellStyle name="Normal 3 2 7 3 3 2 2" xfId="45961" xr:uid="{F95CCBA3-701A-4AC2-981A-C958115BC948}"/>
    <cellStyle name="Normal 3 2 7 3 3 3" xfId="33370" xr:uid="{04FCEEEA-99EB-4C7F-B748-FAAE392CCAD9}"/>
    <cellStyle name="Normal 3 2 7 3 4" xfId="14191" xr:uid="{61CB4A85-0453-4EC7-9222-4C196DEEAF88}"/>
    <cellStyle name="Normal 3 2 7 3 4 2" xfId="39683" xr:uid="{30371767-3C26-4247-9898-B0FDE8D7FBF4}"/>
    <cellStyle name="Normal 3 2 7 3 5" xfId="27092" xr:uid="{58705001-477D-4220-B361-455146DB5C19}"/>
    <cellStyle name="Normal 3 2 7 4" xfId="2786" xr:uid="{76698DCE-F457-46EF-AD21-3797949D10A7}"/>
    <cellStyle name="Normal 3 2 7 4 2" xfId="5940" xr:uid="{05AB877A-0014-447D-9E03-6B57DFE25520}"/>
    <cellStyle name="Normal 3 2 7 4 2 2" xfId="12233" xr:uid="{B8B8CB96-D51F-4C0F-ABF8-BEC1BF365709}"/>
    <cellStyle name="Normal 3 2 7 4 2 2 2" xfId="24915" xr:uid="{77500BD4-8068-4056-BE2B-E9139852CD93}"/>
    <cellStyle name="Normal 3 2 7 4 2 2 2 2" xfId="50407" xr:uid="{7695A40A-AB1C-46E3-8160-A852500A3F6D}"/>
    <cellStyle name="Normal 3 2 7 4 2 2 3" xfId="37816" xr:uid="{99B78CC1-7FC6-4DC0-9918-59A36604E494}"/>
    <cellStyle name="Normal 3 2 7 4 2 3" xfId="18637" xr:uid="{FBC55A74-3260-4E28-B537-8D83987EB834}"/>
    <cellStyle name="Normal 3 2 7 4 2 3 2" xfId="44129" xr:uid="{1A881164-21AC-48F9-A6F9-4FD1605FC60E}"/>
    <cellStyle name="Normal 3 2 7 4 2 4" xfId="31538" xr:uid="{CF7A16A9-3CBD-4204-B234-993E91CFDF9D}"/>
    <cellStyle name="Normal 3 2 7 4 3" xfId="9094" xr:uid="{7372A32B-F20E-4130-8DCB-A247C9A85099}"/>
    <cellStyle name="Normal 3 2 7 4 3 2" xfId="21776" xr:uid="{835D057D-3E2D-461B-A301-522D7919DBB8}"/>
    <cellStyle name="Normal 3 2 7 4 3 2 2" xfId="47268" xr:uid="{8A044B95-63E4-4C1D-8E8D-45C7CA511E60}"/>
    <cellStyle name="Normal 3 2 7 4 3 3" xfId="34677" xr:uid="{B3930D23-9617-4198-9795-43DB661AFDB5}"/>
    <cellStyle name="Normal 3 2 7 4 4" xfId="15498" xr:uid="{0CE9B978-87A5-402A-803C-9672C203A11E}"/>
    <cellStyle name="Normal 3 2 7 4 4 2" xfId="40990" xr:uid="{8269858E-309C-4F88-B656-EE7F5B5C551C}"/>
    <cellStyle name="Normal 3 2 7 4 5" xfId="28399" xr:uid="{9A0D1392-6BBD-4DAD-88DF-3FE34DA2AE85}"/>
    <cellStyle name="Normal 3 2 7 5" xfId="3309" xr:uid="{4A7303F8-32BF-48EC-8CF4-B343E5B5D21C}"/>
    <cellStyle name="Normal 3 2 7 5 2" xfId="6463" xr:uid="{CBE82736-B6AE-49AE-8C04-DF8A0DE00DBC}"/>
    <cellStyle name="Normal 3 2 7 5 2 2" xfId="12756" xr:uid="{F9E3424B-6BD4-435A-8249-E4E7384E3F15}"/>
    <cellStyle name="Normal 3 2 7 5 2 2 2" xfId="25438" xr:uid="{8A371614-E83A-473F-A22B-E0573851BFA3}"/>
    <cellStyle name="Normal 3 2 7 5 2 2 2 2" xfId="50930" xr:uid="{123BAF93-B8AF-47FB-81C2-F941697210F5}"/>
    <cellStyle name="Normal 3 2 7 5 2 2 3" xfId="38339" xr:uid="{185AA9DC-C94B-44AD-B9B6-B50568A69699}"/>
    <cellStyle name="Normal 3 2 7 5 2 3" xfId="19160" xr:uid="{E8D6A81C-671E-446B-A159-6B906C44D9A8}"/>
    <cellStyle name="Normal 3 2 7 5 2 3 2" xfId="44652" xr:uid="{21B20A0B-B56A-4A79-93F3-A1D746E6CEAA}"/>
    <cellStyle name="Normal 3 2 7 5 2 4" xfId="32061" xr:uid="{6C4783B6-24D1-407A-AD48-5A97361C52BC}"/>
    <cellStyle name="Normal 3 2 7 5 3" xfId="9617" xr:uid="{C55B535F-E065-4D92-8B93-450C98E232CE}"/>
    <cellStyle name="Normal 3 2 7 5 3 2" xfId="22299" xr:uid="{FF36EE42-848A-43EE-AB58-AF08D8B54F46}"/>
    <cellStyle name="Normal 3 2 7 5 3 2 2" xfId="47791" xr:uid="{057B460C-C7C4-4A53-8A7C-39314B9BBBF5}"/>
    <cellStyle name="Normal 3 2 7 5 3 3" xfId="35200" xr:uid="{D18838D2-4B09-4DD2-A8FA-75CCCB845D84}"/>
    <cellStyle name="Normal 3 2 7 5 4" xfId="16021" xr:uid="{742A0CD3-ADF7-4707-B1F4-503625EA3C41}"/>
    <cellStyle name="Normal 3 2 7 5 4 2" xfId="41513" xr:uid="{1C6B41D0-6061-4160-BFB4-1B501C32AB0F}"/>
    <cellStyle name="Normal 3 2 7 5 5" xfId="28922" xr:uid="{4281662E-204A-4AF1-9AF8-8E1CF186372E}"/>
    <cellStyle name="Normal 3 2 7 6" xfId="4109" xr:uid="{5AB63A50-3045-4579-914D-D9C6A2F2F7D5}"/>
    <cellStyle name="Normal 3 2 7 6 2" xfId="10402" xr:uid="{EBCE99B1-AE82-442B-A259-1BF847809CBA}"/>
    <cellStyle name="Normal 3 2 7 6 2 2" xfId="23084" xr:uid="{07D2A033-E06C-4552-8226-594685DB549D}"/>
    <cellStyle name="Normal 3 2 7 6 2 2 2" xfId="48576" xr:uid="{22E8DC12-997F-419C-9A22-D61F89580518}"/>
    <cellStyle name="Normal 3 2 7 6 2 3" xfId="35985" xr:uid="{63901E40-9081-4CAD-850D-41CC4EE2D334}"/>
    <cellStyle name="Normal 3 2 7 6 3" xfId="16806" xr:uid="{AAA962FB-0287-4ADB-A0CA-90AE0F38FC19}"/>
    <cellStyle name="Normal 3 2 7 6 3 2" xfId="42298" xr:uid="{2542E9C1-0B8C-4FFA-A8A1-390D8BA82BA5}"/>
    <cellStyle name="Normal 3 2 7 6 4" xfId="29707" xr:uid="{623E12C5-C2FB-4A38-B9FF-99A59D03F735}"/>
    <cellStyle name="Normal 3 2 7 7" xfId="7263" xr:uid="{06B8AA37-8143-4951-8D11-39D5223B42B0}"/>
    <cellStyle name="Normal 3 2 7 7 2" xfId="19945" xr:uid="{8B88970D-9F3E-4F68-B5A7-23CFA5663CDD}"/>
    <cellStyle name="Normal 3 2 7 7 2 2" xfId="45437" xr:uid="{E43E07E0-203F-4ACC-ACDD-70649B094642}"/>
    <cellStyle name="Normal 3 2 7 7 3" xfId="32846" xr:uid="{6A5AF01C-2F19-4C4B-8C8C-A291E7DE33EA}"/>
    <cellStyle name="Normal 3 2 7 8" xfId="13667" xr:uid="{BA675896-47F5-4D78-8BF8-8A2C1F56A7C3}"/>
    <cellStyle name="Normal 3 2 7 8 2" xfId="39159" xr:uid="{0721C6C9-4324-43FC-AF6F-E8C8D687E649}"/>
    <cellStyle name="Normal 3 2 7 9" xfId="26568" xr:uid="{3015FA3B-351F-4DCA-A25D-FCE721621278}"/>
    <cellStyle name="Normal 3 2 8" xfId="695" xr:uid="{56D6DB5A-E593-46EB-B199-1E9BC2916EBC}"/>
    <cellStyle name="Normal 3 2 8 2" xfId="2002" xr:uid="{C9B9FB6F-5FA2-47E4-B707-994722D648B6}"/>
    <cellStyle name="Normal 3 2 8 2 2" xfId="5156" xr:uid="{6D88174F-3876-4AFD-82F9-3C371B9F2206}"/>
    <cellStyle name="Normal 3 2 8 2 2 2" xfId="11449" xr:uid="{C4A0A5A4-D2DF-4EF8-8517-FEB3C27468E0}"/>
    <cellStyle name="Normal 3 2 8 2 2 2 2" xfId="24131" xr:uid="{F4A7AF82-5DAF-4ECF-AD3E-41C8C6433EAD}"/>
    <cellStyle name="Normal 3 2 8 2 2 2 2 2" xfId="49623" xr:uid="{62EDB1C7-6EE4-4E81-B56A-7A63F1003BAF}"/>
    <cellStyle name="Normal 3 2 8 2 2 2 3" xfId="37032" xr:uid="{32C18819-E2A6-4EF4-B3BA-4676C4259F48}"/>
    <cellStyle name="Normal 3 2 8 2 2 3" xfId="17853" xr:uid="{982A7499-558D-40F9-AC48-54AFDA343779}"/>
    <cellStyle name="Normal 3 2 8 2 2 3 2" xfId="43345" xr:uid="{4BFA8AA6-6B84-47CD-99FD-D4DFBCEECA36}"/>
    <cellStyle name="Normal 3 2 8 2 2 4" xfId="30754" xr:uid="{04BDD682-981E-4C3F-B229-26D2796DDED4}"/>
    <cellStyle name="Normal 3 2 8 2 3" xfId="8310" xr:uid="{B1A92D11-6159-44DF-BB54-E205539C726B}"/>
    <cellStyle name="Normal 3 2 8 2 3 2" xfId="20992" xr:uid="{A147F036-1744-415F-A0A7-946204681A8A}"/>
    <cellStyle name="Normal 3 2 8 2 3 2 2" xfId="46484" xr:uid="{D900F9DC-4CFA-40F2-8134-C9D9ED1A62E6}"/>
    <cellStyle name="Normal 3 2 8 2 3 3" xfId="33893" xr:uid="{FA22982F-814A-4EEB-A148-9B21C25EBFDC}"/>
    <cellStyle name="Normal 3 2 8 2 4" xfId="14714" xr:uid="{8FB79CA0-0E5F-448B-81BF-845B7F611A39}"/>
    <cellStyle name="Normal 3 2 8 2 4 2" xfId="40206" xr:uid="{5E536171-4C95-49E8-ACDD-E1AEC0296C7A}"/>
    <cellStyle name="Normal 3 2 8 2 5" xfId="27615" xr:uid="{A4602A2D-FEFD-468A-BFB7-ADF2C98A750F}"/>
    <cellStyle name="Normal 3 2 8 3" xfId="3849" xr:uid="{A4F907A7-67FE-480D-B1F7-4C13264100EE}"/>
    <cellStyle name="Normal 3 2 8 3 2" xfId="10142" xr:uid="{DB6BDB9F-4B79-4346-97CA-3A22CD6F2D2D}"/>
    <cellStyle name="Normal 3 2 8 3 2 2" xfId="22824" xr:uid="{93B9B49D-4385-488F-921A-A832C065C358}"/>
    <cellStyle name="Normal 3 2 8 3 2 2 2" xfId="48316" xr:uid="{D0D0DA08-EAC8-4A63-904D-FE0347286EB6}"/>
    <cellStyle name="Normal 3 2 8 3 2 3" xfId="35725" xr:uid="{A733FAED-77C0-40A9-98A2-2553FCA3958A}"/>
    <cellStyle name="Normal 3 2 8 3 3" xfId="16546" xr:uid="{8F26B81C-76EF-41FB-B0F9-0A44A0E5819A}"/>
    <cellStyle name="Normal 3 2 8 3 3 2" xfId="42038" xr:uid="{E05678A2-8CB7-4F48-8429-652C57D33267}"/>
    <cellStyle name="Normal 3 2 8 3 4" xfId="29447" xr:uid="{0B58485D-DB12-43D9-82BD-BB6359D1CA28}"/>
    <cellStyle name="Normal 3 2 8 4" xfId="7003" xr:uid="{183807D0-6D7E-4D1A-8005-85DB00F86B26}"/>
    <cellStyle name="Normal 3 2 8 4 2" xfId="19685" xr:uid="{9AA043E9-6E59-44EA-B854-CE89363FB861}"/>
    <cellStyle name="Normal 3 2 8 4 2 2" xfId="45177" xr:uid="{31EAC9E8-0393-4F7F-8F97-AE72BB35831B}"/>
    <cellStyle name="Normal 3 2 8 4 3" xfId="32586" xr:uid="{4C38181C-6E70-4D2C-8FE1-666303561CFE}"/>
    <cellStyle name="Normal 3 2 8 5" xfId="13407" xr:uid="{DE690787-1456-4927-AA1B-9F583E0429ED}"/>
    <cellStyle name="Normal 3 2 8 5 2" xfId="38899" xr:uid="{FBA6C30F-BEB0-4453-89CD-89DDC0C93CE9}"/>
    <cellStyle name="Normal 3 2 8 6" xfId="26308" xr:uid="{0BFFD8DE-6A2F-44CC-A85E-324658DCC2F3}"/>
    <cellStyle name="Normal 3 2 9" xfId="1740" xr:uid="{CE230537-50C7-445B-B81B-4E0D06DF210C}"/>
    <cellStyle name="Normal 3 2 9 2" xfId="4894" xr:uid="{4E30AD7D-6005-48F3-AAC6-9CA4CA4A2910}"/>
    <cellStyle name="Normal 3 2 9 2 2" xfId="11187" xr:uid="{4C8CD102-D9A9-48FD-BDB0-3C50B6D7CF13}"/>
    <cellStyle name="Normal 3 2 9 2 2 2" xfId="23869" xr:uid="{0D820AD4-BADF-4C71-87F3-0BA95E60338C}"/>
    <cellStyle name="Normal 3 2 9 2 2 2 2" xfId="49361" xr:uid="{90343E9A-4E51-4A1B-B1CA-087B13E577CB}"/>
    <cellStyle name="Normal 3 2 9 2 2 3" xfId="36770" xr:uid="{FF383D20-04D8-4261-998D-FFE02A8D2448}"/>
    <cellStyle name="Normal 3 2 9 2 3" xfId="17591" xr:uid="{41E19099-C42C-4E63-A888-4FFD82157107}"/>
    <cellStyle name="Normal 3 2 9 2 3 2" xfId="43083" xr:uid="{90027B40-DB9B-4DD2-8D21-30D50FBB0819}"/>
    <cellStyle name="Normal 3 2 9 2 4" xfId="30492" xr:uid="{C272DB45-3AE7-4559-8756-BE952E45CF4D}"/>
    <cellStyle name="Normal 3 2 9 3" xfId="8048" xr:uid="{0C2E6AE6-CDDB-461C-8C9F-C4F9213E8403}"/>
    <cellStyle name="Normal 3 2 9 3 2" xfId="20730" xr:uid="{0361CC19-CBEB-45F3-AA69-4F6D084E9783}"/>
    <cellStyle name="Normal 3 2 9 3 2 2" xfId="46222" xr:uid="{857B6311-01C5-4712-ACDF-45BB052A911E}"/>
    <cellStyle name="Normal 3 2 9 3 3" xfId="33631" xr:uid="{256B017F-3C42-4DB0-B137-9AC356D169D8}"/>
    <cellStyle name="Normal 3 2 9 4" xfId="14452" xr:uid="{AB832A19-1C7C-451B-98C3-E5900397EFBD}"/>
    <cellStyle name="Normal 3 2 9 4 2" xfId="39944" xr:uid="{3BDBC918-47E9-4B18-B02B-032DA3454B4F}"/>
    <cellStyle name="Normal 3 2 9 5" xfId="27353" xr:uid="{DF713903-2BCD-4AD4-8354-B59E976383AC}"/>
    <cellStyle name="Normal 3 20" xfId="220" xr:uid="{52B1A4C5-020B-4057-B6DD-72A46F6CE535}"/>
    <cellStyle name="Normal 3 21" xfId="51389" xr:uid="{53A77E4D-A48A-42BB-9E40-578F22FEA6EA}"/>
    <cellStyle name="Normal 3 3" xfId="257" xr:uid="{89388272-E6BD-4CE0-A7D9-85D4C8184E91}"/>
    <cellStyle name="Normal 3 3 10" xfId="3059" xr:uid="{1D7DE697-DB61-473C-9A8E-3F3B8662C389}"/>
    <cellStyle name="Normal 3 3 10 2" xfId="6213" xr:uid="{6D3DC324-9D1E-4189-AB8D-9C557A62E726}"/>
    <cellStyle name="Normal 3 3 10 2 2" xfId="12506" xr:uid="{05C71AB9-AA22-4D24-8AFD-BD9E6AB66973}"/>
    <cellStyle name="Normal 3 3 10 2 2 2" xfId="25188" xr:uid="{B1B2FF9C-ADB7-47E1-8865-3DD69453ECD8}"/>
    <cellStyle name="Normal 3 3 10 2 2 2 2" xfId="50680" xr:uid="{F28301EB-8CD5-4CB5-AC9F-F48B2F81D11F}"/>
    <cellStyle name="Normal 3 3 10 2 2 3" xfId="38089" xr:uid="{4854B80E-3CEA-4DC0-B557-44541AB7265E}"/>
    <cellStyle name="Normal 3 3 10 2 3" xfId="18910" xr:uid="{7C62878C-7C8E-477A-A2F6-5115A1346C2E}"/>
    <cellStyle name="Normal 3 3 10 2 3 2" xfId="44402" xr:uid="{07249892-C1DC-4762-85B1-F233881BFF7E}"/>
    <cellStyle name="Normal 3 3 10 2 4" xfId="31811" xr:uid="{50DB07CA-AE31-48A5-9CF5-A6CB6B8F5282}"/>
    <cellStyle name="Normal 3 3 10 3" xfId="9367" xr:uid="{4220BEDA-372B-4599-A03F-2958A4886355}"/>
    <cellStyle name="Normal 3 3 10 3 2" xfId="22049" xr:uid="{141942C2-E35D-4102-BDE0-3FAA775623CA}"/>
    <cellStyle name="Normal 3 3 10 3 2 2" xfId="47541" xr:uid="{C228608D-251B-4FE6-ABD8-028C3D8BCFF1}"/>
    <cellStyle name="Normal 3 3 10 3 3" xfId="34950" xr:uid="{1DE0CBD8-94A6-46B0-BB33-DFA34713843B}"/>
    <cellStyle name="Normal 3 3 10 4" xfId="15771" xr:uid="{7C4034B4-4F5D-4F55-B3AE-43709343C2C4}"/>
    <cellStyle name="Normal 3 3 10 4 2" xfId="41263" xr:uid="{4464952D-4A8D-4D0C-A670-ECC90ED3CF22}"/>
    <cellStyle name="Normal 3 3 10 5" xfId="28672" xr:uid="{7E70DB0E-3F8D-4618-8DE9-C3A8EE362D17}"/>
    <cellStyle name="Normal 3 3 11" xfId="3598" xr:uid="{4D6A78BF-B25E-4347-AD3B-E8BC0DB0731E}"/>
    <cellStyle name="Normal 3 3 11 2" xfId="9891" xr:uid="{A9B83DF1-5588-4043-A983-07C49998CC0A}"/>
    <cellStyle name="Normal 3 3 11 2 2" xfId="22573" xr:uid="{967DEF38-B285-416B-AA0F-72AAF7D4B4E8}"/>
    <cellStyle name="Normal 3 3 11 2 2 2" xfId="48065" xr:uid="{F49B4369-BDD2-467C-B37D-295992645B94}"/>
    <cellStyle name="Normal 3 3 11 2 3" xfId="35474" xr:uid="{BA3A74C0-9012-4D56-9E79-7C11BDF08876}"/>
    <cellStyle name="Normal 3 3 11 3" xfId="16295" xr:uid="{C339A61C-C836-45AE-A2FF-19755B1BA557}"/>
    <cellStyle name="Normal 3 3 11 3 2" xfId="41787" xr:uid="{C0103413-8F8B-4FCC-A924-A16889BE3B76}"/>
    <cellStyle name="Normal 3 3 11 4" xfId="29196" xr:uid="{01D581A8-4DB0-47F3-B226-15D0D0DCA9B2}"/>
    <cellStyle name="Normal 3 3 12" xfId="6752" xr:uid="{A9E3B7C0-171F-436D-9F38-B4110A8ADD71}"/>
    <cellStyle name="Normal 3 3 12 2" xfId="19434" xr:uid="{1C9C7DE3-8165-4FF0-968E-C73C55D31A90}"/>
    <cellStyle name="Normal 3 3 12 2 2" xfId="44926" xr:uid="{15F85862-679A-4CFC-878A-9E01BDE77E3E}"/>
    <cellStyle name="Normal 3 3 12 3" xfId="32335" xr:uid="{9B3713D5-BBCE-4BC7-81C8-2E1EF69C707D}"/>
    <cellStyle name="Normal 3 3 13" xfId="13156" xr:uid="{9B217B77-49CB-4477-A516-C39CB0F72201}"/>
    <cellStyle name="Normal 3 3 13 2" xfId="38648" xr:uid="{2FD93DB9-50E6-4B9D-B201-FCB4FE261021}"/>
    <cellStyle name="Normal 3 3 14" xfId="13070" xr:uid="{D780863F-A12B-4440-9742-72ADA91CC875}"/>
    <cellStyle name="Normal 3 3 15" xfId="26057" xr:uid="{F4A411CA-CB54-4AB6-BD53-A2C521557F49}"/>
    <cellStyle name="Normal 3 3 16" xfId="429" xr:uid="{D21A45D2-3DD6-4B1F-951B-F977778AC374}"/>
    <cellStyle name="Normal 3 3 2" xfId="490" xr:uid="{45DB639D-E8A8-47E6-BCB9-9090FC54BD55}"/>
    <cellStyle name="Normal 3 3 2 10" xfId="6813" xr:uid="{E35291EE-2FF3-414D-B9C2-3A47D4FF53C3}"/>
    <cellStyle name="Normal 3 3 2 10 2" xfId="19495" xr:uid="{7D2B5BCD-9B19-4284-9249-1904AA839571}"/>
    <cellStyle name="Normal 3 3 2 10 2 2" xfId="44987" xr:uid="{4D998483-75B3-4EDE-9E9F-09B6C715A2D6}"/>
    <cellStyle name="Normal 3 3 2 10 3" xfId="32396" xr:uid="{38876A44-FE1B-47A6-9722-73F82162CE75}"/>
    <cellStyle name="Normal 3 3 2 11" xfId="13217" xr:uid="{FBEE0302-4C5D-45C9-A8BC-9C97AC970443}"/>
    <cellStyle name="Normal 3 3 2 11 2" xfId="38709" xr:uid="{43CAB040-0591-4F29-94BC-98CE32CA035D}"/>
    <cellStyle name="Normal 3 3 2 12" xfId="26118" xr:uid="{0E9BFFA3-3F13-4BC8-B5CA-DB727A56F6FA}"/>
    <cellStyle name="Normal 3 3 2 2" xfId="649" xr:uid="{E40ED046-EFF6-4457-B07E-1736BF2CE968}"/>
    <cellStyle name="Normal 3 3 2 2 10" xfId="13376" xr:uid="{33A9158D-3E20-42D3-91A3-C2FA92410B27}"/>
    <cellStyle name="Normal 3 3 2 2 10 2" xfId="38868" xr:uid="{DB0DF778-629B-4840-B628-BE0FFD55114E}"/>
    <cellStyle name="Normal 3 3 2 2 11" xfId="26277" xr:uid="{719908FD-C9E3-4133-873E-3CF80B2A879A}"/>
    <cellStyle name="Normal 3 3 2 2 2" xfId="1186" xr:uid="{0A3B0AB0-28ED-4872-B318-306D70AED957}"/>
    <cellStyle name="Normal 3 3 2 2 2 2" xfId="2493" xr:uid="{96581279-7472-427E-835A-AB8ACCF35B42}"/>
    <cellStyle name="Normal 3 3 2 2 2 2 2" xfId="5647" xr:uid="{F894FC69-D096-4F01-96BC-67056C7B016F}"/>
    <cellStyle name="Normal 3 3 2 2 2 2 2 2" xfId="11940" xr:uid="{E4B3F56E-8750-4DA9-99DD-73E9E4D4128C}"/>
    <cellStyle name="Normal 3 3 2 2 2 2 2 2 2" xfId="24622" xr:uid="{DB8D1064-AFAF-42E2-A357-20FCAC00EC81}"/>
    <cellStyle name="Normal 3 3 2 2 2 2 2 2 2 2" xfId="50114" xr:uid="{24EAE2BF-0F2E-46E5-B822-A9C0B18A5251}"/>
    <cellStyle name="Normal 3 3 2 2 2 2 2 2 3" xfId="37523" xr:uid="{544FE364-3703-4827-ACAB-D20AC4E04A85}"/>
    <cellStyle name="Normal 3 3 2 2 2 2 2 3" xfId="18344" xr:uid="{FDBD8BAD-9E2C-4C02-9E2A-E0694066EACB}"/>
    <cellStyle name="Normal 3 3 2 2 2 2 2 3 2" xfId="43836" xr:uid="{6E87B357-35B8-4D6D-894D-980978244244}"/>
    <cellStyle name="Normal 3 3 2 2 2 2 2 4" xfId="31245" xr:uid="{FCFF3382-09D2-4649-AF21-7991BAF0299E}"/>
    <cellStyle name="Normal 3 3 2 2 2 2 3" xfId="8801" xr:uid="{CBB78698-80E3-41A6-B532-B9EBB518111A}"/>
    <cellStyle name="Normal 3 3 2 2 2 2 3 2" xfId="21483" xr:uid="{BEB0622E-5145-452B-9A37-FF799CEF7600}"/>
    <cellStyle name="Normal 3 3 2 2 2 2 3 2 2" xfId="46975" xr:uid="{2A59883C-E6E7-4A59-ADB4-99D9029A499E}"/>
    <cellStyle name="Normal 3 3 2 2 2 2 3 3" xfId="34384" xr:uid="{9876D6C5-0851-4757-8121-4E5F4637EE9D}"/>
    <cellStyle name="Normal 3 3 2 2 2 2 4" xfId="15205" xr:uid="{CC80F6DA-2260-4A76-A9BB-C3AB3435BF63}"/>
    <cellStyle name="Normal 3 3 2 2 2 2 4 2" xfId="40697" xr:uid="{B5CFF10E-F1B4-43C1-A6EB-747A27FFF4F9}"/>
    <cellStyle name="Normal 3 3 2 2 2 2 5" xfId="28106" xr:uid="{C3137FA1-2939-43F4-9150-43CF6E1958B4}"/>
    <cellStyle name="Normal 3 3 2 2 2 3" xfId="1710" xr:uid="{50349057-7615-416B-B7D6-D0866A740D5B}"/>
    <cellStyle name="Normal 3 3 2 2 2 3 2" xfId="4864" xr:uid="{8850025D-3757-4015-86C2-465C5B641E7C}"/>
    <cellStyle name="Normal 3 3 2 2 2 3 2 2" xfId="11157" xr:uid="{B6D3820C-76FE-477F-ABF7-F6776296AA49}"/>
    <cellStyle name="Normal 3 3 2 2 2 3 2 2 2" xfId="23839" xr:uid="{DCFF39D4-4CB1-4B4E-A720-F582891BF83F}"/>
    <cellStyle name="Normal 3 3 2 2 2 3 2 2 2 2" xfId="49331" xr:uid="{E95D9414-639D-4A8D-99F9-E6E3CF8A1726}"/>
    <cellStyle name="Normal 3 3 2 2 2 3 2 2 3" xfId="36740" xr:uid="{7C898B9F-784C-47F1-9DDA-B344F02E4334}"/>
    <cellStyle name="Normal 3 3 2 2 2 3 2 3" xfId="17561" xr:uid="{E91A41B4-9F15-4B7B-90C1-5502BC7D5A8E}"/>
    <cellStyle name="Normal 3 3 2 2 2 3 2 3 2" xfId="43053" xr:uid="{0F2EE383-858D-4D68-8B3A-514F8A209CE7}"/>
    <cellStyle name="Normal 3 3 2 2 2 3 2 4" xfId="30462" xr:uid="{19360E78-FBE1-45B7-9187-8FE152F5F302}"/>
    <cellStyle name="Normal 3 3 2 2 2 3 3" xfId="8018" xr:uid="{FF0BD33A-93F4-4F63-8927-363C1951EE84}"/>
    <cellStyle name="Normal 3 3 2 2 2 3 3 2" xfId="20700" xr:uid="{5FC95F20-5B26-4830-9203-EE7CB9E78DA2}"/>
    <cellStyle name="Normal 3 3 2 2 2 3 3 2 2" xfId="46192" xr:uid="{2BC0F0F6-2BFB-408C-8C97-DEEF99A26DB1}"/>
    <cellStyle name="Normal 3 3 2 2 2 3 3 3" xfId="33601" xr:uid="{8A1C0A7E-51C7-4B25-87D9-DAEB89EEA524}"/>
    <cellStyle name="Normal 3 3 2 2 2 3 4" xfId="14422" xr:uid="{3E999811-D67A-4944-AF76-06169A36B143}"/>
    <cellStyle name="Normal 3 3 2 2 2 3 4 2" xfId="39914" xr:uid="{69AF4F32-92A1-4EA6-A61C-60D7BD8D86D9}"/>
    <cellStyle name="Normal 3 3 2 2 2 3 5" xfId="27323" xr:uid="{388CC112-B9EC-4AA2-98A3-03C773B7DEE8}"/>
    <cellStyle name="Normal 3 3 2 2 2 4" xfId="3017" xr:uid="{5FCA14DB-783D-4528-B056-E8F913B3FE41}"/>
    <cellStyle name="Normal 3 3 2 2 2 4 2" xfId="6171" xr:uid="{6F9531C3-FCF4-4CBA-9E59-FBDE69914D56}"/>
    <cellStyle name="Normal 3 3 2 2 2 4 2 2" xfId="12464" xr:uid="{2C6F513A-B9A4-4382-9788-41D9EC667203}"/>
    <cellStyle name="Normal 3 3 2 2 2 4 2 2 2" xfId="25146" xr:uid="{ADA250B2-0ED1-49A7-98F0-937A9894347D}"/>
    <cellStyle name="Normal 3 3 2 2 2 4 2 2 2 2" xfId="50638" xr:uid="{D8837956-FB61-4BDE-98E1-4B0BB1DBDE8D}"/>
    <cellStyle name="Normal 3 3 2 2 2 4 2 2 3" xfId="38047" xr:uid="{11D8C8E5-C4E5-4002-9970-BE2553C34005}"/>
    <cellStyle name="Normal 3 3 2 2 2 4 2 3" xfId="18868" xr:uid="{0D42172A-2B24-4B2F-B30D-F1C41648D2CA}"/>
    <cellStyle name="Normal 3 3 2 2 2 4 2 3 2" xfId="44360" xr:uid="{745724F4-C904-4D79-BBAD-73E7E0630A79}"/>
    <cellStyle name="Normal 3 3 2 2 2 4 2 4" xfId="31769" xr:uid="{9114E754-52D5-43D5-9928-F2FDA215F475}"/>
    <cellStyle name="Normal 3 3 2 2 2 4 3" xfId="9325" xr:uid="{EFBE8BCA-9108-4498-AAB2-78762E794367}"/>
    <cellStyle name="Normal 3 3 2 2 2 4 3 2" xfId="22007" xr:uid="{679EC518-C1C8-4063-A04D-F788DCE2A017}"/>
    <cellStyle name="Normal 3 3 2 2 2 4 3 2 2" xfId="47499" xr:uid="{B1D02550-7F59-4A02-9190-6EC7057C5CE4}"/>
    <cellStyle name="Normal 3 3 2 2 2 4 3 3" xfId="34908" xr:uid="{60BF7013-D383-4A52-B8E2-1631CB64ECA8}"/>
    <cellStyle name="Normal 3 3 2 2 2 4 4" xfId="15729" xr:uid="{4B828C0F-1CAA-44E7-8B59-DF1670FCB37C}"/>
    <cellStyle name="Normal 3 3 2 2 2 4 4 2" xfId="41221" xr:uid="{32B232DD-6225-4580-AA9B-6C40C1F36733}"/>
    <cellStyle name="Normal 3 3 2 2 2 4 5" xfId="28630" xr:uid="{02CE2B71-D122-4A71-8BD0-17715C6018A7}"/>
    <cellStyle name="Normal 3 3 2 2 2 5" xfId="3540" xr:uid="{DAF87B75-3CFA-49A8-BCD5-8EFE79D0DD9C}"/>
    <cellStyle name="Normal 3 3 2 2 2 5 2" xfId="6694" xr:uid="{6DC7FB60-9580-4C3F-A8F0-89F8E2C48636}"/>
    <cellStyle name="Normal 3 3 2 2 2 5 2 2" xfId="12987" xr:uid="{E434EA71-81DD-46D1-86F4-91A7FF374FD9}"/>
    <cellStyle name="Normal 3 3 2 2 2 5 2 2 2" xfId="25669" xr:uid="{A54267D6-FEA3-441E-85F7-64D2A53B0B96}"/>
    <cellStyle name="Normal 3 3 2 2 2 5 2 2 2 2" xfId="51161" xr:uid="{6F9450E2-B958-4AAD-BC11-B9A0080AF48A}"/>
    <cellStyle name="Normal 3 3 2 2 2 5 2 2 3" xfId="38570" xr:uid="{F468A3BA-6C8F-494B-985B-18AF864FAC61}"/>
    <cellStyle name="Normal 3 3 2 2 2 5 2 3" xfId="19391" xr:uid="{AFD0A216-8ACD-4247-BC8B-1120DFC13BFD}"/>
    <cellStyle name="Normal 3 3 2 2 2 5 2 3 2" xfId="44883" xr:uid="{B21AB212-E684-4EEA-972E-85FE501EA374}"/>
    <cellStyle name="Normal 3 3 2 2 2 5 2 4" xfId="32292" xr:uid="{9DD7C22A-09B6-4C6E-92A4-DC0F9158622F}"/>
    <cellStyle name="Normal 3 3 2 2 2 5 3" xfId="9848" xr:uid="{38583F45-DAD1-4C39-BA74-2471DEC267D0}"/>
    <cellStyle name="Normal 3 3 2 2 2 5 3 2" xfId="22530" xr:uid="{09CD9D8F-2993-4CB5-B02D-DBF5B3E10B5B}"/>
    <cellStyle name="Normal 3 3 2 2 2 5 3 2 2" xfId="48022" xr:uid="{9B634D7A-809E-4FDB-AD33-BAD1345DE8A8}"/>
    <cellStyle name="Normal 3 3 2 2 2 5 3 3" xfId="35431" xr:uid="{C2B272FB-1275-4D5F-8059-6109EBB2E8C7}"/>
    <cellStyle name="Normal 3 3 2 2 2 5 4" xfId="16252" xr:uid="{EEFAEE34-F88A-4B04-B0F3-3962545B35BB}"/>
    <cellStyle name="Normal 3 3 2 2 2 5 4 2" xfId="41744" xr:uid="{97BCE4F5-CB2B-4243-9281-37EBA705A190}"/>
    <cellStyle name="Normal 3 3 2 2 2 5 5" xfId="29153" xr:uid="{DCB6CB5D-0046-4019-A51C-E88C9A38FC7A}"/>
    <cellStyle name="Normal 3 3 2 2 2 6" xfId="4340" xr:uid="{8CF4E931-AB28-4CF8-8C8D-A6A162622857}"/>
    <cellStyle name="Normal 3 3 2 2 2 6 2" xfId="10633" xr:uid="{A8CDB0AA-5BF0-4EC3-9300-463A7E28E109}"/>
    <cellStyle name="Normal 3 3 2 2 2 6 2 2" xfId="23315" xr:uid="{8548F923-97AF-4063-9B90-54430CB1FA1E}"/>
    <cellStyle name="Normal 3 3 2 2 2 6 2 2 2" xfId="48807" xr:uid="{D1A58B20-A7BA-4BBE-AE41-70A306D0E18A}"/>
    <cellStyle name="Normal 3 3 2 2 2 6 2 3" xfId="36216" xr:uid="{6773EAE8-ED03-415F-A247-5A912662E8AD}"/>
    <cellStyle name="Normal 3 3 2 2 2 6 3" xfId="17037" xr:uid="{73FC59BD-EC88-49A7-9EF5-3EE1695C70EC}"/>
    <cellStyle name="Normal 3 3 2 2 2 6 3 2" xfId="42529" xr:uid="{D8005982-BB39-49BF-954C-26372D3BAE93}"/>
    <cellStyle name="Normal 3 3 2 2 2 6 4" xfId="29938" xr:uid="{A07336B1-DECD-42E6-918F-597B0FF026B5}"/>
    <cellStyle name="Normal 3 3 2 2 2 7" xfId="7494" xr:uid="{8319CF2A-61BB-47AE-8C45-34944A60074B}"/>
    <cellStyle name="Normal 3 3 2 2 2 7 2" xfId="20176" xr:uid="{5E2868C4-11C9-4BE9-82BB-47B5006F7F64}"/>
    <cellStyle name="Normal 3 3 2 2 2 7 2 2" xfId="45668" xr:uid="{9EC2B25D-224D-4EE7-A1B1-BBE4ED8C8DF5}"/>
    <cellStyle name="Normal 3 3 2 2 2 7 3" xfId="33077" xr:uid="{2613CD71-1CC8-484A-B8EE-BAA9B926051A}"/>
    <cellStyle name="Normal 3 3 2 2 2 8" xfId="13898" xr:uid="{4EC48775-3A41-4D3C-8E21-A9EE06D48B36}"/>
    <cellStyle name="Normal 3 3 2 2 2 8 2" xfId="39390" xr:uid="{BB650FD3-6C79-45D0-AF0F-3F2DFD2061B1}"/>
    <cellStyle name="Normal 3 3 2 2 2 9" xfId="26799" xr:uid="{8F95CF0B-4E04-4EB2-86B1-DAB3F824432D}"/>
    <cellStyle name="Normal 3 3 2 2 3" xfId="926" xr:uid="{CFC71E54-54E2-4F5E-9673-079279C0A800}"/>
    <cellStyle name="Normal 3 3 2 2 3 2" xfId="2233" xr:uid="{01CABEB8-9098-4C0C-9F3E-33286161C3D0}"/>
    <cellStyle name="Normal 3 3 2 2 3 2 2" xfId="5387" xr:uid="{29C6CA28-647C-4733-9077-51F54215F49B}"/>
    <cellStyle name="Normal 3 3 2 2 3 2 2 2" xfId="11680" xr:uid="{DD05C56E-B412-4048-97B9-C76548F93B8D}"/>
    <cellStyle name="Normal 3 3 2 2 3 2 2 2 2" xfId="24362" xr:uid="{321D1057-37EC-47DE-A2B8-8E7C8506BDD1}"/>
    <cellStyle name="Normal 3 3 2 2 3 2 2 2 2 2" xfId="49854" xr:uid="{C1E91088-B278-4BD0-9C57-9B4F99F72742}"/>
    <cellStyle name="Normal 3 3 2 2 3 2 2 2 3" xfId="37263" xr:uid="{267A21C5-CAEB-4172-9DBB-333D6D787EDA}"/>
    <cellStyle name="Normal 3 3 2 2 3 2 2 3" xfId="18084" xr:uid="{1542609E-883E-43D3-814F-CEB256CBA174}"/>
    <cellStyle name="Normal 3 3 2 2 3 2 2 3 2" xfId="43576" xr:uid="{A7D049D2-2BFD-46FA-88C6-58E0F11174F3}"/>
    <cellStyle name="Normal 3 3 2 2 3 2 2 4" xfId="30985" xr:uid="{0840BABF-45D5-4448-BAB0-BEBE98C74A94}"/>
    <cellStyle name="Normal 3 3 2 2 3 2 3" xfId="8541" xr:uid="{0B2CFA97-0EBB-445C-840E-7A531C8E9DFC}"/>
    <cellStyle name="Normal 3 3 2 2 3 2 3 2" xfId="21223" xr:uid="{10FCD39F-6AF3-4FBF-88F9-0B4D041DC786}"/>
    <cellStyle name="Normal 3 3 2 2 3 2 3 2 2" xfId="46715" xr:uid="{E7741061-47A0-4125-8051-347C6BB69056}"/>
    <cellStyle name="Normal 3 3 2 2 3 2 3 3" xfId="34124" xr:uid="{EB1B26DC-838D-49F8-A901-9E1B0F7E186B}"/>
    <cellStyle name="Normal 3 3 2 2 3 2 4" xfId="14945" xr:uid="{A267909A-F531-42EB-9937-76657CED1664}"/>
    <cellStyle name="Normal 3 3 2 2 3 2 4 2" xfId="40437" xr:uid="{A68B0945-0F8E-434E-8474-A087B9E28122}"/>
    <cellStyle name="Normal 3 3 2 2 3 2 5" xfId="27846" xr:uid="{63B61A24-9F42-4BD0-816D-2C330AA6E3FA}"/>
    <cellStyle name="Normal 3 3 2 2 3 3" xfId="4080" xr:uid="{1BA74BF5-8B75-4C98-9751-CDF58080D40C}"/>
    <cellStyle name="Normal 3 3 2 2 3 3 2" xfId="10373" xr:uid="{E15AE97C-D047-4A4B-952C-9C364664ACA9}"/>
    <cellStyle name="Normal 3 3 2 2 3 3 2 2" xfId="23055" xr:uid="{86A8E87A-0912-4149-BB04-34F7572EBB08}"/>
    <cellStyle name="Normal 3 3 2 2 3 3 2 2 2" xfId="48547" xr:uid="{0510BF10-B586-48AB-A308-0B9A21E67BFC}"/>
    <cellStyle name="Normal 3 3 2 2 3 3 2 3" xfId="35956" xr:uid="{1E789CB4-C0EF-461A-AF0A-3B684E0E65CD}"/>
    <cellStyle name="Normal 3 3 2 2 3 3 3" xfId="16777" xr:uid="{E2C9D197-6CFD-4659-9C45-7BE38F2E9DF4}"/>
    <cellStyle name="Normal 3 3 2 2 3 3 3 2" xfId="42269" xr:uid="{D3590AE9-7200-44FC-9C3B-B5A37182ED3C}"/>
    <cellStyle name="Normal 3 3 2 2 3 3 4" xfId="29678" xr:uid="{E1AB37CE-A0B9-4167-ADB2-76FB7343C43E}"/>
    <cellStyle name="Normal 3 3 2 2 3 4" xfId="7234" xr:uid="{F0562214-FC20-4780-80B4-96876AE596BA}"/>
    <cellStyle name="Normal 3 3 2 2 3 4 2" xfId="19916" xr:uid="{59D04A26-F5BC-4390-ACCF-380DBC5D9DD0}"/>
    <cellStyle name="Normal 3 3 2 2 3 4 2 2" xfId="45408" xr:uid="{8BBA3CBD-4EED-4D0C-8F37-BC417A3BC76E}"/>
    <cellStyle name="Normal 3 3 2 2 3 4 3" xfId="32817" xr:uid="{07B9731E-AE6C-43F0-BF5D-B7E22DF985BC}"/>
    <cellStyle name="Normal 3 3 2 2 3 5" xfId="13638" xr:uid="{BAF60E30-6158-47C4-B17E-3834EF11AF3E}"/>
    <cellStyle name="Normal 3 3 2 2 3 5 2" xfId="39130" xr:uid="{8605A911-DB1E-4FC1-8886-E3044F144269}"/>
    <cellStyle name="Normal 3 3 2 2 3 6" xfId="26539" xr:uid="{F0A1EF01-8CD3-4FC2-95F9-B5B913D71160}"/>
    <cellStyle name="Normal 3 3 2 2 4" xfId="1971" xr:uid="{A1F93F4E-9402-4080-BF89-466FB3AE69CD}"/>
    <cellStyle name="Normal 3 3 2 2 4 2" xfId="5125" xr:uid="{8213E0E9-B120-4311-ACBB-F08E3437E8FE}"/>
    <cellStyle name="Normal 3 3 2 2 4 2 2" xfId="11418" xr:uid="{584F942C-CC73-48BF-BDA1-85FBDFDF1B82}"/>
    <cellStyle name="Normal 3 3 2 2 4 2 2 2" xfId="24100" xr:uid="{2BCCE13E-20D1-496C-B447-CD7D187CBE5D}"/>
    <cellStyle name="Normal 3 3 2 2 4 2 2 2 2" xfId="49592" xr:uid="{C45E2C14-8E8E-4315-B9F4-0DB83A821E3A}"/>
    <cellStyle name="Normal 3 3 2 2 4 2 2 3" xfId="37001" xr:uid="{9FAA23BD-307D-4C1A-BFE9-8CF671AC3C69}"/>
    <cellStyle name="Normal 3 3 2 2 4 2 3" xfId="17822" xr:uid="{08487422-2261-4A11-8756-5ABC66E28163}"/>
    <cellStyle name="Normal 3 3 2 2 4 2 3 2" xfId="43314" xr:uid="{B88B2204-AF49-452F-A534-C1C8DEDC3ACB}"/>
    <cellStyle name="Normal 3 3 2 2 4 2 4" xfId="30723" xr:uid="{66054CB1-615F-4FAE-AB68-2B55D1B5EFAA}"/>
    <cellStyle name="Normal 3 3 2 2 4 3" xfId="8279" xr:uid="{E7A2002B-985F-4B8B-9A97-8B3D1A806BE7}"/>
    <cellStyle name="Normal 3 3 2 2 4 3 2" xfId="20961" xr:uid="{1F51663C-9467-4D87-83C6-C2C20643E56C}"/>
    <cellStyle name="Normal 3 3 2 2 4 3 2 2" xfId="46453" xr:uid="{14363B56-23DC-4412-84D8-B5FB68D05C16}"/>
    <cellStyle name="Normal 3 3 2 2 4 3 3" xfId="33862" xr:uid="{2C2A8E49-F2FE-46B4-A31D-837BA315FC60}"/>
    <cellStyle name="Normal 3 3 2 2 4 4" xfId="14683" xr:uid="{2DF84A33-8D19-496D-8175-B679BD26A59B}"/>
    <cellStyle name="Normal 3 3 2 2 4 4 2" xfId="40175" xr:uid="{91821EAD-AE1D-4596-9726-FDEA8A38AD84}"/>
    <cellStyle name="Normal 3 3 2 2 4 5" xfId="27584" xr:uid="{E9D5518C-D974-4D89-9DA3-1BFCF7F9CE31}"/>
    <cellStyle name="Normal 3 3 2 2 5" xfId="1449" xr:uid="{9D36FC97-57CF-4291-8D87-E18F52312DF0}"/>
    <cellStyle name="Normal 3 3 2 2 5 2" xfId="4603" xr:uid="{7F10B6A1-239A-49C8-93A5-C56DB157C9FE}"/>
    <cellStyle name="Normal 3 3 2 2 5 2 2" xfId="10896" xr:uid="{7DBACAB0-07E9-467A-8C8E-F5F7788F4CB4}"/>
    <cellStyle name="Normal 3 3 2 2 5 2 2 2" xfId="23578" xr:uid="{AC411E12-3513-4C5F-B097-81CB7279C6E8}"/>
    <cellStyle name="Normal 3 3 2 2 5 2 2 2 2" xfId="49070" xr:uid="{B74DDB94-9A14-44BD-8F24-86383F35AE56}"/>
    <cellStyle name="Normal 3 3 2 2 5 2 2 3" xfId="36479" xr:uid="{DAA54CE4-BD73-4DA9-8A67-28A9A7E7CC31}"/>
    <cellStyle name="Normal 3 3 2 2 5 2 3" xfId="17300" xr:uid="{3207D0DA-65D5-41BD-8F5E-F147A779B99A}"/>
    <cellStyle name="Normal 3 3 2 2 5 2 3 2" xfId="42792" xr:uid="{7109AAB2-851F-4FD8-80B8-16F2A786900B}"/>
    <cellStyle name="Normal 3 3 2 2 5 2 4" xfId="30201" xr:uid="{F4F2E7DE-7555-4F4A-8B1B-5366297B5B3D}"/>
    <cellStyle name="Normal 3 3 2 2 5 3" xfId="7757" xr:uid="{A15F88E1-6E11-417B-9B20-2B119C03F7FE}"/>
    <cellStyle name="Normal 3 3 2 2 5 3 2" xfId="20439" xr:uid="{5BE61ED5-0A45-48A3-99FC-B36902316408}"/>
    <cellStyle name="Normal 3 3 2 2 5 3 2 2" xfId="45931" xr:uid="{10FB3356-9C3B-4344-8732-0C958958B00D}"/>
    <cellStyle name="Normal 3 3 2 2 5 3 3" xfId="33340" xr:uid="{563F18AF-3BFD-41EC-904A-EDA3ED23AD45}"/>
    <cellStyle name="Normal 3 3 2 2 5 4" xfId="14161" xr:uid="{7775592A-5096-4810-9821-F78D23258B6C}"/>
    <cellStyle name="Normal 3 3 2 2 5 4 2" xfId="39653" xr:uid="{A3D7DE90-A676-46C1-B215-BF21AAD7B66D}"/>
    <cellStyle name="Normal 3 3 2 2 5 5" xfId="27062" xr:uid="{AA9E269B-257C-400F-9AEC-4A808423AA29}"/>
    <cellStyle name="Normal 3 3 2 2 6" xfId="2756" xr:uid="{284B65A7-98A4-4085-9EF2-FFFFE6D507C1}"/>
    <cellStyle name="Normal 3 3 2 2 6 2" xfId="5910" xr:uid="{A23C433D-DB2A-4179-9716-F44606DCD3E6}"/>
    <cellStyle name="Normal 3 3 2 2 6 2 2" xfId="12203" xr:uid="{D927FE9C-A23C-4D79-8792-6B5C449A3D0E}"/>
    <cellStyle name="Normal 3 3 2 2 6 2 2 2" xfId="24885" xr:uid="{2910303D-14A8-4AA4-BF05-6535C2DC7D35}"/>
    <cellStyle name="Normal 3 3 2 2 6 2 2 2 2" xfId="50377" xr:uid="{D790F4D5-841A-4E3F-9FD6-4597CDDDC6ED}"/>
    <cellStyle name="Normal 3 3 2 2 6 2 2 3" xfId="37786" xr:uid="{16E50C8A-E250-475E-86E3-3FD99303E8BA}"/>
    <cellStyle name="Normal 3 3 2 2 6 2 3" xfId="18607" xr:uid="{E185592B-9E14-4715-ACFC-F8A61F0EC03C}"/>
    <cellStyle name="Normal 3 3 2 2 6 2 3 2" xfId="44099" xr:uid="{214F2767-E408-411B-83AC-7F657A87AA23}"/>
    <cellStyle name="Normal 3 3 2 2 6 2 4" xfId="31508" xr:uid="{1A959FF4-0094-41B6-8F67-5E658A0F055E}"/>
    <cellStyle name="Normal 3 3 2 2 6 3" xfId="9064" xr:uid="{8EB5F07C-A96C-49BA-ABCD-0C53536CB1E1}"/>
    <cellStyle name="Normal 3 3 2 2 6 3 2" xfId="21746" xr:uid="{48B5892B-06F0-4F4F-9C35-F00E10885933}"/>
    <cellStyle name="Normal 3 3 2 2 6 3 2 2" xfId="47238" xr:uid="{AAF37AC3-2389-4B91-A84B-F98629995581}"/>
    <cellStyle name="Normal 3 3 2 2 6 3 3" xfId="34647" xr:uid="{383EC4D9-0C61-47B3-985E-4ABE802F6CB7}"/>
    <cellStyle name="Normal 3 3 2 2 6 4" xfId="15468" xr:uid="{117EF146-5E63-4B31-91A6-9D8EC0B180DE}"/>
    <cellStyle name="Normal 3 3 2 2 6 4 2" xfId="40960" xr:uid="{D308F6AD-FBA0-42B2-8679-7F89C85B467F}"/>
    <cellStyle name="Normal 3 3 2 2 6 5" xfId="28369" xr:uid="{2A64AD1F-539F-46A9-B2F2-D735A7635370}"/>
    <cellStyle name="Normal 3 3 2 2 7" xfId="3279" xr:uid="{D54DE627-A7AC-4F47-8113-625A420222AD}"/>
    <cellStyle name="Normal 3 3 2 2 7 2" xfId="6433" xr:uid="{396BE1E7-654D-48C0-9BDB-DBF7D496F9D6}"/>
    <cellStyle name="Normal 3 3 2 2 7 2 2" xfId="12726" xr:uid="{F7750FC7-254F-4228-91AE-6D87FA99C723}"/>
    <cellStyle name="Normal 3 3 2 2 7 2 2 2" xfId="25408" xr:uid="{7BC7D08D-E50D-48DD-937B-42E245492483}"/>
    <cellStyle name="Normal 3 3 2 2 7 2 2 2 2" xfId="50900" xr:uid="{1F977C9E-1FF6-4B43-857F-145580FF4DE5}"/>
    <cellStyle name="Normal 3 3 2 2 7 2 2 3" xfId="38309" xr:uid="{ECB5B5D4-F8B2-4BCD-91D0-85F06A4715B0}"/>
    <cellStyle name="Normal 3 3 2 2 7 2 3" xfId="19130" xr:uid="{8FD741A8-DAE0-4E9C-B50F-FCEE7841AECB}"/>
    <cellStyle name="Normal 3 3 2 2 7 2 3 2" xfId="44622" xr:uid="{73188F6B-7F27-4756-973F-6742A1E8B18A}"/>
    <cellStyle name="Normal 3 3 2 2 7 2 4" xfId="32031" xr:uid="{682379FD-C5C3-4E38-995B-5E1F3E05D35B}"/>
    <cellStyle name="Normal 3 3 2 2 7 3" xfId="9587" xr:uid="{E1F3A902-4723-4D33-B1C3-EDAE2981FA29}"/>
    <cellStyle name="Normal 3 3 2 2 7 3 2" xfId="22269" xr:uid="{FFBE2FFF-0122-425C-BC77-EE5AA76E4912}"/>
    <cellStyle name="Normal 3 3 2 2 7 3 2 2" xfId="47761" xr:uid="{B1B937C7-7173-4F25-AF64-A7EE561CD804}"/>
    <cellStyle name="Normal 3 3 2 2 7 3 3" xfId="35170" xr:uid="{3AD4F43A-4814-45DA-AF7D-3AC837FF8630}"/>
    <cellStyle name="Normal 3 3 2 2 7 4" xfId="15991" xr:uid="{976300FD-33D5-495C-93C3-A75CC1516EB2}"/>
    <cellStyle name="Normal 3 3 2 2 7 4 2" xfId="41483" xr:uid="{6D3CBD9A-79DC-459E-BFB8-1EA79DE16AB3}"/>
    <cellStyle name="Normal 3 3 2 2 7 5" xfId="28892" xr:uid="{8685B491-FC61-4E1B-9705-5738A4A78730}"/>
    <cellStyle name="Normal 3 3 2 2 8" xfId="3818" xr:uid="{4FB5D969-30D8-407B-8ED2-0A80D9BE9D54}"/>
    <cellStyle name="Normal 3 3 2 2 8 2" xfId="10111" xr:uid="{AD1BE7CF-A253-4B67-A800-D9B8ADB23C87}"/>
    <cellStyle name="Normal 3 3 2 2 8 2 2" xfId="22793" xr:uid="{21F96673-AACE-4453-9F47-CAFEAB3BF0BC}"/>
    <cellStyle name="Normal 3 3 2 2 8 2 2 2" xfId="48285" xr:uid="{541290E3-8B66-4946-A28E-56F3B2D1F204}"/>
    <cellStyle name="Normal 3 3 2 2 8 2 3" xfId="35694" xr:uid="{C223F41E-4CCD-4331-8431-763CC8BF2341}"/>
    <cellStyle name="Normal 3 3 2 2 8 3" xfId="16515" xr:uid="{FFD4B755-EF67-45D0-AC3A-7E585C5B83FC}"/>
    <cellStyle name="Normal 3 3 2 2 8 3 2" xfId="42007" xr:uid="{307B99C6-F231-4A9C-AD70-2A6F1A8FC231}"/>
    <cellStyle name="Normal 3 3 2 2 8 4" xfId="29416" xr:uid="{1F9F066D-3E70-4EEC-A955-1B55F36D8D49}"/>
    <cellStyle name="Normal 3 3 2 2 9" xfId="6972" xr:uid="{39230871-9A7B-4386-83F2-F8B97B383363}"/>
    <cellStyle name="Normal 3 3 2 2 9 2" xfId="19654" xr:uid="{B0867F17-70F8-44C7-B486-1F1A559660AE}"/>
    <cellStyle name="Normal 3 3 2 2 9 2 2" xfId="45146" xr:uid="{EDD6FFF5-6E90-4CBE-9150-015BBA037217}"/>
    <cellStyle name="Normal 3 3 2 2 9 3" xfId="32555" xr:uid="{95441EE8-D91B-409C-ACF9-A6C825EEBFA1}"/>
    <cellStyle name="Normal 3 3 2 3" xfId="1027" xr:uid="{D4A8EA34-6E00-4EA0-BC5B-853FF9D28040}"/>
    <cellStyle name="Normal 3 3 2 3 2" xfId="2334" xr:uid="{6E0A436C-C7BA-420C-AF3F-A3789ACB786D}"/>
    <cellStyle name="Normal 3 3 2 3 2 2" xfId="5488" xr:uid="{25648190-050B-4ACE-9A93-5E091F930BE5}"/>
    <cellStyle name="Normal 3 3 2 3 2 2 2" xfId="11781" xr:uid="{F9FCC0B2-4F70-4A17-8B08-248B8C65290D}"/>
    <cellStyle name="Normal 3 3 2 3 2 2 2 2" xfId="24463" xr:uid="{8BA5B760-6F1F-4FBF-9F31-E5A17C44ADC8}"/>
    <cellStyle name="Normal 3 3 2 3 2 2 2 2 2" xfId="49955" xr:uid="{24CFB1D4-447C-48D2-B086-99CAEE605EA1}"/>
    <cellStyle name="Normal 3 3 2 3 2 2 2 3" xfId="37364" xr:uid="{A3F77789-112C-44B0-9CF2-111C28AADDFA}"/>
    <cellStyle name="Normal 3 3 2 3 2 2 3" xfId="18185" xr:uid="{360FBD24-386E-4DAE-BB73-8C8D9FCBE9C1}"/>
    <cellStyle name="Normal 3 3 2 3 2 2 3 2" xfId="43677" xr:uid="{F4F580D8-B90C-4AD7-B355-B9705454CAA7}"/>
    <cellStyle name="Normal 3 3 2 3 2 2 4" xfId="31086" xr:uid="{6C8BD15B-8FE7-4C00-B3FC-9794CD3B437B}"/>
    <cellStyle name="Normal 3 3 2 3 2 3" xfId="8642" xr:uid="{18B6D11F-9DBA-4A4F-90E8-1366943953C6}"/>
    <cellStyle name="Normal 3 3 2 3 2 3 2" xfId="21324" xr:uid="{39C36547-4267-415D-9258-D026F790EDB6}"/>
    <cellStyle name="Normal 3 3 2 3 2 3 2 2" xfId="46816" xr:uid="{12712AAF-1983-48CC-BAA6-949DB840FD01}"/>
    <cellStyle name="Normal 3 3 2 3 2 3 3" xfId="34225" xr:uid="{CFCE008D-9F6D-40AE-80E2-AA4324F931B8}"/>
    <cellStyle name="Normal 3 3 2 3 2 4" xfId="15046" xr:uid="{4D0CA097-2A88-4927-BAB6-C4221C189DAE}"/>
    <cellStyle name="Normal 3 3 2 3 2 4 2" xfId="40538" xr:uid="{9085F180-C0F1-4698-9269-493AA3D00652}"/>
    <cellStyle name="Normal 3 3 2 3 2 5" xfId="27947" xr:uid="{79DE77DA-8729-4A5E-9525-56FBA619603A}"/>
    <cellStyle name="Normal 3 3 2 3 3" xfId="1551" xr:uid="{3BB9117C-0E66-4E5D-842E-2FC86922FBC7}"/>
    <cellStyle name="Normal 3 3 2 3 3 2" xfId="4705" xr:uid="{212F2D76-CFA5-4932-9BF1-6E41104939D9}"/>
    <cellStyle name="Normal 3 3 2 3 3 2 2" xfId="10998" xr:uid="{B562CB17-9489-4973-A45D-9157E96087DC}"/>
    <cellStyle name="Normal 3 3 2 3 3 2 2 2" xfId="23680" xr:uid="{F06F65A1-9577-49B8-8B37-D898F6CC5DB8}"/>
    <cellStyle name="Normal 3 3 2 3 3 2 2 2 2" xfId="49172" xr:uid="{EFAFB6FF-F5CF-4D82-9533-1272C14D4234}"/>
    <cellStyle name="Normal 3 3 2 3 3 2 2 3" xfId="36581" xr:uid="{22AC4CDD-C8E1-48D7-BCB3-757D99B77868}"/>
    <cellStyle name="Normal 3 3 2 3 3 2 3" xfId="17402" xr:uid="{513DAF6B-B03E-48E7-9ACF-56BFE1C9DF5F}"/>
    <cellStyle name="Normal 3 3 2 3 3 2 3 2" xfId="42894" xr:uid="{EFCCEC75-6648-4218-A8AF-360001FAFF8D}"/>
    <cellStyle name="Normal 3 3 2 3 3 2 4" xfId="30303" xr:uid="{9F7D4EFC-4F59-4CF0-BCAF-48A331C1B0F8}"/>
    <cellStyle name="Normal 3 3 2 3 3 3" xfId="7859" xr:uid="{786C0723-4AF7-40DC-A56B-5F1C3ED9CBFB}"/>
    <cellStyle name="Normal 3 3 2 3 3 3 2" xfId="20541" xr:uid="{BE63FF9C-A809-4FD1-8074-8F967E9D096C}"/>
    <cellStyle name="Normal 3 3 2 3 3 3 2 2" xfId="46033" xr:uid="{2583EEAB-CCE9-4ECD-8AC0-37B5C67E60BB}"/>
    <cellStyle name="Normal 3 3 2 3 3 3 3" xfId="33442" xr:uid="{4231ED26-BCC8-4F9A-BA56-305BA06B9A65}"/>
    <cellStyle name="Normal 3 3 2 3 3 4" xfId="14263" xr:uid="{050319A8-DF74-46C4-961C-49CC73333C58}"/>
    <cellStyle name="Normal 3 3 2 3 3 4 2" xfId="39755" xr:uid="{555D1D40-4A7F-487B-B53E-031795C2D4EA}"/>
    <cellStyle name="Normal 3 3 2 3 3 5" xfId="27164" xr:uid="{8DFA7D3D-4119-4CAB-AB1A-D4C97BCCC5E2}"/>
    <cellStyle name="Normal 3 3 2 3 4" xfId="2858" xr:uid="{EB40FB02-7B8B-46C2-891F-3E7FBECE93A5}"/>
    <cellStyle name="Normal 3 3 2 3 4 2" xfId="6012" xr:uid="{41EDA6B3-49BB-4AE7-8D43-90186F93BA3E}"/>
    <cellStyle name="Normal 3 3 2 3 4 2 2" xfId="12305" xr:uid="{15653105-AF99-4FA1-9EDE-51881566F96B}"/>
    <cellStyle name="Normal 3 3 2 3 4 2 2 2" xfId="24987" xr:uid="{FACBD5FD-6240-4F48-8E57-68BB36D44C15}"/>
    <cellStyle name="Normal 3 3 2 3 4 2 2 2 2" xfId="50479" xr:uid="{03D2502D-B143-484A-BD8E-3068AEFF0B70}"/>
    <cellStyle name="Normal 3 3 2 3 4 2 2 3" xfId="37888" xr:uid="{4C6B5B72-3803-4D54-B496-BA372821C4A3}"/>
    <cellStyle name="Normal 3 3 2 3 4 2 3" xfId="18709" xr:uid="{0A74B9A9-A628-4232-8AE6-BEF6FC9B33AB}"/>
    <cellStyle name="Normal 3 3 2 3 4 2 3 2" xfId="44201" xr:uid="{07261A5C-DEF1-4565-B741-CE9E0210A6C6}"/>
    <cellStyle name="Normal 3 3 2 3 4 2 4" xfId="31610" xr:uid="{E9565716-C17B-428F-92F1-C94C450AA43D}"/>
    <cellStyle name="Normal 3 3 2 3 4 3" xfId="9166" xr:uid="{25F99D56-D55D-49FD-8660-C4CCE62E20A3}"/>
    <cellStyle name="Normal 3 3 2 3 4 3 2" xfId="21848" xr:uid="{EB0E336B-BF47-4856-BCA7-F60733248052}"/>
    <cellStyle name="Normal 3 3 2 3 4 3 2 2" xfId="47340" xr:uid="{D258425F-EA16-4F73-9E68-B49B527A9BDC}"/>
    <cellStyle name="Normal 3 3 2 3 4 3 3" xfId="34749" xr:uid="{1B9C8EA9-56D2-4A77-A15E-16E7E570E4D1}"/>
    <cellStyle name="Normal 3 3 2 3 4 4" xfId="15570" xr:uid="{216B7017-FE47-4E97-8828-720DEA43939A}"/>
    <cellStyle name="Normal 3 3 2 3 4 4 2" xfId="41062" xr:uid="{A8E015A0-97E6-442A-AE7C-3B027263F915}"/>
    <cellStyle name="Normal 3 3 2 3 4 5" xfId="28471" xr:uid="{B2E87A9B-2D3A-460C-A8AE-B30207FF430C}"/>
    <cellStyle name="Normal 3 3 2 3 5" xfId="3381" xr:uid="{65B0562B-DE64-425B-9F97-D52CFFD6BEB3}"/>
    <cellStyle name="Normal 3 3 2 3 5 2" xfId="6535" xr:uid="{581FCF56-8A99-410E-9633-961A8B9C305C}"/>
    <cellStyle name="Normal 3 3 2 3 5 2 2" xfId="12828" xr:uid="{65DC1A43-FC92-4140-9619-DB74A0BCD4AA}"/>
    <cellStyle name="Normal 3 3 2 3 5 2 2 2" xfId="25510" xr:uid="{548C75CB-AF4F-4358-BCD1-80EB5E732370}"/>
    <cellStyle name="Normal 3 3 2 3 5 2 2 2 2" xfId="51002" xr:uid="{12303729-4651-4C95-B3DC-0538B25C5229}"/>
    <cellStyle name="Normal 3 3 2 3 5 2 2 3" xfId="38411" xr:uid="{0319C010-D93B-429F-A10A-42C272D64343}"/>
    <cellStyle name="Normal 3 3 2 3 5 2 3" xfId="19232" xr:uid="{5FD4C36B-DD53-4AEC-97E0-987EEB65BB29}"/>
    <cellStyle name="Normal 3 3 2 3 5 2 3 2" xfId="44724" xr:uid="{DE9A6530-09A3-4814-B5CC-DBBBD72C83F9}"/>
    <cellStyle name="Normal 3 3 2 3 5 2 4" xfId="32133" xr:uid="{F44615DE-3EF4-42B7-B809-49CFD2177610}"/>
    <cellStyle name="Normal 3 3 2 3 5 3" xfId="9689" xr:uid="{8575DDF0-A41C-4805-8B7E-6C3DA842B922}"/>
    <cellStyle name="Normal 3 3 2 3 5 3 2" xfId="22371" xr:uid="{704297E7-7B4F-4FE9-9482-9BB20E0DF1ED}"/>
    <cellStyle name="Normal 3 3 2 3 5 3 2 2" xfId="47863" xr:uid="{4647CE50-E50C-444B-B6CE-A5730227E403}"/>
    <cellStyle name="Normal 3 3 2 3 5 3 3" xfId="35272" xr:uid="{31169BF3-3B37-4831-93A5-A4B40F58B4ED}"/>
    <cellStyle name="Normal 3 3 2 3 5 4" xfId="16093" xr:uid="{1470226D-C589-49DD-9D41-7A1BC0C6BCAD}"/>
    <cellStyle name="Normal 3 3 2 3 5 4 2" xfId="41585" xr:uid="{D467FBB9-4060-4861-BC94-D6C0A1D13B95}"/>
    <cellStyle name="Normal 3 3 2 3 5 5" xfId="28994" xr:uid="{8230D688-EED8-49C1-A690-35E09E72AA94}"/>
    <cellStyle name="Normal 3 3 2 3 6" xfId="4181" xr:uid="{BA964EB6-576D-4E68-AC1E-84E076A9BF0F}"/>
    <cellStyle name="Normal 3 3 2 3 6 2" xfId="10474" xr:uid="{76F3013A-055C-490A-A04A-5813A6517B94}"/>
    <cellStyle name="Normal 3 3 2 3 6 2 2" xfId="23156" xr:uid="{4A2ADD1A-2C86-4D20-B09B-7EE0F1ABCC43}"/>
    <cellStyle name="Normal 3 3 2 3 6 2 2 2" xfId="48648" xr:uid="{595EB0BA-F3BC-4D83-8A93-172064D861D6}"/>
    <cellStyle name="Normal 3 3 2 3 6 2 3" xfId="36057" xr:uid="{ED14EA51-2EA0-43D3-ABE5-EC31E15FC5FD}"/>
    <cellStyle name="Normal 3 3 2 3 6 3" xfId="16878" xr:uid="{A3ED930C-D2B1-46D2-A6E1-96500DB314B6}"/>
    <cellStyle name="Normal 3 3 2 3 6 3 2" xfId="42370" xr:uid="{66CF882D-13D3-4FAE-A5FF-8147A97BBC58}"/>
    <cellStyle name="Normal 3 3 2 3 6 4" xfId="29779" xr:uid="{3D337B66-9166-4042-AC4A-A83CEA54C0B5}"/>
    <cellStyle name="Normal 3 3 2 3 7" xfId="7335" xr:uid="{8D724B4E-D408-4175-A0B2-42FCB19CFF75}"/>
    <cellStyle name="Normal 3 3 2 3 7 2" xfId="20017" xr:uid="{7896AD0C-95EB-4B56-BAC2-90009F6B8797}"/>
    <cellStyle name="Normal 3 3 2 3 7 2 2" xfId="45509" xr:uid="{B088F6D1-B313-4824-B872-D7103D24ABCD}"/>
    <cellStyle name="Normal 3 3 2 3 7 3" xfId="32918" xr:uid="{33810C91-F692-4EB0-84E6-C681828BC6D0}"/>
    <cellStyle name="Normal 3 3 2 3 8" xfId="13739" xr:uid="{ACABE779-A27D-4108-9CB4-289E7386CF49}"/>
    <cellStyle name="Normal 3 3 2 3 8 2" xfId="39231" xr:uid="{47E04CC6-97C6-49F5-B00E-AFB6A6C7B3E2}"/>
    <cellStyle name="Normal 3 3 2 3 9" xfId="26640" xr:uid="{28FE3174-B6A7-4BE1-A686-4218FB927443}"/>
    <cellStyle name="Normal 3 3 2 4" xfId="767" xr:uid="{A7D5C504-FF7B-49D3-A9FD-EF9E89F4BA41}"/>
    <cellStyle name="Normal 3 3 2 4 2" xfId="2074" xr:uid="{3AB33E2A-42C3-4763-9C97-E339A4CF0F43}"/>
    <cellStyle name="Normal 3 3 2 4 2 2" xfId="5228" xr:uid="{85E5458F-19B4-4A02-B6A9-23F3302C0C45}"/>
    <cellStyle name="Normal 3 3 2 4 2 2 2" xfId="11521" xr:uid="{A0F7253B-3E8D-4D01-A165-50C719B908EA}"/>
    <cellStyle name="Normal 3 3 2 4 2 2 2 2" xfId="24203" xr:uid="{EC739FD1-24F9-4DBE-9997-40559EB0787F}"/>
    <cellStyle name="Normal 3 3 2 4 2 2 2 2 2" xfId="49695" xr:uid="{31DECF20-BC3F-4DD6-B040-9BFA0426E8EA}"/>
    <cellStyle name="Normal 3 3 2 4 2 2 2 3" xfId="37104" xr:uid="{4EA9D04E-44E5-442B-AC8D-105072C78E75}"/>
    <cellStyle name="Normal 3 3 2 4 2 2 3" xfId="17925" xr:uid="{B908F4AA-B601-4909-B79D-38531A9079CE}"/>
    <cellStyle name="Normal 3 3 2 4 2 2 3 2" xfId="43417" xr:uid="{12A47BCF-2E36-40FD-8D26-C17A7C39C8DC}"/>
    <cellStyle name="Normal 3 3 2 4 2 2 4" xfId="30826" xr:uid="{08A5F5C9-01A9-4722-A62E-07504D97F744}"/>
    <cellStyle name="Normal 3 3 2 4 2 3" xfId="8382" xr:uid="{B6518F07-693D-4FBC-8F57-6FDFCDF3909D}"/>
    <cellStyle name="Normal 3 3 2 4 2 3 2" xfId="21064" xr:uid="{E0219268-0821-4243-9DCC-F0C0E015DEA7}"/>
    <cellStyle name="Normal 3 3 2 4 2 3 2 2" xfId="46556" xr:uid="{D3670FC0-332A-4175-A867-CC0D75397C01}"/>
    <cellStyle name="Normal 3 3 2 4 2 3 3" xfId="33965" xr:uid="{5FCFBF2B-A54B-416F-A360-A08EBCB6F44C}"/>
    <cellStyle name="Normal 3 3 2 4 2 4" xfId="14786" xr:uid="{BB62D1CB-C103-42D8-A9A1-8FA3DC94D3A5}"/>
    <cellStyle name="Normal 3 3 2 4 2 4 2" xfId="40278" xr:uid="{F97FF2DA-A3E5-417B-950C-4521A20D5CAE}"/>
    <cellStyle name="Normal 3 3 2 4 2 5" xfId="27687" xr:uid="{022170AA-3C3D-4407-B83E-662C237B4CA9}"/>
    <cellStyle name="Normal 3 3 2 4 3" xfId="3921" xr:uid="{8F4FF2CB-3FA6-4DD7-AE17-8A41F7EFEE6B}"/>
    <cellStyle name="Normal 3 3 2 4 3 2" xfId="10214" xr:uid="{9BC704DC-7B8E-4E1A-9384-2E667EA4546D}"/>
    <cellStyle name="Normal 3 3 2 4 3 2 2" xfId="22896" xr:uid="{D73FA08A-6275-4ECC-921D-7C31C3A29002}"/>
    <cellStyle name="Normal 3 3 2 4 3 2 2 2" xfId="48388" xr:uid="{CD594DAB-6196-4BEB-B15A-81CFD243BE05}"/>
    <cellStyle name="Normal 3 3 2 4 3 2 3" xfId="35797" xr:uid="{A07F0567-362F-42B1-A217-693DC375D4EA}"/>
    <cellStyle name="Normal 3 3 2 4 3 3" xfId="16618" xr:uid="{02460DA3-206C-48F7-ACA1-870B9A34B95F}"/>
    <cellStyle name="Normal 3 3 2 4 3 3 2" xfId="42110" xr:uid="{5FB454CC-2972-4E1A-A887-DBE3CFE00FB0}"/>
    <cellStyle name="Normal 3 3 2 4 3 4" xfId="29519" xr:uid="{1106B7EE-F786-4E20-AAD7-1DCA70922EFF}"/>
    <cellStyle name="Normal 3 3 2 4 4" xfId="7075" xr:uid="{A134C593-40F6-48BB-83DC-575C6C1904C2}"/>
    <cellStyle name="Normal 3 3 2 4 4 2" xfId="19757" xr:uid="{510DD805-D07C-4394-9238-18B5F8602409}"/>
    <cellStyle name="Normal 3 3 2 4 4 2 2" xfId="45249" xr:uid="{93D791AF-F691-495F-B797-225445E7CE16}"/>
    <cellStyle name="Normal 3 3 2 4 4 3" xfId="32658" xr:uid="{D0CC8997-2968-480F-B931-7B18EA4EBB92}"/>
    <cellStyle name="Normal 3 3 2 4 5" xfId="13479" xr:uid="{025231AE-BAFE-482E-975B-B99D6D3621E2}"/>
    <cellStyle name="Normal 3 3 2 4 5 2" xfId="38971" xr:uid="{1D560BEE-C7E5-469E-945F-9A39B22108CD}"/>
    <cellStyle name="Normal 3 3 2 4 6" xfId="26380" xr:uid="{417C6463-C4D9-411C-8B05-24F69539AEF2}"/>
    <cellStyle name="Normal 3 3 2 5" xfId="1812" xr:uid="{1945146A-F746-4E24-818B-F44D618EFB91}"/>
    <cellStyle name="Normal 3 3 2 5 2" xfId="4966" xr:uid="{3FDF4698-B26F-4254-AAE3-544D6525D169}"/>
    <cellStyle name="Normal 3 3 2 5 2 2" xfId="11259" xr:uid="{C632FFF0-35AD-4978-BF1F-F7522477D747}"/>
    <cellStyle name="Normal 3 3 2 5 2 2 2" xfId="23941" xr:uid="{9322CEE6-6334-4D03-ACCD-0909315B1153}"/>
    <cellStyle name="Normal 3 3 2 5 2 2 2 2" xfId="49433" xr:uid="{25AB0A83-CED2-4315-A0F2-459883D5E6E0}"/>
    <cellStyle name="Normal 3 3 2 5 2 2 3" xfId="36842" xr:uid="{580C2B69-BBE8-4B54-AD64-AA393C8190E2}"/>
    <cellStyle name="Normal 3 3 2 5 2 3" xfId="17663" xr:uid="{D442CA1B-30F7-4585-87AE-5C000C21D197}"/>
    <cellStyle name="Normal 3 3 2 5 2 3 2" xfId="43155" xr:uid="{FA56095C-1B60-4319-90D1-997D1BB28AFD}"/>
    <cellStyle name="Normal 3 3 2 5 2 4" xfId="30564" xr:uid="{FBD5DFE5-0B4D-4F98-B453-C342259E1F2F}"/>
    <cellStyle name="Normal 3 3 2 5 3" xfId="8120" xr:uid="{284F59BF-F0B2-4F8F-83EE-6E1FB129251B}"/>
    <cellStyle name="Normal 3 3 2 5 3 2" xfId="20802" xr:uid="{1294A798-E514-41B6-A7DD-A70934E495CA}"/>
    <cellStyle name="Normal 3 3 2 5 3 2 2" xfId="46294" xr:uid="{353307CC-E661-4639-8374-E6B689B504B7}"/>
    <cellStyle name="Normal 3 3 2 5 3 3" xfId="33703" xr:uid="{0FA364A9-64CD-4986-9ECB-D3147406B7A8}"/>
    <cellStyle name="Normal 3 3 2 5 4" xfId="14524" xr:uid="{A886F359-259A-409D-9CC8-A4C3C2339992}"/>
    <cellStyle name="Normal 3 3 2 5 4 2" xfId="40016" xr:uid="{52051F81-F52A-42B4-84AA-A906DA927FF6}"/>
    <cellStyle name="Normal 3 3 2 5 5" xfId="27425" xr:uid="{FF8A74DE-BEEF-483D-94B7-8498E561ED68}"/>
    <cellStyle name="Normal 3 3 2 6" xfId="1290" xr:uid="{68D25317-9005-4DC9-9352-902CDA017D40}"/>
    <cellStyle name="Normal 3 3 2 6 2" xfId="4444" xr:uid="{04FEEE22-C384-45F4-9796-F6E3EB8A2A7C}"/>
    <cellStyle name="Normal 3 3 2 6 2 2" xfId="10737" xr:uid="{D9C5FB4E-04B8-4327-A8F0-007475468303}"/>
    <cellStyle name="Normal 3 3 2 6 2 2 2" xfId="23419" xr:uid="{7E099A7F-0A13-4636-811C-1ABC572E4D2F}"/>
    <cellStyle name="Normal 3 3 2 6 2 2 2 2" xfId="48911" xr:uid="{9ABEDE49-AF5D-4CAA-B603-73098B3CB00B}"/>
    <cellStyle name="Normal 3 3 2 6 2 2 3" xfId="36320" xr:uid="{CC7B58F4-613F-47EC-A296-BAFE7D5305C6}"/>
    <cellStyle name="Normal 3 3 2 6 2 3" xfId="17141" xr:uid="{3C040E92-BBEA-486A-8DC9-7D0ECF9FB8AA}"/>
    <cellStyle name="Normal 3 3 2 6 2 3 2" xfId="42633" xr:uid="{4FEDAC66-17C2-41C1-9329-877EA8924013}"/>
    <cellStyle name="Normal 3 3 2 6 2 4" xfId="30042" xr:uid="{B6412C88-C2BF-4E71-A2F4-46EE3860033E}"/>
    <cellStyle name="Normal 3 3 2 6 3" xfId="7598" xr:uid="{C202792D-7384-47DD-A158-FC991BEA5E90}"/>
    <cellStyle name="Normal 3 3 2 6 3 2" xfId="20280" xr:uid="{26933E90-D35A-4952-A92D-E193AC0CCEFE}"/>
    <cellStyle name="Normal 3 3 2 6 3 2 2" xfId="45772" xr:uid="{ED3A705C-1D58-4522-AB38-816D5282DA8D}"/>
    <cellStyle name="Normal 3 3 2 6 3 3" xfId="33181" xr:uid="{4C06F990-93C1-498B-BAE1-01CB7329CC1B}"/>
    <cellStyle name="Normal 3 3 2 6 4" xfId="14002" xr:uid="{EBF33C5F-11C6-4078-A688-FB25B653AB95}"/>
    <cellStyle name="Normal 3 3 2 6 4 2" xfId="39494" xr:uid="{848C93E6-01EA-4EE9-ABB4-91EE9C80A429}"/>
    <cellStyle name="Normal 3 3 2 6 5" xfId="26903" xr:uid="{CBB2973A-F44B-40CA-B16F-66025892CB3B}"/>
    <cellStyle name="Normal 3 3 2 7" xfId="2597" xr:uid="{81360D1C-0ECD-4F36-BBD0-76E3829ED77F}"/>
    <cellStyle name="Normal 3 3 2 7 2" xfId="5751" xr:uid="{21C639FA-233F-4DF5-AA64-A10184BA11BA}"/>
    <cellStyle name="Normal 3 3 2 7 2 2" xfId="12044" xr:uid="{995394A5-DEDF-4899-866C-2688E9DC6472}"/>
    <cellStyle name="Normal 3 3 2 7 2 2 2" xfId="24726" xr:uid="{4BDC86DD-F2E6-4314-8A88-3B5FD009FA1B}"/>
    <cellStyle name="Normal 3 3 2 7 2 2 2 2" xfId="50218" xr:uid="{94CF9F34-5EEA-49F1-8DA8-B8E3D4E393E9}"/>
    <cellStyle name="Normal 3 3 2 7 2 2 3" xfId="37627" xr:uid="{F3278146-225A-4856-B34B-CC73F54ABDC8}"/>
    <cellStyle name="Normal 3 3 2 7 2 3" xfId="18448" xr:uid="{27CE60B4-22AC-46F3-A689-4B361DD5EDE5}"/>
    <cellStyle name="Normal 3 3 2 7 2 3 2" xfId="43940" xr:uid="{3536AE28-C776-4CB9-B87A-960392FAEF29}"/>
    <cellStyle name="Normal 3 3 2 7 2 4" xfId="31349" xr:uid="{04F410DF-DB2A-43C9-AE5A-F006370F73A6}"/>
    <cellStyle name="Normal 3 3 2 7 3" xfId="8905" xr:uid="{C7090B94-776F-4471-A632-7EC3CA3CD733}"/>
    <cellStyle name="Normal 3 3 2 7 3 2" xfId="21587" xr:uid="{6E84E848-9EC2-4532-A7D2-F3118E3F7A1C}"/>
    <cellStyle name="Normal 3 3 2 7 3 2 2" xfId="47079" xr:uid="{5A699F56-82FF-4BBB-A2B6-93C22D19F656}"/>
    <cellStyle name="Normal 3 3 2 7 3 3" xfId="34488" xr:uid="{29FDE48F-3F4F-49D3-91DE-4FF8EEA47879}"/>
    <cellStyle name="Normal 3 3 2 7 4" xfId="15309" xr:uid="{E45C2059-0559-42FD-8DA7-E5585B88B25B}"/>
    <cellStyle name="Normal 3 3 2 7 4 2" xfId="40801" xr:uid="{F410D75F-DEB1-44DF-9DA2-941A296DDA0A}"/>
    <cellStyle name="Normal 3 3 2 7 5" xfId="28210" xr:uid="{8A7E672D-B18F-478D-9B8E-628BD7BCCBE0}"/>
    <cellStyle name="Normal 3 3 2 8" xfId="3120" xr:uid="{559AC8A9-5687-4355-9F5A-E879A8D59E24}"/>
    <cellStyle name="Normal 3 3 2 8 2" xfId="6274" xr:uid="{EF2E13C1-6686-4A30-9BB6-D01665B27E81}"/>
    <cellStyle name="Normal 3 3 2 8 2 2" xfId="12567" xr:uid="{1316A2FE-0B68-4783-A64D-7BA41F9979BB}"/>
    <cellStyle name="Normal 3 3 2 8 2 2 2" xfId="25249" xr:uid="{BC869668-89EB-4A0E-BB48-BF2EC90F3E5D}"/>
    <cellStyle name="Normal 3 3 2 8 2 2 2 2" xfId="50741" xr:uid="{7870A35D-45A9-42EB-B460-13AFEA2029F7}"/>
    <cellStyle name="Normal 3 3 2 8 2 2 3" xfId="38150" xr:uid="{920710C6-7D1A-4B6A-8922-6D6ED637EF91}"/>
    <cellStyle name="Normal 3 3 2 8 2 3" xfId="18971" xr:uid="{F6C4534F-4766-41F7-B4CE-8BA4EE5049C2}"/>
    <cellStyle name="Normal 3 3 2 8 2 3 2" xfId="44463" xr:uid="{E3566562-3FE9-43D7-9E35-A41131321AEB}"/>
    <cellStyle name="Normal 3 3 2 8 2 4" xfId="31872" xr:uid="{52743FE6-A2BF-4E0C-97A1-968B2CE126C2}"/>
    <cellStyle name="Normal 3 3 2 8 3" xfId="9428" xr:uid="{8D37E8B7-39B9-47B8-9DE8-CC6DF676ECB1}"/>
    <cellStyle name="Normal 3 3 2 8 3 2" xfId="22110" xr:uid="{091C9CD4-F120-466D-BAD0-457F4935CEE3}"/>
    <cellStyle name="Normal 3 3 2 8 3 2 2" xfId="47602" xr:uid="{BC330EC8-F084-408F-BFE3-6B5AC9BE3376}"/>
    <cellStyle name="Normal 3 3 2 8 3 3" xfId="35011" xr:uid="{F5C4090A-963F-4B5B-BD32-81083DEBFBE7}"/>
    <cellStyle name="Normal 3 3 2 8 4" xfId="15832" xr:uid="{E4238184-C441-4251-8EA9-212DD85F4C57}"/>
    <cellStyle name="Normal 3 3 2 8 4 2" xfId="41324" xr:uid="{DEE7AF70-2A10-4B6F-BE0F-D989FD49511D}"/>
    <cellStyle name="Normal 3 3 2 8 5" xfId="28733" xr:uid="{0D118CED-2FF0-45AE-8498-4CF12A685F5F}"/>
    <cellStyle name="Normal 3 3 2 9" xfId="3659" xr:uid="{D28111FD-17B1-4F9D-BFE0-5AA319FA02FD}"/>
    <cellStyle name="Normal 3 3 2 9 2" xfId="9952" xr:uid="{E7E5DD9F-869A-4A3B-9EB9-81CE349ED293}"/>
    <cellStyle name="Normal 3 3 2 9 2 2" xfId="22634" xr:uid="{1482E5A3-538B-4446-9C03-CFD66672A7D6}"/>
    <cellStyle name="Normal 3 3 2 9 2 2 2" xfId="48126" xr:uid="{EAF7C1CF-19C3-4E8B-9D08-3D34F918A2AB}"/>
    <cellStyle name="Normal 3 3 2 9 2 3" xfId="35535" xr:uid="{B04D3208-9C5B-4572-86BE-3BF3EABA2C39}"/>
    <cellStyle name="Normal 3 3 2 9 3" xfId="16356" xr:uid="{23434F38-5E73-409E-A7C3-361FD7EF539C}"/>
    <cellStyle name="Normal 3 3 2 9 3 2" xfId="41848" xr:uid="{93E39980-995E-4D08-BF11-6B60B86CAFC8}"/>
    <cellStyle name="Normal 3 3 2 9 4" xfId="29257" xr:uid="{F1521CF9-F35B-42A9-9077-288FA80404A9}"/>
    <cellStyle name="Normal 3 3 3" xfId="588" xr:uid="{BE4D40AF-ACB3-45E1-9BC4-83A5C240ACE7}"/>
    <cellStyle name="Normal 3 3 3 10" xfId="13315" xr:uid="{A96BF2BC-64D9-46CF-B28C-65711385C15E}"/>
    <cellStyle name="Normal 3 3 3 10 2" xfId="38807" xr:uid="{963B0368-FAB8-409F-95D5-59303E210516}"/>
    <cellStyle name="Normal 3 3 3 11" xfId="26216" xr:uid="{9DB1310A-361D-4699-AB3A-B342F2B5DCDD}"/>
    <cellStyle name="Normal 3 3 3 2" xfId="1125" xr:uid="{888FDEA1-3011-40E1-979A-640BEFC7E90D}"/>
    <cellStyle name="Normal 3 3 3 2 2" xfId="2432" xr:uid="{DDFBFE84-06E4-46D1-9DE0-8832CCD764C1}"/>
    <cellStyle name="Normal 3 3 3 2 2 2" xfId="5586" xr:uid="{D3CED089-1557-4A26-90DA-D2A06EBD3859}"/>
    <cellStyle name="Normal 3 3 3 2 2 2 2" xfId="11879" xr:uid="{663D9764-CCB4-4FA2-B8A4-883F9E8AD9CA}"/>
    <cellStyle name="Normal 3 3 3 2 2 2 2 2" xfId="24561" xr:uid="{5B52C002-E50B-46CF-9721-1121C18F65B8}"/>
    <cellStyle name="Normal 3 3 3 2 2 2 2 2 2" xfId="50053" xr:uid="{8614E134-A0FC-4395-BAB6-A560F40CD9B4}"/>
    <cellStyle name="Normal 3 3 3 2 2 2 2 3" xfId="37462" xr:uid="{EDAFE1C1-110B-4510-AE28-B4980F230E8A}"/>
    <cellStyle name="Normal 3 3 3 2 2 2 3" xfId="18283" xr:uid="{3E64EBA7-1DB6-46C7-8E4B-5F689D74B772}"/>
    <cellStyle name="Normal 3 3 3 2 2 2 3 2" xfId="43775" xr:uid="{0B94568D-C2D7-4B48-9F13-1C7D256F3130}"/>
    <cellStyle name="Normal 3 3 3 2 2 2 4" xfId="31184" xr:uid="{94BB2ABC-642C-4592-B89E-8382EBAF43E2}"/>
    <cellStyle name="Normal 3 3 3 2 2 3" xfId="8740" xr:uid="{09B5F546-3912-428E-A75E-335BABBF7CDA}"/>
    <cellStyle name="Normal 3 3 3 2 2 3 2" xfId="21422" xr:uid="{F70DAE3C-A59E-4BAA-8F48-EF69396A2F2F}"/>
    <cellStyle name="Normal 3 3 3 2 2 3 2 2" xfId="46914" xr:uid="{A31D8307-3B8F-43B7-89E9-8D21C07C6DE7}"/>
    <cellStyle name="Normal 3 3 3 2 2 3 3" xfId="34323" xr:uid="{F2C5D137-2828-47C8-9135-3D7E556471AF}"/>
    <cellStyle name="Normal 3 3 3 2 2 4" xfId="15144" xr:uid="{7D86D537-4C83-4CB1-8885-BB9D6F97D829}"/>
    <cellStyle name="Normal 3 3 3 2 2 4 2" xfId="40636" xr:uid="{423C92C7-7568-479F-BCED-8B7575FC2546}"/>
    <cellStyle name="Normal 3 3 3 2 2 5" xfId="28045" xr:uid="{8E2D1B46-8D2C-4C19-A22A-552FDAB4CAB7}"/>
    <cellStyle name="Normal 3 3 3 2 3" xfId="1649" xr:uid="{A8A4A3F6-64BA-439C-9826-B28C0F5BAFD9}"/>
    <cellStyle name="Normal 3 3 3 2 3 2" xfId="4803" xr:uid="{B8AD2BA2-2B44-45D6-A39F-4CF3E33D10B6}"/>
    <cellStyle name="Normal 3 3 3 2 3 2 2" xfId="11096" xr:uid="{73B6F0B5-A613-4749-A6AA-7630043F9CFE}"/>
    <cellStyle name="Normal 3 3 3 2 3 2 2 2" xfId="23778" xr:uid="{E64EB4DB-AFAB-44C8-860A-5DAB480DA2A6}"/>
    <cellStyle name="Normal 3 3 3 2 3 2 2 2 2" xfId="49270" xr:uid="{AA06F681-F0B3-4CCB-89E3-A4BDB9AF768D}"/>
    <cellStyle name="Normal 3 3 3 2 3 2 2 3" xfId="36679" xr:uid="{9BB58CEB-FEAE-488A-A5AD-9B83B72FDC73}"/>
    <cellStyle name="Normal 3 3 3 2 3 2 3" xfId="17500" xr:uid="{2743024E-75C4-463C-9EA2-1B6596E75E9E}"/>
    <cellStyle name="Normal 3 3 3 2 3 2 3 2" xfId="42992" xr:uid="{B9F5BCF5-3BE6-40A5-9B23-B9524B717E0A}"/>
    <cellStyle name="Normal 3 3 3 2 3 2 4" xfId="30401" xr:uid="{9A530AA1-850E-4A1E-95B1-F53628ADF522}"/>
    <cellStyle name="Normal 3 3 3 2 3 3" xfId="7957" xr:uid="{ED240C24-FD07-417C-BF84-BE5FC29271C6}"/>
    <cellStyle name="Normal 3 3 3 2 3 3 2" xfId="20639" xr:uid="{4FB458D7-6B05-4AC8-9AC3-4C6635819467}"/>
    <cellStyle name="Normal 3 3 3 2 3 3 2 2" xfId="46131" xr:uid="{38098108-A3D3-4D82-B43E-B2229EAD876A}"/>
    <cellStyle name="Normal 3 3 3 2 3 3 3" xfId="33540" xr:uid="{4EFB2D59-762D-40C2-9FA9-FEC18E9B5857}"/>
    <cellStyle name="Normal 3 3 3 2 3 4" xfId="14361" xr:uid="{27927EAE-F6DE-40F8-9323-C24F8C42DA74}"/>
    <cellStyle name="Normal 3 3 3 2 3 4 2" xfId="39853" xr:uid="{C9DFAB4A-BBA4-44DB-8F3E-B16AFC79C667}"/>
    <cellStyle name="Normal 3 3 3 2 3 5" xfId="27262" xr:uid="{B28059F0-55A5-4927-94B6-FB8C77C0545A}"/>
    <cellStyle name="Normal 3 3 3 2 4" xfId="2956" xr:uid="{324F33AF-A104-4224-AFEE-4B2F5A3B5FB4}"/>
    <cellStyle name="Normal 3 3 3 2 4 2" xfId="6110" xr:uid="{AF40764B-4DC4-4CEA-ACE5-AF4F530D87C7}"/>
    <cellStyle name="Normal 3 3 3 2 4 2 2" xfId="12403" xr:uid="{8EC216AE-DB98-44A2-8431-4CD8074B8208}"/>
    <cellStyle name="Normal 3 3 3 2 4 2 2 2" xfId="25085" xr:uid="{1404269C-B1F1-4003-BDCC-0E01C169CA99}"/>
    <cellStyle name="Normal 3 3 3 2 4 2 2 2 2" xfId="50577" xr:uid="{F9A3B8EA-63AB-495F-B35D-811C33A8D5B8}"/>
    <cellStyle name="Normal 3 3 3 2 4 2 2 3" xfId="37986" xr:uid="{28DF71D2-D607-4D33-B72D-894B2BC9701E}"/>
    <cellStyle name="Normal 3 3 3 2 4 2 3" xfId="18807" xr:uid="{CE646A71-D603-4F51-8791-FD4C210773BE}"/>
    <cellStyle name="Normal 3 3 3 2 4 2 3 2" xfId="44299" xr:uid="{C37362BB-4A69-4F7C-9F61-57414352A67F}"/>
    <cellStyle name="Normal 3 3 3 2 4 2 4" xfId="31708" xr:uid="{046C5A40-4A31-4661-B5BC-E852333AC0AA}"/>
    <cellStyle name="Normal 3 3 3 2 4 3" xfId="9264" xr:uid="{CF2C5661-657B-440C-A13E-1E74E557EB0E}"/>
    <cellStyle name="Normal 3 3 3 2 4 3 2" xfId="21946" xr:uid="{77248A5E-2141-44C7-9525-6CDD24A38A3C}"/>
    <cellStyle name="Normal 3 3 3 2 4 3 2 2" xfId="47438" xr:uid="{780EBE25-8493-45D8-8A0A-4C1159F69945}"/>
    <cellStyle name="Normal 3 3 3 2 4 3 3" xfId="34847" xr:uid="{4C291B9F-E9AE-47A2-AACA-8F37F9A033FC}"/>
    <cellStyle name="Normal 3 3 3 2 4 4" xfId="15668" xr:uid="{19BACF5B-CDF0-4B9E-9F5E-0C6F3388D16F}"/>
    <cellStyle name="Normal 3 3 3 2 4 4 2" xfId="41160" xr:uid="{271136C6-07A2-42CC-8479-201C9C6C19B6}"/>
    <cellStyle name="Normal 3 3 3 2 4 5" xfId="28569" xr:uid="{F01D3432-DA4D-44F3-8B90-F797AB10EF68}"/>
    <cellStyle name="Normal 3 3 3 2 5" xfId="3479" xr:uid="{D246E409-4A2C-4FD0-A1EC-0D38BF1C598F}"/>
    <cellStyle name="Normal 3 3 3 2 5 2" xfId="6633" xr:uid="{640297EA-FFB3-4729-BC66-D4F1151B314B}"/>
    <cellStyle name="Normal 3 3 3 2 5 2 2" xfId="12926" xr:uid="{F0CEDB5F-5245-4D24-B537-D258354AC5F7}"/>
    <cellStyle name="Normal 3 3 3 2 5 2 2 2" xfId="25608" xr:uid="{33E2DDF7-B6E0-4B0B-A468-24A57B7A4C38}"/>
    <cellStyle name="Normal 3 3 3 2 5 2 2 2 2" xfId="51100" xr:uid="{78A463D6-A5DF-48B2-B85C-CE922C65AA7B}"/>
    <cellStyle name="Normal 3 3 3 2 5 2 2 3" xfId="38509" xr:uid="{74675C74-0884-4C62-880C-F94E677FC0B1}"/>
    <cellStyle name="Normal 3 3 3 2 5 2 3" xfId="19330" xr:uid="{3EC09C10-A301-4D93-9FF9-7659B2634461}"/>
    <cellStyle name="Normal 3 3 3 2 5 2 3 2" xfId="44822" xr:uid="{CC432B90-6E9D-4125-A8DE-10E4653C06A0}"/>
    <cellStyle name="Normal 3 3 3 2 5 2 4" xfId="32231" xr:uid="{01A33D9D-41DA-450B-AC5F-E296E94B13F2}"/>
    <cellStyle name="Normal 3 3 3 2 5 3" xfId="9787" xr:uid="{95C12F71-18B9-426B-92BF-BF326FB29497}"/>
    <cellStyle name="Normal 3 3 3 2 5 3 2" xfId="22469" xr:uid="{D890BF09-35AD-4DD3-A514-F9B080D8BCA5}"/>
    <cellStyle name="Normal 3 3 3 2 5 3 2 2" xfId="47961" xr:uid="{27429DAE-7DFA-46E8-8DFE-7F62FA6A5D7F}"/>
    <cellStyle name="Normal 3 3 3 2 5 3 3" xfId="35370" xr:uid="{BAE65B24-69E7-451B-964C-A6E3A2748085}"/>
    <cellStyle name="Normal 3 3 3 2 5 4" xfId="16191" xr:uid="{B8EB1EC6-F6CF-4957-9026-33C9B08572EC}"/>
    <cellStyle name="Normal 3 3 3 2 5 4 2" xfId="41683" xr:uid="{9A358D6C-A1D7-4B16-A6CF-3B0D234CF778}"/>
    <cellStyle name="Normal 3 3 3 2 5 5" xfId="29092" xr:uid="{565EC489-5A4E-4F42-B64B-4762884AF4AC}"/>
    <cellStyle name="Normal 3 3 3 2 6" xfId="4279" xr:uid="{44D0C217-BDE9-4BC4-82F5-4F3D1CA994C0}"/>
    <cellStyle name="Normal 3 3 3 2 6 2" xfId="10572" xr:uid="{66A646ED-9B40-4589-A4E3-D33EC52D5F68}"/>
    <cellStyle name="Normal 3 3 3 2 6 2 2" xfId="23254" xr:uid="{B5C7B3A6-1AC8-4B66-B20D-FA82D55F20BA}"/>
    <cellStyle name="Normal 3 3 3 2 6 2 2 2" xfId="48746" xr:uid="{E4369059-96A6-48B2-B98B-D8AD81DDC406}"/>
    <cellStyle name="Normal 3 3 3 2 6 2 3" xfId="36155" xr:uid="{B5F739E7-9537-46E7-8D5A-8C516B9305CF}"/>
    <cellStyle name="Normal 3 3 3 2 6 3" xfId="16976" xr:uid="{7385448F-20EA-474E-B9DA-86D2F1568DFE}"/>
    <cellStyle name="Normal 3 3 3 2 6 3 2" xfId="42468" xr:uid="{AA03FA2A-AD99-4A11-BEEA-BBF19B185B00}"/>
    <cellStyle name="Normal 3 3 3 2 6 4" xfId="29877" xr:uid="{F0CCE7C0-EDDA-44A0-9042-F98284A71703}"/>
    <cellStyle name="Normal 3 3 3 2 7" xfId="7433" xr:uid="{C201C0C0-66B9-4C0B-AC12-6EABBE14A69B}"/>
    <cellStyle name="Normal 3 3 3 2 7 2" xfId="20115" xr:uid="{B205A53E-775F-4E81-9AB4-0E889D9F20FA}"/>
    <cellStyle name="Normal 3 3 3 2 7 2 2" xfId="45607" xr:uid="{7D50E3C5-D3AB-430C-82C9-A1BE363520D8}"/>
    <cellStyle name="Normal 3 3 3 2 7 3" xfId="33016" xr:uid="{6DFA1767-017E-4D36-8B50-E09443391CD9}"/>
    <cellStyle name="Normal 3 3 3 2 8" xfId="13837" xr:uid="{96A8F1AE-507A-4799-83A9-2372209C21ED}"/>
    <cellStyle name="Normal 3 3 3 2 8 2" xfId="39329" xr:uid="{1BC48832-9649-4215-B3E7-25930DE8E3E0}"/>
    <cellStyle name="Normal 3 3 3 2 9" xfId="26738" xr:uid="{6DCC66D3-CDCC-411D-99B9-AF36B0D33B96}"/>
    <cellStyle name="Normal 3 3 3 3" xfId="865" xr:uid="{7B24DC8F-E5CE-46B0-8996-08E657C463EF}"/>
    <cellStyle name="Normal 3 3 3 3 2" xfId="2172" xr:uid="{8678CF78-48A0-4975-BAA3-E8DC453D72B9}"/>
    <cellStyle name="Normal 3 3 3 3 2 2" xfId="5326" xr:uid="{4A737FE3-E611-49AB-9067-6EE636AFAF44}"/>
    <cellStyle name="Normal 3 3 3 3 2 2 2" xfId="11619" xr:uid="{68CDB165-3BDA-49B3-8484-14F2D3CB8FF9}"/>
    <cellStyle name="Normal 3 3 3 3 2 2 2 2" xfId="24301" xr:uid="{152C0676-4428-45B1-8834-ECAABE67E052}"/>
    <cellStyle name="Normal 3 3 3 3 2 2 2 2 2" xfId="49793" xr:uid="{E8457A9A-B06E-48B1-A125-5EDC0F03F122}"/>
    <cellStyle name="Normal 3 3 3 3 2 2 2 3" xfId="37202" xr:uid="{842EFB89-0911-4646-A137-349F9CA95028}"/>
    <cellStyle name="Normal 3 3 3 3 2 2 3" xfId="18023" xr:uid="{AA2AA0AE-D7AE-487D-B80D-ADFF42705372}"/>
    <cellStyle name="Normal 3 3 3 3 2 2 3 2" xfId="43515" xr:uid="{A5519CF6-7110-4B9D-96EA-8B473F38FBBD}"/>
    <cellStyle name="Normal 3 3 3 3 2 2 4" xfId="30924" xr:uid="{810DD7B0-56B7-49E3-A35A-E9FF0130AE11}"/>
    <cellStyle name="Normal 3 3 3 3 2 3" xfId="8480" xr:uid="{C9D5173D-1716-4680-B7FC-A615C70F8E4E}"/>
    <cellStyle name="Normal 3 3 3 3 2 3 2" xfId="21162" xr:uid="{E0B9C4CA-D1DD-43C4-859A-59AF3634DA1D}"/>
    <cellStyle name="Normal 3 3 3 3 2 3 2 2" xfId="46654" xr:uid="{5FE3815D-1914-4997-BBD2-4B78CEA9B365}"/>
    <cellStyle name="Normal 3 3 3 3 2 3 3" xfId="34063" xr:uid="{929773B0-F4DF-47D6-B6D5-D2066EEA132A}"/>
    <cellStyle name="Normal 3 3 3 3 2 4" xfId="14884" xr:uid="{C8EC160C-EF56-4E69-9F68-A8C6ED703174}"/>
    <cellStyle name="Normal 3 3 3 3 2 4 2" xfId="40376" xr:uid="{C2747164-D694-49F5-8D27-4AF4425C62E4}"/>
    <cellStyle name="Normal 3 3 3 3 2 5" xfId="27785" xr:uid="{957E4682-7316-4751-9F25-0EEA9A942930}"/>
    <cellStyle name="Normal 3 3 3 3 3" xfId="4019" xr:uid="{B0F9BA9B-234C-4B86-B9C4-F01E2E48B467}"/>
    <cellStyle name="Normal 3 3 3 3 3 2" xfId="10312" xr:uid="{6D38A71F-8D9F-4C2B-8232-2C26D37CEAA9}"/>
    <cellStyle name="Normal 3 3 3 3 3 2 2" xfId="22994" xr:uid="{454B220C-22F3-49EE-9F6B-AD574B92A858}"/>
    <cellStyle name="Normal 3 3 3 3 3 2 2 2" xfId="48486" xr:uid="{1F91A8A8-9D8A-4579-9A1C-40BC88288005}"/>
    <cellStyle name="Normal 3 3 3 3 3 2 3" xfId="35895" xr:uid="{8A13FB9C-9049-421E-BA26-01DACC07FBF9}"/>
    <cellStyle name="Normal 3 3 3 3 3 3" xfId="16716" xr:uid="{0395EA8A-7D4F-4B46-B36C-FA51C596BEC3}"/>
    <cellStyle name="Normal 3 3 3 3 3 3 2" xfId="42208" xr:uid="{46872F94-7D2A-4BDF-9A43-13EDB72DF327}"/>
    <cellStyle name="Normal 3 3 3 3 3 4" xfId="29617" xr:uid="{C2EF54E3-A21D-4D11-9C44-E9716195680B}"/>
    <cellStyle name="Normal 3 3 3 3 4" xfId="7173" xr:uid="{2D37E53C-2184-40AA-B863-32E8E4B4E70C}"/>
    <cellStyle name="Normal 3 3 3 3 4 2" xfId="19855" xr:uid="{B7150613-6E90-4D7F-8738-07CE0D80FC4F}"/>
    <cellStyle name="Normal 3 3 3 3 4 2 2" xfId="45347" xr:uid="{59992B68-4BF2-4E1C-9EBB-CF9D6405C8CF}"/>
    <cellStyle name="Normal 3 3 3 3 4 3" xfId="32756" xr:uid="{8F267B41-B5F6-48A2-A033-7E818E88E5CB}"/>
    <cellStyle name="Normal 3 3 3 3 5" xfId="13577" xr:uid="{5788CFC4-C96D-4937-A80A-8FD6C1CAB037}"/>
    <cellStyle name="Normal 3 3 3 3 5 2" xfId="39069" xr:uid="{54C0CBA6-A0A0-4277-A5D2-430BA93F5888}"/>
    <cellStyle name="Normal 3 3 3 3 6" xfId="26478" xr:uid="{9A216243-203F-4B81-A7F0-D021EABBEEB4}"/>
    <cellStyle name="Normal 3 3 3 4" xfId="1910" xr:uid="{4A5605A5-FB06-47A5-9B5D-EB79553FF43E}"/>
    <cellStyle name="Normal 3 3 3 4 2" xfId="5064" xr:uid="{F0A1CC4D-377E-4E21-9E20-0241E5C7B9CE}"/>
    <cellStyle name="Normal 3 3 3 4 2 2" xfId="11357" xr:uid="{DFC95306-2473-42A7-91C9-8A6919957BC8}"/>
    <cellStyle name="Normal 3 3 3 4 2 2 2" xfId="24039" xr:uid="{D72A1405-EE04-461F-8D96-9541B40C57EA}"/>
    <cellStyle name="Normal 3 3 3 4 2 2 2 2" xfId="49531" xr:uid="{6C1FD0E6-E3B0-4158-9B1C-ABFB821872D7}"/>
    <cellStyle name="Normal 3 3 3 4 2 2 3" xfId="36940" xr:uid="{3DDC50AE-6120-4632-9DAA-8EC707D513D8}"/>
    <cellStyle name="Normal 3 3 3 4 2 3" xfId="17761" xr:uid="{8850142D-1169-499B-A9AA-1B3F1E4AF3D7}"/>
    <cellStyle name="Normal 3 3 3 4 2 3 2" xfId="43253" xr:uid="{8FFEAB06-4C25-499E-8CE0-3042BF741507}"/>
    <cellStyle name="Normal 3 3 3 4 2 4" xfId="30662" xr:uid="{969827FB-C34B-4522-A61A-EDC28BD45ABC}"/>
    <cellStyle name="Normal 3 3 3 4 3" xfId="8218" xr:uid="{3AFB36A5-BC21-427B-AE12-600FAE2AF81C}"/>
    <cellStyle name="Normal 3 3 3 4 3 2" xfId="20900" xr:uid="{BBA1E62A-D8DB-417A-AF40-779A0C6E658C}"/>
    <cellStyle name="Normal 3 3 3 4 3 2 2" xfId="46392" xr:uid="{7C6412FC-A8D3-4BCB-A727-5CB22410D6C5}"/>
    <cellStyle name="Normal 3 3 3 4 3 3" xfId="33801" xr:uid="{8F4ABFAD-A209-47B4-84AA-B699765DEA8B}"/>
    <cellStyle name="Normal 3 3 3 4 4" xfId="14622" xr:uid="{C5B53892-5B97-43F2-A55F-3464469E630C}"/>
    <cellStyle name="Normal 3 3 3 4 4 2" xfId="40114" xr:uid="{6BF3E85B-5CF2-4ACC-BA32-742BEB32E9EB}"/>
    <cellStyle name="Normal 3 3 3 4 5" xfId="27523" xr:uid="{8A481611-D5D0-4910-80E4-4871FDA8C2D0}"/>
    <cellStyle name="Normal 3 3 3 5" xfId="1388" xr:uid="{1391E2A5-2884-49CE-8861-46F74822B00A}"/>
    <cellStyle name="Normal 3 3 3 5 2" xfId="4542" xr:uid="{8BA00A0B-D981-4C55-94D2-3C76E9536374}"/>
    <cellStyle name="Normal 3 3 3 5 2 2" xfId="10835" xr:uid="{A1E0663F-DAE1-424A-B939-9025654D76DB}"/>
    <cellStyle name="Normal 3 3 3 5 2 2 2" xfId="23517" xr:uid="{4D5866B1-BA90-41F5-B130-DA68900FA6FD}"/>
    <cellStyle name="Normal 3 3 3 5 2 2 2 2" xfId="49009" xr:uid="{2155E83D-6180-48A1-B642-F4AC7D4730B4}"/>
    <cellStyle name="Normal 3 3 3 5 2 2 3" xfId="36418" xr:uid="{F972A39F-65D7-4997-9378-C252597CD49C}"/>
    <cellStyle name="Normal 3 3 3 5 2 3" xfId="17239" xr:uid="{B036A27F-8A18-4F7F-BB02-9E662920F460}"/>
    <cellStyle name="Normal 3 3 3 5 2 3 2" xfId="42731" xr:uid="{E7BE30E3-DB8E-47AA-BB0E-994E2D9FB758}"/>
    <cellStyle name="Normal 3 3 3 5 2 4" xfId="30140" xr:uid="{9B9B053C-0354-470C-A522-069F2859735D}"/>
    <cellStyle name="Normal 3 3 3 5 3" xfId="7696" xr:uid="{875D8577-72F1-4081-AA6B-74BC982B8AE2}"/>
    <cellStyle name="Normal 3 3 3 5 3 2" xfId="20378" xr:uid="{D62B2F23-6A03-4A67-BCA5-B6ED61479F5D}"/>
    <cellStyle name="Normal 3 3 3 5 3 2 2" xfId="45870" xr:uid="{65CD99EA-A156-4B88-9F6D-4D6761BE4854}"/>
    <cellStyle name="Normal 3 3 3 5 3 3" xfId="33279" xr:uid="{205BF6AF-797F-4915-BBC6-80792B7D6940}"/>
    <cellStyle name="Normal 3 3 3 5 4" xfId="14100" xr:uid="{4855EE53-D85B-4F30-9FFE-256326E5D11A}"/>
    <cellStyle name="Normal 3 3 3 5 4 2" xfId="39592" xr:uid="{78C5C0F8-48FC-4E49-AC73-BBF5A6D9D68D}"/>
    <cellStyle name="Normal 3 3 3 5 5" xfId="27001" xr:uid="{C57ABC8B-DCA1-4F85-9D5A-84113F9A67F1}"/>
    <cellStyle name="Normal 3 3 3 6" xfId="2695" xr:uid="{D3EF1E71-2B4C-46C0-BC5C-EB164986E0E1}"/>
    <cellStyle name="Normal 3 3 3 6 2" xfId="5849" xr:uid="{F3C413FD-AF0B-4D6C-B11F-04A930B3E7AF}"/>
    <cellStyle name="Normal 3 3 3 6 2 2" xfId="12142" xr:uid="{AEA81E39-B100-45CD-856A-5248E9A9B48C}"/>
    <cellStyle name="Normal 3 3 3 6 2 2 2" xfId="24824" xr:uid="{E71D3BAA-9E46-4D82-B270-8365F738541D}"/>
    <cellStyle name="Normal 3 3 3 6 2 2 2 2" xfId="50316" xr:uid="{C0C45B90-DA44-417F-B7F6-B2D35F9B66C5}"/>
    <cellStyle name="Normal 3 3 3 6 2 2 3" xfId="37725" xr:uid="{72D50F57-5325-46A6-89DB-EA1D241A7C21}"/>
    <cellStyle name="Normal 3 3 3 6 2 3" xfId="18546" xr:uid="{C33B648A-1F54-406C-A545-04402D97260D}"/>
    <cellStyle name="Normal 3 3 3 6 2 3 2" xfId="44038" xr:uid="{0F436FFD-513D-4542-A088-C4893F66E8CB}"/>
    <cellStyle name="Normal 3 3 3 6 2 4" xfId="31447" xr:uid="{D538BDEC-0F5C-4F9B-9FF5-72B0ADCC811C}"/>
    <cellStyle name="Normal 3 3 3 6 3" xfId="9003" xr:uid="{BF7BA9B8-49A2-494E-B279-385CA6D09565}"/>
    <cellStyle name="Normal 3 3 3 6 3 2" xfId="21685" xr:uid="{DD7EDD2D-8F04-4793-BE9C-E26B62C6241A}"/>
    <cellStyle name="Normal 3 3 3 6 3 2 2" xfId="47177" xr:uid="{2228CFA1-3689-4BB5-B18B-30B3CA6CE238}"/>
    <cellStyle name="Normal 3 3 3 6 3 3" xfId="34586" xr:uid="{DCCB48CF-BAE9-441E-94B2-FFF0086616EF}"/>
    <cellStyle name="Normal 3 3 3 6 4" xfId="15407" xr:uid="{C40A99E3-2A2C-4891-8CAC-39EB72B9DFE5}"/>
    <cellStyle name="Normal 3 3 3 6 4 2" xfId="40899" xr:uid="{15107238-1336-4763-B407-EBBDBACDE06D}"/>
    <cellStyle name="Normal 3 3 3 6 5" xfId="28308" xr:uid="{952AC881-C74B-44A8-9C89-076EAA955B7F}"/>
    <cellStyle name="Normal 3 3 3 7" xfId="3218" xr:uid="{E3C1032B-8787-4991-86DE-1DABBDB96966}"/>
    <cellStyle name="Normal 3 3 3 7 2" xfId="6372" xr:uid="{8B85C0C4-1D52-4849-8B44-64637C1EA329}"/>
    <cellStyle name="Normal 3 3 3 7 2 2" xfId="12665" xr:uid="{73F192D3-CE6C-44A4-83D5-95C8A091E632}"/>
    <cellStyle name="Normal 3 3 3 7 2 2 2" xfId="25347" xr:uid="{E4E4C0D0-2E02-4DA7-A970-003A101EA56C}"/>
    <cellStyle name="Normal 3 3 3 7 2 2 2 2" xfId="50839" xr:uid="{4A0020EC-8E32-4022-9D3E-4622DE509934}"/>
    <cellStyle name="Normal 3 3 3 7 2 2 3" xfId="38248" xr:uid="{62DFD21F-1B61-468E-A518-FCBBD89A3824}"/>
    <cellStyle name="Normal 3 3 3 7 2 3" xfId="19069" xr:uid="{B32A474D-9827-4E7F-B9D5-A127AD67F200}"/>
    <cellStyle name="Normal 3 3 3 7 2 3 2" xfId="44561" xr:uid="{86FDDD97-8A90-462D-B1FB-C94035F3E5C1}"/>
    <cellStyle name="Normal 3 3 3 7 2 4" xfId="31970" xr:uid="{7B8F0096-0A65-4EA7-89A2-F057C8172F8A}"/>
    <cellStyle name="Normal 3 3 3 7 3" xfId="9526" xr:uid="{D3913BF1-F594-45D8-9BD5-F5265B53B76B}"/>
    <cellStyle name="Normal 3 3 3 7 3 2" xfId="22208" xr:uid="{058C8A4A-BB76-4C21-AC17-08E8D2DC7CB0}"/>
    <cellStyle name="Normal 3 3 3 7 3 2 2" xfId="47700" xr:uid="{42385A5D-E9B4-4536-B877-109E6FD620D6}"/>
    <cellStyle name="Normal 3 3 3 7 3 3" xfId="35109" xr:uid="{A6D2B2EC-F1B2-4E8B-8B68-C3B3964B6222}"/>
    <cellStyle name="Normal 3 3 3 7 4" xfId="15930" xr:uid="{3B63970B-C48A-4E22-8D20-1DDEBB2F1D08}"/>
    <cellStyle name="Normal 3 3 3 7 4 2" xfId="41422" xr:uid="{A6EBC5A3-7327-4E5E-A284-BEC9F5D4B750}"/>
    <cellStyle name="Normal 3 3 3 7 5" xfId="28831" xr:uid="{D6C29E41-0032-427D-893C-443C4F54D507}"/>
    <cellStyle name="Normal 3 3 3 8" xfId="3757" xr:uid="{A05B1A2B-8C5C-4015-95C7-2E26EC4C4D18}"/>
    <cellStyle name="Normal 3 3 3 8 2" xfId="10050" xr:uid="{88F6D573-7ADC-47C1-A9F7-40F6706576FA}"/>
    <cellStyle name="Normal 3 3 3 8 2 2" xfId="22732" xr:uid="{E1911299-7B8D-491E-BC7E-5B780576222C}"/>
    <cellStyle name="Normal 3 3 3 8 2 2 2" xfId="48224" xr:uid="{4E69C6F1-C3DD-46EB-BFA2-4663434E2C86}"/>
    <cellStyle name="Normal 3 3 3 8 2 3" xfId="35633" xr:uid="{1E18263D-172D-4307-A9AE-732B89491430}"/>
    <cellStyle name="Normal 3 3 3 8 3" xfId="16454" xr:uid="{BD9330E9-E0F5-46B0-B2FC-07B10F79E749}"/>
    <cellStyle name="Normal 3 3 3 8 3 2" xfId="41946" xr:uid="{E5E5CF1A-62CC-41DA-B107-70E5143A4A74}"/>
    <cellStyle name="Normal 3 3 3 8 4" xfId="29355" xr:uid="{FF818C47-9242-4B87-A965-11E1AB7E5D51}"/>
    <cellStyle name="Normal 3 3 3 9" xfId="6911" xr:uid="{DFDCEF85-5762-411D-B305-3108EA1B4A16}"/>
    <cellStyle name="Normal 3 3 3 9 2" xfId="19593" xr:uid="{776D8D0C-5B49-4732-91CE-DADDB3AC921E}"/>
    <cellStyle name="Normal 3 3 3 9 2 2" xfId="45085" xr:uid="{670FB9EA-C122-42B3-AB3B-70E9EABF0E42}"/>
    <cellStyle name="Normal 3 3 3 9 3" xfId="32494" xr:uid="{6578F1B7-F540-40A5-9A62-63114ADC9838}"/>
    <cellStyle name="Normal 3 3 4" xfId="549" xr:uid="{54F47336-EBB1-4DD2-8CBE-EE0C01C74855}"/>
    <cellStyle name="Normal 3 3 4 10" xfId="13276" xr:uid="{7B253B52-DCA8-4CE7-A2FC-8BD616ABBA46}"/>
    <cellStyle name="Normal 3 3 4 10 2" xfId="38768" xr:uid="{62663D79-A111-48AB-B331-B00F927FD2E3}"/>
    <cellStyle name="Normal 3 3 4 11" xfId="26177" xr:uid="{F886782F-5177-4423-9912-3DB580B28BB6}"/>
    <cellStyle name="Normal 3 3 4 2" xfId="1086" xr:uid="{AC188482-D714-4FC9-8BE3-9CAE401D0754}"/>
    <cellStyle name="Normal 3 3 4 2 2" xfId="2393" xr:uid="{925F8068-70C3-4AC1-8094-611F07F8987D}"/>
    <cellStyle name="Normal 3 3 4 2 2 2" xfId="5547" xr:uid="{9C21B9D3-77A2-4F8A-8F63-0949073824DB}"/>
    <cellStyle name="Normal 3 3 4 2 2 2 2" xfId="11840" xr:uid="{782315D6-ADB6-4AAE-B5B7-5E7F41B70388}"/>
    <cellStyle name="Normal 3 3 4 2 2 2 2 2" xfId="24522" xr:uid="{857A7762-DC0E-415C-99E6-EDBDB93A7A7C}"/>
    <cellStyle name="Normal 3 3 4 2 2 2 2 2 2" xfId="50014" xr:uid="{57A54FD8-9CFD-4098-BBAF-2C8706075F58}"/>
    <cellStyle name="Normal 3 3 4 2 2 2 2 3" xfId="37423" xr:uid="{79DCD48F-CAC9-4F05-8CF6-DA2F9E16CDB9}"/>
    <cellStyle name="Normal 3 3 4 2 2 2 3" xfId="18244" xr:uid="{3E6D5C01-1BEE-46A6-8E37-946C62BA653E}"/>
    <cellStyle name="Normal 3 3 4 2 2 2 3 2" xfId="43736" xr:uid="{EB794466-3B9A-4990-87A0-3772A8589B48}"/>
    <cellStyle name="Normal 3 3 4 2 2 2 4" xfId="31145" xr:uid="{78809A76-84D3-4B39-BBE3-E846678638FA}"/>
    <cellStyle name="Normal 3 3 4 2 2 3" xfId="8701" xr:uid="{49892A7E-D7E1-477F-9F1E-12421A707C57}"/>
    <cellStyle name="Normal 3 3 4 2 2 3 2" xfId="21383" xr:uid="{16FE5D1B-58DA-4B99-B0A0-BEAB21C8C920}"/>
    <cellStyle name="Normal 3 3 4 2 2 3 2 2" xfId="46875" xr:uid="{898FD8B4-5E74-42D6-A66E-192E1DAA14D7}"/>
    <cellStyle name="Normal 3 3 4 2 2 3 3" xfId="34284" xr:uid="{7621384E-BDF0-43DD-AF60-A5BB4B83D011}"/>
    <cellStyle name="Normal 3 3 4 2 2 4" xfId="15105" xr:uid="{976EDD3E-0044-4E13-8010-20FFF996AC79}"/>
    <cellStyle name="Normal 3 3 4 2 2 4 2" xfId="40597" xr:uid="{FF53055B-6917-40EA-A7EA-819953929385}"/>
    <cellStyle name="Normal 3 3 4 2 2 5" xfId="28006" xr:uid="{10765BF5-E2ED-4521-B6F9-BB8AD74A4008}"/>
    <cellStyle name="Normal 3 3 4 2 3" xfId="1610" xr:uid="{FC170BD5-F47E-4D87-A0F5-CCEFF662A185}"/>
    <cellStyle name="Normal 3 3 4 2 3 2" xfId="4764" xr:uid="{D6AB85E7-A804-462E-89D5-6F31D1D33B63}"/>
    <cellStyle name="Normal 3 3 4 2 3 2 2" xfId="11057" xr:uid="{B6C3B423-B337-4254-9C67-25300B28D9FA}"/>
    <cellStyle name="Normal 3 3 4 2 3 2 2 2" xfId="23739" xr:uid="{85812996-953D-4996-9B92-D063272BBC23}"/>
    <cellStyle name="Normal 3 3 4 2 3 2 2 2 2" xfId="49231" xr:uid="{4B7FE3AD-66E1-411D-9E67-9E7608D57D3D}"/>
    <cellStyle name="Normal 3 3 4 2 3 2 2 3" xfId="36640" xr:uid="{D6647C49-4B31-47B8-B554-D09622639A37}"/>
    <cellStyle name="Normal 3 3 4 2 3 2 3" xfId="17461" xr:uid="{06A00F28-1D27-457C-948B-4C59871767C2}"/>
    <cellStyle name="Normal 3 3 4 2 3 2 3 2" xfId="42953" xr:uid="{7739A70D-3E29-4215-87E2-4D54B3AED544}"/>
    <cellStyle name="Normal 3 3 4 2 3 2 4" xfId="30362" xr:uid="{E699A49A-0FBD-4AF8-B92F-01FA65DD05E7}"/>
    <cellStyle name="Normal 3 3 4 2 3 3" xfId="7918" xr:uid="{03652845-C4F3-4201-988A-7BBBBCE69AF6}"/>
    <cellStyle name="Normal 3 3 4 2 3 3 2" xfId="20600" xr:uid="{7D08A0DA-786E-4657-A01E-255D980FFF42}"/>
    <cellStyle name="Normal 3 3 4 2 3 3 2 2" xfId="46092" xr:uid="{2889D547-12DB-4BCD-A69D-B23C2B2335CE}"/>
    <cellStyle name="Normal 3 3 4 2 3 3 3" xfId="33501" xr:uid="{8CEFF028-52FE-44F0-8E99-200B2FC54A8A}"/>
    <cellStyle name="Normal 3 3 4 2 3 4" xfId="14322" xr:uid="{96BC02F0-2DEC-4C85-B676-C656A3D71218}"/>
    <cellStyle name="Normal 3 3 4 2 3 4 2" xfId="39814" xr:uid="{54E5B81C-3A52-4345-906E-EC1CF081B0F6}"/>
    <cellStyle name="Normal 3 3 4 2 3 5" xfId="27223" xr:uid="{C9362782-0B8E-445F-B7A7-603347EE5676}"/>
    <cellStyle name="Normal 3 3 4 2 4" xfId="2917" xr:uid="{4DE400E5-F6EE-4495-84AD-1C4FBFE10A27}"/>
    <cellStyle name="Normal 3 3 4 2 4 2" xfId="6071" xr:uid="{94D97129-BD2B-4D38-B9D8-26A05972E607}"/>
    <cellStyle name="Normal 3 3 4 2 4 2 2" xfId="12364" xr:uid="{0C9CB26F-2A3C-423E-8E9F-2DD5E1E5FE1E}"/>
    <cellStyle name="Normal 3 3 4 2 4 2 2 2" xfId="25046" xr:uid="{967C1DF9-34B0-44DC-8E58-CA8D1D7CFBC1}"/>
    <cellStyle name="Normal 3 3 4 2 4 2 2 2 2" xfId="50538" xr:uid="{1B9CEAFB-9EE8-4C05-81EC-C14880C55207}"/>
    <cellStyle name="Normal 3 3 4 2 4 2 2 3" xfId="37947" xr:uid="{B634E4B8-F57A-49CB-929D-AA5277D7E6CD}"/>
    <cellStyle name="Normal 3 3 4 2 4 2 3" xfId="18768" xr:uid="{5B432E24-2AC4-4E63-893E-54E27EE759B2}"/>
    <cellStyle name="Normal 3 3 4 2 4 2 3 2" xfId="44260" xr:uid="{EEB8C54D-FB86-4EC5-A450-BC9F280E84AB}"/>
    <cellStyle name="Normal 3 3 4 2 4 2 4" xfId="31669" xr:uid="{BF97977F-D4B7-45F8-8C2E-7E17E42113B1}"/>
    <cellStyle name="Normal 3 3 4 2 4 3" xfId="9225" xr:uid="{6534F883-09D1-4FA1-9D49-E4072B76530D}"/>
    <cellStyle name="Normal 3 3 4 2 4 3 2" xfId="21907" xr:uid="{5EB47EBB-932A-4593-854E-DB38FD3193C0}"/>
    <cellStyle name="Normal 3 3 4 2 4 3 2 2" xfId="47399" xr:uid="{FC379F5C-B87B-4071-8230-560E016C1AB8}"/>
    <cellStyle name="Normal 3 3 4 2 4 3 3" xfId="34808" xr:uid="{7C2E227B-1811-4AEC-91A8-3420BF43110E}"/>
    <cellStyle name="Normal 3 3 4 2 4 4" xfId="15629" xr:uid="{FBC124F9-BCB3-491D-BA01-779FC8BDF107}"/>
    <cellStyle name="Normal 3 3 4 2 4 4 2" xfId="41121" xr:uid="{4C91FFF9-0D19-44E5-A89A-CD4F5366A0BE}"/>
    <cellStyle name="Normal 3 3 4 2 4 5" xfId="28530" xr:uid="{0CEE82FE-88E5-42C0-A48F-C0C61A2912DE}"/>
    <cellStyle name="Normal 3 3 4 2 5" xfId="3440" xr:uid="{03BE2D4C-518B-47D9-8B61-D13D03653BD8}"/>
    <cellStyle name="Normal 3 3 4 2 5 2" xfId="6594" xr:uid="{73DD1C01-E757-4849-B0D5-C28B8A8C5D60}"/>
    <cellStyle name="Normal 3 3 4 2 5 2 2" xfId="12887" xr:uid="{9D496D63-AA64-4508-A79E-588F8E7AE80C}"/>
    <cellStyle name="Normal 3 3 4 2 5 2 2 2" xfId="25569" xr:uid="{FDCDCD81-FE85-422B-A03B-1EB8C87E849D}"/>
    <cellStyle name="Normal 3 3 4 2 5 2 2 2 2" xfId="51061" xr:uid="{0FB92B73-6F37-4CDA-8108-3EEDB4F6EA2E}"/>
    <cellStyle name="Normal 3 3 4 2 5 2 2 3" xfId="38470" xr:uid="{D111FB05-F328-46A5-AE44-D978248FF2A7}"/>
    <cellStyle name="Normal 3 3 4 2 5 2 3" xfId="19291" xr:uid="{111E33E8-C557-491E-8C26-E6F1455737E1}"/>
    <cellStyle name="Normal 3 3 4 2 5 2 3 2" xfId="44783" xr:uid="{986D6BCD-8F35-4216-A0BC-876E762FD784}"/>
    <cellStyle name="Normal 3 3 4 2 5 2 4" xfId="32192" xr:uid="{F4ED37FA-805C-4C96-942B-9D39A9CA5DEA}"/>
    <cellStyle name="Normal 3 3 4 2 5 3" xfId="9748" xr:uid="{E6E1080A-1605-4E26-9EFB-6E00C6DE6EE9}"/>
    <cellStyle name="Normal 3 3 4 2 5 3 2" xfId="22430" xr:uid="{6FA66824-D28E-422C-87D5-34070C156212}"/>
    <cellStyle name="Normal 3 3 4 2 5 3 2 2" xfId="47922" xr:uid="{AF19DA69-B278-4BB5-AF54-9A30AEF8C0E2}"/>
    <cellStyle name="Normal 3 3 4 2 5 3 3" xfId="35331" xr:uid="{81CF679F-0D7C-4309-86E3-CCB55EE08E25}"/>
    <cellStyle name="Normal 3 3 4 2 5 4" xfId="16152" xr:uid="{7EEE4E7D-2D95-4202-A7AB-FBC297A6F4B8}"/>
    <cellStyle name="Normal 3 3 4 2 5 4 2" xfId="41644" xr:uid="{8FC93AE8-201B-4BC4-B234-2858798794F5}"/>
    <cellStyle name="Normal 3 3 4 2 5 5" xfId="29053" xr:uid="{1A4E28B0-C266-4B9D-B273-0AF3403B1DEF}"/>
    <cellStyle name="Normal 3 3 4 2 6" xfId="4240" xr:uid="{D2F3B100-2523-406F-B1F7-204AC3F04CA0}"/>
    <cellStyle name="Normal 3 3 4 2 6 2" xfId="10533" xr:uid="{3DFBAC63-E217-4D69-B3A8-97476759D621}"/>
    <cellStyle name="Normal 3 3 4 2 6 2 2" xfId="23215" xr:uid="{8F31F7AE-D2B6-4B73-9D94-991FD562BFE6}"/>
    <cellStyle name="Normal 3 3 4 2 6 2 2 2" xfId="48707" xr:uid="{7685A5F6-DD5B-4939-BC72-990E52053218}"/>
    <cellStyle name="Normal 3 3 4 2 6 2 3" xfId="36116" xr:uid="{7D9B7B3C-3942-481C-8410-C73A44E65D99}"/>
    <cellStyle name="Normal 3 3 4 2 6 3" xfId="16937" xr:uid="{3AE28CD2-DC41-406E-8F16-D2D5065A6E0B}"/>
    <cellStyle name="Normal 3 3 4 2 6 3 2" xfId="42429" xr:uid="{23C088D7-9CD4-4667-978F-B63815B04E76}"/>
    <cellStyle name="Normal 3 3 4 2 6 4" xfId="29838" xr:uid="{F979FE10-E349-4BF9-A7D0-B90D1B76AB1B}"/>
    <cellStyle name="Normal 3 3 4 2 7" xfId="7394" xr:uid="{6D4CA60E-8FC0-499C-A65D-0E7C8ECAF49D}"/>
    <cellStyle name="Normal 3 3 4 2 7 2" xfId="20076" xr:uid="{814BA3C6-C36A-4847-9A97-D3DE23FC74E4}"/>
    <cellStyle name="Normal 3 3 4 2 7 2 2" xfId="45568" xr:uid="{DD3DE935-A423-4769-B610-4CCD2A78E9C9}"/>
    <cellStyle name="Normal 3 3 4 2 7 3" xfId="32977" xr:uid="{DA223726-1A8C-4254-A3E8-6F0D92C47865}"/>
    <cellStyle name="Normal 3 3 4 2 8" xfId="13798" xr:uid="{512DBC2A-1CF7-4084-BD07-7F4D93ED78F5}"/>
    <cellStyle name="Normal 3 3 4 2 8 2" xfId="39290" xr:uid="{44082D1F-4FB5-477D-BA94-B406F9FF1177}"/>
    <cellStyle name="Normal 3 3 4 2 9" xfId="26699" xr:uid="{E522325F-7451-46B5-8BB5-BDDA83E83648}"/>
    <cellStyle name="Normal 3 3 4 3" xfId="826" xr:uid="{DCF32F2C-C983-40B3-A6DF-2D7940499905}"/>
    <cellStyle name="Normal 3 3 4 3 2" xfId="2133" xr:uid="{7EA57126-8FBE-46E1-8548-987A6B23E05E}"/>
    <cellStyle name="Normal 3 3 4 3 2 2" xfId="5287" xr:uid="{6E4052CF-B42D-4365-BDD4-64C184F500E5}"/>
    <cellStyle name="Normal 3 3 4 3 2 2 2" xfId="11580" xr:uid="{3EF4CACB-3A18-4DA9-BD37-EF4FDB89B628}"/>
    <cellStyle name="Normal 3 3 4 3 2 2 2 2" xfId="24262" xr:uid="{B6F03825-70F7-43AC-9CA7-3810F8637B89}"/>
    <cellStyle name="Normal 3 3 4 3 2 2 2 2 2" xfId="49754" xr:uid="{92261355-6685-4FB2-8E1F-B5205C1B9592}"/>
    <cellStyle name="Normal 3 3 4 3 2 2 2 3" xfId="37163" xr:uid="{89C1081E-5DD8-4562-81A9-78EBE060F093}"/>
    <cellStyle name="Normal 3 3 4 3 2 2 3" xfId="17984" xr:uid="{26BD8E35-5D13-4FB9-87A6-63F61CD4B187}"/>
    <cellStyle name="Normal 3 3 4 3 2 2 3 2" xfId="43476" xr:uid="{A851D4FC-C5EB-4794-BFBC-6D64875435A7}"/>
    <cellStyle name="Normal 3 3 4 3 2 2 4" xfId="30885" xr:uid="{7B59FEA4-2172-4033-94EF-F03BC9321E67}"/>
    <cellStyle name="Normal 3 3 4 3 2 3" xfId="8441" xr:uid="{981689AF-EDA6-4B55-B732-F3622D965AD9}"/>
    <cellStyle name="Normal 3 3 4 3 2 3 2" xfId="21123" xr:uid="{EC64D36C-92EB-4BDF-B4B0-E6134B0D603B}"/>
    <cellStyle name="Normal 3 3 4 3 2 3 2 2" xfId="46615" xr:uid="{667A0A36-11AB-435A-A89E-AFE659C32365}"/>
    <cellStyle name="Normal 3 3 4 3 2 3 3" xfId="34024" xr:uid="{34C996F9-4527-4E51-B900-74D2866596B2}"/>
    <cellStyle name="Normal 3 3 4 3 2 4" xfId="14845" xr:uid="{29D62830-54A4-45E3-9E1B-5D78E51D5FC4}"/>
    <cellStyle name="Normal 3 3 4 3 2 4 2" xfId="40337" xr:uid="{0695CD0B-A077-498A-8FA3-89DD8CE32DAC}"/>
    <cellStyle name="Normal 3 3 4 3 2 5" xfId="27746" xr:uid="{3C1496D2-84EA-4099-A05B-312485148D03}"/>
    <cellStyle name="Normal 3 3 4 3 3" xfId="3980" xr:uid="{484BA772-AB53-44C7-ACA9-6C635233C55B}"/>
    <cellStyle name="Normal 3 3 4 3 3 2" xfId="10273" xr:uid="{F472DACE-6388-49D0-B8BB-276CC11C983F}"/>
    <cellStyle name="Normal 3 3 4 3 3 2 2" xfId="22955" xr:uid="{7CAFF31B-7B82-43C1-BF2D-1C8444CB8C68}"/>
    <cellStyle name="Normal 3 3 4 3 3 2 2 2" xfId="48447" xr:uid="{5E6FE200-4352-4EE9-B01E-A33419844DE2}"/>
    <cellStyle name="Normal 3 3 4 3 3 2 3" xfId="35856" xr:uid="{EA85FB57-4532-413B-BFE3-5C92DE6AFA37}"/>
    <cellStyle name="Normal 3 3 4 3 3 3" xfId="16677" xr:uid="{865360F5-15FE-49E5-B3D7-A23247861152}"/>
    <cellStyle name="Normal 3 3 4 3 3 3 2" xfId="42169" xr:uid="{CEFF68B9-DEE2-4F29-BB05-1F46DD174AA9}"/>
    <cellStyle name="Normal 3 3 4 3 3 4" xfId="29578" xr:uid="{F73B5D08-1D73-490A-8E15-FE0349FAEF7D}"/>
    <cellStyle name="Normal 3 3 4 3 4" xfId="7134" xr:uid="{08BDFDCF-3568-45E2-A518-79CC3A6372D6}"/>
    <cellStyle name="Normal 3 3 4 3 4 2" xfId="19816" xr:uid="{C11FA15B-1511-4F5A-B696-AC1AE33941E2}"/>
    <cellStyle name="Normal 3 3 4 3 4 2 2" xfId="45308" xr:uid="{365DFCE3-C190-4057-AB0B-4A484179F225}"/>
    <cellStyle name="Normal 3 3 4 3 4 3" xfId="32717" xr:uid="{3D1C90D4-497C-40E1-B9D8-408C5CFBE480}"/>
    <cellStyle name="Normal 3 3 4 3 5" xfId="13538" xr:uid="{BB26E230-F3A1-4040-BB0C-EA008B861570}"/>
    <cellStyle name="Normal 3 3 4 3 5 2" xfId="39030" xr:uid="{361E17A6-2ED3-4B77-ACBE-2B442D9E6D61}"/>
    <cellStyle name="Normal 3 3 4 3 6" xfId="26439" xr:uid="{B19A75AB-5409-46D2-9849-1B21348CB03A}"/>
    <cellStyle name="Normal 3 3 4 4" xfId="1871" xr:uid="{8FD78595-043F-4566-804C-73BC7BE24AEB}"/>
    <cellStyle name="Normal 3 3 4 4 2" xfId="5025" xr:uid="{4950640C-4E1B-4D98-9094-0FF2CA2F7160}"/>
    <cellStyle name="Normal 3 3 4 4 2 2" xfId="11318" xr:uid="{9C04CE40-9333-4E67-8412-AEFB6481C8AE}"/>
    <cellStyle name="Normal 3 3 4 4 2 2 2" xfId="24000" xr:uid="{D7548119-3340-4680-856D-C572CC1CCA8E}"/>
    <cellStyle name="Normal 3 3 4 4 2 2 2 2" xfId="49492" xr:uid="{7A027529-09C8-4CF2-85E8-A0B3826A64BC}"/>
    <cellStyle name="Normal 3 3 4 4 2 2 3" xfId="36901" xr:uid="{42034E50-33D1-4988-BAC7-3EE513D229C3}"/>
    <cellStyle name="Normal 3 3 4 4 2 3" xfId="17722" xr:uid="{8EDAF2B9-AB6A-4BB3-974C-ACA41A1F9139}"/>
    <cellStyle name="Normal 3 3 4 4 2 3 2" xfId="43214" xr:uid="{43BE648D-59C9-4E66-8D75-E3D709965D37}"/>
    <cellStyle name="Normal 3 3 4 4 2 4" xfId="30623" xr:uid="{596656D8-2D83-450C-A73F-F475F605580D}"/>
    <cellStyle name="Normal 3 3 4 4 3" xfId="8179" xr:uid="{346B35D1-637B-4D80-8695-067B68911871}"/>
    <cellStyle name="Normal 3 3 4 4 3 2" xfId="20861" xr:uid="{850FDC70-6191-4674-B4BA-081CBAB57FE8}"/>
    <cellStyle name="Normal 3 3 4 4 3 2 2" xfId="46353" xr:uid="{A87539C7-8F57-4675-A0A7-B56DADAE66AF}"/>
    <cellStyle name="Normal 3 3 4 4 3 3" xfId="33762" xr:uid="{0527B4EB-1EAD-4B61-AD7F-B3293AA1696A}"/>
    <cellStyle name="Normal 3 3 4 4 4" xfId="14583" xr:uid="{8E18D38B-E069-497E-94FD-0FE02064C18A}"/>
    <cellStyle name="Normal 3 3 4 4 4 2" xfId="40075" xr:uid="{7C6F30C8-0B43-4FAC-AA8B-F975B23A118E}"/>
    <cellStyle name="Normal 3 3 4 4 5" xfId="27484" xr:uid="{2081BBFA-9175-4CC2-B0CC-5306F8E427EE}"/>
    <cellStyle name="Normal 3 3 4 5" xfId="1349" xr:uid="{6796B112-E5BD-4498-9611-003B14E5B081}"/>
    <cellStyle name="Normal 3 3 4 5 2" xfId="4503" xr:uid="{EE1ECB88-1697-4FD0-8651-1A766C693AF4}"/>
    <cellStyle name="Normal 3 3 4 5 2 2" xfId="10796" xr:uid="{DA37522D-9EC7-4ECC-9BB2-97F043BC5269}"/>
    <cellStyle name="Normal 3 3 4 5 2 2 2" xfId="23478" xr:uid="{B79F5DD2-AF4C-4B05-BD5E-5EBBFA6D9B76}"/>
    <cellStyle name="Normal 3 3 4 5 2 2 2 2" xfId="48970" xr:uid="{0380B65C-830D-400A-9026-1526B94F9753}"/>
    <cellStyle name="Normal 3 3 4 5 2 2 3" xfId="36379" xr:uid="{8ECB4B09-F6AA-4A0F-B252-A699A3D20922}"/>
    <cellStyle name="Normal 3 3 4 5 2 3" xfId="17200" xr:uid="{22016396-B587-497A-B972-BAD43015F540}"/>
    <cellStyle name="Normal 3 3 4 5 2 3 2" xfId="42692" xr:uid="{32511A14-CE5F-4E62-B9C1-4545F317C8C2}"/>
    <cellStyle name="Normal 3 3 4 5 2 4" xfId="30101" xr:uid="{0158A827-E0A4-435C-9953-598B0BAE5EEC}"/>
    <cellStyle name="Normal 3 3 4 5 3" xfId="7657" xr:uid="{A9D885A7-317C-4A96-8645-CEE1E622E8D3}"/>
    <cellStyle name="Normal 3 3 4 5 3 2" xfId="20339" xr:uid="{5B50BD18-AD7C-4BB6-A140-53454303B85E}"/>
    <cellStyle name="Normal 3 3 4 5 3 2 2" xfId="45831" xr:uid="{DC64F119-5B16-47B5-8BE1-191617E6C0F8}"/>
    <cellStyle name="Normal 3 3 4 5 3 3" xfId="33240" xr:uid="{84102974-8BEA-4E59-9C40-DAFD3FC4B5C9}"/>
    <cellStyle name="Normal 3 3 4 5 4" xfId="14061" xr:uid="{506531CC-7500-403C-B8FF-D5BEB1B47719}"/>
    <cellStyle name="Normal 3 3 4 5 4 2" xfId="39553" xr:uid="{786D546E-A728-408B-92AD-AC1A13DB50D1}"/>
    <cellStyle name="Normal 3 3 4 5 5" xfId="26962" xr:uid="{521886A4-38BE-44F4-89DC-16170CE2C196}"/>
    <cellStyle name="Normal 3 3 4 6" xfId="2656" xr:uid="{F4246335-9A5E-4DCF-B235-55BB8E94E356}"/>
    <cellStyle name="Normal 3 3 4 6 2" xfId="5810" xr:uid="{93F5096A-D460-4DAD-87E6-EAAF21791F46}"/>
    <cellStyle name="Normal 3 3 4 6 2 2" xfId="12103" xr:uid="{3858A830-F691-4B7B-9C0A-2BA27FCB8CC6}"/>
    <cellStyle name="Normal 3 3 4 6 2 2 2" xfId="24785" xr:uid="{1E0437E4-B0D3-40D7-9FCC-A66AF152473A}"/>
    <cellStyle name="Normal 3 3 4 6 2 2 2 2" xfId="50277" xr:uid="{6480E1B3-55F9-47E6-B3A8-66481CF16658}"/>
    <cellStyle name="Normal 3 3 4 6 2 2 3" xfId="37686" xr:uid="{9C4D65C4-A527-47A6-928E-0C0EBE19C644}"/>
    <cellStyle name="Normal 3 3 4 6 2 3" xfId="18507" xr:uid="{5822681D-60DC-4C19-B5C9-9B771214B75A}"/>
    <cellStyle name="Normal 3 3 4 6 2 3 2" xfId="43999" xr:uid="{D40D96CC-DBA1-4E03-AC0C-289BAA61B708}"/>
    <cellStyle name="Normal 3 3 4 6 2 4" xfId="31408" xr:uid="{4D67C868-E8C3-4BEB-8079-96DA33D98D09}"/>
    <cellStyle name="Normal 3 3 4 6 3" xfId="8964" xr:uid="{32A9E45B-8DDC-4E71-8B2C-638274FD22C9}"/>
    <cellStyle name="Normal 3 3 4 6 3 2" xfId="21646" xr:uid="{23745518-E32F-4C06-B0EA-FA4ED199898B}"/>
    <cellStyle name="Normal 3 3 4 6 3 2 2" xfId="47138" xr:uid="{AF976F28-0D3E-43FC-9E54-F771C9BD1490}"/>
    <cellStyle name="Normal 3 3 4 6 3 3" xfId="34547" xr:uid="{D963607A-6258-40CF-8EF5-90F1E2528520}"/>
    <cellStyle name="Normal 3 3 4 6 4" xfId="15368" xr:uid="{A8F1817D-2E7B-424B-85EF-38356C918089}"/>
    <cellStyle name="Normal 3 3 4 6 4 2" xfId="40860" xr:uid="{66A76335-0467-4B2A-ADC6-7F091B4667C2}"/>
    <cellStyle name="Normal 3 3 4 6 5" xfId="28269" xr:uid="{30BCAC6B-6FF8-4F32-9B10-0C5CBA65FA42}"/>
    <cellStyle name="Normal 3 3 4 7" xfId="3179" xr:uid="{64AF69CA-C053-4BCA-8B11-3C87EF843082}"/>
    <cellStyle name="Normal 3 3 4 7 2" xfId="6333" xr:uid="{DAD86FC0-B772-4081-9E3B-552441C6C08B}"/>
    <cellStyle name="Normal 3 3 4 7 2 2" xfId="12626" xr:uid="{9EA8DBEE-EEA6-46D8-AF55-D08396645281}"/>
    <cellStyle name="Normal 3 3 4 7 2 2 2" xfId="25308" xr:uid="{C57513E6-9861-485D-BD88-598718525380}"/>
    <cellStyle name="Normal 3 3 4 7 2 2 2 2" xfId="50800" xr:uid="{D7610EAE-6B93-48DF-A7C9-417A6A6F2B09}"/>
    <cellStyle name="Normal 3 3 4 7 2 2 3" xfId="38209" xr:uid="{AA064A17-4563-450C-9B83-F7C29AB6E526}"/>
    <cellStyle name="Normal 3 3 4 7 2 3" xfId="19030" xr:uid="{50A3FC2D-7E54-4A8D-9703-8540939223E2}"/>
    <cellStyle name="Normal 3 3 4 7 2 3 2" xfId="44522" xr:uid="{C4F60A7C-A0AF-4DFE-A2D5-4ED2F25CE946}"/>
    <cellStyle name="Normal 3 3 4 7 2 4" xfId="31931" xr:uid="{BA957E6A-EFDB-4976-9C2C-1AAD6F1296AC}"/>
    <cellStyle name="Normal 3 3 4 7 3" xfId="9487" xr:uid="{716B6077-4CDB-41A4-8F35-8A5F91C004CE}"/>
    <cellStyle name="Normal 3 3 4 7 3 2" xfId="22169" xr:uid="{A49B6C47-40B8-4DE5-8ECC-42C512DE9FF2}"/>
    <cellStyle name="Normal 3 3 4 7 3 2 2" xfId="47661" xr:uid="{78F92F47-79F6-427F-8D2B-90431CE62A72}"/>
    <cellStyle name="Normal 3 3 4 7 3 3" xfId="35070" xr:uid="{54A39EA0-06B4-4F1E-8E43-A41637998D09}"/>
    <cellStyle name="Normal 3 3 4 7 4" xfId="15891" xr:uid="{0D7547D7-DDE4-4C42-A1B5-0E0815584D48}"/>
    <cellStyle name="Normal 3 3 4 7 4 2" xfId="41383" xr:uid="{28B3CD9F-49C1-46B9-A204-0ED78012B833}"/>
    <cellStyle name="Normal 3 3 4 7 5" xfId="28792" xr:uid="{889391EF-A409-4948-99BA-021AB96DD678}"/>
    <cellStyle name="Normal 3 3 4 8" xfId="3718" xr:uid="{0E2A9E57-BD6D-45D8-BF59-FB2F897A665F}"/>
    <cellStyle name="Normal 3 3 4 8 2" xfId="10011" xr:uid="{5FC1C312-3681-404F-8E4C-5376EF90BDB4}"/>
    <cellStyle name="Normal 3 3 4 8 2 2" xfId="22693" xr:uid="{267EB75B-5664-481F-8276-AB744D3FE967}"/>
    <cellStyle name="Normal 3 3 4 8 2 2 2" xfId="48185" xr:uid="{E5EA6C69-3E08-4936-96D5-26E374FAF5AF}"/>
    <cellStyle name="Normal 3 3 4 8 2 3" xfId="35594" xr:uid="{15E3D43D-F611-4FF7-B5FD-78C12DA4F32B}"/>
    <cellStyle name="Normal 3 3 4 8 3" xfId="16415" xr:uid="{9AD39452-C4D1-4049-8849-218C4EB14C0F}"/>
    <cellStyle name="Normal 3 3 4 8 3 2" xfId="41907" xr:uid="{1E2F75FE-E6BD-4206-8CA1-5A3F78697904}"/>
    <cellStyle name="Normal 3 3 4 8 4" xfId="29316" xr:uid="{AC9AE795-6D61-4BF4-AF8B-D67D8D09B221}"/>
    <cellStyle name="Normal 3 3 4 9" xfId="6872" xr:uid="{FBF45931-3717-42C5-A3DA-710F65B15D54}"/>
    <cellStyle name="Normal 3 3 4 9 2" xfId="19554" xr:uid="{EC052A6B-3085-4189-8C10-6837C56EDCC2}"/>
    <cellStyle name="Normal 3 3 4 9 2 2" xfId="45046" xr:uid="{F69471A4-3379-41BB-B12B-6D1898EEE634}"/>
    <cellStyle name="Normal 3 3 4 9 3" xfId="32455" xr:uid="{2CD00DF9-DE4F-43EA-B30C-7DD303BFD2A8}"/>
    <cellStyle name="Normal 3 3 5" xfId="966" xr:uid="{868983B2-73FB-43EB-A63F-3F3467890C3C}"/>
    <cellStyle name="Normal 3 3 5 2" xfId="2273" xr:uid="{D7726DE1-3F51-4722-92D4-40E7BD88DC00}"/>
    <cellStyle name="Normal 3 3 5 2 2" xfId="5427" xr:uid="{7DB167D1-1E4F-44F6-BEFD-D18AC5B1D700}"/>
    <cellStyle name="Normal 3 3 5 2 2 2" xfId="11720" xr:uid="{24997B18-657E-414A-811E-7E669B0917E4}"/>
    <cellStyle name="Normal 3 3 5 2 2 2 2" xfId="24402" xr:uid="{1C856903-D0D1-423A-A99C-ED42F819E7BD}"/>
    <cellStyle name="Normal 3 3 5 2 2 2 2 2" xfId="49894" xr:uid="{9758AC5F-4243-4037-86C2-04B807AC6D3C}"/>
    <cellStyle name="Normal 3 3 5 2 2 2 3" xfId="37303" xr:uid="{62BEE8E6-0454-4757-8660-C3841722C27D}"/>
    <cellStyle name="Normal 3 3 5 2 2 3" xfId="18124" xr:uid="{90059535-7656-4E14-967A-2295DCBFA9B6}"/>
    <cellStyle name="Normal 3 3 5 2 2 3 2" xfId="43616" xr:uid="{FBBFC77E-E828-4009-8505-301146540A42}"/>
    <cellStyle name="Normal 3 3 5 2 2 4" xfId="31025" xr:uid="{98ABAE43-7D44-4A13-AD20-DE0FE8980C2E}"/>
    <cellStyle name="Normal 3 3 5 2 3" xfId="8581" xr:uid="{6CCA01B6-AA52-4C77-BCAE-964BB911CDD7}"/>
    <cellStyle name="Normal 3 3 5 2 3 2" xfId="21263" xr:uid="{7A0A2254-5573-435F-A914-6220D113D8B3}"/>
    <cellStyle name="Normal 3 3 5 2 3 2 2" xfId="46755" xr:uid="{81505D93-F4D8-4FD7-B94C-B52C1DE4819D}"/>
    <cellStyle name="Normal 3 3 5 2 3 3" xfId="34164" xr:uid="{ACA210DF-C7ED-40FF-839B-44DE575C2165}"/>
    <cellStyle name="Normal 3 3 5 2 4" xfId="14985" xr:uid="{D98A31DA-0F7F-4D16-B32B-65535BCD575D}"/>
    <cellStyle name="Normal 3 3 5 2 4 2" xfId="40477" xr:uid="{4541E35F-56B9-4DC7-87EC-6AA12C81BFF0}"/>
    <cellStyle name="Normal 3 3 5 2 5" xfId="27886" xr:uid="{E20AFED8-0794-4A6D-8BD7-EF7FCD6F9F30}"/>
    <cellStyle name="Normal 3 3 5 3" xfId="1490" xr:uid="{5E8EBEFB-CA3D-413D-A0D0-F1D468CD7F8D}"/>
    <cellStyle name="Normal 3 3 5 3 2" xfId="4644" xr:uid="{F01BFFBF-7B0C-44BC-BF3E-CDE8AAD104DA}"/>
    <cellStyle name="Normal 3 3 5 3 2 2" xfId="10937" xr:uid="{DBF8ECA7-C5B0-41E4-939B-7A7D2A5586A1}"/>
    <cellStyle name="Normal 3 3 5 3 2 2 2" xfId="23619" xr:uid="{1BC034FB-252C-4CEE-8F80-F9595D67F6D5}"/>
    <cellStyle name="Normal 3 3 5 3 2 2 2 2" xfId="49111" xr:uid="{147E1557-90D3-4EEF-8F91-884288C159B1}"/>
    <cellStyle name="Normal 3 3 5 3 2 2 3" xfId="36520" xr:uid="{DFA26DF4-0A34-4AB3-AA86-B62DD95F4237}"/>
    <cellStyle name="Normal 3 3 5 3 2 3" xfId="17341" xr:uid="{0861CE71-E459-44ED-852D-689443ACB1F3}"/>
    <cellStyle name="Normal 3 3 5 3 2 3 2" xfId="42833" xr:uid="{4662AE66-333E-441C-87F7-3D00842C688E}"/>
    <cellStyle name="Normal 3 3 5 3 2 4" xfId="30242" xr:uid="{3731242B-ECD3-4B27-A9E6-10495F60CF9B}"/>
    <cellStyle name="Normal 3 3 5 3 3" xfId="7798" xr:uid="{AC0233F8-D9E3-4A32-A204-7E829214D322}"/>
    <cellStyle name="Normal 3 3 5 3 3 2" xfId="20480" xr:uid="{37DD0951-A4CE-4D97-9938-971860C26FDB}"/>
    <cellStyle name="Normal 3 3 5 3 3 2 2" xfId="45972" xr:uid="{BF8C072D-04CF-448D-82D1-7225E75C384A}"/>
    <cellStyle name="Normal 3 3 5 3 3 3" xfId="33381" xr:uid="{23F068CA-1C01-42BB-A4D3-9300712DEE40}"/>
    <cellStyle name="Normal 3 3 5 3 4" xfId="14202" xr:uid="{AEB44B50-9F7A-493A-9535-CA1B4427A150}"/>
    <cellStyle name="Normal 3 3 5 3 4 2" xfId="39694" xr:uid="{D6FF943C-A61A-44E7-8438-E8B8B77EF892}"/>
    <cellStyle name="Normal 3 3 5 3 5" xfId="27103" xr:uid="{1D58BC85-6569-4281-A070-9079EFB302A5}"/>
    <cellStyle name="Normal 3 3 5 4" xfId="2797" xr:uid="{6464C64B-9776-4A66-8E8B-6FDEBC38FAA1}"/>
    <cellStyle name="Normal 3 3 5 4 2" xfId="5951" xr:uid="{3869FB84-6FF2-4712-9E58-F49ECBF6979A}"/>
    <cellStyle name="Normal 3 3 5 4 2 2" xfId="12244" xr:uid="{806EE0A0-7F00-47E5-B598-EDAEE0FAB095}"/>
    <cellStyle name="Normal 3 3 5 4 2 2 2" xfId="24926" xr:uid="{2568F23E-8D18-4157-A7D0-FB5E3D083359}"/>
    <cellStyle name="Normal 3 3 5 4 2 2 2 2" xfId="50418" xr:uid="{C6E873C7-9DBB-44A5-A81D-C792F44EFC5D}"/>
    <cellStyle name="Normal 3 3 5 4 2 2 3" xfId="37827" xr:uid="{F0E221C6-CACD-453F-A54E-8B42578AAB74}"/>
    <cellStyle name="Normal 3 3 5 4 2 3" xfId="18648" xr:uid="{FF591EE6-01A3-4A88-A310-488A9F454CFB}"/>
    <cellStyle name="Normal 3 3 5 4 2 3 2" xfId="44140" xr:uid="{295BDF8C-EB27-42DA-980E-EB693444F024}"/>
    <cellStyle name="Normal 3 3 5 4 2 4" xfId="31549" xr:uid="{62677778-3F59-461A-BBAE-DF6F164B93B8}"/>
    <cellStyle name="Normal 3 3 5 4 3" xfId="9105" xr:uid="{62C0FF4E-6F5F-476E-B265-E08ED2EB2946}"/>
    <cellStyle name="Normal 3 3 5 4 3 2" xfId="21787" xr:uid="{520A3A36-A497-4965-BE50-426A70092883}"/>
    <cellStyle name="Normal 3 3 5 4 3 2 2" xfId="47279" xr:uid="{C704C4CF-D9FF-4EBC-8279-1223256C91E4}"/>
    <cellStyle name="Normal 3 3 5 4 3 3" xfId="34688" xr:uid="{78C88166-0D19-45E1-807C-E189C738AA25}"/>
    <cellStyle name="Normal 3 3 5 4 4" xfId="15509" xr:uid="{2F3371DE-24E5-42B1-83A9-FAA80576CE14}"/>
    <cellStyle name="Normal 3 3 5 4 4 2" xfId="41001" xr:uid="{B1055F44-6BA8-4BB2-803C-183976BD0F91}"/>
    <cellStyle name="Normal 3 3 5 4 5" xfId="28410" xr:uid="{B1207DD1-DF02-4BE6-AF29-DEE4184523B0}"/>
    <cellStyle name="Normal 3 3 5 5" xfId="3320" xr:uid="{E09B10D0-10BD-442E-824C-84FFAE75266F}"/>
    <cellStyle name="Normal 3 3 5 5 2" xfId="6474" xr:uid="{CA0C0349-92E3-4F55-B59E-561D8984271E}"/>
    <cellStyle name="Normal 3 3 5 5 2 2" xfId="12767" xr:uid="{C9DDD9B1-A229-4840-9B74-9815438768FA}"/>
    <cellStyle name="Normal 3 3 5 5 2 2 2" xfId="25449" xr:uid="{3D285D06-6CC6-451D-8969-E856721AD225}"/>
    <cellStyle name="Normal 3 3 5 5 2 2 2 2" xfId="50941" xr:uid="{54133BC2-B4FD-4226-BAF2-0F26C5BFD1D0}"/>
    <cellStyle name="Normal 3 3 5 5 2 2 3" xfId="38350" xr:uid="{E5E58867-2E10-460F-9DE3-451BBC403A3F}"/>
    <cellStyle name="Normal 3 3 5 5 2 3" xfId="19171" xr:uid="{0D9EA792-3ADB-4811-87A0-A1895AB7CCEF}"/>
    <cellStyle name="Normal 3 3 5 5 2 3 2" xfId="44663" xr:uid="{8EFCC304-C53B-4E32-8325-741F037C6B37}"/>
    <cellStyle name="Normal 3 3 5 5 2 4" xfId="32072" xr:uid="{52523DEC-CB80-4435-B32B-B1E207E2EE95}"/>
    <cellStyle name="Normal 3 3 5 5 3" xfId="9628" xr:uid="{23EC4C74-AFF6-4ACD-81C4-35CA66544063}"/>
    <cellStyle name="Normal 3 3 5 5 3 2" xfId="22310" xr:uid="{B137AD0A-ACFF-4071-BF91-A5E29415D6C4}"/>
    <cellStyle name="Normal 3 3 5 5 3 2 2" xfId="47802" xr:uid="{BDF760F9-7CD6-4C01-9E0A-B94FEF586602}"/>
    <cellStyle name="Normal 3 3 5 5 3 3" xfId="35211" xr:uid="{D1DF296A-EC06-4267-84B1-C98C67DBEFD1}"/>
    <cellStyle name="Normal 3 3 5 5 4" xfId="16032" xr:uid="{69BB7802-420F-496E-8D84-C081B9EF23F9}"/>
    <cellStyle name="Normal 3 3 5 5 4 2" xfId="41524" xr:uid="{DBC3A9E1-42ED-4E08-B716-07607288B5CC}"/>
    <cellStyle name="Normal 3 3 5 5 5" xfId="28933" xr:uid="{D2C261AC-5387-4872-BAAE-AB1B511CF33D}"/>
    <cellStyle name="Normal 3 3 5 6" xfId="4120" xr:uid="{DB5C69DD-2533-4619-BF1B-0FBE7B82C1E9}"/>
    <cellStyle name="Normal 3 3 5 6 2" xfId="10413" xr:uid="{B9B63504-D5C4-4B2E-8369-857C8A5110C0}"/>
    <cellStyle name="Normal 3 3 5 6 2 2" xfId="23095" xr:uid="{57CE874C-A9C5-45F3-8B16-B1204FE5D9B8}"/>
    <cellStyle name="Normal 3 3 5 6 2 2 2" xfId="48587" xr:uid="{6470910F-67EB-4307-9B7C-F5AC3F1ED63B}"/>
    <cellStyle name="Normal 3 3 5 6 2 3" xfId="35996" xr:uid="{80352A3D-D709-403D-9BCE-5E513769A21C}"/>
    <cellStyle name="Normal 3 3 5 6 3" xfId="16817" xr:uid="{54BE04EE-90E1-4907-B72A-533B229E0C63}"/>
    <cellStyle name="Normal 3 3 5 6 3 2" xfId="42309" xr:uid="{650DFF3C-945B-4D4D-8FC1-C3E4CD1467CD}"/>
    <cellStyle name="Normal 3 3 5 6 4" xfId="29718" xr:uid="{C2FF6751-BAAA-44CD-9AAA-DAFC5A789014}"/>
    <cellStyle name="Normal 3 3 5 7" xfId="7274" xr:uid="{35C3B979-586F-4CF1-AC2D-0E4FF6B7DFD6}"/>
    <cellStyle name="Normal 3 3 5 7 2" xfId="19956" xr:uid="{E1DE23B7-2F2F-4129-AE1D-A6905F1462F5}"/>
    <cellStyle name="Normal 3 3 5 7 2 2" xfId="45448" xr:uid="{37E3DB0D-A6A4-47A7-9FFA-4F1398C24719}"/>
    <cellStyle name="Normal 3 3 5 7 3" xfId="32857" xr:uid="{8D4E2FD6-B160-4B12-835A-694A0D358079}"/>
    <cellStyle name="Normal 3 3 5 8" xfId="13678" xr:uid="{ECC368BF-29A2-4736-919D-78F812C16266}"/>
    <cellStyle name="Normal 3 3 5 8 2" xfId="39170" xr:uid="{7E729D05-51B9-41D0-9C74-79A5E53785A9}"/>
    <cellStyle name="Normal 3 3 5 9" xfId="26579" xr:uid="{BFF5344A-99CC-446C-A241-8BBE8A20357E}"/>
    <cellStyle name="Normal 3 3 6" xfId="706" xr:uid="{4F6C9D99-1E68-4ECD-BEB4-38B17C8DD5A3}"/>
    <cellStyle name="Normal 3 3 6 2" xfId="2013" xr:uid="{0A59E353-E9F6-4354-B17F-CC3400C0B9BB}"/>
    <cellStyle name="Normal 3 3 6 2 2" xfId="5167" xr:uid="{1A8D3BDB-3FBC-4E3F-A04A-CE926BF1148E}"/>
    <cellStyle name="Normal 3 3 6 2 2 2" xfId="11460" xr:uid="{C0B49074-A633-46C8-B353-0530D8D1585F}"/>
    <cellStyle name="Normal 3 3 6 2 2 2 2" xfId="24142" xr:uid="{CD564B26-FE27-4A3B-BC6E-0F09F3A26908}"/>
    <cellStyle name="Normal 3 3 6 2 2 2 2 2" xfId="49634" xr:uid="{1AE8FFAA-87EF-4723-9DD8-A57531A9335E}"/>
    <cellStyle name="Normal 3 3 6 2 2 2 3" xfId="37043" xr:uid="{5791D8FE-B7F6-481A-AF8E-712E0911D565}"/>
    <cellStyle name="Normal 3 3 6 2 2 3" xfId="17864" xr:uid="{E08D4197-FEDB-4136-B74E-4061EEE04C64}"/>
    <cellStyle name="Normal 3 3 6 2 2 3 2" xfId="43356" xr:uid="{9C74DDCC-2914-4F8B-905E-D919E2ECBD4D}"/>
    <cellStyle name="Normal 3 3 6 2 2 4" xfId="30765" xr:uid="{4B6CA0F5-AC1B-4F2D-A076-6E45A18DF0DB}"/>
    <cellStyle name="Normal 3 3 6 2 3" xfId="8321" xr:uid="{0B6163A2-25EC-4EB1-98C7-07240C349647}"/>
    <cellStyle name="Normal 3 3 6 2 3 2" xfId="21003" xr:uid="{E6F60314-27B9-468E-80E3-92B5D8612E58}"/>
    <cellStyle name="Normal 3 3 6 2 3 2 2" xfId="46495" xr:uid="{B3825ADE-201A-485C-8B81-3D242E723980}"/>
    <cellStyle name="Normal 3 3 6 2 3 3" xfId="33904" xr:uid="{22AF0876-76B8-4693-8E51-D1DFCC28C89C}"/>
    <cellStyle name="Normal 3 3 6 2 4" xfId="14725" xr:uid="{057DA71F-65FD-434C-9ABE-34C74A38F557}"/>
    <cellStyle name="Normal 3 3 6 2 4 2" xfId="40217" xr:uid="{898A8D6A-CC29-43D2-891C-242E2EE52DC9}"/>
    <cellStyle name="Normal 3 3 6 2 5" xfId="27626" xr:uid="{A820436C-A7DF-4094-A84A-DBB9A1DB21F5}"/>
    <cellStyle name="Normal 3 3 6 3" xfId="3860" xr:uid="{39CAAC29-76A5-4F81-843F-C16121140A0B}"/>
    <cellStyle name="Normal 3 3 6 3 2" xfId="10153" xr:uid="{2323DC33-8395-4CA6-983F-E7654A078670}"/>
    <cellStyle name="Normal 3 3 6 3 2 2" xfId="22835" xr:uid="{F8E6E423-FFB5-40C5-BBB6-E070A85F2395}"/>
    <cellStyle name="Normal 3 3 6 3 2 2 2" xfId="48327" xr:uid="{36A723BE-1719-4E43-B65F-8272DE46A26C}"/>
    <cellStyle name="Normal 3 3 6 3 2 3" xfId="35736" xr:uid="{F0C3D70C-23D0-4BA2-BDA0-D6B26AE354AC}"/>
    <cellStyle name="Normal 3 3 6 3 3" xfId="16557" xr:uid="{B06670AD-8080-4B44-AB13-73D07D3C8E38}"/>
    <cellStyle name="Normal 3 3 6 3 3 2" xfId="42049" xr:uid="{2F455674-C6D3-49E6-B8FD-F67BEA965B21}"/>
    <cellStyle name="Normal 3 3 6 3 4" xfId="29458" xr:uid="{087730BC-70A2-4CD9-959D-29DC86E3BDF3}"/>
    <cellStyle name="Normal 3 3 6 4" xfId="7014" xr:uid="{BB9D48DC-E3F5-4BD0-BAD0-A04E9F8433FF}"/>
    <cellStyle name="Normal 3 3 6 4 2" xfId="19696" xr:uid="{099905C0-6166-48BB-87DE-75755673B333}"/>
    <cellStyle name="Normal 3 3 6 4 2 2" xfId="45188" xr:uid="{4C9687AF-A62E-42CC-9122-3673DEEF5BBD}"/>
    <cellStyle name="Normal 3 3 6 4 3" xfId="32597" xr:uid="{7C7A9719-D68E-467E-AD11-74E0EAFD7198}"/>
    <cellStyle name="Normal 3 3 6 5" xfId="13418" xr:uid="{BED9EA31-6209-481A-B964-A0DA0B6E9713}"/>
    <cellStyle name="Normal 3 3 6 5 2" xfId="38910" xr:uid="{64E9E9E4-879A-4104-80D2-7D9587D99730}"/>
    <cellStyle name="Normal 3 3 6 6" xfId="26319" xr:uid="{8B37542C-34FA-4389-8879-455610F85961}"/>
    <cellStyle name="Normal 3 3 7" xfId="1751" xr:uid="{2590371E-F15F-4FA1-B6AA-7E09BC243812}"/>
    <cellStyle name="Normal 3 3 7 2" xfId="4905" xr:uid="{E0D2F033-5133-4596-850A-4C0356A30CD2}"/>
    <cellStyle name="Normal 3 3 7 2 2" xfId="11198" xr:uid="{CEF97D42-5426-4DFF-B44D-ECED083AAE8D}"/>
    <cellStyle name="Normal 3 3 7 2 2 2" xfId="23880" xr:uid="{50A7C3FE-44C4-4FE4-86FF-A6C75C831C2C}"/>
    <cellStyle name="Normal 3 3 7 2 2 2 2" xfId="49372" xr:uid="{A6FA1854-D846-44D2-9A9D-ECCF384138EF}"/>
    <cellStyle name="Normal 3 3 7 2 2 3" xfId="36781" xr:uid="{8077090A-DD3C-44A8-BF53-2F1231B88CFE}"/>
    <cellStyle name="Normal 3 3 7 2 3" xfId="17602" xr:uid="{2DD4B0E3-679F-4655-B752-F6AE7783F69E}"/>
    <cellStyle name="Normal 3 3 7 2 3 2" xfId="43094" xr:uid="{1F2D5C50-0E55-463F-84EF-4E84DFDBAA74}"/>
    <cellStyle name="Normal 3 3 7 2 4" xfId="30503" xr:uid="{90D2CF56-93B7-4EC1-8E71-49E3C811ACF9}"/>
    <cellStyle name="Normal 3 3 7 3" xfId="8059" xr:uid="{126E899D-5B75-4945-88E9-B9F740192E0E}"/>
    <cellStyle name="Normal 3 3 7 3 2" xfId="20741" xr:uid="{E9170C6C-DC08-4FD4-8147-CE17740FB08B}"/>
    <cellStyle name="Normal 3 3 7 3 2 2" xfId="46233" xr:uid="{80E98E5A-C729-46E1-BE39-71FD0F5F05A3}"/>
    <cellStyle name="Normal 3 3 7 3 3" xfId="33642" xr:uid="{70F1626F-8854-4E79-9DBE-3325BE7825CB}"/>
    <cellStyle name="Normal 3 3 7 4" xfId="14463" xr:uid="{7BDFA318-AD01-460E-BAEC-5C8077ECDED2}"/>
    <cellStyle name="Normal 3 3 7 4 2" xfId="39955" xr:uid="{BFB230CC-6963-4F56-A788-56882DAA32EB}"/>
    <cellStyle name="Normal 3 3 7 5" xfId="27364" xr:uid="{4AC888AC-D471-426F-883E-81C4A75F40FD}"/>
    <cellStyle name="Normal 3 3 8" xfId="1229" xr:uid="{FBDECDB6-648F-4F78-AA88-4C94EEEBADE6}"/>
    <cellStyle name="Normal 3 3 8 2" xfId="4383" xr:uid="{FD0065B4-D345-4376-A2D5-331C202C3EB2}"/>
    <cellStyle name="Normal 3 3 8 2 2" xfId="10676" xr:uid="{07AA3849-1931-4D6B-A524-CEC8475ABDE1}"/>
    <cellStyle name="Normal 3 3 8 2 2 2" xfId="23358" xr:uid="{EB99A616-63FB-464F-B8FF-61ABA2A13952}"/>
    <cellStyle name="Normal 3 3 8 2 2 2 2" xfId="48850" xr:uid="{AD33AF01-713A-4A95-850B-A937B57A6F95}"/>
    <cellStyle name="Normal 3 3 8 2 2 3" xfId="36259" xr:uid="{39747623-AADF-4749-A97F-323EB773F4F7}"/>
    <cellStyle name="Normal 3 3 8 2 3" xfId="17080" xr:uid="{05ECFF48-657B-4263-8638-02A330A8D8DC}"/>
    <cellStyle name="Normal 3 3 8 2 3 2" xfId="42572" xr:uid="{464C2802-E25A-4DE2-AB44-F99A4F71DF6E}"/>
    <cellStyle name="Normal 3 3 8 2 4" xfId="29981" xr:uid="{88A1D085-1A4C-4614-AFB8-8EF14949FE5F}"/>
    <cellStyle name="Normal 3 3 8 3" xfId="7537" xr:uid="{9FD50A9B-2493-4F22-8B8E-E569F35F42A9}"/>
    <cellStyle name="Normal 3 3 8 3 2" xfId="20219" xr:uid="{894650CE-410E-4496-A78D-FD79CFAB236D}"/>
    <cellStyle name="Normal 3 3 8 3 2 2" xfId="45711" xr:uid="{1A4551C0-6A43-4DC3-8005-39C7628387F4}"/>
    <cellStyle name="Normal 3 3 8 3 3" xfId="33120" xr:uid="{E3F4FD51-2C9E-4634-BF38-F59AE4D632AB}"/>
    <cellStyle name="Normal 3 3 8 4" xfId="13941" xr:uid="{31D83C4F-B129-4A61-98F0-28729E3D6CB5}"/>
    <cellStyle name="Normal 3 3 8 4 2" xfId="39433" xr:uid="{E175095E-1861-4A86-B40E-1C32C773F2F6}"/>
    <cellStyle name="Normal 3 3 8 5" xfId="26842" xr:uid="{84EACFF9-586E-4C05-AC35-2589B9F0AC0E}"/>
    <cellStyle name="Normal 3 3 9" xfId="2536" xr:uid="{CD35F40E-C1CB-4416-964C-AE9047F46963}"/>
    <cellStyle name="Normal 3 3 9 2" xfId="5690" xr:uid="{411C9DD3-8708-4ACB-AD8B-F0CAE4B624F0}"/>
    <cellStyle name="Normal 3 3 9 2 2" xfId="11983" xr:uid="{362D72FC-D0E6-49F3-A061-78B96285AB53}"/>
    <cellStyle name="Normal 3 3 9 2 2 2" xfId="24665" xr:uid="{1F671891-F127-4506-92D2-8AB2B417831F}"/>
    <cellStyle name="Normal 3 3 9 2 2 2 2" xfId="50157" xr:uid="{56C7246E-2C1E-451A-92C1-B271A5A74874}"/>
    <cellStyle name="Normal 3 3 9 2 2 3" xfId="37566" xr:uid="{0EA2C9B8-B569-4263-8EA2-F33A5AFCA63F}"/>
    <cellStyle name="Normal 3 3 9 2 3" xfId="18387" xr:uid="{62D9B900-A7C8-4F31-86F5-EB873D1D2263}"/>
    <cellStyle name="Normal 3 3 9 2 3 2" xfId="43879" xr:uid="{3BDAD643-6B32-4964-97F8-ADD77B9EDDA2}"/>
    <cellStyle name="Normal 3 3 9 2 4" xfId="31288" xr:uid="{5E8C642E-9702-4B76-B0EA-5E584610F065}"/>
    <cellStyle name="Normal 3 3 9 3" xfId="8844" xr:uid="{F4516D0E-BCF4-4B9D-BFE6-0BA18D59D30C}"/>
    <cellStyle name="Normal 3 3 9 3 2" xfId="21526" xr:uid="{EA5AFE58-8DFD-4ECC-B687-8F29EDA75DF7}"/>
    <cellStyle name="Normal 3 3 9 3 2 2" xfId="47018" xr:uid="{0B9077BC-0049-49B7-B6AD-36C8DE80AD24}"/>
    <cellStyle name="Normal 3 3 9 3 3" xfId="34427" xr:uid="{36C14678-F47B-4ED9-ADC7-CFF5C9BF2820}"/>
    <cellStyle name="Normal 3 3 9 4" xfId="15248" xr:uid="{67B3A969-B049-4049-8470-2900F65B68A8}"/>
    <cellStyle name="Normal 3 3 9 4 2" xfId="40740" xr:uid="{D5BEBADE-0B35-425B-BCC0-ECE1000CA67F}"/>
    <cellStyle name="Normal 3 3 9 5" xfId="28149" xr:uid="{74D783B7-FE8D-4FFF-981E-0D75E118804A}"/>
    <cellStyle name="Normal 3 4" xfId="258" xr:uid="{7FDB3E27-A462-4763-BF67-6BCFF8D422EC}"/>
    <cellStyle name="Normal 3 4 10" xfId="3639" xr:uid="{72EB31B8-6EF9-4F7C-B86A-7376065BA164}"/>
    <cellStyle name="Normal 3 4 10 2" xfId="9932" xr:uid="{6EB3D296-8BEF-43F2-96B9-9A79781B2A32}"/>
    <cellStyle name="Normal 3 4 10 2 2" xfId="22614" xr:uid="{7DB17D49-F82A-441A-A2BF-E8D202C31265}"/>
    <cellStyle name="Normal 3 4 10 2 2 2" xfId="48106" xr:uid="{B6DE0FF2-FD1F-4ABA-A3C5-A030551E4F1E}"/>
    <cellStyle name="Normal 3 4 10 2 3" xfId="35515" xr:uid="{0063B410-327C-4C45-88C8-1740B68F5194}"/>
    <cellStyle name="Normal 3 4 10 3" xfId="16336" xr:uid="{4A3E44CA-3308-4D0B-A252-74B66039FD58}"/>
    <cellStyle name="Normal 3 4 10 3 2" xfId="41828" xr:uid="{F69A140B-AE5C-4308-B391-FD7A113823C6}"/>
    <cellStyle name="Normal 3 4 10 4" xfId="29237" xr:uid="{2E88B1F1-2C14-4CDE-865B-C73BB68443E7}"/>
    <cellStyle name="Normal 3 4 11" xfId="6793" xr:uid="{474B0603-A738-4928-B88B-E9B6D46DB543}"/>
    <cellStyle name="Normal 3 4 11 2" xfId="19475" xr:uid="{5E64326A-D8D9-4090-9E16-2173E99E6168}"/>
    <cellStyle name="Normal 3 4 11 2 2" xfId="44967" xr:uid="{15E64232-B431-4709-8483-5A67896CAC3C}"/>
    <cellStyle name="Normal 3 4 11 3" xfId="32376" xr:uid="{C7479E7D-F214-4F2F-80F7-4DB45620BEC5}"/>
    <cellStyle name="Normal 3 4 12" xfId="13197" xr:uid="{D80418B3-1EA6-491A-B12B-7804C2F6F6F1}"/>
    <cellStyle name="Normal 3 4 12 2" xfId="38689" xr:uid="{F64E19CF-7DDC-4ADB-9074-32BB109857F6}"/>
    <cellStyle name="Normal 3 4 13" xfId="13071" xr:uid="{F1BAFD77-8F0A-4437-9BBD-7E18F3895DCF}"/>
    <cellStyle name="Normal 3 4 14" xfId="26098" xr:uid="{706E6B0C-8C24-437F-9E7C-FC8F6094A48F}"/>
    <cellStyle name="Normal 3 4 15" xfId="470" xr:uid="{BCA92B45-3FDA-4067-8E05-2432E9B09A72}"/>
    <cellStyle name="Normal 3 4 2" xfId="629" xr:uid="{F69F7141-9DC0-4EC1-A67E-C17782945688}"/>
    <cellStyle name="Normal 3 4 2 10" xfId="13356" xr:uid="{1A3EBE2F-1556-480D-A8E9-2A46CD22F0A8}"/>
    <cellStyle name="Normal 3 4 2 10 2" xfId="38848" xr:uid="{A9FFCC29-3F95-4781-8F19-7103F55FB977}"/>
    <cellStyle name="Normal 3 4 2 11" xfId="26257" xr:uid="{E4B96F4B-CDD9-4297-BD3C-F5AA686E7318}"/>
    <cellStyle name="Normal 3 4 2 2" xfId="1166" xr:uid="{E313FF90-5151-4690-AA1D-35B3CCC240D5}"/>
    <cellStyle name="Normal 3 4 2 2 2" xfId="2473" xr:uid="{6C04F140-E0FC-42FC-8E5F-9FCC3909DADA}"/>
    <cellStyle name="Normal 3 4 2 2 2 2" xfId="5627" xr:uid="{53295F61-866F-4DAA-952D-3F870A8E8E5A}"/>
    <cellStyle name="Normal 3 4 2 2 2 2 2" xfId="11920" xr:uid="{CCF89DB9-820D-4F2B-8C42-987FF1F861E2}"/>
    <cellStyle name="Normal 3 4 2 2 2 2 2 2" xfId="24602" xr:uid="{61BEF543-FD4A-4290-8E10-0BCEA9A1157A}"/>
    <cellStyle name="Normal 3 4 2 2 2 2 2 2 2" xfId="50094" xr:uid="{22E6BB89-092C-4ACF-8F92-82DB0C48DDE8}"/>
    <cellStyle name="Normal 3 4 2 2 2 2 2 3" xfId="37503" xr:uid="{5E4D3F79-7651-4264-9CB3-5389844D44CA}"/>
    <cellStyle name="Normal 3 4 2 2 2 2 3" xfId="18324" xr:uid="{1756AA6E-105E-496B-9687-606A543A3862}"/>
    <cellStyle name="Normal 3 4 2 2 2 2 3 2" xfId="43816" xr:uid="{9ED78808-5E80-47A3-BB8E-E6623C51897E}"/>
    <cellStyle name="Normal 3 4 2 2 2 2 4" xfId="31225" xr:uid="{5A970054-81C4-4CF2-A485-6BFDADA2C03E}"/>
    <cellStyle name="Normal 3 4 2 2 2 3" xfId="8781" xr:uid="{C9913F5C-B17E-4D80-AD3E-EC6ABB63CE46}"/>
    <cellStyle name="Normal 3 4 2 2 2 3 2" xfId="21463" xr:uid="{40DC0518-F684-41C8-B753-517A84A37C9B}"/>
    <cellStyle name="Normal 3 4 2 2 2 3 2 2" xfId="46955" xr:uid="{79EA3FC9-F0AB-44C1-84B6-900681B0925E}"/>
    <cellStyle name="Normal 3 4 2 2 2 3 3" xfId="34364" xr:uid="{09CE88CD-9448-4D73-951E-9FC281A4F243}"/>
    <cellStyle name="Normal 3 4 2 2 2 4" xfId="15185" xr:uid="{5E67E949-2B40-41CD-96CD-2DA3CDF58F1E}"/>
    <cellStyle name="Normal 3 4 2 2 2 4 2" xfId="40677" xr:uid="{DC34A170-028D-4CEE-946B-80E7B0C8B56A}"/>
    <cellStyle name="Normal 3 4 2 2 2 5" xfId="28086" xr:uid="{606707AE-1261-40B0-BDF9-EEFDBA4500A0}"/>
    <cellStyle name="Normal 3 4 2 2 3" xfId="1690" xr:uid="{B4976D1A-9928-490A-8B16-FBB2EDEEA239}"/>
    <cellStyle name="Normal 3 4 2 2 3 2" xfId="4844" xr:uid="{6FF2CBE9-70CD-4FFD-8A6C-C8FF0649A6D8}"/>
    <cellStyle name="Normal 3 4 2 2 3 2 2" xfId="11137" xr:uid="{E4589E3C-DDAF-4B70-A1DC-BB83DA49B806}"/>
    <cellStyle name="Normal 3 4 2 2 3 2 2 2" xfId="23819" xr:uid="{E7AA6E4A-5064-4569-A770-205C3DDD9B77}"/>
    <cellStyle name="Normal 3 4 2 2 3 2 2 2 2" xfId="49311" xr:uid="{AA5E9DDE-66D5-40A2-BBD6-A6804A4572A9}"/>
    <cellStyle name="Normal 3 4 2 2 3 2 2 3" xfId="36720" xr:uid="{859A2829-C39B-4059-AECD-205BCC130C0B}"/>
    <cellStyle name="Normal 3 4 2 2 3 2 3" xfId="17541" xr:uid="{FCF64B7C-D603-411E-A425-1B21066C134F}"/>
    <cellStyle name="Normal 3 4 2 2 3 2 3 2" xfId="43033" xr:uid="{69407793-C1F8-462B-88FE-C9FDF1C903F4}"/>
    <cellStyle name="Normal 3 4 2 2 3 2 4" xfId="30442" xr:uid="{18887788-5FB0-4BD7-B95C-0BD9A154C080}"/>
    <cellStyle name="Normal 3 4 2 2 3 3" xfId="7998" xr:uid="{721547D8-0582-44DA-9F42-5DF4545A4F07}"/>
    <cellStyle name="Normal 3 4 2 2 3 3 2" xfId="20680" xr:uid="{59E3CF95-BA6F-4202-AE67-777D559CAD99}"/>
    <cellStyle name="Normal 3 4 2 2 3 3 2 2" xfId="46172" xr:uid="{194E5C9E-FA92-4812-81AF-AF899D3FC615}"/>
    <cellStyle name="Normal 3 4 2 2 3 3 3" xfId="33581" xr:uid="{D7DFB418-EEDA-4E5A-8C1C-CE8FB2FB2D05}"/>
    <cellStyle name="Normal 3 4 2 2 3 4" xfId="14402" xr:uid="{4F31B69E-9921-425F-8C97-690AF337FE64}"/>
    <cellStyle name="Normal 3 4 2 2 3 4 2" xfId="39894" xr:uid="{C1F5E56F-C72E-45A0-BD85-5A7604222122}"/>
    <cellStyle name="Normal 3 4 2 2 3 5" xfId="27303" xr:uid="{10720EEF-8F45-4F91-9635-D82B5BB5CE84}"/>
    <cellStyle name="Normal 3 4 2 2 4" xfId="2997" xr:uid="{93D42172-D415-4A93-8CA4-177DCD08FCFE}"/>
    <cellStyle name="Normal 3 4 2 2 4 2" xfId="6151" xr:uid="{270CB91C-7E36-44FD-A8F5-1CEDAEFCFA8C}"/>
    <cellStyle name="Normal 3 4 2 2 4 2 2" xfId="12444" xr:uid="{197E81AB-257F-4D74-97BE-73C0A0BC6A46}"/>
    <cellStyle name="Normal 3 4 2 2 4 2 2 2" xfId="25126" xr:uid="{E7F73980-D8FA-4021-AB04-F76F684AAD8E}"/>
    <cellStyle name="Normal 3 4 2 2 4 2 2 2 2" xfId="50618" xr:uid="{33DC2E91-8D7A-4F2E-A932-72899E103894}"/>
    <cellStyle name="Normal 3 4 2 2 4 2 2 3" xfId="38027" xr:uid="{530BF023-6F51-4F0A-9070-FC59F203C3C9}"/>
    <cellStyle name="Normal 3 4 2 2 4 2 3" xfId="18848" xr:uid="{3509D576-0303-4E1D-A418-2654CDEF7FA8}"/>
    <cellStyle name="Normal 3 4 2 2 4 2 3 2" xfId="44340" xr:uid="{3DF34112-22D3-4865-902E-7CE2BE52EB22}"/>
    <cellStyle name="Normal 3 4 2 2 4 2 4" xfId="31749" xr:uid="{4F54AB38-8A1E-47E1-B66D-851EB6F6D734}"/>
    <cellStyle name="Normal 3 4 2 2 4 3" xfId="9305" xr:uid="{911EF7F7-99AE-4C70-8398-029DAF243FDB}"/>
    <cellStyle name="Normal 3 4 2 2 4 3 2" xfId="21987" xr:uid="{334E86A5-24C2-481D-8323-A4A1D97505E6}"/>
    <cellStyle name="Normal 3 4 2 2 4 3 2 2" xfId="47479" xr:uid="{A6862C98-E765-4511-B570-7A9ED302ACFC}"/>
    <cellStyle name="Normal 3 4 2 2 4 3 3" xfId="34888" xr:uid="{AB65C9F6-D74D-41A9-BBB4-82B44D8CCACE}"/>
    <cellStyle name="Normal 3 4 2 2 4 4" xfId="15709" xr:uid="{589BCB1A-AC25-4793-AA20-952F86A32DEC}"/>
    <cellStyle name="Normal 3 4 2 2 4 4 2" xfId="41201" xr:uid="{615FC8A9-8BAD-40A7-81CE-8FE37342EFFA}"/>
    <cellStyle name="Normal 3 4 2 2 4 5" xfId="28610" xr:uid="{E9DFE00D-344A-4CB6-8B36-7605F8B17BD1}"/>
    <cellStyle name="Normal 3 4 2 2 5" xfId="3520" xr:uid="{ADD77291-FFC1-43E6-8ECC-2FADB3FF9759}"/>
    <cellStyle name="Normal 3 4 2 2 5 2" xfId="6674" xr:uid="{EB1A8D2A-9010-4361-98B0-74B66B55F52C}"/>
    <cellStyle name="Normal 3 4 2 2 5 2 2" xfId="12967" xr:uid="{F5D552DE-2034-402C-9E93-D985F4716115}"/>
    <cellStyle name="Normal 3 4 2 2 5 2 2 2" xfId="25649" xr:uid="{4AB50687-9CEE-4B2A-8B0E-6472CC65D604}"/>
    <cellStyle name="Normal 3 4 2 2 5 2 2 2 2" xfId="51141" xr:uid="{053ECF52-9AED-4E4D-9311-FC744AE49084}"/>
    <cellStyle name="Normal 3 4 2 2 5 2 2 3" xfId="38550" xr:uid="{8777EC16-F192-42F0-9186-67A18EF47254}"/>
    <cellStyle name="Normal 3 4 2 2 5 2 3" xfId="19371" xr:uid="{8E671080-3380-4145-AE1F-C14D866517FD}"/>
    <cellStyle name="Normal 3 4 2 2 5 2 3 2" xfId="44863" xr:uid="{227699EA-D85B-407F-BF7B-E04CC6063338}"/>
    <cellStyle name="Normal 3 4 2 2 5 2 4" xfId="32272" xr:uid="{FD669E93-D2C4-4914-8C49-95E47FB322DD}"/>
    <cellStyle name="Normal 3 4 2 2 5 3" xfId="9828" xr:uid="{67470DBA-6F6C-40F9-B973-BE06721EB0DD}"/>
    <cellStyle name="Normal 3 4 2 2 5 3 2" xfId="22510" xr:uid="{00A2CD34-935B-4C43-8C75-568CB18C7232}"/>
    <cellStyle name="Normal 3 4 2 2 5 3 2 2" xfId="48002" xr:uid="{E5A4E37E-E1DB-4629-BF33-0A8A4FCDECA9}"/>
    <cellStyle name="Normal 3 4 2 2 5 3 3" xfId="35411" xr:uid="{12954B43-D00A-4DD2-80ED-3DEF4D046462}"/>
    <cellStyle name="Normal 3 4 2 2 5 4" xfId="16232" xr:uid="{DC048290-20F0-4497-B8D3-7B85DACFAACC}"/>
    <cellStyle name="Normal 3 4 2 2 5 4 2" xfId="41724" xr:uid="{154AD9DC-7279-4AE5-97F6-ED409B98453F}"/>
    <cellStyle name="Normal 3 4 2 2 5 5" xfId="29133" xr:uid="{827D9E60-DBD5-472B-9672-34BB345BBA67}"/>
    <cellStyle name="Normal 3 4 2 2 6" xfId="4320" xr:uid="{19082C84-E3C7-4390-A55B-2A4E2CF0BAB0}"/>
    <cellStyle name="Normal 3 4 2 2 6 2" xfId="10613" xr:uid="{CD37030C-DE63-47EC-A265-BC6145969D1D}"/>
    <cellStyle name="Normal 3 4 2 2 6 2 2" xfId="23295" xr:uid="{4D731D5E-489A-4827-964F-0AFE8A67722F}"/>
    <cellStyle name="Normal 3 4 2 2 6 2 2 2" xfId="48787" xr:uid="{1644F3D3-8EF0-47E2-9137-F4F15A231D22}"/>
    <cellStyle name="Normal 3 4 2 2 6 2 3" xfId="36196" xr:uid="{470927A5-4B60-4FBE-9019-EFDC3A92322E}"/>
    <cellStyle name="Normal 3 4 2 2 6 3" xfId="17017" xr:uid="{2D7D3035-2109-427E-BCBB-CBC26DF53812}"/>
    <cellStyle name="Normal 3 4 2 2 6 3 2" xfId="42509" xr:uid="{F17312E5-B4CE-4EBD-ADE2-4C4C2EBF7F4F}"/>
    <cellStyle name="Normal 3 4 2 2 6 4" xfId="29918" xr:uid="{7583D386-0C34-41C7-B26B-A2F946D38882}"/>
    <cellStyle name="Normal 3 4 2 2 7" xfId="7474" xr:uid="{B85DFE5F-2CD2-4D35-A598-421598929FEE}"/>
    <cellStyle name="Normal 3 4 2 2 7 2" xfId="20156" xr:uid="{84FAC643-8CD3-475E-8367-98728B7851AA}"/>
    <cellStyle name="Normal 3 4 2 2 7 2 2" xfId="45648" xr:uid="{5F85937A-B29D-4A65-89C5-E088322DA0D0}"/>
    <cellStyle name="Normal 3 4 2 2 7 3" xfId="33057" xr:uid="{5DCA7F89-8B73-413F-804A-96B9FA543252}"/>
    <cellStyle name="Normal 3 4 2 2 8" xfId="13878" xr:uid="{3774304A-9DB2-4AD1-B516-D845F372B615}"/>
    <cellStyle name="Normal 3 4 2 2 8 2" xfId="39370" xr:uid="{828FD830-02A0-4FB1-A045-19FA117304C3}"/>
    <cellStyle name="Normal 3 4 2 2 9" xfId="26779" xr:uid="{22E88714-B5B7-49E4-8B72-D481E9FD9F95}"/>
    <cellStyle name="Normal 3 4 2 3" xfId="906" xr:uid="{FBB78212-8BCA-4DAC-B42B-D3FED6D84D6A}"/>
    <cellStyle name="Normal 3 4 2 3 2" xfId="2213" xr:uid="{FDC33FEF-C307-4B03-B812-92AE942201B2}"/>
    <cellStyle name="Normal 3 4 2 3 2 2" xfId="5367" xr:uid="{03B61EA9-7888-4DFD-A1F8-18C821A9D794}"/>
    <cellStyle name="Normal 3 4 2 3 2 2 2" xfId="11660" xr:uid="{D599E66F-9CAE-43D0-B7D5-AFE461E195B7}"/>
    <cellStyle name="Normal 3 4 2 3 2 2 2 2" xfId="24342" xr:uid="{8ADE7431-01CE-4C82-9EE9-D956F94AE464}"/>
    <cellStyle name="Normal 3 4 2 3 2 2 2 2 2" xfId="49834" xr:uid="{A4E82CD8-B17E-4C94-B5DE-FFD627596569}"/>
    <cellStyle name="Normal 3 4 2 3 2 2 2 3" xfId="37243" xr:uid="{2537E69C-E9B2-4524-8E6E-7893076B2697}"/>
    <cellStyle name="Normal 3 4 2 3 2 2 3" xfId="18064" xr:uid="{81798A74-DCC7-4ACB-879C-199078056953}"/>
    <cellStyle name="Normal 3 4 2 3 2 2 3 2" xfId="43556" xr:uid="{22A356C3-99A7-4401-992F-F9F77E2427DC}"/>
    <cellStyle name="Normal 3 4 2 3 2 2 4" xfId="30965" xr:uid="{B4AC3EE3-905D-4E8C-A9D6-E2B550B6977C}"/>
    <cellStyle name="Normal 3 4 2 3 2 3" xfId="8521" xr:uid="{ED2B993A-C29E-42D5-B566-9BD6EE86DBED}"/>
    <cellStyle name="Normal 3 4 2 3 2 3 2" xfId="21203" xr:uid="{350FEDB4-E011-4393-927B-E77ED927508C}"/>
    <cellStyle name="Normal 3 4 2 3 2 3 2 2" xfId="46695" xr:uid="{E59796CC-FB09-4A51-84BB-317993146164}"/>
    <cellStyle name="Normal 3 4 2 3 2 3 3" xfId="34104" xr:uid="{8DB35B3F-0614-47CC-98E3-1ADCE89466A8}"/>
    <cellStyle name="Normal 3 4 2 3 2 4" xfId="14925" xr:uid="{5FFEC982-7B5C-4A15-9AB7-A4CE2958527F}"/>
    <cellStyle name="Normal 3 4 2 3 2 4 2" xfId="40417" xr:uid="{691A4C69-F86A-4AF7-9B7B-4990F7A1AAE8}"/>
    <cellStyle name="Normal 3 4 2 3 2 5" xfId="27826" xr:uid="{A640C2C5-6855-4191-A3E0-3D1E26470604}"/>
    <cellStyle name="Normal 3 4 2 3 3" xfId="4060" xr:uid="{8DCED8A0-0AC3-4456-9360-855A5C01C97C}"/>
    <cellStyle name="Normal 3 4 2 3 3 2" xfId="10353" xr:uid="{4A18BEF0-85CE-417D-AA53-6C894C1CC7DD}"/>
    <cellStyle name="Normal 3 4 2 3 3 2 2" xfId="23035" xr:uid="{8BAE64CB-C073-49D4-AE04-BFCE19D55D3C}"/>
    <cellStyle name="Normal 3 4 2 3 3 2 2 2" xfId="48527" xr:uid="{13DCE305-D077-47A4-A984-15DA3FDF5CA0}"/>
    <cellStyle name="Normal 3 4 2 3 3 2 3" xfId="35936" xr:uid="{EF6DB0AF-A44F-4702-A9E7-71788D2A7EB4}"/>
    <cellStyle name="Normal 3 4 2 3 3 3" xfId="16757" xr:uid="{8A4C50D2-0F1C-4A35-A800-B05E14719A37}"/>
    <cellStyle name="Normal 3 4 2 3 3 3 2" xfId="42249" xr:uid="{F257145F-DECF-40A2-BB06-E6F5C7EDCCCE}"/>
    <cellStyle name="Normal 3 4 2 3 3 4" xfId="29658" xr:uid="{699B0190-D7F4-4F75-9326-E6072D3A3630}"/>
    <cellStyle name="Normal 3 4 2 3 4" xfId="7214" xr:uid="{6A243CE9-A720-48BE-80B7-1296A118E1B9}"/>
    <cellStyle name="Normal 3 4 2 3 4 2" xfId="19896" xr:uid="{9745A6AA-59B7-48B4-9DA3-7D7A19B60485}"/>
    <cellStyle name="Normal 3 4 2 3 4 2 2" xfId="45388" xr:uid="{C3DB47F2-A563-4E01-8BB5-A68F5C65AA0A}"/>
    <cellStyle name="Normal 3 4 2 3 4 3" xfId="32797" xr:uid="{8265D393-F17F-4569-8AAF-A54878C64704}"/>
    <cellStyle name="Normal 3 4 2 3 5" xfId="13618" xr:uid="{032150D3-FEC2-41EB-8560-3240B2D841CC}"/>
    <cellStyle name="Normal 3 4 2 3 5 2" xfId="39110" xr:uid="{C54D13C2-A123-4081-8C33-CB1F8A0F3D05}"/>
    <cellStyle name="Normal 3 4 2 3 6" xfId="26519" xr:uid="{F45DC744-D9A6-4965-8AA6-817DFFE7565F}"/>
    <cellStyle name="Normal 3 4 2 4" xfId="1951" xr:uid="{A69669DF-347B-4A93-842A-AEE8537E8C56}"/>
    <cellStyle name="Normal 3 4 2 4 2" xfId="5105" xr:uid="{A23B9803-01D1-497B-B780-CDC999FF687D}"/>
    <cellStyle name="Normal 3 4 2 4 2 2" xfId="11398" xr:uid="{9405BC54-C6CA-4ECF-B23B-3952ED37EB67}"/>
    <cellStyle name="Normal 3 4 2 4 2 2 2" xfId="24080" xr:uid="{3F5F683F-F2A3-4A60-9C8A-11B6C5C46D11}"/>
    <cellStyle name="Normal 3 4 2 4 2 2 2 2" xfId="49572" xr:uid="{B9EE9E7A-7BF0-4F50-BD44-781A5EAE9D21}"/>
    <cellStyle name="Normal 3 4 2 4 2 2 3" xfId="36981" xr:uid="{7F5FE1A6-84D6-4464-B67F-5B1743676D88}"/>
    <cellStyle name="Normal 3 4 2 4 2 3" xfId="17802" xr:uid="{82E06523-1C73-4608-B114-B724DF23CC11}"/>
    <cellStyle name="Normal 3 4 2 4 2 3 2" xfId="43294" xr:uid="{25F8584B-C28E-439A-AC08-DE45672603FB}"/>
    <cellStyle name="Normal 3 4 2 4 2 4" xfId="30703" xr:uid="{C648D33C-A0E7-4A56-A20B-0331065E6974}"/>
    <cellStyle name="Normal 3 4 2 4 3" xfId="8259" xr:uid="{2AAB6D2F-9D32-42BE-AD43-8259B4A47AE6}"/>
    <cellStyle name="Normal 3 4 2 4 3 2" xfId="20941" xr:uid="{6CFD3B75-2AD1-4198-A876-EE922BFA0071}"/>
    <cellStyle name="Normal 3 4 2 4 3 2 2" xfId="46433" xr:uid="{6F413C5D-F6ED-4FFF-B89D-715B0BEDD67A}"/>
    <cellStyle name="Normal 3 4 2 4 3 3" xfId="33842" xr:uid="{0D064E5B-3E3A-476F-8A53-E1E0D6AA7EC2}"/>
    <cellStyle name="Normal 3 4 2 4 4" xfId="14663" xr:uid="{530E377A-C6E0-4CC7-BC97-1B13B67CF419}"/>
    <cellStyle name="Normal 3 4 2 4 4 2" xfId="40155" xr:uid="{0A181DB7-3509-48E1-827A-78D0A2B6648C}"/>
    <cellStyle name="Normal 3 4 2 4 5" xfId="27564" xr:uid="{BE1AEA81-CD30-4E02-89F7-5582C59AFA99}"/>
    <cellStyle name="Normal 3 4 2 5" xfId="1429" xr:uid="{F5EF1A0C-5F33-4B1A-AE98-841049FA3EBB}"/>
    <cellStyle name="Normal 3 4 2 5 2" xfId="4583" xr:uid="{1C2B20FC-E693-4D33-A2F5-01A1A7061537}"/>
    <cellStyle name="Normal 3 4 2 5 2 2" xfId="10876" xr:uid="{49E0AC94-D245-4689-9858-60D9AB389ECE}"/>
    <cellStyle name="Normal 3 4 2 5 2 2 2" xfId="23558" xr:uid="{258EC7DB-15CA-4D83-BF86-D889587D596B}"/>
    <cellStyle name="Normal 3 4 2 5 2 2 2 2" xfId="49050" xr:uid="{CA63703B-0959-410B-B63F-C637C2DC9605}"/>
    <cellStyle name="Normal 3 4 2 5 2 2 3" xfId="36459" xr:uid="{66D19760-F40E-454D-8FDB-8BC3C23E1C82}"/>
    <cellStyle name="Normal 3 4 2 5 2 3" xfId="17280" xr:uid="{FEBB4AB6-24C3-41E9-AF98-2DE7AAE7E633}"/>
    <cellStyle name="Normal 3 4 2 5 2 3 2" xfId="42772" xr:uid="{CD4F25C3-A68E-4039-8E6D-10682F7A96EE}"/>
    <cellStyle name="Normal 3 4 2 5 2 4" xfId="30181" xr:uid="{2E058984-67CD-4259-B77F-73A69CFE17B6}"/>
    <cellStyle name="Normal 3 4 2 5 3" xfId="7737" xr:uid="{712295D7-B3E5-4E00-BE13-1006B1908280}"/>
    <cellStyle name="Normal 3 4 2 5 3 2" xfId="20419" xr:uid="{13826447-96E6-4CC3-B893-C2CDA21616E9}"/>
    <cellStyle name="Normal 3 4 2 5 3 2 2" xfId="45911" xr:uid="{B9752DAC-17C7-4EC6-B509-744444DA0101}"/>
    <cellStyle name="Normal 3 4 2 5 3 3" xfId="33320" xr:uid="{59688D4D-1A7B-475D-A584-2B2B4B2A636D}"/>
    <cellStyle name="Normal 3 4 2 5 4" xfId="14141" xr:uid="{C5B9D7A6-54BD-4EDA-97DF-85AEDC4413B3}"/>
    <cellStyle name="Normal 3 4 2 5 4 2" xfId="39633" xr:uid="{201ABD4C-9983-40F6-B64C-6B53F884A69D}"/>
    <cellStyle name="Normal 3 4 2 5 5" xfId="27042" xr:uid="{92337C04-5DC8-4E20-92DC-5EE6AD8A8C01}"/>
    <cellStyle name="Normal 3 4 2 6" xfId="2736" xr:uid="{FD79192B-B181-42DF-B3B1-8E3266AB0C95}"/>
    <cellStyle name="Normal 3 4 2 6 2" xfId="5890" xr:uid="{AD603E3C-F8CA-46C4-8B96-AEDD037D4CD6}"/>
    <cellStyle name="Normal 3 4 2 6 2 2" xfId="12183" xr:uid="{D3D668AE-59BA-4035-AF0D-57FEC6A34B92}"/>
    <cellStyle name="Normal 3 4 2 6 2 2 2" xfId="24865" xr:uid="{D0242E2D-2A04-42A9-964C-371FE9D71BE0}"/>
    <cellStyle name="Normal 3 4 2 6 2 2 2 2" xfId="50357" xr:uid="{4717D5D6-CEEF-4F46-B807-1B0541DD2DC3}"/>
    <cellStyle name="Normal 3 4 2 6 2 2 3" xfId="37766" xr:uid="{33DED1A7-F10F-46DD-8BC4-B5368F9DF684}"/>
    <cellStyle name="Normal 3 4 2 6 2 3" xfId="18587" xr:uid="{442C40D7-448E-42A6-AD01-E2C77EDDFA37}"/>
    <cellStyle name="Normal 3 4 2 6 2 3 2" xfId="44079" xr:uid="{3313E016-00F2-4ED2-BC82-E747739D58D5}"/>
    <cellStyle name="Normal 3 4 2 6 2 4" xfId="31488" xr:uid="{9D416DD4-979A-4FFE-96A9-86C89684BC64}"/>
    <cellStyle name="Normal 3 4 2 6 3" xfId="9044" xr:uid="{34C18543-F1CF-46AC-8DCF-F9CBA454E7A9}"/>
    <cellStyle name="Normal 3 4 2 6 3 2" xfId="21726" xr:uid="{93197BFE-57C6-45CA-A615-37EDD9443EBC}"/>
    <cellStyle name="Normal 3 4 2 6 3 2 2" xfId="47218" xr:uid="{AA7FD78A-CCC0-459A-A545-ED73130E3827}"/>
    <cellStyle name="Normal 3 4 2 6 3 3" xfId="34627" xr:uid="{94C3ECAC-C858-4164-A58A-E45B6D261577}"/>
    <cellStyle name="Normal 3 4 2 6 4" xfId="15448" xr:uid="{83E5F601-9A61-4B0B-8FD3-CAA813699B66}"/>
    <cellStyle name="Normal 3 4 2 6 4 2" xfId="40940" xr:uid="{C3EA2FC3-EE1C-4065-8251-86E132448CEA}"/>
    <cellStyle name="Normal 3 4 2 6 5" xfId="28349" xr:uid="{212BD693-0A09-4C15-9C6B-01F60D0F9B63}"/>
    <cellStyle name="Normal 3 4 2 7" xfId="3259" xr:uid="{76EB6B53-BE9A-47E9-8DA8-F9D7C094CF29}"/>
    <cellStyle name="Normal 3 4 2 7 2" xfId="6413" xr:uid="{F9056370-5B9C-4004-8423-6319578AA5D1}"/>
    <cellStyle name="Normal 3 4 2 7 2 2" xfId="12706" xr:uid="{53E536EE-B63C-4964-8EE8-678915F3BA0B}"/>
    <cellStyle name="Normal 3 4 2 7 2 2 2" xfId="25388" xr:uid="{CDCB5A60-0EE3-4F47-B123-BDF1148EEFC5}"/>
    <cellStyle name="Normal 3 4 2 7 2 2 2 2" xfId="50880" xr:uid="{269E6BF0-5350-475C-BFBA-27EB6021A77C}"/>
    <cellStyle name="Normal 3 4 2 7 2 2 3" xfId="38289" xr:uid="{CC4A7AA2-B595-418D-AAE5-EDAE652C0EC3}"/>
    <cellStyle name="Normal 3 4 2 7 2 3" xfId="19110" xr:uid="{05352215-C4C3-4661-B0FB-AFE596FB938B}"/>
    <cellStyle name="Normal 3 4 2 7 2 3 2" xfId="44602" xr:uid="{5EAB89AE-FDCA-4E98-8F4F-ACB085A28FE2}"/>
    <cellStyle name="Normal 3 4 2 7 2 4" xfId="32011" xr:uid="{E9A7A1DB-7A2F-4C9D-9E0C-30AAAEED4AA4}"/>
    <cellStyle name="Normal 3 4 2 7 3" xfId="9567" xr:uid="{F43F6909-4CB7-45DF-AF9E-C00DC2566760}"/>
    <cellStyle name="Normal 3 4 2 7 3 2" xfId="22249" xr:uid="{E81A19EE-DC1F-45CF-9D84-8A1408AE252A}"/>
    <cellStyle name="Normal 3 4 2 7 3 2 2" xfId="47741" xr:uid="{97A9B9A1-8FB5-4B0C-B730-0F4E3EF1C510}"/>
    <cellStyle name="Normal 3 4 2 7 3 3" xfId="35150" xr:uid="{70F62F43-E631-4374-81F6-6AA3D61639AB}"/>
    <cellStyle name="Normal 3 4 2 7 4" xfId="15971" xr:uid="{10E9200C-B0B2-4F3C-A211-18B0397DEACE}"/>
    <cellStyle name="Normal 3 4 2 7 4 2" xfId="41463" xr:uid="{568DE57F-94A9-4181-8361-FF4045876E60}"/>
    <cellStyle name="Normal 3 4 2 7 5" xfId="28872" xr:uid="{9AC7D55D-19A2-4CE1-A405-F3CEB055FD42}"/>
    <cellStyle name="Normal 3 4 2 8" xfId="3798" xr:uid="{2F59895F-2879-48D0-A56F-B7F06FDC64E9}"/>
    <cellStyle name="Normal 3 4 2 8 2" xfId="10091" xr:uid="{1F245AF7-1720-4B38-9C7D-42AE253FF04E}"/>
    <cellStyle name="Normal 3 4 2 8 2 2" xfId="22773" xr:uid="{3963AF26-F928-4570-B5B9-D9CB573F18E1}"/>
    <cellStyle name="Normal 3 4 2 8 2 2 2" xfId="48265" xr:uid="{AEB82013-5683-4265-BDEF-007842889608}"/>
    <cellStyle name="Normal 3 4 2 8 2 3" xfId="35674" xr:uid="{CD7993DD-AFC8-40C6-BF76-EDE83FB94304}"/>
    <cellStyle name="Normal 3 4 2 8 3" xfId="16495" xr:uid="{DBC08D09-3EA0-4C3F-86DF-8CE5964DD073}"/>
    <cellStyle name="Normal 3 4 2 8 3 2" xfId="41987" xr:uid="{0A579E8B-317C-464C-A19A-CBBDC3968752}"/>
    <cellStyle name="Normal 3 4 2 8 4" xfId="29396" xr:uid="{BBC4C814-456A-4773-A4C0-2CCECAD2D9D2}"/>
    <cellStyle name="Normal 3 4 2 9" xfId="6952" xr:uid="{F2D7A539-F62A-4346-95AC-312A096F48FE}"/>
    <cellStyle name="Normal 3 4 2 9 2" xfId="19634" xr:uid="{95092EA5-9ECA-4B8D-B9A8-A298E434FB9C}"/>
    <cellStyle name="Normal 3 4 2 9 2 2" xfId="45126" xr:uid="{49158DA3-AF39-42FA-A1B4-8715FBCB826C}"/>
    <cellStyle name="Normal 3 4 2 9 3" xfId="32535" xr:uid="{00582B49-4F1A-4947-A03F-10CB00ABBCDE}"/>
    <cellStyle name="Normal 3 4 3" xfId="529" xr:uid="{BE2DDCE9-CBA6-411E-BB09-185A61451947}"/>
    <cellStyle name="Normal 3 4 3 10" xfId="13256" xr:uid="{F4E883D9-1500-4C6C-8BCB-893D5C0B747D}"/>
    <cellStyle name="Normal 3 4 3 10 2" xfId="38748" xr:uid="{022F658B-FEE6-4240-873C-8A9E12DB5C4F}"/>
    <cellStyle name="Normal 3 4 3 11" xfId="26157" xr:uid="{BCE43757-BC80-439C-BE4B-7D150EE80FEE}"/>
    <cellStyle name="Normal 3 4 3 2" xfId="1066" xr:uid="{CD103254-D8B2-4168-9397-C302AA09F2DC}"/>
    <cellStyle name="Normal 3 4 3 2 2" xfId="2373" xr:uid="{55C28007-6C9A-4659-B648-8482ED6A86E0}"/>
    <cellStyle name="Normal 3 4 3 2 2 2" xfId="5527" xr:uid="{70A467E6-DC05-4B65-9A27-47A0AA7F7DF7}"/>
    <cellStyle name="Normal 3 4 3 2 2 2 2" xfId="11820" xr:uid="{74074D91-8181-4A2D-A76F-2F53206EB713}"/>
    <cellStyle name="Normal 3 4 3 2 2 2 2 2" xfId="24502" xr:uid="{E65F4A97-1C50-4545-AA72-A7602695DB83}"/>
    <cellStyle name="Normal 3 4 3 2 2 2 2 2 2" xfId="49994" xr:uid="{6B7F69B5-A030-4470-9E63-4201DC2CDFBF}"/>
    <cellStyle name="Normal 3 4 3 2 2 2 2 3" xfId="37403" xr:uid="{4852077E-8AA4-4484-8CB2-7C34EE847252}"/>
    <cellStyle name="Normal 3 4 3 2 2 2 3" xfId="18224" xr:uid="{84AEBEE7-FEDC-4983-9466-EFBB2593D1B3}"/>
    <cellStyle name="Normal 3 4 3 2 2 2 3 2" xfId="43716" xr:uid="{325FE14D-62C1-4FDA-9112-B82A73DF0F9C}"/>
    <cellStyle name="Normal 3 4 3 2 2 2 4" xfId="31125" xr:uid="{B5D47307-6F48-4EE0-808D-713D96B42054}"/>
    <cellStyle name="Normal 3 4 3 2 2 3" xfId="8681" xr:uid="{40F54D6B-A908-4932-90A5-954EBF6DAD6F}"/>
    <cellStyle name="Normal 3 4 3 2 2 3 2" xfId="21363" xr:uid="{7C2F563F-61A1-4033-A753-5B974BFDC20B}"/>
    <cellStyle name="Normal 3 4 3 2 2 3 2 2" xfId="46855" xr:uid="{1A962860-2D69-4A8E-90B7-7514F37B5FED}"/>
    <cellStyle name="Normal 3 4 3 2 2 3 3" xfId="34264" xr:uid="{87A34BF5-566D-43EC-9225-26228CC7057A}"/>
    <cellStyle name="Normal 3 4 3 2 2 4" xfId="15085" xr:uid="{D9183E5E-85FC-4FCF-9263-68F141F27089}"/>
    <cellStyle name="Normal 3 4 3 2 2 4 2" xfId="40577" xr:uid="{91444EC1-7D58-401D-832B-DD9E2553FE72}"/>
    <cellStyle name="Normal 3 4 3 2 2 5" xfId="27986" xr:uid="{6160A2E4-8717-4FA0-BD3B-D2BD5A86C709}"/>
    <cellStyle name="Normal 3 4 3 2 3" xfId="1590" xr:uid="{E4AC3EC4-3DD5-4E10-819E-CA3AAC650A1F}"/>
    <cellStyle name="Normal 3 4 3 2 3 2" xfId="4744" xr:uid="{3F1C7287-EB13-4480-873C-DD1F43F5F144}"/>
    <cellStyle name="Normal 3 4 3 2 3 2 2" xfId="11037" xr:uid="{8D73F0E9-E544-4FED-BDCC-F5E892A59157}"/>
    <cellStyle name="Normal 3 4 3 2 3 2 2 2" xfId="23719" xr:uid="{FDD547BB-FE65-4612-9CC6-86CFAD0E3E89}"/>
    <cellStyle name="Normal 3 4 3 2 3 2 2 2 2" xfId="49211" xr:uid="{5201B62C-5210-459E-B530-5D38606CFECF}"/>
    <cellStyle name="Normal 3 4 3 2 3 2 2 3" xfId="36620" xr:uid="{62D9123C-963F-4B6A-99B7-C531531884E8}"/>
    <cellStyle name="Normal 3 4 3 2 3 2 3" xfId="17441" xr:uid="{BF58A13D-7E25-46FB-B583-EF0884CD3705}"/>
    <cellStyle name="Normal 3 4 3 2 3 2 3 2" xfId="42933" xr:uid="{84F1C4D9-9714-458B-AA71-AD2326BC1149}"/>
    <cellStyle name="Normal 3 4 3 2 3 2 4" xfId="30342" xr:uid="{8EB86842-FF38-4268-A99F-92605D6867C7}"/>
    <cellStyle name="Normal 3 4 3 2 3 3" xfId="7898" xr:uid="{B080611E-4DA5-4088-8769-2E4853F4B4CC}"/>
    <cellStyle name="Normal 3 4 3 2 3 3 2" xfId="20580" xr:uid="{FD66A770-A673-44F6-9A27-D5D3D3B55C4A}"/>
    <cellStyle name="Normal 3 4 3 2 3 3 2 2" xfId="46072" xr:uid="{0A894D06-4BF2-432F-BDA5-4A4BB720C721}"/>
    <cellStyle name="Normal 3 4 3 2 3 3 3" xfId="33481" xr:uid="{D593EFBC-4A08-4499-9A39-7AA8EC27FBE4}"/>
    <cellStyle name="Normal 3 4 3 2 3 4" xfId="14302" xr:uid="{0BAF4B24-CA62-46A9-994A-6568872016C6}"/>
    <cellStyle name="Normal 3 4 3 2 3 4 2" xfId="39794" xr:uid="{31E136F6-BDCB-47B2-B99F-1189FEA40016}"/>
    <cellStyle name="Normal 3 4 3 2 3 5" xfId="27203" xr:uid="{AD1AF393-E002-4B0B-BF96-5D181B2D7252}"/>
    <cellStyle name="Normal 3 4 3 2 4" xfId="2897" xr:uid="{D0AC8182-2FA7-4D25-838B-02F3DEC83F56}"/>
    <cellStyle name="Normal 3 4 3 2 4 2" xfId="6051" xr:uid="{0566C1CD-ACB2-40F8-8ACD-454E783A9F5E}"/>
    <cellStyle name="Normal 3 4 3 2 4 2 2" xfId="12344" xr:uid="{CF1290CB-BADE-4A9B-AF6F-AA020891EAA9}"/>
    <cellStyle name="Normal 3 4 3 2 4 2 2 2" xfId="25026" xr:uid="{BCB27C80-2F0F-4017-BD4C-2BC8EA1A8CEC}"/>
    <cellStyle name="Normal 3 4 3 2 4 2 2 2 2" xfId="50518" xr:uid="{B759F151-A4C4-4785-9444-CEBD68BB4E08}"/>
    <cellStyle name="Normal 3 4 3 2 4 2 2 3" xfId="37927" xr:uid="{160BE854-579E-45C6-9906-C4F9B92BFCB0}"/>
    <cellStyle name="Normal 3 4 3 2 4 2 3" xfId="18748" xr:uid="{2FF03339-9A15-4A04-83CB-63324A5C9577}"/>
    <cellStyle name="Normal 3 4 3 2 4 2 3 2" xfId="44240" xr:uid="{48AB1F4C-911C-4A85-AE95-1228A096D982}"/>
    <cellStyle name="Normal 3 4 3 2 4 2 4" xfId="31649" xr:uid="{A373F075-4389-4DF3-8FEA-619C36333C6A}"/>
    <cellStyle name="Normal 3 4 3 2 4 3" xfId="9205" xr:uid="{1AF39D9F-9641-47AA-9E13-03CE3D8E8297}"/>
    <cellStyle name="Normal 3 4 3 2 4 3 2" xfId="21887" xr:uid="{F67B729D-ECFE-4162-8002-BBBDEEB423E6}"/>
    <cellStyle name="Normal 3 4 3 2 4 3 2 2" xfId="47379" xr:uid="{F21883A9-9987-4F30-81A0-B655F2823441}"/>
    <cellStyle name="Normal 3 4 3 2 4 3 3" xfId="34788" xr:uid="{D0BD9355-8B01-4AB0-979D-48A730A2C13C}"/>
    <cellStyle name="Normal 3 4 3 2 4 4" xfId="15609" xr:uid="{1EC94D19-F66F-44BD-B92D-4C7BA0B8726D}"/>
    <cellStyle name="Normal 3 4 3 2 4 4 2" xfId="41101" xr:uid="{C45EA868-30EE-4B9D-80FF-432E5E4AB893}"/>
    <cellStyle name="Normal 3 4 3 2 4 5" xfId="28510" xr:uid="{621FB34E-8F6B-4162-8F1A-5205CB051DF2}"/>
    <cellStyle name="Normal 3 4 3 2 5" xfId="3420" xr:uid="{AADAC44E-3D95-4AB8-8817-490ACA2521D3}"/>
    <cellStyle name="Normal 3 4 3 2 5 2" xfId="6574" xr:uid="{26D3326A-83DD-40EE-9045-797DA471497A}"/>
    <cellStyle name="Normal 3 4 3 2 5 2 2" xfId="12867" xr:uid="{A5FC7406-9145-4A9F-9591-70C91553B0C7}"/>
    <cellStyle name="Normal 3 4 3 2 5 2 2 2" xfId="25549" xr:uid="{CAADD2DE-7B9E-46CB-AF4D-5CEC12B99F75}"/>
    <cellStyle name="Normal 3 4 3 2 5 2 2 2 2" xfId="51041" xr:uid="{D2C75D33-6949-449F-B606-9FE43B864AC3}"/>
    <cellStyle name="Normal 3 4 3 2 5 2 2 3" xfId="38450" xr:uid="{3869D3BB-AE6A-454D-8E13-F3C03E85F6F5}"/>
    <cellStyle name="Normal 3 4 3 2 5 2 3" xfId="19271" xr:uid="{5FAB8948-0C5E-49FE-B90B-7930C7B2D352}"/>
    <cellStyle name="Normal 3 4 3 2 5 2 3 2" xfId="44763" xr:uid="{991AD028-9B1B-414F-8025-B7515087DE58}"/>
    <cellStyle name="Normal 3 4 3 2 5 2 4" xfId="32172" xr:uid="{94B76486-59A3-4C69-9D40-FAB594F915F0}"/>
    <cellStyle name="Normal 3 4 3 2 5 3" xfId="9728" xr:uid="{F00AC888-9F90-44F7-95A5-56A56904BA98}"/>
    <cellStyle name="Normal 3 4 3 2 5 3 2" xfId="22410" xr:uid="{451CEEE6-494E-4316-B583-FEB211033A07}"/>
    <cellStyle name="Normal 3 4 3 2 5 3 2 2" xfId="47902" xr:uid="{BFE56EBE-211C-4AAA-8EA5-390E83108202}"/>
    <cellStyle name="Normal 3 4 3 2 5 3 3" xfId="35311" xr:uid="{A97144EB-9075-4EBC-B3BA-3C4C0E26DFF7}"/>
    <cellStyle name="Normal 3 4 3 2 5 4" xfId="16132" xr:uid="{B045CCAC-4CFF-4F3F-8FF6-A2B23128726F}"/>
    <cellStyle name="Normal 3 4 3 2 5 4 2" xfId="41624" xr:uid="{56CF51E8-AD04-4B77-A527-644E333793DC}"/>
    <cellStyle name="Normal 3 4 3 2 5 5" xfId="29033" xr:uid="{7C24E1BF-E413-4290-A5C4-F98C5B28C9F2}"/>
    <cellStyle name="Normal 3 4 3 2 6" xfId="4220" xr:uid="{7DD3BF8D-B544-4380-B03F-EE144D223F31}"/>
    <cellStyle name="Normal 3 4 3 2 6 2" xfId="10513" xr:uid="{EFAF76F3-337C-48D8-9957-461FC70127AA}"/>
    <cellStyle name="Normal 3 4 3 2 6 2 2" xfId="23195" xr:uid="{126C37BD-39D8-45B7-875C-66477B57BDD1}"/>
    <cellStyle name="Normal 3 4 3 2 6 2 2 2" xfId="48687" xr:uid="{A2ADBF09-1A16-49D1-8E2E-D26B88FAD313}"/>
    <cellStyle name="Normal 3 4 3 2 6 2 3" xfId="36096" xr:uid="{E1457111-7140-47BE-9BEA-AE8647B6C699}"/>
    <cellStyle name="Normal 3 4 3 2 6 3" xfId="16917" xr:uid="{932540A4-3C4A-4D29-965B-E473EE08938B}"/>
    <cellStyle name="Normal 3 4 3 2 6 3 2" xfId="42409" xr:uid="{2672A126-F7B3-47F2-A1AB-EF1721CE640B}"/>
    <cellStyle name="Normal 3 4 3 2 6 4" xfId="29818" xr:uid="{029DBA50-8ED5-49F8-B7CC-917F1F6D90C6}"/>
    <cellStyle name="Normal 3 4 3 2 7" xfId="7374" xr:uid="{A3FA35D4-E019-49A6-BE3D-CCED1BE447C9}"/>
    <cellStyle name="Normal 3 4 3 2 7 2" xfId="20056" xr:uid="{7128194F-E37E-4432-8781-5779AB69B3FA}"/>
    <cellStyle name="Normal 3 4 3 2 7 2 2" xfId="45548" xr:uid="{F8A51176-34BE-4E05-AB21-C6114513480D}"/>
    <cellStyle name="Normal 3 4 3 2 7 3" xfId="32957" xr:uid="{525E5538-515D-40B2-82A9-D58D7CE46796}"/>
    <cellStyle name="Normal 3 4 3 2 8" xfId="13778" xr:uid="{41F383C1-C3CA-4ADC-AF78-9ADB6FB1662B}"/>
    <cellStyle name="Normal 3 4 3 2 8 2" xfId="39270" xr:uid="{A93E3A80-3C38-4984-B878-654867CBF716}"/>
    <cellStyle name="Normal 3 4 3 2 9" xfId="26679" xr:uid="{DECF931E-87E3-485A-9150-AE4983C1AC8D}"/>
    <cellStyle name="Normal 3 4 3 3" xfId="806" xr:uid="{BFCD4587-F2C3-476B-B312-A3839782ECC5}"/>
    <cellStyle name="Normal 3 4 3 3 2" xfId="2113" xr:uid="{905F8632-8D25-4689-8729-ACD7F1FA3792}"/>
    <cellStyle name="Normal 3 4 3 3 2 2" xfId="5267" xr:uid="{6A1DD449-BCED-4D5D-8C9B-B7AC909579A4}"/>
    <cellStyle name="Normal 3 4 3 3 2 2 2" xfId="11560" xr:uid="{049A42E7-A069-47AD-AAB5-C8C1710C98E8}"/>
    <cellStyle name="Normal 3 4 3 3 2 2 2 2" xfId="24242" xr:uid="{BADB587B-F6BF-426A-8BAF-6557A6E51D1E}"/>
    <cellStyle name="Normal 3 4 3 3 2 2 2 2 2" xfId="49734" xr:uid="{2AC4BF8C-F7F0-4891-81B7-DF567E294DF6}"/>
    <cellStyle name="Normal 3 4 3 3 2 2 2 3" xfId="37143" xr:uid="{8C7AF6C4-FE54-4E9F-98E5-B8E104DD5DBE}"/>
    <cellStyle name="Normal 3 4 3 3 2 2 3" xfId="17964" xr:uid="{2087B68F-74E6-47F4-9828-F4449D27D853}"/>
    <cellStyle name="Normal 3 4 3 3 2 2 3 2" xfId="43456" xr:uid="{BC22F786-745C-42BA-BC40-D51175E94BFB}"/>
    <cellStyle name="Normal 3 4 3 3 2 2 4" xfId="30865" xr:uid="{A31B872F-590C-4324-92A2-3416A8C2B850}"/>
    <cellStyle name="Normal 3 4 3 3 2 3" xfId="8421" xr:uid="{B7F07157-B1A8-401B-912F-C3C9D3867F97}"/>
    <cellStyle name="Normal 3 4 3 3 2 3 2" xfId="21103" xr:uid="{F92D85C7-6C34-42D2-889E-2C2B583FA002}"/>
    <cellStyle name="Normal 3 4 3 3 2 3 2 2" xfId="46595" xr:uid="{05B5F26E-6591-424F-94B3-CA96F1216F0B}"/>
    <cellStyle name="Normal 3 4 3 3 2 3 3" xfId="34004" xr:uid="{D45FE5BD-46B4-4BF9-BF70-F681A1FCC572}"/>
    <cellStyle name="Normal 3 4 3 3 2 4" xfId="14825" xr:uid="{94668249-4BBD-41EB-99BA-985217C0B956}"/>
    <cellStyle name="Normal 3 4 3 3 2 4 2" xfId="40317" xr:uid="{FC16E275-4949-49FD-AA2C-A71E3956AA91}"/>
    <cellStyle name="Normal 3 4 3 3 2 5" xfId="27726" xr:uid="{D0E54DE8-D9F0-4845-9E7B-6B81EFC011A6}"/>
    <cellStyle name="Normal 3 4 3 3 3" xfId="3960" xr:uid="{F933F4AF-5EFA-4C23-988C-B340452FEFA2}"/>
    <cellStyle name="Normal 3 4 3 3 3 2" xfId="10253" xr:uid="{79C65F05-0629-453B-BED7-B7389E545A10}"/>
    <cellStyle name="Normal 3 4 3 3 3 2 2" xfId="22935" xr:uid="{F8AF598E-D61D-4B3C-B017-38BAA6D50CC1}"/>
    <cellStyle name="Normal 3 4 3 3 3 2 2 2" xfId="48427" xr:uid="{896BA0BE-7A62-4F58-AF44-336795BD896E}"/>
    <cellStyle name="Normal 3 4 3 3 3 2 3" xfId="35836" xr:uid="{D6192354-A13D-4531-BD43-798225A3B9CB}"/>
    <cellStyle name="Normal 3 4 3 3 3 3" xfId="16657" xr:uid="{7D1BA489-C765-433F-B23A-07A43EEE71D1}"/>
    <cellStyle name="Normal 3 4 3 3 3 3 2" xfId="42149" xr:uid="{A87FBF63-156B-4443-A017-CDC494EB57F0}"/>
    <cellStyle name="Normal 3 4 3 3 3 4" xfId="29558" xr:uid="{9CF62D68-C82F-4377-869D-B77A9F0259B7}"/>
    <cellStyle name="Normal 3 4 3 3 4" xfId="7114" xr:uid="{902B115F-78B8-4547-9ABB-5627DDCEF1BD}"/>
    <cellStyle name="Normal 3 4 3 3 4 2" xfId="19796" xr:uid="{C714EAB7-DC5A-4B98-A47B-70C1C2CC3A80}"/>
    <cellStyle name="Normal 3 4 3 3 4 2 2" xfId="45288" xr:uid="{F3B6FBDC-6034-463B-9743-74F9BAC293CD}"/>
    <cellStyle name="Normal 3 4 3 3 4 3" xfId="32697" xr:uid="{199E90E3-714D-454E-9C32-901A665BF8ED}"/>
    <cellStyle name="Normal 3 4 3 3 5" xfId="13518" xr:uid="{938CB146-D614-4D4E-8994-9CBAB556970D}"/>
    <cellStyle name="Normal 3 4 3 3 5 2" xfId="39010" xr:uid="{676D53A8-3292-4C05-A5D3-156D969A36F5}"/>
    <cellStyle name="Normal 3 4 3 3 6" xfId="26419" xr:uid="{8BABCC62-625A-4CBE-BD54-1B2E985791A0}"/>
    <cellStyle name="Normal 3 4 3 4" xfId="1851" xr:uid="{086736A2-5D28-4949-86DF-CAA45D5326E6}"/>
    <cellStyle name="Normal 3 4 3 4 2" xfId="5005" xr:uid="{0BF0D24C-FB4D-4E09-93FF-8F9068A6E85F}"/>
    <cellStyle name="Normal 3 4 3 4 2 2" xfId="11298" xr:uid="{5C4A79A3-2882-4FD4-917F-0C9D7781CA05}"/>
    <cellStyle name="Normal 3 4 3 4 2 2 2" xfId="23980" xr:uid="{C77DDA05-4962-49C1-AEF0-55E85A45B132}"/>
    <cellStyle name="Normal 3 4 3 4 2 2 2 2" xfId="49472" xr:uid="{87AF45BC-F4AE-401F-9CFF-C011D2004E85}"/>
    <cellStyle name="Normal 3 4 3 4 2 2 3" xfId="36881" xr:uid="{0BD2FD96-5CC5-422F-8E41-7674D571E06F}"/>
    <cellStyle name="Normal 3 4 3 4 2 3" xfId="17702" xr:uid="{9E0075DF-31C2-4D13-BB06-96AE557DC4BB}"/>
    <cellStyle name="Normal 3 4 3 4 2 3 2" xfId="43194" xr:uid="{A8115645-FB1C-4224-8ED6-5C12DFE92EFA}"/>
    <cellStyle name="Normal 3 4 3 4 2 4" xfId="30603" xr:uid="{D60E4A85-CC57-47E8-84CE-ADADA473BE19}"/>
    <cellStyle name="Normal 3 4 3 4 3" xfId="8159" xr:uid="{B9519403-E783-4684-98EA-5BA418EBEF35}"/>
    <cellStyle name="Normal 3 4 3 4 3 2" xfId="20841" xr:uid="{759ACC9B-62FA-451C-9DB1-27A1206A64EB}"/>
    <cellStyle name="Normal 3 4 3 4 3 2 2" xfId="46333" xr:uid="{774793E2-D980-46EA-A6A5-D18F1F947524}"/>
    <cellStyle name="Normal 3 4 3 4 3 3" xfId="33742" xr:uid="{0628B728-DCAD-48E5-B2C0-47ED8590A2E6}"/>
    <cellStyle name="Normal 3 4 3 4 4" xfId="14563" xr:uid="{DF93A63A-737C-4455-9F7A-4FA8D1724E2D}"/>
    <cellStyle name="Normal 3 4 3 4 4 2" xfId="40055" xr:uid="{21B7842B-4E2A-4F6A-9B3E-6D2A9FEE6C75}"/>
    <cellStyle name="Normal 3 4 3 4 5" xfId="27464" xr:uid="{D3DE533A-43CE-4DBC-B811-34105515E1AA}"/>
    <cellStyle name="Normal 3 4 3 5" xfId="1329" xr:uid="{116E24F3-10B8-45DD-8612-2DFC5379CDD4}"/>
    <cellStyle name="Normal 3 4 3 5 2" xfId="4483" xr:uid="{E63C0525-5721-4747-8D8A-9A6030C352F5}"/>
    <cellStyle name="Normal 3 4 3 5 2 2" xfId="10776" xr:uid="{6E43132A-8DE4-4156-989E-9F89BE23A46D}"/>
    <cellStyle name="Normal 3 4 3 5 2 2 2" xfId="23458" xr:uid="{C022E713-8B05-49C2-AE42-960C232A56EF}"/>
    <cellStyle name="Normal 3 4 3 5 2 2 2 2" xfId="48950" xr:uid="{B43CF2A8-0E61-4469-BD9D-F51C796473E7}"/>
    <cellStyle name="Normal 3 4 3 5 2 2 3" xfId="36359" xr:uid="{A1DFDC3F-EA88-404E-8567-3515A5BD5BC8}"/>
    <cellStyle name="Normal 3 4 3 5 2 3" xfId="17180" xr:uid="{9A0BA039-E0EF-4250-AA8D-BA6D9C346C16}"/>
    <cellStyle name="Normal 3 4 3 5 2 3 2" xfId="42672" xr:uid="{17EE2FA8-56E9-4334-A334-69B4FB9F759D}"/>
    <cellStyle name="Normal 3 4 3 5 2 4" xfId="30081" xr:uid="{BD27BAE1-A014-4C70-94A1-DF5940D24DD5}"/>
    <cellStyle name="Normal 3 4 3 5 3" xfId="7637" xr:uid="{B7DD581B-E4E3-4F76-91C6-2DEE685CF5DA}"/>
    <cellStyle name="Normal 3 4 3 5 3 2" xfId="20319" xr:uid="{E9B3B818-4681-4A47-9922-1F9FA6C4F91A}"/>
    <cellStyle name="Normal 3 4 3 5 3 2 2" xfId="45811" xr:uid="{39AA4E6F-9C6B-4A95-8F34-5B17B0F1236E}"/>
    <cellStyle name="Normal 3 4 3 5 3 3" xfId="33220" xr:uid="{551B0C10-097E-4B7A-80E0-41401797A03F}"/>
    <cellStyle name="Normal 3 4 3 5 4" xfId="14041" xr:uid="{D106944C-558C-42A7-9286-225416A72500}"/>
    <cellStyle name="Normal 3 4 3 5 4 2" xfId="39533" xr:uid="{B6CD713B-EAF2-4F3F-828C-3647BF41C18B}"/>
    <cellStyle name="Normal 3 4 3 5 5" xfId="26942" xr:uid="{466EEC56-636C-4BCB-9F51-13308B3C0324}"/>
    <cellStyle name="Normal 3 4 3 6" xfId="2636" xr:uid="{BA28A1CD-550D-42D9-8EFB-F63DC4CAFF1B}"/>
    <cellStyle name="Normal 3 4 3 6 2" xfId="5790" xr:uid="{240A8AB5-53C9-417F-83E5-2DEF8FB29946}"/>
    <cellStyle name="Normal 3 4 3 6 2 2" xfId="12083" xr:uid="{74D7D038-3CA9-47DC-BCCD-2AD75C105F81}"/>
    <cellStyle name="Normal 3 4 3 6 2 2 2" xfId="24765" xr:uid="{F8F6FA81-2112-42CC-9D84-C272ADBFDE31}"/>
    <cellStyle name="Normal 3 4 3 6 2 2 2 2" xfId="50257" xr:uid="{04ADCDD8-7E30-469C-B3A4-D28DDC9C2A0E}"/>
    <cellStyle name="Normal 3 4 3 6 2 2 3" xfId="37666" xr:uid="{BE9AF045-E0FD-4BBD-9EB8-2DDE771E85D4}"/>
    <cellStyle name="Normal 3 4 3 6 2 3" xfId="18487" xr:uid="{C0D188DA-A5B3-4DF5-AB10-512F0F439EBA}"/>
    <cellStyle name="Normal 3 4 3 6 2 3 2" xfId="43979" xr:uid="{B31BC2BD-390A-44A4-9107-C16F46F19C8B}"/>
    <cellStyle name="Normal 3 4 3 6 2 4" xfId="31388" xr:uid="{6C1A69C1-D0F2-401B-9A84-98DD7E30CFCD}"/>
    <cellStyle name="Normal 3 4 3 6 3" xfId="8944" xr:uid="{10A9D76E-9928-476C-A8DB-925B0D4CD841}"/>
    <cellStyle name="Normal 3 4 3 6 3 2" xfId="21626" xr:uid="{4DE96766-8071-4A49-B311-BC8AE82BBFD2}"/>
    <cellStyle name="Normal 3 4 3 6 3 2 2" xfId="47118" xr:uid="{DBB4CD42-D78D-4A45-959B-7D283B7E3F34}"/>
    <cellStyle name="Normal 3 4 3 6 3 3" xfId="34527" xr:uid="{D860200B-1F59-44FB-8C52-11F02865A3D1}"/>
    <cellStyle name="Normal 3 4 3 6 4" xfId="15348" xr:uid="{EB889EE0-B0E3-4531-9A71-71E79412F73F}"/>
    <cellStyle name="Normal 3 4 3 6 4 2" xfId="40840" xr:uid="{B0F0B872-8EE0-4324-AF8E-5A45E7A45413}"/>
    <cellStyle name="Normal 3 4 3 6 5" xfId="28249" xr:uid="{08C5D121-9CFA-45ED-A70A-77ACB16884C4}"/>
    <cellStyle name="Normal 3 4 3 7" xfId="3159" xr:uid="{5E76523D-20D5-4D7B-B6CB-2D2E4C90C37A}"/>
    <cellStyle name="Normal 3 4 3 7 2" xfId="6313" xr:uid="{CFBED400-1777-4E16-9994-AE224B7BC17D}"/>
    <cellStyle name="Normal 3 4 3 7 2 2" xfId="12606" xr:uid="{EC5A9BED-60FB-4D9E-9C09-64C197CB9EAD}"/>
    <cellStyle name="Normal 3 4 3 7 2 2 2" xfId="25288" xr:uid="{753F9CD8-7447-4895-953C-E36744C9071E}"/>
    <cellStyle name="Normal 3 4 3 7 2 2 2 2" xfId="50780" xr:uid="{2F16388D-A1D5-4251-BE8A-DD794539D79D}"/>
    <cellStyle name="Normal 3 4 3 7 2 2 3" xfId="38189" xr:uid="{0F9CBF83-DE55-486B-AD66-6865DE48FC13}"/>
    <cellStyle name="Normal 3 4 3 7 2 3" xfId="19010" xr:uid="{FA0936B3-B52C-4EC6-B275-936BB373082C}"/>
    <cellStyle name="Normal 3 4 3 7 2 3 2" xfId="44502" xr:uid="{355B61B2-F06E-4921-B7DE-605C69A13DAD}"/>
    <cellStyle name="Normal 3 4 3 7 2 4" xfId="31911" xr:uid="{FBDEC674-59F8-435A-AB15-0AAE9BDD19C8}"/>
    <cellStyle name="Normal 3 4 3 7 3" xfId="9467" xr:uid="{59EADD18-D2A0-419D-A717-D1F032F8F845}"/>
    <cellStyle name="Normal 3 4 3 7 3 2" xfId="22149" xr:uid="{0D02B2D9-F567-43DC-8E87-D5961E990A55}"/>
    <cellStyle name="Normal 3 4 3 7 3 2 2" xfId="47641" xr:uid="{74D6087A-61E0-4DBD-A73C-970ABE904E93}"/>
    <cellStyle name="Normal 3 4 3 7 3 3" xfId="35050" xr:uid="{D22FC608-2028-431D-81E4-359C6F462BD2}"/>
    <cellStyle name="Normal 3 4 3 7 4" xfId="15871" xr:uid="{F1D5C4C5-F658-402C-910E-EB6AC190C2D0}"/>
    <cellStyle name="Normal 3 4 3 7 4 2" xfId="41363" xr:uid="{4FF631E7-E7BF-4D78-84F6-831F0EB541A2}"/>
    <cellStyle name="Normal 3 4 3 7 5" xfId="28772" xr:uid="{9B198388-0BFD-4FEC-97EA-5C2F2A76858E}"/>
    <cellStyle name="Normal 3 4 3 8" xfId="3698" xr:uid="{619CA0BB-335B-49FC-8129-974CC3921A7D}"/>
    <cellStyle name="Normal 3 4 3 8 2" xfId="9991" xr:uid="{459E2C6A-5453-4631-B8D1-8F393FA60884}"/>
    <cellStyle name="Normal 3 4 3 8 2 2" xfId="22673" xr:uid="{349BA415-F498-4DD2-A06D-A66B59EB8AC8}"/>
    <cellStyle name="Normal 3 4 3 8 2 2 2" xfId="48165" xr:uid="{A1274C2C-9A77-4F80-ADD3-E1586815DA73}"/>
    <cellStyle name="Normal 3 4 3 8 2 3" xfId="35574" xr:uid="{CA6D934B-274A-4459-953A-7891249EBCFE}"/>
    <cellStyle name="Normal 3 4 3 8 3" xfId="16395" xr:uid="{3382A1B4-F4CB-4E53-8DD1-839A70A6B1C1}"/>
    <cellStyle name="Normal 3 4 3 8 3 2" xfId="41887" xr:uid="{00EEE220-9E0F-47BD-A1D4-C26D4871D4B2}"/>
    <cellStyle name="Normal 3 4 3 8 4" xfId="29296" xr:uid="{CBB7E4AF-E5BA-4852-A6B0-4D09F18B1BAB}"/>
    <cellStyle name="Normal 3 4 3 9" xfId="6852" xr:uid="{28F0E649-AEDD-40D1-ABBC-C7C6347FBAAE}"/>
    <cellStyle name="Normal 3 4 3 9 2" xfId="19534" xr:uid="{B0EF1310-0C0C-4E05-A30A-CB1ABEE7A996}"/>
    <cellStyle name="Normal 3 4 3 9 2 2" xfId="45026" xr:uid="{B0229644-202B-4450-9604-971B760FBEEB}"/>
    <cellStyle name="Normal 3 4 3 9 3" xfId="32435" xr:uid="{E7F0DCCF-7567-4F1C-BFF3-892E1C2BDA31}"/>
    <cellStyle name="Normal 3 4 4" xfId="1007" xr:uid="{17FB9C4D-6327-4143-AD18-611E5FBCB1A7}"/>
    <cellStyle name="Normal 3 4 4 2" xfId="2314" xr:uid="{7982DFDE-E9F7-4A16-A929-A8C339709653}"/>
    <cellStyle name="Normal 3 4 4 2 2" xfId="5468" xr:uid="{4D167C81-F883-4DE4-BB93-32E5E6763DCD}"/>
    <cellStyle name="Normal 3 4 4 2 2 2" xfId="11761" xr:uid="{E6F1E24F-C4FC-4712-929E-4ABFB8E9EBA6}"/>
    <cellStyle name="Normal 3 4 4 2 2 2 2" xfId="24443" xr:uid="{0B09CA0C-4E63-46DC-8241-CB54B33F75F4}"/>
    <cellStyle name="Normal 3 4 4 2 2 2 2 2" xfId="49935" xr:uid="{6EE508BC-E971-47DD-AF27-95065EB63B62}"/>
    <cellStyle name="Normal 3 4 4 2 2 2 3" xfId="37344" xr:uid="{C992811B-634F-486F-82E0-295EF3DAF3B8}"/>
    <cellStyle name="Normal 3 4 4 2 2 3" xfId="18165" xr:uid="{D88C6B4D-5C6D-4328-BBC8-D5E442E9330C}"/>
    <cellStyle name="Normal 3 4 4 2 2 3 2" xfId="43657" xr:uid="{C3957B61-E27D-4735-9807-F16DCA04E5F4}"/>
    <cellStyle name="Normal 3 4 4 2 2 4" xfId="31066" xr:uid="{FECEAF88-FD29-4B12-86CB-C6B21B561B42}"/>
    <cellStyle name="Normal 3 4 4 2 3" xfId="8622" xr:uid="{6D7C0FD8-5465-44AE-A784-248596A4FFB8}"/>
    <cellStyle name="Normal 3 4 4 2 3 2" xfId="21304" xr:uid="{509A8A31-F9E8-47E7-A3C8-8C266C8856FB}"/>
    <cellStyle name="Normal 3 4 4 2 3 2 2" xfId="46796" xr:uid="{DE3A8CCF-1809-4229-8E4E-CDE984E3709D}"/>
    <cellStyle name="Normal 3 4 4 2 3 3" xfId="34205" xr:uid="{9DC57869-1A8F-41A9-9283-733F35941360}"/>
    <cellStyle name="Normal 3 4 4 2 4" xfId="15026" xr:uid="{E34DAE55-DA33-486C-83D8-181806D123D8}"/>
    <cellStyle name="Normal 3 4 4 2 4 2" xfId="40518" xr:uid="{76FE5DB6-1D3A-410D-8DAC-996E04F77234}"/>
    <cellStyle name="Normal 3 4 4 2 5" xfId="27927" xr:uid="{367F8FE4-5F91-4B02-9600-10D50A29336E}"/>
    <cellStyle name="Normal 3 4 4 3" xfId="1531" xr:uid="{4F66F50C-C85B-4CCE-99D3-68C420378A21}"/>
    <cellStyle name="Normal 3 4 4 3 2" xfId="4685" xr:uid="{E596FE50-6FBD-4EDC-A882-47D3ACF6019B}"/>
    <cellStyle name="Normal 3 4 4 3 2 2" xfId="10978" xr:uid="{CC42EC1D-1330-408B-B05B-8ACA75847E23}"/>
    <cellStyle name="Normal 3 4 4 3 2 2 2" xfId="23660" xr:uid="{7CEC508D-0879-43F3-BDE6-AEBD0CFF5DAC}"/>
    <cellStyle name="Normal 3 4 4 3 2 2 2 2" xfId="49152" xr:uid="{B1CA1818-B589-49CF-83C4-6900C0CCF02D}"/>
    <cellStyle name="Normal 3 4 4 3 2 2 3" xfId="36561" xr:uid="{45301FCF-AE3D-4E22-BFCC-DB4B0E43D019}"/>
    <cellStyle name="Normal 3 4 4 3 2 3" xfId="17382" xr:uid="{C6200EC1-82CE-4DD8-AB01-980387DAB314}"/>
    <cellStyle name="Normal 3 4 4 3 2 3 2" xfId="42874" xr:uid="{BDB8B94C-8AA5-4C73-9B8F-B1F117A7A625}"/>
    <cellStyle name="Normal 3 4 4 3 2 4" xfId="30283" xr:uid="{4617D8B1-FDA7-403A-9BE5-8D2FA56A1A02}"/>
    <cellStyle name="Normal 3 4 4 3 3" xfId="7839" xr:uid="{A9ABB5AB-A0C0-4021-B80A-8BF8BC8421C0}"/>
    <cellStyle name="Normal 3 4 4 3 3 2" xfId="20521" xr:uid="{C6303E2B-C100-4074-A0CA-C50610B921E2}"/>
    <cellStyle name="Normal 3 4 4 3 3 2 2" xfId="46013" xr:uid="{C3759534-AA29-472A-A72C-C926FDC44757}"/>
    <cellStyle name="Normal 3 4 4 3 3 3" xfId="33422" xr:uid="{AD50D3CE-8A6C-402E-983D-0690B1E6A4E6}"/>
    <cellStyle name="Normal 3 4 4 3 4" xfId="14243" xr:uid="{99D6D18E-62A1-4637-BACA-D70597410E2C}"/>
    <cellStyle name="Normal 3 4 4 3 4 2" xfId="39735" xr:uid="{8C9F758F-2F6B-4069-B705-E90E2D5638DC}"/>
    <cellStyle name="Normal 3 4 4 3 5" xfId="27144" xr:uid="{6DD2C5CE-BBED-4EB3-BC09-448CFACF3BBF}"/>
    <cellStyle name="Normal 3 4 4 4" xfId="2838" xr:uid="{BAB930FC-F908-4B0F-9EAC-EF473C345703}"/>
    <cellStyle name="Normal 3 4 4 4 2" xfId="5992" xr:uid="{F9CB23E1-9F7A-486D-8489-A23FE7B44C89}"/>
    <cellStyle name="Normal 3 4 4 4 2 2" xfId="12285" xr:uid="{4B237022-F384-4B2D-9C31-A2DB5D14DADD}"/>
    <cellStyle name="Normal 3 4 4 4 2 2 2" xfId="24967" xr:uid="{DF84D043-1D84-4E18-89CF-EEF203699A16}"/>
    <cellStyle name="Normal 3 4 4 4 2 2 2 2" xfId="50459" xr:uid="{ABFA6ED0-9768-4C3B-AFCF-9D078DD3E3CF}"/>
    <cellStyle name="Normal 3 4 4 4 2 2 3" xfId="37868" xr:uid="{C7C6219D-0511-4E0D-94C8-A1EA320C67B3}"/>
    <cellStyle name="Normal 3 4 4 4 2 3" xfId="18689" xr:uid="{4C5AF3C5-4F06-419C-96EC-4718F20B39B4}"/>
    <cellStyle name="Normal 3 4 4 4 2 3 2" xfId="44181" xr:uid="{98C5ACF0-26ED-4153-AF67-A13C12BE24DC}"/>
    <cellStyle name="Normal 3 4 4 4 2 4" xfId="31590" xr:uid="{91112C55-41C3-435C-84EA-A89646FA94FC}"/>
    <cellStyle name="Normal 3 4 4 4 3" xfId="9146" xr:uid="{D48848E5-3C0E-42E9-9E36-AA133C8FABB3}"/>
    <cellStyle name="Normal 3 4 4 4 3 2" xfId="21828" xr:uid="{7D263BD6-153D-4336-B7AE-1571E5E3D2BD}"/>
    <cellStyle name="Normal 3 4 4 4 3 2 2" xfId="47320" xr:uid="{33558416-6C9A-49FF-88E2-02E00D902397}"/>
    <cellStyle name="Normal 3 4 4 4 3 3" xfId="34729" xr:uid="{7F8F387E-09B1-4EB9-89ED-1A5F2698BC55}"/>
    <cellStyle name="Normal 3 4 4 4 4" xfId="15550" xr:uid="{78874420-0935-48A3-9063-0056C1DE2C2C}"/>
    <cellStyle name="Normal 3 4 4 4 4 2" xfId="41042" xr:uid="{CB611916-B946-42EE-A1A2-70A52BE8C2F0}"/>
    <cellStyle name="Normal 3 4 4 4 5" xfId="28451" xr:uid="{D6E33C69-F804-4E8E-AA2C-5BEDA8FAA0CF}"/>
    <cellStyle name="Normal 3 4 4 5" xfId="3361" xr:uid="{97691E03-B671-4A9A-98CC-1CEE4ECE1844}"/>
    <cellStyle name="Normal 3 4 4 5 2" xfId="6515" xr:uid="{EFC4178A-2B9B-40AC-810A-2965BD7678F6}"/>
    <cellStyle name="Normal 3 4 4 5 2 2" xfId="12808" xr:uid="{7F6EDAF2-7556-4124-9C9E-FCDE64259852}"/>
    <cellStyle name="Normal 3 4 4 5 2 2 2" xfId="25490" xr:uid="{41328054-A0C3-4BE8-BC84-60B38E5E9874}"/>
    <cellStyle name="Normal 3 4 4 5 2 2 2 2" xfId="50982" xr:uid="{E2B59F27-532D-4529-BF9D-F99C205630DB}"/>
    <cellStyle name="Normal 3 4 4 5 2 2 3" xfId="38391" xr:uid="{5778E52E-ADD2-4F1F-9A63-3925932F5B4F}"/>
    <cellStyle name="Normal 3 4 4 5 2 3" xfId="19212" xr:uid="{5F24D548-D7E9-413E-ADEF-4E4C68502326}"/>
    <cellStyle name="Normal 3 4 4 5 2 3 2" xfId="44704" xr:uid="{C8A4698C-0C23-4D31-823B-BF780A7AF663}"/>
    <cellStyle name="Normal 3 4 4 5 2 4" xfId="32113" xr:uid="{CE353962-977C-4987-985A-0636D017165D}"/>
    <cellStyle name="Normal 3 4 4 5 3" xfId="9669" xr:uid="{82D49807-4FB5-44A5-83F2-108F103ACAF4}"/>
    <cellStyle name="Normal 3 4 4 5 3 2" xfId="22351" xr:uid="{91A80341-A2D9-4DD0-90F2-3560E717327B}"/>
    <cellStyle name="Normal 3 4 4 5 3 2 2" xfId="47843" xr:uid="{460B1D0E-AFD4-4F88-A844-9555234F4461}"/>
    <cellStyle name="Normal 3 4 4 5 3 3" xfId="35252" xr:uid="{9F2BF7DA-8AFA-404D-A8D9-9029A412B85F}"/>
    <cellStyle name="Normal 3 4 4 5 4" xfId="16073" xr:uid="{980E8617-D605-4EAC-A15A-502C44D226B3}"/>
    <cellStyle name="Normal 3 4 4 5 4 2" xfId="41565" xr:uid="{B1ABDCAE-8B2E-41B8-8B91-BD02D0FEBD7B}"/>
    <cellStyle name="Normal 3 4 4 5 5" xfId="28974" xr:uid="{15301A4C-F435-4AFB-96A1-493CD392C701}"/>
    <cellStyle name="Normal 3 4 4 6" xfId="4161" xr:uid="{2043A208-4246-4C7F-AD84-4C348DE31255}"/>
    <cellStyle name="Normal 3 4 4 6 2" xfId="10454" xr:uid="{A03E0907-9964-4F34-BCE3-FE50ADA14E18}"/>
    <cellStyle name="Normal 3 4 4 6 2 2" xfId="23136" xr:uid="{6305644D-FEA6-42C2-A209-EE75B63C47D4}"/>
    <cellStyle name="Normal 3 4 4 6 2 2 2" xfId="48628" xr:uid="{5DB76B04-7B91-4E34-AD71-CB2AF585D0A5}"/>
    <cellStyle name="Normal 3 4 4 6 2 3" xfId="36037" xr:uid="{015E72B8-8288-465F-A073-8A7C8C7AB6DE}"/>
    <cellStyle name="Normal 3 4 4 6 3" xfId="16858" xr:uid="{870433AB-E068-4A23-8D1D-612E39A56869}"/>
    <cellStyle name="Normal 3 4 4 6 3 2" xfId="42350" xr:uid="{55686C83-AAB3-4808-858D-EACA515590E4}"/>
    <cellStyle name="Normal 3 4 4 6 4" xfId="29759" xr:uid="{337009FC-1A92-42A3-95F3-F891EBFBB25D}"/>
    <cellStyle name="Normal 3 4 4 7" xfId="7315" xr:uid="{B3FEE64B-1AF5-43F5-9BFA-E919AA01475D}"/>
    <cellStyle name="Normal 3 4 4 7 2" xfId="19997" xr:uid="{11869727-69A7-4DD5-BE86-D0BEFCA4127F}"/>
    <cellStyle name="Normal 3 4 4 7 2 2" xfId="45489" xr:uid="{A7C077BF-7AE6-453E-A998-85A3C84C73F0}"/>
    <cellStyle name="Normal 3 4 4 7 3" xfId="32898" xr:uid="{BEFEA041-59CF-4989-9B08-095B253DFAED}"/>
    <cellStyle name="Normal 3 4 4 8" xfId="13719" xr:uid="{CA565031-D55E-4261-B4C4-C42C547FE31A}"/>
    <cellStyle name="Normal 3 4 4 8 2" xfId="39211" xr:uid="{59FFD64C-A718-44F3-B686-DD1F4702D302}"/>
    <cellStyle name="Normal 3 4 4 9" xfId="26620" xr:uid="{C25EDD65-5452-49EC-A08E-7BC1EC531F69}"/>
    <cellStyle name="Normal 3 4 5" xfId="747" xr:uid="{4BA552B3-5F0A-44C3-B2A3-E2B4020E067A}"/>
    <cellStyle name="Normal 3 4 5 2" xfId="2054" xr:uid="{2BCDC4AD-1402-4195-AE68-4A3078362C73}"/>
    <cellStyle name="Normal 3 4 5 2 2" xfId="5208" xr:uid="{3ADF6EFA-3DAA-4D25-B0E7-B57AFD6139D3}"/>
    <cellStyle name="Normal 3 4 5 2 2 2" xfId="11501" xr:uid="{13F2D721-D0C9-4D27-A2B8-BEB385FA80CF}"/>
    <cellStyle name="Normal 3 4 5 2 2 2 2" xfId="24183" xr:uid="{AF4CD768-BDF8-44D5-8AC0-C9EB9E663825}"/>
    <cellStyle name="Normal 3 4 5 2 2 2 2 2" xfId="49675" xr:uid="{7D813A30-6AFA-4808-84BC-1A5BCCAF127E}"/>
    <cellStyle name="Normal 3 4 5 2 2 2 3" xfId="37084" xr:uid="{F811CF89-0D58-42D3-9CBC-E5D7D590A359}"/>
    <cellStyle name="Normal 3 4 5 2 2 3" xfId="17905" xr:uid="{8E056F75-E7A3-4148-9EB8-5847A5E99039}"/>
    <cellStyle name="Normal 3 4 5 2 2 3 2" xfId="43397" xr:uid="{AC64F319-922B-4D6F-B36A-4B874E693BB2}"/>
    <cellStyle name="Normal 3 4 5 2 2 4" xfId="30806" xr:uid="{6FD22105-2603-492E-8AD4-EB9AE5AA2456}"/>
    <cellStyle name="Normal 3 4 5 2 3" xfId="8362" xr:uid="{A211D240-6FF5-4B7E-9924-C7D9F15935B3}"/>
    <cellStyle name="Normal 3 4 5 2 3 2" xfId="21044" xr:uid="{DC935A77-AB50-409C-9BF9-BD1A61B969A7}"/>
    <cellStyle name="Normal 3 4 5 2 3 2 2" xfId="46536" xr:uid="{EB9213ED-BCF1-4154-8CD5-F4D28B9328EE}"/>
    <cellStyle name="Normal 3 4 5 2 3 3" xfId="33945" xr:uid="{396B0945-3CD7-49E9-A94F-8BE73E32534C}"/>
    <cellStyle name="Normal 3 4 5 2 4" xfId="14766" xr:uid="{231FDE28-ADDD-4FAB-A3C2-26C7BE197F1C}"/>
    <cellStyle name="Normal 3 4 5 2 4 2" xfId="40258" xr:uid="{B085ECFB-50C6-4CBF-BA5C-8F6B435BC6BD}"/>
    <cellStyle name="Normal 3 4 5 2 5" xfId="27667" xr:uid="{AD1453C7-C370-43D2-BDEB-E587DF941C38}"/>
    <cellStyle name="Normal 3 4 5 3" xfId="3901" xr:uid="{EA983BA5-539A-4A60-8B2C-3F7A7C9A6971}"/>
    <cellStyle name="Normal 3 4 5 3 2" xfId="10194" xr:uid="{FA37ADE9-9F27-4868-B55C-41BF3637C6CE}"/>
    <cellStyle name="Normal 3 4 5 3 2 2" xfId="22876" xr:uid="{11F8614B-C60A-4488-998C-5222197EC273}"/>
    <cellStyle name="Normal 3 4 5 3 2 2 2" xfId="48368" xr:uid="{A11AC963-37C6-45A3-A0D8-203C3E4258BC}"/>
    <cellStyle name="Normal 3 4 5 3 2 3" xfId="35777" xr:uid="{DB541A0C-CA73-48C5-A518-ECF1554FB517}"/>
    <cellStyle name="Normal 3 4 5 3 3" xfId="16598" xr:uid="{280730A9-FB13-42F6-8EB8-F8C8716AAA2F}"/>
    <cellStyle name="Normal 3 4 5 3 3 2" xfId="42090" xr:uid="{28DA6EDE-D383-4DD3-A601-D638FEBF6C8D}"/>
    <cellStyle name="Normal 3 4 5 3 4" xfId="29499" xr:uid="{294035A7-09B8-46C8-BA9D-65E7250F6B63}"/>
    <cellStyle name="Normal 3 4 5 4" xfId="7055" xr:uid="{5B104FA3-7690-4658-8A50-D1AB3F36F372}"/>
    <cellStyle name="Normal 3 4 5 4 2" xfId="19737" xr:uid="{940F39AE-CF5E-44B6-8FC5-2F00A5B74F57}"/>
    <cellStyle name="Normal 3 4 5 4 2 2" xfId="45229" xr:uid="{A57B5834-8292-4939-9BC3-71D0CA914BB6}"/>
    <cellStyle name="Normal 3 4 5 4 3" xfId="32638" xr:uid="{6F7F42EA-AD5D-427A-A935-9C3D08382246}"/>
    <cellStyle name="Normal 3 4 5 5" xfId="13459" xr:uid="{CC11110A-B8F9-4EFD-8DA3-9338F91C9714}"/>
    <cellStyle name="Normal 3 4 5 5 2" xfId="38951" xr:uid="{C3061D03-E576-4A74-AB79-E8B3FD7DF188}"/>
    <cellStyle name="Normal 3 4 5 6" xfId="26360" xr:uid="{DC02EE8D-33AA-4EFB-9B74-C3207D979B30}"/>
    <cellStyle name="Normal 3 4 6" xfId="1792" xr:uid="{56E1725F-7C58-43FC-940A-1B81F9908846}"/>
    <cellStyle name="Normal 3 4 6 2" xfId="4946" xr:uid="{B21452DF-E8FC-4D82-A550-78CA9281383B}"/>
    <cellStyle name="Normal 3 4 6 2 2" xfId="11239" xr:uid="{FA45E538-E267-4D81-9226-74E6F008795D}"/>
    <cellStyle name="Normal 3 4 6 2 2 2" xfId="23921" xr:uid="{353A32F2-8D33-4DFD-976F-9864E02284A9}"/>
    <cellStyle name="Normal 3 4 6 2 2 2 2" xfId="49413" xr:uid="{53FE8C0C-09A1-4FA3-B8B5-997AFFC69DA2}"/>
    <cellStyle name="Normal 3 4 6 2 2 3" xfId="36822" xr:uid="{87AC32B6-5148-4434-9E67-AE13BBC359B6}"/>
    <cellStyle name="Normal 3 4 6 2 3" xfId="17643" xr:uid="{180937E3-1887-45DC-8404-5B63666B263F}"/>
    <cellStyle name="Normal 3 4 6 2 3 2" xfId="43135" xr:uid="{6449D149-E8B7-4309-A68F-4C81CA48AA9C}"/>
    <cellStyle name="Normal 3 4 6 2 4" xfId="30544" xr:uid="{3D14B176-1571-4A58-83E9-C66C484E8213}"/>
    <cellStyle name="Normal 3 4 6 3" xfId="8100" xr:uid="{4CF32F39-A835-44A3-8B8A-2FD0C47F118F}"/>
    <cellStyle name="Normal 3 4 6 3 2" xfId="20782" xr:uid="{CC5FE302-D069-4FE0-B090-28341FECC522}"/>
    <cellStyle name="Normal 3 4 6 3 2 2" xfId="46274" xr:uid="{60062090-E1E3-4D66-9EE4-B1DB73FA7EF3}"/>
    <cellStyle name="Normal 3 4 6 3 3" xfId="33683" xr:uid="{B6D07E70-41A6-4F53-A89D-05F8C2B26584}"/>
    <cellStyle name="Normal 3 4 6 4" xfId="14504" xr:uid="{E7D05E4C-4295-4A4D-ADA0-0F9651652E22}"/>
    <cellStyle name="Normal 3 4 6 4 2" xfId="39996" xr:uid="{25D3507C-8EFB-450E-9DDD-45C4BAED2E9C}"/>
    <cellStyle name="Normal 3 4 6 5" xfId="27405" xr:uid="{59FECF6A-37C5-43EB-BDDC-22AA42DC5DED}"/>
    <cellStyle name="Normal 3 4 7" xfId="1270" xr:uid="{85BAE835-D650-4266-AA9E-53488914845E}"/>
    <cellStyle name="Normal 3 4 7 2" xfId="4424" xr:uid="{83165BB0-B86C-4274-B1FE-667FA2FC6144}"/>
    <cellStyle name="Normal 3 4 7 2 2" xfId="10717" xr:uid="{B4FDDD0C-C2C0-4392-BBD8-7F75E4598A28}"/>
    <cellStyle name="Normal 3 4 7 2 2 2" xfId="23399" xr:uid="{486F5B22-B99A-46EB-AB29-EADB8E08EE39}"/>
    <cellStyle name="Normal 3 4 7 2 2 2 2" xfId="48891" xr:uid="{F89B32A3-FCFF-4BD5-A3FC-820E98ECB684}"/>
    <cellStyle name="Normal 3 4 7 2 2 3" xfId="36300" xr:uid="{8CB5919F-F91D-47A3-A79B-D625D8FFD016}"/>
    <cellStyle name="Normal 3 4 7 2 3" xfId="17121" xr:uid="{057FDB47-2EBC-4E5F-B5CF-00B908206A3C}"/>
    <cellStyle name="Normal 3 4 7 2 3 2" xfId="42613" xr:uid="{4D40F6DB-D4A1-4FC3-84AD-CCA9BF27E134}"/>
    <cellStyle name="Normal 3 4 7 2 4" xfId="30022" xr:uid="{F5D4072E-4326-4491-A480-A021C9860316}"/>
    <cellStyle name="Normal 3 4 7 3" xfId="7578" xr:uid="{212C3D4F-3BF6-4A53-BAC4-36A0FFDAE585}"/>
    <cellStyle name="Normal 3 4 7 3 2" xfId="20260" xr:uid="{5268FC4C-1325-4858-B96A-32D14A184101}"/>
    <cellStyle name="Normal 3 4 7 3 2 2" xfId="45752" xr:uid="{9B72E42A-83C9-4DBB-95E4-F7CA2756BA23}"/>
    <cellStyle name="Normal 3 4 7 3 3" xfId="33161" xr:uid="{78216DA1-890B-4CED-B66E-79ECF4FB58B4}"/>
    <cellStyle name="Normal 3 4 7 4" xfId="13982" xr:uid="{FA8FF79F-5DDC-4F85-90D4-6842E2A23F14}"/>
    <cellStyle name="Normal 3 4 7 4 2" xfId="39474" xr:uid="{E4D58763-6BDF-4501-BA73-CE957FF18C45}"/>
    <cellStyle name="Normal 3 4 7 5" xfId="26883" xr:uid="{0D524477-69C2-40E2-8913-E3ABE5242A77}"/>
    <cellStyle name="Normal 3 4 8" xfId="2577" xr:uid="{FB564C4D-EFEE-4D99-98D5-8D41965562E8}"/>
    <cellStyle name="Normal 3 4 8 2" xfId="5731" xr:uid="{F9BFA7E9-4FF3-431C-9321-2F97A5FDD723}"/>
    <cellStyle name="Normal 3 4 8 2 2" xfId="12024" xr:uid="{1977B1F7-A786-415E-B173-6B768B981BF2}"/>
    <cellStyle name="Normal 3 4 8 2 2 2" xfId="24706" xr:uid="{1BC46BD6-1612-4EEC-9392-5FC8EF6510FB}"/>
    <cellStyle name="Normal 3 4 8 2 2 2 2" xfId="50198" xr:uid="{B6B4A5CC-745D-473A-A0A2-4BA653F44D50}"/>
    <cellStyle name="Normal 3 4 8 2 2 3" xfId="37607" xr:uid="{C77A155A-E84E-4D8E-8E2C-DFA0AA2031F4}"/>
    <cellStyle name="Normal 3 4 8 2 3" xfId="18428" xr:uid="{0BAF40C5-4B2F-410F-AD00-464E41A9D154}"/>
    <cellStyle name="Normal 3 4 8 2 3 2" xfId="43920" xr:uid="{E1FDE337-0256-4812-B3E1-9FBADCAE9CF1}"/>
    <cellStyle name="Normal 3 4 8 2 4" xfId="31329" xr:uid="{32B0B5FF-6F7A-48A9-A924-24F42592AE75}"/>
    <cellStyle name="Normal 3 4 8 3" xfId="8885" xr:uid="{0AC2F573-E188-4C66-8186-9945261BA573}"/>
    <cellStyle name="Normal 3 4 8 3 2" xfId="21567" xr:uid="{0EB19E7A-8F86-4975-B90A-FAA08F62DDD7}"/>
    <cellStyle name="Normal 3 4 8 3 2 2" xfId="47059" xr:uid="{88F3B626-A6A5-416D-8847-8CEF2326269E}"/>
    <cellStyle name="Normal 3 4 8 3 3" xfId="34468" xr:uid="{53180090-95AD-41D0-A311-7B39BEB80986}"/>
    <cellStyle name="Normal 3 4 8 4" xfId="15289" xr:uid="{AEA2A985-0275-40D6-8A07-F62809BBE22A}"/>
    <cellStyle name="Normal 3 4 8 4 2" xfId="40781" xr:uid="{B66CAD5F-E0C9-47CB-AF1F-3443C2AB13D9}"/>
    <cellStyle name="Normal 3 4 8 5" xfId="28190" xr:uid="{B2BE300D-C551-48AA-861D-8BB82D7D2ACE}"/>
    <cellStyle name="Normal 3 4 9" xfId="3100" xr:uid="{69F397B0-5963-4EBC-A3BA-5B405E0863E2}"/>
    <cellStyle name="Normal 3 4 9 2" xfId="6254" xr:uid="{625996E1-92DB-4FF9-838C-9FB80AFE6882}"/>
    <cellStyle name="Normal 3 4 9 2 2" xfId="12547" xr:uid="{E6067859-0F65-45AB-8D31-8951AD7FDC9D}"/>
    <cellStyle name="Normal 3 4 9 2 2 2" xfId="25229" xr:uid="{600BB2E0-1951-4E72-A084-8DE8EB8D67DC}"/>
    <cellStyle name="Normal 3 4 9 2 2 2 2" xfId="50721" xr:uid="{BDE614FD-E7E8-444A-96F2-3A057A096A3B}"/>
    <cellStyle name="Normal 3 4 9 2 2 3" xfId="38130" xr:uid="{BBEEB075-4282-4D31-9029-E48A2B584096}"/>
    <cellStyle name="Normal 3 4 9 2 3" xfId="18951" xr:uid="{8FD21D48-C420-4080-B2A0-F2DE40604DF8}"/>
    <cellStyle name="Normal 3 4 9 2 3 2" xfId="44443" xr:uid="{9EA529A5-84EF-4D71-9C11-CDD916AF27F8}"/>
    <cellStyle name="Normal 3 4 9 2 4" xfId="31852" xr:uid="{54C0ABB8-82BC-4BE4-B7A1-7B37E5A746D0}"/>
    <cellStyle name="Normal 3 4 9 3" xfId="9408" xr:uid="{31F905F2-8F10-4C29-9956-AAA516BF6F30}"/>
    <cellStyle name="Normal 3 4 9 3 2" xfId="22090" xr:uid="{22530517-D2AA-4898-A70E-BDCBB4B8FD4F}"/>
    <cellStyle name="Normal 3 4 9 3 2 2" xfId="47582" xr:uid="{DC4222DF-7C82-469F-8EF1-5CCF6BCE4028}"/>
    <cellStyle name="Normal 3 4 9 3 3" xfId="34991" xr:uid="{8C7888CA-9887-4D7A-92ED-F9C681015E80}"/>
    <cellStyle name="Normal 3 4 9 4" xfId="15812" xr:uid="{DC184458-4658-49EE-BA8B-6CD47255C5E9}"/>
    <cellStyle name="Normal 3 4 9 4 2" xfId="41304" xr:uid="{2741BBEC-0B03-4B50-9CDC-497A8D3C86CC}"/>
    <cellStyle name="Normal 3 4 9 5" xfId="28713" xr:uid="{7AC3F9CC-91DF-4654-B589-CB8F4F17A16B}"/>
    <cellStyle name="Normal 3 5" xfId="322" xr:uid="{3786A012-0798-487A-8B86-4B75B7ED198A}"/>
    <cellStyle name="Normal 3 5 10" xfId="6774" xr:uid="{A87FF276-E313-4AB9-95C2-5CCB3BE67FB5}"/>
    <cellStyle name="Normal 3 5 10 2" xfId="19456" xr:uid="{70E8E52F-8392-40AF-8168-0A0D3094AE11}"/>
    <cellStyle name="Normal 3 5 10 2 2" xfId="44948" xr:uid="{FD20412F-12ED-46E2-987B-DF9EEC19B4B9}"/>
    <cellStyle name="Normal 3 5 10 3" xfId="32357" xr:uid="{51B5D41F-47C2-4E55-8987-A98CB7135401}"/>
    <cellStyle name="Normal 3 5 11" xfId="13178" xr:uid="{160D24FC-A84A-4AD0-8363-2C3A0A8EE898}"/>
    <cellStyle name="Normal 3 5 11 2" xfId="38670" xr:uid="{384F3704-90F6-42B1-859F-1D0205702DD2}"/>
    <cellStyle name="Normal 3 5 12" xfId="13090" xr:uid="{A0D69C8D-D0A3-41A2-9F93-C3ADCE80E0F3}"/>
    <cellStyle name="Normal 3 5 13" xfId="26079" xr:uid="{A8242361-FAC0-4A20-AD6D-29C335EDFDF3}"/>
    <cellStyle name="Normal 3 5 14" xfId="451" xr:uid="{FD0FABD1-2DA6-4801-B3E7-E8DF88C3356D}"/>
    <cellStyle name="Normal 3 5 2" xfId="610" xr:uid="{89BF4DF6-61E7-4768-9B56-58B6444E383C}"/>
    <cellStyle name="Normal 3 5 2 10" xfId="13337" xr:uid="{3D329A9D-1235-43D9-B2C4-1F572B0F3989}"/>
    <cellStyle name="Normal 3 5 2 10 2" xfId="38829" xr:uid="{260EA8AB-300A-43A5-9C96-CBE29CDBD9CD}"/>
    <cellStyle name="Normal 3 5 2 11" xfId="26238" xr:uid="{FF69C3AC-5533-4AB4-88DF-645D5F51FE30}"/>
    <cellStyle name="Normal 3 5 2 2" xfId="1147" xr:uid="{834F7E95-F080-4CC8-9D18-DD25A3CDB1D2}"/>
    <cellStyle name="Normal 3 5 2 2 2" xfId="2454" xr:uid="{885E1F2E-1F32-4978-ABF0-8179A1227701}"/>
    <cellStyle name="Normal 3 5 2 2 2 2" xfId="5608" xr:uid="{8A6FF2FA-6AE0-4784-86A5-115E3A44A7C6}"/>
    <cellStyle name="Normal 3 5 2 2 2 2 2" xfId="11901" xr:uid="{BBA6DA22-594F-465F-A40C-97E0CC5E9373}"/>
    <cellStyle name="Normal 3 5 2 2 2 2 2 2" xfId="24583" xr:uid="{2FEEE0D2-A4EA-4A52-AA65-FF755F1A0A33}"/>
    <cellStyle name="Normal 3 5 2 2 2 2 2 2 2" xfId="50075" xr:uid="{C7D7DFFB-7D44-48C5-A1EE-35AD5D5204C0}"/>
    <cellStyle name="Normal 3 5 2 2 2 2 2 3" xfId="37484" xr:uid="{958EDAAE-1F62-4F5B-9DA0-8126F2119A87}"/>
    <cellStyle name="Normal 3 5 2 2 2 2 3" xfId="18305" xr:uid="{19DF2687-485A-4798-A542-82FC4F968AFF}"/>
    <cellStyle name="Normal 3 5 2 2 2 2 3 2" xfId="43797" xr:uid="{BD6CAD1D-CE0B-4B84-9182-01EDA05D82D0}"/>
    <cellStyle name="Normal 3 5 2 2 2 2 4" xfId="31206" xr:uid="{BC8F8256-14CD-4603-9BA5-C645B09A14C0}"/>
    <cellStyle name="Normal 3 5 2 2 2 3" xfId="8762" xr:uid="{17F9C8CD-28B9-497E-B16E-409B9019DD39}"/>
    <cellStyle name="Normal 3 5 2 2 2 3 2" xfId="21444" xr:uid="{B88FA0E5-4C6A-40FB-B747-5B3B823BD693}"/>
    <cellStyle name="Normal 3 5 2 2 2 3 2 2" xfId="46936" xr:uid="{B13567D3-7B2E-4435-92D7-ADD6D90CBAE5}"/>
    <cellStyle name="Normal 3 5 2 2 2 3 3" xfId="34345" xr:uid="{70D3ACCE-D4F8-46A7-8963-BF96E8645E24}"/>
    <cellStyle name="Normal 3 5 2 2 2 4" xfId="15166" xr:uid="{F39A8526-4F8D-4DC3-A58D-72E4EE1751ED}"/>
    <cellStyle name="Normal 3 5 2 2 2 4 2" xfId="40658" xr:uid="{587290BD-0C35-4A96-A5C2-F255A4A2AF41}"/>
    <cellStyle name="Normal 3 5 2 2 2 5" xfId="28067" xr:uid="{4AAA1558-7C9F-433F-B118-4D2DD1F36FB3}"/>
    <cellStyle name="Normal 3 5 2 2 3" xfId="1671" xr:uid="{B44A4B97-BF61-4DCB-ACCB-A11E6F1A73A9}"/>
    <cellStyle name="Normal 3 5 2 2 3 2" xfId="4825" xr:uid="{6EAD9B3A-4A13-4CB2-93B4-A016BD34576A}"/>
    <cellStyle name="Normal 3 5 2 2 3 2 2" xfId="11118" xr:uid="{2F971609-451C-4326-B35C-6F13D20EB4DC}"/>
    <cellStyle name="Normal 3 5 2 2 3 2 2 2" xfId="23800" xr:uid="{87FD0B2F-5864-43CB-B26A-8C8D6DF5DC11}"/>
    <cellStyle name="Normal 3 5 2 2 3 2 2 2 2" xfId="49292" xr:uid="{8AA55A67-BB21-438B-B175-DE2B250435E8}"/>
    <cellStyle name="Normal 3 5 2 2 3 2 2 3" xfId="36701" xr:uid="{BBF0E972-BBCD-4DB7-86FC-DE681BF32A44}"/>
    <cellStyle name="Normal 3 5 2 2 3 2 3" xfId="17522" xr:uid="{201BD17F-53F1-4173-9FE8-CEA875113A8B}"/>
    <cellStyle name="Normal 3 5 2 2 3 2 3 2" xfId="43014" xr:uid="{733FD53F-9992-443B-864E-2C85620308EA}"/>
    <cellStyle name="Normal 3 5 2 2 3 2 4" xfId="30423" xr:uid="{ACCA8CF5-D88D-4E8B-856F-88DBE8E3E68B}"/>
    <cellStyle name="Normal 3 5 2 2 3 3" xfId="7979" xr:uid="{BA141E21-3C26-4761-85B1-EAEA8E940B36}"/>
    <cellStyle name="Normal 3 5 2 2 3 3 2" xfId="20661" xr:uid="{9AA9F592-16D6-4230-AAD1-604137EBCED2}"/>
    <cellStyle name="Normal 3 5 2 2 3 3 2 2" xfId="46153" xr:uid="{6AC45A43-47B1-4210-8FEA-ADE4BD0DBB34}"/>
    <cellStyle name="Normal 3 5 2 2 3 3 3" xfId="33562" xr:uid="{1BBC6D6B-B6F0-47CE-A920-074AACDBCE74}"/>
    <cellStyle name="Normal 3 5 2 2 3 4" xfId="14383" xr:uid="{42A56EAB-CBD4-411E-A210-13CDCEDC965A}"/>
    <cellStyle name="Normal 3 5 2 2 3 4 2" xfId="39875" xr:uid="{DBE5D621-A8E8-4075-9335-EB6F1C28A81C}"/>
    <cellStyle name="Normal 3 5 2 2 3 5" xfId="27284" xr:uid="{3F35C339-3923-4DEE-9971-0EEC35D7D73D}"/>
    <cellStyle name="Normal 3 5 2 2 4" xfId="2978" xr:uid="{25015107-1675-4D76-AD12-0CC9F8B9DBFD}"/>
    <cellStyle name="Normal 3 5 2 2 4 2" xfId="6132" xr:uid="{18349FC9-2A6E-44CF-9BB2-86A90AB731F0}"/>
    <cellStyle name="Normal 3 5 2 2 4 2 2" xfId="12425" xr:uid="{AA6DAB5A-AB3E-4134-ABFD-DA4CE99AA682}"/>
    <cellStyle name="Normal 3 5 2 2 4 2 2 2" xfId="25107" xr:uid="{5592AF53-91DE-435A-B91B-25AB6D2DB28E}"/>
    <cellStyle name="Normal 3 5 2 2 4 2 2 2 2" xfId="50599" xr:uid="{148A4FB9-6206-44C9-838E-A81ED5468DAB}"/>
    <cellStyle name="Normal 3 5 2 2 4 2 2 3" xfId="38008" xr:uid="{804D4A7A-A5D1-45DF-86EB-D7C377F566E4}"/>
    <cellStyle name="Normal 3 5 2 2 4 2 3" xfId="18829" xr:uid="{FC756C18-0441-49A9-80B8-6FE44B2FEB83}"/>
    <cellStyle name="Normal 3 5 2 2 4 2 3 2" xfId="44321" xr:uid="{5144ED4F-8BF6-4E4B-B59C-F20C76492FCD}"/>
    <cellStyle name="Normal 3 5 2 2 4 2 4" xfId="31730" xr:uid="{A9C061AC-C2BE-4229-9992-AA5662DB1391}"/>
    <cellStyle name="Normal 3 5 2 2 4 3" xfId="9286" xr:uid="{C6D408B5-43CC-4AA4-B68D-2D42AA416A61}"/>
    <cellStyle name="Normal 3 5 2 2 4 3 2" xfId="21968" xr:uid="{A9A4B610-10C5-4191-B147-064870752B58}"/>
    <cellStyle name="Normal 3 5 2 2 4 3 2 2" xfId="47460" xr:uid="{5E5F4CA0-0131-4056-A9D6-AF78736C6616}"/>
    <cellStyle name="Normal 3 5 2 2 4 3 3" xfId="34869" xr:uid="{396E69EA-9FFE-40C5-AD8C-0A993BC77FE6}"/>
    <cellStyle name="Normal 3 5 2 2 4 4" xfId="15690" xr:uid="{FE0AC57D-4B3E-4382-92F5-11F623F974BE}"/>
    <cellStyle name="Normal 3 5 2 2 4 4 2" xfId="41182" xr:uid="{D111691E-38B0-46BF-9874-4C7911AD88AD}"/>
    <cellStyle name="Normal 3 5 2 2 4 5" xfId="28591" xr:uid="{F3389FDD-E076-428E-9F19-88FBD4D80194}"/>
    <cellStyle name="Normal 3 5 2 2 5" xfId="3501" xr:uid="{A3675F8D-B115-4F4A-B675-2C7017D2C3C7}"/>
    <cellStyle name="Normal 3 5 2 2 5 2" xfId="6655" xr:uid="{254875BA-7928-4425-8EB7-9D7264923A4C}"/>
    <cellStyle name="Normal 3 5 2 2 5 2 2" xfId="12948" xr:uid="{9F2B5D88-B7F3-4A42-9FA8-C963B5753E22}"/>
    <cellStyle name="Normal 3 5 2 2 5 2 2 2" xfId="25630" xr:uid="{DD7444C8-F9F3-455A-A85E-1C6A39BCD319}"/>
    <cellStyle name="Normal 3 5 2 2 5 2 2 2 2" xfId="51122" xr:uid="{586C082A-522B-4AAB-824B-9C87E7C4384D}"/>
    <cellStyle name="Normal 3 5 2 2 5 2 2 3" xfId="38531" xr:uid="{0D0AD0FC-6C1E-4B7F-8C73-60E447E49866}"/>
    <cellStyle name="Normal 3 5 2 2 5 2 3" xfId="19352" xr:uid="{53BB413A-48CC-40EC-903F-F4DA67684848}"/>
    <cellStyle name="Normal 3 5 2 2 5 2 3 2" xfId="44844" xr:uid="{B2B2452E-D8C0-4CED-BDF8-E908BF87A7E5}"/>
    <cellStyle name="Normal 3 5 2 2 5 2 4" xfId="32253" xr:uid="{D057FFF2-04C5-4C8B-A5D1-2D611B02D7CC}"/>
    <cellStyle name="Normal 3 5 2 2 5 3" xfId="9809" xr:uid="{C31FD42E-F2EA-4E6E-942E-95B79096C4C4}"/>
    <cellStyle name="Normal 3 5 2 2 5 3 2" xfId="22491" xr:uid="{195399F8-E1CD-45CF-BB22-5EC9BE68A613}"/>
    <cellStyle name="Normal 3 5 2 2 5 3 2 2" xfId="47983" xr:uid="{3C11EDB7-31EB-4493-9DC6-EEB8B0440B11}"/>
    <cellStyle name="Normal 3 5 2 2 5 3 3" xfId="35392" xr:uid="{1E46562E-B7CE-4D63-BC1C-B9A72A12EED2}"/>
    <cellStyle name="Normal 3 5 2 2 5 4" xfId="16213" xr:uid="{34AFC6A3-5A4A-4D2C-87E0-11F10C51E3E0}"/>
    <cellStyle name="Normal 3 5 2 2 5 4 2" xfId="41705" xr:uid="{8CC3AC2D-6147-46E8-84E8-A6F58CD9D000}"/>
    <cellStyle name="Normal 3 5 2 2 5 5" xfId="29114" xr:uid="{296A1FF9-4690-41EA-A3AF-CF3FA4018057}"/>
    <cellStyle name="Normal 3 5 2 2 6" xfId="4301" xr:uid="{C2683C1A-A588-45DF-B8C0-1E832C90A5EA}"/>
    <cellStyle name="Normal 3 5 2 2 6 2" xfId="10594" xr:uid="{B094F967-F1F5-4995-BFE8-0EAAF21F96A7}"/>
    <cellStyle name="Normal 3 5 2 2 6 2 2" xfId="23276" xr:uid="{B70AD336-AEB4-4816-A4A5-C4F68CEB3468}"/>
    <cellStyle name="Normal 3 5 2 2 6 2 2 2" xfId="48768" xr:uid="{0195D8FA-670F-4CE9-A301-C521D15D1FF8}"/>
    <cellStyle name="Normal 3 5 2 2 6 2 3" xfId="36177" xr:uid="{B1C0EA7A-B991-45B0-AB7D-0888B5C6D926}"/>
    <cellStyle name="Normal 3 5 2 2 6 3" xfId="16998" xr:uid="{23746D5F-94AC-489A-B34B-783A16E3C278}"/>
    <cellStyle name="Normal 3 5 2 2 6 3 2" xfId="42490" xr:uid="{527DD249-D888-409A-B9B0-7EA4131A6DC3}"/>
    <cellStyle name="Normal 3 5 2 2 6 4" xfId="29899" xr:uid="{084E22BF-5B36-4207-B7E0-F623E1262FE0}"/>
    <cellStyle name="Normal 3 5 2 2 7" xfId="7455" xr:uid="{9F313D6C-8493-473D-90AE-42FE29323195}"/>
    <cellStyle name="Normal 3 5 2 2 7 2" xfId="20137" xr:uid="{21542770-DF0D-4892-9F9B-E20669FA6F4A}"/>
    <cellStyle name="Normal 3 5 2 2 7 2 2" xfId="45629" xr:uid="{A598082D-66E2-4A4E-942D-E7F137AA4E16}"/>
    <cellStyle name="Normal 3 5 2 2 7 3" xfId="33038" xr:uid="{4704FFFC-4204-4FBE-9248-7AB79479FB46}"/>
    <cellStyle name="Normal 3 5 2 2 8" xfId="13859" xr:uid="{55DC180F-C150-4122-BEED-322E25FF3CA7}"/>
    <cellStyle name="Normal 3 5 2 2 8 2" xfId="39351" xr:uid="{19D5B623-9DA4-489C-B895-0BF795C4041E}"/>
    <cellStyle name="Normal 3 5 2 2 9" xfId="26760" xr:uid="{6F3E5C5A-944B-4F41-971D-3EC9D78EBE7A}"/>
    <cellStyle name="Normal 3 5 2 3" xfId="887" xr:uid="{B93A8854-047E-4469-9B9F-76AC137F37FA}"/>
    <cellStyle name="Normal 3 5 2 3 2" xfId="2194" xr:uid="{D70B11F6-AB82-4733-B074-813AE698D5FC}"/>
    <cellStyle name="Normal 3 5 2 3 2 2" xfId="5348" xr:uid="{D4DD17F6-2A6D-478A-B5C4-9F8F0A78C9BF}"/>
    <cellStyle name="Normal 3 5 2 3 2 2 2" xfId="11641" xr:uid="{EE7BCECA-10A9-47B4-BB1C-6A228D9CC800}"/>
    <cellStyle name="Normal 3 5 2 3 2 2 2 2" xfId="24323" xr:uid="{80231765-6290-479D-9097-4A0EBD3F1450}"/>
    <cellStyle name="Normal 3 5 2 3 2 2 2 2 2" xfId="49815" xr:uid="{CB5D09FF-8D23-4ECA-86AA-6452E51319BA}"/>
    <cellStyle name="Normal 3 5 2 3 2 2 2 3" xfId="37224" xr:uid="{7DBAB529-87A4-44D4-99A7-8B11CA864447}"/>
    <cellStyle name="Normal 3 5 2 3 2 2 3" xfId="18045" xr:uid="{1C8BDEC5-71A4-4778-B52D-88590E604D02}"/>
    <cellStyle name="Normal 3 5 2 3 2 2 3 2" xfId="43537" xr:uid="{9BB45FFA-2C46-47BC-911F-E6DC71FD8BFA}"/>
    <cellStyle name="Normal 3 5 2 3 2 2 4" xfId="30946" xr:uid="{0AFADACC-0B66-4F50-8A8F-22D11AEA82E3}"/>
    <cellStyle name="Normal 3 5 2 3 2 3" xfId="8502" xr:uid="{AA60D29A-0747-4B6C-9A9E-408E4A5798A6}"/>
    <cellStyle name="Normal 3 5 2 3 2 3 2" xfId="21184" xr:uid="{DE79D0A0-D60E-4E1A-A443-BAD5EF1BBDEE}"/>
    <cellStyle name="Normal 3 5 2 3 2 3 2 2" xfId="46676" xr:uid="{A17A3FCF-4AB5-4FE4-9BF1-ED808DD00926}"/>
    <cellStyle name="Normal 3 5 2 3 2 3 3" xfId="34085" xr:uid="{B25553B1-9B55-425F-A4B7-8E156758862C}"/>
    <cellStyle name="Normal 3 5 2 3 2 4" xfId="14906" xr:uid="{C9351C62-9E54-4DDB-A82D-43A97908E318}"/>
    <cellStyle name="Normal 3 5 2 3 2 4 2" xfId="40398" xr:uid="{65E907B9-AEDB-4AAE-870E-BBE4DF0D4315}"/>
    <cellStyle name="Normal 3 5 2 3 2 5" xfId="27807" xr:uid="{5770D1B5-9C1A-496F-8C9D-102DFF7994FB}"/>
    <cellStyle name="Normal 3 5 2 3 3" xfId="4041" xr:uid="{2B6A3A9A-1568-4CD5-B3AF-7110DFE8EF10}"/>
    <cellStyle name="Normal 3 5 2 3 3 2" xfId="10334" xr:uid="{D0B5D704-7418-4996-86BD-CD36CC73702E}"/>
    <cellStyle name="Normal 3 5 2 3 3 2 2" xfId="23016" xr:uid="{61C35BDC-6D09-4A3F-8D79-7109863F0E3E}"/>
    <cellStyle name="Normal 3 5 2 3 3 2 2 2" xfId="48508" xr:uid="{E61B40D0-4A2B-4518-83D6-3A03EEBB4E0C}"/>
    <cellStyle name="Normal 3 5 2 3 3 2 3" xfId="35917" xr:uid="{0C3606A4-1C13-4892-8411-893FB3CBC53F}"/>
    <cellStyle name="Normal 3 5 2 3 3 3" xfId="16738" xr:uid="{5F85B412-F46A-4838-8C7C-C377ACA422BB}"/>
    <cellStyle name="Normal 3 5 2 3 3 3 2" xfId="42230" xr:uid="{124C821D-BB08-4994-853C-032D2EDF2E43}"/>
    <cellStyle name="Normal 3 5 2 3 3 4" xfId="29639" xr:uid="{76DA491C-CF66-4DDD-AD18-4D992EDD95FC}"/>
    <cellStyle name="Normal 3 5 2 3 4" xfId="7195" xr:uid="{B79692DD-2F53-448C-94CA-E6AAFBEDDFF0}"/>
    <cellStyle name="Normal 3 5 2 3 4 2" xfId="19877" xr:uid="{1F9AA4F4-D54D-4658-A735-71C686757914}"/>
    <cellStyle name="Normal 3 5 2 3 4 2 2" xfId="45369" xr:uid="{AC4EB633-1821-463C-A8B4-B70C3F77D0C9}"/>
    <cellStyle name="Normal 3 5 2 3 4 3" xfId="32778" xr:uid="{0902986A-B72A-47C8-BD37-D97235FBD04C}"/>
    <cellStyle name="Normal 3 5 2 3 5" xfId="13599" xr:uid="{85BB35C5-26F8-4D79-8895-0C49602E9C1A}"/>
    <cellStyle name="Normal 3 5 2 3 5 2" xfId="39091" xr:uid="{CD69386D-2CC6-47CA-9E89-7216B18C0C7F}"/>
    <cellStyle name="Normal 3 5 2 3 6" xfId="26500" xr:uid="{A4FF617E-5EA4-45AA-978B-B058A1AB31BA}"/>
    <cellStyle name="Normal 3 5 2 4" xfId="1932" xr:uid="{C5DE3DA0-2991-43EB-97DE-1FAC2B762E12}"/>
    <cellStyle name="Normal 3 5 2 4 2" xfId="5086" xr:uid="{6B1AA958-65F7-4D50-9D1C-8C4302A01EE5}"/>
    <cellStyle name="Normal 3 5 2 4 2 2" xfId="11379" xr:uid="{8EBD2BC0-3670-48F1-BB6B-41DCF88660A4}"/>
    <cellStyle name="Normal 3 5 2 4 2 2 2" xfId="24061" xr:uid="{A2E573B8-D079-400C-BBDB-51424E1904B0}"/>
    <cellStyle name="Normal 3 5 2 4 2 2 2 2" xfId="49553" xr:uid="{1FE5CF43-8094-4280-BBBB-B580830525AF}"/>
    <cellStyle name="Normal 3 5 2 4 2 2 3" xfId="36962" xr:uid="{A99828C7-357E-4472-8B42-C8D48E761AFA}"/>
    <cellStyle name="Normal 3 5 2 4 2 3" xfId="17783" xr:uid="{685B2838-5145-4CD7-B14F-C2BD286B0D6F}"/>
    <cellStyle name="Normal 3 5 2 4 2 3 2" xfId="43275" xr:uid="{E28BBE96-D13D-469B-83E0-5825B2009D81}"/>
    <cellStyle name="Normal 3 5 2 4 2 4" xfId="30684" xr:uid="{B7D36185-C997-492C-A7F6-395CBCFCC46C}"/>
    <cellStyle name="Normal 3 5 2 4 3" xfId="8240" xr:uid="{608E1600-D9F0-4D0D-B288-4A78CDDEEF26}"/>
    <cellStyle name="Normal 3 5 2 4 3 2" xfId="20922" xr:uid="{F71BEB62-F60C-4A0F-8045-4F178C51EA8D}"/>
    <cellStyle name="Normal 3 5 2 4 3 2 2" xfId="46414" xr:uid="{1B7D19DF-FE54-4A2B-9722-5640A90A67C1}"/>
    <cellStyle name="Normal 3 5 2 4 3 3" xfId="33823" xr:uid="{5CFE850A-11BA-44AE-B100-202E0B244891}"/>
    <cellStyle name="Normal 3 5 2 4 4" xfId="14644" xr:uid="{16D1C432-7F5D-47F5-91AA-F9CB2269A91C}"/>
    <cellStyle name="Normal 3 5 2 4 4 2" xfId="40136" xr:uid="{69688204-5300-421C-9CF6-4C13D73E41A0}"/>
    <cellStyle name="Normal 3 5 2 4 5" xfId="27545" xr:uid="{52388779-95C7-40C8-B0CC-AAF7938CC1AE}"/>
    <cellStyle name="Normal 3 5 2 5" xfId="1410" xr:uid="{09A31521-18F9-43D1-9DBD-FEA383FD627B}"/>
    <cellStyle name="Normal 3 5 2 5 2" xfId="4564" xr:uid="{823390B7-ED5A-4F99-8299-48E63B92A16E}"/>
    <cellStyle name="Normal 3 5 2 5 2 2" xfId="10857" xr:uid="{1DBFE24A-BA11-46D3-82F9-217A24C8A077}"/>
    <cellStyle name="Normal 3 5 2 5 2 2 2" xfId="23539" xr:uid="{C2644F3C-2014-4200-9073-CCF330D0B7E4}"/>
    <cellStyle name="Normal 3 5 2 5 2 2 2 2" xfId="49031" xr:uid="{E9FC357A-E34A-427F-AFCB-84796C965F8B}"/>
    <cellStyle name="Normal 3 5 2 5 2 2 3" xfId="36440" xr:uid="{CFADA656-5D98-40B9-BADB-F7DF34623FA4}"/>
    <cellStyle name="Normal 3 5 2 5 2 3" xfId="17261" xr:uid="{792DF9B0-29D5-4AD4-9E11-D06E6C124F94}"/>
    <cellStyle name="Normal 3 5 2 5 2 3 2" xfId="42753" xr:uid="{275961EB-286A-4050-82F0-87393602FCCD}"/>
    <cellStyle name="Normal 3 5 2 5 2 4" xfId="30162" xr:uid="{180625C2-C8F4-4FC5-9BE7-DF15A1E8B252}"/>
    <cellStyle name="Normal 3 5 2 5 3" xfId="7718" xr:uid="{50AFA7E9-7D0F-45F6-AAD1-24F95ED0D962}"/>
    <cellStyle name="Normal 3 5 2 5 3 2" xfId="20400" xr:uid="{F0DE578C-C162-4050-A82C-A6A8AF16D37E}"/>
    <cellStyle name="Normal 3 5 2 5 3 2 2" xfId="45892" xr:uid="{469BEB4E-5660-40DD-A9F0-DD6D3879CEBC}"/>
    <cellStyle name="Normal 3 5 2 5 3 3" xfId="33301" xr:uid="{AEC94726-C55C-431B-ADBB-BF056C4B411F}"/>
    <cellStyle name="Normal 3 5 2 5 4" xfId="14122" xr:uid="{AB5B0AC5-3A08-4E73-B1ED-859A97455415}"/>
    <cellStyle name="Normal 3 5 2 5 4 2" xfId="39614" xr:uid="{8D1860F1-1F22-4BB0-BF79-28A303552AD4}"/>
    <cellStyle name="Normal 3 5 2 5 5" xfId="27023" xr:uid="{8F9471A0-3DC7-404E-AE52-C63F6101228E}"/>
    <cellStyle name="Normal 3 5 2 6" xfId="2717" xr:uid="{346D02D0-3B4D-4BF2-B5EE-026DDC2B5BF4}"/>
    <cellStyle name="Normal 3 5 2 6 2" xfId="5871" xr:uid="{C0E86D7D-4E58-4CF8-A216-4F6C1B7DE191}"/>
    <cellStyle name="Normal 3 5 2 6 2 2" xfId="12164" xr:uid="{B27A7E20-6D56-4764-9755-E5DE97D9827E}"/>
    <cellStyle name="Normal 3 5 2 6 2 2 2" xfId="24846" xr:uid="{920CD10C-F9BC-4161-905E-C55C62EF25EB}"/>
    <cellStyle name="Normal 3 5 2 6 2 2 2 2" xfId="50338" xr:uid="{C30C478D-E5A5-4D9A-9E0D-00FA45C21E8C}"/>
    <cellStyle name="Normal 3 5 2 6 2 2 3" xfId="37747" xr:uid="{B10A0FB2-6A98-4783-9343-18F7B2C0FDF5}"/>
    <cellStyle name="Normal 3 5 2 6 2 3" xfId="18568" xr:uid="{3A345616-B217-4079-91E0-7BEE794079DC}"/>
    <cellStyle name="Normal 3 5 2 6 2 3 2" xfId="44060" xr:uid="{772C2F12-E7CC-41A1-AF7B-B23F97A9C944}"/>
    <cellStyle name="Normal 3 5 2 6 2 4" xfId="31469" xr:uid="{143D169E-82F7-49E7-B2DB-2812FAF1060D}"/>
    <cellStyle name="Normal 3 5 2 6 3" xfId="9025" xr:uid="{7A6BA02A-2A8B-473C-BC76-0F466CA111DA}"/>
    <cellStyle name="Normal 3 5 2 6 3 2" xfId="21707" xr:uid="{9D51AC93-8242-43CF-81B1-924AA6E9C814}"/>
    <cellStyle name="Normal 3 5 2 6 3 2 2" xfId="47199" xr:uid="{D606303D-0695-4332-9236-87E47AB28896}"/>
    <cellStyle name="Normal 3 5 2 6 3 3" xfId="34608" xr:uid="{EB645AF7-2120-4B75-90BF-4D1B4395F89F}"/>
    <cellStyle name="Normal 3 5 2 6 4" xfId="15429" xr:uid="{F8B917D8-70C1-4AF7-886B-F107AA6E91E1}"/>
    <cellStyle name="Normal 3 5 2 6 4 2" xfId="40921" xr:uid="{ED1C32C6-10FC-499F-A128-EF938BBE6EAC}"/>
    <cellStyle name="Normal 3 5 2 6 5" xfId="28330" xr:uid="{55752DAA-D8E0-439A-A177-B5C97D5B74BD}"/>
    <cellStyle name="Normal 3 5 2 7" xfId="3240" xr:uid="{F64F170B-275A-4924-8C7E-4348AFB56679}"/>
    <cellStyle name="Normal 3 5 2 7 2" xfId="6394" xr:uid="{0B5EA99C-0746-4649-853F-007D497D39D1}"/>
    <cellStyle name="Normal 3 5 2 7 2 2" xfId="12687" xr:uid="{B273474C-CA99-4170-A539-EEEBF4E202FD}"/>
    <cellStyle name="Normal 3 5 2 7 2 2 2" xfId="25369" xr:uid="{FB5D633F-8E42-4C3D-947D-6B5D245A565F}"/>
    <cellStyle name="Normal 3 5 2 7 2 2 2 2" xfId="50861" xr:uid="{92C9A219-F10C-460F-9B8A-9CA2EC05FBA3}"/>
    <cellStyle name="Normal 3 5 2 7 2 2 3" xfId="38270" xr:uid="{683CD8DD-EF2F-4462-834E-E95B763CF044}"/>
    <cellStyle name="Normal 3 5 2 7 2 3" xfId="19091" xr:uid="{0BC41629-4449-445F-9B25-3A46B46840DD}"/>
    <cellStyle name="Normal 3 5 2 7 2 3 2" xfId="44583" xr:uid="{6B27598B-6454-439A-9D8C-9A3856BA629A}"/>
    <cellStyle name="Normal 3 5 2 7 2 4" xfId="31992" xr:uid="{5ECFB078-EE2C-4345-975D-EB75F5E7D155}"/>
    <cellStyle name="Normal 3 5 2 7 3" xfId="9548" xr:uid="{3B03C7BA-D002-4CAA-8CA6-EB19A34C318C}"/>
    <cellStyle name="Normal 3 5 2 7 3 2" xfId="22230" xr:uid="{90836C2C-6EA5-4241-BD41-F27E13F38831}"/>
    <cellStyle name="Normal 3 5 2 7 3 2 2" xfId="47722" xr:uid="{B57890A0-558C-453C-8FA1-50C8B55CA772}"/>
    <cellStyle name="Normal 3 5 2 7 3 3" xfId="35131" xr:uid="{76847C60-B501-4DFD-AC5B-E09AEB457E12}"/>
    <cellStyle name="Normal 3 5 2 7 4" xfId="15952" xr:uid="{AC83338F-4B77-4A5F-B48B-6CA35B2C5F53}"/>
    <cellStyle name="Normal 3 5 2 7 4 2" xfId="41444" xr:uid="{C78C23F1-7594-472B-8D23-EA1475C08F3D}"/>
    <cellStyle name="Normal 3 5 2 7 5" xfId="28853" xr:uid="{FF80D0C7-1F9D-4A0A-88A5-D8A5EED2779F}"/>
    <cellStyle name="Normal 3 5 2 8" xfId="3779" xr:uid="{13468443-968A-41D1-B077-4EE34B003741}"/>
    <cellStyle name="Normal 3 5 2 8 2" xfId="10072" xr:uid="{00BE0766-077B-4C57-8656-E727CF472654}"/>
    <cellStyle name="Normal 3 5 2 8 2 2" xfId="22754" xr:uid="{1A41216B-0311-4F58-B3C8-CB5FE2049F6F}"/>
    <cellStyle name="Normal 3 5 2 8 2 2 2" xfId="48246" xr:uid="{02234CE2-070E-4C61-ADC0-0DB6DE68CBAF}"/>
    <cellStyle name="Normal 3 5 2 8 2 3" xfId="35655" xr:uid="{FB37E708-097D-41B0-8C31-85A24A38A4BB}"/>
    <cellStyle name="Normal 3 5 2 8 3" xfId="16476" xr:uid="{BB3726CE-DA54-49A6-B187-3BBB7C8D4427}"/>
    <cellStyle name="Normal 3 5 2 8 3 2" xfId="41968" xr:uid="{320F33FA-944C-4EFA-912F-21E4EBFE61F0}"/>
    <cellStyle name="Normal 3 5 2 8 4" xfId="29377" xr:uid="{6BC58E69-ED42-4F8F-A840-4088FC1F6DC6}"/>
    <cellStyle name="Normal 3 5 2 9" xfId="6933" xr:uid="{61E273F9-12FB-4822-82A6-9380BF4A24EA}"/>
    <cellStyle name="Normal 3 5 2 9 2" xfId="19615" xr:uid="{922A4203-3E99-4E16-90BF-24B3FF49A65B}"/>
    <cellStyle name="Normal 3 5 2 9 2 2" xfId="45107" xr:uid="{2B6D4323-6885-461D-B5D7-ED91F32E9C5A}"/>
    <cellStyle name="Normal 3 5 2 9 3" xfId="32516" xr:uid="{59A5A1DB-81FF-4DAD-9093-DB0528FCD44B}"/>
    <cellStyle name="Normal 3 5 3" xfId="988" xr:uid="{1A296187-E8F4-4A13-9A3D-2F1F1A828AC6}"/>
    <cellStyle name="Normal 3 5 3 2" xfId="2295" xr:uid="{9D26E8BB-F411-47A3-A6C7-70407FADFC34}"/>
    <cellStyle name="Normal 3 5 3 2 2" xfId="5449" xr:uid="{192B653B-BEB5-40B1-93F8-B88775642488}"/>
    <cellStyle name="Normal 3 5 3 2 2 2" xfId="11742" xr:uid="{057A9982-DD2E-4E6F-AD9C-04572B1AC4AA}"/>
    <cellStyle name="Normal 3 5 3 2 2 2 2" xfId="24424" xr:uid="{A0048411-48D5-4AD4-ADD2-C458AECAFB1D}"/>
    <cellStyle name="Normal 3 5 3 2 2 2 2 2" xfId="49916" xr:uid="{CAAA9873-1557-4701-9370-509FCE25F013}"/>
    <cellStyle name="Normal 3 5 3 2 2 2 3" xfId="37325" xr:uid="{95F33F8F-513F-4D55-BC94-A11297F7211B}"/>
    <cellStyle name="Normal 3 5 3 2 2 3" xfId="18146" xr:uid="{D754F90F-2271-42CD-B5E6-94E46B825A1D}"/>
    <cellStyle name="Normal 3 5 3 2 2 3 2" xfId="43638" xr:uid="{6CB798C2-53CA-4B63-9CF6-8C268A48C97A}"/>
    <cellStyle name="Normal 3 5 3 2 2 4" xfId="31047" xr:uid="{D0B4CD1A-3575-4519-B322-2B33F15727E6}"/>
    <cellStyle name="Normal 3 5 3 2 3" xfId="8603" xr:uid="{5FC0D4FC-A8E6-4C5E-997D-6CAE442945BF}"/>
    <cellStyle name="Normal 3 5 3 2 3 2" xfId="21285" xr:uid="{3A757EF4-7488-457D-818A-9E9D21F6B79A}"/>
    <cellStyle name="Normal 3 5 3 2 3 2 2" xfId="46777" xr:uid="{F8BFEF38-9F08-4DE0-BE80-1ACF793858E0}"/>
    <cellStyle name="Normal 3 5 3 2 3 3" xfId="34186" xr:uid="{A176D7F1-F818-4B06-BB11-6C29241DBA5F}"/>
    <cellStyle name="Normal 3 5 3 2 4" xfId="15007" xr:uid="{846421EC-4FF9-438C-BC8C-B18D6054E640}"/>
    <cellStyle name="Normal 3 5 3 2 4 2" xfId="40499" xr:uid="{B30D4E16-0ED7-419A-941D-58FC4C43D259}"/>
    <cellStyle name="Normal 3 5 3 2 5" xfId="27908" xr:uid="{B90EB8C9-4359-4AD0-B3B1-28571C091795}"/>
    <cellStyle name="Normal 3 5 3 3" xfId="1512" xr:uid="{97EFE2A7-3D3D-4D2B-BE97-8050A9CA0583}"/>
    <cellStyle name="Normal 3 5 3 3 2" xfId="4666" xr:uid="{63E920A3-069A-4163-9232-3537156DA76C}"/>
    <cellStyle name="Normal 3 5 3 3 2 2" xfId="10959" xr:uid="{99ADE3C9-83AD-431C-A945-F508453EAB12}"/>
    <cellStyle name="Normal 3 5 3 3 2 2 2" xfId="23641" xr:uid="{35C15558-F4BE-43A2-9814-C82443B8C118}"/>
    <cellStyle name="Normal 3 5 3 3 2 2 2 2" xfId="49133" xr:uid="{27261BA6-2FD7-490A-A9CA-39C3A71EFFC3}"/>
    <cellStyle name="Normal 3 5 3 3 2 2 3" xfId="36542" xr:uid="{974161FB-7B9B-4FEF-BB35-A829420262C0}"/>
    <cellStyle name="Normal 3 5 3 3 2 3" xfId="17363" xr:uid="{E5F7085E-A5A8-451F-A155-3F89A7CA1E57}"/>
    <cellStyle name="Normal 3 5 3 3 2 3 2" xfId="42855" xr:uid="{A1089D68-9ABF-456C-8304-C4C8EFF91F11}"/>
    <cellStyle name="Normal 3 5 3 3 2 4" xfId="30264" xr:uid="{334245E7-46F8-42A9-B68A-AE50ED830BCC}"/>
    <cellStyle name="Normal 3 5 3 3 3" xfId="7820" xr:uid="{59A51FE3-9188-424C-86DB-43FFA7959756}"/>
    <cellStyle name="Normal 3 5 3 3 3 2" xfId="20502" xr:uid="{6213DFB3-89F6-4C85-B0C5-E78764AD0FAA}"/>
    <cellStyle name="Normal 3 5 3 3 3 2 2" xfId="45994" xr:uid="{72298E34-690B-42EE-AFE1-1EBE8D4B2651}"/>
    <cellStyle name="Normal 3 5 3 3 3 3" xfId="33403" xr:uid="{58BCAC57-1D80-4ADE-A6CD-5A3FADCB32D8}"/>
    <cellStyle name="Normal 3 5 3 3 4" xfId="14224" xr:uid="{83A9ED12-F6BD-41C7-980E-8D92F277BEA1}"/>
    <cellStyle name="Normal 3 5 3 3 4 2" xfId="39716" xr:uid="{8B59CA17-0A5F-4820-A7AD-7D002176433C}"/>
    <cellStyle name="Normal 3 5 3 3 5" xfId="27125" xr:uid="{B6AB20B7-80F6-4DF4-8F1A-47E39A88E7FF}"/>
    <cellStyle name="Normal 3 5 3 4" xfId="2819" xr:uid="{04B5A804-7A0B-42FE-89A4-50C986B80211}"/>
    <cellStyle name="Normal 3 5 3 4 2" xfId="5973" xr:uid="{1737E32E-BB6B-459E-9BF5-712EB0C64935}"/>
    <cellStyle name="Normal 3 5 3 4 2 2" xfId="12266" xr:uid="{B778137F-6780-434A-84D2-0825BF7EF9E8}"/>
    <cellStyle name="Normal 3 5 3 4 2 2 2" xfId="24948" xr:uid="{41DEEC9F-2FD4-4FA3-A0CE-90C5991F67AD}"/>
    <cellStyle name="Normal 3 5 3 4 2 2 2 2" xfId="50440" xr:uid="{E1A13585-4D92-4249-96E8-8C7504BFAEA8}"/>
    <cellStyle name="Normal 3 5 3 4 2 2 3" xfId="37849" xr:uid="{DE60073F-293B-497F-81C9-60CC6940B9C6}"/>
    <cellStyle name="Normal 3 5 3 4 2 3" xfId="18670" xr:uid="{D4569999-4F10-4B12-9D4C-4CF3D0F209EC}"/>
    <cellStyle name="Normal 3 5 3 4 2 3 2" xfId="44162" xr:uid="{A475475B-C623-4170-AB01-A7A3C35848B5}"/>
    <cellStyle name="Normal 3 5 3 4 2 4" xfId="31571" xr:uid="{D9284244-F1D1-498F-9661-6E15AD6CD7C2}"/>
    <cellStyle name="Normal 3 5 3 4 3" xfId="9127" xr:uid="{A82583D8-C386-4F64-AF97-025AA7ED1667}"/>
    <cellStyle name="Normal 3 5 3 4 3 2" xfId="21809" xr:uid="{18984359-7BB6-453D-A218-04200B70BF06}"/>
    <cellStyle name="Normal 3 5 3 4 3 2 2" xfId="47301" xr:uid="{566E8EE1-9504-4B8F-B6BC-C8400109E6B8}"/>
    <cellStyle name="Normal 3 5 3 4 3 3" xfId="34710" xr:uid="{1D18F71A-3053-4025-9E47-1AFE3A02DB99}"/>
    <cellStyle name="Normal 3 5 3 4 4" xfId="15531" xr:uid="{2EB09CDE-32B2-43A5-87C2-BAF7B26E93EC}"/>
    <cellStyle name="Normal 3 5 3 4 4 2" xfId="41023" xr:uid="{3044079D-8CFC-47CC-A480-C67AB7363548}"/>
    <cellStyle name="Normal 3 5 3 4 5" xfId="28432" xr:uid="{4247FD0A-FA7F-4871-A447-F4C1A0079B22}"/>
    <cellStyle name="Normal 3 5 3 5" xfId="3342" xr:uid="{E374C4F3-7E88-4123-82FD-AF685D5CC66A}"/>
    <cellStyle name="Normal 3 5 3 5 2" xfId="6496" xr:uid="{5F4FD744-92A8-4D21-8D69-5AA0B9FF3EB3}"/>
    <cellStyle name="Normal 3 5 3 5 2 2" xfId="12789" xr:uid="{F010F9F9-46F4-47F3-AEBC-191C39B71414}"/>
    <cellStyle name="Normal 3 5 3 5 2 2 2" xfId="25471" xr:uid="{09D8B022-3CAC-4ED9-8C76-8355C44F3849}"/>
    <cellStyle name="Normal 3 5 3 5 2 2 2 2" xfId="50963" xr:uid="{4FEFE1D6-6C27-4CE1-8A57-84E21F743505}"/>
    <cellStyle name="Normal 3 5 3 5 2 2 3" xfId="38372" xr:uid="{92302F6C-953B-4672-B439-32C1C960037B}"/>
    <cellStyle name="Normal 3 5 3 5 2 3" xfId="19193" xr:uid="{23277409-D734-4794-A646-B8780BBEB361}"/>
    <cellStyle name="Normal 3 5 3 5 2 3 2" xfId="44685" xr:uid="{77A493F1-F6CB-4C81-B67E-26B109F195E1}"/>
    <cellStyle name="Normal 3 5 3 5 2 4" xfId="32094" xr:uid="{F2F04641-2D4B-4240-B720-F2D1F851044D}"/>
    <cellStyle name="Normal 3 5 3 5 3" xfId="9650" xr:uid="{6862F882-AC77-4626-A763-D0A1D5BD746E}"/>
    <cellStyle name="Normal 3 5 3 5 3 2" xfId="22332" xr:uid="{FB9B796C-4847-4BAF-8061-7E610A059796}"/>
    <cellStyle name="Normal 3 5 3 5 3 2 2" xfId="47824" xr:uid="{D9B56723-6A85-4F09-943D-3AD397EA0939}"/>
    <cellStyle name="Normal 3 5 3 5 3 3" xfId="35233" xr:uid="{7B5CE3D5-5EEF-4B3F-94BD-7E9F32DD7403}"/>
    <cellStyle name="Normal 3 5 3 5 4" xfId="16054" xr:uid="{423E43FC-7DB4-4685-B3AA-A0DE48013394}"/>
    <cellStyle name="Normal 3 5 3 5 4 2" xfId="41546" xr:uid="{E01ED6F5-0A30-4D51-A708-14D37E0C29CF}"/>
    <cellStyle name="Normal 3 5 3 5 5" xfId="28955" xr:uid="{BA9D00C1-6F07-4925-9319-961796D48AA0}"/>
    <cellStyle name="Normal 3 5 3 6" xfId="4142" xr:uid="{FBCC002F-8DBA-49E1-A39E-A8F359F437C1}"/>
    <cellStyle name="Normal 3 5 3 6 2" xfId="10435" xr:uid="{6174EABB-B82F-4515-A1F5-3F993EF1AF76}"/>
    <cellStyle name="Normal 3 5 3 6 2 2" xfId="23117" xr:uid="{B95C3C67-41CF-4F42-8399-0ED2F4179E01}"/>
    <cellStyle name="Normal 3 5 3 6 2 2 2" xfId="48609" xr:uid="{EA918CD2-B9D1-41EE-BC5B-53447910E487}"/>
    <cellStyle name="Normal 3 5 3 6 2 3" xfId="36018" xr:uid="{E3961796-23C9-4675-8DE8-C7666F03678C}"/>
    <cellStyle name="Normal 3 5 3 6 3" xfId="16839" xr:uid="{D1428121-EB0C-47F7-971C-BE94B0E92C8A}"/>
    <cellStyle name="Normal 3 5 3 6 3 2" xfId="42331" xr:uid="{852BA9D0-C025-4FA7-9AAA-12492F00D7E4}"/>
    <cellStyle name="Normal 3 5 3 6 4" xfId="29740" xr:uid="{28D3DB34-BDCA-457D-BD51-DB4B65626E28}"/>
    <cellStyle name="Normal 3 5 3 7" xfId="7296" xr:uid="{F0CBD31E-0EBE-4EF0-8BC8-4F5769F2FD43}"/>
    <cellStyle name="Normal 3 5 3 7 2" xfId="19978" xr:uid="{3E9E7D86-FC44-4CEC-A6CD-001EDC54D6D3}"/>
    <cellStyle name="Normal 3 5 3 7 2 2" xfId="45470" xr:uid="{AB648950-8859-4454-B9EC-957998D0113F}"/>
    <cellStyle name="Normal 3 5 3 7 3" xfId="32879" xr:uid="{73CFA678-3CFE-437A-B823-342D6F81D2FB}"/>
    <cellStyle name="Normal 3 5 3 8" xfId="13700" xr:uid="{E6FECE64-E58C-445D-9FF6-A1CCB7A7075A}"/>
    <cellStyle name="Normal 3 5 3 8 2" xfId="39192" xr:uid="{C57817B3-A407-4D11-95F3-35B34168B9A8}"/>
    <cellStyle name="Normal 3 5 3 9" xfId="26601" xr:uid="{971DA429-6E3A-46E7-AC38-B720C91FE297}"/>
    <cellStyle name="Normal 3 5 4" xfId="728" xr:uid="{2EB291A9-E779-4E5A-B9E7-94A984FB4DD1}"/>
    <cellStyle name="Normal 3 5 4 2" xfId="2035" xr:uid="{B3BC0141-1BE2-4417-A5D2-14B1DDD0F14C}"/>
    <cellStyle name="Normal 3 5 4 2 2" xfId="5189" xr:uid="{D0F214EB-32CE-4F31-B21E-E56E2F7E4721}"/>
    <cellStyle name="Normal 3 5 4 2 2 2" xfId="11482" xr:uid="{7969636C-B96E-499C-94A7-67350F44B548}"/>
    <cellStyle name="Normal 3 5 4 2 2 2 2" xfId="24164" xr:uid="{1705AA84-3423-4D75-A097-6A2DB4A96AB1}"/>
    <cellStyle name="Normal 3 5 4 2 2 2 2 2" xfId="49656" xr:uid="{68E5345E-99CB-4A5D-A1A3-B1073EDBF6A7}"/>
    <cellStyle name="Normal 3 5 4 2 2 2 3" xfId="37065" xr:uid="{E1AF28CB-4C26-47CB-AFB2-5361690B77F4}"/>
    <cellStyle name="Normal 3 5 4 2 2 3" xfId="17886" xr:uid="{7F50D092-BD88-4157-B183-F14724D64B26}"/>
    <cellStyle name="Normal 3 5 4 2 2 3 2" xfId="43378" xr:uid="{B44F1F44-F067-45B3-A698-D6BDF4608F67}"/>
    <cellStyle name="Normal 3 5 4 2 2 4" xfId="30787" xr:uid="{8114DAE8-39EE-4C49-8299-F487423C0854}"/>
    <cellStyle name="Normal 3 5 4 2 3" xfId="8343" xr:uid="{0D4F0812-BA01-469F-B2FC-E00472654101}"/>
    <cellStyle name="Normal 3 5 4 2 3 2" xfId="21025" xr:uid="{28EC15A4-5D3C-45C6-AA68-1F80269FCF05}"/>
    <cellStyle name="Normal 3 5 4 2 3 2 2" xfId="46517" xr:uid="{2290B6A1-0940-49D5-A529-FE980F9ECBBA}"/>
    <cellStyle name="Normal 3 5 4 2 3 3" xfId="33926" xr:uid="{4CB9591D-03C3-4530-9F8C-5E49F98E054E}"/>
    <cellStyle name="Normal 3 5 4 2 4" xfId="14747" xr:uid="{A0A910F7-4092-44D4-B3FF-804AC52912B9}"/>
    <cellStyle name="Normal 3 5 4 2 4 2" xfId="40239" xr:uid="{19ADB287-DA7F-40E6-AE20-A3E4BF74675F}"/>
    <cellStyle name="Normal 3 5 4 2 5" xfId="27648" xr:uid="{0F31023D-3412-445D-BDF2-A34242D22A5B}"/>
    <cellStyle name="Normal 3 5 4 3" xfId="3882" xr:uid="{66C5EE2A-4423-451C-B841-2C32AC12662B}"/>
    <cellStyle name="Normal 3 5 4 3 2" xfId="10175" xr:uid="{4373D305-3295-424B-A75F-DFB48CE8E8C3}"/>
    <cellStyle name="Normal 3 5 4 3 2 2" xfId="22857" xr:uid="{7D33A191-09B5-4F3E-8591-10BC16C2220F}"/>
    <cellStyle name="Normal 3 5 4 3 2 2 2" xfId="48349" xr:uid="{5B2AF67A-5597-4BA3-8027-2A92F5798D15}"/>
    <cellStyle name="Normal 3 5 4 3 2 3" xfId="35758" xr:uid="{8191499C-4460-4E40-B4D3-48D242582F7A}"/>
    <cellStyle name="Normal 3 5 4 3 3" xfId="16579" xr:uid="{1F90D1E3-8503-403F-A129-4B9B90563237}"/>
    <cellStyle name="Normal 3 5 4 3 3 2" xfId="42071" xr:uid="{DE796E58-62B8-46F7-8A13-EEFF6CD7538D}"/>
    <cellStyle name="Normal 3 5 4 3 4" xfId="29480" xr:uid="{9387ACF8-2CDB-4C42-ADCA-A649FACA4B8D}"/>
    <cellStyle name="Normal 3 5 4 4" xfId="7036" xr:uid="{E3168942-CCF1-407F-BA70-115D4F7C516F}"/>
    <cellStyle name="Normal 3 5 4 4 2" xfId="19718" xr:uid="{4DA41B53-09C2-48F6-8697-8C020EA6DF8D}"/>
    <cellStyle name="Normal 3 5 4 4 2 2" xfId="45210" xr:uid="{7E31643B-B3E0-483D-A718-2B78D48CBB4D}"/>
    <cellStyle name="Normal 3 5 4 4 3" xfId="32619" xr:uid="{6B1D6E4B-472B-4FED-82CB-5EE3C239E19B}"/>
    <cellStyle name="Normal 3 5 4 5" xfId="13440" xr:uid="{CEC0A98C-4EB6-44CF-AB5B-8AB9C5224236}"/>
    <cellStyle name="Normal 3 5 4 5 2" xfId="38932" xr:uid="{5F13110B-F8C7-4A35-9941-E7CAE0278AA7}"/>
    <cellStyle name="Normal 3 5 4 6" xfId="26341" xr:uid="{C4DF2D9A-D683-4546-88A8-88B73FDCFB1A}"/>
    <cellStyle name="Normal 3 5 5" xfId="1773" xr:uid="{1682ECEB-35BA-4CF2-92D4-7B0EF1326179}"/>
    <cellStyle name="Normal 3 5 5 2" xfId="4927" xr:uid="{C89C2EAB-617D-4B28-9FF5-E4D3C6C911EE}"/>
    <cellStyle name="Normal 3 5 5 2 2" xfId="11220" xr:uid="{085AF369-857A-4BDC-B364-45ED0E5933F0}"/>
    <cellStyle name="Normal 3 5 5 2 2 2" xfId="23902" xr:uid="{CE4E3B2D-282C-4319-B2DA-A022768D05BB}"/>
    <cellStyle name="Normal 3 5 5 2 2 2 2" xfId="49394" xr:uid="{3C07867B-3D18-45E5-9F1B-B5D87DB8D515}"/>
    <cellStyle name="Normal 3 5 5 2 2 3" xfId="36803" xr:uid="{FD0523F2-DAF0-4D58-BA3C-1BAC5D854DC7}"/>
    <cellStyle name="Normal 3 5 5 2 3" xfId="17624" xr:uid="{3F64C559-45C4-419E-B0F1-46DB2C01250B}"/>
    <cellStyle name="Normal 3 5 5 2 3 2" xfId="43116" xr:uid="{83EC6B32-4DF2-4BDA-8F48-39AC0F537BEC}"/>
    <cellStyle name="Normal 3 5 5 2 4" xfId="30525" xr:uid="{F5EB4D53-D875-4E4F-A954-A08F3C028EFD}"/>
    <cellStyle name="Normal 3 5 5 3" xfId="8081" xr:uid="{BFCB7128-B9D2-4A91-BCD2-FBE83A5B6648}"/>
    <cellStyle name="Normal 3 5 5 3 2" xfId="20763" xr:uid="{F1ADB971-94B6-43DA-A264-E5EA0EB234BB}"/>
    <cellStyle name="Normal 3 5 5 3 2 2" xfId="46255" xr:uid="{DDC9D245-9783-46D0-936E-FAC50413DAC6}"/>
    <cellStyle name="Normal 3 5 5 3 3" xfId="33664" xr:uid="{F18FCD11-EC16-4692-9BFC-E0115A97F043}"/>
    <cellStyle name="Normal 3 5 5 4" xfId="14485" xr:uid="{5A834ECA-6FA1-4235-84AB-20E662BCCEE5}"/>
    <cellStyle name="Normal 3 5 5 4 2" xfId="39977" xr:uid="{0BC8105B-7D71-4F99-A1B0-508DF251C198}"/>
    <cellStyle name="Normal 3 5 5 5" xfId="27386" xr:uid="{78F33241-94EC-473D-B0CF-9D90BF9625EF}"/>
    <cellStyle name="Normal 3 5 6" xfId="1251" xr:uid="{675CB92E-B143-47AC-8A4E-77E4F5431FCA}"/>
    <cellStyle name="Normal 3 5 6 2" xfId="4405" xr:uid="{23741075-FCDA-4914-82D9-C7518C618A6F}"/>
    <cellStyle name="Normal 3 5 6 2 2" xfId="10698" xr:uid="{E6D5A351-E506-455A-928A-25C18962C4AE}"/>
    <cellStyle name="Normal 3 5 6 2 2 2" xfId="23380" xr:uid="{726EE341-1E8C-4202-8E16-19FBADB07333}"/>
    <cellStyle name="Normal 3 5 6 2 2 2 2" xfId="48872" xr:uid="{616E03BC-8D66-4FDA-A847-A7625B351EB4}"/>
    <cellStyle name="Normal 3 5 6 2 2 3" xfId="36281" xr:uid="{A4682425-3FE6-4E33-AFF4-718908CC33FF}"/>
    <cellStyle name="Normal 3 5 6 2 3" xfId="17102" xr:uid="{4E6CC0BD-E745-45EB-B3F0-6BADA0818560}"/>
    <cellStyle name="Normal 3 5 6 2 3 2" xfId="42594" xr:uid="{0889346F-959E-422D-AE59-DCAE020892CE}"/>
    <cellStyle name="Normal 3 5 6 2 4" xfId="30003" xr:uid="{0EB8B40E-F634-4C6D-B864-4552EFDD77C5}"/>
    <cellStyle name="Normal 3 5 6 3" xfId="7559" xr:uid="{27FCE6C5-6804-4A87-B98C-E0239986769C}"/>
    <cellStyle name="Normal 3 5 6 3 2" xfId="20241" xr:uid="{15291779-ECAE-4C68-8FC3-FDBA241BD5BD}"/>
    <cellStyle name="Normal 3 5 6 3 2 2" xfId="45733" xr:uid="{A61BA2C1-F187-4668-8219-AA1B441C6C24}"/>
    <cellStyle name="Normal 3 5 6 3 3" xfId="33142" xr:uid="{2854CD6B-2467-41EB-A69A-54DFD6B7F018}"/>
    <cellStyle name="Normal 3 5 6 4" xfId="13963" xr:uid="{8CE30DE1-9B2E-4489-827A-F88B2C0140F3}"/>
    <cellStyle name="Normal 3 5 6 4 2" xfId="39455" xr:uid="{E8C5DBD2-1E5D-4E9C-970A-AF65B65E084D}"/>
    <cellStyle name="Normal 3 5 6 5" xfId="26864" xr:uid="{0E07718C-E5A8-43D6-8E44-A62FBAE27158}"/>
    <cellStyle name="Normal 3 5 7" xfId="2558" xr:uid="{116816D6-E128-416D-AB8A-7420832AFB14}"/>
    <cellStyle name="Normal 3 5 7 2" xfId="5712" xr:uid="{41C48E27-2DDC-4D09-A67B-A322318EB6E4}"/>
    <cellStyle name="Normal 3 5 7 2 2" xfId="12005" xr:uid="{3F4E8C81-CE3D-40EB-8910-8B26287854CD}"/>
    <cellStyle name="Normal 3 5 7 2 2 2" xfId="24687" xr:uid="{D52F68C8-FED5-46DF-9FA3-C6DC8604A5F7}"/>
    <cellStyle name="Normal 3 5 7 2 2 2 2" xfId="50179" xr:uid="{067A96E1-EEC2-498B-B05C-C50B692A3F2B}"/>
    <cellStyle name="Normal 3 5 7 2 2 3" xfId="37588" xr:uid="{EB19983F-3032-4401-AB9D-14731D8A809B}"/>
    <cellStyle name="Normal 3 5 7 2 3" xfId="18409" xr:uid="{F4419BF8-1BE1-4A6D-9709-7418C643603C}"/>
    <cellStyle name="Normal 3 5 7 2 3 2" xfId="43901" xr:uid="{E936E7F9-CD1E-456A-9C80-39CAE34ED130}"/>
    <cellStyle name="Normal 3 5 7 2 4" xfId="31310" xr:uid="{7A767CA6-67A5-489A-9717-FE653A3A0A3F}"/>
    <cellStyle name="Normal 3 5 7 3" xfId="8866" xr:uid="{3D4D9368-9D6F-4732-AB6B-996FDAB91991}"/>
    <cellStyle name="Normal 3 5 7 3 2" xfId="21548" xr:uid="{C87DD6D1-F30D-4D37-BE2A-E48B32EE6BCE}"/>
    <cellStyle name="Normal 3 5 7 3 2 2" xfId="47040" xr:uid="{8B0A23C4-996D-4671-8DAE-EB370215DD55}"/>
    <cellStyle name="Normal 3 5 7 3 3" xfId="34449" xr:uid="{D4809E62-22E6-41AE-8EA7-6C94FAC3FD30}"/>
    <cellStyle name="Normal 3 5 7 4" xfId="15270" xr:uid="{A59F75FC-8051-4766-A13B-4FF43A9816B3}"/>
    <cellStyle name="Normal 3 5 7 4 2" xfId="40762" xr:uid="{841E2271-FB05-4CF6-BDDC-9BD1DEA82B7D}"/>
    <cellStyle name="Normal 3 5 7 5" xfId="28171" xr:uid="{EF0B13ED-C8F7-45CD-B700-BD3B0BBE8F8D}"/>
    <cellStyle name="Normal 3 5 8" xfId="3081" xr:uid="{EFB0D1C5-4DA4-49BC-889E-8FEF1E935401}"/>
    <cellStyle name="Normal 3 5 8 2" xfId="6235" xr:uid="{3AE51F0D-A4BB-461E-9CC7-15977AD94980}"/>
    <cellStyle name="Normal 3 5 8 2 2" xfId="12528" xr:uid="{5263AFD1-A059-44A7-A27F-B3A523EE2526}"/>
    <cellStyle name="Normal 3 5 8 2 2 2" xfId="25210" xr:uid="{C2A764A7-ECB1-46AA-B42E-053B74DC4BE7}"/>
    <cellStyle name="Normal 3 5 8 2 2 2 2" xfId="50702" xr:uid="{5F930AC8-0C25-43C0-B1A2-900BC69EBF75}"/>
    <cellStyle name="Normal 3 5 8 2 2 3" xfId="38111" xr:uid="{DC276564-F78F-47F6-8120-9C5AD165AF78}"/>
    <cellStyle name="Normal 3 5 8 2 3" xfId="18932" xr:uid="{BBD9DAC6-DA54-4DCD-85BF-E7FDCF503C96}"/>
    <cellStyle name="Normal 3 5 8 2 3 2" xfId="44424" xr:uid="{23B95AE8-78F5-4AF2-82B6-A8782F47C8D5}"/>
    <cellStyle name="Normal 3 5 8 2 4" xfId="31833" xr:uid="{A0C96337-630C-43AB-B188-631DD5A54C9A}"/>
    <cellStyle name="Normal 3 5 8 3" xfId="9389" xr:uid="{C44E73BA-214F-4396-BC4F-0205B396AE51}"/>
    <cellStyle name="Normal 3 5 8 3 2" xfId="22071" xr:uid="{4134DDD9-A984-4D2F-A72A-0635052DFEB6}"/>
    <cellStyle name="Normal 3 5 8 3 2 2" xfId="47563" xr:uid="{65B7E35E-2332-4C86-A119-A7215518CD9E}"/>
    <cellStyle name="Normal 3 5 8 3 3" xfId="34972" xr:uid="{4F7FDB26-DEC8-4870-80FF-943A353FD666}"/>
    <cellStyle name="Normal 3 5 8 4" xfId="15793" xr:uid="{EB7D0DC5-16DC-4255-921F-F7097232CC99}"/>
    <cellStyle name="Normal 3 5 8 4 2" xfId="41285" xr:uid="{EF3692AF-CDCB-457D-A86E-A06A4B91A8D8}"/>
    <cellStyle name="Normal 3 5 8 5" xfId="28694" xr:uid="{204E1AA3-9C67-4998-A351-FB5CF724B893}"/>
    <cellStyle name="Normal 3 5 9" xfId="3620" xr:uid="{174396D2-0A90-4CC6-A5A9-E48BE4A8DC55}"/>
    <cellStyle name="Normal 3 5 9 2" xfId="9913" xr:uid="{D8170513-4A24-4BC7-A59F-8A7FE7868260}"/>
    <cellStyle name="Normal 3 5 9 2 2" xfId="22595" xr:uid="{BA263E76-3295-48B9-BA6F-AB495181ABAB}"/>
    <cellStyle name="Normal 3 5 9 2 2 2" xfId="48087" xr:uid="{3C09C53F-9291-4128-B2F0-2626244E2C36}"/>
    <cellStyle name="Normal 3 5 9 2 3" xfId="35496" xr:uid="{583924F5-F389-4B11-89DB-AE2C04E488E1}"/>
    <cellStyle name="Normal 3 5 9 3" xfId="16317" xr:uid="{CC877421-A195-47E9-9357-96E323CAEEBD}"/>
    <cellStyle name="Normal 3 5 9 3 2" xfId="41809" xr:uid="{0E14D4F8-2134-4B4E-A428-0A632122CD46}"/>
    <cellStyle name="Normal 3 5 9 4" xfId="29218" xr:uid="{A7CBBB69-A292-4C51-A543-5F2BD83D546F}"/>
    <cellStyle name="Normal 3 6" xfId="568" xr:uid="{6E6234D5-27E4-4F63-A64C-BCF525DE4094}"/>
    <cellStyle name="Normal 3 6 10" xfId="13295" xr:uid="{1D1560B0-4910-4BFF-9C75-47FE488117CE}"/>
    <cellStyle name="Normal 3 6 10 2" xfId="38787" xr:uid="{3E8D6C76-144C-497E-85C8-1D3628221B0D}"/>
    <cellStyle name="Normal 3 6 11" xfId="26196" xr:uid="{EF33FFE0-50E4-4CD0-8320-EF5ED78DFC9A}"/>
    <cellStyle name="Normal 3 6 2" xfId="1105" xr:uid="{923D660C-1EB2-4D7D-A38C-A7FEF59F38E6}"/>
    <cellStyle name="Normal 3 6 2 2" xfId="2412" xr:uid="{C38DFB87-AC1C-4389-BF99-91A77C6C3860}"/>
    <cellStyle name="Normal 3 6 2 2 2" xfId="5566" xr:uid="{29AE5E60-1F69-423F-9880-CA96FD641577}"/>
    <cellStyle name="Normal 3 6 2 2 2 2" xfId="11859" xr:uid="{65D9D4D7-BC2B-4431-8640-1D6139357308}"/>
    <cellStyle name="Normal 3 6 2 2 2 2 2" xfId="24541" xr:uid="{7031CEF2-3FA0-404E-961E-68AD887517B4}"/>
    <cellStyle name="Normal 3 6 2 2 2 2 2 2" xfId="50033" xr:uid="{C40A906E-AD72-4371-9856-E35273F56862}"/>
    <cellStyle name="Normal 3 6 2 2 2 2 3" xfId="37442" xr:uid="{519B3D42-AB21-472B-A224-C99E4FADCB1A}"/>
    <cellStyle name="Normal 3 6 2 2 2 3" xfId="18263" xr:uid="{1D32D0F2-4E59-4151-8C9C-7A363F488063}"/>
    <cellStyle name="Normal 3 6 2 2 2 3 2" xfId="43755" xr:uid="{FBE92904-E514-49B7-AD7D-C6E59CAFAE86}"/>
    <cellStyle name="Normal 3 6 2 2 2 4" xfId="31164" xr:uid="{70D0407E-09CD-4D00-BD76-D439AA5608BF}"/>
    <cellStyle name="Normal 3 6 2 2 3" xfId="8720" xr:uid="{995D6270-6EAD-4000-93E9-510BB504AF05}"/>
    <cellStyle name="Normal 3 6 2 2 3 2" xfId="21402" xr:uid="{2044088E-5BA6-4654-BEAD-6FEE1FDC690F}"/>
    <cellStyle name="Normal 3 6 2 2 3 2 2" xfId="46894" xr:uid="{4EB4A298-1706-4ABF-B2CC-46907FE61FF7}"/>
    <cellStyle name="Normal 3 6 2 2 3 3" xfId="34303" xr:uid="{A275E381-9581-472F-99E0-A2FB48E7F466}"/>
    <cellStyle name="Normal 3 6 2 2 4" xfId="15124" xr:uid="{53300502-5544-4A76-9D59-98526F327A2C}"/>
    <cellStyle name="Normal 3 6 2 2 4 2" xfId="40616" xr:uid="{43DE9EC3-2740-49EF-9FE7-1A6671CBC6C2}"/>
    <cellStyle name="Normal 3 6 2 2 5" xfId="28025" xr:uid="{77114C0B-59CA-434D-9BF7-8E84669B129F}"/>
    <cellStyle name="Normal 3 6 2 3" xfId="1629" xr:uid="{D0710F63-7935-4F33-87B3-E4B88E7FC4F8}"/>
    <cellStyle name="Normal 3 6 2 3 2" xfId="4783" xr:uid="{4F0B0E88-0DC0-4665-BB50-9B7E7C464217}"/>
    <cellStyle name="Normal 3 6 2 3 2 2" xfId="11076" xr:uid="{4C5DF490-7E0A-4B2C-9065-7C2213083EB5}"/>
    <cellStyle name="Normal 3 6 2 3 2 2 2" xfId="23758" xr:uid="{A00700AF-B20F-44C2-8B8A-879D8997AF68}"/>
    <cellStyle name="Normal 3 6 2 3 2 2 2 2" xfId="49250" xr:uid="{D0A61776-6B1C-49E2-A5EB-03C5994FEA3C}"/>
    <cellStyle name="Normal 3 6 2 3 2 2 3" xfId="36659" xr:uid="{6A81B3C4-82E0-415D-82DD-0258FEC595C2}"/>
    <cellStyle name="Normal 3 6 2 3 2 3" xfId="17480" xr:uid="{FE87D119-4623-4922-BCA6-3CAC2A793E7E}"/>
    <cellStyle name="Normal 3 6 2 3 2 3 2" xfId="42972" xr:uid="{987A97C3-2C0F-4608-938B-882F848889BA}"/>
    <cellStyle name="Normal 3 6 2 3 2 4" xfId="30381" xr:uid="{9BAE9EE5-D46B-4654-B8AF-C9864E896A7B}"/>
    <cellStyle name="Normal 3 6 2 3 3" xfId="7937" xr:uid="{8BE4707D-A815-49AF-AB03-6AE05CF96279}"/>
    <cellStyle name="Normal 3 6 2 3 3 2" xfId="20619" xr:uid="{ECF73859-6820-442F-9291-36FB87BA8889}"/>
    <cellStyle name="Normal 3 6 2 3 3 2 2" xfId="46111" xr:uid="{A045B441-C665-4685-B608-8A579EAFABD1}"/>
    <cellStyle name="Normal 3 6 2 3 3 3" xfId="33520" xr:uid="{9176B0EB-3D4D-437A-9F26-846B3358157A}"/>
    <cellStyle name="Normal 3 6 2 3 4" xfId="14341" xr:uid="{7B0F9865-7659-46E4-A2E9-C3FFD9F8C29F}"/>
    <cellStyle name="Normal 3 6 2 3 4 2" xfId="39833" xr:uid="{3A5F8DC8-84ED-4D94-8C54-C5BA52429B6C}"/>
    <cellStyle name="Normal 3 6 2 3 5" xfId="27242" xr:uid="{1BDD4964-AB37-4399-B63F-C13E3504B908}"/>
    <cellStyle name="Normal 3 6 2 4" xfId="2936" xr:uid="{49052070-7B36-4DF7-8F5A-0ECC3C0E4C51}"/>
    <cellStyle name="Normal 3 6 2 4 2" xfId="6090" xr:uid="{D2911D8F-C61C-4572-A408-6E3FA7975779}"/>
    <cellStyle name="Normal 3 6 2 4 2 2" xfId="12383" xr:uid="{736A4686-18E3-4D82-B1D4-41683CB90C4D}"/>
    <cellStyle name="Normal 3 6 2 4 2 2 2" xfId="25065" xr:uid="{3F36E157-CC63-444B-9EC7-6CE1C13C53BE}"/>
    <cellStyle name="Normal 3 6 2 4 2 2 2 2" xfId="50557" xr:uid="{5D82B534-02DC-42AA-A185-C732CC748D0F}"/>
    <cellStyle name="Normal 3 6 2 4 2 2 3" xfId="37966" xr:uid="{2CCDB0B7-6D40-4270-ABBD-580F1B20EA5D}"/>
    <cellStyle name="Normal 3 6 2 4 2 3" xfId="18787" xr:uid="{6B7FEA86-2275-4AF2-9891-623281466868}"/>
    <cellStyle name="Normal 3 6 2 4 2 3 2" xfId="44279" xr:uid="{AC531C8C-FB5B-4F98-B0F0-F68D97A71588}"/>
    <cellStyle name="Normal 3 6 2 4 2 4" xfId="31688" xr:uid="{51092931-B7D3-4C17-B6DA-332B28093247}"/>
    <cellStyle name="Normal 3 6 2 4 3" xfId="9244" xr:uid="{42D1E275-C6A8-44B5-9F27-8B65EC687F83}"/>
    <cellStyle name="Normal 3 6 2 4 3 2" xfId="21926" xr:uid="{07C79A46-BC79-4299-B092-E6A348484071}"/>
    <cellStyle name="Normal 3 6 2 4 3 2 2" xfId="47418" xr:uid="{A66C5573-4573-46F3-87C8-53A82B387410}"/>
    <cellStyle name="Normal 3 6 2 4 3 3" xfId="34827" xr:uid="{4DA7027D-2B0C-4FB7-95AF-ABDACC91259C}"/>
    <cellStyle name="Normal 3 6 2 4 4" xfId="15648" xr:uid="{7D92F0B8-7D42-45D8-8D2F-81723E6979F6}"/>
    <cellStyle name="Normal 3 6 2 4 4 2" xfId="41140" xr:uid="{9D20D497-9842-49F6-89D5-9A3DF30BE3DE}"/>
    <cellStyle name="Normal 3 6 2 4 5" xfId="28549" xr:uid="{063C5DD3-D0D4-48F4-83DF-273F0AF76F4F}"/>
    <cellStyle name="Normal 3 6 2 5" xfId="3459" xr:uid="{102333D5-89B0-4D15-B63B-A85B9E253D15}"/>
    <cellStyle name="Normal 3 6 2 5 2" xfId="6613" xr:uid="{854FB8C3-593C-4BE5-AF55-DA11CC94019F}"/>
    <cellStyle name="Normal 3 6 2 5 2 2" xfId="12906" xr:uid="{6EF25461-A8D7-4CB7-9CC6-66579D040D67}"/>
    <cellStyle name="Normal 3 6 2 5 2 2 2" xfId="25588" xr:uid="{AC5C404E-6CB1-4859-AA47-77C6CEFC0D8D}"/>
    <cellStyle name="Normal 3 6 2 5 2 2 2 2" xfId="51080" xr:uid="{E1B1C41A-5954-4A35-8A67-76F6FAD65236}"/>
    <cellStyle name="Normal 3 6 2 5 2 2 3" xfId="38489" xr:uid="{8D0C937F-CE8F-4F76-8004-9EC51C443A78}"/>
    <cellStyle name="Normal 3 6 2 5 2 3" xfId="19310" xr:uid="{2AD23061-A32D-4BF9-8C9D-6A673EDE8C34}"/>
    <cellStyle name="Normal 3 6 2 5 2 3 2" xfId="44802" xr:uid="{0AE70778-96C5-4DA6-B1FF-108D3CCF6B41}"/>
    <cellStyle name="Normal 3 6 2 5 2 4" xfId="32211" xr:uid="{60BE3FA5-7A5D-44E4-9F03-287B09653224}"/>
    <cellStyle name="Normal 3 6 2 5 3" xfId="9767" xr:uid="{3042CD59-60E5-4207-B1F6-0F0BE4CC1E1C}"/>
    <cellStyle name="Normal 3 6 2 5 3 2" xfId="22449" xr:uid="{11321EA4-F017-4674-953F-A4206B038720}"/>
    <cellStyle name="Normal 3 6 2 5 3 2 2" xfId="47941" xr:uid="{788249B4-F4D1-4B87-A9A7-6C079CC92BB3}"/>
    <cellStyle name="Normal 3 6 2 5 3 3" xfId="35350" xr:uid="{34D523C2-F928-4595-A45F-BC8F86A6F700}"/>
    <cellStyle name="Normal 3 6 2 5 4" xfId="16171" xr:uid="{D95273C1-EDA3-4961-82AD-BFA98C76803F}"/>
    <cellStyle name="Normal 3 6 2 5 4 2" xfId="41663" xr:uid="{4963526B-1FFA-4A8B-989F-18854E2873EB}"/>
    <cellStyle name="Normal 3 6 2 5 5" xfId="29072" xr:uid="{A635EF96-6DC4-45B8-8EA9-87D98E89ABCF}"/>
    <cellStyle name="Normal 3 6 2 6" xfId="4259" xr:uid="{B9A3682F-BDCC-46FD-8281-F8D1B211A6A5}"/>
    <cellStyle name="Normal 3 6 2 6 2" xfId="10552" xr:uid="{961B6F40-D6A8-42E0-995D-864823D2F7BD}"/>
    <cellStyle name="Normal 3 6 2 6 2 2" xfId="23234" xr:uid="{E842BD60-48E5-445F-A52D-1011AE0EE33A}"/>
    <cellStyle name="Normal 3 6 2 6 2 2 2" xfId="48726" xr:uid="{D1E83DEB-E49E-44F3-AC2B-9663DCD44C94}"/>
    <cellStyle name="Normal 3 6 2 6 2 3" xfId="36135" xr:uid="{17EF192B-1246-40B9-9541-9E565382D575}"/>
    <cellStyle name="Normal 3 6 2 6 3" xfId="16956" xr:uid="{E4CA2CF1-BF78-463A-AB6D-FA75AE47B8F3}"/>
    <cellStyle name="Normal 3 6 2 6 3 2" xfId="42448" xr:uid="{6C939FE3-3DAC-4EA1-BE7C-A1DA0B9023C4}"/>
    <cellStyle name="Normal 3 6 2 6 4" xfId="29857" xr:uid="{3AC51D27-BD81-4701-BD18-D78FDF3FC723}"/>
    <cellStyle name="Normal 3 6 2 7" xfId="7413" xr:uid="{5BA1F609-6BFA-438F-90D2-0F1F583BBF97}"/>
    <cellStyle name="Normal 3 6 2 7 2" xfId="20095" xr:uid="{2A90A4CB-0352-4E70-AF8A-AB48E519A4B5}"/>
    <cellStyle name="Normal 3 6 2 7 2 2" xfId="45587" xr:uid="{AB8F66DC-DA77-4A62-B2CC-33E0C2AFBEF5}"/>
    <cellStyle name="Normal 3 6 2 7 3" xfId="32996" xr:uid="{6AA211C9-A702-4252-AF6B-E1B9B07D35D3}"/>
    <cellStyle name="Normal 3 6 2 8" xfId="13817" xr:uid="{07674FA7-BCFB-4105-BBA1-EBDD62E596C5}"/>
    <cellStyle name="Normal 3 6 2 8 2" xfId="39309" xr:uid="{9A14B2F7-4E7E-4135-B0F2-DF42165128E3}"/>
    <cellStyle name="Normal 3 6 2 9" xfId="26718" xr:uid="{EE85C562-6547-4D7A-9852-EC670F2C794C}"/>
    <cellStyle name="Normal 3 6 3" xfId="845" xr:uid="{0FFE553B-1327-4891-B25E-272F6F9D8374}"/>
    <cellStyle name="Normal 3 6 3 2" xfId="2152" xr:uid="{8B8C5D96-8066-439F-B615-246DF7742826}"/>
    <cellStyle name="Normal 3 6 3 2 2" xfId="5306" xr:uid="{E1335F85-8976-4E6E-AB12-54832C86C4B0}"/>
    <cellStyle name="Normal 3 6 3 2 2 2" xfId="11599" xr:uid="{7040DDA0-AAD5-4ABD-AEAB-711F1E2A8EEC}"/>
    <cellStyle name="Normal 3 6 3 2 2 2 2" xfId="24281" xr:uid="{3C2D9ABA-2F7C-4C05-9359-AE32B12468F7}"/>
    <cellStyle name="Normal 3 6 3 2 2 2 2 2" xfId="49773" xr:uid="{7E908C2C-818D-4DC7-94E7-55D1AAE359E2}"/>
    <cellStyle name="Normal 3 6 3 2 2 2 3" xfId="37182" xr:uid="{DDA039A0-B7B3-48C8-86D2-C4295EA80248}"/>
    <cellStyle name="Normal 3 6 3 2 2 3" xfId="18003" xr:uid="{C8C3F3FB-9F27-4E2D-AC5A-4AF38249335D}"/>
    <cellStyle name="Normal 3 6 3 2 2 3 2" xfId="43495" xr:uid="{E1095501-C9A6-458F-A55B-BCB8136C5B6F}"/>
    <cellStyle name="Normal 3 6 3 2 2 4" xfId="30904" xr:uid="{5B436B95-7826-41ED-8201-82BD2812E95F}"/>
    <cellStyle name="Normal 3 6 3 2 3" xfId="8460" xr:uid="{DF4DC2F8-25F4-417D-B830-7C6D00AC1495}"/>
    <cellStyle name="Normal 3 6 3 2 3 2" xfId="21142" xr:uid="{1AF46A02-583D-47B7-859E-5F23E03656FC}"/>
    <cellStyle name="Normal 3 6 3 2 3 2 2" xfId="46634" xr:uid="{9C7B3FD4-4795-466F-90A2-8DCA30F080FD}"/>
    <cellStyle name="Normal 3 6 3 2 3 3" xfId="34043" xr:uid="{6FA3F448-B138-4B7F-A275-A21BAE0F2903}"/>
    <cellStyle name="Normal 3 6 3 2 4" xfId="14864" xr:uid="{222A3B7C-05DD-4D36-932E-13FB3B600830}"/>
    <cellStyle name="Normal 3 6 3 2 4 2" xfId="40356" xr:uid="{66369977-F902-4699-A7D4-03972E0E5674}"/>
    <cellStyle name="Normal 3 6 3 2 5" xfId="27765" xr:uid="{CF8B2366-5243-44FC-B2D6-D823F5D8FF77}"/>
    <cellStyle name="Normal 3 6 3 3" xfId="3999" xr:uid="{DF23CD7E-AC43-419A-AA4D-F9BAF8D9C15A}"/>
    <cellStyle name="Normal 3 6 3 3 2" xfId="10292" xr:uid="{ECCF6EE8-A79B-49D5-8354-7FBF9CC41F64}"/>
    <cellStyle name="Normal 3 6 3 3 2 2" xfId="22974" xr:uid="{86506F49-6F9A-43A4-A7FD-3FAD22E928D6}"/>
    <cellStyle name="Normal 3 6 3 3 2 2 2" xfId="48466" xr:uid="{A8646697-29CC-4332-AD17-C0986AC6A235}"/>
    <cellStyle name="Normal 3 6 3 3 2 3" xfId="35875" xr:uid="{4858AF11-ECF0-455D-AB52-27AFF1D95849}"/>
    <cellStyle name="Normal 3 6 3 3 3" xfId="16696" xr:uid="{84F03E93-3611-4C4A-9FC7-21D48B7B27D9}"/>
    <cellStyle name="Normal 3 6 3 3 3 2" xfId="42188" xr:uid="{9574BDB5-E0D4-439B-A9E5-A82D4828BFC9}"/>
    <cellStyle name="Normal 3 6 3 3 4" xfId="29597" xr:uid="{9C3B03ED-D484-4A55-9888-90C30D8BAE98}"/>
    <cellStyle name="Normal 3 6 3 4" xfId="7153" xr:uid="{9B902B57-FBC5-45E7-A87D-4941398C86DB}"/>
    <cellStyle name="Normal 3 6 3 4 2" xfId="19835" xr:uid="{9D52FED4-2E6F-4B6E-857D-8CDC96C58D69}"/>
    <cellStyle name="Normal 3 6 3 4 2 2" xfId="45327" xr:uid="{42C2717A-7D37-4B5F-8A5F-1B795249A610}"/>
    <cellStyle name="Normal 3 6 3 4 3" xfId="32736" xr:uid="{E9627329-99E2-4F8C-ACB7-3FA54AA81213}"/>
    <cellStyle name="Normal 3 6 3 5" xfId="13557" xr:uid="{6C11F624-8B9B-41CD-80DE-04B295E975F8}"/>
    <cellStyle name="Normal 3 6 3 5 2" xfId="39049" xr:uid="{21A8CCF7-47EB-40DE-B272-B75925C0956F}"/>
    <cellStyle name="Normal 3 6 3 6" xfId="26458" xr:uid="{CE51C082-9F2C-4929-93AC-E5F6CD47307A}"/>
    <cellStyle name="Normal 3 6 4" xfId="1890" xr:uid="{900B32F0-7C95-4A53-952F-BF9E07A3C2B4}"/>
    <cellStyle name="Normal 3 6 4 2" xfId="5044" xr:uid="{D4355D87-D806-40F4-B804-A77C2FE4EAA7}"/>
    <cellStyle name="Normal 3 6 4 2 2" xfId="11337" xr:uid="{468F4025-17F6-49A1-BB63-56335DCE335D}"/>
    <cellStyle name="Normal 3 6 4 2 2 2" xfId="24019" xr:uid="{26A15EA7-D6DC-443A-BD02-4A30B12CDA5A}"/>
    <cellStyle name="Normal 3 6 4 2 2 2 2" xfId="49511" xr:uid="{766460EA-33BC-4F3B-96FE-5EA9A1F2E700}"/>
    <cellStyle name="Normal 3 6 4 2 2 3" xfId="36920" xr:uid="{1DBC8D28-100E-45C1-A722-2EF286709E8C}"/>
    <cellStyle name="Normal 3 6 4 2 3" xfId="17741" xr:uid="{7070BA27-4D02-4D99-90BD-B90F6BAEFC5B}"/>
    <cellStyle name="Normal 3 6 4 2 3 2" xfId="43233" xr:uid="{A1596591-B5A5-4DD5-9F3A-FBAF80DFEFF7}"/>
    <cellStyle name="Normal 3 6 4 2 4" xfId="30642" xr:uid="{8372C6CC-759A-42DB-BFCE-4C97CBBB11B4}"/>
    <cellStyle name="Normal 3 6 4 3" xfId="8198" xr:uid="{3EB05BA3-3B84-4249-AF98-01AD89351F4B}"/>
    <cellStyle name="Normal 3 6 4 3 2" xfId="20880" xr:uid="{45DDBC9F-8884-4204-B620-AAE8EB597D5E}"/>
    <cellStyle name="Normal 3 6 4 3 2 2" xfId="46372" xr:uid="{625B0EA2-B966-4DE1-8226-D6A58D5E48F2}"/>
    <cellStyle name="Normal 3 6 4 3 3" xfId="33781" xr:uid="{932E50A9-D13F-4B27-80E6-CA3729DAE0C5}"/>
    <cellStyle name="Normal 3 6 4 4" xfId="14602" xr:uid="{134021AB-2CA2-4733-BF4E-3F982EEBD066}"/>
    <cellStyle name="Normal 3 6 4 4 2" xfId="40094" xr:uid="{C4649298-6D7B-451F-B6C9-554B9F73BD82}"/>
    <cellStyle name="Normal 3 6 4 5" xfId="27503" xr:uid="{0F141C56-EAB4-420F-B743-F16863EF1B02}"/>
    <cellStyle name="Normal 3 6 5" xfId="1368" xr:uid="{B8288B5E-7176-4D57-912E-EA7CAD5C00AF}"/>
    <cellStyle name="Normal 3 6 5 2" xfId="4522" xr:uid="{66829CA4-9B4A-4063-A504-D01FEBB712CE}"/>
    <cellStyle name="Normal 3 6 5 2 2" xfId="10815" xr:uid="{89CF52B3-7597-4F93-9497-F00A7EDFED1F}"/>
    <cellStyle name="Normal 3 6 5 2 2 2" xfId="23497" xr:uid="{BACC6D42-4FBA-4F1D-89DA-77AA4A05FCC1}"/>
    <cellStyle name="Normal 3 6 5 2 2 2 2" xfId="48989" xr:uid="{75C788E8-4306-4A05-8386-6F4340B6FD4E}"/>
    <cellStyle name="Normal 3 6 5 2 2 3" xfId="36398" xr:uid="{ECDF12AE-62DF-474E-9D26-EFDC3C02D77F}"/>
    <cellStyle name="Normal 3 6 5 2 3" xfId="17219" xr:uid="{03EC14FF-6FAD-4C5A-A99B-D9B8B8C6FA88}"/>
    <cellStyle name="Normal 3 6 5 2 3 2" xfId="42711" xr:uid="{FBFDF81B-C9F9-4582-B0A2-BF0656A1B371}"/>
    <cellStyle name="Normal 3 6 5 2 4" xfId="30120" xr:uid="{4591433F-C34F-4932-BEB7-D3D465E866E8}"/>
    <cellStyle name="Normal 3 6 5 3" xfId="7676" xr:uid="{3D9F1A2A-99C8-4C43-ABF4-98C679627D59}"/>
    <cellStyle name="Normal 3 6 5 3 2" xfId="20358" xr:uid="{F01203CC-1EFA-45FA-BCBE-18E305444EA0}"/>
    <cellStyle name="Normal 3 6 5 3 2 2" xfId="45850" xr:uid="{95D1AF52-552A-4D1F-83D9-4CF7F802EE87}"/>
    <cellStyle name="Normal 3 6 5 3 3" xfId="33259" xr:uid="{15504A26-2C4D-486B-8D27-7F7E7AE4E740}"/>
    <cellStyle name="Normal 3 6 5 4" xfId="14080" xr:uid="{242130A8-15D3-4B26-9179-3661BA91A49C}"/>
    <cellStyle name="Normal 3 6 5 4 2" xfId="39572" xr:uid="{24C0949A-D1EA-4649-A5A6-4F9F6C9E7472}"/>
    <cellStyle name="Normal 3 6 5 5" xfId="26981" xr:uid="{200DE17C-8CC9-4B37-A9E3-99E84DFBAE3C}"/>
    <cellStyle name="Normal 3 6 6" xfId="2675" xr:uid="{1091EB2E-CAC8-4AF3-9F72-3DBF7BF9BF01}"/>
    <cellStyle name="Normal 3 6 6 2" xfId="5829" xr:uid="{0F68EAD6-585C-4E36-9A0D-DF94DFA85288}"/>
    <cellStyle name="Normal 3 6 6 2 2" xfId="12122" xr:uid="{02828FF3-7340-4EC7-9A08-3DD5D6F54685}"/>
    <cellStyle name="Normal 3 6 6 2 2 2" xfId="24804" xr:uid="{8BA16820-3BD3-4413-91EB-BBFA39E51B9F}"/>
    <cellStyle name="Normal 3 6 6 2 2 2 2" xfId="50296" xr:uid="{A12C0630-58B0-4CCD-9BB3-5A83E7E54D9C}"/>
    <cellStyle name="Normal 3 6 6 2 2 3" xfId="37705" xr:uid="{1E2FED49-2307-47C0-9FB6-DFE406836D96}"/>
    <cellStyle name="Normal 3 6 6 2 3" xfId="18526" xr:uid="{A3BC781F-3D56-4881-86CC-75F031C64036}"/>
    <cellStyle name="Normal 3 6 6 2 3 2" xfId="44018" xr:uid="{098B74AE-7CF8-44D5-B674-8A4864B62C28}"/>
    <cellStyle name="Normal 3 6 6 2 4" xfId="31427" xr:uid="{D5D200B5-C4EA-47BE-AC29-C77A49425558}"/>
    <cellStyle name="Normal 3 6 6 3" xfId="8983" xr:uid="{FBA6E8F2-0A5C-4B6C-9345-A9FDF69A085F}"/>
    <cellStyle name="Normal 3 6 6 3 2" xfId="21665" xr:uid="{B12491A2-46AA-4CA5-B22A-198DA62DD0C4}"/>
    <cellStyle name="Normal 3 6 6 3 2 2" xfId="47157" xr:uid="{6B6ED47E-1361-4840-AB87-3CB06C30A300}"/>
    <cellStyle name="Normal 3 6 6 3 3" xfId="34566" xr:uid="{53103A3D-E7B3-493B-8DA8-28772648D804}"/>
    <cellStyle name="Normal 3 6 6 4" xfId="15387" xr:uid="{31ED6D92-7D0B-4A93-AAEC-48417D7C1CEE}"/>
    <cellStyle name="Normal 3 6 6 4 2" xfId="40879" xr:uid="{98C74A9C-99F6-4CF3-B443-FD51375CF4E7}"/>
    <cellStyle name="Normal 3 6 6 5" xfId="28288" xr:uid="{77AE8220-3A4F-429D-8171-B9B924121E13}"/>
    <cellStyle name="Normal 3 6 7" xfId="3198" xr:uid="{73749F30-344E-4034-B60C-B33EF302B658}"/>
    <cellStyle name="Normal 3 6 7 2" xfId="6352" xr:uid="{B66E7A04-6921-42DE-AFAC-4140CB0644C0}"/>
    <cellStyle name="Normal 3 6 7 2 2" xfId="12645" xr:uid="{23D7C687-736B-4AFC-8C94-160B7BF753D9}"/>
    <cellStyle name="Normal 3 6 7 2 2 2" xfId="25327" xr:uid="{43292906-75D0-4B8A-A43A-3F240BFBFA02}"/>
    <cellStyle name="Normal 3 6 7 2 2 2 2" xfId="50819" xr:uid="{9843CB95-307C-4015-BFA3-A6BA9C6D6329}"/>
    <cellStyle name="Normal 3 6 7 2 2 3" xfId="38228" xr:uid="{30FC4882-72E5-43EC-BD1B-1A4C9382C813}"/>
    <cellStyle name="Normal 3 6 7 2 3" xfId="19049" xr:uid="{D520FAFA-FCE6-434D-9CEE-C1E3F5341076}"/>
    <cellStyle name="Normal 3 6 7 2 3 2" xfId="44541" xr:uid="{0F6F427D-C109-4A3C-8B5F-BD69652EA15A}"/>
    <cellStyle name="Normal 3 6 7 2 4" xfId="31950" xr:uid="{87DFCD8B-696A-4CE7-897E-C83684004B14}"/>
    <cellStyle name="Normal 3 6 7 3" xfId="9506" xr:uid="{E56AA608-BEB0-4BAF-8879-40FEAA4B2797}"/>
    <cellStyle name="Normal 3 6 7 3 2" xfId="22188" xr:uid="{D7AAB8C6-361C-4189-8AE5-1BA577CE5A66}"/>
    <cellStyle name="Normal 3 6 7 3 2 2" xfId="47680" xr:uid="{020F3C52-C6BC-4CCA-BD0F-A15E3A6D354C}"/>
    <cellStyle name="Normal 3 6 7 3 3" xfId="35089" xr:uid="{AF94334C-A8F0-4871-A239-A6C7335A87BC}"/>
    <cellStyle name="Normal 3 6 7 4" xfId="15910" xr:uid="{50DEAA06-CC64-4C37-9F6F-E842F417E9C3}"/>
    <cellStyle name="Normal 3 6 7 4 2" xfId="41402" xr:uid="{6AA6EA66-6E3D-4704-A414-989C4AFDB453}"/>
    <cellStyle name="Normal 3 6 7 5" xfId="28811" xr:uid="{EBFFE847-0230-402C-8DA1-ECB61C973F6C}"/>
    <cellStyle name="Normal 3 6 8" xfId="3737" xr:uid="{6FCF8ED9-942C-4E03-A853-4D6BE24D5607}"/>
    <cellStyle name="Normal 3 6 8 2" xfId="10030" xr:uid="{FD6B8B21-525C-466C-94D1-1766D1A5AE6A}"/>
    <cellStyle name="Normal 3 6 8 2 2" xfId="22712" xr:uid="{6B775937-33BD-4044-8F73-F58D771CDB07}"/>
    <cellStyle name="Normal 3 6 8 2 2 2" xfId="48204" xr:uid="{37F994AC-2F54-4983-A298-811269F03460}"/>
    <cellStyle name="Normal 3 6 8 2 3" xfId="35613" xr:uid="{4EDFBB96-9E32-44BF-9F66-15B80F469396}"/>
    <cellStyle name="Normal 3 6 8 3" xfId="16434" xr:uid="{8C0B6229-5B59-4189-947F-33503FC94BAF}"/>
    <cellStyle name="Normal 3 6 8 3 2" xfId="41926" xr:uid="{DD80BA87-278A-447C-B6FA-48BB18066C67}"/>
    <cellStyle name="Normal 3 6 8 4" xfId="29335" xr:uid="{31A97A14-FE2F-4167-8B0C-65D1EE96A24E}"/>
    <cellStyle name="Normal 3 6 9" xfId="6891" xr:uid="{D83C0CCB-3D3D-4609-93CC-1453DCCAA159}"/>
    <cellStyle name="Normal 3 6 9 2" xfId="19573" xr:uid="{856BCA19-335A-4E7A-9BBA-1D15053FB33C}"/>
    <cellStyle name="Normal 3 6 9 2 2" xfId="45065" xr:uid="{1693A803-38FA-4759-A253-CFB88B951211}"/>
    <cellStyle name="Normal 3 6 9 3" xfId="32474" xr:uid="{B7E2AB1A-6275-4193-B546-15AA2CB6C598}"/>
    <cellStyle name="Normal 3 7" xfId="510" xr:uid="{5C804C36-7CBF-4178-8247-E9CB6DE3F4EF}"/>
    <cellStyle name="Normal 3 7 10" xfId="13237" xr:uid="{2D101F44-D9B0-418A-98DE-EF918B8FF636}"/>
    <cellStyle name="Normal 3 7 10 2" xfId="38729" xr:uid="{EF84FD60-B140-4A6B-AECB-2CAA0587C0F9}"/>
    <cellStyle name="Normal 3 7 11" xfId="26138" xr:uid="{1D379C40-29A7-4E9E-839D-A0216118C4A6}"/>
    <cellStyle name="Normal 3 7 2" xfId="1047" xr:uid="{E5B4215B-8B34-4E18-9876-3A0085D96918}"/>
    <cellStyle name="Normal 3 7 2 2" xfId="2354" xr:uid="{7B814563-057C-44D2-B5EA-DB1127866936}"/>
    <cellStyle name="Normal 3 7 2 2 2" xfId="5508" xr:uid="{8E87A541-0814-4163-9C41-30118F89D38D}"/>
    <cellStyle name="Normal 3 7 2 2 2 2" xfId="11801" xr:uid="{8B2496CA-C337-4008-A457-5D90989103AF}"/>
    <cellStyle name="Normal 3 7 2 2 2 2 2" xfId="24483" xr:uid="{99A7B0F8-EBF6-4BE0-BA3A-4950E59881D4}"/>
    <cellStyle name="Normal 3 7 2 2 2 2 2 2" xfId="49975" xr:uid="{07D94F64-E5EB-4BE6-AC72-BF9BE2F92C84}"/>
    <cellStyle name="Normal 3 7 2 2 2 2 3" xfId="37384" xr:uid="{A8DFA08F-A2CE-4E7E-AF29-85ED648586DA}"/>
    <cellStyle name="Normal 3 7 2 2 2 3" xfId="18205" xr:uid="{8ECA4DA4-43A9-4FB0-B40A-FBF5A8DD060B}"/>
    <cellStyle name="Normal 3 7 2 2 2 3 2" xfId="43697" xr:uid="{58934716-5ECF-48DB-B8B5-4DFDE1C0F14A}"/>
    <cellStyle name="Normal 3 7 2 2 2 4" xfId="31106" xr:uid="{9E9472A1-613C-4E2C-9B4E-8FF0C1990BEF}"/>
    <cellStyle name="Normal 3 7 2 2 3" xfId="8662" xr:uid="{13720BAE-2136-4DA3-A049-8A51B8A30221}"/>
    <cellStyle name="Normal 3 7 2 2 3 2" xfId="21344" xr:uid="{C0FF73A6-BC6E-45D9-AC13-13352E557092}"/>
    <cellStyle name="Normal 3 7 2 2 3 2 2" xfId="46836" xr:uid="{1EDC3D56-66D7-4651-93E4-8142A28860FC}"/>
    <cellStyle name="Normal 3 7 2 2 3 3" xfId="34245" xr:uid="{F3E85985-FC2E-4EC4-A0F0-B954CC933D04}"/>
    <cellStyle name="Normal 3 7 2 2 4" xfId="15066" xr:uid="{F892B134-2E11-42A9-8D4F-5DED59FA83F3}"/>
    <cellStyle name="Normal 3 7 2 2 4 2" xfId="40558" xr:uid="{67715CD4-851C-4355-80CF-B56206DD64AD}"/>
    <cellStyle name="Normal 3 7 2 2 5" xfId="27967" xr:uid="{59122581-E748-4775-AD87-5FA4D89239B2}"/>
    <cellStyle name="Normal 3 7 2 3" xfId="1571" xr:uid="{F716D77D-4C58-4A2C-BE4F-37A42F55D2DE}"/>
    <cellStyle name="Normal 3 7 2 3 2" xfId="4725" xr:uid="{A0803394-2DF2-473C-99B0-1F0A0D85D44F}"/>
    <cellStyle name="Normal 3 7 2 3 2 2" xfId="11018" xr:uid="{31408B3C-DB90-459A-8806-1C94E5326FA7}"/>
    <cellStyle name="Normal 3 7 2 3 2 2 2" xfId="23700" xr:uid="{9A027D71-AE35-453B-81A7-98B56C15C781}"/>
    <cellStyle name="Normal 3 7 2 3 2 2 2 2" xfId="49192" xr:uid="{1A0EE229-4886-4E4E-97B4-0E121BD261B2}"/>
    <cellStyle name="Normal 3 7 2 3 2 2 3" xfId="36601" xr:uid="{CA6941C6-1AFE-4734-9EF7-AB1A22B0F50F}"/>
    <cellStyle name="Normal 3 7 2 3 2 3" xfId="17422" xr:uid="{02410410-16F2-4F65-9175-C6660755DEBA}"/>
    <cellStyle name="Normal 3 7 2 3 2 3 2" xfId="42914" xr:uid="{92CB3EED-F5E3-4EAF-89C2-19CCBE3C420C}"/>
    <cellStyle name="Normal 3 7 2 3 2 4" xfId="30323" xr:uid="{43137854-A7D9-4C2F-AF4D-A556586E1C6F}"/>
    <cellStyle name="Normal 3 7 2 3 3" xfId="7879" xr:uid="{3BDD702C-3037-4656-9D42-F409B2FE6DFA}"/>
    <cellStyle name="Normal 3 7 2 3 3 2" xfId="20561" xr:uid="{FC0DDA63-4F6F-4FBF-8DC2-59F7A0D45F6E}"/>
    <cellStyle name="Normal 3 7 2 3 3 2 2" xfId="46053" xr:uid="{067231B3-10DF-48F1-A5B6-7E3552E49FCD}"/>
    <cellStyle name="Normal 3 7 2 3 3 3" xfId="33462" xr:uid="{1B0C8695-0ACE-4D6D-BBFF-1A747FEC5253}"/>
    <cellStyle name="Normal 3 7 2 3 4" xfId="14283" xr:uid="{8F42960E-E587-48A8-A72C-8A5A435D6258}"/>
    <cellStyle name="Normal 3 7 2 3 4 2" xfId="39775" xr:uid="{E8F25464-AD51-4CC2-9445-27CEB0EAB44F}"/>
    <cellStyle name="Normal 3 7 2 3 5" xfId="27184" xr:uid="{01A3C394-2292-432C-A96C-CD9B25905317}"/>
    <cellStyle name="Normal 3 7 2 4" xfId="2878" xr:uid="{01407EA7-96E3-4D5E-A838-3AE2926B8511}"/>
    <cellStyle name="Normal 3 7 2 4 2" xfId="6032" xr:uid="{824AB85D-F09F-421C-8CFC-4C9870BC3940}"/>
    <cellStyle name="Normal 3 7 2 4 2 2" xfId="12325" xr:uid="{3D022A6E-5ED1-4931-AD76-B78A2A62A4BE}"/>
    <cellStyle name="Normal 3 7 2 4 2 2 2" xfId="25007" xr:uid="{B9B216EB-9A9B-4E21-B7D4-C51570162448}"/>
    <cellStyle name="Normal 3 7 2 4 2 2 2 2" xfId="50499" xr:uid="{6B2BF96A-66CC-4C1B-B434-40E63366A525}"/>
    <cellStyle name="Normal 3 7 2 4 2 2 3" xfId="37908" xr:uid="{2637F69F-27AC-4B0C-B7C3-D3998048EF12}"/>
    <cellStyle name="Normal 3 7 2 4 2 3" xfId="18729" xr:uid="{F0ECEF74-9FCB-4275-92D2-1A7E5E3400CC}"/>
    <cellStyle name="Normal 3 7 2 4 2 3 2" xfId="44221" xr:uid="{591EE89B-DF23-41C1-BBC7-683AFA95E80F}"/>
    <cellStyle name="Normal 3 7 2 4 2 4" xfId="31630" xr:uid="{7B158E95-5702-4C78-9A6B-D6C061AAD031}"/>
    <cellStyle name="Normal 3 7 2 4 3" xfId="9186" xr:uid="{1896A17A-E0F7-4D77-8042-C7F14112ED42}"/>
    <cellStyle name="Normal 3 7 2 4 3 2" xfId="21868" xr:uid="{5E45B3C6-9FC1-47F6-AD2C-4215960275B4}"/>
    <cellStyle name="Normal 3 7 2 4 3 2 2" xfId="47360" xr:uid="{75DE884C-FD56-4E0C-9E12-AA6152870F4C}"/>
    <cellStyle name="Normal 3 7 2 4 3 3" xfId="34769" xr:uid="{C6982230-2619-436E-9D33-357B5FE33F51}"/>
    <cellStyle name="Normal 3 7 2 4 4" xfId="15590" xr:uid="{A228A4C3-1AED-4ED2-B448-426C823B89FA}"/>
    <cellStyle name="Normal 3 7 2 4 4 2" xfId="41082" xr:uid="{70CC1D44-C0F8-47F5-8CE6-BFD3EB14EEA1}"/>
    <cellStyle name="Normal 3 7 2 4 5" xfId="28491" xr:uid="{9BA41C8B-9FD8-4BDE-951F-E10F4E6F981A}"/>
    <cellStyle name="Normal 3 7 2 5" xfId="3401" xr:uid="{CA8CE1ED-69B2-44AC-9DF3-EEA4F5FF9B8C}"/>
    <cellStyle name="Normal 3 7 2 5 2" xfId="6555" xr:uid="{23F5392C-B4A2-411F-83AB-D945ABCA44F2}"/>
    <cellStyle name="Normal 3 7 2 5 2 2" xfId="12848" xr:uid="{7B62E9F1-3209-4676-9F70-D6CFF6A7EF7C}"/>
    <cellStyle name="Normal 3 7 2 5 2 2 2" xfId="25530" xr:uid="{8DBA1211-ADDB-4E62-A439-1AEEA15BCD21}"/>
    <cellStyle name="Normal 3 7 2 5 2 2 2 2" xfId="51022" xr:uid="{2B17E578-85A1-422C-9F90-0A244ABF547D}"/>
    <cellStyle name="Normal 3 7 2 5 2 2 3" xfId="38431" xr:uid="{6E5B962B-08AD-4EC9-B551-D918111596C6}"/>
    <cellStyle name="Normal 3 7 2 5 2 3" xfId="19252" xr:uid="{D922D9E3-5C42-4709-8403-F8EC225D8858}"/>
    <cellStyle name="Normal 3 7 2 5 2 3 2" xfId="44744" xr:uid="{18C2D2F7-0AC7-40CA-B2E8-618762A408C8}"/>
    <cellStyle name="Normal 3 7 2 5 2 4" xfId="32153" xr:uid="{975CAFD4-E256-4B0D-A30E-0AA370848C35}"/>
    <cellStyle name="Normal 3 7 2 5 3" xfId="9709" xr:uid="{F0A2927B-8E72-438B-9DD3-337F7E5B8493}"/>
    <cellStyle name="Normal 3 7 2 5 3 2" xfId="22391" xr:uid="{4910BD37-B7AB-4C7F-80EB-F10DDACEBC2E}"/>
    <cellStyle name="Normal 3 7 2 5 3 2 2" xfId="47883" xr:uid="{95727AC2-2136-4F80-8330-FE3D2B483700}"/>
    <cellStyle name="Normal 3 7 2 5 3 3" xfId="35292" xr:uid="{DF9D14AC-0526-48A4-A545-E3DFCDF1F12B}"/>
    <cellStyle name="Normal 3 7 2 5 4" xfId="16113" xr:uid="{E54BB8E7-B914-4137-83DF-E1CE3E0A5F6C}"/>
    <cellStyle name="Normal 3 7 2 5 4 2" xfId="41605" xr:uid="{6DC6E186-916D-44AB-A83E-D238992310D2}"/>
    <cellStyle name="Normal 3 7 2 5 5" xfId="29014" xr:uid="{634673CD-3E66-4FA8-B39E-8751425BA1DA}"/>
    <cellStyle name="Normal 3 7 2 6" xfId="4201" xr:uid="{A3DE0507-98FE-462D-8982-B5F911ADCBC4}"/>
    <cellStyle name="Normal 3 7 2 6 2" xfId="10494" xr:uid="{53CE97D8-40AE-4736-AE80-97CBF26FA24B}"/>
    <cellStyle name="Normal 3 7 2 6 2 2" xfId="23176" xr:uid="{8E5E8E2E-B05C-46BC-BB7E-204C2D839D22}"/>
    <cellStyle name="Normal 3 7 2 6 2 2 2" xfId="48668" xr:uid="{4440AD9C-43C8-49D1-A28C-9FA2BF5BF727}"/>
    <cellStyle name="Normal 3 7 2 6 2 3" xfId="36077" xr:uid="{DADCF6A4-D838-4103-BA47-3364758073AC}"/>
    <cellStyle name="Normal 3 7 2 6 3" xfId="16898" xr:uid="{554622F7-5BDF-4BA0-90A9-D8C7B6316A77}"/>
    <cellStyle name="Normal 3 7 2 6 3 2" xfId="42390" xr:uid="{D1630CAA-639F-404D-8B30-8B25FD1368BA}"/>
    <cellStyle name="Normal 3 7 2 6 4" xfId="29799" xr:uid="{A7F76071-B75B-4A27-AA12-8C09FD329370}"/>
    <cellStyle name="Normal 3 7 2 7" xfId="7355" xr:uid="{69EE6DAB-B5DA-4ABE-8EB6-EBE5E01385DB}"/>
    <cellStyle name="Normal 3 7 2 7 2" xfId="20037" xr:uid="{FE18AAA0-AEF6-40FE-B999-F59736E92658}"/>
    <cellStyle name="Normal 3 7 2 7 2 2" xfId="45529" xr:uid="{DB3399B4-FE6D-4A66-BDE6-743EFDDE3015}"/>
    <cellStyle name="Normal 3 7 2 7 3" xfId="32938" xr:uid="{381DD86F-7D4F-4799-B2F0-F82CAB3C47BC}"/>
    <cellStyle name="Normal 3 7 2 8" xfId="13759" xr:uid="{6D91B34B-6E77-4ECE-BC08-FA38C16ECBDE}"/>
    <cellStyle name="Normal 3 7 2 8 2" xfId="39251" xr:uid="{FC2D3A1A-6797-4954-B3A0-E4351D0DF196}"/>
    <cellStyle name="Normal 3 7 2 9" xfId="26660" xr:uid="{2A6BB363-2BF1-4C92-AB4B-8484388798E2}"/>
    <cellStyle name="Normal 3 7 3" xfId="787" xr:uid="{D2168A2B-8D95-4350-8A74-216CBA5CEDCF}"/>
    <cellStyle name="Normal 3 7 3 2" xfId="2094" xr:uid="{87101602-9C32-4395-9199-F6BCECF3B438}"/>
    <cellStyle name="Normal 3 7 3 2 2" xfId="5248" xr:uid="{FA2F9C88-F15E-45CF-B208-44FB32D98CA9}"/>
    <cellStyle name="Normal 3 7 3 2 2 2" xfId="11541" xr:uid="{C14859C2-4C2F-4993-BE12-DCE634CB1844}"/>
    <cellStyle name="Normal 3 7 3 2 2 2 2" xfId="24223" xr:uid="{BC56A5A2-7309-413D-8BF1-06AFB7A4CC9A}"/>
    <cellStyle name="Normal 3 7 3 2 2 2 2 2" xfId="49715" xr:uid="{E9380E56-C5E5-4992-8B6B-E08D28522034}"/>
    <cellStyle name="Normal 3 7 3 2 2 2 3" xfId="37124" xr:uid="{F48FB6A4-3F06-4308-B399-B085584FD13E}"/>
    <cellStyle name="Normal 3 7 3 2 2 3" xfId="17945" xr:uid="{65E03BF1-0431-4D25-A7D6-21AD826A4772}"/>
    <cellStyle name="Normal 3 7 3 2 2 3 2" xfId="43437" xr:uid="{8F6C8208-89E6-415C-96CC-F97861860EA3}"/>
    <cellStyle name="Normal 3 7 3 2 2 4" xfId="30846" xr:uid="{FD2FEDC1-0632-414D-9ECA-8274AB537943}"/>
    <cellStyle name="Normal 3 7 3 2 3" xfId="8402" xr:uid="{8C869E59-B788-4F2F-887E-EE6DE1430091}"/>
    <cellStyle name="Normal 3 7 3 2 3 2" xfId="21084" xr:uid="{0CA90434-205C-4D9E-8BB8-EEE9970B6B71}"/>
    <cellStyle name="Normal 3 7 3 2 3 2 2" xfId="46576" xr:uid="{3D4770F8-B49F-4778-B10E-F2D06F5EC433}"/>
    <cellStyle name="Normal 3 7 3 2 3 3" xfId="33985" xr:uid="{D036FA6A-8F55-431A-9F06-F638CFCCCE0A}"/>
    <cellStyle name="Normal 3 7 3 2 4" xfId="14806" xr:uid="{7EDC8C6D-53BE-46A2-87E5-00B65F449068}"/>
    <cellStyle name="Normal 3 7 3 2 4 2" xfId="40298" xr:uid="{9B54962B-CE82-494F-9D92-743FAD9B5CAB}"/>
    <cellStyle name="Normal 3 7 3 2 5" xfId="27707" xr:uid="{DB089749-7024-4A87-8C37-5D89A1393FE9}"/>
    <cellStyle name="Normal 3 7 3 3" xfId="3941" xr:uid="{3B0DFF38-0375-4D72-8605-B7D2CBDAABFC}"/>
    <cellStyle name="Normal 3 7 3 3 2" xfId="10234" xr:uid="{562FFBDF-0D42-4386-872E-C6CA093C6D61}"/>
    <cellStyle name="Normal 3 7 3 3 2 2" xfId="22916" xr:uid="{02A0EFFD-EB2E-4D15-BB90-61687F75A8B3}"/>
    <cellStyle name="Normal 3 7 3 3 2 2 2" xfId="48408" xr:uid="{25616F5E-D269-486C-B4D7-FCE746A64519}"/>
    <cellStyle name="Normal 3 7 3 3 2 3" xfId="35817" xr:uid="{1D895B58-2305-4CDA-8855-3DC2FA6286FE}"/>
    <cellStyle name="Normal 3 7 3 3 3" xfId="16638" xr:uid="{66F60EDD-3110-4A91-B850-4CFF7D9984EC}"/>
    <cellStyle name="Normal 3 7 3 3 3 2" xfId="42130" xr:uid="{CBE8892F-BF17-45EE-8F9B-9E0AEE7048A9}"/>
    <cellStyle name="Normal 3 7 3 3 4" xfId="29539" xr:uid="{9DAF7326-2B92-489B-B7F2-5FDD3129FF42}"/>
    <cellStyle name="Normal 3 7 3 4" xfId="7095" xr:uid="{B97DCCCE-5F73-4DB6-BF0A-61B9B9ADB008}"/>
    <cellStyle name="Normal 3 7 3 4 2" xfId="19777" xr:uid="{BC0DBDC8-9D68-4CBC-AC1B-0A20C5E60E47}"/>
    <cellStyle name="Normal 3 7 3 4 2 2" xfId="45269" xr:uid="{9525F669-202F-4F5B-906B-0A3C61A4DFEC}"/>
    <cellStyle name="Normal 3 7 3 4 3" xfId="32678" xr:uid="{212A7B75-A65A-455D-8E9A-72F1F323D573}"/>
    <cellStyle name="Normal 3 7 3 5" xfId="13499" xr:uid="{9F49EABB-005D-4554-AC8B-4D4520935B3F}"/>
    <cellStyle name="Normal 3 7 3 5 2" xfId="38991" xr:uid="{749CDFB9-1DF6-46D3-AA2E-58AFC80C44F7}"/>
    <cellStyle name="Normal 3 7 3 6" xfId="26400" xr:uid="{BBA51DAA-D4A0-4E8E-88D0-A0F569D66973}"/>
    <cellStyle name="Normal 3 7 4" xfId="1832" xr:uid="{66DE2332-7714-48A0-BB32-4B56FA9C52A7}"/>
    <cellStyle name="Normal 3 7 4 2" xfId="4986" xr:uid="{E43D5154-B665-4F62-AEC6-21F61C9D030C}"/>
    <cellStyle name="Normal 3 7 4 2 2" xfId="11279" xr:uid="{EAF38F02-36B7-481F-90C3-8730F8C7DDF2}"/>
    <cellStyle name="Normal 3 7 4 2 2 2" xfId="23961" xr:uid="{AAD78233-FAA4-41E6-915C-5969D8CB88C5}"/>
    <cellStyle name="Normal 3 7 4 2 2 2 2" xfId="49453" xr:uid="{7294D0E4-937C-4E6F-9B6B-C7666FE36615}"/>
    <cellStyle name="Normal 3 7 4 2 2 3" xfId="36862" xr:uid="{3AD3143E-D38E-49A8-B259-629A641B8E63}"/>
    <cellStyle name="Normal 3 7 4 2 3" xfId="17683" xr:uid="{F85C1CA2-147E-4BF9-9D0D-E8136D6BF485}"/>
    <cellStyle name="Normal 3 7 4 2 3 2" xfId="43175" xr:uid="{4DDD3155-5A64-4D1B-B79A-7286DDB4DCE4}"/>
    <cellStyle name="Normal 3 7 4 2 4" xfId="30584" xr:uid="{BF079311-0461-497C-B8F1-9DA71304557A}"/>
    <cellStyle name="Normal 3 7 4 3" xfId="8140" xr:uid="{A2E8FECC-C172-4EEC-A6CC-959B7538EDA7}"/>
    <cellStyle name="Normal 3 7 4 3 2" xfId="20822" xr:uid="{AC686A5C-E54A-4268-878F-8004C374FD36}"/>
    <cellStyle name="Normal 3 7 4 3 2 2" xfId="46314" xr:uid="{4C927B5F-0994-4BE0-94F6-B763FC84A437}"/>
    <cellStyle name="Normal 3 7 4 3 3" xfId="33723" xr:uid="{810EFEB7-1B7B-470F-9B0B-AF616A58AF51}"/>
    <cellStyle name="Normal 3 7 4 4" xfId="14544" xr:uid="{EB4C5DBF-D746-4FD1-A649-45F064FF466E}"/>
    <cellStyle name="Normal 3 7 4 4 2" xfId="40036" xr:uid="{597129BF-9D7D-4F73-AF37-516EA5DEC1B3}"/>
    <cellStyle name="Normal 3 7 4 5" xfId="27445" xr:uid="{6A7820EF-C535-463C-8433-2B356919A142}"/>
    <cellStyle name="Normal 3 7 5" xfId="1310" xr:uid="{5582D7DF-3A94-41B8-878C-0DA95971870E}"/>
    <cellStyle name="Normal 3 7 5 2" xfId="4464" xr:uid="{7817B4D7-F561-4260-955E-F5708870580C}"/>
    <cellStyle name="Normal 3 7 5 2 2" xfId="10757" xr:uid="{717896A4-BF4A-4F24-8B2E-69FD879A4D2E}"/>
    <cellStyle name="Normal 3 7 5 2 2 2" xfId="23439" xr:uid="{E0E65765-4446-40A5-8BFC-F561F1647135}"/>
    <cellStyle name="Normal 3 7 5 2 2 2 2" xfId="48931" xr:uid="{3594838B-EAA8-4B91-984D-C9CA06DDBB7C}"/>
    <cellStyle name="Normal 3 7 5 2 2 3" xfId="36340" xr:uid="{91C0F76F-86C8-4D30-A939-E5E73B2990F1}"/>
    <cellStyle name="Normal 3 7 5 2 3" xfId="17161" xr:uid="{A4B05E63-8158-4F08-BA6B-B92D1741FD78}"/>
    <cellStyle name="Normal 3 7 5 2 3 2" xfId="42653" xr:uid="{E9C051EB-C669-430A-B024-892B33CF4891}"/>
    <cellStyle name="Normal 3 7 5 2 4" xfId="30062" xr:uid="{D398EF0A-990B-4032-AEE1-6EEDCA1CD57D}"/>
    <cellStyle name="Normal 3 7 5 3" xfId="7618" xr:uid="{29476044-EDD5-406D-8A7F-8A7FB3F012B3}"/>
    <cellStyle name="Normal 3 7 5 3 2" xfId="20300" xr:uid="{26FB4AD9-1344-40F4-9A66-ABE0504C6E2D}"/>
    <cellStyle name="Normal 3 7 5 3 2 2" xfId="45792" xr:uid="{C97D5796-0F3A-46DB-8720-71B2D8D8F063}"/>
    <cellStyle name="Normal 3 7 5 3 3" xfId="33201" xr:uid="{81EA6B17-6C89-4E5F-BB88-ACC294C857EC}"/>
    <cellStyle name="Normal 3 7 5 4" xfId="14022" xr:uid="{3C87B7D6-1D43-4C92-8DBA-75F2E53E1298}"/>
    <cellStyle name="Normal 3 7 5 4 2" xfId="39514" xr:uid="{530BE813-37A4-4EB6-8774-3F97FD7CD515}"/>
    <cellStyle name="Normal 3 7 5 5" xfId="26923" xr:uid="{7393AA68-CB2B-4637-8BDC-1D803D7EAB65}"/>
    <cellStyle name="Normal 3 7 6" xfId="2617" xr:uid="{02A938D4-A958-411D-9FEB-464264826CAA}"/>
    <cellStyle name="Normal 3 7 6 2" xfId="5771" xr:uid="{99C6BF2C-5CEB-42E3-B53D-8B9687A3FC1A}"/>
    <cellStyle name="Normal 3 7 6 2 2" xfId="12064" xr:uid="{3B1EEFD6-58F1-4F1C-AB79-92E511B7C443}"/>
    <cellStyle name="Normal 3 7 6 2 2 2" xfId="24746" xr:uid="{F2873365-A146-4458-9C6A-FA89F07A4425}"/>
    <cellStyle name="Normal 3 7 6 2 2 2 2" xfId="50238" xr:uid="{9E5B65FA-514B-425F-A411-BB66B31C3C21}"/>
    <cellStyle name="Normal 3 7 6 2 2 3" xfId="37647" xr:uid="{FDA9586F-0046-41FD-BCAA-C704C2A2C43B}"/>
    <cellStyle name="Normal 3 7 6 2 3" xfId="18468" xr:uid="{076862CA-E1F5-41B8-B55C-38FDBA00C970}"/>
    <cellStyle name="Normal 3 7 6 2 3 2" xfId="43960" xr:uid="{351EF024-2EA5-4553-9534-AA1AF362D327}"/>
    <cellStyle name="Normal 3 7 6 2 4" xfId="31369" xr:uid="{D7CB5C88-9865-4F3D-8AF0-8223D52E96D1}"/>
    <cellStyle name="Normal 3 7 6 3" xfId="8925" xr:uid="{E98C171C-26A3-48FB-945D-AE5A22DB52F5}"/>
    <cellStyle name="Normal 3 7 6 3 2" xfId="21607" xr:uid="{5FD1C35D-6871-4B9D-A516-18FE9D3EE8B1}"/>
    <cellStyle name="Normal 3 7 6 3 2 2" xfId="47099" xr:uid="{58FE25CA-3068-4C73-BCD0-107802E55890}"/>
    <cellStyle name="Normal 3 7 6 3 3" xfId="34508" xr:uid="{38CEC10B-B149-4E80-BF87-913893F8709F}"/>
    <cellStyle name="Normal 3 7 6 4" xfId="15329" xr:uid="{4AB97E25-D7E3-4A05-B840-15801BB52FAE}"/>
    <cellStyle name="Normal 3 7 6 4 2" xfId="40821" xr:uid="{5205063E-94CF-4023-B144-03F48EBCC971}"/>
    <cellStyle name="Normal 3 7 6 5" xfId="28230" xr:uid="{67700B02-4AB8-414D-BE4F-688FA9D51F8B}"/>
    <cellStyle name="Normal 3 7 7" xfId="3140" xr:uid="{34EA132B-79C1-40B7-98E5-3E13595ECB76}"/>
    <cellStyle name="Normal 3 7 7 2" xfId="6294" xr:uid="{90D4F231-376C-4572-8E1F-1A73AE4E229B}"/>
    <cellStyle name="Normal 3 7 7 2 2" xfId="12587" xr:uid="{4627E436-9A84-4192-B555-949E1F014469}"/>
    <cellStyle name="Normal 3 7 7 2 2 2" xfId="25269" xr:uid="{B5FC5531-8CEC-41B1-AE16-F11FAC78C5FC}"/>
    <cellStyle name="Normal 3 7 7 2 2 2 2" xfId="50761" xr:uid="{F5B84568-D262-41A4-B42F-B17123472327}"/>
    <cellStyle name="Normal 3 7 7 2 2 3" xfId="38170" xr:uid="{D28422B5-E5F8-4D39-9FCC-3B2E3F93F0B6}"/>
    <cellStyle name="Normal 3 7 7 2 3" xfId="18991" xr:uid="{CDA76D3E-76C5-44FE-8FB3-07504278AA7B}"/>
    <cellStyle name="Normal 3 7 7 2 3 2" xfId="44483" xr:uid="{9C915529-379D-495A-8B5A-F6865E840C7B}"/>
    <cellStyle name="Normal 3 7 7 2 4" xfId="31892" xr:uid="{16CE5677-DAA3-4CB7-82A9-9664289F3561}"/>
    <cellStyle name="Normal 3 7 7 3" xfId="9448" xr:uid="{46E4522A-3AC2-4CC5-AEA0-4AE42B0C6A75}"/>
    <cellStyle name="Normal 3 7 7 3 2" xfId="22130" xr:uid="{7DD4DA13-F0D2-4D4D-9313-7C2A66AF84CE}"/>
    <cellStyle name="Normal 3 7 7 3 2 2" xfId="47622" xr:uid="{BF804F43-863A-4076-BD6F-4A7822B8BB85}"/>
    <cellStyle name="Normal 3 7 7 3 3" xfId="35031" xr:uid="{762D28F5-492C-46CE-967A-E9851FC82771}"/>
    <cellStyle name="Normal 3 7 7 4" xfId="15852" xr:uid="{F5801A66-2AC9-4700-B284-4C740BBD3A3D}"/>
    <cellStyle name="Normal 3 7 7 4 2" xfId="41344" xr:uid="{3FB418B9-3D0D-44CD-A356-9B6CA1612833}"/>
    <cellStyle name="Normal 3 7 7 5" xfId="28753" xr:uid="{53E3ED31-A190-4322-BC82-C8ECED5A3604}"/>
    <cellStyle name="Normal 3 7 8" xfId="3679" xr:uid="{17AEB576-1787-4AA3-9494-7965F4EC2531}"/>
    <cellStyle name="Normal 3 7 8 2" xfId="9972" xr:uid="{BC7643C2-47F1-467A-859B-F171BD2C28DA}"/>
    <cellStyle name="Normal 3 7 8 2 2" xfId="22654" xr:uid="{0031B970-B1AD-4DCA-9EDF-9FF13AC33B5D}"/>
    <cellStyle name="Normal 3 7 8 2 2 2" xfId="48146" xr:uid="{506B688B-EFAD-4E2C-B99B-C4D9AF83CF36}"/>
    <cellStyle name="Normal 3 7 8 2 3" xfId="35555" xr:uid="{873E8ACF-485D-4DC5-B08C-BD0A824CDE58}"/>
    <cellStyle name="Normal 3 7 8 3" xfId="16376" xr:uid="{CED5903A-9E30-4236-931E-06637EC0DD13}"/>
    <cellStyle name="Normal 3 7 8 3 2" xfId="41868" xr:uid="{802D675D-B0DB-46FE-B65F-42E20F880ABF}"/>
    <cellStyle name="Normal 3 7 8 4" xfId="29277" xr:uid="{8D27C085-B041-470C-B5BF-F3A03E19A8A4}"/>
    <cellStyle name="Normal 3 7 9" xfId="6833" xr:uid="{2EECC83F-5664-4747-8494-AF209772047F}"/>
    <cellStyle name="Normal 3 7 9 2" xfId="19515" xr:uid="{6C71666C-8782-4FA3-84E6-481A97192FEF}"/>
    <cellStyle name="Normal 3 7 9 2 2" xfId="45007" xr:uid="{FDCDA3D6-8F0B-46F3-A593-9E2447D06BB3}"/>
    <cellStyle name="Normal 3 7 9 3" xfId="32416" xr:uid="{33E151C3-E39C-4423-BEE5-EC32374B9D0F}"/>
    <cellStyle name="Normal 3 8" xfId="946" xr:uid="{41A28764-CF94-4E3E-8EFE-E9048ADB0C78}"/>
    <cellStyle name="Normal 3 8 2" xfId="2253" xr:uid="{DA14D9CC-C7DF-4906-AF87-13CDAE86DFDC}"/>
    <cellStyle name="Normal 3 8 2 2" xfId="5407" xr:uid="{F646CD47-090C-4FC9-A9DB-485F181A53E2}"/>
    <cellStyle name="Normal 3 8 2 2 2" xfId="11700" xr:uid="{D653DABA-A63F-4145-96F9-F89C9F51C40E}"/>
    <cellStyle name="Normal 3 8 2 2 2 2" xfId="24382" xr:uid="{90000311-FE5E-4432-A904-EF810731E478}"/>
    <cellStyle name="Normal 3 8 2 2 2 2 2" xfId="49874" xr:uid="{4B2E6608-0EC0-48B8-A516-EAD821886F4A}"/>
    <cellStyle name="Normal 3 8 2 2 2 3" xfId="37283" xr:uid="{F8A50620-B5EF-43AC-ADDD-17CCB90EF92F}"/>
    <cellStyle name="Normal 3 8 2 2 3" xfId="18104" xr:uid="{EA6260C8-790E-47CB-AEBF-1DA635288589}"/>
    <cellStyle name="Normal 3 8 2 2 3 2" xfId="43596" xr:uid="{5846E55F-601D-4D03-A44A-20DCBB66FD1A}"/>
    <cellStyle name="Normal 3 8 2 2 4" xfId="31005" xr:uid="{5A5069BE-4430-4F3A-B508-84B41A9E1B28}"/>
    <cellStyle name="Normal 3 8 2 3" xfId="8561" xr:uid="{ED18375B-46AB-4C51-BD9C-C8DBF87C4BD8}"/>
    <cellStyle name="Normal 3 8 2 3 2" xfId="21243" xr:uid="{80998569-F771-4058-AD39-DBBD8EE6D883}"/>
    <cellStyle name="Normal 3 8 2 3 2 2" xfId="46735" xr:uid="{B2E61443-43F4-41A9-B32C-CB6779932309}"/>
    <cellStyle name="Normal 3 8 2 3 3" xfId="34144" xr:uid="{B5FB5393-B112-4BFE-A654-0BB26B7BBC33}"/>
    <cellStyle name="Normal 3 8 2 4" xfId="14965" xr:uid="{DFD620E7-26F6-4272-B5C0-3F6125526F2C}"/>
    <cellStyle name="Normal 3 8 2 4 2" xfId="40457" xr:uid="{9162BFFA-356D-4DCA-A9BA-F82B01710BA8}"/>
    <cellStyle name="Normal 3 8 2 5" xfId="27866" xr:uid="{FC8261EA-56D2-46E0-801D-7DE12279F24C}"/>
    <cellStyle name="Normal 3 8 3" xfId="1470" xr:uid="{6066377C-7263-4058-A361-90E401B80989}"/>
    <cellStyle name="Normal 3 8 3 2" xfId="4624" xr:uid="{404FCDA8-CFCB-42AD-B1AE-C78B06571942}"/>
    <cellStyle name="Normal 3 8 3 2 2" xfId="10917" xr:uid="{571CE9CC-81BF-488B-AF76-27D4073DCC60}"/>
    <cellStyle name="Normal 3 8 3 2 2 2" xfId="23599" xr:uid="{1A3028FD-C2B4-4E6F-A96C-CF23E04207F0}"/>
    <cellStyle name="Normal 3 8 3 2 2 2 2" xfId="49091" xr:uid="{953F571E-244E-49C8-B1BC-2DC30AF47318}"/>
    <cellStyle name="Normal 3 8 3 2 2 3" xfId="36500" xr:uid="{E64135F2-04BA-4D9C-BCC3-2097F9EF6950}"/>
    <cellStyle name="Normal 3 8 3 2 3" xfId="17321" xr:uid="{4D74C90D-CB9F-4A19-982D-C1E1049C9866}"/>
    <cellStyle name="Normal 3 8 3 2 3 2" xfId="42813" xr:uid="{23005986-120C-42DF-9B1D-6308196F0FB7}"/>
    <cellStyle name="Normal 3 8 3 2 4" xfId="30222" xr:uid="{05241319-C1D8-4B82-8F1F-0973345C9AB5}"/>
    <cellStyle name="Normal 3 8 3 3" xfId="7778" xr:uid="{44BA68DF-0BEA-40DA-BEBC-F9A99BE4F467}"/>
    <cellStyle name="Normal 3 8 3 3 2" xfId="20460" xr:uid="{CD36F9F1-74DA-4C4E-948D-48242AEC04E4}"/>
    <cellStyle name="Normal 3 8 3 3 2 2" xfId="45952" xr:uid="{2CD9F3C4-9B4F-4963-96EA-3DCFEA9A96C8}"/>
    <cellStyle name="Normal 3 8 3 3 3" xfId="33361" xr:uid="{CCA87593-2F9B-467D-AA9A-DD8276FB486B}"/>
    <cellStyle name="Normal 3 8 3 4" xfId="14182" xr:uid="{A4E9E6A3-F40B-492B-B583-1DB4D3CADF61}"/>
    <cellStyle name="Normal 3 8 3 4 2" xfId="39674" xr:uid="{6B939636-451F-4503-87AE-E7E474AC9315}"/>
    <cellStyle name="Normal 3 8 3 5" xfId="27083" xr:uid="{5C0611EB-3AEF-439B-B1BF-D759FD54B024}"/>
    <cellStyle name="Normal 3 8 4" xfId="2777" xr:uid="{36ACE784-68CD-4758-BCA2-C3D52F650807}"/>
    <cellStyle name="Normal 3 8 4 2" xfId="5931" xr:uid="{ED45C83D-76C8-4799-9143-ECCF747CC30A}"/>
    <cellStyle name="Normal 3 8 4 2 2" xfId="12224" xr:uid="{DC80AB83-2CDD-46EF-98E0-5248746E42BD}"/>
    <cellStyle name="Normal 3 8 4 2 2 2" xfId="24906" xr:uid="{3BAD4F7C-530D-4F12-BEEF-9ED11EC7ED81}"/>
    <cellStyle name="Normal 3 8 4 2 2 2 2" xfId="50398" xr:uid="{65C5C47C-1972-4495-AD7E-F47ECB328E78}"/>
    <cellStyle name="Normal 3 8 4 2 2 3" xfId="37807" xr:uid="{A5A5543D-8BA5-4D15-AC0F-DF96B1B883D5}"/>
    <cellStyle name="Normal 3 8 4 2 3" xfId="18628" xr:uid="{8C04BD3E-53AE-4005-9F3C-97475D2D696B}"/>
    <cellStyle name="Normal 3 8 4 2 3 2" xfId="44120" xr:uid="{DA94E745-6EAB-4DF3-B84F-4A2D56412200}"/>
    <cellStyle name="Normal 3 8 4 2 4" xfId="31529" xr:uid="{2DC73F57-34B9-45E6-B749-4870AF028EDE}"/>
    <cellStyle name="Normal 3 8 4 3" xfId="9085" xr:uid="{123C839D-640F-4AED-A345-F74D4BE9C7E3}"/>
    <cellStyle name="Normal 3 8 4 3 2" xfId="21767" xr:uid="{9A714494-0CD7-49CF-BB0A-D68C668CECE2}"/>
    <cellStyle name="Normal 3 8 4 3 2 2" xfId="47259" xr:uid="{6CB3EF8A-F0C2-466A-9E6F-244465F6919D}"/>
    <cellStyle name="Normal 3 8 4 3 3" xfId="34668" xr:uid="{5EAC77F3-F301-4A2F-97F8-926780FCC379}"/>
    <cellStyle name="Normal 3 8 4 4" xfId="15489" xr:uid="{5203E6F9-79B1-4248-928C-698EB049311F}"/>
    <cellStyle name="Normal 3 8 4 4 2" xfId="40981" xr:uid="{3E648521-857D-49EB-B363-1B7221E08F06}"/>
    <cellStyle name="Normal 3 8 4 5" xfId="28390" xr:uid="{463A9261-86B2-4AD3-9CF7-F7BB9119E0B0}"/>
    <cellStyle name="Normal 3 8 5" xfId="3300" xr:uid="{C5BE550B-094E-4BE7-89BD-6C18CFCF1A1C}"/>
    <cellStyle name="Normal 3 8 5 2" xfId="6454" xr:uid="{9DA1DF13-95A1-424F-9DFA-B174C4151E89}"/>
    <cellStyle name="Normal 3 8 5 2 2" xfId="12747" xr:uid="{7611F8FD-4A2C-41AF-BE15-28AB4DE94E56}"/>
    <cellStyle name="Normal 3 8 5 2 2 2" xfId="25429" xr:uid="{5A5BA41C-2094-4F56-BC0B-AF81C5363001}"/>
    <cellStyle name="Normal 3 8 5 2 2 2 2" xfId="50921" xr:uid="{260989BE-BF34-40A1-B887-DB784BAF9F4F}"/>
    <cellStyle name="Normal 3 8 5 2 2 3" xfId="38330" xr:uid="{84D724E6-984F-4B68-9F7E-BE7AA8EC953D}"/>
    <cellStyle name="Normal 3 8 5 2 3" xfId="19151" xr:uid="{6673EDBB-02F6-400E-B4E2-C8811C5B3518}"/>
    <cellStyle name="Normal 3 8 5 2 3 2" xfId="44643" xr:uid="{4C35D066-2098-4E90-929F-361D48F0B662}"/>
    <cellStyle name="Normal 3 8 5 2 4" xfId="32052" xr:uid="{0E300994-34B9-4B55-9164-BF65A09FB53D}"/>
    <cellStyle name="Normal 3 8 5 3" xfId="9608" xr:uid="{D10A0E17-D54F-4D36-A4C3-95ED66825731}"/>
    <cellStyle name="Normal 3 8 5 3 2" xfId="22290" xr:uid="{BCAB0435-DB54-45F3-A7C8-03FEB484A77A}"/>
    <cellStyle name="Normal 3 8 5 3 2 2" xfId="47782" xr:uid="{328872CB-EC2D-46A4-AE01-0511D5A25952}"/>
    <cellStyle name="Normal 3 8 5 3 3" xfId="35191" xr:uid="{FF8C9CC8-638C-4B00-BEDA-AF38ED56AF7E}"/>
    <cellStyle name="Normal 3 8 5 4" xfId="16012" xr:uid="{19D9B4CB-DE4B-4F01-B048-D82FEBB515D2}"/>
    <cellStyle name="Normal 3 8 5 4 2" xfId="41504" xr:uid="{74E3DEBC-2DF3-442C-9F52-7BD2E4FFFDB4}"/>
    <cellStyle name="Normal 3 8 5 5" xfId="28913" xr:uid="{3618B799-25F2-494F-9DC4-DCB0EFC0863A}"/>
    <cellStyle name="Normal 3 8 6" xfId="4100" xr:uid="{B1232034-662F-43E3-BDDA-1F130AA58E0C}"/>
    <cellStyle name="Normal 3 8 6 2" xfId="10393" xr:uid="{B7AB31D8-3E95-4315-AF78-29B7339E90B4}"/>
    <cellStyle name="Normal 3 8 6 2 2" xfId="23075" xr:uid="{1FC6F15F-1828-47AF-92FD-8F6176C50C3C}"/>
    <cellStyle name="Normal 3 8 6 2 2 2" xfId="48567" xr:uid="{10B43804-839B-424D-B145-5D64FD9DD531}"/>
    <cellStyle name="Normal 3 8 6 2 3" xfId="35976" xr:uid="{F8890AC7-8155-4C3F-9A83-CD502E673EEC}"/>
    <cellStyle name="Normal 3 8 6 3" xfId="16797" xr:uid="{4DD77971-4E8F-4D32-BABA-29DFD4DF47E3}"/>
    <cellStyle name="Normal 3 8 6 3 2" xfId="42289" xr:uid="{7F644AC7-E823-4469-83C1-713BD5A6CA13}"/>
    <cellStyle name="Normal 3 8 6 4" xfId="29698" xr:uid="{D7468C02-0241-40DA-A3A4-76C8767D5938}"/>
    <cellStyle name="Normal 3 8 7" xfId="7254" xr:uid="{D9EF9D56-2152-405E-A53A-580B6D902E8A}"/>
    <cellStyle name="Normal 3 8 7 2" xfId="19936" xr:uid="{16758095-F88E-44CE-9F5A-04964495D99C}"/>
    <cellStyle name="Normal 3 8 7 2 2" xfId="45428" xr:uid="{6B1351B5-BB1E-4684-804A-A72E29117B48}"/>
    <cellStyle name="Normal 3 8 7 3" xfId="32837" xr:uid="{FFCD016F-2275-4FA3-9A80-0ED6B37CA41E}"/>
    <cellStyle name="Normal 3 8 8" xfId="13658" xr:uid="{81ADB25E-7CCA-4FF8-A95A-A7232648696A}"/>
    <cellStyle name="Normal 3 8 8 2" xfId="39150" xr:uid="{1CB9405C-EDED-49B9-846D-BF584CD919EA}"/>
    <cellStyle name="Normal 3 8 9" xfId="26559" xr:uid="{78152A5C-213A-46F6-8824-34799852B66C}"/>
    <cellStyle name="Normal 3 9" xfId="686" xr:uid="{53756AE0-65B0-40C2-A56C-8925B62F0AC2}"/>
    <cellStyle name="Normal 3 9 2" xfId="1993" xr:uid="{8D384CC2-CBB4-402B-9FF1-43BA7444AC13}"/>
    <cellStyle name="Normal 3 9 2 2" xfId="5147" xr:uid="{D4A2F62B-991B-4EF8-8E89-2DCD3AFD7756}"/>
    <cellStyle name="Normal 3 9 2 2 2" xfId="11440" xr:uid="{5DC38CA8-1AC1-48C7-A0E3-3B45C7FA6B10}"/>
    <cellStyle name="Normal 3 9 2 2 2 2" xfId="24122" xr:uid="{4B57D7EE-FB4E-44E8-8671-E6DC2BAAB685}"/>
    <cellStyle name="Normal 3 9 2 2 2 2 2" xfId="49614" xr:uid="{8BC9BF73-E5A8-4900-A7FA-7652710EA1EC}"/>
    <cellStyle name="Normal 3 9 2 2 2 3" xfId="37023" xr:uid="{3396B88E-C4C0-44AC-808E-88642119BDB6}"/>
    <cellStyle name="Normal 3 9 2 2 3" xfId="17844" xr:uid="{26CBA996-E00D-493D-A4EA-E1D3EB1F4DDB}"/>
    <cellStyle name="Normal 3 9 2 2 3 2" xfId="43336" xr:uid="{09C036B9-8A42-4A98-BF00-2EA94A79FB33}"/>
    <cellStyle name="Normal 3 9 2 2 4" xfId="30745" xr:uid="{76A20193-925E-47B9-945C-DCECD22125ED}"/>
    <cellStyle name="Normal 3 9 2 3" xfId="8301" xr:uid="{32CB31F6-B089-4C5D-8452-1B68FE8AB768}"/>
    <cellStyle name="Normal 3 9 2 3 2" xfId="20983" xr:uid="{5DA193E2-3641-4B39-AE42-ED11F6CB8BAC}"/>
    <cellStyle name="Normal 3 9 2 3 2 2" xfId="46475" xr:uid="{D083E4C9-253F-4487-B78E-4EA1DFED56AD}"/>
    <cellStyle name="Normal 3 9 2 3 3" xfId="33884" xr:uid="{ABBF5D04-BA16-4CDC-939B-DACA51855AE3}"/>
    <cellStyle name="Normal 3 9 2 4" xfId="14705" xr:uid="{86C2036D-24C6-4683-A3C9-1E0A811FA9A6}"/>
    <cellStyle name="Normal 3 9 2 4 2" xfId="40197" xr:uid="{430D7E28-6F1C-4E31-B511-0642A71635B2}"/>
    <cellStyle name="Normal 3 9 2 5" xfId="27606" xr:uid="{277E8180-ABE9-44D4-B1AF-D116CA792315}"/>
    <cellStyle name="Normal 3 9 3" xfId="3840" xr:uid="{08C8A590-A973-4139-A7AF-3656E3AA76E4}"/>
    <cellStyle name="Normal 3 9 3 2" xfId="10133" xr:uid="{189CAA08-46E7-45EA-B61B-C929317710CB}"/>
    <cellStyle name="Normal 3 9 3 2 2" xfId="22815" xr:uid="{D48C09A9-49DB-41C2-B1DF-7AF76FF4CDCF}"/>
    <cellStyle name="Normal 3 9 3 2 2 2" xfId="48307" xr:uid="{4F025B50-8AD9-45DA-8640-6165AAC4E95A}"/>
    <cellStyle name="Normal 3 9 3 2 3" xfId="35716" xr:uid="{E46A37F4-E0A4-4102-95EF-5A495ABFFD52}"/>
    <cellStyle name="Normal 3 9 3 3" xfId="16537" xr:uid="{0124178D-7F04-4E15-B72B-A41C183439EE}"/>
    <cellStyle name="Normal 3 9 3 3 2" xfId="42029" xr:uid="{316525CE-0154-41D8-98B7-4738C22E6403}"/>
    <cellStyle name="Normal 3 9 3 4" xfId="29438" xr:uid="{517DECA5-ADC3-4A66-BEEA-B9526D710CD8}"/>
    <cellStyle name="Normal 3 9 4" xfId="6994" xr:uid="{E6016B87-550B-4D0A-A19A-F70F33D5DC91}"/>
    <cellStyle name="Normal 3 9 4 2" xfId="19676" xr:uid="{2EAADA6F-F359-47EF-88B7-E10F9E9342F7}"/>
    <cellStyle name="Normal 3 9 4 2 2" xfId="45168" xr:uid="{EE35F9E0-5B91-4DD2-960D-0FC9000955DB}"/>
    <cellStyle name="Normal 3 9 4 3" xfId="32577" xr:uid="{B6D97CFA-DB44-42D7-87EE-FCFDC2B752F4}"/>
    <cellStyle name="Normal 3 9 5" xfId="13398" xr:uid="{A9367544-AD1C-471C-9739-631ED3E95753}"/>
    <cellStyle name="Normal 3 9 5 2" xfId="38890" xr:uid="{08643884-3479-4A66-ADCF-D60B1B9A99F1}"/>
    <cellStyle name="Normal 3 9 6" xfId="26299" xr:uid="{F1F9818D-E497-40AF-A3BE-92788F34F589}"/>
    <cellStyle name="Normal 30" xfId="51358" xr:uid="{DE12EBCC-311F-4704-BACC-5773314BCBBE}"/>
    <cellStyle name="Normal 31" xfId="51359" xr:uid="{BF4E1D0C-1418-493F-93A6-AFCB7F866D0B}"/>
    <cellStyle name="Normal 32" xfId="51360" xr:uid="{6D699949-7D18-4A30-BA60-085383738BA8}"/>
    <cellStyle name="Normal 33" xfId="51361" xr:uid="{FD913225-9462-47DF-9C60-C95F10D78746}"/>
    <cellStyle name="Normal 34" xfId="51362" xr:uid="{CE92E3F9-B06E-4630-9B80-E471E2586BA5}"/>
    <cellStyle name="Normal 35" xfId="51363" xr:uid="{3BA81B82-C7A1-4EC4-9583-FF69ADFCB234}"/>
    <cellStyle name="Normal 36" xfId="51364" xr:uid="{DB99EAC7-D946-4A83-BAF7-34D63A7C13A8}"/>
    <cellStyle name="Normal 37" xfId="51365" xr:uid="{04C5DB74-EFBA-4DE8-9B70-C20D6A37ACAB}"/>
    <cellStyle name="Normal 38" xfId="51366" xr:uid="{621B2E3C-619D-4A7A-BC0C-F6509D438387}"/>
    <cellStyle name="Normal 39" xfId="51369" xr:uid="{46899F52-ED55-4E4D-8146-A7D894FFC5E2}"/>
    <cellStyle name="Normal 4" xfId="96" xr:uid="{512C1BBC-8E0A-481D-B428-8C58D087B20C}"/>
    <cellStyle name="Normal 4 10" xfId="1733" xr:uid="{F8FF8A83-4B58-4501-B7EE-C24A8A8DDE13}"/>
    <cellStyle name="Normal 4 10 2" xfId="4887" xr:uid="{CD1D30CA-ACCF-4C90-AAC9-53BB66FF79DD}"/>
    <cellStyle name="Normal 4 10 2 2" xfId="11180" xr:uid="{E21D2ADE-366B-4F64-ADB8-8367E8787BA5}"/>
    <cellStyle name="Normal 4 10 2 2 2" xfId="23862" xr:uid="{B05E1B18-F336-4125-BA3E-74DBEEB4CAC2}"/>
    <cellStyle name="Normal 4 10 2 2 2 2" xfId="49354" xr:uid="{BE8BCF62-8DB5-4F6C-833D-1F2EE408333F}"/>
    <cellStyle name="Normal 4 10 2 2 3" xfId="36763" xr:uid="{C9AFAD42-BF92-4978-8F01-353D017980BC}"/>
    <cellStyle name="Normal 4 10 2 3" xfId="17584" xr:uid="{CF209200-A8C0-4484-B8F5-9949254E19E9}"/>
    <cellStyle name="Normal 4 10 2 3 2" xfId="43076" xr:uid="{62C31B55-5B7A-4ECE-BD5C-24A02FAD9C21}"/>
    <cellStyle name="Normal 4 10 2 4" xfId="30485" xr:uid="{1D7D615C-E334-4F58-A46D-095338A1FE26}"/>
    <cellStyle name="Normal 4 10 3" xfId="8041" xr:uid="{923A3705-0985-471B-9120-E31A6B6F4438}"/>
    <cellStyle name="Normal 4 10 3 2" xfId="20723" xr:uid="{48F6471F-5C30-4E8A-82F0-1235C3035F93}"/>
    <cellStyle name="Normal 4 10 3 2 2" xfId="46215" xr:uid="{8ACB3A6C-8099-4926-BB4D-2AC19E0C942F}"/>
    <cellStyle name="Normal 4 10 3 3" xfId="33624" xr:uid="{76E2F0FA-4D88-40A6-8919-477D0F866A2F}"/>
    <cellStyle name="Normal 4 10 4" xfId="14445" xr:uid="{514C4AF9-56EA-4F37-9A8F-551E855E6EB9}"/>
    <cellStyle name="Normal 4 10 4 2" xfId="39937" xr:uid="{DEC8B27A-3694-443F-B8DF-48052800BC6E}"/>
    <cellStyle name="Normal 4 10 5" xfId="27346" xr:uid="{22C05EBC-AB14-40C6-9BD7-95B669598EE0}"/>
    <cellStyle name="Normal 4 11" xfId="1211" xr:uid="{E3CBBCB7-15AD-4419-BB28-B975F4011853}"/>
    <cellStyle name="Normal 4 11 2" xfId="4365" xr:uid="{33E75B89-1EB7-46C4-802A-52C6ABB78FBF}"/>
    <cellStyle name="Normal 4 11 2 2" xfId="10658" xr:uid="{622C8015-FC9E-466E-A98A-C9DA33BF5252}"/>
    <cellStyle name="Normal 4 11 2 2 2" xfId="23340" xr:uid="{F4B6D3FB-2724-4D8F-8E4F-B5AA4074F390}"/>
    <cellStyle name="Normal 4 11 2 2 2 2" xfId="48832" xr:uid="{50E48FA7-9061-4EC6-80AA-36217048447F}"/>
    <cellStyle name="Normal 4 11 2 2 3" xfId="36241" xr:uid="{95551A58-8058-4475-A735-1C3F3B897DD2}"/>
    <cellStyle name="Normal 4 11 2 3" xfId="17062" xr:uid="{6AAB5292-3492-441D-80DA-0F8416BFE8E4}"/>
    <cellStyle name="Normal 4 11 2 3 2" xfId="42554" xr:uid="{5BEF4DA3-497A-4046-9A03-0C17243F40B6}"/>
    <cellStyle name="Normal 4 11 2 4" xfId="29963" xr:uid="{37FBBF26-9C80-41D1-ABB0-AFEA4001D9B5}"/>
    <cellStyle name="Normal 4 11 3" xfId="7519" xr:uid="{3DF69731-1FE0-4EC2-A4C8-6A57EA65B5DA}"/>
    <cellStyle name="Normal 4 11 3 2" xfId="20201" xr:uid="{3BE0AE0A-8C0A-441B-AF9C-C9610C533088}"/>
    <cellStyle name="Normal 4 11 3 2 2" xfId="45693" xr:uid="{662D84D3-8D0C-4B40-B0CB-1023FB17A425}"/>
    <cellStyle name="Normal 4 11 3 3" xfId="33102" xr:uid="{C0712B17-1594-4FE8-B110-E9B4C51A324B}"/>
    <cellStyle name="Normal 4 11 4" xfId="13923" xr:uid="{43F6F2EC-58E9-49BE-9A8C-439309314108}"/>
    <cellStyle name="Normal 4 11 4 2" xfId="39415" xr:uid="{CBF63C33-0EE3-4969-9848-8F64E4C0EE5C}"/>
    <cellStyle name="Normal 4 11 5" xfId="26824" xr:uid="{4968F4A8-A850-4D59-97B7-9200B13F7E9D}"/>
    <cellStyle name="Normal 4 12" xfId="2518" xr:uid="{8F062328-C234-486C-A306-DE52DFE94903}"/>
    <cellStyle name="Normal 4 12 2" xfId="5672" xr:uid="{B627D7F9-95B9-422E-9DB5-27ADC3A44B91}"/>
    <cellStyle name="Normal 4 12 2 2" xfId="11965" xr:uid="{0CDBC070-B635-480A-98BC-5C424C1AE0BF}"/>
    <cellStyle name="Normal 4 12 2 2 2" xfId="24647" xr:uid="{26BF4E9F-5EBF-4709-AD7C-F6A4F3152E7E}"/>
    <cellStyle name="Normal 4 12 2 2 2 2" xfId="50139" xr:uid="{300D5362-B0EB-41A5-8EC6-E36CEEB35352}"/>
    <cellStyle name="Normal 4 12 2 2 3" xfId="37548" xr:uid="{C9F5C46A-4654-41F6-AB95-81D3BADBE1B8}"/>
    <cellStyle name="Normal 4 12 2 3" xfId="18369" xr:uid="{AA29A92B-3410-4FA5-AB42-FC6E12A38CDA}"/>
    <cellStyle name="Normal 4 12 2 3 2" xfId="43861" xr:uid="{D112BEE1-EF01-4652-B2AB-40CD1F6BCE89}"/>
    <cellStyle name="Normal 4 12 2 4" xfId="31270" xr:uid="{102B93AF-9262-4397-8BEE-4F172BDE88D7}"/>
    <cellStyle name="Normal 4 12 3" xfId="8826" xr:uid="{417E3E72-BA5A-4914-A46D-60732546304A}"/>
    <cellStyle name="Normal 4 12 3 2" xfId="21508" xr:uid="{D281D0FB-F787-4929-B3FA-4EEEC255B707}"/>
    <cellStyle name="Normal 4 12 3 2 2" xfId="47000" xr:uid="{77FA353F-AB95-4661-81B1-8B731B9D0963}"/>
    <cellStyle name="Normal 4 12 3 3" xfId="34409" xr:uid="{1F9EF085-BBBA-44A2-AA66-0F0D0F3FBF6A}"/>
    <cellStyle name="Normal 4 12 4" xfId="15230" xr:uid="{FF1EA4B2-9780-48D0-8C41-895091DC97CC}"/>
    <cellStyle name="Normal 4 12 4 2" xfId="40722" xr:uid="{3A521ABE-4644-4C4B-92C6-A7A333B00674}"/>
    <cellStyle name="Normal 4 12 5" xfId="28131" xr:uid="{C5BCD6AE-A8C1-4704-B3D3-5043FD89318C}"/>
    <cellStyle name="Normal 4 13" xfId="3041" xr:uid="{960E6760-04A4-4441-9CA3-820BDBB8F8B1}"/>
    <cellStyle name="Normal 4 13 2" xfId="6195" xr:uid="{22B81BA3-76DF-4311-ADDB-AD50ECB45914}"/>
    <cellStyle name="Normal 4 13 2 2" xfId="12488" xr:uid="{9E570A78-B39B-4028-9406-30BA29EDAD4B}"/>
    <cellStyle name="Normal 4 13 2 2 2" xfId="25170" xr:uid="{A8630E1A-8C32-4E59-82B0-9F64978922CE}"/>
    <cellStyle name="Normal 4 13 2 2 2 2" xfId="50662" xr:uid="{748B9E7C-B9F1-47E2-9DC8-4F4A6FE30102}"/>
    <cellStyle name="Normal 4 13 2 2 3" xfId="38071" xr:uid="{5984E624-E7E0-4414-8F1E-A0C1148CAF37}"/>
    <cellStyle name="Normal 4 13 2 3" xfId="18892" xr:uid="{BEC561AC-939A-4846-BADF-A369A75C58B3}"/>
    <cellStyle name="Normal 4 13 2 3 2" xfId="44384" xr:uid="{024DCACB-D8CF-4D4F-9850-FBFB99D41C5C}"/>
    <cellStyle name="Normal 4 13 2 4" xfId="31793" xr:uid="{99C50D74-D37A-4EB0-A8C2-516B11B1FC19}"/>
    <cellStyle name="Normal 4 13 3" xfId="9349" xr:uid="{733B56EE-9DC0-4D51-AFB7-740D1C9A83E6}"/>
    <cellStyle name="Normal 4 13 3 2" xfId="22031" xr:uid="{8FE5B6AA-9A7B-46BC-ACDA-9BC322AEB02A}"/>
    <cellStyle name="Normal 4 13 3 2 2" xfId="47523" xr:uid="{A69EE8C9-6549-488A-93E0-67D26B72AD22}"/>
    <cellStyle name="Normal 4 13 3 3" xfId="34932" xr:uid="{4C472E63-DA8C-4FE2-9329-868D81D62C76}"/>
    <cellStyle name="Normal 4 13 4" xfId="15753" xr:uid="{05FCE9F8-85EA-4BD6-A3A1-9901DD834F26}"/>
    <cellStyle name="Normal 4 13 4 2" xfId="41245" xr:uid="{80626D76-9F7C-4BFA-9303-C9D215DEF9ED}"/>
    <cellStyle name="Normal 4 13 5" xfId="28654" xr:uid="{FB394761-746C-4E2E-9D89-40385CA83A5E}"/>
    <cellStyle name="Normal 4 14" xfId="3580" xr:uid="{89E18CF0-E14B-490F-86BB-E48AE1194559}"/>
    <cellStyle name="Normal 4 14 2" xfId="9873" xr:uid="{8E0A96F4-FABB-4028-9D0D-347465860462}"/>
    <cellStyle name="Normal 4 14 2 2" xfId="22555" xr:uid="{A06BB700-7625-405C-830F-3DC532F9065A}"/>
    <cellStyle name="Normal 4 14 2 2 2" xfId="48047" xr:uid="{6171B6E2-3AF9-4C2A-BB3B-15E4B7265E3C}"/>
    <cellStyle name="Normal 4 14 2 3" xfId="35456" xr:uid="{95F925BE-CC93-4F80-9792-AFDE3B9E5A29}"/>
    <cellStyle name="Normal 4 14 3" xfId="16277" xr:uid="{3CB97A96-857E-47F2-BFA4-32436BF62CE1}"/>
    <cellStyle name="Normal 4 14 3 2" xfId="41769" xr:uid="{59A23B67-388C-48E4-90ED-5F78CD1198FD}"/>
    <cellStyle name="Normal 4 14 4" xfId="29178" xr:uid="{7F00353C-427F-4994-A861-1128EB59289E}"/>
    <cellStyle name="Normal 4 15" xfId="6734" xr:uid="{BDBBA208-B7B8-4AB4-B833-FCAE9A8CFE51}"/>
    <cellStyle name="Normal 4 15 2" xfId="19416" xr:uid="{1617C3FF-4B02-4C96-9B6F-1B9B4C143CE3}"/>
    <cellStyle name="Normal 4 15 2 2" xfId="44908" xr:uid="{5A2A2469-7F47-4A11-B254-86D862991202}"/>
    <cellStyle name="Normal 4 15 3" xfId="32317" xr:uid="{46E22FC1-1133-478F-B202-1937047DD6FD}"/>
    <cellStyle name="Normal 4 16" xfId="13119" xr:uid="{FEF95C6D-316A-4102-A606-EEF1FF3BC8FF}"/>
    <cellStyle name="Normal 4 16 2" xfId="38628" xr:uid="{3AB8370B-19F7-4F24-9594-BE52CCD53DF8}"/>
    <cellStyle name="Normal 4 17" xfId="13060" xr:uid="{D0D76119-E6AA-4B7A-9655-E6D1F491F875}"/>
    <cellStyle name="Normal 4 18" xfId="26022" xr:uid="{0C7EA5A3-AE77-4CBE-874B-73F572C40C42}"/>
    <cellStyle name="Normal 4 19" xfId="367" xr:uid="{55F04C5C-D003-43A5-BE5F-3FD1884EFF36}"/>
    <cellStyle name="Normal 4 2" xfId="97" xr:uid="{D7A85281-810A-4B03-9B53-97C1B9112DBD}"/>
    <cellStyle name="Normal 4 2 10" xfId="1220" xr:uid="{375E4EC0-94FB-4259-939D-FB0873C7A639}"/>
    <cellStyle name="Normal 4 2 10 2" xfId="4374" xr:uid="{7A318155-DECE-45A3-A0DE-6F91E08A7B13}"/>
    <cellStyle name="Normal 4 2 10 2 2" xfId="10667" xr:uid="{58F3F0A4-6D78-4981-9227-7D5688E75BF3}"/>
    <cellStyle name="Normal 4 2 10 2 2 2" xfId="23349" xr:uid="{4119E42A-6365-4417-88DE-3DF653C42511}"/>
    <cellStyle name="Normal 4 2 10 2 2 2 2" xfId="48841" xr:uid="{A627DD37-FE68-4B3A-937F-F579D136DAD3}"/>
    <cellStyle name="Normal 4 2 10 2 2 3" xfId="36250" xr:uid="{4C1DB961-5B92-455D-AC37-AC749539D314}"/>
    <cellStyle name="Normal 4 2 10 2 3" xfId="17071" xr:uid="{ADFDAD00-C975-4FC4-99FA-85BB2BC68A8D}"/>
    <cellStyle name="Normal 4 2 10 2 3 2" xfId="42563" xr:uid="{CEBD898B-39ED-49C9-81BE-415CC060E29A}"/>
    <cellStyle name="Normal 4 2 10 2 4" xfId="29972" xr:uid="{8F4B9C15-5FF6-4E67-B2B3-83EBD73957B5}"/>
    <cellStyle name="Normal 4 2 10 3" xfId="7528" xr:uid="{30E4A94F-87FF-470A-B8D8-5AE8DBC0BA01}"/>
    <cellStyle name="Normal 4 2 10 3 2" xfId="20210" xr:uid="{97EA705A-41D7-4210-B660-70B8633A7C42}"/>
    <cellStyle name="Normal 4 2 10 3 2 2" xfId="45702" xr:uid="{EFE07736-4174-4D8B-B441-E6A6CB4808C8}"/>
    <cellStyle name="Normal 4 2 10 3 3" xfId="33111" xr:uid="{4C28F07E-6FD9-41BF-9746-5CE50E67F03B}"/>
    <cellStyle name="Normal 4 2 10 4" xfId="13932" xr:uid="{DACF2AB2-A30D-4FD7-B79A-BE57A0AE0BE5}"/>
    <cellStyle name="Normal 4 2 10 4 2" xfId="39424" xr:uid="{964CA999-6A74-4E20-B9FD-3811F50E3BFD}"/>
    <cellStyle name="Normal 4 2 10 5" xfId="26833" xr:uid="{9DF7298C-5C6F-4B9B-868E-DAB5E61AC219}"/>
    <cellStyle name="Normal 4 2 11" xfId="2527" xr:uid="{CDFB3A69-CBB6-4075-BF59-E6D34676273E}"/>
    <cellStyle name="Normal 4 2 11 2" xfId="5681" xr:uid="{F10DB1BE-CFBF-402C-B9EF-0CE80801E3D9}"/>
    <cellStyle name="Normal 4 2 11 2 2" xfId="11974" xr:uid="{933D43FA-4EAE-4B54-8CDE-B37173AAC0FB}"/>
    <cellStyle name="Normal 4 2 11 2 2 2" xfId="24656" xr:uid="{8EC92073-587C-434B-8E88-265101B467C4}"/>
    <cellStyle name="Normal 4 2 11 2 2 2 2" xfId="50148" xr:uid="{CE959245-D22E-4CCB-A049-10A4865F1A40}"/>
    <cellStyle name="Normal 4 2 11 2 2 3" xfId="37557" xr:uid="{08E76046-C4DB-4397-8386-0993EF149972}"/>
    <cellStyle name="Normal 4 2 11 2 3" xfId="18378" xr:uid="{6B75D784-B4DF-412C-BA2D-2165B0692DAF}"/>
    <cellStyle name="Normal 4 2 11 2 3 2" xfId="43870" xr:uid="{A8BE6E7F-A029-4616-AC3B-73EF5897849C}"/>
    <cellStyle name="Normal 4 2 11 2 4" xfId="31279" xr:uid="{D242E4F7-684A-4903-B3D7-763199CCF3F4}"/>
    <cellStyle name="Normal 4 2 11 3" xfId="8835" xr:uid="{F4C69653-7B8C-47E2-B5B8-A1CCDB89046F}"/>
    <cellStyle name="Normal 4 2 11 3 2" xfId="21517" xr:uid="{E605D37A-46D2-459D-9013-36E7DE297EA1}"/>
    <cellStyle name="Normal 4 2 11 3 2 2" xfId="47009" xr:uid="{241A6ED0-397A-44B9-9ED7-1CE2BBF9AD80}"/>
    <cellStyle name="Normal 4 2 11 3 3" xfId="34418" xr:uid="{A0563E43-EB2F-4DE8-914E-C75D25394769}"/>
    <cellStyle name="Normal 4 2 11 4" xfId="15239" xr:uid="{5A316F94-56DA-42F6-A361-0C7C97816425}"/>
    <cellStyle name="Normal 4 2 11 4 2" xfId="40731" xr:uid="{ADA9A8FC-C6EA-46EA-9C7C-1AFA5936BEC8}"/>
    <cellStyle name="Normal 4 2 11 5" xfId="28140" xr:uid="{B213E85A-267C-407A-8CB9-AB6E71F81EF5}"/>
    <cellStyle name="Normal 4 2 12" xfId="3050" xr:uid="{B87B6862-AEE8-441E-B520-567E78FE2C97}"/>
    <cellStyle name="Normal 4 2 12 2" xfId="6204" xr:uid="{25F851BE-7B68-4ED8-811D-C94C36AA1F3C}"/>
    <cellStyle name="Normal 4 2 12 2 2" xfId="12497" xr:uid="{DE18A240-84BA-44E3-B62E-1E099CA57963}"/>
    <cellStyle name="Normal 4 2 12 2 2 2" xfId="25179" xr:uid="{832DEDE2-2D65-4C98-8697-F6CFB86DE243}"/>
    <cellStyle name="Normal 4 2 12 2 2 2 2" xfId="50671" xr:uid="{6EEDB80A-6156-4DE8-9D2D-B6005EBDB96F}"/>
    <cellStyle name="Normal 4 2 12 2 2 3" xfId="38080" xr:uid="{52C158A0-03C4-4097-B4D7-C0C4C4552E40}"/>
    <cellStyle name="Normal 4 2 12 2 3" xfId="18901" xr:uid="{76691F2B-59D9-46BA-A8D1-68A750BDEC57}"/>
    <cellStyle name="Normal 4 2 12 2 3 2" xfId="44393" xr:uid="{9948DAC0-5965-4E9F-948D-2C467394C670}"/>
    <cellStyle name="Normal 4 2 12 2 4" xfId="31802" xr:uid="{8038A267-AB0A-43F2-9FAE-5F8ED732D20A}"/>
    <cellStyle name="Normal 4 2 12 3" xfId="9358" xr:uid="{8D6A9A2A-02AB-4418-B41A-9E2302E9D171}"/>
    <cellStyle name="Normal 4 2 12 3 2" xfId="22040" xr:uid="{CA1577CF-0D89-40DF-B012-9A6A4E65F886}"/>
    <cellStyle name="Normal 4 2 12 3 2 2" xfId="47532" xr:uid="{AB1EEF0F-F8B3-4145-A64D-84ECCEC05735}"/>
    <cellStyle name="Normal 4 2 12 3 3" xfId="34941" xr:uid="{CFE9C6B7-4281-49BF-857C-7BBEC7D06704}"/>
    <cellStyle name="Normal 4 2 12 4" xfId="15762" xr:uid="{05132E49-1FF8-45D1-A0A5-8AE1B05CB1CF}"/>
    <cellStyle name="Normal 4 2 12 4 2" xfId="41254" xr:uid="{BD621B58-2FC4-4379-9D9D-9861577D79CA}"/>
    <cellStyle name="Normal 4 2 12 5" xfId="28663" xr:uid="{A4691F97-540D-48C4-8A7E-9E785C47657F}"/>
    <cellStyle name="Normal 4 2 13" xfId="3589" xr:uid="{EEF081B5-AD39-46C1-9680-072D84C32AA9}"/>
    <cellStyle name="Normal 4 2 13 2" xfId="9882" xr:uid="{B66383A1-0471-4404-A4DB-C71B6F3CB410}"/>
    <cellStyle name="Normal 4 2 13 2 2" xfId="22564" xr:uid="{272220FD-77FA-4461-AAA9-E71799EDD713}"/>
    <cellStyle name="Normal 4 2 13 2 2 2" xfId="48056" xr:uid="{4715C94E-7D40-491D-9B79-2BFB7EEFCDAB}"/>
    <cellStyle name="Normal 4 2 13 2 3" xfId="35465" xr:uid="{B07891DD-E361-4553-9EAE-310A5617B298}"/>
    <cellStyle name="Normal 4 2 13 3" xfId="16286" xr:uid="{1D2B365C-3F71-4A25-8F64-9D32306AC087}"/>
    <cellStyle name="Normal 4 2 13 3 2" xfId="41778" xr:uid="{5A590D52-38BB-4FCA-A3B4-FEC8D9594636}"/>
    <cellStyle name="Normal 4 2 13 4" xfId="29187" xr:uid="{AF6A456C-649D-432C-8F0B-B9C528C9B02D}"/>
    <cellStyle name="Normal 4 2 14" xfId="6743" xr:uid="{8F7EB34C-210A-4D97-89D7-D1E3EFE41BA1}"/>
    <cellStyle name="Normal 4 2 14 2" xfId="19425" xr:uid="{74840E36-47F1-4A02-ADF4-4F9DD7FBB5EE}"/>
    <cellStyle name="Normal 4 2 14 2 2" xfId="44917" xr:uid="{A374F191-BE53-4D5A-9AEE-874F48EF330F}"/>
    <cellStyle name="Normal 4 2 14 3" xfId="32326" xr:uid="{211E20D1-C6A7-4C59-84C7-690943788A16}"/>
    <cellStyle name="Normal 4 2 15" xfId="13145" xr:uid="{8F620F6D-F9E4-419A-9C8F-1A28F025069A}"/>
    <cellStyle name="Normal 4 2 15 2" xfId="38638" xr:uid="{4967F4FE-9A3B-492D-8F4C-E7D9CABD5EA6}"/>
    <cellStyle name="Normal 4 2 16" xfId="26047" xr:uid="{D066C123-59EC-4A9E-ABE8-7F5BB6C58B5C}"/>
    <cellStyle name="Normal 4 2 17" xfId="405" xr:uid="{0362F7F2-9F24-417F-A4FA-BA25E4C769BD}"/>
    <cellStyle name="Normal 4 2 2" xfId="440" xr:uid="{529A8004-AEDA-4656-A04C-1F40C90903C6}"/>
    <cellStyle name="Normal 4 2 2 10" xfId="3070" xr:uid="{0F0BC3FB-480E-4688-AC24-A942A7F94CB9}"/>
    <cellStyle name="Normal 4 2 2 10 2" xfId="6224" xr:uid="{A0344923-79CA-4F6D-ACB2-CCB1CBB08C7A}"/>
    <cellStyle name="Normal 4 2 2 10 2 2" xfId="12517" xr:uid="{2AFD7983-1378-4437-9801-09FAB4038554}"/>
    <cellStyle name="Normal 4 2 2 10 2 2 2" xfId="25199" xr:uid="{0711FEB7-58C4-4A5A-A065-648B1E4B988A}"/>
    <cellStyle name="Normal 4 2 2 10 2 2 2 2" xfId="50691" xr:uid="{124DB10D-F9A2-43C9-8099-7B62653CFB7F}"/>
    <cellStyle name="Normal 4 2 2 10 2 2 3" xfId="38100" xr:uid="{B5A605DE-CA0C-4F00-994B-F919CE3BFDF3}"/>
    <cellStyle name="Normal 4 2 2 10 2 3" xfId="18921" xr:uid="{0D2771BB-FB0F-41D7-B6CB-4840AA063BCA}"/>
    <cellStyle name="Normal 4 2 2 10 2 3 2" xfId="44413" xr:uid="{EE98FE2C-1CA4-4252-B7A4-4ABF005200BA}"/>
    <cellStyle name="Normal 4 2 2 10 2 4" xfId="31822" xr:uid="{D3ED3FD1-87EE-4A28-8BC1-43781004D2E0}"/>
    <cellStyle name="Normal 4 2 2 10 3" xfId="9378" xr:uid="{CC3F4303-9C13-4858-A5FA-C7AE24D78FDD}"/>
    <cellStyle name="Normal 4 2 2 10 3 2" xfId="22060" xr:uid="{4C73331C-08EF-4A90-BBB7-CBE9E202B4C5}"/>
    <cellStyle name="Normal 4 2 2 10 3 2 2" xfId="47552" xr:uid="{C97D237E-390F-4BAC-BDAF-03B7EA00EDB2}"/>
    <cellStyle name="Normal 4 2 2 10 3 3" xfId="34961" xr:uid="{EC18F3AB-1C94-4D2E-A7A0-A78F7E4A267A}"/>
    <cellStyle name="Normal 4 2 2 10 4" xfId="15782" xr:uid="{45AB470D-1595-4F48-88B2-D7EECBCDA844}"/>
    <cellStyle name="Normal 4 2 2 10 4 2" xfId="41274" xr:uid="{6A14938A-BE3B-40A6-BE44-04DB29331BBB}"/>
    <cellStyle name="Normal 4 2 2 10 5" xfId="28683" xr:uid="{60FBACFD-F27F-43EF-9009-887305066A63}"/>
    <cellStyle name="Normal 4 2 2 11" xfId="3609" xr:uid="{A2971277-746F-4316-AC69-494F08488A83}"/>
    <cellStyle name="Normal 4 2 2 11 2" xfId="9902" xr:uid="{4E6013D3-846F-4BD9-A014-8677FB649217}"/>
    <cellStyle name="Normal 4 2 2 11 2 2" xfId="22584" xr:uid="{C18BA5FD-1174-4731-ADD3-0D3BAE281260}"/>
    <cellStyle name="Normal 4 2 2 11 2 2 2" xfId="48076" xr:uid="{AC4EA103-29D3-4451-B4AC-8481C4AB9745}"/>
    <cellStyle name="Normal 4 2 2 11 2 3" xfId="35485" xr:uid="{E3EE6410-99A4-44DD-BC8E-38B551C8F1E4}"/>
    <cellStyle name="Normal 4 2 2 11 3" xfId="16306" xr:uid="{A07D5353-5C58-4023-8819-07EE78866D64}"/>
    <cellStyle name="Normal 4 2 2 11 3 2" xfId="41798" xr:uid="{D0ED3C72-7229-4DDA-A809-FC68E588BD89}"/>
    <cellStyle name="Normal 4 2 2 11 4" xfId="29207" xr:uid="{A5071CA3-C983-427F-88F7-D41887E859F7}"/>
    <cellStyle name="Normal 4 2 2 12" xfId="6763" xr:uid="{441B9D61-2443-4D50-8D89-90CB5D086954}"/>
    <cellStyle name="Normal 4 2 2 12 2" xfId="19445" xr:uid="{22DD45A0-5C94-4432-846B-A17D8EB397EB}"/>
    <cellStyle name="Normal 4 2 2 12 2 2" xfId="44937" xr:uid="{5B68D5C2-263A-4F20-80EE-672238A5B378}"/>
    <cellStyle name="Normal 4 2 2 12 3" xfId="32346" xr:uid="{19FF5561-A90A-4F38-963F-3164D4C35B53}"/>
    <cellStyle name="Normal 4 2 2 13" xfId="13167" xr:uid="{79580E0D-87DA-493F-99F0-C829AB9D165D}"/>
    <cellStyle name="Normal 4 2 2 13 2" xfId="38659" xr:uid="{B5F16285-B0BB-47F0-BD55-189168C9BA46}"/>
    <cellStyle name="Normal 4 2 2 14" xfId="26068" xr:uid="{BA67442A-5E47-426E-9E4A-D731E901FA7D}"/>
    <cellStyle name="Normal 4 2 2 2" xfId="501" xr:uid="{003AF89E-8E9B-4A4F-BE42-6B8643E27882}"/>
    <cellStyle name="Normal 4 2 2 2 10" xfId="6824" xr:uid="{3F5E665E-2B75-40B3-BB04-A758D2FED4C6}"/>
    <cellStyle name="Normal 4 2 2 2 10 2" xfId="19506" xr:uid="{36F40EC9-68B9-4309-B8F8-051269F56CF1}"/>
    <cellStyle name="Normal 4 2 2 2 10 2 2" xfId="44998" xr:uid="{AE40FA7D-1B6E-49B4-988C-20E276A705D4}"/>
    <cellStyle name="Normal 4 2 2 2 10 3" xfId="32407" xr:uid="{1B9E8247-A5E1-413C-B092-B980B0C6728B}"/>
    <cellStyle name="Normal 4 2 2 2 11" xfId="13228" xr:uid="{0B79C031-5754-45FD-B9D6-7FF11024B19C}"/>
    <cellStyle name="Normal 4 2 2 2 11 2" xfId="38720" xr:uid="{176F6755-F251-49B0-84BD-9E2ACAA10B28}"/>
    <cellStyle name="Normal 4 2 2 2 12" xfId="26129" xr:uid="{C0D559BB-DD84-4A45-B4D1-7A158728E303}"/>
    <cellStyle name="Normal 4 2 2 2 2" xfId="660" xr:uid="{BB6C9AF1-EA76-42B2-B60D-351981F768A2}"/>
    <cellStyle name="Normal 4 2 2 2 2 10" xfId="13387" xr:uid="{DBEBDE04-F073-4089-A274-1951321F98C9}"/>
    <cellStyle name="Normal 4 2 2 2 2 10 2" xfId="38879" xr:uid="{7F22CCEE-AAD8-4A33-8140-570562BCBC90}"/>
    <cellStyle name="Normal 4 2 2 2 2 11" xfId="26288" xr:uid="{2C3F51B5-5CAB-46BD-8F85-1600DB58DDC1}"/>
    <cellStyle name="Normal 4 2 2 2 2 2" xfId="1197" xr:uid="{63D8AD89-CAB8-4539-80C9-C8B87389C460}"/>
    <cellStyle name="Normal 4 2 2 2 2 2 2" xfId="2504" xr:uid="{D467D492-75A9-4C28-A2E9-6FFE2ADD5854}"/>
    <cellStyle name="Normal 4 2 2 2 2 2 2 2" xfId="5658" xr:uid="{72DCCAD4-947E-42D0-852D-50295A6919B6}"/>
    <cellStyle name="Normal 4 2 2 2 2 2 2 2 2" xfId="11951" xr:uid="{A547CC5F-7E4B-4576-BF9B-6B8AD062161F}"/>
    <cellStyle name="Normal 4 2 2 2 2 2 2 2 2 2" xfId="24633" xr:uid="{6804E2EE-138A-42EE-B165-50D997A64311}"/>
    <cellStyle name="Normal 4 2 2 2 2 2 2 2 2 2 2" xfId="50125" xr:uid="{17339FE0-F91B-4839-9ED2-6066266E59B4}"/>
    <cellStyle name="Normal 4 2 2 2 2 2 2 2 2 3" xfId="37534" xr:uid="{2979145B-E99A-4C56-B8D7-80704731D92A}"/>
    <cellStyle name="Normal 4 2 2 2 2 2 2 2 3" xfId="18355" xr:uid="{E33F318C-E602-46A0-94F0-FF0BAF5AC2BF}"/>
    <cellStyle name="Normal 4 2 2 2 2 2 2 2 3 2" xfId="43847" xr:uid="{BC8A0E36-3B4F-4BD4-82DF-85C47063AF3B}"/>
    <cellStyle name="Normal 4 2 2 2 2 2 2 2 4" xfId="31256" xr:uid="{CB7CF556-C66C-49B8-887C-7F0044847A16}"/>
    <cellStyle name="Normal 4 2 2 2 2 2 2 3" xfId="8812" xr:uid="{9B81527E-6829-40D1-B041-6090EFC28C4B}"/>
    <cellStyle name="Normal 4 2 2 2 2 2 2 3 2" xfId="21494" xr:uid="{F9625933-7FB3-4B63-B1CB-3D13DC79210D}"/>
    <cellStyle name="Normal 4 2 2 2 2 2 2 3 2 2" xfId="46986" xr:uid="{C6107297-BDB9-4A28-BBA4-F535FFD49F1C}"/>
    <cellStyle name="Normal 4 2 2 2 2 2 2 3 3" xfId="34395" xr:uid="{9C3808BB-706E-4129-8216-A7C37CBE4E29}"/>
    <cellStyle name="Normal 4 2 2 2 2 2 2 4" xfId="15216" xr:uid="{24740F7C-0EDE-419E-9C6B-5BFD1B13FAF9}"/>
    <cellStyle name="Normal 4 2 2 2 2 2 2 4 2" xfId="40708" xr:uid="{452E512C-4CE9-4E00-82D2-A7FC62DC34E8}"/>
    <cellStyle name="Normal 4 2 2 2 2 2 2 5" xfId="28117" xr:uid="{ACD3B7FA-AC50-4B8F-882F-724449575182}"/>
    <cellStyle name="Normal 4 2 2 2 2 2 3" xfId="1721" xr:uid="{6B9E09EF-C81A-4D33-8EBE-85218273C344}"/>
    <cellStyle name="Normal 4 2 2 2 2 2 3 2" xfId="4875" xr:uid="{3FC00E74-4D86-4D09-97A8-54EEB62DBDEE}"/>
    <cellStyle name="Normal 4 2 2 2 2 2 3 2 2" xfId="11168" xr:uid="{15E0FC03-D223-4141-8A28-90AF1B5F5952}"/>
    <cellStyle name="Normal 4 2 2 2 2 2 3 2 2 2" xfId="23850" xr:uid="{1C00D529-69C9-4E7C-9B2F-47367575447C}"/>
    <cellStyle name="Normal 4 2 2 2 2 2 3 2 2 2 2" xfId="49342" xr:uid="{53F87BEE-0BF3-4513-BCC9-83C05EBC1CBA}"/>
    <cellStyle name="Normal 4 2 2 2 2 2 3 2 2 3" xfId="36751" xr:uid="{1EB8A642-F580-43DC-9FB2-A0AA67AD672A}"/>
    <cellStyle name="Normal 4 2 2 2 2 2 3 2 3" xfId="17572" xr:uid="{A53F0FB8-F6F9-45E8-948A-31E3004DC812}"/>
    <cellStyle name="Normal 4 2 2 2 2 2 3 2 3 2" xfId="43064" xr:uid="{578E032F-2908-48A2-B2DE-76615A91AC45}"/>
    <cellStyle name="Normal 4 2 2 2 2 2 3 2 4" xfId="30473" xr:uid="{266DAA33-C3AE-432A-916A-BD71FDBE0596}"/>
    <cellStyle name="Normal 4 2 2 2 2 2 3 3" xfId="8029" xr:uid="{DD8F13AB-CD86-42B2-BE4C-D9260F907550}"/>
    <cellStyle name="Normal 4 2 2 2 2 2 3 3 2" xfId="20711" xr:uid="{207C840A-6B1F-4B82-ABC0-8CFB2FD42343}"/>
    <cellStyle name="Normal 4 2 2 2 2 2 3 3 2 2" xfId="46203" xr:uid="{8BB39861-BC7B-4E66-A8F0-FCA89BA2E5DF}"/>
    <cellStyle name="Normal 4 2 2 2 2 2 3 3 3" xfId="33612" xr:uid="{8851D836-078F-4385-A97E-53466A96AECC}"/>
    <cellStyle name="Normal 4 2 2 2 2 2 3 4" xfId="14433" xr:uid="{4309136D-8DE5-4C5E-B648-61D87B1482FC}"/>
    <cellStyle name="Normal 4 2 2 2 2 2 3 4 2" xfId="39925" xr:uid="{5231E85B-9F7B-4A0A-8DFF-DB001A2C35AA}"/>
    <cellStyle name="Normal 4 2 2 2 2 2 3 5" xfId="27334" xr:uid="{F65D2E3F-E5D6-454E-83B5-FCEDD3E6577F}"/>
    <cellStyle name="Normal 4 2 2 2 2 2 4" xfId="3028" xr:uid="{322A3A30-FD34-4074-9A27-7DF6BDC852B9}"/>
    <cellStyle name="Normal 4 2 2 2 2 2 4 2" xfId="6182" xr:uid="{CF3D8BF8-1D0B-4B8B-B2FD-508F0B69F8EB}"/>
    <cellStyle name="Normal 4 2 2 2 2 2 4 2 2" xfId="12475" xr:uid="{5A34B6B1-5405-4B9D-898D-A664660A778B}"/>
    <cellStyle name="Normal 4 2 2 2 2 2 4 2 2 2" xfId="25157" xr:uid="{133B7ACD-9D92-410C-95CD-7437C01F9C58}"/>
    <cellStyle name="Normal 4 2 2 2 2 2 4 2 2 2 2" xfId="50649" xr:uid="{69415E4D-1ECC-4819-AC4C-C1A285942D47}"/>
    <cellStyle name="Normal 4 2 2 2 2 2 4 2 2 3" xfId="38058" xr:uid="{112AF21F-A595-4F7A-A566-264E985EA379}"/>
    <cellStyle name="Normal 4 2 2 2 2 2 4 2 3" xfId="18879" xr:uid="{7C88BD1F-2776-4D85-8D53-77751BF96815}"/>
    <cellStyle name="Normal 4 2 2 2 2 2 4 2 3 2" xfId="44371" xr:uid="{3D4707CF-1844-41D9-B22E-BB46AD89C6D8}"/>
    <cellStyle name="Normal 4 2 2 2 2 2 4 2 4" xfId="31780" xr:uid="{3E528272-3D6E-4C14-9599-0951CE4ACFE1}"/>
    <cellStyle name="Normal 4 2 2 2 2 2 4 3" xfId="9336" xr:uid="{02C4AFDC-98D7-4A11-930B-A2407ACE7C7C}"/>
    <cellStyle name="Normal 4 2 2 2 2 2 4 3 2" xfId="22018" xr:uid="{491CAB95-513E-4184-BABA-0ACAEBB1858B}"/>
    <cellStyle name="Normal 4 2 2 2 2 2 4 3 2 2" xfId="47510" xr:uid="{4E9BA8A3-CBF5-4362-8579-9DD336B5608A}"/>
    <cellStyle name="Normal 4 2 2 2 2 2 4 3 3" xfId="34919" xr:uid="{3AAB8E6B-7587-4F79-B516-A1D3CAF1C0DF}"/>
    <cellStyle name="Normal 4 2 2 2 2 2 4 4" xfId="15740" xr:uid="{D7C826C9-8067-4F94-BAF5-36E6B2A45128}"/>
    <cellStyle name="Normal 4 2 2 2 2 2 4 4 2" xfId="41232" xr:uid="{6569F7E5-CB80-4E1E-B912-7252537CCAC0}"/>
    <cellStyle name="Normal 4 2 2 2 2 2 4 5" xfId="28641" xr:uid="{22F7551A-008D-4109-A01F-95F1629BC978}"/>
    <cellStyle name="Normal 4 2 2 2 2 2 5" xfId="3551" xr:uid="{CDD73FD9-FD81-4C46-A266-76A4D89507CB}"/>
    <cellStyle name="Normal 4 2 2 2 2 2 5 2" xfId="6705" xr:uid="{0CF6CB49-ACAE-4A65-8CF7-372267E8E105}"/>
    <cellStyle name="Normal 4 2 2 2 2 2 5 2 2" xfId="12998" xr:uid="{0CEA004A-E7EF-4A73-AA0F-CE5C480CA3B7}"/>
    <cellStyle name="Normal 4 2 2 2 2 2 5 2 2 2" xfId="25680" xr:uid="{4D006894-1384-41BF-B7EF-E9B06E3DF54C}"/>
    <cellStyle name="Normal 4 2 2 2 2 2 5 2 2 2 2" xfId="51172" xr:uid="{B5DCFF57-A6B2-4A5D-AA97-CCCDCE28C97C}"/>
    <cellStyle name="Normal 4 2 2 2 2 2 5 2 2 3" xfId="38581" xr:uid="{69E71225-39CC-4C91-BACB-6CCFD8454B93}"/>
    <cellStyle name="Normal 4 2 2 2 2 2 5 2 3" xfId="19402" xr:uid="{9C71839E-5990-43C7-A73A-6494C44C69C3}"/>
    <cellStyle name="Normal 4 2 2 2 2 2 5 2 3 2" xfId="44894" xr:uid="{E25C127B-1D7E-4D96-A10F-4100B46FDC6F}"/>
    <cellStyle name="Normal 4 2 2 2 2 2 5 2 4" xfId="32303" xr:uid="{D35833E2-2B97-4741-A241-9736AAD17576}"/>
    <cellStyle name="Normal 4 2 2 2 2 2 5 3" xfId="9859" xr:uid="{EE9662E2-0325-40A4-881A-D034F7B29C7C}"/>
    <cellStyle name="Normal 4 2 2 2 2 2 5 3 2" xfId="22541" xr:uid="{82590FBF-98D0-45F0-B725-4257DAD57D62}"/>
    <cellStyle name="Normal 4 2 2 2 2 2 5 3 2 2" xfId="48033" xr:uid="{D4851350-6C57-491B-9910-6CAD01F4628F}"/>
    <cellStyle name="Normal 4 2 2 2 2 2 5 3 3" xfId="35442" xr:uid="{DD6EB060-D73E-4779-A025-AB545E6046F9}"/>
    <cellStyle name="Normal 4 2 2 2 2 2 5 4" xfId="16263" xr:uid="{0615CEB6-18FC-4126-B8CA-F940D3CF14C2}"/>
    <cellStyle name="Normal 4 2 2 2 2 2 5 4 2" xfId="41755" xr:uid="{98BDE523-2F40-4370-8204-82F72ACCA877}"/>
    <cellStyle name="Normal 4 2 2 2 2 2 5 5" xfId="29164" xr:uid="{12128558-CAC6-4535-8554-B88C01D14D12}"/>
    <cellStyle name="Normal 4 2 2 2 2 2 6" xfId="4351" xr:uid="{1D2F8E88-1B3C-4CE4-97C4-3F65E8574B9A}"/>
    <cellStyle name="Normal 4 2 2 2 2 2 6 2" xfId="10644" xr:uid="{EF98DB00-4E0D-45FF-A79D-D74238A97082}"/>
    <cellStyle name="Normal 4 2 2 2 2 2 6 2 2" xfId="23326" xr:uid="{5D758249-255B-449A-8DE9-827C69EA417C}"/>
    <cellStyle name="Normal 4 2 2 2 2 2 6 2 2 2" xfId="48818" xr:uid="{745A4E76-BE0C-42A1-9334-C0D9CC88946B}"/>
    <cellStyle name="Normal 4 2 2 2 2 2 6 2 3" xfId="36227" xr:uid="{D3A80059-B243-43AF-84EC-E9D8D8F64F2F}"/>
    <cellStyle name="Normal 4 2 2 2 2 2 6 3" xfId="17048" xr:uid="{3ECB97AB-D290-4E58-A6BA-E230B049449C}"/>
    <cellStyle name="Normal 4 2 2 2 2 2 6 3 2" xfId="42540" xr:uid="{509C2339-186E-4038-BB4C-549AD37A0B53}"/>
    <cellStyle name="Normal 4 2 2 2 2 2 6 4" xfId="29949" xr:uid="{5C6509B5-D2E2-47D6-A0F2-B952E82DCC2C}"/>
    <cellStyle name="Normal 4 2 2 2 2 2 7" xfId="7505" xr:uid="{D75F2345-F86F-4D12-B985-85D37339BF93}"/>
    <cellStyle name="Normal 4 2 2 2 2 2 7 2" xfId="20187" xr:uid="{89B0DA15-2AFA-49BD-B34A-880066786FE9}"/>
    <cellStyle name="Normal 4 2 2 2 2 2 7 2 2" xfId="45679" xr:uid="{407067DB-29DA-4A6D-899D-16961AB44734}"/>
    <cellStyle name="Normal 4 2 2 2 2 2 7 3" xfId="33088" xr:uid="{8E002ECD-340E-4B8C-B146-6262AC6CB0CC}"/>
    <cellStyle name="Normal 4 2 2 2 2 2 8" xfId="13909" xr:uid="{E5F94034-8EED-4226-81E3-BA0D86938CB3}"/>
    <cellStyle name="Normal 4 2 2 2 2 2 8 2" xfId="39401" xr:uid="{53CBE16D-255A-4720-A59C-28B5C6F3DC66}"/>
    <cellStyle name="Normal 4 2 2 2 2 2 9" xfId="26810" xr:uid="{B9AE2BE7-3DC5-44A7-BDBC-FDCF1447678A}"/>
    <cellStyle name="Normal 4 2 2 2 2 3" xfId="937" xr:uid="{91FDCEF1-1274-4C7E-8112-970CCE3E9CCF}"/>
    <cellStyle name="Normal 4 2 2 2 2 3 2" xfId="2244" xr:uid="{794D4161-C1AB-4268-8197-9D8176989164}"/>
    <cellStyle name="Normal 4 2 2 2 2 3 2 2" xfId="5398" xr:uid="{B664E614-61C1-441E-9610-0E45004600F7}"/>
    <cellStyle name="Normal 4 2 2 2 2 3 2 2 2" xfId="11691" xr:uid="{65B9FBB2-8901-4D7E-8FD1-884229D87FF3}"/>
    <cellStyle name="Normal 4 2 2 2 2 3 2 2 2 2" xfId="24373" xr:uid="{0B746C49-C80D-4480-80FC-5AFCE6A95D69}"/>
    <cellStyle name="Normal 4 2 2 2 2 3 2 2 2 2 2" xfId="49865" xr:uid="{128BD335-7E58-4E2F-A4D6-2811D8E34405}"/>
    <cellStyle name="Normal 4 2 2 2 2 3 2 2 2 3" xfId="37274" xr:uid="{99215188-85E8-4DD8-8297-197CB28A915A}"/>
    <cellStyle name="Normal 4 2 2 2 2 3 2 2 3" xfId="18095" xr:uid="{E6D42873-33A6-43D9-87A6-0342490F11FB}"/>
    <cellStyle name="Normal 4 2 2 2 2 3 2 2 3 2" xfId="43587" xr:uid="{4E280C60-3E39-4003-908E-9B1450170A26}"/>
    <cellStyle name="Normal 4 2 2 2 2 3 2 2 4" xfId="30996" xr:uid="{0D287661-410D-40EA-8546-A9E2C65E6C46}"/>
    <cellStyle name="Normal 4 2 2 2 2 3 2 3" xfId="8552" xr:uid="{03C8F770-CC04-44A4-A5F0-D7993F503BEB}"/>
    <cellStyle name="Normal 4 2 2 2 2 3 2 3 2" xfId="21234" xr:uid="{1BA13836-005B-40B4-B03A-D88751A10104}"/>
    <cellStyle name="Normal 4 2 2 2 2 3 2 3 2 2" xfId="46726" xr:uid="{CEF3169B-7F2C-4C5E-AD90-253D867B34A1}"/>
    <cellStyle name="Normal 4 2 2 2 2 3 2 3 3" xfId="34135" xr:uid="{8FF4B39D-E0DA-49A3-851C-2BDF0BACA2D2}"/>
    <cellStyle name="Normal 4 2 2 2 2 3 2 4" xfId="14956" xr:uid="{2C1E6B75-8431-42E5-9BE9-E20CA6819A1D}"/>
    <cellStyle name="Normal 4 2 2 2 2 3 2 4 2" xfId="40448" xr:uid="{4ACFA159-8A1A-4A7F-BA91-A01AADA16E45}"/>
    <cellStyle name="Normal 4 2 2 2 2 3 2 5" xfId="27857" xr:uid="{A094F71E-1F6A-4111-A61B-AD4FEB484B2D}"/>
    <cellStyle name="Normal 4 2 2 2 2 3 3" xfId="4091" xr:uid="{ED1ECB31-3518-4DA4-9534-D8C763646F38}"/>
    <cellStyle name="Normal 4 2 2 2 2 3 3 2" xfId="10384" xr:uid="{DE233BEF-60EF-4298-ADAC-FC3801EC13C6}"/>
    <cellStyle name="Normal 4 2 2 2 2 3 3 2 2" xfId="23066" xr:uid="{ED7D6ABE-3A9E-4D4D-9A1B-28150F12F24A}"/>
    <cellStyle name="Normal 4 2 2 2 2 3 3 2 2 2" xfId="48558" xr:uid="{B3AC33DC-3629-4F45-8E8B-389572EE5387}"/>
    <cellStyle name="Normal 4 2 2 2 2 3 3 2 3" xfId="35967" xr:uid="{EE99778B-7BB0-4041-A6BE-1E40F680223C}"/>
    <cellStyle name="Normal 4 2 2 2 2 3 3 3" xfId="16788" xr:uid="{150651B5-CC9F-4BF2-943A-EA2E3754F3B6}"/>
    <cellStyle name="Normal 4 2 2 2 2 3 3 3 2" xfId="42280" xr:uid="{CFA94259-04F3-48E4-B614-13352CAE5546}"/>
    <cellStyle name="Normal 4 2 2 2 2 3 3 4" xfId="29689" xr:uid="{F91C65D8-A793-4397-ABD1-1BB540838C26}"/>
    <cellStyle name="Normal 4 2 2 2 2 3 4" xfId="7245" xr:uid="{0C99A551-77A5-4525-BA10-60F8EF65B02A}"/>
    <cellStyle name="Normal 4 2 2 2 2 3 4 2" xfId="19927" xr:uid="{BA82A2AF-5E8D-412B-93B7-9A99A899C7FF}"/>
    <cellStyle name="Normal 4 2 2 2 2 3 4 2 2" xfId="45419" xr:uid="{AEFEFD07-A450-42CE-B45D-A86E6D8BD83F}"/>
    <cellStyle name="Normal 4 2 2 2 2 3 4 3" xfId="32828" xr:uid="{8F29927C-105D-4E9E-BF5C-DC3EF95239C2}"/>
    <cellStyle name="Normal 4 2 2 2 2 3 5" xfId="13649" xr:uid="{9ED2FE52-7E78-4112-98D7-6D9EBBD417BF}"/>
    <cellStyle name="Normal 4 2 2 2 2 3 5 2" xfId="39141" xr:uid="{E8536179-6CCF-4C5E-8887-3BAB3F807566}"/>
    <cellStyle name="Normal 4 2 2 2 2 3 6" xfId="26550" xr:uid="{3B460D3F-1260-4791-8D3E-FED8B2FB923D}"/>
    <cellStyle name="Normal 4 2 2 2 2 4" xfId="1982" xr:uid="{5D17EEAE-F89B-4FB0-98A5-45D3FCEC9711}"/>
    <cellStyle name="Normal 4 2 2 2 2 4 2" xfId="5136" xr:uid="{9624AC5C-182C-438A-8768-EDF71307DDCA}"/>
    <cellStyle name="Normal 4 2 2 2 2 4 2 2" xfId="11429" xr:uid="{A9A17413-3D11-4400-987A-0FF923E670D7}"/>
    <cellStyle name="Normal 4 2 2 2 2 4 2 2 2" xfId="24111" xr:uid="{E46A06D8-E308-464E-AD7D-C230A7F4FDBC}"/>
    <cellStyle name="Normal 4 2 2 2 2 4 2 2 2 2" xfId="49603" xr:uid="{EF773CDF-795F-4ACA-97EC-2F30CE44231A}"/>
    <cellStyle name="Normal 4 2 2 2 2 4 2 2 3" xfId="37012" xr:uid="{A8D83742-E2E4-4AED-ABD6-525293ACB503}"/>
    <cellStyle name="Normal 4 2 2 2 2 4 2 3" xfId="17833" xr:uid="{7C08C1FF-1E15-4B28-8AD4-F984A0ECBA12}"/>
    <cellStyle name="Normal 4 2 2 2 2 4 2 3 2" xfId="43325" xr:uid="{F3397F56-0853-411F-86DE-8EE3B2FC54A8}"/>
    <cellStyle name="Normal 4 2 2 2 2 4 2 4" xfId="30734" xr:uid="{68338ED8-64F6-4366-891F-CA8CB5FEE805}"/>
    <cellStyle name="Normal 4 2 2 2 2 4 3" xfId="8290" xr:uid="{69C1C6F3-6140-4337-8F55-6AAED105F68D}"/>
    <cellStyle name="Normal 4 2 2 2 2 4 3 2" xfId="20972" xr:uid="{F43B7F59-32BB-484D-912A-B362973035A8}"/>
    <cellStyle name="Normal 4 2 2 2 2 4 3 2 2" xfId="46464" xr:uid="{A7E93270-DC01-4F73-B292-D3466D8A83E4}"/>
    <cellStyle name="Normal 4 2 2 2 2 4 3 3" xfId="33873" xr:uid="{C2FD10FD-98D8-48F8-9681-AEF0BBECB80C}"/>
    <cellStyle name="Normal 4 2 2 2 2 4 4" xfId="14694" xr:uid="{122059A6-C754-48AD-9BB0-E0DB7D9E7CF7}"/>
    <cellStyle name="Normal 4 2 2 2 2 4 4 2" xfId="40186" xr:uid="{D078AF51-9EDC-4122-A9AB-00CACFE0B371}"/>
    <cellStyle name="Normal 4 2 2 2 2 4 5" xfId="27595" xr:uid="{2A50F04D-4AC8-446F-8282-987A8A558D28}"/>
    <cellStyle name="Normal 4 2 2 2 2 5" xfId="1460" xr:uid="{6028C8D6-F792-486A-B1C4-CE25F7029FD3}"/>
    <cellStyle name="Normal 4 2 2 2 2 5 2" xfId="4614" xr:uid="{EB910599-B6F3-49F6-90AF-3F42D990784A}"/>
    <cellStyle name="Normal 4 2 2 2 2 5 2 2" xfId="10907" xr:uid="{F2B60092-9B6A-4F47-AA62-F28849CD2228}"/>
    <cellStyle name="Normal 4 2 2 2 2 5 2 2 2" xfId="23589" xr:uid="{3E8EFBC5-D504-4786-B671-08DC935CAFB5}"/>
    <cellStyle name="Normal 4 2 2 2 2 5 2 2 2 2" xfId="49081" xr:uid="{0C2B37D9-B227-4984-91BD-DF69EBD3F2F8}"/>
    <cellStyle name="Normal 4 2 2 2 2 5 2 2 3" xfId="36490" xr:uid="{68AB9883-FFB1-4960-AE7C-13F1CBBE59F4}"/>
    <cellStyle name="Normal 4 2 2 2 2 5 2 3" xfId="17311" xr:uid="{CB097DE9-97E3-43C4-9851-35FE5527CA06}"/>
    <cellStyle name="Normal 4 2 2 2 2 5 2 3 2" xfId="42803" xr:uid="{73DC3DCC-CBCC-42CD-9417-631D16D59591}"/>
    <cellStyle name="Normal 4 2 2 2 2 5 2 4" xfId="30212" xr:uid="{D4B3520A-DA02-4988-A81E-5B9FE8636725}"/>
    <cellStyle name="Normal 4 2 2 2 2 5 3" xfId="7768" xr:uid="{6A2610A0-9F0B-48F0-85C1-728D58F59208}"/>
    <cellStyle name="Normal 4 2 2 2 2 5 3 2" xfId="20450" xr:uid="{1B5ED3E1-84E4-40AC-8676-81697F4C9AE3}"/>
    <cellStyle name="Normal 4 2 2 2 2 5 3 2 2" xfId="45942" xr:uid="{6F69B469-1871-48BF-AEA2-91EDFB96BCF9}"/>
    <cellStyle name="Normal 4 2 2 2 2 5 3 3" xfId="33351" xr:uid="{E4B8131B-A903-45EB-A3A6-5516F0053531}"/>
    <cellStyle name="Normal 4 2 2 2 2 5 4" xfId="14172" xr:uid="{59961D90-39F3-4F45-BB4A-FE75CF88CB53}"/>
    <cellStyle name="Normal 4 2 2 2 2 5 4 2" xfId="39664" xr:uid="{AD05EBB7-837D-4E52-BAF1-494E64ECB37C}"/>
    <cellStyle name="Normal 4 2 2 2 2 5 5" xfId="27073" xr:uid="{EA5479CB-B8E4-4D2F-9103-9CFF71C41B28}"/>
    <cellStyle name="Normal 4 2 2 2 2 6" xfId="2767" xr:uid="{BA97E63D-0351-4CB0-AB8F-FA7B0C0C2C35}"/>
    <cellStyle name="Normal 4 2 2 2 2 6 2" xfId="5921" xr:uid="{FE6DF856-134A-4EDA-B664-1B6A2CFA4EE8}"/>
    <cellStyle name="Normal 4 2 2 2 2 6 2 2" xfId="12214" xr:uid="{F2AAC7C0-F65E-4D64-B029-DBCD61F92EE8}"/>
    <cellStyle name="Normal 4 2 2 2 2 6 2 2 2" xfId="24896" xr:uid="{CF2F5DD5-F245-4292-BF5E-3C4A74216DC2}"/>
    <cellStyle name="Normal 4 2 2 2 2 6 2 2 2 2" xfId="50388" xr:uid="{3BC10F5F-5C1B-47FB-9B77-1BC338F9FD7E}"/>
    <cellStyle name="Normal 4 2 2 2 2 6 2 2 3" xfId="37797" xr:uid="{F34EF988-A26C-4927-8845-3E6051537771}"/>
    <cellStyle name="Normal 4 2 2 2 2 6 2 3" xfId="18618" xr:uid="{11836427-CE0F-4D4B-90DE-A7D634D659B0}"/>
    <cellStyle name="Normal 4 2 2 2 2 6 2 3 2" xfId="44110" xr:uid="{4907400C-DB51-4A60-986C-5DA194EFD2BF}"/>
    <cellStyle name="Normal 4 2 2 2 2 6 2 4" xfId="31519" xr:uid="{B18B4A11-66AF-43CE-A8C8-6B91CF7311F0}"/>
    <cellStyle name="Normal 4 2 2 2 2 6 3" xfId="9075" xr:uid="{F7B31876-E3C2-4498-931F-652E7C1F776F}"/>
    <cellStyle name="Normal 4 2 2 2 2 6 3 2" xfId="21757" xr:uid="{1F5EBDE7-CBD8-4109-98D0-0AA165D74505}"/>
    <cellStyle name="Normal 4 2 2 2 2 6 3 2 2" xfId="47249" xr:uid="{8BFD9396-1B22-4F29-8E34-81E939E74725}"/>
    <cellStyle name="Normal 4 2 2 2 2 6 3 3" xfId="34658" xr:uid="{0A3A97ED-8AAC-4575-A19E-6F7D22368F4E}"/>
    <cellStyle name="Normal 4 2 2 2 2 6 4" xfId="15479" xr:uid="{715AF22B-BD7C-4F4C-AD91-8C0A0D018271}"/>
    <cellStyle name="Normal 4 2 2 2 2 6 4 2" xfId="40971" xr:uid="{A3C65F51-A934-4B3C-840A-9EBFEDA45C8B}"/>
    <cellStyle name="Normal 4 2 2 2 2 6 5" xfId="28380" xr:uid="{639EDC57-BCCC-4D5B-921C-E35315844953}"/>
    <cellStyle name="Normal 4 2 2 2 2 7" xfId="3290" xr:uid="{5EFF7F25-E4B8-4D06-98FB-AFB78EC49963}"/>
    <cellStyle name="Normal 4 2 2 2 2 7 2" xfId="6444" xr:uid="{CDA59710-76C1-4859-ABCC-F088D8E9FB2D}"/>
    <cellStyle name="Normal 4 2 2 2 2 7 2 2" xfId="12737" xr:uid="{B04A2D23-39EE-400C-B66E-466FB8D2C546}"/>
    <cellStyle name="Normal 4 2 2 2 2 7 2 2 2" xfId="25419" xr:uid="{94B353EE-7B0D-41EA-B9AA-D23E2932C1A4}"/>
    <cellStyle name="Normal 4 2 2 2 2 7 2 2 2 2" xfId="50911" xr:uid="{D41D7435-046D-4C23-AB88-C4B1C3D45D78}"/>
    <cellStyle name="Normal 4 2 2 2 2 7 2 2 3" xfId="38320" xr:uid="{9CD75011-18D0-4A36-9C78-59261AE01BA7}"/>
    <cellStyle name="Normal 4 2 2 2 2 7 2 3" xfId="19141" xr:uid="{6010DE46-1B75-478E-8FF7-C36D460FC8A3}"/>
    <cellStyle name="Normal 4 2 2 2 2 7 2 3 2" xfId="44633" xr:uid="{A85AF3FF-A088-4BE3-BC8F-52303AA79480}"/>
    <cellStyle name="Normal 4 2 2 2 2 7 2 4" xfId="32042" xr:uid="{B14CFDF1-8D78-413E-A52F-B4F4CEF14A76}"/>
    <cellStyle name="Normal 4 2 2 2 2 7 3" xfId="9598" xr:uid="{C658003D-330E-4724-9B06-21B454CD2A28}"/>
    <cellStyle name="Normal 4 2 2 2 2 7 3 2" xfId="22280" xr:uid="{B3375B22-6932-43B2-AF4F-3B90D013813F}"/>
    <cellStyle name="Normal 4 2 2 2 2 7 3 2 2" xfId="47772" xr:uid="{35BAE04F-71F4-4D29-9FFF-3B085624EB33}"/>
    <cellStyle name="Normal 4 2 2 2 2 7 3 3" xfId="35181" xr:uid="{DC468D0F-76AF-48AC-B17F-83F523D3D1C7}"/>
    <cellStyle name="Normal 4 2 2 2 2 7 4" xfId="16002" xr:uid="{D0DD0E03-5007-4950-8B9F-ABC9FC103D5A}"/>
    <cellStyle name="Normal 4 2 2 2 2 7 4 2" xfId="41494" xr:uid="{58599971-AB2C-49F0-AF09-68A4E2CEF293}"/>
    <cellStyle name="Normal 4 2 2 2 2 7 5" xfId="28903" xr:uid="{22602089-7D80-474F-B804-7CE36C1BA104}"/>
    <cellStyle name="Normal 4 2 2 2 2 8" xfId="3829" xr:uid="{5F0ED3CB-D2A6-4FDC-8A90-40F80F033524}"/>
    <cellStyle name="Normal 4 2 2 2 2 8 2" xfId="10122" xr:uid="{8252F26F-77C1-4FAD-A499-416A1F2010C9}"/>
    <cellStyle name="Normal 4 2 2 2 2 8 2 2" xfId="22804" xr:uid="{0626F92F-3594-49C1-B18A-38496639BE89}"/>
    <cellStyle name="Normal 4 2 2 2 2 8 2 2 2" xfId="48296" xr:uid="{0A23EB58-0D7E-4D0D-A07E-FFCC43C3B0A8}"/>
    <cellStyle name="Normal 4 2 2 2 2 8 2 3" xfId="35705" xr:uid="{51E8C144-39AC-421E-B635-C532799109EC}"/>
    <cellStyle name="Normal 4 2 2 2 2 8 3" xfId="16526" xr:uid="{D13142BA-1CBF-4D46-94AC-9FD7FE6B7CD6}"/>
    <cellStyle name="Normal 4 2 2 2 2 8 3 2" xfId="42018" xr:uid="{AB6853B2-B8F4-4CE5-BB13-3514B04AB3CB}"/>
    <cellStyle name="Normal 4 2 2 2 2 8 4" xfId="29427" xr:uid="{DC5C8C01-4D48-4644-BE87-2B4FFFD977DD}"/>
    <cellStyle name="Normal 4 2 2 2 2 9" xfId="6983" xr:uid="{1E611345-860B-44AD-965C-6BDA68EEF4E0}"/>
    <cellStyle name="Normal 4 2 2 2 2 9 2" xfId="19665" xr:uid="{DFF2C3DA-E941-45E7-B55B-AED6DB106A0D}"/>
    <cellStyle name="Normal 4 2 2 2 2 9 2 2" xfId="45157" xr:uid="{565C5D0C-1B8F-411A-97EF-F5C3A59AA418}"/>
    <cellStyle name="Normal 4 2 2 2 2 9 3" xfId="32566" xr:uid="{72E296BA-92F9-4892-BC5B-045AE9EF26C7}"/>
    <cellStyle name="Normal 4 2 2 2 3" xfId="1038" xr:uid="{D97F0E4D-C360-4952-B9A3-817EF1E59949}"/>
    <cellStyle name="Normal 4 2 2 2 3 2" xfId="2345" xr:uid="{E52CA6ED-8AD1-4ACB-88E3-AE6294C462CF}"/>
    <cellStyle name="Normal 4 2 2 2 3 2 2" xfId="5499" xr:uid="{26926B6E-0043-456D-B8F2-7A12B6A78A9F}"/>
    <cellStyle name="Normal 4 2 2 2 3 2 2 2" xfId="11792" xr:uid="{DAE96B0B-AD07-426D-8B16-CEE50073768A}"/>
    <cellStyle name="Normal 4 2 2 2 3 2 2 2 2" xfId="24474" xr:uid="{3CF8B545-18FA-4C30-94A2-9EAE07220308}"/>
    <cellStyle name="Normal 4 2 2 2 3 2 2 2 2 2" xfId="49966" xr:uid="{A43D439A-208F-44FC-B378-E0D383221564}"/>
    <cellStyle name="Normal 4 2 2 2 3 2 2 2 3" xfId="37375" xr:uid="{8D74BC75-08EC-4C71-A292-C88988D6359A}"/>
    <cellStyle name="Normal 4 2 2 2 3 2 2 3" xfId="18196" xr:uid="{AA668171-3885-4B5E-8D7A-88C1E54F49FA}"/>
    <cellStyle name="Normal 4 2 2 2 3 2 2 3 2" xfId="43688" xr:uid="{8861B30E-E57A-4ABB-BB3F-4787CBC2BD9B}"/>
    <cellStyle name="Normal 4 2 2 2 3 2 2 4" xfId="31097" xr:uid="{F3A8D983-C994-4287-A9E1-35634298E337}"/>
    <cellStyle name="Normal 4 2 2 2 3 2 3" xfId="8653" xr:uid="{DB0654B6-997E-4A65-8A3A-88D92D568727}"/>
    <cellStyle name="Normal 4 2 2 2 3 2 3 2" xfId="21335" xr:uid="{7BDB6CAF-83FB-4FB5-9507-3D89625D60D9}"/>
    <cellStyle name="Normal 4 2 2 2 3 2 3 2 2" xfId="46827" xr:uid="{165BAEE6-2E98-4CBB-AE5D-BCD703CB4A33}"/>
    <cellStyle name="Normal 4 2 2 2 3 2 3 3" xfId="34236" xr:uid="{8031E8A8-AA9F-4F8E-B12F-9359A5628232}"/>
    <cellStyle name="Normal 4 2 2 2 3 2 4" xfId="15057" xr:uid="{31D553AC-BA1F-41BB-A4CC-6EF50D7724FD}"/>
    <cellStyle name="Normal 4 2 2 2 3 2 4 2" xfId="40549" xr:uid="{EFCCFB91-EB53-4062-9830-D6EBDA0A6C37}"/>
    <cellStyle name="Normal 4 2 2 2 3 2 5" xfId="27958" xr:uid="{02ADDEAD-5883-4777-BF4F-BC5DF08A72B9}"/>
    <cellStyle name="Normal 4 2 2 2 3 3" xfId="1562" xr:uid="{67623A7B-FF6E-4F66-A913-CDB0E57F6CF6}"/>
    <cellStyle name="Normal 4 2 2 2 3 3 2" xfId="4716" xr:uid="{80B7CFFD-865A-442C-88CC-06978DBCF0F0}"/>
    <cellStyle name="Normal 4 2 2 2 3 3 2 2" xfId="11009" xr:uid="{ABFD3B86-C2A9-4974-8985-D1D072905C2F}"/>
    <cellStyle name="Normal 4 2 2 2 3 3 2 2 2" xfId="23691" xr:uid="{4E054F7D-CF97-4F4C-8537-9FC21C1830D4}"/>
    <cellStyle name="Normal 4 2 2 2 3 3 2 2 2 2" xfId="49183" xr:uid="{CC0B5EC5-1CE6-472F-A06A-7E5035512798}"/>
    <cellStyle name="Normal 4 2 2 2 3 3 2 2 3" xfId="36592" xr:uid="{C2997225-584C-4E1A-B4E8-1F4B909EE7BD}"/>
    <cellStyle name="Normal 4 2 2 2 3 3 2 3" xfId="17413" xr:uid="{23335F4B-0B1A-4EED-A927-E3C1A91E596B}"/>
    <cellStyle name="Normal 4 2 2 2 3 3 2 3 2" xfId="42905" xr:uid="{CF4D7EAC-B2B8-433A-AA8C-7537AC3CFE1A}"/>
    <cellStyle name="Normal 4 2 2 2 3 3 2 4" xfId="30314" xr:uid="{620FC1A9-5066-473B-A34B-A1977CCE584C}"/>
    <cellStyle name="Normal 4 2 2 2 3 3 3" xfId="7870" xr:uid="{F9B798BA-14B9-4B4C-9868-BC9CA34B2504}"/>
    <cellStyle name="Normal 4 2 2 2 3 3 3 2" xfId="20552" xr:uid="{A05D5636-DA9B-424E-BB46-E94FB2762DD7}"/>
    <cellStyle name="Normal 4 2 2 2 3 3 3 2 2" xfId="46044" xr:uid="{D0645DE4-1042-4311-9B06-672B73C19A41}"/>
    <cellStyle name="Normal 4 2 2 2 3 3 3 3" xfId="33453" xr:uid="{81D7E1BE-507E-49EA-9F88-A61144FE5CF2}"/>
    <cellStyle name="Normal 4 2 2 2 3 3 4" xfId="14274" xr:uid="{22156834-510C-410D-A6FF-D0BDB3B4BF65}"/>
    <cellStyle name="Normal 4 2 2 2 3 3 4 2" xfId="39766" xr:uid="{D34FF5C0-E20B-4733-91EC-929A557BF698}"/>
    <cellStyle name="Normal 4 2 2 2 3 3 5" xfId="27175" xr:uid="{26EAB5C3-E92F-4F9D-8F74-76D2553319D4}"/>
    <cellStyle name="Normal 4 2 2 2 3 4" xfId="2869" xr:uid="{6F7082B3-9C1B-4B79-A78F-A488A5E0E9DB}"/>
    <cellStyle name="Normal 4 2 2 2 3 4 2" xfId="6023" xr:uid="{A096C185-B475-46B4-B7CF-8E926EBC9287}"/>
    <cellStyle name="Normal 4 2 2 2 3 4 2 2" xfId="12316" xr:uid="{48619285-F5B4-4A4B-A43B-F7A74FD469D1}"/>
    <cellStyle name="Normal 4 2 2 2 3 4 2 2 2" xfId="24998" xr:uid="{F0300CDC-5A5B-45AE-BAC0-A958B1C10B5F}"/>
    <cellStyle name="Normal 4 2 2 2 3 4 2 2 2 2" xfId="50490" xr:uid="{516365F0-AD42-4F40-A375-C7F93F9F76D6}"/>
    <cellStyle name="Normal 4 2 2 2 3 4 2 2 3" xfId="37899" xr:uid="{23C45A62-B562-4440-B6E3-A878722A1D9C}"/>
    <cellStyle name="Normal 4 2 2 2 3 4 2 3" xfId="18720" xr:uid="{2E8369F3-B8F7-4A0F-8D17-022C5C7083D1}"/>
    <cellStyle name="Normal 4 2 2 2 3 4 2 3 2" xfId="44212" xr:uid="{BC0D4470-4AB6-4BBA-A1E1-0D2BD3B0C102}"/>
    <cellStyle name="Normal 4 2 2 2 3 4 2 4" xfId="31621" xr:uid="{A36E7E9C-00D4-4CD5-9D2B-A849254DA26F}"/>
    <cellStyle name="Normal 4 2 2 2 3 4 3" xfId="9177" xr:uid="{1D40D224-FE0B-41E7-8BF7-8227C4F8BF3A}"/>
    <cellStyle name="Normal 4 2 2 2 3 4 3 2" xfId="21859" xr:uid="{C853D313-ECF1-44B1-A425-23DB4D9FA1A6}"/>
    <cellStyle name="Normal 4 2 2 2 3 4 3 2 2" xfId="47351" xr:uid="{28B1D223-7D05-4179-BD52-BD5A72F472C6}"/>
    <cellStyle name="Normal 4 2 2 2 3 4 3 3" xfId="34760" xr:uid="{EBB0A2D8-7AE7-43B1-91B3-06043889C647}"/>
    <cellStyle name="Normal 4 2 2 2 3 4 4" xfId="15581" xr:uid="{B55D6D03-D2B3-48C4-A74C-D7B8C1E4987C}"/>
    <cellStyle name="Normal 4 2 2 2 3 4 4 2" xfId="41073" xr:uid="{BDBCEC06-A6B9-4DC1-82B2-4A8E1B692B0B}"/>
    <cellStyle name="Normal 4 2 2 2 3 4 5" xfId="28482" xr:uid="{11FB0644-00F9-43B5-AF60-BE7F84A4FD69}"/>
    <cellStyle name="Normal 4 2 2 2 3 5" xfId="3392" xr:uid="{D357C602-1D64-43F0-BC5F-4D1CB2C37C45}"/>
    <cellStyle name="Normal 4 2 2 2 3 5 2" xfId="6546" xr:uid="{4837A494-3C31-4D52-A49A-0DB97553A8C8}"/>
    <cellStyle name="Normal 4 2 2 2 3 5 2 2" xfId="12839" xr:uid="{D40B48CC-1816-4261-89BE-187B64146B9A}"/>
    <cellStyle name="Normal 4 2 2 2 3 5 2 2 2" xfId="25521" xr:uid="{8021D15D-E64B-48AB-A3EA-6E3D9111549C}"/>
    <cellStyle name="Normal 4 2 2 2 3 5 2 2 2 2" xfId="51013" xr:uid="{B7E03802-A7B8-401B-8CB3-0B1663A3BD7D}"/>
    <cellStyle name="Normal 4 2 2 2 3 5 2 2 3" xfId="38422" xr:uid="{26A7EE44-D507-4B69-9CD6-6FFE9C345522}"/>
    <cellStyle name="Normal 4 2 2 2 3 5 2 3" xfId="19243" xr:uid="{0158CC60-EF27-4F0F-A7F2-97B5A08CC9AA}"/>
    <cellStyle name="Normal 4 2 2 2 3 5 2 3 2" xfId="44735" xr:uid="{D5B0CA46-1D21-49D8-B9F3-7FF77F332E11}"/>
    <cellStyle name="Normal 4 2 2 2 3 5 2 4" xfId="32144" xr:uid="{E0C7D860-4C4E-4F70-B11E-98FD88D6E3D7}"/>
    <cellStyle name="Normal 4 2 2 2 3 5 3" xfId="9700" xr:uid="{F1F99535-B418-441C-9421-7A8FC3B17F11}"/>
    <cellStyle name="Normal 4 2 2 2 3 5 3 2" xfId="22382" xr:uid="{34AA043B-FD46-436A-BC4D-F1B5C4570AFC}"/>
    <cellStyle name="Normal 4 2 2 2 3 5 3 2 2" xfId="47874" xr:uid="{2B467FAD-0B45-4FB5-9909-0640B4FCA0EB}"/>
    <cellStyle name="Normal 4 2 2 2 3 5 3 3" xfId="35283" xr:uid="{0062EF65-45A6-429B-92EE-32F02CFA1474}"/>
    <cellStyle name="Normal 4 2 2 2 3 5 4" xfId="16104" xr:uid="{DC51C08C-7006-42CB-AD97-F5D940A7CE7F}"/>
    <cellStyle name="Normal 4 2 2 2 3 5 4 2" xfId="41596" xr:uid="{BBC2AC7E-19BC-40EC-B427-A4986394D882}"/>
    <cellStyle name="Normal 4 2 2 2 3 5 5" xfId="29005" xr:uid="{734C969E-BC26-4312-8C20-5887500BF474}"/>
    <cellStyle name="Normal 4 2 2 2 3 6" xfId="4192" xr:uid="{3EE68248-075E-43AD-9DDD-9EDD05BE5302}"/>
    <cellStyle name="Normal 4 2 2 2 3 6 2" xfId="10485" xr:uid="{2A8E3403-5D29-4A53-A58C-3FC5C14DF67C}"/>
    <cellStyle name="Normal 4 2 2 2 3 6 2 2" xfId="23167" xr:uid="{A25F1420-60FA-4139-96FC-9DFBBE5D1198}"/>
    <cellStyle name="Normal 4 2 2 2 3 6 2 2 2" xfId="48659" xr:uid="{C8954BB4-3AD2-461F-A61F-7BE719BC3982}"/>
    <cellStyle name="Normal 4 2 2 2 3 6 2 3" xfId="36068" xr:uid="{8D283E6E-A790-42BA-BB6C-0216F4EE34F3}"/>
    <cellStyle name="Normal 4 2 2 2 3 6 3" xfId="16889" xr:uid="{3A9240FE-A165-49F8-91C9-2F27AA460EDB}"/>
    <cellStyle name="Normal 4 2 2 2 3 6 3 2" xfId="42381" xr:uid="{8666111A-CDF8-483F-805E-FB7931CAF3E1}"/>
    <cellStyle name="Normal 4 2 2 2 3 6 4" xfId="29790" xr:uid="{DD3ACAB4-02A8-4969-A350-781A38786761}"/>
    <cellStyle name="Normal 4 2 2 2 3 7" xfId="7346" xr:uid="{201BDC82-8576-4B03-B927-41ECB3BD523A}"/>
    <cellStyle name="Normal 4 2 2 2 3 7 2" xfId="20028" xr:uid="{5AAB8DA1-F93E-4F59-A3DB-1A0B851CD503}"/>
    <cellStyle name="Normal 4 2 2 2 3 7 2 2" xfId="45520" xr:uid="{671D1876-904D-44A5-968B-501093F567E1}"/>
    <cellStyle name="Normal 4 2 2 2 3 7 3" xfId="32929" xr:uid="{B7FF1AAB-41B9-4BAA-830A-1FD4F4FB5BB1}"/>
    <cellStyle name="Normal 4 2 2 2 3 8" xfId="13750" xr:uid="{EBC6A750-2BA5-4902-809A-2B7175BA98C5}"/>
    <cellStyle name="Normal 4 2 2 2 3 8 2" xfId="39242" xr:uid="{2B81011B-0ECE-4A28-91C7-AB251C562947}"/>
    <cellStyle name="Normal 4 2 2 2 3 9" xfId="26651" xr:uid="{A64F74FC-70BB-4F48-A15A-584CE526863E}"/>
    <cellStyle name="Normal 4 2 2 2 4" xfId="778" xr:uid="{3256637F-44E0-45D8-B5E4-31D57342AFF7}"/>
    <cellStyle name="Normal 4 2 2 2 4 2" xfId="2085" xr:uid="{F0B99B9C-DB29-43AA-857D-EBDD76983819}"/>
    <cellStyle name="Normal 4 2 2 2 4 2 2" xfId="5239" xr:uid="{0C981F3F-B100-4200-915B-D44EAD6294E5}"/>
    <cellStyle name="Normal 4 2 2 2 4 2 2 2" xfId="11532" xr:uid="{E908E949-B4AC-4A03-A2C1-90E009FEC121}"/>
    <cellStyle name="Normal 4 2 2 2 4 2 2 2 2" xfId="24214" xr:uid="{23BE435F-D760-4423-A8C1-9321079864BB}"/>
    <cellStyle name="Normal 4 2 2 2 4 2 2 2 2 2" xfId="49706" xr:uid="{5E46DBB0-B4D7-4301-B03D-127723D41442}"/>
    <cellStyle name="Normal 4 2 2 2 4 2 2 2 3" xfId="37115" xr:uid="{BC61FFF5-E1F0-490A-AAA1-679F53739110}"/>
    <cellStyle name="Normal 4 2 2 2 4 2 2 3" xfId="17936" xr:uid="{256CB503-1B82-437D-8307-09055816789F}"/>
    <cellStyle name="Normal 4 2 2 2 4 2 2 3 2" xfId="43428" xr:uid="{A8F3389D-9E9E-4260-9DF3-82E6476F14BE}"/>
    <cellStyle name="Normal 4 2 2 2 4 2 2 4" xfId="30837" xr:uid="{455166E6-D0BE-4954-AA0A-8BACCF8B6FC8}"/>
    <cellStyle name="Normal 4 2 2 2 4 2 3" xfId="8393" xr:uid="{A70CBCDD-A071-4A88-8866-411C8B73049F}"/>
    <cellStyle name="Normal 4 2 2 2 4 2 3 2" xfId="21075" xr:uid="{D815B494-CB4F-4CB1-A05C-0DB47D49D80A}"/>
    <cellStyle name="Normal 4 2 2 2 4 2 3 2 2" xfId="46567" xr:uid="{3DC0C0EC-C2D6-48A3-9828-7667654A6EA9}"/>
    <cellStyle name="Normal 4 2 2 2 4 2 3 3" xfId="33976" xr:uid="{B3C145A7-C126-4131-AA28-812B4271CE67}"/>
    <cellStyle name="Normal 4 2 2 2 4 2 4" xfId="14797" xr:uid="{C9455F4B-9BDD-47FE-AF1A-8FBE80F0EE4F}"/>
    <cellStyle name="Normal 4 2 2 2 4 2 4 2" xfId="40289" xr:uid="{A774290C-7BF6-4BF6-BBEF-AE8AC53460AE}"/>
    <cellStyle name="Normal 4 2 2 2 4 2 5" xfId="27698" xr:uid="{B40BAB72-EB92-4288-9F98-E5E69A9EEDD7}"/>
    <cellStyle name="Normal 4 2 2 2 4 3" xfId="3932" xr:uid="{F351521A-7A3E-4538-BE69-E921D63AA18C}"/>
    <cellStyle name="Normal 4 2 2 2 4 3 2" xfId="10225" xr:uid="{E396EAED-0804-46AB-8550-DB70AB6F15BF}"/>
    <cellStyle name="Normal 4 2 2 2 4 3 2 2" xfId="22907" xr:uid="{489C4DC9-12B2-471F-9AB0-97EBA02B1F3D}"/>
    <cellStyle name="Normal 4 2 2 2 4 3 2 2 2" xfId="48399" xr:uid="{667FF330-B71A-4678-9FD5-DA3B1F8B4163}"/>
    <cellStyle name="Normal 4 2 2 2 4 3 2 3" xfId="35808" xr:uid="{1B80BDA9-0BAD-4626-8195-292430C84FD5}"/>
    <cellStyle name="Normal 4 2 2 2 4 3 3" xfId="16629" xr:uid="{3D206911-66C0-416F-B631-01D38F3BFAA1}"/>
    <cellStyle name="Normal 4 2 2 2 4 3 3 2" xfId="42121" xr:uid="{681DFC9F-4C49-4ABC-8297-B4FE688C4EB7}"/>
    <cellStyle name="Normal 4 2 2 2 4 3 4" xfId="29530" xr:uid="{825D6B92-E7C0-43C9-A06E-98775158F417}"/>
    <cellStyle name="Normal 4 2 2 2 4 4" xfId="7086" xr:uid="{14BE4D4C-8F7F-406B-AE7C-14001A4EB701}"/>
    <cellStyle name="Normal 4 2 2 2 4 4 2" xfId="19768" xr:uid="{BF2C5890-5915-4238-B68A-B71B77596130}"/>
    <cellStyle name="Normal 4 2 2 2 4 4 2 2" xfId="45260" xr:uid="{DB160180-3A88-494A-9978-DAF29AF21739}"/>
    <cellStyle name="Normal 4 2 2 2 4 4 3" xfId="32669" xr:uid="{AC025F19-366A-42F2-AEFD-615C5C4154AF}"/>
    <cellStyle name="Normal 4 2 2 2 4 5" xfId="13490" xr:uid="{D9EF2732-9196-4CA4-84DC-167C3BF1A5E7}"/>
    <cellStyle name="Normal 4 2 2 2 4 5 2" xfId="38982" xr:uid="{19C5C97C-060C-4E5A-9DCD-AC0C43333FD9}"/>
    <cellStyle name="Normal 4 2 2 2 4 6" xfId="26391" xr:uid="{8DC76237-9AF6-4E3E-A11A-8A00ABC80714}"/>
    <cellStyle name="Normal 4 2 2 2 5" xfId="1823" xr:uid="{EC33F75F-D110-4F52-98E7-81B63ADA83D0}"/>
    <cellStyle name="Normal 4 2 2 2 5 2" xfId="4977" xr:uid="{A2633B86-D8C6-4B1C-8BB3-ADC3EF27C70E}"/>
    <cellStyle name="Normal 4 2 2 2 5 2 2" xfId="11270" xr:uid="{C32DD8AA-D64F-4534-B147-8B4530C8D2BA}"/>
    <cellStyle name="Normal 4 2 2 2 5 2 2 2" xfId="23952" xr:uid="{E0737315-F583-4E6E-AF01-D665167018A1}"/>
    <cellStyle name="Normal 4 2 2 2 5 2 2 2 2" xfId="49444" xr:uid="{53FD6DD5-EE8A-42D2-8ABD-6B11C2B58403}"/>
    <cellStyle name="Normal 4 2 2 2 5 2 2 3" xfId="36853" xr:uid="{ACD463E4-7AB6-43A9-9137-0DF658D4A944}"/>
    <cellStyle name="Normal 4 2 2 2 5 2 3" xfId="17674" xr:uid="{C3BF275B-05B5-407B-A0A1-DEA407F1983B}"/>
    <cellStyle name="Normal 4 2 2 2 5 2 3 2" xfId="43166" xr:uid="{43D4B87D-7C1D-4FE5-B60D-7E8EC7CB2EF7}"/>
    <cellStyle name="Normal 4 2 2 2 5 2 4" xfId="30575" xr:uid="{7A21B092-814F-4002-AC07-D5103CAE7DEE}"/>
    <cellStyle name="Normal 4 2 2 2 5 3" xfId="8131" xr:uid="{980A8D15-5695-4F72-A971-DF4169A94EDE}"/>
    <cellStyle name="Normal 4 2 2 2 5 3 2" xfId="20813" xr:uid="{83B90835-698F-47C5-8FBF-F8E81EF4C466}"/>
    <cellStyle name="Normal 4 2 2 2 5 3 2 2" xfId="46305" xr:uid="{0A0FCCD4-5D09-4025-BAF5-EE846B98A394}"/>
    <cellStyle name="Normal 4 2 2 2 5 3 3" xfId="33714" xr:uid="{9B350583-4416-43FC-9BFF-D745C2A3ADD7}"/>
    <cellStyle name="Normal 4 2 2 2 5 4" xfId="14535" xr:uid="{369C7345-B945-4375-B311-A95B57033D2D}"/>
    <cellStyle name="Normal 4 2 2 2 5 4 2" xfId="40027" xr:uid="{8ABE25BB-7E50-42A2-92BE-70422E4402D3}"/>
    <cellStyle name="Normal 4 2 2 2 5 5" xfId="27436" xr:uid="{B9D5E596-1382-40ED-87DF-B25227B84830}"/>
    <cellStyle name="Normal 4 2 2 2 6" xfId="1301" xr:uid="{66EED014-1DB4-4DA5-8A40-65ED9B9FAF1C}"/>
    <cellStyle name="Normal 4 2 2 2 6 2" xfId="4455" xr:uid="{AAF21DF1-E196-499B-8117-D26F2403ED38}"/>
    <cellStyle name="Normal 4 2 2 2 6 2 2" xfId="10748" xr:uid="{4B9FB784-E989-4DB9-A5E3-3A804354E52A}"/>
    <cellStyle name="Normal 4 2 2 2 6 2 2 2" xfId="23430" xr:uid="{9B7EAAD4-CED6-4675-84D0-7E96AB4DDACC}"/>
    <cellStyle name="Normal 4 2 2 2 6 2 2 2 2" xfId="48922" xr:uid="{A49628FF-F662-45F7-A5E5-C142F105C0C2}"/>
    <cellStyle name="Normal 4 2 2 2 6 2 2 3" xfId="36331" xr:uid="{7F41FDD2-2FF2-4D33-87D8-00DCDB185655}"/>
    <cellStyle name="Normal 4 2 2 2 6 2 3" xfId="17152" xr:uid="{88F726CF-9468-4470-9D5D-BB55EB6F465D}"/>
    <cellStyle name="Normal 4 2 2 2 6 2 3 2" xfId="42644" xr:uid="{ECF0785C-03AB-415A-B1AA-AB36A6DF3137}"/>
    <cellStyle name="Normal 4 2 2 2 6 2 4" xfId="30053" xr:uid="{E24C385F-ABA2-418B-BE90-EF95A5374B9E}"/>
    <cellStyle name="Normal 4 2 2 2 6 3" xfId="7609" xr:uid="{EEA8611A-39EA-43B9-92F0-60A9094DD716}"/>
    <cellStyle name="Normal 4 2 2 2 6 3 2" xfId="20291" xr:uid="{4799ECBE-419A-42E4-AB43-582C20C11B21}"/>
    <cellStyle name="Normal 4 2 2 2 6 3 2 2" xfId="45783" xr:uid="{5FB2CF53-6A12-4760-9D88-31CED5971E4B}"/>
    <cellStyle name="Normal 4 2 2 2 6 3 3" xfId="33192" xr:uid="{B842C2D6-7C3C-46C4-A15B-812C4D553A44}"/>
    <cellStyle name="Normal 4 2 2 2 6 4" xfId="14013" xr:uid="{CAF46EC7-D884-4388-8943-1B31459494CE}"/>
    <cellStyle name="Normal 4 2 2 2 6 4 2" xfId="39505" xr:uid="{2BE721C2-0F20-45CC-9965-2972720C50E3}"/>
    <cellStyle name="Normal 4 2 2 2 6 5" xfId="26914" xr:uid="{E412EB73-E446-4EFF-9249-5DF60F569197}"/>
    <cellStyle name="Normal 4 2 2 2 7" xfId="2608" xr:uid="{6DA438AB-24DE-45A5-8EBF-3B6A553690BB}"/>
    <cellStyle name="Normal 4 2 2 2 7 2" xfId="5762" xr:uid="{48144C55-1760-4847-9B37-8CC2C9CDFDD9}"/>
    <cellStyle name="Normal 4 2 2 2 7 2 2" xfId="12055" xr:uid="{B1164561-895B-4665-91D2-677AE87DC76B}"/>
    <cellStyle name="Normal 4 2 2 2 7 2 2 2" xfId="24737" xr:uid="{2FAF52D9-460B-4FCE-A362-B9B6A0D66118}"/>
    <cellStyle name="Normal 4 2 2 2 7 2 2 2 2" xfId="50229" xr:uid="{C27FBB03-7989-49B9-9377-481FCD5749FC}"/>
    <cellStyle name="Normal 4 2 2 2 7 2 2 3" xfId="37638" xr:uid="{B04C85EA-8912-46AA-B47D-4DE2BC3AE1A0}"/>
    <cellStyle name="Normal 4 2 2 2 7 2 3" xfId="18459" xr:uid="{A2801965-2CE3-4119-A79B-EB251C89A700}"/>
    <cellStyle name="Normal 4 2 2 2 7 2 3 2" xfId="43951" xr:uid="{B68DEDC2-3F43-4865-9199-D696BB25EE32}"/>
    <cellStyle name="Normal 4 2 2 2 7 2 4" xfId="31360" xr:uid="{E063AC86-2817-46B9-B875-CF8E102932EC}"/>
    <cellStyle name="Normal 4 2 2 2 7 3" xfId="8916" xr:uid="{8341E3EF-A824-40A8-A405-4CA1655DA961}"/>
    <cellStyle name="Normal 4 2 2 2 7 3 2" xfId="21598" xr:uid="{E23CF817-9C7A-45F9-A963-BFCDDD1B4F39}"/>
    <cellStyle name="Normal 4 2 2 2 7 3 2 2" xfId="47090" xr:uid="{4EFDC68B-97B1-4FE1-9D4D-9FB6C1891EE6}"/>
    <cellStyle name="Normal 4 2 2 2 7 3 3" xfId="34499" xr:uid="{72BC57A2-C85F-4C15-8117-2988BD6BCD9E}"/>
    <cellStyle name="Normal 4 2 2 2 7 4" xfId="15320" xr:uid="{D59A2849-4CA6-431A-8FAF-79CB7465B573}"/>
    <cellStyle name="Normal 4 2 2 2 7 4 2" xfId="40812" xr:uid="{82A75C54-7416-4451-A5B1-56C5CA8E5F34}"/>
    <cellStyle name="Normal 4 2 2 2 7 5" xfId="28221" xr:uid="{4E9069EE-92AF-4265-9A71-571920EE0AA4}"/>
    <cellStyle name="Normal 4 2 2 2 8" xfId="3131" xr:uid="{8F9ED866-6E01-4117-91C2-007AA74A0A4B}"/>
    <cellStyle name="Normal 4 2 2 2 8 2" xfId="6285" xr:uid="{7254C5AE-92D3-4F47-A8A2-EA7BEE243C02}"/>
    <cellStyle name="Normal 4 2 2 2 8 2 2" xfId="12578" xr:uid="{22534351-DA10-44C0-B009-2958910D355C}"/>
    <cellStyle name="Normal 4 2 2 2 8 2 2 2" xfId="25260" xr:uid="{835F4762-87A2-4D60-8AB3-1A35D38C6E5F}"/>
    <cellStyle name="Normal 4 2 2 2 8 2 2 2 2" xfId="50752" xr:uid="{892BAA3E-3A91-4D7E-AC20-CEE5BA8D3515}"/>
    <cellStyle name="Normal 4 2 2 2 8 2 2 3" xfId="38161" xr:uid="{5DDC2A43-5F22-4B96-BADA-E7B50F546B73}"/>
    <cellStyle name="Normal 4 2 2 2 8 2 3" xfId="18982" xr:uid="{5747EAAD-0425-4B3C-B901-624EE607267D}"/>
    <cellStyle name="Normal 4 2 2 2 8 2 3 2" xfId="44474" xr:uid="{7C8FD272-6DB6-4F46-A5BB-015738ADA97E}"/>
    <cellStyle name="Normal 4 2 2 2 8 2 4" xfId="31883" xr:uid="{44E4D30B-DA5E-42F7-83B4-92B94F72EC34}"/>
    <cellStyle name="Normal 4 2 2 2 8 3" xfId="9439" xr:uid="{9E59175D-FCF6-47FE-A100-E3303B502BE0}"/>
    <cellStyle name="Normal 4 2 2 2 8 3 2" xfId="22121" xr:uid="{1D566273-B222-468A-8BF6-7667A3E6D828}"/>
    <cellStyle name="Normal 4 2 2 2 8 3 2 2" xfId="47613" xr:uid="{0C893421-75BD-4A1E-BB6B-8C608D746129}"/>
    <cellStyle name="Normal 4 2 2 2 8 3 3" xfId="35022" xr:uid="{40D0F4E1-87CC-4D26-880A-EFEF31F865A0}"/>
    <cellStyle name="Normal 4 2 2 2 8 4" xfId="15843" xr:uid="{4E73E53A-C932-48BD-8A8A-81E1CA633612}"/>
    <cellStyle name="Normal 4 2 2 2 8 4 2" xfId="41335" xr:uid="{96D9C77B-4C16-49B5-A5F4-EFA2B05935BD}"/>
    <cellStyle name="Normal 4 2 2 2 8 5" xfId="28744" xr:uid="{BB10F903-6085-4504-B793-9E50364FF366}"/>
    <cellStyle name="Normal 4 2 2 2 9" xfId="3670" xr:uid="{B2159265-AD64-483D-9425-CAFB0A22B319}"/>
    <cellStyle name="Normal 4 2 2 2 9 2" xfId="9963" xr:uid="{A7F2A20F-1A31-4450-8CA5-D200B9CD5856}"/>
    <cellStyle name="Normal 4 2 2 2 9 2 2" xfId="22645" xr:uid="{7895EE60-506A-41B3-ABF2-8A50DA794EC3}"/>
    <cellStyle name="Normal 4 2 2 2 9 2 2 2" xfId="48137" xr:uid="{DC85C130-3B5B-4747-AF92-BC8B40C3A769}"/>
    <cellStyle name="Normal 4 2 2 2 9 2 3" xfId="35546" xr:uid="{45542F13-4751-4E54-831E-AB40683F509D}"/>
    <cellStyle name="Normal 4 2 2 2 9 3" xfId="16367" xr:uid="{519D8088-E8C5-4A91-96F0-C8951B6C6251}"/>
    <cellStyle name="Normal 4 2 2 2 9 3 2" xfId="41859" xr:uid="{108D009A-22EF-4B13-BB3D-94B71DBCE683}"/>
    <cellStyle name="Normal 4 2 2 2 9 4" xfId="29268" xr:uid="{893B160A-C10A-4DE0-A215-A9E9FD7900FB}"/>
    <cellStyle name="Normal 4 2 2 3" xfId="599" xr:uid="{09D85A89-2FDC-41C8-9C78-E37D3A7D554C}"/>
    <cellStyle name="Normal 4 2 2 3 10" xfId="13326" xr:uid="{E983CEFE-D385-4541-97D2-98CB2D93299E}"/>
    <cellStyle name="Normal 4 2 2 3 10 2" xfId="38818" xr:uid="{E8BE2ABB-1F89-463B-9472-5ADDD6B183F4}"/>
    <cellStyle name="Normal 4 2 2 3 11" xfId="26227" xr:uid="{B94BC478-BD95-4FD1-98B8-0C0F6F41F2CE}"/>
    <cellStyle name="Normal 4 2 2 3 2" xfId="1136" xr:uid="{410733AC-F039-4A94-80D7-582D1D8EB489}"/>
    <cellStyle name="Normal 4 2 2 3 2 2" xfId="2443" xr:uid="{F81433B2-093B-47FB-82F5-D2AEE2595EA6}"/>
    <cellStyle name="Normal 4 2 2 3 2 2 2" xfId="5597" xr:uid="{28349638-E31A-4D14-9859-38A6F82D31DF}"/>
    <cellStyle name="Normal 4 2 2 3 2 2 2 2" xfId="11890" xr:uid="{CE86B461-8056-4398-AAC4-9AC887C90710}"/>
    <cellStyle name="Normal 4 2 2 3 2 2 2 2 2" xfId="24572" xr:uid="{1705EBFC-4E28-465E-959B-3449A770F525}"/>
    <cellStyle name="Normal 4 2 2 3 2 2 2 2 2 2" xfId="50064" xr:uid="{D25B50BC-6E1F-4968-ADAE-9D6D57C73529}"/>
    <cellStyle name="Normal 4 2 2 3 2 2 2 2 3" xfId="37473" xr:uid="{8C310ADD-6116-4564-B375-6E14FD33F3DE}"/>
    <cellStyle name="Normal 4 2 2 3 2 2 2 3" xfId="18294" xr:uid="{1770F8C3-D739-4799-B2A9-E17BEE0BDAEF}"/>
    <cellStyle name="Normal 4 2 2 3 2 2 2 3 2" xfId="43786" xr:uid="{80916872-8E3A-47C6-A8FF-84610E183BFE}"/>
    <cellStyle name="Normal 4 2 2 3 2 2 2 4" xfId="31195" xr:uid="{0E5AAC94-02C6-4F2E-97FA-46B1075FAAEF}"/>
    <cellStyle name="Normal 4 2 2 3 2 2 3" xfId="8751" xr:uid="{6732BD58-1FC9-4895-9853-7903A1DF614B}"/>
    <cellStyle name="Normal 4 2 2 3 2 2 3 2" xfId="21433" xr:uid="{3DD1E3FE-6576-4820-ACDE-8D3CC1CE32D7}"/>
    <cellStyle name="Normal 4 2 2 3 2 2 3 2 2" xfId="46925" xr:uid="{6D382EA5-EB79-4EF5-9E76-E82957D47E6A}"/>
    <cellStyle name="Normal 4 2 2 3 2 2 3 3" xfId="34334" xr:uid="{9568C752-59D6-474D-8B04-E44C3DE64F80}"/>
    <cellStyle name="Normal 4 2 2 3 2 2 4" xfId="15155" xr:uid="{94F65A61-9695-4303-BED9-58270BC345FD}"/>
    <cellStyle name="Normal 4 2 2 3 2 2 4 2" xfId="40647" xr:uid="{1E43B743-65BE-4852-8412-69A38DA8B7D0}"/>
    <cellStyle name="Normal 4 2 2 3 2 2 5" xfId="28056" xr:uid="{CCEB8C51-211C-44EC-A93E-4962C8F269F3}"/>
    <cellStyle name="Normal 4 2 2 3 2 3" xfId="1660" xr:uid="{A1782401-F0AB-4EBB-8F38-06BE18573BEE}"/>
    <cellStyle name="Normal 4 2 2 3 2 3 2" xfId="4814" xr:uid="{729A6DCC-2A96-4FC4-87AC-E236CEA11FE1}"/>
    <cellStyle name="Normal 4 2 2 3 2 3 2 2" xfId="11107" xr:uid="{6536080E-A15C-4F69-BB60-8E1F0252DC75}"/>
    <cellStyle name="Normal 4 2 2 3 2 3 2 2 2" xfId="23789" xr:uid="{EDFAA584-46D1-477B-B67C-01B7C3DB0395}"/>
    <cellStyle name="Normal 4 2 2 3 2 3 2 2 2 2" xfId="49281" xr:uid="{42851AA1-3B24-4403-BCAE-BCD6ABC75FB0}"/>
    <cellStyle name="Normal 4 2 2 3 2 3 2 2 3" xfId="36690" xr:uid="{8F97FABF-6180-4CF9-BCE3-DE1204283838}"/>
    <cellStyle name="Normal 4 2 2 3 2 3 2 3" xfId="17511" xr:uid="{851EAB55-6200-46D7-8464-B1C962137CF3}"/>
    <cellStyle name="Normal 4 2 2 3 2 3 2 3 2" xfId="43003" xr:uid="{BF1FA038-E87F-4BFD-A41A-37A6D29A4883}"/>
    <cellStyle name="Normal 4 2 2 3 2 3 2 4" xfId="30412" xr:uid="{0693FEB6-F3DA-4659-8885-FC6A7EFA8FE8}"/>
    <cellStyle name="Normal 4 2 2 3 2 3 3" xfId="7968" xr:uid="{AE4DC7BF-4260-4F33-A473-C29BD4484305}"/>
    <cellStyle name="Normal 4 2 2 3 2 3 3 2" xfId="20650" xr:uid="{94105FB6-ACD7-491A-A056-47FB2025F9FB}"/>
    <cellStyle name="Normal 4 2 2 3 2 3 3 2 2" xfId="46142" xr:uid="{AF805C0A-5BBF-49D6-BC7F-58F939D64C7A}"/>
    <cellStyle name="Normal 4 2 2 3 2 3 3 3" xfId="33551" xr:uid="{68E1034E-4D75-49D5-AE96-11A37680F832}"/>
    <cellStyle name="Normal 4 2 2 3 2 3 4" xfId="14372" xr:uid="{D67C8267-16DC-4DDE-9E67-839891BA6345}"/>
    <cellStyle name="Normal 4 2 2 3 2 3 4 2" xfId="39864" xr:uid="{B8351619-9A2F-4CCD-83DF-BB7483FFBA01}"/>
    <cellStyle name="Normal 4 2 2 3 2 3 5" xfId="27273" xr:uid="{162B5986-F273-4B38-ACC1-DE147EAEBBB3}"/>
    <cellStyle name="Normal 4 2 2 3 2 4" xfId="2967" xr:uid="{9A522D01-2633-4B73-B764-4C16E1082580}"/>
    <cellStyle name="Normal 4 2 2 3 2 4 2" xfId="6121" xr:uid="{B0D40CDE-63AF-4C24-8E14-1D0B4F2CA7FC}"/>
    <cellStyle name="Normal 4 2 2 3 2 4 2 2" xfId="12414" xr:uid="{A689AFBF-4AF2-4909-8113-34A47AE9AC9A}"/>
    <cellStyle name="Normal 4 2 2 3 2 4 2 2 2" xfId="25096" xr:uid="{2B19B225-EF29-4042-B646-BED5240F35B0}"/>
    <cellStyle name="Normal 4 2 2 3 2 4 2 2 2 2" xfId="50588" xr:uid="{1C5043E9-AC7C-45A7-98F6-7228325FF551}"/>
    <cellStyle name="Normal 4 2 2 3 2 4 2 2 3" xfId="37997" xr:uid="{6F5B419A-B763-46A3-90A6-E0592C3CD657}"/>
    <cellStyle name="Normal 4 2 2 3 2 4 2 3" xfId="18818" xr:uid="{724C26D3-A612-4763-BD8D-EA30869A9626}"/>
    <cellStyle name="Normal 4 2 2 3 2 4 2 3 2" xfId="44310" xr:uid="{715C6F0F-040B-4B76-B15B-6816DCCB63C1}"/>
    <cellStyle name="Normal 4 2 2 3 2 4 2 4" xfId="31719" xr:uid="{8558098B-8E07-431A-AED5-9238E366EFBD}"/>
    <cellStyle name="Normal 4 2 2 3 2 4 3" xfId="9275" xr:uid="{0E98DE05-841C-44F5-9FEA-DA8700BF3F19}"/>
    <cellStyle name="Normal 4 2 2 3 2 4 3 2" xfId="21957" xr:uid="{942A8070-6AB1-4C7D-99D2-FE39B8DB8AB6}"/>
    <cellStyle name="Normal 4 2 2 3 2 4 3 2 2" xfId="47449" xr:uid="{E8C62E60-0B8E-41B8-B5D2-FE1B241AD552}"/>
    <cellStyle name="Normal 4 2 2 3 2 4 3 3" xfId="34858" xr:uid="{E4071819-E6E0-4856-BEF6-3FC7BC629C89}"/>
    <cellStyle name="Normal 4 2 2 3 2 4 4" xfId="15679" xr:uid="{B7E82E81-3FC3-4249-B0DF-E78BF05767A9}"/>
    <cellStyle name="Normal 4 2 2 3 2 4 4 2" xfId="41171" xr:uid="{44AFDEB7-63E0-4D42-BE1E-4D7AF8719161}"/>
    <cellStyle name="Normal 4 2 2 3 2 4 5" xfId="28580" xr:uid="{DF9E9B39-9A5D-4661-B52D-773239323796}"/>
    <cellStyle name="Normal 4 2 2 3 2 5" xfId="3490" xr:uid="{90A1BB5F-1523-4BFD-9DCC-057750E2CE9E}"/>
    <cellStyle name="Normal 4 2 2 3 2 5 2" xfId="6644" xr:uid="{93ADDB19-6241-4B75-B2D1-884F3A537352}"/>
    <cellStyle name="Normal 4 2 2 3 2 5 2 2" xfId="12937" xr:uid="{FB85ACDB-D4D1-4DE0-8BEF-FEC82DECC7DE}"/>
    <cellStyle name="Normal 4 2 2 3 2 5 2 2 2" xfId="25619" xr:uid="{6C8C7CB8-33BA-4282-92FA-EAF1F6A5A676}"/>
    <cellStyle name="Normal 4 2 2 3 2 5 2 2 2 2" xfId="51111" xr:uid="{D7F8A5C3-330F-45C1-B38B-C5FE91BEE71C}"/>
    <cellStyle name="Normal 4 2 2 3 2 5 2 2 3" xfId="38520" xr:uid="{EB590ABF-BCBA-4A13-9F39-CEE0CA4B5E29}"/>
    <cellStyle name="Normal 4 2 2 3 2 5 2 3" xfId="19341" xr:uid="{B96AF85B-7F46-48D0-9ECF-ECE05E0AAFE7}"/>
    <cellStyle name="Normal 4 2 2 3 2 5 2 3 2" xfId="44833" xr:uid="{95A9E64D-0064-41D1-833B-4D417476740A}"/>
    <cellStyle name="Normal 4 2 2 3 2 5 2 4" xfId="32242" xr:uid="{C87FF111-BED6-4CE5-9DB9-8209B9086606}"/>
    <cellStyle name="Normal 4 2 2 3 2 5 3" xfId="9798" xr:uid="{95CFE352-C00B-4003-9DC4-176D1CB17554}"/>
    <cellStyle name="Normal 4 2 2 3 2 5 3 2" xfId="22480" xr:uid="{F1857C77-2DBB-47E5-9F88-69BED6C3B0A4}"/>
    <cellStyle name="Normal 4 2 2 3 2 5 3 2 2" xfId="47972" xr:uid="{90C678CA-6AFE-40DE-ACA1-3DE7CE726286}"/>
    <cellStyle name="Normal 4 2 2 3 2 5 3 3" xfId="35381" xr:uid="{12D59599-B50D-4104-92BF-1E46C7C347C3}"/>
    <cellStyle name="Normal 4 2 2 3 2 5 4" xfId="16202" xr:uid="{D95C51BE-60D0-48D1-A31E-D1A4B1469954}"/>
    <cellStyle name="Normal 4 2 2 3 2 5 4 2" xfId="41694" xr:uid="{B7184955-F90D-4A3F-B2E2-505A614B364B}"/>
    <cellStyle name="Normal 4 2 2 3 2 5 5" xfId="29103" xr:uid="{790639F7-0BCD-431C-9471-AF098E4FA52F}"/>
    <cellStyle name="Normal 4 2 2 3 2 6" xfId="4290" xr:uid="{B3660B3A-5566-4D4C-8A54-A7F1E3E348B4}"/>
    <cellStyle name="Normal 4 2 2 3 2 6 2" xfId="10583" xr:uid="{C7734BB2-6AE0-47EC-BBBB-7A9CD18CE44C}"/>
    <cellStyle name="Normal 4 2 2 3 2 6 2 2" xfId="23265" xr:uid="{1505399B-23E4-4C9D-BBED-B1676254D59C}"/>
    <cellStyle name="Normal 4 2 2 3 2 6 2 2 2" xfId="48757" xr:uid="{2300B3D4-E22E-41BF-AD49-15210DAD7DB9}"/>
    <cellStyle name="Normal 4 2 2 3 2 6 2 3" xfId="36166" xr:uid="{3AA21121-349E-4388-800C-97C971EC30B4}"/>
    <cellStyle name="Normal 4 2 2 3 2 6 3" xfId="16987" xr:uid="{997016C4-1C8F-4D1E-832B-71901A468D02}"/>
    <cellStyle name="Normal 4 2 2 3 2 6 3 2" xfId="42479" xr:uid="{D10AA574-548C-4962-A249-096276E9FADA}"/>
    <cellStyle name="Normal 4 2 2 3 2 6 4" xfId="29888" xr:uid="{8B395946-BDBC-4405-B76A-DD2252FD0AA2}"/>
    <cellStyle name="Normal 4 2 2 3 2 7" xfId="7444" xr:uid="{9F623408-879D-49DA-B3E3-E4FA15779C63}"/>
    <cellStyle name="Normal 4 2 2 3 2 7 2" xfId="20126" xr:uid="{F2B9E7C1-B853-4B21-B34C-A3C5BDFDA242}"/>
    <cellStyle name="Normal 4 2 2 3 2 7 2 2" xfId="45618" xr:uid="{FF25D3D3-6462-4F65-80F1-8BE59CB94983}"/>
    <cellStyle name="Normal 4 2 2 3 2 7 3" xfId="33027" xr:uid="{54D93142-CFE7-438E-87F1-E10D55668778}"/>
    <cellStyle name="Normal 4 2 2 3 2 8" xfId="13848" xr:uid="{A873E935-5266-4988-B483-302B1CDFBF3F}"/>
    <cellStyle name="Normal 4 2 2 3 2 8 2" xfId="39340" xr:uid="{9CDD1174-3660-4474-BD4D-FC444EE5F825}"/>
    <cellStyle name="Normal 4 2 2 3 2 9" xfId="26749" xr:uid="{0349EB88-8239-4138-A823-DF4FA33496C3}"/>
    <cellStyle name="Normal 4 2 2 3 3" xfId="876" xr:uid="{8E14F85F-6EF4-4260-A117-683787ED980E}"/>
    <cellStyle name="Normal 4 2 2 3 3 2" xfId="2183" xr:uid="{65CD8EC9-64CE-45E6-9948-C0C4D4F18802}"/>
    <cellStyle name="Normal 4 2 2 3 3 2 2" xfId="5337" xr:uid="{7E0B1533-E56A-4114-8672-DE43955BD1A2}"/>
    <cellStyle name="Normal 4 2 2 3 3 2 2 2" xfId="11630" xr:uid="{70DCEADB-E59C-4F0F-8DDD-9905F11404D2}"/>
    <cellStyle name="Normal 4 2 2 3 3 2 2 2 2" xfId="24312" xr:uid="{C4DC454A-935D-4338-A86A-F43226407965}"/>
    <cellStyle name="Normal 4 2 2 3 3 2 2 2 2 2" xfId="49804" xr:uid="{583D4C84-FE18-499A-B7F5-EE7779F9DC85}"/>
    <cellStyle name="Normal 4 2 2 3 3 2 2 2 3" xfId="37213" xr:uid="{0348927F-CE71-41A9-80C9-434A02D3398E}"/>
    <cellStyle name="Normal 4 2 2 3 3 2 2 3" xfId="18034" xr:uid="{1F4D9434-AC96-4469-83B2-B226C32A02AA}"/>
    <cellStyle name="Normal 4 2 2 3 3 2 2 3 2" xfId="43526" xr:uid="{EB54230A-C804-45E7-AA50-12D25B3EE877}"/>
    <cellStyle name="Normal 4 2 2 3 3 2 2 4" xfId="30935" xr:uid="{B4F2E74F-3FCF-4A30-BD34-051D0C2A8467}"/>
    <cellStyle name="Normal 4 2 2 3 3 2 3" xfId="8491" xr:uid="{B2263AF7-4324-4C98-B705-111CDCB01577}"/>
    <cellStyle name="Normal 4 2 2 3 3 2 3 2" xfId="21173" xr:uid="{1E86CCA9-DBE1-4AA7-A11A-FB1922224497}"/>
    <cellStyle name="Normal 4 2 2 3 3 2 3 2 2" xfId="46665" xr:uid="{C954C5CA-D347-4D78-86FC-8FB11154C3ED}"/>
    <cellStyle name="Normal 4 2 2 3 3 2 3 3" xfId="34074" xr:uid="{6504FC81-C380-4FBC-8ECD-8C7A281FA49F}"/>
    <cellStyle name="Normal 4 2 2 3 3 2 4" xfId="14895" xr:uid="{15C93C9B-8F37-498C-A2CC-75C14641B750}"/>
    <cellStyle name="Normal 4 2 2 3 3 2 4 2" xfId="40387" xr:uid="{8E43E1D0-812D-4E91-BAAD-BEEA5731C9E7}"/>
    <cellStyle name="Normal 4 2 2 3 3 2 5" xfId="27796" xr:uid="{4645D5F1-121F-445B-9E89-37B08B3CD05B}"/>
    <cellStyle name="Normal 4 2 2 3 3 3" xfId="4030" xr:uid="{02DCB06A-0DF1-4E07-8A8C-BD1323A4B6E6}"/>
    <cellStyle name="Normal 4 2 2 3 3 3 2" xfId="10323" xr:uid="{21ADE91D-6FEF-4BA5-9BCA-39EDAAF49482}"/>
    <cellStyle name="Normal 4 2 2 3 3 3 2 2" xfId="23005" xr:uid="{9AF32882-E200-45F3-BD1C-7E7956B1C436}"/>
    <cellStyle name="Normal 4 2 2 3 3 3 2 2 2" xfId="48497" xr:uid="{66900C25-C2AF-457A-8E6C-CA9F7B464CF8}"/>
    <cellStyle name="Normal 4 2 2 3 3 3 2 3" xfId="35906" xr:uid="{785AF3EA-F7A6-46D5-9DFF-28CBD2336AB0}"/>
    <cellStyle name="Normal 4 2 2 3 3 3 3" xfId="16727" xr:uid="{E2082759-9FDC-4486-8DBA-F200189FA3B3}"/>
    <cellStyle name="Normal 4 2 2 3 3 3 3 2" xfId="42219" xr:uid="{A1AFB31C-5949-4972-A1C4-B93BA9CE02B2}"/>
    <cellStyle name="Normal 4 2 2 3 3 3 4" xfId="29628" xr:uid="{4747A37B-EE84-4B29-B753-EAE7E6FC567C}"/>
    <cellStyle name="Normal 4 2 2 3 3 4" xfId="7184" xr:uid="{12FC81E2-DB89-41B9-961C-D9F55FBB309C}"/>
    <cellStyle name="Normal 4 2 2 3 3 4 2" xfId="19866" xr:uid="{D843C53E-0B06-4CC4-BDE5-C7C549ADD727}"/>
    <cellStyle name="Normal 4 2 2 3 3 4 2 2" xfId="45358" xr:uid="{2EE3C076-CBFB-41AE-8D8A-0498ADABE30C}"/>
    <cellStyle name="Normal 4 2 2 3 3 4 3" xfId="32767" xr:uid="{EAD17999-82E3-4763-A516-64B93A45D0C0}"/>
    <cellStyle name="Normal 4 2 2 3 3 5" xfId="13588" xr:uid="{2DA31381-8146-40DF-B88A-70F79EC768AF}"/>
    <cellStyle name="Normal 4 2 2 3 3 5 2" xfId="39080" xr:uid="{16DF39C3-0AD8-4ADB-A2AD-72B0DF5AE600}"/>
    <cellStyle name="Normal 4 2 2 3 3 6" xfId="26489" xr:uid="{E88F4255-C28B-442E-B5F0-1F199D8B4F39}"/>
    <cellStyle name="Normal 4 2 2 3 4" xfId="1921" xr:uid="{6FF16B87-5E42-4061-8528-216B4ABA0D1F}"/>
    <cellStyle name="Normal 4 2 2 3 4 2" xfId="5075" xr:uid="{05152876-089F-474B-970E-14EDAEF22ABE}"/>
    <cellStyle name="Normal 4 2 2 3 4 2 2" xfId="11368" xr:uid="{E8DE1BDD-D1EE-4F38-B129-1FCEF5330D74}"/>
    <cellStyle name="Normal 4 2 2 3 4 2 2 2" xfId="24050" xr:uid="{41136270-3663-47F7-8B46-94E18C180572}"/>
    <cellStyle name="Normal 4 2 2 3 4 2 2 2 2" xfId="49542" xr:uid="{10F1406A-268C-4C6E-8981-D7B542D166A6}"/>
    <cellStyle name="Normal 4 2 2 3 4 2 2 3" xfId="36951" xr:uid="{F14A6BE3-3CEA-437B-9B42-4FBF7AF4CDFF}"/>
    <cellStyle name="Normal 4 2 2 3 4 2 3" xfId="17772" xr:uid="{A48EC9A6-6DFC-472B-8445-0ADB33E9DA2C}"/>
    <cellStyle name="Normal 4 2 2 3 4 2 3 2" xfId="43264" xr:uid="{9A792020-B602-4672-A335-1BB807B19F45}"/>
    <cellStyle name="Normal 4 2 2 3 4 2 4" xfId="30673" xr:uid="{F7401DDE-D4AE-4BCE-911A-C340BCDDCADA}"/>
    <cellStyle name="Normal 4 2 2 3 4 3" xfId="8229" xr:uid="{8F02B069-A758-43DE-9140-EBE8EB60447C}"/>
    <cellStyle name="Normal 4 2 2 3 4 3 2" xfId="20911" xr:uid="{D1D1D9AD-7A5C-43C6-A6C2-31BCC3E5D4FC}"/>
    <cellStyle name="Normal 4 2 2 3 4 3 2 2" xfId="46403" xr:uid="{45299F63-53F3-4ACC-8B78-13CBD63282B6}"/>
    <cellStyle name="Normal 4 2 2 3 4 3 3" xfId="33812" xr:uid="{87580273-6668-4C12-A970-4ECB772A66AA}"/>
    <cellStyle name="Normal 4 2 2 3 4 4" xfId="14633" xr:uid="{2214E016-B8D6-4D3D-83C4-519A4FCDFB8A}"/>
    <cellStyle name="Normal 4 2 2 3 4 4 2" xfId="40125" xr:uid="{64203DB5-0C24-4ACA-B063-96B356C7C656}"/>
    <cellStyle name="Normal 4 2 2 3 4 5" xfId="27534" xr:uid="{13194545-326C-4164-93DF-05D14E9B3C0D}"/>
    <cellStyle name="Normal 4 2 2 3 5" xfId="1399" xr:uid="{922DA0FF-3E01-416E-83D9-36EC4E161A2A}"/>
    <cellStyle name="Normal 4 2 2 3 5 2" xfId="4553" xr:uid="{CBE2A27C-6D83-40E8-B60F-F7D2A0A8BE54}"/>
    <cellStyle name="Normal 4 2 2 3 5 2 2" xfId="10846" xr:uid="{16C10F72-79D1-4ECB-92A4-D78D46EAE302}"/>
    <cellStyle name="Normal 4 2 2 3 5 2 2 2" xfId="23528" xr:uid="{8DCD0BD7-9CA8-4C6A-BEF1-6BDB7C6DDA2E}"/>
    <cellStyle name="Normal 4 2 2 3 5 2 2 2 2" xfId="49020" xr:uid="{837899BC-F14B-4D71-BF2C-24EC46F98110}"/>
    <cellStyle name="Normal 4 2 2 3 5 2 2 3" xfId="36429" xr:uid="{C9A02B02-4068-4AF7-B8D6-A25369DD1120}"/>
    <cellStyle name="Normal 4 2 2 3 5 2 3" xfId="17250" xr:uid="{4E4C4616-0ED0-45A7-8450-DAD50D956B4B}"/>
    <cellStyle name="Normal 4 2 2 3 5 2 3 2" xfId="42742" xr:uid="{575F206D-C5B0-4456-AF29-2ECC62D034B6}"/>
    <cellStyle name="Normal 4 2 2 3 5 2 4" xfId="30151" xr:uid="{CF3B8E2F-95E1-444F-8414-33C451BB7422}"/>
    <cellStyle name="Normal 4 2 2 3 5 3" xfId="7707" xr:uid="{8143E1EE-4F29-4EE0-AAEB-851B35181E20}"/>
    <cellStyle name="Normal 4 2 2 3 5 3 2" xfId="20389" xr:uid="{1AA9E441-D133-47AB-8B42-F58CC77AD9DB}"/>
    <cellStyle name="Normal 4 2 2 3 5 3 2 2" xfId="45881" xr:uid="{CFCA3C0E-43D6-4C12-BCD6-5903BB0C2B55}"/>
    <cellStyle name="Normal 4 2 2 3 5 3 3" xfId="33290" xr:uid="{C05BCA97-19D8-4C38-90D8-483DB8D0526B}"/>
    <cellStyle name="Normal 4 2 2 3 5 4" xfId="14111" xr:uid="{D0FD8320-12A3-4149-9DE6-24D032A26D7D}"/>
    <cellStyle name="Normal 4 2 2 3 5 4 2" xfId="39603" xr:uid="{D19CC593-7473-4FC6-B089-68A6494387BD}"/>
    <cellStyle name="Normal 4 2 2 3 5 5" xfId="27012" xr:uid="{A58D2615-0E16-4731-9B85-8DA6BAFB41D6}"/>
    <cellStyle name="Normal 4 2 2 3 6" xfId="2706" xr:uid="{18EEF5C7-6AFA-4478-B135-4CACCA074997}"/>
    <cellStyle name="Normal 4 2 2 3 6 2" xfId="5860" xr:uid="{40575B54-015A-40A8-892A-7BD7EB82FB92}"/>
    <cellStyle name="Normal 4 2 2 3 6 2 2" xfId="12153" xr:uid="{F43A1FFD-8755-43B2-A12A-27FAD824C775}"/>
    <cellStyle name="Normal 4 2 2 3 6 2 2 2" xfId="24835" xr:uid="{CAB173DC-6CB3-44B4-B70D-5DE334D1A8C9}"/>
    <cellStyle name="Normal 4 2 2 3 6 2 2 2 2" xfId="50327" xr:uid="{060164A1-1750-454C-ADE9-1B15CAA8A311}"/>
    <cellStyle name="Normal 4 2 2 3 6 2 2 3" xfId="37736" xr:uid="{F020FC12-73E2-402C-94FC-A0A4545BDBC9}"/>
    <cellStyle name="Normal 4 2 2 3 6 2 3" xfId="18557" xr:uid="{1A2B808A-57E6-4629-B060-15A0BACFAA36}"/>
    <cellStyle name="Normal 4 2 2 3 6 2 3 2" xfId="44049" xr:uid="{F25F7312-7994-40B2-870F-54849742B685}"/>
    <cellStyle name="Normal 4 2 2 3 6 2 4" xfId="31458" xr:uid="{2D03E121-51CF-40B9-92EA-72035E9A46C4}"/>
    <cellStyle name="Normal 4 2 2 3 6 3" xfId="9014" xr:uid="{692C5B5D-1DBF-4BA3-A066-B48F43D220AE}"/>
    <cellStyle name="Normal 4 2 2 3 6 3 2" xfId="21696" xr:uid="{D54F687D-324E-4499-A688-68040577F21E}"/>
    <cellStyle name="Normal 4 2 2 3 6 3 2 2" xfId="47188" xr:uid="{A51ADFD6-5064-477A-92AC-3DC384593EC3}"/>
    <cellStyle name="Normal 4 2 2 3 6 3 3" xfId="34597" xr:uid="{9DAD2231-16E1-4E52-A177-3747C01363F4}"/>
    <cellStyle name="Normal 4 2 2 3 6 4" xfId="15418" xr:uid="{914EB282-48F2-4199-8809-760F39C9514E}"/>
    <cellStyle name="Normal 4 2 2 3 6 4 2" xfId="40910" xr:uid="{51628895-7C80-4832-BFD9-E637EC11799C}"/>
    <cellStyle name="Normal 4 2 2 3 6 5" xfId="28319" xr:uid="{4D9AA873-A9EA-4774-B9C3-AAE6EFC08B8A}"/>
    <cellStyle name="Normal 4 2 2 3 7" xfId="3229" xr:uid="{4BAD3A56-B114-498B-9EBF-38D5E094702A}"/>
    <cellStyle name="Normal 4 2 2 3 7 2" xfId="6383" xr:uid="{382A3FEF-57EE-4AC9-AF08-9EC954A51677}"/>
    <cellStyle name="Normal 4 2 2 3 7 2 2" xfId="12676" xr:uid="{69ED4BE2-27BF-4123-ADCA-67525C7E09BA}"/>
    <cellStyle name="Normal 4 2 2 3 7 2 2 2" xfId="25358" xr:uid="{0F814B27-8E62-49EE-A6D9-2317A8F4B9DA}"/>
    <cellStyle name="Normal 4 2 2 3 7 2 2 2 2" xfId="50850" xr:uid="{CD52B5EA-8B48-4652-9586-96301E2251BC}"/>
    <cellStyle name="Normal 4 2 2 3 7 2 2 3" xfId="38259" xr:uid="{97F49E52-FFCC-4068-9932-C0D175F4BEC2}"/>
    <cellStyle name="Normal 4 2 2 3 7 2 3" xfId="19080" xr:uid="{6DC10490-EFB1-400B-B4E3-52026D3F7947}"/>
    <cellStyle name="Normal 4 2 2 3 7 2 3 2" xfId="44572" xr:uid="{657DCFC9-8A79-48A7-B108-6F10F528A5D6}"/>
    <cellStyle name="Normal 4 2 2 3 7 2 4" xfId="31981" xr:uid="{EBF46104-A1DE-449B-B2E1-5E4289868A97}"/>
    <cellStyle name="Normal 4 2 2 3 7 3" xfId="9537" xr:uid="{29833D85-6108-4866-B43F-D41AFBC12570}"/>
    <cellStyle name="Normal 4 2 2 3 7 3 2" xfId="22219" xr:uid="{26DD1F5D-54E3-44B4-9678-DA59BB87938E}"/>
    <cellStyle name="Normal 4 2 2 3 7 3 2 2" xfId="47711" xr:uid="{AEC7DF0C-7152-4C63-827B-BC30C8D20096}"/>
    <cellStyle name="Normal 4 2 2 3 7 3 3" xfId="35120" xr:uid="{9DF9F543-FE35-4BAE-A4A8-BB010D1F60E3}"/>
    <cellStyle name="Normal 4 2 2 3 7 4" xfId="15941" xr:uid="{B071FDC9-2190-436F-A36A-3AB574B34F66}"/>
    <cellStyle name="Normal 4 2 2 3 7 4 2" xfId="41433" xr:uid="{65CA1F6E-1716-4843-8992-265988A9049D}"/>
    <cellStyle name="Normal 4 2 2 3 7 5" xfId="28842" xr:uid="{55806E6A-58B2-4018-83A5-C9E98213626D}"/>
    <cellStyle name="Normal 4 2 2 3 8" xfId="3768" xr:uid="{5F29CF16-E759-4DBA-8B11-14F9537F21B5}"/>
    <cellStyle name="Normal 4 2 2 3 8 2" xfId="10061" xr:uid="{A9A64B9B-F142-4CF3-A62C-0D3991024DFF}"/>
    <cellStyle name="Normal 4 2 2 3 8 2 2" xfId="22743" xr:uid="{A171A47B-FF4A-4A89-AA4D-011CF8799061}"/>
    <cellStyle name="Normal 4 2 2 3 8 2 2 2" xfId="48235" xr:uid="{34C2C127-46E7-4A35-92A2-BC84DA0F806D}"/>
    <cellStyle name="Normal 4 2 2 3 8 2 3" xfId="35644" xr:uid="{345861E4-33B0-409F-ABE9-7845CE610540}"/>
    <cellStyle name="Normal 4 2 2 3 8 3" xfId="16465" xr:uid="{2284B22D-0818-46EA-A953-AFEDD8479185}"/>
    <cellStyle name="Normal 4 2 2 3 8 3 2" xfId="41957" xr:uid="{97CE2744-3D44-415E-911A-06903066FA59}"/>
    <cellStyle name="Normal 4 2 2 3 8 4" xfId="29366" xr:uid="{39724A4D-CD53-4575-B2E1-6219A06B649F}"/>
    <cellStyle name="Normal 4 2 2 3 9" xfId="6922" xr:uid="{0BA47B14-C470-4A89-BB4E-F53A9FFC4698}"/>
    <cellStyle name="Normal 4 2 2 3 9 2" xfId="19604" xr:uid="{AB1DA19A-9E22-442B-AD5F-9852112AAD2E}"/>
    <cellStyle name="Normal 4 2 2 3 9 2 2" xfId="45096" xr:uid="{E74F5D1F-24C3-41F1-81EC-5AEEA1AF246B}"/>
    <cellStyle name="Normal 4 2 2 3 9 3" xfId="32505" xr:uid="{18142E8B-9F40-4436-983C-0081B94CE4D9}"/>
    <cellStyle name="Normal 4 2 2 4" xfId="560" xr:uid="{90E26C00-53DE-4081-8235-2EB3D673C71A}"/>
    <cellStyle name="Normal 4 2 2 4 10" xfId="13287" xr:uid="{3A5C809A-0F22-456A-851E-CAAB18817C0C}"/>
    <cellStyle name="Normal 4 2 2 4 10 2" xfId="38779" xr:uid="{2B2D78A4-17FD-4B2F-836C-45782F96869D}"/>
    <cellStyle name="Normal 4 2 2 4 11" xfId="26188" xr:uid="{39284528-324E-4623-81A7-859B8D435015}"/>
    <cellStyle name="Normal 4 2 2 4 2" xfId="1097" xr:uid="{CED63F76-B5B6-40C7-B08D-6B0D43096930}"/>
    <cellStyle name="Normal 4 2 2 4 2 2" xfId="2404" xr:uid="{39386697-1DBA-4FF5-B52C-4EE50282A089}"/>
    <cellStyle name="Normal 4 2 2 4 2 2 2" xfId="5558" xr:uid="{2DBBABEB-6C67-4E2A-B3B6-83BC6529A57B}"/>
    <cellStyle name="Normal 4 2 2 4 2 2 2 2" xfId="11851" xr:uid="{A5426D90-F464-4255-B316-4FAACFCEE4D5}"/>
    <cellStyle name="Normal 4 2 2 4 2 2 2 2 2" xfId="24533" xr:uid="{F107D4D3-07D7-487F-A8E7-00A3D0A74908}"/>
    <cellStyle name="Normal 4 2 2 4 2 2 2 2 2 2" xfId="50025" xr:uid="{8D39D52C-97FF-45C5-BFA8-E06D18D341A2}"/>
    <cellStyle name="Normal 4 2 2 4 2 2 2 2 3" xfId="37434" xr:uid="{453D9710-7FE5-4094-9310-8DAD4719E8AF}"/>
    <cellStyle name="Normal 4 2 2 4 2 2 2 3" xfId="18255" xr:uid="{EE6CB24A-E2FA-4455-B043-F18D5074D612}"/>
    <cellStyle name="Normal 4 2 2 4 2 2 2 3 2" xfId="43747" xr:uid="{42C77112-FCB5-40FF-B68F-FADEA732F7FB}"/>
    <cellStyle name="Normal 4 2 2 4 2 2 2 4" xfId="31156" xr:uid="{5A78C324-4782-4B6B-B17C-8BA6D13CCF71}"/>
    <cellStyle name="Normal 4 2 2 4 2 2 3" xfId="8712" xr:uid="{E778D79E-7C69-47AF-B6E2-EA74E161DF58}"/>
    <cellStyle name="Normal 4 2 2 4 2 2 3 2" xfId="21394" xr:uid="{A9CA1396-763D-4BC2-B601-B3C15238E0EE}"/>
    <cellStyle name="Normal 4 2 2 4 2 2 3 2 2" xfId="46886" xr:uid="{2C82AEB3-DB46-4137-A6E8-3FE67D57C729}"/>
    <cellStyle name="Normal 4 2 2 4 2 2 3 3" xfId="34295" xr:uid="{99399ABE-B2AC-456B-B39E-84E7B57E61D2}"/>
    <cellStyle name="Normal 4 2 2 4 2 2 4" xfId="15116" xr:uid="{9F2A6CFA-B07E-430D-A12B-690292570E96}"/>
    <cellStyle name="Normal 4 2 2 4 2 2 4 2" xfId="40608" xr:uid="{04763883-E1AB-4E3A-AA65-4D4C0A4D0A27}"/>
    <cellStyle name="Normal 4 2 2 4 2 2 5" xfId="28017" xr:uid="{BB6FA220-4FBA-401A-8523-E576AAA71CC1}"/>
    <cellStyle name="Normal 4 2 2 4 2 3" xfId="1621" xr:uid="{BE2C96AA-1560-4937-987A-80FD307AFD92}"/>
    <cellStyle name="Normal 4 2 2 4 2 3 2" xfId="4775" xr:uid="{FA3CC188-86E5-4962-9EE5-BCAE375151A9}"/>
    <cellStyle name="Normal 4 2 2 4 2 3 2 2" xfId="11068" xr:uid="{6ED2DBFD-2B4C-4040-8EF0-B38AE7FF1922}"/>
    <cellStyle name="Normal 4 2 2 4 2 3 2 2 2" xfId="23750" xr:uid="{44B6AE63-02C5-46C8-B47F-9214F7798DE5}"/>
    <cellStyle name="Normal 4 2 2 4 2 3 2 2 2 2" xfId="49242" xr:uid="{BCB51BEA-993B-43A6-A5E7-F6F983E39980}"/>
    <cellStyle name="Normal 4 2 2 4 2 3 2 2 3" xfId="36651" xr:uid="{8E41162E-BB29-45EC-83E3-C0974912CD6A}"/>
    <cellStyle name="Normal 4 2 2 4 2 3 2 3" xfId="17472" xr:uid="{1A647197-380E-499D-BD92-A092956320E2}"/>
    <cellStyle name="Normal 4 2 2 4 2 3 2 3 2" xfId="42964" xr:uid="{E6EB3F68-DA21-4CEB-8941-FB023A12F4B5}"/>
    <cellStyle name="Normal 4 2 2 4 2 3 2 4" xfId="30373" xr:uid="{72E65E12-D948-4CEB-8747-6EF4518C5E1B}"/>
    <cellStyle name="Normal 4 2 2 4 2 3 3" xfId="7929" xr:uid="{84E2140F-905F-4E5A-A277-42BEFB3CF599}"/>
    <cellStyle name="Normal 4 2 2 4 2 3 3 2" xfId="20611" xr:uid="{DB3526B1-28EA-45DC-AD7E-49DE3133A44F}"/>
    <cellStyle name="Normal 4 2 2 4 2 3 3 2 2" xfId="46103" xr:uid="{86018700-1C0B-449F-95CE-89EE397AEBEC}"/>
    <cellStyle name="Normal 4 2 2 4 2 3 3 3" xfId="33512" xr:uid="{4BAAEE9C-675C-4E2C-9DD8-9D0EBE45BF27}"/>
    <cellStyle name="Normal 4 2 2 4 2 3 4" xfId="14333" xr:uid="{11F1AB15-45CD-4AD4-944E-0B181F923F03}"/>
    <cellStyle name="Normal 4 2 2 4 2 3 4 2" xfId="39825" xr:uid="{59ED59CE-637C-4998-927D-29200DDD12CB}"/>
    <cellStyle name="Normal 4 2 2 4 2 3 5" xfId="27234" xr:uid="{47D6740E-8551-4104-9791-DCC5F7A92CB0}"/>
    <cellStyle name="Normal 4 2 2 4 2 4" xfId="2928" xr:uid="{FAF38135-D664-4F1D-9153-2E66F68ED5E9}"/>
    <cellStyle name="Normal 4 2 2 4 2 4 2" xfId="6082" xr:uid="{A1EB95E7-F962-4AF0-80B6-8F83941E263E}"/>
    <cellStyle name="Normal 4 2 2 4 2 4 2 2" xfId="12375" xr:uid="{9921AD3C-6607-42C1-A0E8-550E7AB3C60E}"/>
    <cellStyle name="Normal 4 2 2 4 2 4 2 2 2" xfId="25057" xr:uid="{640D68FA-3ACD-46EB-A77B-DEE38017F83A}"/>
    <cellStyle name="Normal 4 2 2 4 2 4 2 2 2 2" xfId="50549" xr:uid="{4DC9AFF1-6637-4421-97CD-A40A7A891454}"/>
    <cellStyle name="Normal 4 2 2 4 2 4 2 2 3" xfId="37958" xr:uid="{14E1DE6D-2918-47EA-86CA-ABB5714689AA}"/>
    <cellStyle name="Normal 4 2 2 4 2 4 2 3" xfId="18779" xr:uid="{F29E8AC9-58FF-4B4D-A176-04325319F66C}"/>
    <cellStyle name="Normal 4 2 2 4 2 4 2 3 2" xfId="44271" xr:uid="{99682EF0-A11B-43ED-9C51-1BC04DD9C217}"/>
    <cellStyle name="Normal 4 2 2 4 2 4 2 4" xfId="31680" xr:uid="{10DF1A56-56DF-48D4-8ABC-D0D8A6806816}"/>
    <cellStyle name="Normal 4 2 2 4 2 4 3" xfId="9236" xr:uid="{4F237CBB-531B-4026-B35F-9490CE7E7093}"/>
    <cellStyle name="Normal 4 2 2 4 2 4 3 2" xfId="21918" xr:uid="{82834860-A648-463A-845D-3632DF53EC86}"/>
    <cellStyle name="Normal 4 2 2 4 2 4 3 2 2" xfId="47410" xr:uid="{4145C85B-51C5-4082-85BC-14CE53DCF67E}"/>
    <cellStyle name="Normal 4 2 2 4 2 4 3 3" xfId="34819" xr:uid="{35A31A0F-FC67-42DF-B0F3-7AB1354471AE}"/>
    <cellStyle name="Normal 4 2 2 4 2 4 4" xfId="15640" xr:uid="{71FDD884-CD43-4095-9CC8-4901C3417E53}"/>
    <cellStyle name="Normal 4 2 2 4 2 4 4 2" xfId="41132" xr:uid="{6F6DDE74-8551-465C-96D3-ED4252CBB398}"/>
    <cellStyle name="Normal 4 2 2 4 2 4 5" xfId="28541" xr:uid="{A675BBBA-0442-4242-945C-2730090E03DF}"/>
    <cellStyle name="Normal 4 2 2 4 2 5" xfId="3451" xr:uid="{9804AF0E-C5B3-4CAE-B296-3537D61CB3B4}"/>
    <cellStyle name="Normal 4 2 2 4 2 5 2" xfId="6605" xr:uid="{C4542769-5E4B-4C0F-A2AF-4EEF9D0D654D}"/>
    <cellStyle name="Normal 4 2 2 4 2 5 2 2" xfId="12898" xr:uid="{3448E045-459D-4DD5-ADBE-5FF5E8346891}"/>
    <cellStyle name="Normal 4 2 2 4 2 5 2 2 2" xfId="25580" xr:uid="{81357180-012B-4894-BEE5-EA24D30E6B6B}"/>
    <cellStyle name="Normal 4 2 2 4 2 5 2 2 2 2" xfId="51072" xr:uid="{C187FA3C-3DCA-4AF4-A08C-F3B40D133631}"/>
    <cellStyle name="Normal 4 2 2 4 2 5 2 2 3" xfId="38481" xr:uid="{154F98FA-9DB9-414B-A2BF-08FC45CCF74D}"/>
    <cellStyle name="Normal 4 2 2 4 2 5 2 3" xfId="19302" xr:uid="{2501A15E-156C-477F-9F5F-7E4C1AD2EB2C}"/>
    <cellStyle name="Normal 4 2 2 4 2 5 2 3 2" xfId="44794" xr:uid="{FB9945C6-B98F-4510-BA41-5A24B1835DCA}"/>
    <cellStyle name="Normal 4 2 2 4 2 5 2 4" xfId="32203" xr:uid="{933679A9-AD27-4B35-8DA2-A6E117669C5D}"/>
    <cellStyle name="Normal 4 2 2 4 2 5 3" xfId="9759" xr:uid="{B8360D10-C4ED-4838-8BA8-EBAE50A343AF}"/>
    <cellStyle name="Normal 4 2 2 4 2 5 3 2" xfId="22441" xr:uid="{6C70D69E-16DC-4BA0-A6FD-FB3818FC0E22}"/>
    <cellStyle name="Normal 4 2 2 4 2 5 3 2 2" xfId="47933" xr:uid="{C385EA8A-2C5D-4203-867B-241467FFD04F}"/>
    <cellStyle name="Normal 4 2 2 4 2 5 3 3" xfId="35342" xr:uid="{EDE08F2E-35F2-4F14-8350-789EF785D0E6}"/>
    <cellStyle name="Normal 4 2 2 4 2 5 4" xfId="16163" xr:uid="{ABCA17AE-A89B-48E3-8B03-F95487A8E341}"/>
    <cellStyle name="Normal 4 2 2 4 2 5 4 2" xfId="41655" xr:uid="{87CC5510-CD77-47F3-B12F-8EA02DADFA6B}"/>
    <cellStyle name="Normal 4 2 2 4 2 5 5" xfId="29064" xr:uid="{18FB442D-DFDF-42F1-AF7E-96077EDB8939}"/>
    <cellStyle name="Normal 4 2 2 4 2 6" xfId="4251" xr:uid="{7C66153C-EA7C-4092-AC50-794B6238FDFF}"/>
    <cellStyle name="Normal 4 2 2 4 2 6 2" xfId="10544" xr:uid="{E5531E5D-558B-4A66-979A-49B6909B6C92}"/>
    <cellStyle name="Normal 4 2 2 4 2 6 2 2" xfId="23226" xr:uid="{192FC978-C12E-4548-AD54-4FA90DAEAA9A}"/>
    <cellStyle name="Normal 4 2 2 4 2 6 2 2 2" xfId="48718" xr:uid="{2DAED639-8A3B-4FE8-94D1-8C0B9672659B}"/>
    <cellStyle name="Normal 4 2 2 4 2 6 2 3" xfId="36127" xr:uid="{43B6A6C1-4B86-4EB7-B94A-0EB2FFE6E79B}"/>
    <cellStyle name="Normal 4 2 2 4 2 6 3" xfId="16948" xr:uid="{FCF549C3-5D92-46EB-A0A4-C323EA08A4AF}"/>
    <cellStyle name="Normal 4 2 2 4 2 6 3 2" xfId="42440" xr:uid="{EC1A63DA-D2FC-40B5-8CCC-11565CCDB550}"/>
    <cellStyle name="Normal 4 2 2 4 2 6 4" xfId="29849" xr:uid="{34F2508C-2B12-4A29-AF9C-4769C51893F4}"/>
    <cellStyle name="Normal 4 2 2 4 2 7" xfId="7405" xr:uid="{F20E3E57-878F-4D51-B3E6-AAFF3134F8B5}"/>
    <cellStyle name="Normal 4 2 2 4 2 7 2" xfId="20087" xr:uid="{FF12E006-66D9-4CC9-81B4-835E89862AE0}"/>
    <cellStyle name="Normal 4 2 2 4 2 7 2 2" xfId="45579" xr:uid="{BB1678AD-0F1C-455C-B5C8-ACF435E73D65}"/>
    <cellStyle name="Normal 4 2 2 4 2 7 3" xfId="32988" xr:uid="{BAFC8729-AC47-430A-9461-A042D3666547}"/>
    <cellStyle name="Normal 4 2 2 4 2 8" xfId="13809" xr:uid="{619434B5-6C75-4E61-B9BC-02502D6A7B78}"/>
    <cellStyle name="Normal 4 2 2 4 2 8 2" xfId="39301" xr:uid="{9939E999-0592-46F8-B33E-6043B0E95F8D}"/>
    <cellStyle name="Normal 4 2 2 4 2 9" xfId="26710" xr:uid="{30E7E0B6-69A7-4986-8CB2-ED0F8C898888}"/>
    <cellStyle name="Normal 4 2 2 4 3" xfId="837" xr:uid="{A4EADAE4-3608-4EBE-B807-46BB485C6CAE}"/>
    <cellStyle name="Normal 4 2 2 4 3 2" xfId="2144" xr:uid="{521A78AC-CFAF-48DA-AF05-9DA1769FCB24}"/>
    <cellStyle name="Normal 4 2 2 4 3 2 2" xfId="5298" xr:uid="{8F4E5C3C-B8C1-4E3F-8403-458BF512D8DD}"/>
    <cellStyle name="Normal 4 2 2 4 3 2 2 2" xfId="11591" xr:uid="{F4E9BD7E-5449-4C6B-A32F-EFEE216BDF42}"/>
    <cellStyle name="Normal 4 2 2 4 3 2 2 2 2" xfId="24273" xr:uid="{4D671D8B-E508-4C57-8154-AC5D64475F54}"/>
    <cellStyle name="Normal 4 2 2 4 3 2 2 2 2 2" xfId="49765" xr:uid="{616204CF-0F69-41BF-A8C4-46A9356F19A5}"/>
    <cellStyle name="Normal 4 2 2 4 3 2 2 2 3" xfId="37174" xr:uid="{2B59D9D9-75A1-4635-8F99-7071AA8AFBF8}"/>
    <cellStyle name="Normal 4 2 2 4 3 2 2 3" xfId="17995" xr:uid="{634875CD-DFA3-4918-8EDA-DF538C339092}"/>
    <cellStyle name="Normal 4 2 2 4 3 2 2 3 2" xfId="43487" xr:uid="{011548EF-CD7A-4988-A46E-DEC75C32672B}"/>
    <cellStyle name="Normal 4 2 2 4 3 2 2 4" xfId="30896" xr:uid="{14BE0EB3-60A0-42BA-8172-7993905A8146}"/>
    <cellStyle name="Normal 4 2 2 4 3 2 3" xfId="8452" xr:uid="{7813D69E-1F3A-4FBB-A42C-41683358E32E}"/>
    <cellStyle name="Normal 4 2 2 4 3 2 3 2" xfId="21134" xr:uid="{CFF0CEA2-AD05-4868-9494-230BF37AE1DD}"/>
    <cellStyle name="Normal 4 2 2 4 3 2 3 2 2" xfId="46626" xr:uid="{9F773E2A-EC2B-41B3-8921-DF0722CD3A8A}"/>
    <cellStyle name="Normal 4 2 2 4 3 2 3 3" xfId="34035" xr:uid="{6B9F91F9-F694-4D39-82F7-2E6E6323DA0A}"/>
    <cellStyle name="Normal 4 2 2 4 3 2 4" xfId="14856" xr:uid="{22A229ED-F8BD-455C-A8FD-A4812871649B}"/>
    <cellStyle name="Normal 4 2 2 4 3 2 4 2" xfId="40348" xr:uid="{29E89ECA-46B2-4EBD-96CC-8B91C3B07FC0}"/>
    <cellStyle name="Normal 4 2 2 4 3 2 5" xfId="27757" xr:uid="{EE0F751F-01BC-4854-831E-F9B2CEC0CEAF}"/>
    <cellStyle name="Normal 4 2 2 4 3 3" xfId="3991" xr:uid="{71D74D6D-8B9D-46E1-8EB3-6D9EB33CE053}"/>
    <cellStyle name="Normal 4 2 2 4 3 3 2" xfId="10284" xr:uid="{FB1923D5-5C12-4452-8C10-EAE740E7692A}"/>
    <cellStyle name="Normal 4 2 2 4 3 3 2 2" xfId="22966" xr:uid="{A3165980-AF16-4ED8-B7A5-B13ED8910F77}"/>
    <cellStyle name="Normal 4 2 2 4 3 3 2 2 2" xfId="48458" xr:uid="{A73229DA-D336-490D-A403-A43A16C4A973}"/>
    <cellStyle name="Normal 4 2 2 4 3 3 2 3" xfId="35867" xr:uid="{126C32F3-65E0-4850-8D24-7E2E4A1D98EE}"/>
    <cellStyle name="Normal 4 2 2 4 3 3 3" xfId="16688" xr:uid="{F8A2FD46-16F9-4B3B-95EA-5207F5A11085}"/>
    <cellStyle name="Normal 4 2 2 4 3 3 3 2" xfId="42180" xr:uid="{6BD328E1-2B79-4ACD-B690-95161BE07FC5}"/>
    <cellStyle name="Normal 4 2 2 4 3 3 4" xfId="29589" xr:uid="{F5C7B644-6352-4E81-8181-D7A77FDAA988}"/>
    <cellStyle name="Normal 4 2 2 4 3 4" xfId="7145" xr:uid="{6F75C9AE-A0F1-4C33-9F5B-17EC2FD3C32E}"/>
    <cellStyle name="Normal 4 2 2 4 3 4 2" xfId="19827" xr:uid="{799DA9E0-B3C8-4178-AA1F-4D399BEB9629}"/>
    <cellStyle name="Normal 4 2 2 4 3 4 2 2" xfId="45319" xr:uid="{C518FC9E-7AE2-4A7A-9ABD-76EBC4546434}"/>
    <cellStyle name="Normal 4 2 2 4 3 4 3" xfId="32728" xr:uid="{0E8B192B-9709-4596-A52B-F3419F1113E6}"/>
    <cellStyle name="Normal 4 2 2 4 3 5" xfId="13549" xr:uid="{62A16476-8676-411F-8F08-55DF3605B724}"/>
    <cellStyle name="Normal 4 2 2 4 3 5 2" xfId="39041" xr:uid="{84043A67-371F-4569-BD7E-3428E0AC2E98}"/>
    <cellStyle name="Normal 4 2 2 4 3 6" xfId="26450" xr:uid="{80D4571E-7BFB-4C9C-BA1D-31E3D19E8DEE}"/>
    <cellStyle name="Normal 4 2 2 4 4" xfId="1882" xr:uid="{6D1B5215-B2DB-4F7E-9BA9-F9294B288B86}"/>
    <cellStyle name="Normal 4 2 2 4 4 2" xfId="5036" xr:uid="{D65A04FA-AB92-4502-A3C4-2D8636CCB95C}"/>
    <cellStyle name="Normal 4 2 2 4 4 2 2" xfId="11329" xr:uid="{EE6A4872-5A54-4D47-A7AA-68F132C38716}"/>
    <cellStyle name="Normal 4 2 2 4 4 2 2 2" xfId="24011" xr:uid="{E5BFDDB0-0529-4898-B534-77C58034914F}"/>
    <cellStyle name="Normal 4 2 2 4 4 2 2 2 2" xfId="49503" xr:uid="{F9C46D33-313C-4672-A9FC-5209CF76799A}"/>
    <cellStyle name="Normal 4 2 2 4 4 2 2 3" xfId="36912" xr:uid="{923CFFC8-6CD1-4D74-A5D6-C85BB67039D7}"/>
    <cellStyle name="Normal 4 2 2 4 4 2 3" xfId="17733" xr:uid="{75C81C7B-7B28-4B56-92B1-7C36E7AE1FA2}"/>
    <cellStyle name="Normal 4 2 2 4 4 2 3 2" xfId="43225" xr:uid="{9E50B923-12AE-40CF-83D8-BFCB17B1D45B}"/>
    <cellStyle name="Normal 4 2 2 4 4 2 4" xfId="30634" xr:uid="{FD0ADA83-401D-41EF-ABA6-B4A8B412C83C}"/>
    <cellStyle name="Normal 4 2 2 4 4 3" xfId="8190" xr:uid="{608E67DE-B5A9-40FC-976E-4B13DE78E060}"/>
    <cellStyle name="Normal 4 2 2 4 4 3 2" xfId="20872" xr:uid="{0D3163B0-E88B-45E4-8FD1-67760C050F65}"/>
    <cellStyle name="Normal 4 2 2 4 4 3 2 2" xfId="46364" xr:uid="{0D2FA08D-FE70-4407-ABAE-6054E491F407}"/>
    <cellStyle name="Normal 4 2 2 4 4 3 3" xfId="33773" xr:uid="{390FCEA8-0F44-42F8-8B63-607469180BC5}"/>
    <cellStyle name="Normal 4 2 2 4 4 4" xfId="14594" xr:uid="{94D2CA25-3EDF-486D-B8D0-54128328EDC5}"/>
    <cellStyle name="Normal 4 2 2 4 4 4 2" xfId="40086" xr:uid="{CB22459A-6CF1-423F-9816-DAC62BCA2B7A}"/>
    <cellStyle name="Normal 4 2 2 4 4 5" xfId="27495" xr:uid="{755684A0-2927-4432-8D6F-7FB1B8FA2F7A}"/>
    <cellStyle name="Normal 4 2 2 4 5" xfId="1360" xr:uid="{33E69158-86C8-4A94-BA4B-D698F6A084AE}"/>
    <cellStyle name="Normal 4 2 2 4 5 2" xfId="4514" xr:uid="{0C80D921-474F-4E0F-821C-24F92F56593E}"/>
    <cellStyle name="Normal 4 2 2 4 5 2 2" xfId="10807" xr:uid="{C24FCED3-E03C-418F-AEB2-2778D4C92758}"/>
    <cellStyle name="Normal 4 2 2 4 5 2 2 2" xfId="23489" xr:uid="{DCB09732-BB70-4DFC-BE9A-7C9C31D73A70}"/>
    <cellStyle name="Normal 4 2 2 4 5 2 2 2 2" xfId="48981" xr:uid="{7CB89CE0-2E33-4348-9F07-FF54B3E2A831}"/>
    <cellStyle name="Normal 4 2 2 4 5 2 2 3" xfId="36390" xr:uid="{2F327DC9-2BB3-476A-B489-75C8C76165C3}"/>
    <cellStyle name="Normal 4 2 2 4 5 2 3" xfId="17211" xr:uid="{1E5FD44F-1595-413A-9FFE-4A91616DC7EF}"/>
    <cellStyle name="Normal 4 2 2 4 5 2 3 2" xfId="42703" xr:uid="{7AFAFFCB-6981-4A2D-A36D-CCEAA94FF347}"/>
    <cellStyle name="Normal 4 2 2 4 5 2 4" xfId="30112" xr:uid="{8274368F-115D-493C-B816-07F082330FDF}"/>
    <cellStyle name="Normal 4 2 2 4 5 3" xfId="7668" xr:uid="{E062CCFB-46F7-4DC7-AAC2-0B223856185D}"/>
    <cellStyle name="Normal 4 2 2 4 5 3 2" xfId="20350" xr:uid="{E792101C-2FA1-4553-8C07-779CFE86F720}"/>
    <cellStyle name="Normal 4 2 2 4 5 3 2 2" xfId="45842" xr:uid="{1E12A8E5-44C6-45F0-8323-5FC60D56813F}"/>
    <cellStyle name="Normal 4 2 2 4 5 3 3" xfId="33251" xr:uid="{765C51F6-4EEF-49D8-99DD-D4100D47C5FC}"/>
    <cellStyle name="Normal 4 2 2 4 5 4" xfId="14072" xr:uid="{273482CC-C348-4C94-B461-124263BA44E5}"/>
    <cellStyle name="Normal 4 2 2 4 5 4 2" xfId="39564" xr:uid="{AA0CA219-6011-4C86-B4A8-EE27C26B87A8}"/>
    <cellStyle name="Normal 4 2 2 4 5 5" xfId="26973" xr:uid="{C2FAC1D8-3237-4247-919A-328904901090}"/>
    <cellStyle name="Normal 4 2 2 4 6" xfId="2667" xr:uid="{944C73E8-B1CA-4EB1-A570-AC714F0022C6}"/>
    <cellStyle name="Normal 4 2 2 4 6 2" xfId="5821" xr:uid="{B05AD6BC-C738-43F6-B646-929DC6D2F313}"/>
    <cellStyle name="Normal 4 2 2 4 6 2 2" xfId="12114" xr:uid="{9763ABF9-733A-4A5F-A267-2F5225F83433}"/>
    <cellStyle name="Normal 4 2 2 4 6 2 2 2" xfId="24796" xr:uid="{DF9E3F57-82D6-464F-91BC-E42607C6245A}"/>
    <cellStyle name="Normal 4 2 2 4 6 2 2 2 2" xfId="50288" xr:uid="{6C208C94-8B93-41BF-9860-BC294E7419A5}"/>
    <cellStyle name="Normal 4 2 2 4 6 2 2 3" xfId="37697" xr:uid="{7A88C96B-4A0D-4594-9E56-811315B30EC6}"/>
    <cellStyle name="Normal 4 2 2 4 6 2 3" xfId="18518" xr:uid="{74C79963-B5EC-453B-8F54-1C9C7DEFD3A4}"/>
    <cellStyle name="Normal 4 2 2 4 6 2 3 2" xfId="44010" xr:uid="{47842A57-A518-469A-AE33-1914D2D83450}"/>
    <cellStyle name="Normal 4 2 2 4 6 2 4" xfId="31419" xr:uid="{802F9927-EB8D-4A79-B84A-188F5EA68034}"/>
    <cellStyle name="Normal 4 2 2 4 6 3" xfId="8975" xr:uid="{C194F30C-7CE4-4324-AE6A-2FF41668E007}"/>
    <cellStyle name="Normal 4 2 2 4 6 3 2" xfId="21657" xr:uid="{5DFAF5DB-0F0A-4932-8441-F86C4727CE7A}"/>
    <cellStyle name="Normal 4 2 2 4 6 3 2 2" xfId="47149" xr:uid="{4BCC711C-B508-4739-8404-011307807F4E}"/>
    <cellStyle name="Normal 4 2 2 4 6 3 3" xfId="34558" xr:uid="{E2A39B99-B423-402E-A494-49AC1BC25FFA}"/>
    <cellStyle name="Normal 4 2 2 4 6 4" xfId="15379" xr:uid="{ACE7EF13-15B4-482F-8A1B-B73F3D170F90}"/>
    <cellStyle name="Normal 4 2 2 4 6 4 2" xfId="40871" xr:uid="{F5F46C2C-ACF3-4ABC-A98C-D5BD9B31924B}"/>
    <cellStyle name="Normal 4 2 2 4 6 5" xfId="28280" xr:uid="{D7D4FAEE-BB5B-4F3B-ADEB-8E930A7593ED}"/>
    <cellStyle name="Normal 4 2 2 4 7" xfId="3190" xr:uid="{30C057CC-26E6-4EA6-A8C1-D6A4D82F2FBC}"/>
    <cellStyle name="Normal 4 2 2 4 7 2" xfId="6344" xr:uid="{836744D5-07C7-4CBF-A8E5-76CDF3F4B2A6}"/>
    <cellStyle name="Normal 4 2 2 4 7 2 2" xfId="12637" xr:uid="{49BFE296-F372-4C68-9C85-10C85FAF8F9D}"/>
    <cellStyle name="Normal 4 2 2 4 7 2 2 2" xfId="25319" xr:uid="{50F2F0E0-E11E-4D18-B1C6-CCA25EB840BF}"/>
    <cellStyle name="Normal 4 2 2 4 7 2 2 2 2" xfId="50811" xr:uid="{67013B5A-3751-42B6-BA45-30778C8E3F6E}"/>
    <cellStyle name="Normal 4 2 2 4 7 2 2 3" xfId="38220" xr:uid="{11D1B6CF-4A3A-470B-93BB-A88EA6819000}"/>
    <cellStyle name="Normal 4 2 2 4 7 2 3" xfId="19041" xr:uid="{5AB7CBCC-D1C5-4CD5-B162-172733CD4218}"/>
    <cellStyle name="Normal 4 2 2 4 7 2 3 2" xfId="44533" xr:uid="{F6626C6A-282E-4BBF-99FD-314604CB8B8C}"/>
    <cellStyle name="Normal 4 2 2 4 7 2 4" xfId="31942" xr:uid="{76937289-8FB8-48C7-9E6D-88BFB0AD59BF}"/>
    <cellStyle name="Normal 4 2 2 4 7 3" xfId="9498" xr:uid="{8FC303B9-2DEA-4575-8D92-7068859FC18C}"/>
    <cellStyle name="Normal 4 2 2 4 7 3 2" xfId="22180" xr:uid="{3B9B29AF-E83D-4C39-AB7D-66BC379D6867}"/>
    <cellStyle name="Normal 4 2 2 4 7 3 2 2" xfId="47672" xr:uid="{A191CD76-D8E6-477E-8F62-615516727035}"/>
    <cellStyle name="Normal 4 2 2 4 7 3 3" xfId="35081" xr:uid="{8E04BA6E-2FC4-4C1C-8B40-E12AD17A384D}"/>
    <cellStyle name="Normal 4 2 2 4 7 4" xfId="15902" xr:uid="{EB4F1FD0-6B6B-4DBC-9EF6-3CD0AD7D8713}"/>
    <cellStyle name="Normal 4 2 2 4 7 4 2" xfId="41394" xr:uid="{65F50F1D-696F-43E2-A646-E4D56F318EAF}"/>
    <cellStyle name="Normal 4 2 2 4 7 5" xfId="28803" xr:uid="{72E3CA4E-880E-4C98-A8F4-2DE03EE7FFED}"/>
    <cellStyle name="Normal 4 2 2 4 8" xfId="3729" xr:uid="{C6A4FF49-E901-4D21-867D-1EAB1ECF20D6}"/>
    <cellStyle name="Normal 4 2 2 4 8 2" xfId="10022" xr:uid="{33C264AB-AF8A-44B0-8221-EEB09A2973EE}"/>
    <cellStyle name="Normal 4 2 2 4 8 2 2" xfId="22704" xr:uid="{A49F321B-A5BB-4D49-8421-D7FFB86C5BEC}"/>
    <cellStyle name="Normal 4 2 2 4 8 2 2 2" xfId="48196" xr:uid="{0EDCBB45-EBB2-4D86-A560-0458A68F9ACF}"/>
    <cellStyle name="Normal 4 2 2 4 8 2 3" xfId="35605" xr:uid="{EB84F45D-33D0-49F9-92DC-49A9D1B8EB51}"/>
    <cellStyle name="Normal 4 2 2 4 8 3" xfId="16426" xr:uid="{E9DA8441-2D2D-4858-ABA2-E5C692C6B67E}"/>
    <cellStyle name="Normal 4 2 2 4 8 3 2" xfId="41918" xr:uid="{43428391-216E-4AF5-B90E-1793739AD893}"/>
    <cellStyle name="Normal 4 2 2 4 8 4" xfId="29327" xr:uid="{EF3FEFDC-E0AD-4DDF-BF57-5E74DA3387DB}"/>
    <cellStyle name="Normal 4 2 2 4 9" xfId="6883" xr:uid="{D5881693-F0FA-4BCF-AC4C-044DA8B7617D}"/>
    <cellStyle name="Normal 4 2 2 4 9 2" xfId="19565" xr:uid="{0D5B4998-290E-4635-B404-B6DA0BE73E3C}"/>
    <cellStyle name="Normal 4 2 2 4 9 2 2" xfId="45057" xr:uid="{9BD15829-EB03-4F11-B6D1-6DC107ADBD73}"/>
    <cellStyle name="Normal 4 2 2 4 9 3" xfId="32466" xr:uid="{84741F2C-B0A1-41DA-95BC-B99C54FB26F3}"/>
    <cellStyle name="Normal 4 2 2 5" xfId="977" xr:uid="{E8EA2C9B-E964-48C4-BD8B-DA26D90E41D2}"/>
    <cellStyle name="Normal 4 2 2 5 2" xfId="2284" xr:uid="{16353893-A91B-43C1-BDFE-B3035040ACC3}"/>
    <cellStyle name="Normal 4 2 2 5 2 2" xfId="5438" xr:uid="{54A7B242-A4C4-41D0-9ADE-31E755E97DF9}"/>
    <cellStyle name="Normal 4 2 2 5 2 2 2" xfId="11731" xr:uid="{3B6E8C86-8522-4076-8746-4838483EE379}"/>
    <cellStyle name="Normal 4 2 2 5 2 2 2 2" xfId="24413" xr:uid="{7F08D0E3-1015-4052-94E7-718F0BA62B4A}"/>
    <cellStyle name="Normal 4 2 2 5 2 2 2 2 2" xfId="49905" xr:uid="{B0C898E4-8978-48AD-B9E8-E35CBC71A8F0}"/>
    <cellStyle name="Normal 4 2 2 5 2 2 2 3" xfId="37314" xr:uid="{503AA731-2BE3-49F3-8883-120964C0EEBC}"/>
    <cellStyle name="Normal 4 2 2 5 2 2 3" xfId="18135" xr:uid="{0A61A8C5-2322-4C0C-9CD9-64B1933883D7}"/>
    <cellStyle name="Normal 4 2 2 5 2 2 3 2" xfId="43627" xr:uid="{2359BF86-B800-40D5-B032-977A99D52FDC}"/>
    <cellStyle name="Normal 4 2 2 5 2 2 4" xfId="31036" xr:uid="{D13B3F51-CABF-4AD6-807B-A038FD422F4A}"/>
    <cellStyle name="Normal 4 2 2 5 2 3" xfId="8592" xr:uid="{CFD0E33C-13D3-42DF-B648-6DF72C07862F}"/>
    <cellStyle name="Normal 4 2 2 5 2 3 2" xfId="21274" xr:uid="{0DF6756F-5939-4E7A-A59E-9B16025E3ED4}"/>
    <cellStyle name="Normal 4 2 2 5 2 3 2 2" xfId="46766" xr:uid="{2B87494E-640E-4D40-BE6C-1AFDA3056AF7}"/>
    <cellStyle name="Normal 4 2 2 5 2 3 3" xfId="34175" xr:uid="{697A8EF0-B61F-429B-9BFF-101C3ADD97C1}"/>
    <cellStyle name="Normal 4 2 2 5 2 4" xfId="14996" xr:uid="{8C3786A4-FAE8-46E4-97ED-FF3C41C0DF56}"/>
    <cellStyle name="Normal 4 2 2 5 2 4 2" xfId="40488" xr:uid="{C6DF119A-13F6-47A1-A9DA-2E19AC41904B}"/>
    <cellStyle name="Normal 4 2 2 5 2 5" xfId="27897" xr:uid="{7D890F6B-FB8D-4217-9E78-637A5155A9CA}"/>
    <cellStyle name="Normal 4 2 2 5 3" xfId="1501" xr:uid="{D79FA068-4812-495F-B4A6-2500A2F45E22}"/>
    <cellStyle name="Normal 4 2 2 5 3 2" xfId="4655" xr:uid="{ADBC5B26-4E43-4BA6-82C3-8E27E7F13E4E}"/>
    <cellStyle name="Normal 4 2 2 5 3 2 2" xfId="10948" xr:uid="{F1A899E6-B8E7-4992-BECE-7CECB4EAF5BD}"/>
    <cellStyle name="Normal 4 2 2 5 3 2 2 2" xfId="23630" xr:uid="{E91ABCB6-0ACC-4E68-A1B3-8D2E5E3D9F14}"/>
    <cellStyle name="Normal 4 2 2 5 3 2 2 2 2" xfId="49122" xr:uid="{3012977C-A038-4240-8635-765B43ABC5F9}"/>
    <cellStyle name="Normal 4 2 2 5 3 2 2 3" xfId="36531" xr:uid="{B05893A5-D359-4A95-9BE3-8D41E5047A93}"/>
    <cellStyle name="Normal 4 2 2 5 3 2 3" xfId="17352" xr:uid="{FD2164E9-5E9A-48D9-A058-CC314A9B6BA5}"/>
    <cellStyle name="Normal 4 2 2 5 3 2 3 2" xfId="42844" xr:uid="{FBB043E1-8366-414F-96F8-64A6C7AD7116}"/>
    <cellStyle name="Normal 4 2 2 5 3 2 4" xfId="30253" xr:uid="{636B241B-A2B9-44D8-9A5A-F53331749A6E}"/>
    <cellStyle name="Normal 4 2 2 5 3 3" xfId="7809" xr:uid="{FA75637C-8E64-481D-867A-76E0F9CF3DEE}"/>
    <cellStyle name="Normal 4 2 2 5 3 3 2" xfId="20491" xr:uid="{68487446-B026-43F9-9E56-F4A271F4E59E}"/>
    <cellStyle name="Normal 4 2 2 5 3 3 2 2" xfId="45983" xr:uid="{3C5AFE79-B4F0-4F98-81FC-9612C3308570}"/>
    <cellStyle name="Normal 4 2 2 5 3 3 3" xfId="33392" xr:uid="{1307D81D-16CE-4B9E-BE2B-A77690EEAB55}"/>
    <cellStyle name="Normal 4 2 2 5 3 4" xfId="14213" xr:uid="{AD42B762-C145-4FA3-B775-579A6BC8171C}"/>
    <cellStyle name="Normal 4 2 2 5 3 4 2" xfId="39705" xr:uid="{4379EF06-9BD1-41AD-96FC-A108371EEA7B}"/>
    <cellStyle name="Normal 4 2 2 5 3 5" xfId="27114" xr:uid="{075AA982-F64F-4148-B65E-786C3E96513A}"/>
    <cellStyle name="Normal 4 2 2 5 4" xfId="2808" xr:uid="{074136D5-7084-4F75-944D-D548A069F5C4}"/>
    <cellStyle name="Normal 4 2 2 5 4 2" xfId="5962" xr:uid="{D33F5F3B-B5BA-464A-9045-A370027962DC}"/>
    <cellStyle name="Normal 4 2 2 5 4 2 2" xfId="12255" xr:uid="{7CCEBD55-2A6A-4192-A1F4-3C8FE7676BDA}"/>
    <cellStyle name="Normal 4 2 2 5 4 2 2 2" xfId="24937" xr:uid="{CC525B63-B993-4771-9E4C-CDC9DE1AD5A9}"/>
    <cellStyle name="Normal 4 2 2 5 4 2 2 2 2" xfId="50429" xr:uid="{D3831A7F-63C2-4DCE-BCE2-42812853D2D9}"/>
    <cellStyle name="Normal 4 2 2 5 4 2 2 3" xfId="37838" xr:uid="{B261DD8D-978B-4E0E-9FF6-09A0F6F32F9C}"/>
    <cellStyle name="Normal 4 2 2 5 4 2 3" xfId="18659" xr:uid="{8B2624EC-D4CB-43F2-A84A-4D8C7BA29957}"/>
    <cellStyle name="Normal 4 2 2 5 4 2 3 2" xfId="44151" xr:uid="{6CC4C60F-DB56-421E-8491-C7B47A78395E}"/>
    <cellStyle name="Normal 4 2 2 5 4 2 4" xfId="31560" xr:uid="{E0314E2E-7829-4C06-BDA2-07C20EA7347C}"/>
    <cellStyle name="Normal 4 2 2 5 4 3" xfId="9116" xr:uid="{F865A50A-075C-4AB8-8A21-86ADCD7E8B8C}"/>
    <cellStyle name="Normal 4 2 2 5 4 3 2" xfId="21798" xr:uid="{82884BF2-397A-4F51-BDF4-7D882B2A9FD2}"/>
    <cellStyle name="Normal 4 2 2 5 4 3 2 2" xfId="47290" xr:uid="{3A54E235-EB13-4C81-8E9D-7FD762750AC1}"/>
    <cellStyle name="Normal 4 2 2 5 4 3 3" xfId="34699" xr:uid="{CD67DF8F-0516-4FA9-A41D-C1AE40B7E87B}"/>
    <cellStyle name="Normal 4 2 2 5 4 4" xfId="15520" xr:uid="{3BBB87C2-503B-4536-A35F-9FCFF8EE727F}"/>
    <cellStyle name="Normal 4 2 2 5 4 4 2" xfId="41012" xr:uid="{973CFF81-CB88-4E6D-A511-19FF9CA80116}"/>
    <cellStyle name="Normal 4 2 2 5 4 5" xfId="28421" xr:uid="{823E3D73-A68C-4995-8F95-CE85813E6133}"/>
    <cellStyle name="Normal 4 2 2 5 5" xfId="3331" xr:uid="{242BC9D3-59CE-47A6-ABA6-FBCFBE57FD25}"/>
    <cellStyle name="Normal 4 2 2 5 5 2" xfId="6485" xr:uid="{00EF00C5-97BF-4E64-897E-38CB298C8646}"/>
    <cellStyle name="Normal 4 2 2 5 5 2 2" xfId="12778" xr:uid="{7B3BE44D-41D7-4A09-B6F0-EC8BED04958C}"/>
    <cellStyle name="Normal 4 2 2 5 5 2 2 2" xfId="25460" xr:uid="{EAA03D66-68C7-4326-8F39-5894825C0CC1}"/>
    <cellStyle name="Normal 4 2 2 5 5 2 2 2 2" xfId="50952" xr:uid="{462395F3-D969-4822-8E25-5BC9A9AC34EF}"/>
    <cellStyle name="Normal 4 2 2 5 5 2 2 3" xfId="38361" xr:uid="{1E3D3F61-8B1B-46D2-A9D0-299A2BFDDA20}"/>
    <cellStyle name="Normal 4 2 2 5 5 2 3" xfId="19182" xr:uid="{27609210-6FB0-47D1-9572-8DE69B4F44A5}"/>
    <cellStyle name="Normal 4 2 2 5 5 2 3 2" xfId="44674" xr:uid="{0218B194-F361-48D5-A89E-E58ECCA5B098}"/>
    <cellStyle name="Normal 4 2 2 5 5 2 4" xfId="32083" xr:uid="{6596447D-DE0E-41CD-8ED9-811D9928AB65}"/>
    <cellStyle name="Normal 4 2 2 5 5 3" xfId="9639" xr:uid="{B0747EFE-3AC5-43EC-8819-BEF136FDBC8A}"/>
    <cellStyle name="Normal 4 2 2 5 5 3 2" xfId="22321" xr:uid="{C7130A30-E001-4956-82A3-116773AB8803}"/>
    <cellStyle name="Normal 4 2 2 5 5 3 2 2" xfId="47813" xr:uid="{242C4A77-69F9-4B5C-A10E-81A2B465C5B2}"/>
    <cellStyle name="Normal 4 2 2 5 5 3 3" xfId="35222" xr:uid="{48946ECE-FEF3-4CD6-8383-E35A9911E208}"/>
    <cellStyle name="Normal 4 2 2 5 5 4" xfId="16043" xr:uid="{41644622-9E35-46D8-AD80-C77AF0ACFAB5}"/>
    <cellStyle name="Normal 4 2 2 5 5 4 2" xfId="41535" xr:uid="{EF073153-721B-4379-AF54-C04C4AC993A5}"/>
    <cellStyle name="Normal 4 2 2 5 5 5" xfId="28944" xr:uid="{16CF2240-7891-4329-968B-1AACCA9DD560}"/>
    <cellStyle name="Normal 4 2 2 5 6" xfId="4131" xr:uid="{76C3C687-F9B6-435C-ACA5-9D642A1D9366}"/>
    <cellStyle name="Normal 4 2 2 5 6 2" xfId="10424" xr:uid="{B1721624-8BC5-4C0D-8C3A-42DF987776BB}"/>
    <cellStyle name="Normal 4 2 2 5 6 2 2" xfId="23106" xr:uid="{B9E4BEDE-D773-40E4-86BC-7E6EF1F85D00}"/>
    <cellStyle name="Normal 4 2 2 5 6 2 2 2" xfId="48598" xr:uid="{021337FB-9411-4183-8AA5-C63B906E0B32}"/>
    <cellStyle name="Normal 4 2 2 5 6 2 3" xfId="36007" xr:uid="{129FA1AE-9EE2-4118-BEF8-0B0930DFED1F}"/>
    <cellStyle name="Normal 4 2 2 5 6 3" xfId="16828" xr:uid="{D123E089-FA0B-4ED6-A4FA-1BEFA1452B2A}"/>
    <cellStyle name="Normal 4 2 2 5 6 3 2" xfId="42320" xr:uid="{33B31968-1FAA-411F-BB98-516269B8737F}"/>
    <cellStyle name="Normal 4 2 2 5 6 4" xfId="29729" xr:uid="{4A725D1F-C207-4AE8-9668-7D6CBA66210D}"/>
    <cellStyle name="Normal 4 2 2 5 7" xfId="7285" xr:uid="{56E04A1B-A4DD-461C-A8B4-2B0845E24883}"/>
    <cellStyle name="Normal 4 2 2 5 7 2" xfId="19967" xr:uid="{7103A40C-5626-436D-AC86-6530EB346D77}"/>
    <cellStyle name="Normal 4 2 2 5 7 2 2" xfId="45459" xr:uid="{5C044EDD-5D1C-426D-8304-058B6126AE5B}"/>
    <cellStyle name="Normal 4 2 2 5 7 3" xfId="32868" xr:uid="{5680EAC9-5133-4B99-ABDE-F89BF91D8A62}"/>
    <cellStyle name="Normal 4 2 2 5 8" xfId="13689" xr:uid="{0CF9921D-8977-4F7A-A303-183F4FD63036}"/>
    <cellStyle name="Normal 4 2 2 5 8 2" xfId="39181" xr:uid="{3AEE6E76-C813-4B24-A6E6-0AEE88C0AFA2}"/>
    <cellStyle name="Normal 4 2 2 5 9" xfId="26590" xr:uid="{326AA7DA-BA25-43DC-A1C2-09ADEC11F34D}"/>
    <cellStyle name="Normal 4 2 2 6" xfId="717" xr:uid="{92DD64D2-88F2-4CFB-811A-4AE98E7010CF}"/>
    <cellStyle name="Normal 4 2 2 6 2" xfId="2024" xr:uid="{9E44D0BC-F520-4B10-B55D-36B380F59165}"/>
    <cellStyle name="Normal 4 2 2 6 2 2" xfId="5178" xr:uid="{371A5600-9661-44B6-89AA-E9CDF2B502EC}"/>
    <cellStyle name="Normal 4 2 2 6 2 2 2" xfId="11471" xr:uid="{E3E083B5-6667-4F2D-8C39-E1F8C69BA094}"/>
    <cellStyle name="Normal 4 2 2 6 2 2 2 2" xfId="24153" xr:uid="{419F503C-043A-4ED7-BFE4-01915859FBA6}"/>
    <cellStyle name="Normal 4 2 2 6 2 2 2 2 2" xfId="49645" xr:uid="{E3D87DAE-B148-44B9-8908-AE5DF19D7295}"/>
    <cellStyle name="Normal 4 2 2 6 2 2 2 3" xfId="37054" xr:uid="{5AF63175-A94E-49BC-9E30-B481D2550703}"/>
    <cellStyle name="Normal 4 2 2 6 2 2 3" xfId="17875" xr:uid="{BE2B89EE-2132-4AB4-A204-BAEB0E7E7F72}"/>
    <cellStyle name="Normal 4 2 2 6 2 2 3 2" xfId="43367" xr:uid="{E8F716C5-86FC-4589-AC59-E329EDFC8B5F}"/>
    <cellStyle name="Normal 4 2 2 6 2 2 4" xfId="30776" xr:uid="{E37B64B6-23AB-4C17-92B5-C7C8FB2137A1}"/>
    <cellStyle name="Normal 4 2 2 6 2 3" xfId="8332" xr:uid="{AFCA88F4-91EF-4955-BC6F-8BA6861EFBA7}"/>
    <cellStyle name="Normal 4 2 2 6 2 3 2" xfId="21014" xr:uid="{C742465C-CCD3-4C69-80E1-13080C25239F}"/>
    <cellStyle name="Normal 4 2 2 6 2 3 2 2" xfId="46506" xr:uid="{AC079C97-688F-4B37-AB6B-00EB1C05D118}"/>
    <cellStyle name="Normal 4 2 2 6 2 3 3" xfId="33915" xr:uid="{20B8BA59-5C44-4581-AFF9-64D2033B947C}"/>
    <cellStyle name="Normal 4 2 2 6 2 4" xfId="14736" xr:uid="{960E469E-5E93-4F43-91B9-5707F96BF1CC}"/>
    <cellStyle name="Normal 4 2 2 6 2 4 2" xfId="40228" xr:uid="{4FD15AEF-9FA3-4890-AE22-08F257F21132}"/>
    <cellStyle name="Normal 4 2 2 6 2 5" xfId="27637" xr:uid="{295A2CDF-B2DD-43FB-9D36-DFC5B02827D2}"/>
    <cellStyle name="Normal 4 2 2 6 3" xfId="3871" xr:uid="{B9867A66-C730-47AC-ABE1-50575B2A9C01}"/>
    <cellStyle name="Normal 4 2 2 6 3 2" xfId="10164" xr:uid="{AA537895-01E5-4D6F-AF38-F5DB576ED724}"/>
    <cellStyle name="Normal 4 2 2 6 3 2 2" xfId="22846" xr:uid="{3A8BAEF6-F64A-483B-A18C-ADDFD1415533}"/>
    <cellStyle name="Normal 4 2 2 6 3 2 2 2" xfId="48338" xr:uid="{AC499569-1FD0-4B7D-9285-5AFDB88C72E7}"/>
    <cellStyle name="Normal 4 2 2 6 3 2 3" xfId="35747" xr:uid="{A7B24E28-AC10-417F-A499-35A982AD9576}"/>
    <cellStyle name="Normal 4 2 2 6 3 3" xfId="16568" xr:uid="{6E74EA15-D995-4179-B687-4F6BC3AACC59}"/>
    <cellStyle name="Normal 4 2 2 6 3 3 2" xfId="42060" xr:uid="{3B7FB289-5048-4700-B281-AC76494EF3EE}"/>
    <cellStyle name="Normal 4 2 2 6 3 4" xfId="29469" xr:uid="{D21F230B-7EAA-4155-82CE-E9349C7A7324}"/>
    <cellStyle name="Normal 4 2 2 6 4" xfId="7025" xr:uid="{1713D371-ED03-4DF4-A9A4-C7EF614BA447}"/>
    <cellStyle name="Normal 4 2 2 6 4 2" xfId="19707" xr:uid="{8B1919D9-87CE-4232-AF9B-5DD63B4E0502}"/>
    <cellStyle name="Normal 4 2 2 6 4 2 2" xfId="45199" xr:uid="{59C716DC-C8C8-4125-B7AB-3C7A0D6E0460}"/>
    <cellStyle name="Normal 4 2 2 6 4 3" xfId="32608" xr:uid="{6FF890E8-997B-4E8F-8040-3A47B44E3030}"/>
    <cellStyle name="Normal 4 2 2 6 5" xfId="13429" xr:uid="{571AE80E-A49A-474B-B6F8-8747F8340D2D}"/>
    <cellStyle name="Normal 4 2 2 6 5 2" xfId="38921" xr:uid="{CAC77913-9C61-4C5C-8EB3-1775E47DE60A}"/>
    <cellStyle name="Normal 4 2 2 6 6" xfId="26330" xr:uid="{2AADF5F6-7DD2-44AE-846E-17C945580E45}"/>
    <cellStyle name="Normal 4 2 2 7" xfId="1762" xr:uid="{83AA3FC0-419D-481C-A7D0-EAAA26070FEF}"/>
    <cellStyle name="Normal 4 2 2 7 2" xfId="4916" xr:uid="{1295D8AA-7387-4A25-A780-7D11D890C5DE}"/>
    <cellStyle name="Normal 4 2 2 7 2 2" xfId="11209" xr:uid="{A8334CD9-D3E7-4941-8F43-857FA79A21DE}"/>
    <cellStyle name="Normal 4 2 2 7 2 2 2" xfId="23891" xr:uid="{981E3205-DFD3-4042-A619-66DE8049DC51}"/>
    <cellStyle name="Normal 4 2 2 7 2 2 2 2" xfId="49383" xr:uid="{DBB58C40-062C-4B9C-B498-5D59717AF637}"/>
    <cellStyle name="Normal 4 2 2 7 2 2 3" xfId="36792" xr:uid="{40B42029-F1CD-4CB5-A205-DB456070FAB5}"/>
    <cellStyle name="Normal 4 2 2 7 2 3" xfId="17613" xr:uid="{425C507E-4007-434E-ADED-FF77EC404F9E}"/>
    <cellStyle name="Normal 4 2 2 7 2 3 2" xfId="43105" xr:uid="{5BD8504B-BC04-477D-8E7B-1341345E978F}"/>
    <cellStyle name="Normal 4 2 2 7 2 4" xfId="30514" xr:uid="{FF5D8B34-E450-4EC9-B1AC-A96D2538D5E8}"/>
    <cellStyle name="Normal 4 2 2 7 3" xfId="8070" xr:uid="{86B39ED4-E97D-41FE-A2DE-CE4143037921}"/>
    <cellStyle name="Normal 4 2 2 7 3 2" xfId="20752" xr:uid="{BA7DB2C6-96BE-4503-BCA7-30F48880E17A}"/>
    <cellStyle name="Normal 4 2 2 7 3 2 2" xfId="46244" xr:uid="{54177873-99BB-45C3-B8BC-031B3E34CEAA}"/>
    <cellStyle name="Normal 4 2 2 7 3 3" xfId="33653" xr:uid="{36C6543F-260B-4BEC-872E-FC6F66C21F9F}"/>
    <cellStyle name="Normal 4 2 2 7 4" xfId="14474" xr:uid="{03719B38-50B9-4F7B-8742-D535E9C14927}"/>
    <cellStyle name="Normal 4 2 2 7 4 2" xfId="39966" xr:uid="{B2BA7AF5-AA25-4A4D-8719-A3CB543CDB03}"/>
    <cellStyle name="Normal 4 2 2 7 5" xfId="27375" xr:uid="{A814BFFF-DA56-49F0-9E33-C95B9090424D}"/>
    <cellStyle name="Normal 4 2 2 8" xfId="1240" xr:uid="{BEE665FF-D42F-452E-8830-77B714A830AA}"/>
    <cellStyle name="Normal 4 2 2 8 2" xfId="4394" xr:uid="{67E46D9D-A51B-44E1-BE90-C19AF03832B3}"/>
    <cellStyle name="Normal 4 2 2 8 2 2" xfId="10687" xr:uid="{A550A832-16BC-41FE-A9E8-DA8C3E0A193B}"/>
    <cellStyle name="Normal 4 2 2 8 2 2 2" xfId="23369" xr:uid="{A5E6D651-653E-418B-8682-19324E7B06E7}"/>
    <cellStyle name="Normal 4 2 2 8 2 2 2 2" xfId="48861" xr:uid="{6772A81F-388E-4DE4-B645-A70BB3263FBD}"/>
    <cellStyle name="Normal 4 2 2 8 2 2 3" xfId="36270" xr:uid="{BE92D59E-75ED-4EEE-AB63-A3966219BC71}"/>
    <cellStyle name="Normal 4 2 2 8 2 3" xfId="17091" xr:uid="{510A0021-585F-43CC-B5CB-34F1C447F009}"/>
    <cellStyle name="Normal 4 2 2 8 2 3 2" xfId="42583" xr:uid="{BCED9BBF-4A0F-4C1F-8372-C68F25B332B9}"/>
    <cellStyle name="Normal 4 2 2 8 2 4" xfId="29992" xr:uid="{FAE02168-A954-4CD9-863A-75AA946D91D1}"/>
    <cellStyle name="Normal 4 2 2 8 3" xfId="7548" xr:uid="{E5767F37-8D6E-4926-94B3-777EE96C9B1B}"/>
    <cellStyle name="Normal 4 2 2 8 3 2" xfId="20230" xr:uid="{994C1D4A-87B6-4F9C-9F3A-8B7DADDD9F1C}"/>
    <cellStyle name="Normal 4 2 2 8 3 2 2" xfId="45722" xr:uid="{C26C22BF-B753-452A-9254-EB1137927D86}"/>
    <cellStyle name="Normal 4 2 2 8 3 3" xfId="33131" xr:uid="{C2323BD2-BFA8-435E-A7D4-E119DD354F12}"/>
    <cellStyle name="Normal 4 2 2 8 4" xfId="13952" xr:uid="{EB02FA60-CA97-4E8A-9286-EE20DAA37987}"/>
    <cellStyle name="Normal 4 2 2 8 4 2" xfId="39444" xr:uid="{A77B5F14-3DE1-4B37-91C4-9CAE213D4A10}"/>
    <cellStyle name="Normal 4 2 2 8 5" xfId="26853" xr:uid="{C3E6ACA6-4D34-4E25-844D-F1C3C407F355}"/>
    <cellStyle name="Normal 4 2 2 9" xfId="2547" xr:uid="{68E6D356-54EF-4A3D-8AC8-0902C9ED65E4}"/>
    <cellStyle name="Normal 4 2 2 9 2" xfId="5701" xr:uid="{77DB31F9-8C21-4272-A426-A99849CB3575}"/>
    <cellStyle name="Normal 4 2 2 9 2 2" xfId="11994" xr:uid="{10E1C9E2-CBA7-4E3B-9EAE-B76430E605D4}"/>
    <cellStyle name="Normal 4 2 2 9 2 2 2" xfId="24676" xr:uid="{9E044A8D-F0B6-4F6A-855F-AE585DC25677}"/>
    <cellStyle name="Normal 4 2 2 9 2 2 2 2" xfId="50168" xr:uid="{C7F30F2A-9C4C-4246-B308-ECAFCEDB9285}"/>
    <cellStyle name="Normal 4 2 2 9 2 2 3" xfId="37577" xr:uid="{C0899FA8-2CB6-4ABA-A75B-D815E0728381}"/>
    <cellStyle name="Normal 4 2 2 9 2 3" xfId="18398" xr:uid="{46070D7E-E791-47D2-B86D-087DC811E416}"/>
    <cellStyle name="Normal 4 2 2 9 2 3 2" xfId="43890" xr:uid="{CE29DB5B-0057-4B72-9902-197AE0351F98}"/>
    <cellStyle name="Normal 4 2 2 9 2 4" xfId="31299" xr:uid="{9AD3BD27-9104-4988-A8CA-192A8D0F9DB1}"/>
    <cellStyle name="Normal 4 2 2 9 3" xfId="8855" xr:uid="{1BF57BD5-7498-493E-A526-F625CD35CA5C}"/>
    <cellStyle name="Normal 4 2 2 9 3 2" xfId="21537" xr:uid="{550CAA5E-EDBC-485A-830B-F56DE6D50571}"/>
    <cellStyle name="Normal 4 2 2 9 3 2 2" xfId="47029" xr:uid="{E5F5C9D6-6B2C-42D8-923B-7CBC092CDA09}"/>
    <cellStyle name="Normal 4 2 2 9 3 3" xfId="34438" xr:uid="{5B32F7C4-DA65-4E1F-B55B-2AAC70B3707E}"/>
    <cellStyle name="Normal 4 2 2 9 4" xfId="15259" xr:uid="{029A4DD8-E1C8-4472-ABE2-746E3A8DA4A3}"/>
    <cellStyle name="Normal 4 2 2 9 4 2" xfId="40751" xr:uid="{FDD47DA1-A6E7-425E-98BC-FCA9D1E3E85E}"/>
    <cellStyle name="Normal 4 2 2 9 5" xfId="28160" xr:uid="{27A64573-0021-4A8E-B90B-E08EDC007A22}"/>
    <cellStyle name="Normal 4 2 3" xfId="481" xr:uid="{04D0A3FF-2114-4E86-B873-B2D7393BDEA4}"/>
    <cellStyle name="Normal 4 2 3 10" xfId="3650" xr:uid="{8380AFFC-B0B6-4BD1-968E-25567F577482}"/>
    <cellStyle name="Normal 4 2 3 10 2" xfId="9943" xr:uid="{68544DF8-74BD-446B-8D51-AC09C32EDB6E}"/>
    <cellStyle name="Normal 4 2 3 10 2 2" xfId="22625" xr:uid="{C3A3F7F5-D517-4273-B6F0-4D078C06A418}"/>
    <cellStyle name="Normal 4 2 3 10 2 2 2" xfId="48117" xr:uid="{4E4A17F3-E94B-4550-B004-E16E8CA973EE}"/>
    <cellStyle name="Normal 4 2 3 10 2 3" xfId="35526" xr:uid="{CC2FF9FE-09FD-4DD2-827B-A4A8900DE0CF}"/>
    <cellStyle name="Normal 4 2 3 10 3" xfId="16347" xr:uid="{BC8D417C-7D1F-48DF-A7C5-B291F54A746F}"/>
    <cellStyle name="Normal 4 2 3 10 3 2" xfId="41839" xr:uid="{CD14938C-755C-42F3-A2D8-B824D0C527F7}"/>
    <cellStyle name="Normal 4 2 3 10 4" xfId="29248" xr:uid="{04B00B5F-38AD-4312-9B43-BFFA9C37725D}"/>
    <cellStyle name="Normal 4 2 3 11" xfId="6804" xr:uid="{4B71391F-E844-4811-9A45-D651BC92535C}"/>
    <cellStyle name="Normal 4 2 3 11 2" xfId="19486" xr:uid="{200DBE1D-B1D8-4631-BA1D-B86ECB73BD8B}"/>
    <cellStyle name="Normal 4 2 3 11 2 2" xfId="44978" xr:uid="{1589C17C-FE09-4826-9B1E-45B01CF66F21}"/>
    <cellStyle name="Normal 4 2 3 11 3" xfId="32387" xr:uid="{9564B97A-CA48-4BA2-A1AC-785377AE487C}"/>
    <cellStyle name="Normal 4 2 3 12" xfId="13208" xr:uid="{52B2A98F-CBEB-4A24-BC8D-B872AC2000F8}"/>
    <cellStyle name="Normal 4 2 3 12 2" xfId="38700" xr:uid="{54520394-FBEC-49A3-A563-92B03921622B}"/>
    <cellStyle name="Normal 4 2 3 13" xfId="26109" xr:uid="{CEB2B569-D11C-49B9-B004-3A8145A40BB5}"/>
    <cellStyle name="Normal 4 2 3 2" xfId="640" xr:uid="{3C966BF5-E060-4BF4-9A82-73D8E4AB6FDB}"/>
    <cellStyle name="Normal 4 2 3 2 10" xfId="13367" xr:uid="{83C08AB9-469E-43F2-9789-19AA292FB8DC}"/>
    <cellStyle name="Normal 4 2 3 2 10 2" xfId="38859" xr:uid="{02265CB6-66E5-4839-9A7D-A2DC9F722E6F}"/>
    <cellStyle name="Normal 4 2 3 2 11" xfId="26268" xr:uid="{1BAF91A1-4BC8-4C9C-865C-364B2020E7B8}"/>
    <cellStyle name="Normal 4 2 3 2 2" xfId="1177" xr:uid="{6EF6EC9B-44E0-48F0-BD07-52EDEF1312A3}"/>
    <cellStyle name="Normal 4 2 3 2 2 2" xfId="2484" xr:uid="{AA2156CA-0540-4CA5-B9CC-13AFE487016A}"/>
    <cellStyle name="Normal 4 2 3 2 2 2 2" xfId="5638" xr:uid="{DE5F1AAC-177D-47A2-A622-73FF11973DE5}"/>
    <cellStyle name="Normal 4 2 3 2 2 2 2 2" xfId="11931" xr:uid="{F2EEDC02-930E-4517-B2DB-C3834CE24E32}"/>
    <cellStyle name="Normal 4 2 3 2 2 2 2 2 2" xfId="24613" xr:uid="{CDE05110-619A-4737-BBC5-32BF1AE5B6B1}"/>
    <cellStyle name="Normal 4 2 3 2 2 2 2 2 2 2" xfId="50105" xr:uid="{D387E108-B3BF-4E82-8653-185C566949F3}"/>
    <cellStyle name="Normal 4 2 3 2 2 2 2 2 3" xfId="37514" xr:uid="{847A260F-6BA1-4099-A0BD-493A816EF788}"/>
    <cellStyle name="Normal 4 2 3 2 2 2 2 3" xfId="18335" xr:uid="{8F02C52B-3F88-405D-934F-B7BF5B733127}"/>
    <cellStyle name="Normal 4 2 3 2 2 2 2 3 2" xfId="43827" xr:uid="{82D684F0-BAA5-44FF-B4E2-7AEDF64E5CD7}"/>
    <cellStyle name="Normal 4 2 3 2 2 2 2 4" xfId="31236" xr:uid="{3659B5C3-AF91-4AA0-A0C0-5C51DF9E4817}"/>
    <cellStyle name="Normal 4 2 3 2 2 2 3" xfId="8792" xr:uid="{FD21AEE3-82C2-411A-AF97-AFA5B807F6A2}"/>
    <cellStyle name="Normal 4 2 3 2 2 2 3 2" xfId="21474" xr:uid="{D027443D-5DEB-43D0-ADBC-C31B52F08E1F}"/>
    <cellStyle name="Normal 4 2 3 2 2 2 3 2 2" xfId="46966" xr:uid="{B28E49EC-643F-401A-8A14-C204FADADC63}"/>
    <cellStyle name="Normal 4 2 3 2 2 2 3 3" xfId="34375" xr:uid="{3FEE24CD-00F7-488F-96B6-D9BBA0F4D57E}"/>
    <cellStyle name="Normal 4 2 3 2 2 2 4" xfId="15196" xr:uid="{70764125-670B-4691-B6C2-2E04FEECB23D}"/>
    <cellStyle name="Normal 4 2 3 2 2 2 4 2" xfId="40688" xr:uid="{1D3D9446-1417-4DBB-B6BB-E8D6EA6BE675}"/>
    <cellStyle name="Normal 4 2 3 2 2 2 5" xfId="28097" xr:uid="{45E25763-95F4-4DCB-86D4-C2023F217599}"/>
    <cellStyle name="Normal 4 2 3 2 2 3" xfId="1701" xr:uid="{51E4FE88-98BD-4685-9461-DB96E4665321}"/>
    <cellStyle name="Normal 4 2 3 2 2 3 2" xfId="4855" xr:uid="{5B0310C2-9A62-4DB0-8164-00F0A3ED8D79}"/>
    <cellStyle name="Normal 4 2 3 2 2 3 2 2" xfId="11148" xr:uid="{F7150F9D-24E0-44CC-86E3-0876D7F02FCD}"/>
    <cellStyle name="Normal 4 2 3 2 2 3 2 2 2" xfId="23830" xr:uid="{B17D4819-4527-45F5-9149-AFD9989C6B3C}"/>
    <cellStyle name="Normal 4 2 3 2 2 3 2 2 2 2" xfId="49322" xr:uid="{FFDA9058-F447-4E23-A2A8-FA7D46BD1686}"/>
    <cellStyle name="Normal 4 2 3 2 2 3 2 2 3" xfId="36731" xr:uid="{9DD4A942-8204-4BCB-900F-848EAFF43EBB}"/>
    <cellStyle name="Normal 4 2 3 2 2 3 2 3" xfId="17552" xr:uid="{BFBDC7D3-D93A-46EC-97B5-F54DF90D4951}"/>
    <cellStyle name="Normal 4 2 3 2 2 3 2 3 2" xfId="43044" xr:uid="{BEA7EE37-95A9-4DE9-8C14-DF113DEF80E9}"/>
    <cellStyle name="Normal 4 2 3 2 2 3 2 4" xfId="30453" xr:uid="{9EAD6919-AB2E-4169-8CA7-6C04698E0E60}"/>
    <cellStyle name="Normal 4 2 3 2 2 3 3" xfId="8009" xr:uid="{7D3C342A-C895-4836-9E19-A62123026674}"/>
    <cellStyle name="Normal 4 2 3 2 2 3 3 2" xfId="20691" xr:uid="{D4C7BA51-4661-4F01-AACD-32CADA8C8CF3}"/>
    <cellStyle name="Normal 4 2 3 2 2 3 3 2 2" xfId="46183" xr:uid="{7AC9EACF-E671-4787-9698-ED678DB2418A}"/>
    <cellStyle name="Normal 4 2 3 2 2 3 3 3" xfId="33592" xr:uid="{425A90C2-779B-49FB-B85B-F706BFF33C2C}"/>
    <cellStyle name="Normal 4 2 3 2 2 3 4" xfId="14413" xr:uid="{5CBD421B-2834-4358-9E64-D955D830C707}"/>
    <cellStyle name="Normal 4 2 3 2 2 3 4 2" xfId="39905" xr:uid="{4D7BF77A-DA16-422F-8B13-F6B7B2B620EC}"/>
    <cellStyle name="Normal 4 2 3 2 2 3 5" xfId="27314" xr:uid="{C4F90E2C-3519-4D65-BC5B-1559D9077359}"/>
    <cellStyle name="Normal 4 2 3 2 2 4" xfId="3008" xr:uid="{48337086-CBEF-49AC-BA4F-B301CE90B2B5}"/>
    <cellStyle name="Normal 4 2 3 2 2 4 2" xfId="6162" xr:uid="{3308ECFA-AF4D-4BEB-852E-EB53E26AE9F5}"/>
    <cellStyle name="Normal 4 2 3 2 2 4 2 2" xfId="12455" xr:uid="{21F29B79-65CD-468E-8734-81B67B7DC8ED}"/>
    <cellStyle name="Normal 4 2 3 2 2 4 2 2 2" xfId="25137" xr:uid="{F58F9F2B-B20E-4BD6-B36A-4F352979FC92}"/>
    <cellStyle name="Normal 4 2 3 2 2 4 2 2 2 2" xfId="50629" xr:uid="{80902E85-B1DC-450E-BE96-F931FE71B741}"/>
    <cellStyle name="Normal 4 2 3 2 2 4 2 2 3" xfId="38038" xr:uid="{704D031C-EFC3-457F-AE3D-BF243ADD1F80}"/>
    <cellStyle name="Normal 4 2 3 2 2 4 2 3" xfId="18859" xr:uid="{DE19CE15-8DC8-4CDF-8E72-E8A18341C2F8}"/>
    <cellStyle name="Normal 4 2 3 2 2 4 2 3 2" xfId="44351" xr:uid="{136C973A-0C63-40D8-80C0-6496AD33840F}"/>
    <cellStyle name="Normal 4 2 3 2 2 4 2 4" xfId="31760" xr:uid="{3F5B47A7-E81F-4E5B-BE37-84FB8E42019A}"/>
    <cellStyle name="Normal 4 2 3 2 2 4 3" xfId="9316" xr:uid="{4F1A0628-F7FC-4AFD-B391-F82A0BFDB7AD}"/>
    <cellStyle name="Normal 4 2 3 2 2 4 3 2" xfId="21998" xr:uid="{80F40AFD-5B7E-4667-8680-8A98D31F2C89}"/>
    <cellStyle name="Normal 4 2 3 2 2 4 3 2 2" xfId="47490" xr:uid="{250E158C-F9DB-4C88-A91A-DBCD89014E2B}"/>
    <cellStyle name="Normal 4 2 3 2 2 4 3 3" xfId="34899" xr:uid="{05FC137D-6DED-4139-96E8-251D4C229399}"/>
    <cellStyle name="Normal 4 2 3 2 2 4 4" xfId="15720" xr:uid="{0402C833-F7B7-4BC6-B045-ABBD40F8AFC2}"/>
    <cellStyle name="Normal 4 2 3 2 2 4 4 2" xfId="41212" xr:uid="{E4177A40-ECCF-44B4-B331-F4DD7AED5CB8}"/>
    <cellStyle name="Normal 4 2 3 2 2 4 5" xfId="28621" xr:uid="{A8ABAA91-69FA-4D45-89FC-5492F50578F6}"/>
    <cellStyle name="Normal 4 2 3 2 2 5" xfId="3531" xr:uid="{61C9DCDA-E58D-4BF3-A96E-4434E4A09122}"/>
    <cellStyle name="Normal 4 2 3 2 2 5 2" xfId="6685" xr:uid="{CB423B73-4270-4259-9DC2-4B4375F7889C}"/>
    <cellStyle name="Normal 4 2 3 2 2 5 2 2" xfId="12978" xr:uid="{F0D2C7FC-9F5C-4AA8-9B29-1F8BF97BC3FA}"/>
    <cellStyle name="Normal 4 2 3 2 2 5 2 2 2" xfId="25660" xr:uid="{EFBD43AB-C689-4F6A-ADFF-37DCDF637016}"/>
    <cellStyle name="Normal 4 2 3 2 2 5 2 2 2 2" xfId="51152" xr:uid="{720FC7BC-BEC2-4B4E-8F09-6536044129D5}"/>
    <cellStyle name="Normal 4 2 3 2 2 5 2 2 3" xfId="38561" xr:uid="{1FDCEBBF-67CE-4FCB-8919-29A8543511FD}"/>
    <cellStyle name="Normal 4 2 3 2 2 5 2 3" xfId="19382" xr:uid="{70705A83-9AD7-4620-AB48-7A4D3074D8D1}"/>
    <cellStyle name="Normal 4 2 3 2 2 5 2 3 2" xfId="44874" xr:uid="{0EDC8EB5-3D1B-4D3E-84B9-18AB9C4CF402}"/>
    <cellStyle name="Normal 4 2 3 2 2 5 2 4" xfId="32283" xr:uid="{DF6245F5-AA7B-4D83-A521-46188FC2083E}"/>
    <cellStyle name="Normal 4 2 3 2 2 5 3" xfId="9839" xr:uid="{6E177405-471F-4B59-B669-0DAA1315B1D6}"/>
    <cellStyle name="Normal 4 2 3 2 2 5 3 2" xfId="22521" xr:uid="{78BE1705-60B7-48D8-BFEF-9360C324831D}"/>
    <cellStyle name="Normal 4 2 3 2 2 5 3 2 2" xfId="48013" xr:uid="{B9143ADB-285C-45D7-95D7-626F4A9C8C1E}"/>
    <cellStyle name="Normal 4 2 3 2 2 5 3 3" xfId="35422" xr:uid="{3144EA0A-E3C6-438C-9847-1E509FEAF974}"/>
    <cellStyle name="Normal 4 2 3 2 2 5 4" xfId="16243" xr:uid="{C2F4944B-700D-46C4-9D76-07D9C78E58EC}"/>
    <cellStyle name="Normal 4 2 3 2 2 5 4 2" xfId="41735" xr:uid="{A5D3A5E9-341B-4696-952E-68FA05263FEF}"/>
    <cellStyle name="Normal 4 2 3 2 2 5 5" xfId="29144" xr:uid="{3B9A885D-8F48-4291-8C30-F14F1A678719}"/>
    <cellStyle name="Normal 4 2 3 2 2 6" xfId="4331" xr:uid="{88B67C50-233B-47F9-8B01-57FEFC4E281B}"/>
    <cellStyle name="Normal 4 2 3 2 2 6 2" xfId="10624" xr:uid="{EF55B6B5-63A5-4541-ADCF-728290C7DC2B}"/>
    <cellStyle name="Normal 4 2 3 2 2 6 2 2" xfId="23306" xr:uid="{166A7A69-B51E-4C03-8EAD-E44BEC69F643}"/>
    <cellStyle name="Normal 4 2 3 2 2 6 2 2 2" xfId="48798" xr:uid="{93F646D9-46D7-4A2D-AD81-5DC1F7DC749A}"/>
    <cellStyle name="Normal 4 2 3 2 2 6 2 3" xfId="36207" xr:uid="{D9446389-802D-491A-9B28-9DFDBD130CF2}"/>
    <cellStyle name="Normal 4 2 3 2 2 6 3" xfId="17028" xr:uid="{0EF109B6-C18C-44AF-955D-B66DEB9A60E8}"/>
    <cellStyle name="Normal 4 2 3 2 2 6 3 2" xfId="42520" xr:uid="{91BC5F1B-599D-4F6E-8C7B-EE00D0644855}"/>
    <cellStyle name="Normal 4 2 3 2 2 6 4" xfId="29929" xr:uid="{1C52B807-D001-4722-90B0-963AA6C3E74E}"/>
    <cellStyle name="Normal 4 2 3 2 2 7" xfId="7485" xr:uid="{9592D6AE-AEB1-4354-8D25-F82F10E8082E}"/>
    <cellStyle name="Normal 4 2 3 2 2 7 2" xfId="20167" xr:uid="{09891FFD-D38E-4E1C-8FDE-3071D4991AB2}"/>
    <cellStyle name="Normal 4 2 3 2 2 7 2 2" xfId="45659" xr:uid="{740AB24E-C046-412A-A35E-AFDDBA272185}"/>
    <cellStyle name="Normal 4 2 3 2 2 7 3" xfId="33068" xr:uid="{6C6AC2DD-A4F4-478A-AE36-5977080CDF9B}"/>
    <cellStyle name="Normal 4 2 3 2 2 8" xfId="13889" xr:uid="{9BCF5DEC-8714-4A7E-8DC9-EA0176E341C9}"/>
    <cellStyle name="Normal 4 2 3 2 2 8 2" xfId="39381" xr:uid="{AC873BD2-5628-4206-A02A-6898A6DF7A5C}"/>
    <cellStyle name="Normal 4 2 3 2 2 9" xfId="26790" xr:uid="{E8846C13-0CF0-48FA-AE85-44B1AEBC1112}"/>
    <cellStyle name="Normal 4 2 3 2 3" xfId="917" xr:uid="{AC59422B-9334-4B28-AD14-C2541DC08ABA}"/>
    <cellStyle name="Normal 4 2 3 2 3 2" xfId="2224" xr:uid="{4B331402-E65D-4AEC-ACFC-857256586B1F}"/>
    <cellStyle name="Normal 4 2 3 2 3 2 2" xfId="5378" xr:uid="{BBF6C4A2-EB71-426D-9AC8-9D65D09EEAB1}"/>
    <cellStyle name="Normal 4 2 3 2 3 2 2 2" xfId="11671" xr:uid="{B92CB260-DCF3-4C8A-8393-637DE4465C7A}"/>
    <cellStyle name="Normal 4 2 3 2 3 2 2 2 2" xfId="24353" xr:uid="{81F783AA-919F-4A9A-95A2-E15DD977C223}"/>
    <cellStyle name="Normal 4 2 3 2 3 2 2 2 2 2" xfId="49845" xr:uid="{E2112356-6292-420D-8E97-40FDDEE15570}"/>
    <cellStyle name="Normal 4 2 3 2 3 2 2 2 3" xfId="37254" xr:uid="{03A7B48B-58C7-4386-A409-4CBC73D1E800}"/>
    <cellStyle name="Normal 4 2 3 2 3 2 2 3" xfId="18075" xr:uid="{7B6FB05C-7E81-406E-B9F1-23037F6F7FA0}"/>
    <cellStyle name="Normal 4 2 3 2 3 2 2 3 2" xfId="43567" xr:uid="{39B9BD07-1151-42E9-9857-473BD629E014}"/>
    <cellStyle name="Normal 4 2 3 2 3 2 2 4" xfId="30976" xr:uid="{4F360645-A3CD-4736-B39E-4D4628776748}"/>
    <cellStyle name="Normal 4 2 3 2 3 2 3" xfId="8532" xr:uid="{05AA66A7-1279-4053-AA85-6E3774A41B2B}"/>
    <cellStyle name="Normal 4 2 3 2 3 2 3 2" xfId="21214" xr:uid="{D089D127-D9CD-4A2E-A6E5-9A7BC1714EE0}"/>
    <cellStyle name="Normal 4 2 3 2 3 2 3 2 2" xfId="46706" xr:uid="{412F636B-17E3-4857-ACD1-7269D6CF5FBE}"/>
    <cellStyle name="Normal 4 2 3 2 3 2 3 3" xfId="34115" xr:uid="{41EBE0DA-49E4-49DC-8FBA-D0C19CBB8957}"/>
    <cellStyle name="Normal 4 2 3 2 3 2 4" xfId="14936" xr:uid="{6BE2D6E8-4E50-49E2-9F02-084AF74F47C1}"/>
    <cellStyle name="Normal 4 2 3 2 3 2 4 2" xfId="40428" xr:uid="{FADF6E80-FD7B-4945-B8A3-903D4F31811A}"/>
    <cellStyle name="Normal 4 2 3 2 3 2 5" xfId="27837" xr:uid="{8E81B3A2-CF60-4135-8ACA-5C7693B4B254}"/>
    <cellStyle name="Normal 4 2 3 2 3 3" xfId="4071" xr:uid="{2EDDB8BE-81AE-463B-B5AA-AC299298A808}"/>
    <cellStyle name="Normal 4 2 3 2 3 3 2" xfId="10364" xr:uid="{4CBBD71D-A216-43B8-BFED-732A15078D53}"/>
    <cellStyle name="Normal 4 2 3 2 3 3 2 2" xfId="23046" xr:uid="{EBD40E02-E323-4A37-AC90-1ECF3EDA816B}"/>
    <cellStyle name="Normal 4 2 3 2 3 3 2 2 2" xfId="48538" xr:uid="{650DE95E-66F3-42FE-9D0F-DAA1B419CC13}"/>
    <cellStyle name="Normal 4 2 3 2 3 3 2 3" xfId="35947" xr:uid="{87B52BC0-FD31-436A-8427-2049F7FDE07F}"/>
    <cellStyle name="Normal 4 2 3 2 3 3 3" xfId="16768" xr:uid="{A51EF274-C43A-4C48-A8FC-63525E11164C}"/>
    <cellStyle name="Normal 4 2 3 2 3 3 3 2" xfId="42260" xr:uid="{EBABDC2B-1949-41FC-BCB0-1D58F3F51719}"/>
    <cellStyle name="Normal 4 2 3 2 3 3 4" xfId="29669" xr:uid="{FA1AB35E-C5B6-492E-91D6-C96578C4C961}"/>
    <cellStyle name="Normal 4 2 3 2 3 4" xfId="7225" xr:uid="{C75EA803-CC73-487C-874D-B373ABA75307}"/>
    <cellStyle name="Normal 4 2 3 2 3 4 2" xfId="19907" xr:uid="{F9113663-36F9-4AF0-9C5D-CCC4E8C4A22A}"/>
    <cellStyle name="Normal 4 2 3 2 3 4 2 2" xfId="45399" xr:uid="{6243C957-09CA-4BBF-8E76-F8C428F661C1}"/>
    <cellStyle name="Normal 4 2 3 2 3 4 3" xfId="32808" xr:uid="{4B7AC371-1194-4798-BC8F-A80F0D710BD3}"/>
    <cellStyle name="Normal 4 2 3 2 3 5" xfId="13629" xr:uid="{FE6D3502-2FB5-4DA9-9B06-BF1FF8C78167}"/>
    <cellStyle name="Normal 4 2 3 2 3 5 2" xfId="39121" xr:uid="{7F7E89BD-2F7C-4E9B-904E-013F5A8B5405}"/>
    <cellStyle name="Normal 4 2 3 2 3 6" xfId="26530" xr:uid="{A509F952-6AC3-4AD0-A860-A9171D39F8A6}"/>
    <cellStyle name="Normal 4 2 3 2 4" xfId="1962" xr:uid="{871213A0-154B-41AA-915F-E0E37979D251}"/>
    <cellStyle name="Normal 4 2 3 2 4 2" xfId="5116" xr:uid="{3F6AFB4A-CD0F-4AB1-91DD-EEF8AFEA559F}"/>
    <cellStyle name="Normal 4 2 3 2 4 2 2" xfId="11409" xr:uid="{6AA20319-1706-494A-91E2-DEB9DEB9C219}"/>
    <cellStyle name="Normal 4 2 3 2 4 2 2 2" xfId="24091" xr:uid="{463662D8-C790-471E-96D4-B25787A6B94C}"/>
    <cellStyle name="Normal 4 2 3 2 4 2 2 2 2" xfId="49583" xr:uid="{1EEEF068-C534-418F-993E-237F6A488DB8}"/>
    <cellStyle name="Normal 4 2 3 2 4 2 2 3" xfId="36992" xr:uid="{587D6D3E-5266-4C55-814D-3F21748C162D}"/>
    <cellStyle name="Normal 4 2 3 2 4 2 3" xfId="17813" xr:uid="{6314857C-C7EA-4A34-B616-C381F2D1B2E7}"/>
    <cellStyle name="Normal 4 2 3 2 4 2 3 2" xfId="43305" xr:uid="{36EFB7BC-80B6-4992-A8A5-22861E032669}"/>
    <cellStyle name="Normal 4 2 3 2 4 2 4" xfId="30714" xr:uid="{262C645A-4C7E-44D5-AFBC-89BAFAB8D595}"/>
    <cellStyle name="Normal 4 2 3 2 4 3" xfId="8270" xr:uid="{5768DFFF-AD4B-4193-8E8E-E089EE8378FA}"/>
    <cellStyle name="Normal 4 2 3 2 4 3 2" xfId="20952" xr:uid="{78C2BA32-B077-47BB-AEA0-4829185F17EF}"/>
    <cellStyle name="Normal 4 2 3 2 4 3 2 2" xfId="46444" xr:uid="{5E4759DD-09CF-44C1-84F0-3A5EC935F957}"/>
    <cellStyle name="Normal 4 2 3 2 4 3 3" xfId="33853" xr:uid="{E826927C-53D5-46E3-BF65-FDEBEEE03C0A}"/>
    <cellStyle name="Normal 4 2 3 2 4 4" xfId="14674" xr:uid="{AF3F5E86-367F-4AAB-BEF4-77714F3ECDCD}"/>
    <cellStyle name="Normal 4 2 3 2 4 4 2" xfId="40166" xr:uid="{B44CFD7E-B55D-4165-8C05-FD9444582C7A}"/>
    <cellStyle name="Normal 4 2 3 2 4 5" xfId="27575" xr:uid="{02926085-DC4F-4192-AA84-BAE53359E989}"/>
    <cellStyle name="Normal 4 2 3 2 5" xfId="1440" xr:uid="{991DF6B3-5347-46FB-914B-B53188982307}"/>
    <cellStyle name="Normal 4 2 3 2 5 2" xfId="4594" xr:uid="{C6601165-3A25-46E1-B74A-28C6ECFB2B65}"/>
    <cellStyle name="Normal 4 2 3 2 5 2 2" xfId="10887" xr:uid="{C8BC5B57-D0D2-42FC-97CA-6940C3C32262}"/>
    <cellStyle name="Normal 4 2 3 2 5 2 2 2" xfId="23569" xr:uid="{B1FE90BB-7198-443A-9FF3-E463D8CC6B2F}"/>
    <cellStyle name="Normal 4 2 3 2 5 2 2 2 2" xfId="49061" xr:uid="{D7CB7162-64AE-4F6B-90CE-1D9991AE160E}"/>
    <cellStyle name="Normal 4 2 3 2 5 2 2 3" xfId="36470" xr:uid="{A75860D1-2263-47E7-BE8D-A7B23F064778}"/>
    <cellStyle name="Normal 4 2 3 2 5 2 3" xfId="17291" xr:uid="{687E599F-0D73-4FFE-BEEE-142FE60AF713}"/>
    <cellStyle name="Normal 4 2 3 2 5 2 3 2" xfId="42783" xr:uid="{055B752B-C1CC-4840-96EA-379165B1530D}"/>
    <cellStyle name="Normal 4 2 3 2 5 2 4" xfId="30192" xr:uid="{2FC7DDCE-A477-43FF-93B6-9E020AFE7772}"/>
    <cellStyle name="Normal 4 2 3 2 5 3" xfId="7748" xr:uid="{0CBB08F8-E689-44FB-8A4A-0B4A6867DC9E}"/>
    <cellStyle name="Normal 4 2 3 2 5 3 2" xfId="20430" xr:uid="{1F68AFFD-BECC-4FC7-A2CF-FCD184C7EE17}"/>
    <cellStyle name="Normal 4 2 3 2 5 3 2 2" xfId="45922" xr:uid="{6FF6DD40-0E37-414A-999B-2A6278266FB0}"/>
    <cellStyle name="Normal 4 2 3 2 5 3 3" xfId="33331" xr:uid="{2CFA0F20-D48C-4BA2-A619-9349A14DFCF3}"/>
    <cellStyle name="Normal 4 2 3 2 5 4" xfId="14152" xr:uid="{F656EA22-E7C4-4AFB-885D-7F4672225C15}"/>
    <cellStyle name="Normal 4 2 3 2 5 4 2" xfId="39644" xr:uid="{592FCBDE-DB90-4432-91CB-B68ED03B714C}"/>
    <cellStyle name="Normal 4 2 3 2 5 5" xfId="27053" xr:uid="{AEFAA4AF-7295-4202-A6BB-280A9E5EBF29}"/>
    <cellStyle name="Normal 4 2 3 2 6" xfId="2747" xr:uid="{E780AB93-E659-4780-9C71-0E7C8297B058}"/>
    <cellStyle name="Normal 4 2 3 2 6 2" xfId="5901" xr:uid="{0BCB07C1-4945-4C15-81AB-D19E06381897}"/>
    <cellStyle name="Normal 4 2 3 2 6 2 2" xfId="12194" xr:uid="{6C3A3ACD-71F9-4B7B-BC7B-74E919A6AFB5}"/>
    <cellStyle name="Normal 4 2 3 2 6 2 2 2" xfId="24876" xr:uid="{4F34F0F1-4B86-4963-9A44-162660FCAB43}"/>
    <cellStyle name="Normal 4 2 3 2 6 2 2 2 2" xfId="50368" xr:uid="{941FA8FC-2937-4C0A-BBC8-B7EBA20E2C7C}"/>
    <cellStyle name="Normal 4 2 3 2 6 2 2 3" xfId="37777" xr:uid="{3044F03D-4D2D-4211-AC18-0DF3843F0888}"/>
    <cellStyle name="Normal 4 2 3 2 6 2 3" xfId="18598" xr:uid="{8A3D2AF4-C416-406B-89ED-8DC8883839DD}"/>
    <cellStyle name="Normal 4 2 3 2 6 2 3 2" xfId="44090" xr:uid="{8BAD2120-897E-4611-94D3-88ACBC1FA90C}"/>
    <cellStyle name="Normal 4 2 3 2 6 2 4" xfId="31499" xr:uid="{6383869B-452D-40CA-9C63-6C8B124D2FA9}"/>
    <cellStyle name="Normal 4 2 3 2 6 3" xfId="9055" xr:uid="{3BE5C7EA-EE66-456B-9A1D-052EB9FF3BD5}"/>
    <cellStyle name="Normal 4 2 3 2 6 3 2" xfId="21737" xr:uid="{44899084-9279-4802-BA69-9722B9149971}"/>
    <cellStyle name="Normal 4 2 3 2 6 3 2 2" xfId="47229" xr:uid="{0F131F1B-754D-4AD4-BAB7-E2F98385D850}"/>
    <cellStyle name="Normal 4 2 3 2 6 3 3" xfId="34638" xr:uid="{8371091E-12C9-430F-AA22-476247307FE3}"/>
    <cellStyle name="Normal 4 2 3 2 6 4" xfId="15459" xr:uid="{5ED69A88-0191-4051-B8A2-75AFCB4907E5}"/>
    <cellStyle name="Normal 4 2 3 2 6 4 2" xfId="40951" xr:uid="{6ABF8346-2E42-4EB6-A79F-F577ED8CDED2}"/>
    <cellStyle name="Normal 4 2 3 2 6 5" xfId="28360" xr:uid="{E27E1C9B-55F5-45EF-A17D-8E446837B162}"/>
    <cellStyle name="Normal 4 2 3 2 7" xfId="3270" xr:uid="{C0DD0CB3-D636-4533-A49C-DBA63E022C69}"/>
    <cellStyle name="Normal 4 2 3 2 7 2" xfId="6424" xr:uid="{328AB6F4-583D-4CA9-B978-2003AB6291EF}"/>
    <cellStyle name="Normal 4 2 3 2 7 2 2" xfId="12717" xr:uid="{7AC40046-3055-4058-9EED-F334DB9BE5FD}"/>
    <cellStyle name="Normal 4 2 3 2 7 2 2 2" xfId="25399" xr:uid="{98B7D95C-CDB2-4D47-B52C-DF8768B2E36C}"/>
    <cellStyle name="Normal 4 2 3 2 7 2 2 2 2" xfId="50891" xr:uid="{6C22B56B-779C-48BE-9C28-D3AF6642E6DD}"/>
    <cellStyle name="Normal 4 2 3 2 7 2 2 3" xfId="38300" xr:uid="{88F19816-B9B8-48FD-BB3D-9CC7307E8031}"/>
    <cellStyle name="Normal 4 2 3 2 7 2 3" xfId="19121" xr:uid="{486E3C49-60F9-46A2-84B1-565AC71DA5C3}"/>
    <cellStyle name="Normal 4 2 3 2 7 2 3 2" xfId="44613" xr:uid="{F61F1A89-D16E-4543-92A3-3A5CE9D050D4}"/>
    <cellStyle name="Normal 4 2 3 2 7 2 4" xfId="32022" xr:uid="{7D2CC7D9-DB7D-4119-9E6A-86820F95B8FC}"/>
    <cellStyle name="Normal 4 2 3 2 7 3" xfId="9578" xr:uid="{6D726E5F-83BD-426C-A75E-51B4C8FDBB0B}"/>
    <cellStyle name="Normal 4 2 3 2 7 3 2" xfId="22260" xr:uid="{EEF4EE94-5FD3-4C8B-95DB-F42E843D2C70}"/>
    <cellStyle name="Normal 4 2 3 2 7 3 2 2" xfId="47752" xr:uid="{4719CFE4-D690-4B98-8399-37FA00060DC9}"/>
    <cellStyle name="Normal 4 2 3 2 7 3 3" xfId="35161" xr:uid="{0B2D77CC-73E7-41E2-AE2C-6AC02BA2EA88}"/>
    <cellStyle name="Normal 4 2 3 2 7 4" xfId="15982" xr:uid="{B71FC166-A411-45DA-9154-CFD197475520}"/>
    <cellStyle name="Normal 4 2 3 2 7 4 2" xfId="41474" xr:uid="{5EE0D3A6-D7F9-49C1-B346-9BAA5085BA39}"/>
    <cellStyle name="Normal 4 2 3 2 7 5" xfId="28883" xr:uid="{864F0BEF-FDF4-4098-B694-DE804E6FCAB2}"/>
    <cellStyle name="Normal 4 2 3 2 8" xfId="3809" xr:uid="{873FBB88-5999-4D9F-8413-CDDFFA0780E6}"/>
    <cellStyle name="Normal 4 2 3 2 8 2" xfId="10102" xr:uid="{F9CFA88A-DD67-4B13-A49A-329A48DC1CB9}"/>
    <cellStyle name="Normal 4 2 3 2 8 2 2" xfId="22784" xr:uid="{4FEDB9B5-5575-411A-9B17-BB8107E8A89E}"/>
    <cellStyle name="Normal 4 2 3 2 8 2 2 2" xfId="48276" xr:uid="{E95A2FD1-5F3C-4699-BD96-6188C8882A33}"/>
    <cellStyle name="Normal 4 2 3 2 8 2 3" xfId="35685" xr:uid="{1B734D31-5093-4557-8D9B-24DB0D0308C7}"/>
    <cellStyle name="Normal 4 2 3 2 8 3" xfId="16506" xr:uid="{4455E7AF-1DC3-4457-9B3B-CF930F0E3EA1}"/>
    <cellStyle name="Normal 4 2 3 2 8 3 2" xfId="41998" xr:uid="{4471499E-E18A-4A66-80C9-EF282B5F66F3}"/>
    <cellStyle name="Normal 4 2 3 2 8 4" xfId="29407" xr:uid="{F1FE8F42-54BD-4D7E-8CF0-191284DDFEB9}"/>
    <cellStyle name="Normal 4 2 3 2 9" xfId="6963" xr:uid="{8EA1F0D1-BD34-4B21-8A91-D9C0A068A599}"/>
    <cellStyle name="Normal 4 2 3 2 9 2" xfId="19645" xr:uid="{4797B861-E9CB-4F48-AB7F-DC45856BDDB8}"/>
    <cellStyle name="Normal 4 2 3 2 9 2 2" xfId="45137" xr:uid="{EC9F847C-5E44-4737-B4A2-F74A6BCA2977}"/>
    <cellStyle name="Normal 4 2 3 2 9 3" xfId="32546" xr:uid="{68017D29-3BA5-408F-A69D-2FE321602095}"/>
    <cellStyle name="Normal 4 2 3 3" xfId="540" xr:uid="{A24891AB-1DD9-4866-BE7A-A2ABCA6818EE}"/>
    <cellStyle name="Normal 4 2 3 3 10" xfId="13267" xr:uid="{4BE07858-FAE2-4FE3-8D3C-72C1B706B4F8}"/>
    <cellStyle name="Normal 4 2 3 3 10 2" xfId="38759" xr:uid="{5A5A047E-A699-44BE-9510-3F8C5C233090}"/>
    <cellStyle name="Normal 4 2 3 3 11" xfId="26168" xr:uid="{1AC07019-BD25-4E78-8889-67644AF9A86B}"/>
    <cellStyle name="Normal 4 2 3 3 2" xfId="1077" xr:uid="{F1E9A595-3B49-42E6-834C-78F68F20EC53}"/>
    <cellStyle name="Normal 4 2 3 3 2 2" xfId="2384" xr:uid="{94677970-ED92-49FE-80F2-21FB565979F7}"/>
    <cellStyle name="Normal 4 2 3 3 2 2 2" xfId="5538" xr:uid="{C547A259-37C4-4EC7-B80F-E460460E8490}"/>
    <cellStyle name="Normal 4 2 3 3 2 2 2 2" xfId="11831" xr:uid="{13A08CC2-05A4-448A-8C35-87EFBEF63FA2}"/>
    <cellStyle name="Normal 4 2 3 3 2 2 2 2 2" xfId="24513" xr:uid="{4E8A0615-E508-47F7-97B6-4BD86B95760C}"/>
    <cellStyle name="Normal 4 2 3 3 2 2 2 2 2 2" xfId="50005" xr:uid="{0FF8BEA8-C339-42AB-A512-E1C039FD805B}"/>
    <cellStyle name="Normal 4 2 3 3 2 2 2 2 3" xfId="37414" xr:uid="{FACEFAE3-9A8D-4C01-8049-5C6D6F698C6D}"/>
    <cellStyle name="Normal 4 2 3 3 2 2 2 3" xfId="18235" xr:uid="{07939892-1D14-41D1-9CB4-9A46F2BC3ADE}"/>
    <cellStyle name="Normal 4 2 3 3 2 2 2 3 2" xfId="43727" xr:uid="{91293A4E-A167-4C6F-A2C8-CE2B180A522C}"/>
    <cellStyle name="Normal 4 2 3 3 2 2 2 4" xfId="31136" xr:uid="{F839BA69-5891-439E-AA86-66DB5AD3881B}"/>
    <cellStyle name="Normal 4 2 3 3 2 2 3" xfId="8692" xr:uid="{8ACB7109-CF28-41F2-86F3-249E344D675F}"/>
    <cellStyle name="Normal 4 2 3 3 2 2 3 2" xfId="21374" xr:uid="{25BAF4B5-BA9E-4A73-8A67-CCDAA537EC48}"/>
    <cellStyle name="Normal 4 2 3 3 2 2 3 2 2" xfId="46866" xr:uid="{BBE7C765-0AE1-41C0-A0C1-B0726994E991}"/>
    <cellStyle name="Normal 4 2 3 3 2 2 3 3" xfId="34275" xr:uid="{3FD81FA9-661A-41B0-A47B-9EAE88E9811F}"/>
    <cellStyle name="Normal 4 2 3 3 2 2 4" xfId="15096" xr:uid="{B15A79BA-9154-44FB-9386-C9C8632A7FDE}"/>
    <cellStyle name="Normal 4 2 3 3 2 2 4 2" xfId="40588" xr:uid="{0434BD57-8FB5-4049-902E-50F93864FDCD}"/>
    <cellStyle name="Normal 4 2 3 3 2 2 5" xfId="27997" xr:uid="{FBDFD68E-10EC-4056-9556-5BA3DA1323E3}"/>
    <cellStyle name="Normal 4 2 3 3 2 3" xfId="1601" xr:uid="{CCDDC53B-77BA-477A-BB6E-7E83916CBC34}"/>
    <cellStyle name="Normal 4 2 3 3 2 3 2" xfId="4755" xr:uid="{23908379-AFEC-44A0-98F0-C026873470EC}"/>
    <cellStyle name="Normal 4 2 3 3 2 3 2 2" xfId="11048" xr:uid="{9F241070-0D2E-41BF-A74B-16B217922712}"/>
    <cellStyle name="Normal 4 2 3 3 2 3 2 2 2" xfId="23730" xr:uid="{D386A2BF-0152-4D90-B679-4A1AE061FF54}"/>
    <cellStyle name="Normal 4 2 3 3 2 3 2 2 2 2" xfId="49222" xr:uid="{19571DBF-0009-4943-B90B-C60FB6693F5D}"/>
    <cellStyle name="Normal 4 2 3 3 2 3 2 2 3" xfId="36631" xr:uid="{04286F99-BF23-4650-8541-E5E97EE2B33D}"/>
    <cellStyle name="Normal 4 2 3 3 2 3 2 3" xfId="17452" xr:uid="{70384146-2433-449F-AFBF-298980E9CEB4}"/>
    <cellStyle name="Normal 4 2 3 3 2 3 2 3 2" xfId="42944" xr:uid="{3CD463C2-5A51-45C3-907A-AE6E1DF43C2D}"/>
    <cellStyle name="Normal 4 2 3 3 2 3 2 4" xfId="30353" xr:uid="{2BDE020F-91A5-4E51-9141-9FB99C4130CC}"/>
    <cellStyle name="Normal 4 2 3 3 2 3 3" xfId="7909" xr:uid="{836E3A78-74D1-4C29-92B3-4263387288CD}"/>
    <cellStyle name="Normal 4 2 3 3 2 3 3 2" xfId="20591" xr:uid="{523EE932-609B-4A20-8C70-083FDC8AA513}"/>
    <cellStyle name="Normal 4 2 3 3 2 3 3 2 2" xfId="46083" xr:uid="{39B07608-8D17-467F-BE89-55AEAEE7666B}"/>
    <cellStyle name="Normal 4 2 3 3 2 3 3 3" xfId="33492" xr:uid="{94117F87-0A34-4AB0-9DCD-2E329156D9A4}"/>
    <cellStyle name="Normal 4 2 3 3 2 3 4" xfId="14313" xr:uid="{859F9CA4-F386-48A3-A907-59271133643C}"/>
    <cellStyle name="Normal 4 2 3 3 2 3 4 2" xfId="39805" xr:uid="{2E0A4B6E-7289-40E3-9CE8-FA47CE8C3E4E}"/>
    <cellStyle name="Normal 4 2 3 3 2 3 5" xfId="27214" xr:uid="{AA31ADDB-A4B6-44B4-AEC2-DBB19B8BE59E}"/>
    <cellStyle name="Normal 4 2 3 3 2 4" xfId="2908" xr:uid="{4F04F0CC-DD83-48E8-A030-64460C196068}"/>
    <cellStyle name="Normal 4 2 3 3 2 4 2" xfId="6062" xr:uid="{0AD9848B-21C6-4B4B-A583-EFD61A33550A}"/>
    <cellStyle name="Normal 4 2 3 3 2 4 2 2" xfId="12355" xr:uid="{3433D07A-7B06-4F72-A70E-3B44563053A1}"/>
    <cellStyle name="Normal 4 2 3 3 2 4 2 2 2" xfId="25037" xr:uid="{9E5F172D-3111-46D6-9485-E98686B19B2D}"/>
    <cellStyle name="Normal 4 2 3 3 2 4 2 2 2 2" xfId="50529" xr:uid="{BC30CCFF-5CA7-4534-B749-9DD39497CE7D}"/>
    <cellStyle name="Normal 4 2 3 3 2 4 2 2 3" xfId="37938" xr:uid="{109E7382-40B5-4D6F-B445-AB25823C9E96}"/>
    <cellStyle name="Normal 4 2 3 3 2 4 2 3" xfId="18759" xr:uid="{B3DB62A5-8ADD-4E81-BE4D-2664865427B0}"/>
    <cellStyle name="Normal 4 2 3 3 2 4 2 3 2" xfId="44251" xr:uid="{2A5188BD-620F-4434-9D9A-20B98DA2CF8D}"/>
    <cellStyle name="Normal 4 2 3 3 2 4 2 4" xfId="31660" xr:uid="{09441FED-6B86-4555-A10A-FD7581EFF275}"/>
    <cellStyle name="Normal 4 2 3 3 2 4 3" xfId="9216" xr:uid="{58968E96-D9D0-423F-90F9-75C3DC4575BE}"/>
    <cellStyle name="Normal 4 2 3 3 2 4 3 2" xfId="21898" xr:uid="{796EA0EB-A598-4A39-B474-617D62C18B7B}"/>
    <cellStyle name="Normal 4 2 3 3 2 4 3 2 2" xfId="47390" xr:uid="{A8BBBDA6-C8ED-4676-8A0E-B896D1B5ED75}"/>
    <cellStyle name="Normal 4 2 3 3 2 4 3 3" xfId="34799" xr:uid="{71014C98-895B-4505-A084-9400772ABAE2}"/>
    <cellStyle name="Normal 4 2 3 3 2 4 4" xfId="15620" xr:uid="{9546BB5C-63DA-4677-9B41-974B7B7DFF83}"/>
    <cellStyle name="Normal 4 2 3 3 2 4 4 2" xfId="41112" xr:uid="{8245691B-8801-431A-A189-FE1D62277546}"/>
    <cellStyle name="Normal 4 2 3 3 2 4 5" xfId="28521" xr:uid="{49037DA4-EAF5-400C-B0BB-9FB91ADC4DE9}"/>
    <cellStyle name="Normal 4 2 3 3 2 5" xfId="3431" xr:uid="{9EB2169B-C575-46C9-AEBD-20BCC06FBC8E}"/>
    <cellStyle name="Normal 4 2 3 3 2 5 2" xfId="6585" xr:uid="{68BF9C26-EB33-473C-9F4C-2D48C52B8805}"/>
    <cellStyle name="Normal 4 2 3 3 2 5 2 2" xfId="12878" xr:uid="{75DD12F4-06DC-430A-B5EB-BF52642D4ADF}"/>
    <cellStyle name="Normal 4 2 3 3 2 5 2 2 2" xfId="25560" xr:uid="{DE940303-74E1-43DB-A6A3-45E7FFA8D4A1}"/>
    <cellStyle name="Normal 4 2 3 3 2 5 2 2 2 2" xfId="51052" xr:uid="{5389E628-81BD-4AB8-9BE9-F518C8EFB67B}"/>
    <cellStyle name="Normal 4 2 3 3 2 5 2 2 3" xfId="38461" xr:uid="{33E73073-B422-4E57-BEA3-82F37BA153B0}"/>
    <cellStyle name="Normal 4 2 3 3 2 5 2 3" xfId="19282" xr:uid="{B6B61FDB-A930-4777-961D-EBD9F45FADE3}"/>
    <cellStyle name="Normal 4 2 3 3 2 5 2 3 2" xfId="44774" xr:uid="{ADDE2671-4DB8-4EE0-9A78-3FDA82283A2E}"/>
    <cellStyle name="Normal 4 2 3 3 2 5 2 4" xfId="32183" xr:uid="{47B179CB-34BD-475D-AC64-A5DC91636A83}"/>
    <cellStyle name="Normal 4 2 3 3 2 5 3" xfId="9739" xr:uid="{C6A09C8C-25DA-45B8-904E-650DFEA0E8E8}"/>
    <cellStyle name="Normal 4 2 3 3 2 5 3 2" xfId="22421" xr:uid="{754A89FE-3C25-4F5F-BFBF-DB6791D4E80A}"/>
    <cellStyle name="Normal 4 2 3 3 2 5 3 2 2" xfId="47913" xr:uid="{65F0F972-96A2-4B9C-9B6B-65B50C20A94E}"/>
    <cellStyle name="Normal 4 2 3 3 2 5 3 3" xfId="35322" xr:uid="{06A0202C-D96C-4D20-B095-29C0F4A24709}"/>
    <cellStyle name="Normal 4 2 3 3 2 5 4" xfId="16143" xr:uid="{0DA4EFD0-86EC-4948-808F-A9B33D625FF8}"/>
    <cellStyle name="Normal 4 2 3 3 2 5 4 2" xfId="41635" xr:uid="{05873DEE-B9D3-4834-9FB8-3F902DBDB303}"/>
    <cellStyle name="Normal 4 2 3 3 2 5 5" xfId="29044" xr:uid="{FE76ECDF-E265-4B46-BFAF-3BC6A7D1FA11}"/>
    <cellStyle name="Normal 4 2 3 3 2 6" xfId="4231" xr:uid="{BB4D5A2A-AA87-4155-B928-823E9A35A1B0}"/>
    <cellStyle name="Normal 4 2 3 3 2 6 2" xfId="10524" xr:uid="{EA0ADC3E-5B7E-4AEA-90F5-D2B8784232F0}"/>
    <cellStyle name="Normal 4 2 3 3 2 6 2 2" xfId="23206" xr:uid="{49BC9DC9-CE34-446D-A18F-5499C1B8B7FF}"/>
    <cellStyle name="Normal 4 2 3 3 2 6 2 2 2" xfId="48698" xr:uid="{325E155F-2C37-4326-BEF0-442A71EA1992}"/>
    <cellStyle name="Normal 4 2 3 3 2 6 2 3" xfId="36107" xr:uid="{EC12CF19-D1C7-42DA-A846-7AC7AD567077}"/>
    <cellStyle name="Normal 4 2 3 3 2 6 3" xfId="16928" xr:uid="{3425F2E2-EA10-419E-AE63-804B3CEDCAF1}"/>
    <cellStyle name="Normal 4 2 3 3 2 6 3 2" xfId="42420" xr:uid="{853B7D66-1B6B-41A3-826C-C1295CB555F8}"/>
    <cellStyle name="Normal 4 2 3 3 2 6 4" xfId="29829" xr:uid="{F1CB0B31-02C8-4091-BE9B-FD276F63608E}"/>
    <cellStyle name="Normal 4 2 3 3 2 7" xfId="7385" xr:uid="{16637CB1-AB91-4006-A72C-97725403798D}"/>
    <cellStyle name="Normal 4 2 3 3 2 7 2" xfId="20067" xr:uid="{9FCBCA77-101D-4AF7-B23C-7A677898C990}"/>
    <cellStyle name="Normal 4 2 3 3 2 7 2 2" xfId="45559" xr:uid="{F8A5BC2B-2A08-4883-B351-7A1E7B6EFB9B}"/>
    <cellStyle name="Normal 4 2 3 3 2 7 3" xfId="32968" xr:uid="{58C04FE8-D752-458F-8F6E-4B520394E6DF}"/>
    <cellStyle name="Normal 4 2 3 3 2 8" xfId="13789" xr:uid="{E1F64D7D-A2B1-45FF-BCFE-8891FC5C870A}"/>
    <cellStyle name="Normal 4 2 3 3 2 8 2" xfId="39281" xr:uid="{B3D26752-5933-43FB-98DA-B6B135A15C03}"/>
    <cellStyle name="Normal 4 2 3 3 2 9" xfId="26690" xr:uid="{30243603-4E2C-4282-95B4-7301A767A2B8}"/>
    <cellStyle name="Normal 4 2 3 3 3" xfId="817" xr:uid="{08F564B9-DDBD-4BF1-8A60-3A27CFA05347}"/>
    <cellStyle name="Normal 4 2 3 3 3 2" xfId="2124" xr:uid="{4EE094E8-C0E5-4B51-A9D0-27DAB7965234}"/>
    <cellStyle name="Normal 4 2 3 3 3 2 2" xfId="5278" xr:uid="{55F0C9E8-5DFA-490D-9BDE-865755ABC29D}"/>
    <cellStyle name="Normal 4 2 3 3 3 2 2 2" xfId="11571" xr:uid="{0D30E9F5-DADB-4858-AB5B-C5553BA2B6BA}"/>
    <cellStyle name="Normal 4 2 3 3 3 2 2 2 2" xfId="24253" xr:uid="{CF561D11-B98F-481D-A28F-4CD5C972EBED}"/>
    <cellStyle name="Normal 4 2 3 3 3 2 2 2 2 2" xfId="49745" xr:uid="{F384ECF1-C1D3-48A8-B697-189A0C5EE5CD}"/>
    <cellStyle name="Normal 4 2 3 3 3 2 2 2 3" xfId="37154" xr:uid="{836E9D27-3AC4-4F87-A4BF-6AA7DBCD54E3}"/>
    <cellStyle name="Normal 4 2 3 3 3 2 2 3" xfId="17975" xr:uid="{FFF33D74-739D-4A59-A96A-09EEB9B3FC64}"/>
    <cellStyle name="Normal 4 2 3 3 3 2 2 3 2" xfId="43467" xr:uid="{7D82D0B1-195D-4B0E-8BEE-A3E52E9C2EC4}"/>
    <cellStyle name="Normal 4 2 3 3 3 2 2 4" xfId="30876" xr:uid="{A6347640-DD20-4EF3-BDCD-8BF16EFDD6ED}"/>
    <cellStyle name="Normal 4 2 3 3 3 2 3" xfId="8432" xr:uid="{B9BFE44D-E204-4AA1-B58A-F4064761B3E8}"/>
    <cellStyle name="Normal 4 2 3 3 3 2 3 2" xfId="21114" xr:uid="{38B25482-11E3-4E56-9259-5EE930524A14}"/>
    <cellStyle name="Normal 4 2 3 3 3 2 3 2 2" xfId="46606" xr:uid="{69AB65AE-9F1C-485D-B23A-FC26D0E564FE}"/>
    <cellStyle name="Normal 4 2 3 3 3 2 3 3" xfId="34015" xr:uid="{10E033D5-8285-44B6-9790-0E72AAD304EB}"/>
    <cellStyle name="Normal 4 2 3 3 3 2 4" xfId="14836" xr:uid="{6EE7E98F-55A8-42C5-A480-0EF338EC1743}"/>
    <cellStyle name="Normal 4 2 3 3 3 2 4 2" xfId="40328" xr:uid="{657C5DC9-1BAC-4F86-A501-CD540ED6D627}"/>
    <cellStyle name="Normal 4 2 3 3 3 2 5" xfId="27737" xr:uid="{33901495-D3E0-4017-B21C-46B4462A80F5}"/>
    <cellStyle name="Normal 4 2 3 3 3 3" xfId="3971" xr:uid="{7FADDAC7-4416-478B-AD94-54CF9FA71236}"/>
    <cellStyle name="Normal 4 2 3 3 3 3 2" xfId="10264" xr:uid="{16BE8D96-87E4-4E4C-B3B8-2BE0D1C943CC}"/>
    <cellStyle name="Normal 4 2 3 3 3 3 2 2" xfId="22946" xr:uid="{526CC6AA-A3F1-4913-BA84-F03A64AA189E}"/>
    <cellStyle name="Normal 4 2 3 3 3 3 2 2 2" xfId="48438" xr:uid="{8F5A1688-BB3F-4ADF-B66B-2004359849C7}"/>
    <cellStyle name="Normal 4 2 3 3 3 3 2 3" xfId="35847" xr:uid="{8209EAED-CCA8-44A1-B4A8-5E48A50943B9}"/>
    <cellStyle name="Normal 4 2 3 3 3 3 3" xfId="16668" xr:uid="{549725F3-5D81-4B38-BABB-9FD462032170}"/>
    <cellStyle name="Normal 4 2 3 3 3 3 3 2" xfId="42160" xr:uid="{E596313E-9589-447C-BA84-ED442F9E6876}"/>
    <cellStyle name="Normal 4 2 3 3 3 3 4" xfId="29569" xr:uid="{403AEB7D-8B97-4DFB-B4B8-93ED83AD9816}"/>
    <cellStyle name="Normal 4 2 3 3 3 4" xfId="7125" xr:uid="{C0DB98FF-634C-42C8-A736-75F644F84ECD}"/>
    <cellStyle name="Normal 4 2 3 3 3 4 2" xfId="19807" xr:uid="{24026F27-AB04-46A5-84AE-C65E9629EDD1}"/>
    <cellStyle name="Normal 4 2 3 3 3 4 2 2" xfId="45299" xr:uid="{F48441B6-39A2-4E1F-AAC0-944DCD69D57B}"/>
    <cellStyle name="Normal 4 2 3 3 3 4 3" xfId="32708" xr:uid="{91AC3636-F003-4125-B812-9EDABB668844}"/>
    <cellStyle name="Normal 4 2 3 3 3 5" xfId="13529" xr:uid="{CAB4BA91-145D-4DE6-A706-F068B042C97D}"/>
    <cellStyle name="Normal 4 2 3 3 3 5 2" xfId="39021" xr:uid="{98D5B581-B96F-4748-8307-AA4EBF1F022C}"/>
    <cellStyle name="Normal 4 2 3 3 3 6" xfId="26430" xr:uid="{4A6E76FD-8CD5-4F6B-BA3E-1683C8ECF773}"/>
    <cellStyle name="Normal 4 2 3 3 4" xfId="1862" xr:uid="{4030AEB3-689E-45F9-ABEA-A5FDF772C357}"/>
    <cellStyle name="Normal 4 2 3 3 4 2" xfId="5016" xr:uid="{BE26B0BE-E26B-4EE3-8C28-5ED652255509}"/>
    <cellStyle name="Normal 4 2 3 3 4 2 2" xfId="11309" xr:uid="{3573DFE6-5C0D-4B7E-A22B-F89E25DF69C0}"/>
    <cellStyle name="Normal 4 2 3 3 4 2 2 2" xfId="23991" xr:uid="{1648186D-8182-4CCF-97DC-D1B879AE4E3E}"/>
    <cellStyle name="Normal 4 2 3 3 4 2 2 2 2" xfId="49483" xr:uid="{07EDA36D-D0CC-4B97-B6F0-78CCED5E36EB}"/>
    <cellStyle name="Normal 4 2 3 3 4 2 2 3" xfId="36892" xr:uid="{591C2192-E3ED-4FC5-9E84-C55496968225}"/>
    <cellStyle name="Normal 4 2 3 3 4 2 3" xfId="17713" xr:uid="{86E85DFB-F7A7-46DC-A739-7A7C34662FDF}"/>
    <cellStyle name="Normal 4 2 3 3 4 2 3 2" xfId="43205" xr:uid="{8C4A4317-C8FB-4CA2-A0A9-3F60F43CA8D7}"/>
    <cellStyle name="Normal 4 2 3 3 4 2 4" xfId="30614" xr:uid="{944537E0-F8D7-4863-96DD-09BC66563243}"/>
    <cellStyle name="Normal 4 2 3 3 4 3" xfId="8170" xr:uid="{BF687D12-5840-4C8E-A359-48936CBE0C08}"/>
    <cellStyle name="Normal 4 2 3 3 4 3 2" xfId="20852" xr:uid="{825F211E-398B-4478-A9FE-EF1BE880D3A0}"/>
    <cellStyle name="Normal 4 2 3 3 4 3 2 2" xfId="46344" xr:uid="{0CA22800-0A57-4DB5-871B-9008C0FB4B02}"/>
    <cellStyle name="Normal 4 2 3 3 4 3 3" xfId="33753" xr:uid="{FE9E3DDA-F406-46EB-9C47-BB3DA2ACAC50}"/>
    <cellStyle name="Normal 4 2 3 3 4 4" xfId="14574" xr:uid="{F64BFB7A-E5B2-45D2-8518-267DD6CD9951}"/>
    <cellStyle name="Normal 4 2 3 3 4 4 2" xfId="40066" xr:uid="{6C9FA53F-639F-49AD-83B0-A224920E445F}"/>
    <cellStyle name="Normal 4 2 3 3 4 5" xfId="27475" xr:uid="{E3C95D12-FD83-41A4-9634-F0689FA6E0A1}"/>
    <cellStyle name="Normal 4 2 3 3 5" xfId="1340" xr:uid="{42214280-354A-4B26-AF98-EDBD88E835DA}"/>
    <cellStyle name="Normal 4 2 3 3 5 2" xfId="4494" xr:uid="{D99CD9FD-8A0A-4B19-9C11-A9B4FD399BD0}"/>
    <cellStyle name="Normal 4 2 3 3 5 2 2" xfId="10787" xr:uid="{82690BC0-1BCB-43B1-A0DC-E3CDFCED54BD}"/>
    <cellStyle name="Normal 4 2 3 3 5 2 2 2" xfId="23469" xr:uid="{7E3CD80E-98AA-46B7-8880-4B7A79281193}"/>
    <cellStyle name="Normal 4 2 3 3 5 2 2 2 2" xfId="48961" xr:uid="{14A29FFE-8922-4F95-A475-04FFD5A62A33}"/>
    <cellStyle name="Normal 4 2 3 3 5 2 2 3" xfId="36370" xr:uid="{A02402A4-B164-431B-86BC-2148188F0C72}"/>
    <cellStyle name="Normal 4 2 3 3 5 2 3" xfId="17191" xr:uid="{0CEC0D84-F0E1-4DFB-BFBC-2036182F764B}"/>
    <cellStyle name="Normal 4 2 3 3 5 2 3 2" xfId="42683" xr:uid="{0D504B58-68FD-4474-8E19-FC73B2C94528}"/>
    <cellStyle name="Normal 4 2 3 3 5 2 4" xfId="30092" xr:uid="{DD72958D-751E-4E99-9499-0476C18F27E2}"/>
    <cellStyle name="Normal 4 2 3 3 5 3" xfId="7648" xr:uid="{16748F74-32BC-42C3-A5C7-B770520D31FB}"/>
    <cellStyle name="Normal 4 2 3 3 5 3 2" xfId="20330" xr:uid="{2E3B2A73-5CB0-4E91-AF8E-449B2C10B73A}"/>
    <cellStyle name="Normal 4 2 3 3 5 3 2 2" xfId="45822" xr:uid="{CAD41932-FEB4-4E89-9DC7-E27F8D3CE283}"/>
    <cellStyle name="Normal 4 2 3 3 5 3 3" xfId="33231" xr:uid="{7A0F5BB4-1DD9-4AEF-9451-F66A8BFA1647}"/>
    <cellStyle name="Normal 4 2 3 3 5 4" xfId="14052" xr:uid="{92556660-FB00-41E5-8C15-6F4BBBE94FD2}"/>
    <cellStyle name="Normal 4 2 3 3 5 4 2" xfId="39544" xr:uid="{15CA4206-C6B4-42D3-9324-34A18CE1BD18}"/>
    <cellStyle name="Normal 4 2 3 3 5 5" xfId="26953" xr:uid="{65320128-CF23-435A-A6DC-C0A560C3688D}"/>
    <cellStyle name="Normal 4 2 3 3 6" xfId="2647" xr:uid="{350D606E-E2FD-43BB-AF80-093C92185645}"/>
    <cellStyle name="Normal 4 2 3 3 6 2" xfId="5801" xr:uid="{100AA285-990B-4142-8F57-5255BCE22D03}"/>
    <cellStyle name="Normal 4 2 3 3 6 2 2" xfId="12094" xr:uid="{83F231ED-A537-4A07-9CFC-72C0C825D89F}"/>
    <cellStyle name="Normal 4 2 3 3 6 2 2 2" xfId="24776" xr:uid="{BE5BF4F1-BCF6-4C45-B5D1-B2AC23D1681C}"/>
    <cellStyle name="Normal 4 2 3 3 6 2 2 2 2" xfId="50268" xr:uid="{7EBB0FCD-23DF-474D-A675-A6A3C1DB2D61}"/>
    <cellStyle name="Normal 4 2 3 3 6 2 2 3" xfId="37677" xr:uid="{5307E751-2D4D-44EC-9179-0DE964BA6AE9}"/>
    <cellStyle name="Normal 4 2 3 3 6 2 3" xfId="18498" xr:uid="{61E54BF6-EA59-493E-93FA-1FA4BED3C717}"/>
    <cellStyle name="Normal 4 2 3 3 6 2 3 2" xfId="43990" xr:uid="{752287BE-F417-4B15-AD7C-F19AE68FC737}"/>
    <cellStyle name="Normal 4 2 3 3 6 2 4" xfId="31399" xr:uid="{68A6263A-3C7F-4CA0-9777-D39C2C48E883}"/>
    <cellStyle name="Normal 4 2 3 3 6 3" xfId="8955" xr:uid="{DDA94B2A-CEDE-4D39-86F9-ACC6F9CA0B73}"/>
    <cellStyle name="Normal 4 2 3 3 6 3 2" xfId="21637" xr:uid="{45511BEE-F7ED-4C19-886F-23409BD22B3B}"/>
    <cellStyle name="Normal 4 2 3 3 6 3 2 2" xfId="47129" xr:uid="{848CAC33-B35E-47A3-804D-A892FEBD4239}"/>
    <cellStyle name="Normal 4 2 3 3 6 3 3" xfId="34538" xr:uid="{B415982D-0A57-4000-9F3D-185B869ECB69}"/>
    <cellStyle name="Normal 4 2 3 3 6 4" xfId="15359" xr:uid="{DC467C71-4E7E-4ECD-9BA7-47EB5780D0D0}"/>
    <cellStyle name="Normal 4 2 3 3 6 4 2" xfId="40851" xr:uid="{13792F00-8F8F-4ADA-8FBA-3B4F794A18DD}"/>
    <cellStyle name="Normal 4 2 3 3 6 5" xfId="28260" xr:uid="{4A94BDCE-31CB-471F-97CB-C68E17133E86}"/>
    <cellStyle name="Normal 4 2 3 3 7" xfId="3170" xr:uid="{DC439307-F472-445A-90E4-DBDFF237B92B}"/>
    <cellStyle name="Normal 4 2 3 3 7 2" xfId="6324" xr:uid="{EDE0FFBA-AC19-41C2-AB92-9411029625A2}"/>
    <cellStyle name="Normal 4 2 3 3 7 2 2" xfId="12617" xr:uid="{0998218C-962C-4A8F-A5C0-5B1C595D3F0E}"/>
    <cellStyle name="Normal 4 2 3 3 7 2 2 2" xfId="25299" xr:uid="{10AB268E-846F-4F4B-B938-0CB971F12AD2}"/>
    <cellStyle name="Normal 4 2 3 3 7 2 2 2 2" xfId="50791" xr:uid="{3AA4F2F9-03EB-4A0C-AE61-964DBEB540A3}"/>
    <cellStyle name="Normal 4 2 3 3 7 2 2 3" xfId="38200" xr:uid="{3426C8F0-ED52-4051-9F7E-E5EB16A473C6}"/>
    <cellStyle name="Normal 4 2 3 3 7 2 3" xfId="19021" xr:uid="{C240C3EB-D908-48F3-9086-F774641EB302}"/>
    <cellStyle name="Normal 4 2 3 3 7 2 3 2" xfId="44513" xr:uid="{4A11D5F8-D01F-4FFC-A00B-D859EAECE17B}"/>
    <cellStyle name="Normal 4 2 3 3 7 2 4" xfId="31922" xr:uid="{BC7F6F23-AB58-47FE-A03C-4D0A39957A98}"/>
    <cellStyle name="Normal 4 2 3 3 7 3" xfId="9478" xr:uid="{61FB46DA-AA44-49A2-8D36-4A62C2C84E97}"/>
    <cellStyle name="Normal 4 2 3 3 7 3 2" xfId="22160" xr:uid="{79F6AEA4-8937-459D-8643-16DF22ED3147}"/>
    <cellStyle name="Normal 4 2 3 3 7 3 2 2" xfId="47652" xr:uid="{1DA41A2D-4D08-4F46-94A8-7AB53B3D4716}"/>
    <cellStyle name="Normal 4 2 3 3 7 3 3" xfId="35061" xr:uid="{B6F7611C-AFF3-42DF-AAB0-69E7EF9E30DC}"/>
    <cellStyle name="Normal 4 2 3 3 7 4" xfId="15882" xr:uid="{E03E2AEC-BAB6-4749-92CA-BAB2B713E3D8}"/>
    <cellStyle name="Normal 4 2 3 3 7 4 2" xfId="41374" xr:uid="{711CF5D3-5AB6-4863-BA0C-C5A01A90778B}"/>
    <cellStyle name="Normal 4 2 3 3 7 5" xfId="28783" xr:uid="{ABFFF2B8-DBE5-45E8-BF1D-FE369A313BFA}"/>
    <cellStyle name="Normal 4 2 3 3 8" xfId="3709" xr:uid="{7C5934D4-3A5B-4815-98CC-B4A100A00308}"/>
    <cellStyle name="Normal 4 2 3 3 8 2" xfId="10002" xr:uid="{3471F8FD-F50E-47F6-BA27-EBE5BD4DEC53}"/>
    <cellStyle name="Normal 4 2 3 3 8 2 2" xfId="22684" xr:uid="{9649F1A0-779F-4191-A442-1EA7AFD4496E}"/>
    <cellStyle name="Normal 4 2 3 3 8 2 2 2" xfId="48176" xr:uid="{D34DD3E0-B620-45A8-9AA2-30FDF4904839}"/>
    <cellStyle name="Normal 4 2 3 3 8 2 3" xfId="35585" xr:uid="{E9BD53A3-FEE7-4153-85EC-204D98A36B1A}"/>
    <cellStyle name="Normal 4 2 3 3 8 3" xfId="16406" xr:uid="{4FAE10D9-6FFF-4133-8D50-88C48E5E3F90}"/>
    <cellStyle name="Normal 4 2 3 3 8 3 2" xfId="41898" xr:uid="{03805A79-D927-4B17-8B35-328D578FC428}"/>
    <cellStyle name="Normal 4 2 3 3 8 4" xfId="29307" xr:uid="{6EF4C39E-071C-43FF-A03F-FAEB508D7E2C}"/>
    <cellStyle name="Normal 4 2 3 3 9" xfId="6863" xr:uid="{7D5C19E5-FC98-4073-A5F1-63F7197B7861}"/>
    <cellStyle name="Normal 4 2 3 3 9 2" xfId="19545" xr:uid="{DF221C9B-B3E2-4E07-8CEB-4425122A1A8A}"/>
    <cellStyle name="Normal 4 2 3 3 9 2 2" xfId="45037" xr:uid="{95D41BD0-DBB1-4D64-8BF0-FB6C66B5B679}"/>
    <cellStyle name="Normal 4 2 3 3 9 3" xfId="32446" xr:uid="{B1E984E8-3524-44E5-B0C0-D4BCED7C2147}"/>
    <cellStyle name="Normal 4 2 3 4" xfId="1018" xr:uid="{DB2DE54B-04B0-4906-9A4E-08EDD94E60ED}"/>
    <cellStyle name="Normal 4 2 3 4 2" xfId="2325" xr:uid="{5DD8B30B-EF48-4DE3-BD74-AB62F7053CC1}"/>
    <cellStyle name="Normal 4 2 3 4 2 2" xfId="5479" xr:uid="{42E4D331-8F57-4E93-8ED8-FCE20CD59FDE}"/>
    <cellStyle name="Normal 4 2 3 4 2 2 2" xfId="11772" xr:uid="{C16678EC-5C89-4690-A573-BCA2399D57FF}"/>
    <cellStyle name="Normal 4 2 3 4 2 2 2 2" xfId="24454" xr:uid="{435BCC58-7965-4180-9598-8EF6CBCFFEB3}"/>
    <cellStyle name="Normal 4 2 3 4 2 2 2 2 2" xfId="49946" xr:uid="{80BBDAE1-DD4F-4F86-BB88-5A0130EDF29D}"/>
    <cellStyle name="Normal 4 2 3 4 2 2 2 3" xfId="37355" xr:uid="{11BFB374-9605-441B-B155-4B19862E8F1C}"/>
    <cellStyle name="Normal 4 2 3 4 2 2 3" xfId="18176" xr:uid="{FF748606-D6B8-4BB7-9FCE-6F10CB7D5D50}"/>
    <cellStyle name="Normal 4 2 3 4 2 2 3 2" xfId="43668" xr:uid="{D7BD695F-4C19-4DE7-AEB5-A34FC175C89E}"/>
    <cellStyle name="Normal 4 2 3 4 2 2 4" xfId="31077" xr:uid="{703E88BE-2078-4FDB-927F-58E3AE911574}"/>
    <cellStyle name="Normal 4 2 3 4 2 3" xfId="8633" xr:uid="{67C2923B-3D1E-4FD6-9BDC-3BFE8915BCD1}"/>
    <cellStyle name="Normal 4 2 3 4 2 3 2" xfId="21315" xr:uid="{A5A3B7E7-9175-49C2-970C-401F67F8B5A8}"/>
    <cellStyle name="Normal 4 2 3 4 2 3 2 2" xfId="46807" xr:uid="{60511970-3F49-4691-B14A-8A990D12896C}"/>
    <cellStyle name="Normal 4 2 3 4 2 3 3" xfId="34216" xr:uid="{B53D1EBC-3B92-4457-B5DA-8EFAC272D94D}"/>
    <cellStyle name="Normal 4 2 3 4 2 4" xfId="15037" xr:uid="{896738B5-A624-48A3-8696-9523387B41F6}"/>
    <cellStyle name="Normal 4 2 3 4 2 4 2" xfId="40529" xr:uid="{B0432BA3-6E57-4E10-9F20-E30ED29A6F96}"/>
    <cellStyle name="Normal 4 2 3 4 2 5" xfId="27938" xr:uid="{5F41745E-E71F-4ED8-9557-46CA0B551DB9}"/>
    <cellStyle name="Normal 4 2 3 4 3" xfId="1542" xr:uid="{69F09A49-E26E-48F8-AA29-A4C5A00A6C45}"/>
    <cellStyle name="Normal 4 2 3 4 3 2" xfId="4696" xr:uid="{22B9E070-3E42-4BF3-9624-331EF06EE2D6}"/>
    <cellStyle name="Normal 4 2 3 4 3 2 2" xfId="10989" xr:uid="{0AAFE000-6902-4AD3-92C9-CCA41EAEA692}"/>
    <cellStyle name="Normal 4 2 3 4 3 2 2 2" xfId="23671" xr:uid="{F161A77A-F5AC-4997-A978-4CFDBD908E11}"/>
    <cellStyle name="Normal 4 2 3 4 3 2 2 2 2" xfId="49163" xr:uid="{A50195B7-429A-46AC-9640-68D915552555}"/>
    <cellStyle name="Normal 4 2 3 4 3 2 2 3" xfId="36572" xr:uid="{52261AF7-DBED-4DEB-BA81-8DC1C3B2C38D}"/>
    <cellStyle name="Normal 4 2 3 4 3 2 3" xfId="17393" xr:uid="{E1818115-9378-4F81-9B40-D42B9034D870}"/>
    <cellStyle name="Normal 4 2 3 4 3 2 3 2" xfId="42885" xr:uid="{733CED62-9591-4624-80A0-3A819E5CE333}"/>
    <cellStyle name="Normal 4 2 3 4 3 2 4" xfId="30294" xr:uid="{B8B9FA51-A7FF-4FD4-BA65-6B17D1B86C4A}"/>
    <cellStyle name="Normal 4 2 3 4 3 3" xfId="7850" xr:uid="{22AFA922-E923-4ED9-A7AD-BEEBC082EA8C}"/>
    <cellStyle name="Normal 4 2 3 4 3 3 2" xfId="20532" xr:uid="{D5C8A3B0-5A1C-45FF-ADB6-12AFAC08F4CB}"/>
    <cellStyle name="Normal 4 2 3 4 3 3 2 2" xfId="46024" xr:uid="{0AF3C4C9-1D6C-4189-869A-D638C295824A}"/>
    <cellStyle name="Normal 4 2 3 4 3 3 3" xfId="33433" xr:uid="{FF871A0D-25A5-41E5-8754-F52055BE9467}"/>
    <cellStyle name="Normal 4 2 3 4 3 4" xfId="14254" xr:uid="{CD02243F-F759-4ADC-95BB-AF9A2C76C591}"/>
    <cellStyle name="Normal 4 2 3 4 3 4 2" xfId="39746" xr:uid="{0A19B47C-BDB6-44F5-BD61-2152B30165F2}"/>
    <cellStyle name="Normal 4 2 3 4 3 5" xfId="27155" xr:uid="{39AD8941-1D7A-4442-AF88-2D4AB4CFC45F}"/>
    <cellStyle name="Normal 4 2 3 4 4" xfId="2849" xr:uid="{33B2F4D7-7075-4063-AE31-D05306269A91}"/>
    <cellStyle name="Normal 4 2 3 4 4 2" xfId="6003" xr:uid="{EC7D9183-2026-4E25-B473-94FA1F843DFE}"/>
    <cellStyle name="Normal 4 2 3 4 4 2 2" xfId="12296" xr:uid="{7F077F5E-24E5-414C-8F61-406CAD49480C}"/>
    <cellStyle name="Normal 4 2 3 4 4 2 2 2" xfId="24978" xr:uid="{0C98A108-5BE2-44A3-A7D2-D7E4880442EA}"/>
    <cellStyle name="Normal 4 2 3 4 4 2 2 2 2" xfId="50470" xr:uid="{B73CBCE0-666C-4008-AB30-DF76349BF465}"/>
    <cellStyle name="Normal 4 2 3 4 4 2 2 3" xfId="37879" xr:uid="{47F408CE-C0B1-4163-A327-66B2AB9D7D41}"/>
    <cellStyle name="Normal 4 2 3 4 4 2 3" xfId="18700" xr:uid="{63AB84FC-EA14-47F2-8D29-851EF4F3A45F}"/>
    <cellStyle name="Normal 4 2 3 4 4 2 3 2" xfId="44192" xr:uid="{EE95AA1A-B46D-4D97-9FDA-E93221447F91}"/>
    <cellStyle name="Normal 4 2 3 4 4 2 4" xfId="31601" xr:uid="{20513109-744A-4D77-AB85-87349BCFC9B2}"/>
    <cellStyle name="Normal 4 2 3 4 4 3" xfId="9157" xr:uid="{A2EDA8FD-DB33-463F-BD8C-CA479C616D09}"/>
    <cellStyle name="Normal 4 2 3 4 4 3 2" xfId="21839" xr:uid="{7379B93E-6B5E-4196-866D-EE57F18CCEEA}"/>
    <cellStyle name="Normal 4 2 3 4 4 3 2 2" xfId="47331" xr:uid="{DE0403A0-18F8-4038-8FDC-4BE52C5CD97D}"/>
    <cellStyle name="Normal 4 2 3 4 4 3 3" xfId="34740" xr:uid="{9572B308-1F5F-41B3-AC7D-E66352AAC796}"/>
    <cellStyle name="Normal 4 2 3 4 4 4" xfId="15561" xr:uid="{026B48D0-DA38-4798-BAFA-1ABC6391B426}"/>
    <cellStyle name="Normal 4 2 3 4 4 4 2" xfId="41053" xr:uid="{C64EA834-F1D9-4A6A-8E78-394DE4B39E97}"/>
    <cellStyle name="Normal 4 2 3 4 4 5" xfId="28462" xr:uid="{C2BA67EA-CC42-48CB-A83D-A01861EA16E9}"/>
    <cellStyle name="Normal 4 2 3 4 5" xfId="3372" xr:uid="{5F7CEFC9-420D-4869-91BD-C54308A8E91E}"/>
    <cellStyle name="Normal 4 2 3 4 5 2" xfId="6526" xr:uid="{E8C6D7AE-A521-42E6-B3FF-13EA40DBC5DD}"/>
    <cellStyle name="Normal 4 2 3 4 5 2 2" xfId="12819" xr:uid="{1A8E5C6F-F296-4E75-96F3-F3C7308FB461}"/>
    <cellStyle name="Normal 4 2 3 4 5 2 2 2" xfId="25501" xr:uid="{48E23137-2501-4DE7-A5BB-D276411E79B1}"/>
    <cellStyle name="Normal 4 2 3 4 5 2 2 2 2" xfId="50993" xr:uid="{91CBD0AD-71D1-4F6C-B40E-0F6992AB94AF}"/>
    <cellStyle name="Normal 4 2 3 4 5 2 2 3" xfId="38402" xr:uid="{FB550431-FF92-4C70-8ED8-5FD85895D80E}"/>
    <cellStyle name="Normal 4 2 3 4 5 2 3" xfId="19223" xr:uid="{457EA39D-7986-4A8E-89A4-07C8923BB5C2}"/>
    <cellStyle name="Normal 4 2 3 4 5 2 3 2" xfId="44715" xr:uid="{798BD96D-DB16-46E4-844C-0FDB0B562A71}"/>
    <cellStyle name="Normal 4 2 3 4 5 2 4" xfId="32124" xr:uid="{2A3C7F4D-2B41-48EC-B0E1-CFD1E50B0732}"/>
    <cellStyle name="Normal 4 2 3 4 5 3" xfId="9680" xr:uid="{6D821568-5C76-452E-9B54-A1A0740FC7FD}"/>
    <cellStyle name="Normal 4 2 3 4 5 3 2" xfId="22362" xr:uid="{A61B3E86-559A-4241-8114-5C56EE0516CA}"/>
    <cellStyle name="Normal 4 2 3 4 5 3 2 2" xfId="47854" xr:uid="{BA083CD4-18BE-4B84-AF91-573EBC638AD1}"/>
    <cellStyle name="Normal 4 2 3 4 5 3 3" xfId="35263" xr:uid="{3134A497-4778-4C5B-A16A-0B5359683329}"/>
    <cellStyle name="Normal 4 2 3 4 5 4" xfId="16084" xr:uid="{762CDD5E-1C12-4D43-89D2-E2F4A28E96FD}"/>
    <cellStyle name="Normal 4 2 3 4 5 4 2" xfId="41576" xr:uid="{6BA8E45F-5261-4678-AFCD-4A61AC82C0EC}"/>
    <cellStyle name="Normal 4 2 3 4 5 5" xfId="28985" xr:uid="{6E01CDEF-18CF-4C11-A924-F52797D695B0}"/>
    <cellStyle name="Normal 4 2 3 4 6" xfId="4172" xr:uid="{5F939AFA-E3D1-4AD2-ADA6-9F64DBE59846}"/>
    <cellStyle name="Normal 4 2 3 4 6 2" xfId="10465" xr:uid="{9BD15128-06D7-4552-BDB6-761AD5A7291D}"/>
    <cellStyle name="Normal 4 2 3 4 6 2 2" xfId="23147" xr:uid="{45C1C122-2AF9-43DE-89B7-ACD218EEFCFB}"/>
    <cellStyle name="Normal 4 2 3 4 6 2 2 2" xfId="48639" xr:uid="{6FB1328A-9CDF-4F89-A69C-225AF9F39116}"/>
    <cellStyle name="Normal 4 2 3 4 6 2 3" xfId="36048" xr:uid="{3747848D-0BF3-4775-92C0-672794E3C343}"/>
    <cellStyle name="Normal 4 2 3 4 6 3" xfId="16869" xr:uid="{44317117-5F0B-4B46-83F1-2B60FED46B7A}"/>
    <cellStyle name="Normal 4 2 3 4 6 3 2" xfId="42361" xr:uid="{8E7C5C01-62CA-4517-A835-7F3D9CF10805}"/>
    <cellStyle name="Normal 4 2 3 4 6 4" xfId="29770" xr:uid="{A58640FA-764A-4881-8CC7-C863A9992BE2}"/>
    <cellStyle name="Normal 4 2 3 4 7" xfId="7326" xr:uid="{6D62A4F5-98ED-4A99-8AB8-5A8991536C6E}"/>
    <cellStyle name="Normal 4 2 3 4 7 2" xfId="20008" xr:uid="{B10FA55F-F298-40E2-8EA1-E57048EAF488}"/>
    <cellStyle name="Normal 4 2 3 4 7 2 2" xfId="45500" xr:uid="{9162BE2D-F06B-43A0-8323-AC2055171800}"/>
    <cellStyle name="Normal 4 2 3 4 7 3" xfId="32909" xr:uid="{9FCCD323-7CEB-418F-8442-DF2E1C7619B3}"/>
    <cellStyle name="Normal 4 2 3 4 8" xfId="13730" xr:uid="{1BA47ABF-34D7-438D-88B4-C2D8FBB98CF2}"/>
    <cellStyle name="Normal 4 2 3 4 8 2" xfId="39222" xr:uid="{EF01F005-D5BF-4652-9CEB-B07377ED9E04}"/>
    <cellStyle name="Normal 4 2 3 4 9" xfId="26631" xr:uid="{4A5424C9-0002-4497-AA8E-8DABFAFFECD0}"/>
    <cellStyle name="Normal 4 2 3 5" xfId="758" xr:uid="{93B5EDBD-F017-4EC1-A97F-66D10A8E0186}"/>
    <cellStyle name="Normal 4 2 3 5 2" xfId="2065" xr:uid="{261658D9-783E-4675-B3ED-9AD29A9C9B1B}"/>
    <cellStyle name="Normal 4 2 3 5 2 2" xfId="5219" xr:uid="{40B42D38-FC83-4A5D-8897-6BB028F53996}"/>
    <cellStyle name="Normal 4 2 3 5 2 2 2" xfId="11512" xr:uid="{58DE6B3A-EA95-4C98-AE7B-B978E08D7F7C}"/>
    <cellStyle name="Normal 4 2 3 5 2 2 2 2" xfId="24194" xr:uid="{22712EEB-4986-4C4A-8B56-D67B444E33E9}"/>
    <cellStyle name="Normal 4 2 3 5 2 2 2 2 2" xfId="49686" xr:uid="{8FB5750C-FAAE-4B0A-8DF2-C5D554169215}"/>
    <cellStyle name="Normal 4 2 3 5 2 2 2 3" xfId="37095" xr:uid="{7936A3A0-BE2C-4E26-9DC7-7B5ADFF9DEA8}"/>
    <cellStyle name="Normal 4 2 3 5 2 2 3" xfId="17916" xr:uid="{68035A4B-6644-49D8-873B-C6FCECF317DB}"/>
    <cellStyle name="Normal 4 2 3 5 2 2 3 2" xfId="43408" xr:uid="{6B33AD01-B79F-43FD-8B43-81956E5168A7}"/>
    <cellStyle name="Normal 4 2 3 5 2 2 4" xfId="30817" xr:uid="{CD97E60C-6BED-42BB-995C-78EB89606E0B}"/>
    <cellStyle name="Normal 4 2 3 5 2 3" xfId="8373" xr:uid="{CD04CC11-B9D2-43CD-BC4C-FF8E2CF44927}"/>
    <cellStyle name="Normal 4 2 3 5 2 3 2" xfId="21055" xr:uid="{3F21428C-203C-4E00-B8B4-FF4936CCE7D3}"/>
    <cellStyle name="Normal 4 2 3 5 2 3 2 2" xfId="46547" xr:uid="{C1318C52-3C75-4907-947A-3D801E11B3F5}"/>
    <cellStyle name="Normal 4 2 3 5 2 3 3" xfId="33956" xr:uid="{6C3967DC-3F82-48F0-AA04-23A66F4F2531}"/>
    <cellStyle name="Normal 4 2 3 5 2 4" xfId="14777" xr:uid="{45E34CCA-91FD-49D6-AC78-CC81697B15C1}"/>
    <cellStyle name="Normal 4 2 3 5 2 4 2" xfId="40269" xr:uid="{8784E611-94FC-4D27-BEBE-EEA21B39499E}"/>
    <cellStyle name="Normal 4 2 3 5 2 5" xfId="27678" xr:uid="{7778503C-6F76-4C4B-90A6-8E2844CB8C6B}"/>
    <cellStyle name="Normal 4 2 3 5 3" xfId="3912" xr:uid="{B4CB8F60-93B1-4095-A3C3-1A861D4B9857}"/>
    <cellStyle name="Normal 4 2 3 5 3 2" xfId="10205" xr:uid="{E1888706-879B-4D0E-B4B8-4A59ECED2BF4}"/>
    <cellStyle name="Normal 4 2 3 5 3 2 2" xfId="22887" xr:uid="{56B0B65A-4D51-49E6-BBF1-CECDBF5A6A80}"/>
    <cellStyle name="Normal 4 2 3 5 3 2 2 2" xfId="48379" xr:uid="{E2B082A4-C235-42C8-B166-B371AB63ED17}"/>
    <cellStyle name="Normal 4 2 3 5 3 2 3" xfId="35788" xr:uid="{6F77BBAA-B9C4-463C-84D4-1EDD40DEB0AD}"/>
    <cellStyle name="Normal 4 2 3 5 3 3" xfId="16609" xr:uid="{A7E764C4-80AF-441E-8170-3C273FF87951}"/>
    <cellStyle name="Normal 4 2 3 5 3 3 2" xfId="42101" xr:uid="{209BBF17-25E2-48F4-8A21-E521D3A9AA16}"/>
    <cellStyle name="Normal 4 2 3 5 3 4" xfId="29510" xr:uid="{EB8F8D11-04CD-4E90-A38B-4F5202B29553}"/>
    <cellStyle name="Normal 4 2 3 5 4" xfId="7066" xr:uid="{EDBB7764-2997-44C4-A8A0-82DF27BA7A5D}"/>
    <cellStyle name="Normal 4 2 3 5 4 2" xfId="19748" xr:uid="{B2096B35-BB6B-4CDE-B4DE-C9245857373C}"/>
    <cellStyle name="Normal 4 2 3 5 4 2 2" xfId="45240" xr:uid="{A2E1230F-DF06-41F7-B83B-177816072F87}"/>
    <cellStyle name="Normal 4 2 3 5 4 3" xfId="32649" xr:uid="{C6CEB513-16A8-479D-A8F2-08DCA123BF28}"/>
    <cellStyle name="Normal 4 2 3 5 5" xfId="13470" xr:uid="{A1AA3CE7-DEA9-4EDE-870F-182597E40483}"/>
    <cellStyle name="Normal 4 2 3 5 5 2" xfId="38962" xr:uid="{664C4637-18AD-4138-85D2-FC4E45D54C51}"/>
    <cellStyle name="Normal 4 2 3 5 6" xfId="26371" xr:uid="{71E5149A-5514-4426-9B26-3EB715787951}"/>
    <cellStyle name="Normal 4 2 3 6" xfId="1803" xr:uid="{3CA97E1B-AFD1-4D05-949E-B97FF870DA1C}"/>
    <cellStyle name="Normal 4 2 3 6 2" xfId="4957" xr:uid="{1B5BB2ED-AB02-4048-A840-C11371AF706B}"/>
    <cellStyle name="Normal 4 2 3 6 2 2" xfId="11250" xr:uid="{292C1C8E-3F8D-409E-8D73-26D0DA8F72AF}"/>
    <cellStyle name="Normal 4 2 3 6 2 2 2" xfId="23932" xr:uid="{E61CB50A-2A47-452D-B493-938EF4CF1145}"/>
    <cellStyle name="Normal 4 2 3 6 2 2 2 2" xfId="49424" xr:uid="{B99D0707-3F40-4DEA-A31A-7C7A0478FB6B}"/>
    <cellStyle name="Normal 4 2 3 6 2 2 3" xfId="36833" xr:uid="{B0E25675-2843-4B1C-8351-9AB04096905C}"/>
    <cellStyle name="Normal 4 2 3 6 2 3" xfId="17654" xr:uid="{A0A3040B-E591-49AB-9CF1-A973F964B745}"/>
    <cellStyle name="Normal 4 2 3 6 2 3 2" xfId="43146" xr:uid="{B764A3C2-7E39-4DF9-B4D1-18E44922E48E}"/>
    <cellStyle name="Normal 4 2 3 6 2 4" xfId="30555" xr:uid="{C3AD6678-45C3-4703-B8DA-6B55F8761ACE}"/>
    <cellStyle name="Normal 4 2 3 6 3" xfId="8111" xr:uid="{F7DFBB4F-C5B7-4116-8D1E-BA5CF8C9DE42}"/>
    <cellStyle name="Normal 4 2 3 6 3 2" xfId="20793" xr:uid="{D1938056-2291-4005-9307-3C3196D48057}"/>
    <cellStyle name="Normal 4 2 3 6 3 2 2" xfId="46285" xr:uid="{B51CD533-01C5-4825-BCBF-EAE42701DE0B}"/>
    <cellStyle name="Normal 4 2 3 6 3 3" xfId="33694" xr:uid="{50B7BAFA-B880-4CCD-B3D4-C173808F2E26}"/>
    <cellStyle name="Normal 4 2 3 6 4" xfId="14515" xr:uid="{498A3737-2671-4CFA-9569-2E825B6FEF50}"/>
    <cellStyle name="Normal 4 2 3 6 4 2" xfId="40007" xr:uid="{9521E8CD-3080-4724-818C-FD0C56215C06}"/>
    <cellStyle name="Normal 4 2 3 6 5" xfId="27416" xr:uid="{FDD3DA83-A706-4211-81CA-B7F865D6F64B}"/>
    <cellStyle name="Normal 4 2 3 7" xfId="1281" xr:uid="{A7A7EAEE-FF5E-4FE3-B294-81DA42342544}"/>
    <cellStyle name="Normal 4 2 3 7 2" xfId="4435" xr:uid="{1F0263AB-58C7-4B60-90A4-E674B2337201}"/>
    <cellStyle name="Normal 4 2 3 7 2 2" xfId="10728" xr:uid="{1BA6BBAA-1040-4B00-BDA5-0B650C57376F}"/>
    <cellStyle name="Normal 4 2 3 7 2 2 2" xfId="23410" xr:uid="{37BF2AF7-AB0F-457F-A5F5-9896345253AF}"/>
    <cellStyle name="Normal 4 2 3 7 2 2 2 2" xfId="48902" xr:uid="{8F046FD6-29BB-4C3C-B450-93E4D96A50CE}"/>
    <cellStyle name="Normal 4 2 3 7 2 2 3" xfId="36311" xr:uid="{DF7CAA6A-9CA2-4A7B-A489-5A03BD4492CF}"/>
    <cellStyle name="Normal 4 2 3 7 2 3" xfId="17132" xr:uid="{FAB54A67-CE68-4075-9009-94C914908CBF}"/>
    <cellStyle name="Normal 4 2 3 7 2 3 2" xfId="42624" xr:uid="{B1288C90-371E-4E60-8FD2-4829B9C2E18A}"/>
    <cellStyle name="Normal 4 2 3 7 2 4" xfId="30033" xr:uid="{273DECAE-322D-4D1B-9503-6A7BFDDFA19B}"/>
    <cellStyle name="Normal 4 2 3 7 3" xfId="7589" xr:uid="{C99BDA2F-2760-4BDB-BC71-C2B9FBC3B613}"/>
    <cellStyle name="Normal 4 2 3 7 3 2" xfId="20271" xr:uid="{C8B88E04-F9E7-4D25-8A74-E012F9D995D1}"/>
    <cellStyle name="Normal 4 2 3 7 3 2 2" xfId="45763" xr:uid="{3422CDFE-8944-42DF-B7D3-2C16A22A70C3}"/>
    <cellStyle name="Normal 4 2 3 7 3 3" xfId="33172" xr:uid="{9E3DFCD3-F163-4041-AD6C-D27585C644DB}"/>
    <cellStyle name="Normal 4 2 3 7 4" xfId="13993" xr:uid="{5957BEE4-B7BF-4955-80BC-D082F57AE9D0}"/>
    <cellStyle name="Normal 4 2 3 7 4 2" xfId="39485" xr:uid="{A1859967-29DF-4E12-B60A-F6DBC39D010B}"/>
    <cellStyle name="Normal 4 2 3 7 5" xfId="26894" xr:uid="{9DDF4880-A483-420D-9CDE-B01196EC4267}"/>
    <cellStyle name="Normal 4 2 3 8" xfId="2588" xr:uid="{12ED7C02-1B5B-4A78-BB11-249A56B93807}"/>
    <cellStyle name="Normal 4 2 3 8 2" xfId="5742" xr:uid="{A10F76D7-F298-4F16-972B-E3660E8F0432}"/>
    <cellStyle name="Normal 4 2 3 8 2 2" xfId="12035" xr:uid="{93D2300F-88D3-484C-9CD5-83AC3F5CB60E}"/>
    <cellStyle name="Normal 4 2 3 8 2 2 2" xfId="24717" xr:uid="{B8DB3CAF-52E4-437B-AB35-82F24E9B5665}"/>
    <cellStyle name="Normal 4 2 3 8 2 2 2 2" xfId="50209" xr:uid="{5DB0C5A6-9B72-4438-9385-D17B088AC8EB}"/>
    <cellStyle name="Normal 4 2 3 8 2 2 3" xfId="37618" xr:uid="{F6EB0C9A-393F-4E72-BCB5-1FAA29F585DA}"/>
    <cellStyle name="Normal 4 2 3 8 2 3" xfId="18439" xr:uid="{5619423F-9653-4611-8054-618923F44394}"/>
    <cellStyle name="Normal 4 2 3 8 2 3 2" xfId="43931" xr:uid="{A2FB8667-53FE-456A-8882-C3DA5D2DD493}"/>
    <cellStyle name="Normal 4 2 3 8 2 4" xfId="31340" xr:uid="{FC6C3940-CF4A-498B-90E1-4533C6B53C42}"/>
    <cellStyle name="Normal 4 2 3 8 3" xfId="8896" xr:uid="{8BD6834B-CB84-4D49-B666-040D91177EA7}"/>
    <cellStyle name="Normal 4 2 3 8 3 2" xfId="21578" xr:uid="{91EC5E48-4CCD-4C32-AE5F-58BACB6D6AD7}"/>
    <cellStyle name="Normal 4 2 3 8 3 2 2" xfId="47070" xr:uid="{5DFC8C4B-357D-47B2-90A2-A15B348EFCF8}"/>
    <cellStyle name="Normal 4 2 3 8 3 3" xfId="34479" xr:uid="{3A8DECBE-A00E-4108-B32C-2008032F9FB9}"/>
    <cellStyle name="Normal 4 2 3 8 4" xfId="15300" xr:uid="{B9760326-1CA1-4598-B648-BCE782763996}"/>
    <cellStyle name="Normal 4 2 3 8 4 2" xfId="40792" xr:uid="{79D60777-A9D5-476D-A3A7-668A70C10BF5}"/>
    <cellStyle name="Normal 4 2 3 8 5" xfId="28201" xr:uid="{6D4E2F47-ABA5-471F-94CC-B95659C38BFD}"/>
    <cellStyle name="Normal 4 2 3 9" xfId="3111" xr:uid="{C2988D59-FB0E-4BC8-86A3-5245FC42F0BA}"/>
    <cellStyle name="Normal 4 2 3 9 2" xfId="6265" xr:uid="{1EA6BA62-627F-42C1-A90A-317EA0B8A604}"/>
    <cellStyle name="Normal 4 2 3 9 2 2" xfId="12558" xr:uid="{88B2DE26-1B82-47A5-BF80-B132CD98AB03}"/>
    <cellStyle name="Normal 4 2 3 9 2 2 2" xfId="25240" xr:uid="{6626C19C-967F-4696-94B7-B652A765E443}"/>
    <cellStyle name="Normal 4 2 3 9 2 2 2 2" xfId="50732" xr:uid="{38EBCCC6-DFA9-4CB6-AC2C-922FE233BED0}"/>
    <cellStyle name="Normal 4 2 3 9 2 2 3" xfId="38141" xr:uid="{D3500044-4092-43BA-811D-F3E75F92DC96}"/>
    <cellStyle name="Normal 4 2 3 9 2 3" xfId="18962" xr:uid="{D823BC52-1D74-4944-904C-E46BCD3CF4B2}"/>
    <cellStyle name="Normal 4 2 3 9 2 3 2" xfId="44454" xr:uid="{865E2897-1FCC-4C80-994B-AE55B96F5639}"/>
    <cellStyle name="Normal 4 2 3 9 2 4" xfId="31863" xr:uid="{76B48CBA-ADCE-4976-AFEE-5BEAAE73F80D}"/>
    <cellStyle name="Normal 4 2 3 9 3" xfId="9419" xr:uid="{6F2C508B-B452-450E-B9C3-D12C69F2BF09}"/>
    <cellStyle name="Normal 4 2 3 9 3 2" xfId="22101" xr:uid="{97EC6F56-171D-4501-BA4E-4D713601845D}"/>
    <cellStyle name="Normal 4 2 3 9 3 2 2" xfId="47593" xr:uid="{D48098B7-242D-4636-BD8B-5B8BD643C880}"/>
    <cellStyle name="Normal 4 2 3 9 3 3" xfId="35002" xr:uid="{F243D938-A70B-4098-A2B1-1092CAE9F2B3}"/>
    <cellStyle name="Normal 4 2 3 9 4" xfId="15823" xr:uid="{517B953E-612F-478E-B0A9-82E3F768EDB9}"/>
    <cellStyle name="Normal 4 2 3 9 4 2" xfId="41315" xr:uid="{5FACF44B-26ED-427B-944E-BBF30B5C6FEB}"/>
    <cellStyle name="Normal 4 2 3 9 5" xfId="28724" xr:uid="{3A029D57-6418-4C90-88D7-E36C39043AAB}"/>
    <cellStyle name="Normal 4 2 4" xfId="462" xr:uid="{16AEE4A8-DBBE-458B-872F-92B22D842989}"/>
    <cellStyle name="Normal 4 2 4 10" xfId="6785" xr:uid="{E0CDB367-C2EC-47C0-99E1-7F76B520C9E7}"/>
    <cellStyle name="Normal 4 2 4 10 2" xfId="19467" xr:uid="{8E2FA60F-5708-45B2-AE8A-BF0095941721}"/>
    <cellStyle name="Normal 4 2 4 10 2 2" xfId="44959" xr:uid="{295EA2BC-818C-4640-BCD5-2A7A0A7AC3F3}"/>
    <cellStyle name="Normal 4 2 4 10 3" xfId="32368" xr:uid="{E6DA8FA7-3E47-4139-A1A3-CF778C1C50F3}"/>
    <cellStyle name="Normal 4 2 4 11" xfId="13189" xr:uid="{2C643DEE-204F-4AAD-A905-6CD21189B885}"/>
    <cellStyle name="Normal 4 2 4 11 2" xfId="38681" xr:uid="{5006E612-C6B8-4E30-B559-50942E5B37EE}"/>
    <cellStyle name="Normal 4 2 4 12" xfId="26090" xr:uid="{4A33AC2C-81C9-42C9-A443-01FDC535F5F4}"/>
    <cellStyle name="Normal 4 2 4 2" xfId="621" xr:uid="{720510F1-A732-4025-8AE3-CDE0C0E9159C}"/>
    <cellStyle name="Normal 4 2 4 2 10" xfId="13348" xr:uid="{0DA67EEB-7B77-4080-BB14-419FE5F9164B}"/>
    <cellStyle name="Normal 4 2 4 2 10 2" xfId="38840" xr:uid="{EA630618-A617-41AB-89A3-2A02B04ECDF6}"/>
    <cellStyle name="Normal 4 2 4 2 11" xfId="26249" xr:uid="{91287FA9-2EDD-4E7C-A655-5D4261BC2792}"/>
    <cellStyle name="Normal 4 2 4 2 2" xfId="1158" xr:uid="{64EED19A-D6F2-4A0B-AF7B-C0E332517C16}"/>
    <cellStyle name="Normal 4 2 4 2 2 2" xfId="2465" xr:uid="{E0B3E212-87C2-4A71-8C50-EB9EEC62BFF7}"/>
    <cellStyle name="Normal 4 2 4 2 2 2 2" xfId="5619" xr:uid="{AD9DB732-D663-46F1-9997-F1F0851206A5}"/>
    <cellStyle name="Normal 4 2 4 2 2 2 2 2" xfId="11912" xr:uid="{C543B222-68EB-4740-8076-13EFA2F66C84}"/>
    <cellStyle name="Normal 4 2 4 2 2 2 2 2 2" xfId="24594" xr:uid="{57541348-6D71-4268-AACE-E031ABA8CCE5}"/>
    <cellStyle name="Normal 4 2 4 2 2 2 2 2 2 2" xfId="50086" xr:uid="{D954A5B0-01D1-4B46-BC2B-609A7DC43C90}"/>
    <cellStyle name="Normal 4 2 4 2 2 2 2 2 3" xfId="37495" xr:uid="{F514FFC2-1ACC-462B-8B69-7DAB6F5B577E}"/>
    <cellStyle name="Normal 4 2 4 2 2 2 2 3" xfId="18316" xr:uid="{43859F58-B172-46D4-B341-1D70866B03EE}"/>
    <cellStyle name="Normal 4 2 4 2 2 2 2 3 2" xfId="43808" xr:uid="{393C4E8B-2066-46D8-8B1B-E7B6DD4646BA}"/>
    <cellStyle name="Normal 4 2 4 2 2 2 2 4" xfId="31217" xr:uid="{8D7B5809-23C6-472F-B026-E053C9EA5C28}"/>
    <cellStyle name="Normal 4 2 4 2 2 2 3" xfId="8773" xr:uid="{516A7E61-D80F-4D3B-926D-330B2940445A}"/>
    <cellStyle name="Normal 4 2 4 2 2 2 3 2" xfId="21455" xr:uid="{10E1430B-DA49-424A-8F0B-F5D2486E31D7}"/>
    <cellStyle name="Normal 4 2 4 2 2 2 3 2 2" xfId="46947" xr:uid="{5BFE3584-9966-4C31-B651-CE12AA82A0EB}"/>
    <cellStyle name="Normal 4 2 4 2 2 2 3 3" xfId="34356" xr:uid="{2D2DFE7E-5A3F-44CA-B4C2-796A0752EF9B}"/>
    <cellStyle name="Normal 4 2 4 2 2 2 4" xfId="15177" xr:uid="{8BC5A400-8A3B-48ED-806F-74E708D63416}"/>
    <cellStyle name="Normal 4 2 4 2 2 2 4 2" xfId="40669" xr:uid="{2CF41F76-622D-44CB-A369-961AAF1455DD}"/>
    <cellStyle name="Normal 4 2 4 2 2 2 5" xfId="28078" xr:uid="{D521F88C-7538-4427-B023-F1B5706CAFA2}"/>
    <cellStyle name="Normal 4 2 4 2 2 3" xfId="1682" xr:uid="{ED38CA71-95CF-4A52-9B8B-51846A18CDDD}"/>
    <cellStyle name="Normal 4 2 4 2 2 3 2" xfId="4836" xr:uid="{344A28C2-FBF2-4B81-8292-0E999FE695AF}"/>
    <cellStyle name="Normal 4 2 4 2 2 3 2 2" xfId="11129" xr:uid="{3B703179-40D4-4510-8125-0CAFA2FE4770}"/>
    <cellStyle name="Normal 4 2 4 2 2 3 2 2 2" xfId="23811" xr:uid="{17B896C5-3DD5-4DB4-BCA3-B35A3A6A59B2}"/>
    <cellStyle name="Normal 4 2 4 2 2 3 2 2 2 2" xfId="49303" xr:uid="{C756BD5D-D193-4B14-A776-AEFA788636CB}"/>
    <cellStyle name="Normal 4 2 4 2 2 3 2 2 3" xfId="36712" xr:uid="{689C1DCD-3610-4709-9934-3E7875D25CCB}"/>
    <cellStyle name="Normal 4 2 4 2 2 3 2 3" xfId="17533" xr:uid="{FC48753C-0CFC-49AD-8F06-8FEA3A2DE5BB}"/>
    <cellStyle name="Normal 4 2 4 2 2 3 2 3 2" xfId="43025" xr:uid="{6F9D98B3-0F43-47FF-A041-C0082AF50EDC}"/>
    <cellStyle name="Normal 4 2 4 2 2 3 2 4" xfId="30434" xr:uid="{82C891FD-87CA-4819-A91B-1B034AB10915}"/>
    <cellStyle name="Normal 4 2 4 2 2 3 3" xfId="7990" xr:uid="{33353C3D-EBF9-4AD1-A1B0-A7F0ACE30CF9}"/>
    <cellStyle name="Normal 4 2 4 2 2 3 3 2" xfId="20672" xr:uid="{1ABF79B7-36C1-4ED0-88E9-9B91E27C8046}"/>
    <cellStyle name="Normal 4 2 4 2 2 3 3 2 2" xfId="46164" xr:uid="{9D37EDF6-823A-427A-BEE6-1967EF2CEF6F}"/>
    <cellStyle name="Normal 4 2 4 2 2 3 3 3" xfId="33573" xr:uid="{233812DF-4465-4A1E-8DB2-268F8496527C}"/>
    <cellStyle name="Normal 4 2 4 2 2 3 4" xfId="14394" xr:uid="{16CEA6AC-63DC-4EEC-A384-B8F999D6997D}"/>
    <cellStyle name="Normal 4 2 4 2 2 3 4 2" xfId="39886" xr:uid="{AFC068B4-A5DC-4D91-B570-25FC2BEDDB4F}"/>
    <cellStyle name="Normal 4 2 4 2 2 3 5" xfId="27295" xr:uid="{06DC3D86-0A92-4F91-A075-E9CFFC78EE15}"/>
    <cellStyle name="Normal 4 2 4 2 2 4" xfId="2989" xr:uid="{689DA9DE-1BC0-4AF5-B08C-AE3FA0CC9B73}"/>
    <cellStyle name="Normal 4 2 4 2 2 4 2" xfId="6143" xr:uid="{06FD7F11-3F7D-4A49-85AA-B2E829921DC0}"/>
    <cellStyle name="Normal 4 2 4 2 2 4 2 2" xfId="12436" xr:uid="{9673D958-0FAA-4A13-BFD0-9684B4F9B4B3}"/>
    <cellStyle name="Normal 4 2 4 2 2 4 2 2 2" xfId="25118" xr:uid="{D1FFB553-8441-4B5D-BD54-FD2EA34E237A}"/>
    <cellStyle name="Normal 4 2 4 2 2 4 2 2 2 2" xfId="50610" xr:uid="{6946AE52-B0CA-469E-9C61-6CD57822F54A}"/>
    <cellStyle name="Normal 4 2 4 2 2 4 2 2 3" xfId="38019" xr:uid="{A0E83AF4-C81A-4B59-8E7A-994D11D27F74}"/>
    <cellStyle name="Normal 4 2 4 2 2 4 2 3" xfId="18840" xr:uid="{DB50BA0A-3DA5-4279-BA30-61DF19F301EB}"/>
    <cellStyle name="Normal 4 2 4 2 2 4 2 3 2" xfId="44332" xr:uid="{74C16AC7-25D4-45AB-87CA-07ADB7CBEA16}"/>
    <cellStyle name="Normal 4 2 4 2 2 4 2 4" xfId="31741" xr:uid="{B5B859A2-76F4-4172-9920-C81D3B139DAD}"/>
    <cellStyle name="Normal 4 2 4 2 2 4 3" xfId="9297" xr:uid="{A52239FB-0FB1-48CE-8E2B-618A849A53EA}"/>
    <cellStyle name="Normal 4 2 4 2 2 4 3 2" xfId="21979" xr:uid="{68ACB2EF-6D94-403B-8117-A1421730D093}"/>
    <cellStyle name="Normal 4 2 4 2 2 4 3 2 2" xfId="47471" xr:uid="{35D31B18-2FE6-411F-A4F3-68125232464B}"/>
    <cellStyle name="Normal 4 2 4 2 2 4 3 3" xfId="34880" xr:uid="{1061EA67-BC70-4999-9B17-93D30C32AD4B}"/>
    <cellStyle name="Normal 4 2 4 2 2 4 4" xfId="15701" xr:uid="{557C8616-9B31-410A-8BC0-132FE9D824D9}"/>
    <cellStyle name="Normal 4 2 4 2 2 4 4 2" xfId="41193" xr:uid="{1AF44CBB-EA2E-4760-8D0D-A6AB88E6105C}"/>
    <cellStyle name="Normal 4 2 4 2 2 4 5" xfId="28602" xr:uid="{B40655CD-2285-41C9-B8E7-18C07A9E05AD}"/>
    <cellStyle name="Normal 4 2 4 2 2 5" xfId="3512" xr:uid="{FBA74B4B-FC93-4A69-A2C8-8FA51B4D7014}"/>
    <cellStyle name="Normal 4 2 4 2 2 5 2" xfId="6666" xr:uid="{FBE3ECA8-0F86-4482-81A9-421DC3816213}"/>
    <cellStyle name="Normal 4 2 4 2 2 5 2 2" xfId="12959" xr:uid="{AEDF0D27-FBE6-439C-8AB0-A725B406D9D2}"/>
    <cellStyle name="Normal 4 2 4 2 2 5 2 2 2" xfId="25641" xr:uid="{244A73C4-DD90-4477-A8F2-D781BA82EF1A}"/>
    <cellStyle name="Normal 4 2 4 2 2 5 2 2 2 2" xfId="51133" xr:uid="{A329FA5F-CAF6-4226-8965-B99FC06FDE57}"/>
    <cellStyle name="Normal 4 2 4 2 2 5 2 2 3" xfId="38542" xr:uid="{C6498DFF-8938-40B5-BA17-7361A057B5CE}"/>
    <cellStyle name="Normal 4 2 4 2 2 5 2 3" xfId="19363" xr:uid="{AD3595E7-AA30-4303-8E5A-D78C5F220ABB}"/>
    <cellStyle name="Normal 4 2 4 2 2 5 2 3 2" xfId="44855" xr:uid="{B825E397-F77A-4E24-B111-BD831E7DDC43}"/>
    <cellStyle name="Normal 4 2 4 2 2 5 2 4" xfId="32264" xr:uid="{4260DE16-755E-447C-A84D-C0C967D02607}"/>
    <cellStyle name="Normal 4 2 4 2 2 5 3" xfId="9820" xr:uid="{E084F15F-AA5A-4D1C-9BEB-3B96710B6C6E}"/>
    <cellStyle name="Normal 4 2 4 2 2 5 3 2" xfId="22502" xr:uid="{9178FA0F-11DC-4CBA-A8F2-16DCF5B8AA1D}"/>
    <cellStyle name="Normal 4 2 4 2 2 5 3 2 2" xfId="47994" xr:uid="{1123CA3E-EC06-4FE6-9560-83FE29F98C77}"/>
    <cellStyle name="Normal 4 2 4 2 2 5 3 3" xfId="35403" xr:uid="{BFD4B617-3806-4CA7-99CF-EB398D27CFEE}"/>
    <cellStyle name="Normal 4 2 4 2 2 5 4" xfId="16224" xr:uid="{479DDFEA-B93E-49EF-8A14-F4BB782BC018}"/>
    <cellStyle name="Normal 4 2 4 2 2 5 4 2" xfId="41716" xr:uid="{82D0774B-DA65-4B81-B7C1-EDD278B5FC7D}"/>
    <cellStyle name="Normal 4 2 4 2 2 5 5" xfId="29125" xr:uid="{4B4648F2-E1F0-4703-A1CC-D0B183BB7C6F}"/>
    <cellStyle name="Normal 4 2 4 2 2 6" xfId="4312" xr:uid="{8E5C59CA-7419-43D2-8C82-E4F239893CB6}"/>
    <cellStyle name="Normal 4 2 4 2 2 6 2" xfId="10605" xr:uid="{AD7A218F-30DA-4387-8F2D-7FFC967A183B}"/>
    <cellStyle name="Normal 4 2 4 2 2 6 2 2" xfId="23287" xr:uid="{D5A33AF7-7549-4EB6-A977-ECCFF80DCB3A}"/>
    <cellStyle name="Normal 4 2 4 2 2 6 2 2 2" xfId="48779" xr:uid="{4A6A30C8-323C-46B8-B45F-EBCBC82B81C1}"/>
    <cellStyle name="Normal 4 2 4 2 2 6 2 3" xfId="36188" xr:uid="{258008C4-A903-4DD6-8A5B-EA8DD5DBE70D}"/>
    <cellStyle name="Normal 4 2 4 2 2 6 3" xfId="17009" xr:uid="{0331518F-1979-4206-B52C-7BCECC3BE593}"/>
    <cellStyle name="Normal 4 2 4 2 2 6 3 2" xfId="42501" xr:uid="{C6D56744-CA36-451C-AD64-C5DA630F4011}"/>
    <cellStyle name="Normal 4 2 4 2 2 6 4" xfId="29910" xr:uid="{40D162E3-2AFF-4586-87F2-8D1A43CEC400}"/>
    <cellStyle name="Normal 4 2 4 2 2 7" xfId="7466" xr:uid="{FF9A4874-1F8B-43E0-B8D5-B01BDB9F088B}"/>
    <cellStyle name="Normal 4 2 4 2 2 7 2" xfId="20148" xr:uid="{1BA4954C-E4EB-4A18-8308-6E5626C2E1A2}"/>
    <cellStyle name="Normal 4 2 4 2 2 7 2 2" xfId="45640" xr:uid="{D2CC01DC-F309-4A7D-8044-5CD3C76F5AD8}"/>
    <cellStyle name="Normal 4 2 4 2 2 7 3" xfId="33049" xr:uid="{F292FFA9-56BF-43B1-AF9D-287F21CE3245}"/>
    <cellStyle name="Normal 4 2 4 2 2 8" xfId="13870" xr:uid="{539AA4EB-CECE-4FE3-80AF-C2F841681F73}"/>
    <cellStyle name="Normal 4 2 4 2 2 8 2" xfId="39362" xr:uid="{A6F7F2C4-31B3-4DA6-91A8-2F87A147DAD4}"/>
    <cellStyle name="Normal 4 2 4 2 2 9" xfId="26771" xr:uid="{578806FC-1665-4FE8-AC48-E301B6A960CB}"/>
    <cellStyle name="Normal 4 2 4 2 3" xfId="898" xr:uid="{97AE364F-FEAD-4674-9892-7C052D5A092D}"/>
    <cellStyle name="Normal 4 2 4 2 3 2" xfId="2205" xr:uid="{E2E4FFDB-5906-4B38-959E-EA9DF25B74A0}"/>
    <cellStyle name="Normal 4 2 4 2 3 2 2" xfId="5359" xr:uid="{56AE6697-0FC5-4682-BF70-FD1B5399E3E6}"/>
    <cellStyle name="Normal 4 2 4 2 3 2 2 2" xfId="11652" xr:uid="{8EEB4551-89C4-4DD4-84E8-8B1125E02BB6}"/>
    <cellStyle name="Normal 4 2 4 2 3 2 2 2 2" xfId="24334" xr:uid="{3C1322F1-0E38-4640-9C8E-A3BDAC389CE7}"/>
    <cellStyle name="Normal 4 2 4 2 3 2 2 2 2 2" xfId="49826" xr:uid="{B73D8359-47B6-450B-B994-45B77E629E9B}"/>
    <cellStyle name="Normal 4 2 4 2 3 2 2 2 3" xfId="37235" xr:uid="{042ECD80-28ED-4CFF-B4A5-514FEDE00206}"/>
    <cellStyle name="Normal 4 2 4 2 3 2 2 3" xfId="18056" xr:uid="{BDB8371C-FF50-413D-9220-E839E5C3A703}"/>
    <cellStyle name="Normal 4 2 4 2 3 2 2 3 2" xfId="43548" xr:uid="{8E5C23E0-B980-4373-B02B-F473754F0A51}"/>
    <cellStyle name="Normal 4 2 4 2 3 2 2 4" xfId="30957" xr:uid="{4E9C51AE-72A6-48BC-8112-678F525229FA}"/>
    <cellStyle name="Normal 4 2 4 2 3 2 3" xfId="8513" xr:uid="{49E5018F-AF61-4785-BBA4-818F8A428496}"/>
    <cellStyle name="Normal 4 2 4 2 3 2 3 2" xfId="21195" xr:uid="{052E7DE0-A809-40EC-A58C-72A41B0AFACC}"/>
    <cellStyle name="Normal 4 2 4 2 3 2 3 2 2" xfId="46687" xr:uid="{517D71B6-1CEB-4812-A133-E450FBDEE479}"/>
    <cellStyle name="Normal 4 2 4 2 3 2 3 3" xfId="34096" xr:uid="{4BACF3C8-7988-4E14-BA57-63AA12060E1E}"/>
    <cellStyle name="Normal 4 2 4 2 3 2 4" xfId="14917" xr:uid="{CEF957DC-AFAD-4851-A4AE-32BFEE9477B3}"/>
    <cellStyle name="Normal 4 2 4 2 3 2 4 2" xfId="40409" xr:uid="{493A0A00-C553-42FD-9C07-B7FC55AE2A2C}"/>
    <cellStyle name="Normal 4 2 4 2 3 2 5" xfId="27818" xr:uid="{FA66918C-1F95-4191-8738-EF926F71C027}"/>
    <cellStyle name="Normal 4 2 4 2 3 3" xfId="4052" xr:uid="{559EF8EE-2A90-46DE-A643-13D327141C0B}"/>
    <cellStyle name="Normal 4 2 4 2 3 3 2" xfId="10345" xr:uid="{BC5DA84F-0340-4D86-B54B-D25045AC8999}"/>
    <cellStyle name="Normal 4 2 4 2 3 3 2 2" xfId="23027" xr:uid="{FAD4A623-5989-49AA-B3A6-BBBAFC04D8DB}"/>
    <cellStyle name="Normal 4 2 4 2 3 3 2 2 2" xfId="48519" xr:uid="{F02B8678-AFFA-4B98-A61C-9D714A8AC8D4}"/>
    <cellStyle name="Normal 4 2 4 2 3 3 2 3" xfId="35928" xr:uid="{8A6E9B71-E911-4038-91E0-4234671706F4}"/>
    <cellStyle name="Normal 4 2 4 2 3 3 3" xfId="16749" xr:uid="{9C2E4EE4-6C9B-41E9-A81C-8272F508F3E4}"/>
    <cellStyle name="Normal 4 2 4 2 3 3 3 2" xfId="42241" xr:uid="{B702DF68-97D1-4392-837C-3AB29B17FF3C}"/>
    <cellStyle name="Normal 4 2 4 2 3 3 4" xfId="29650" xr:uid="{8C9659D6-29CF-442C-8522-E73694B25EE5}"/>
    <cellStyle name="Normal 4 2 4 2 3 4" xfId="7206" xr:uid="{6300C17F-E23C-47D8-B940-40BBAB360094}"/>
    <cellStyle name="Normal 4 2 4 2 3 4 2" xfId="19888" xr:uid="{14766FEE-E163-4243-84F2-4AAA3D774C71}"/>
    <cellStyle name="Normal 4 2 4 2 3 4 2 2" xfId="45380" xr:uid="{D9BE4727-1BDC-4B38-BF60-8FE1C913160E}"/>
    <cellStyle name="Normal 4 2 4 2 3 4 3" xfId="32789" xr:uid="{4AD6919A-D82B-4264-969E-E3B2116EB940}"/>
    <cellStyle name="Normal 4 2 4 2 3 5" xfId="13610" xr:uid="{E45CDAD0-2C29-46EF-AEF0-CCD41F5E2E7D}"/>
    <cellStyle name="Normal 4 2 4 2 3 5 2" xfId="39102" xr:uid="{A5A7641A-F7EB-4635-BE7D-3C43716EEBE2}"/>
    <cellStyle name="Normal 4 2 4 2 3 6" xfId="26511" xr:uid="{5E81B18C-1D20-422B-8293-7759AC51F9BA}"/>
    <cellStyle name="Normal 4 2 4 2 4" xfId="1943" xr:uid="{722F03D9-6A20-4C1F-AFF8-B95D200604E2}"/>
    <cellStyle name="Normal 4 2 4 2 4 2" xfId="5097" xr:uid="{A09240BD-21B8-48F5-BC93-2ADC6FBAB9AA}"/>
    <cellStyle name="Normal 4 2 4 2 4 2 2" xfId="11390" xr:uid="{0750703D-E810-422E-B65D-A34766245318}"/>
    <cellStyle name="Normal 4 2 4 2 4 2 2 2" xfId="24072" xr:uid="{13F29EF3-23E7-4405-AAA2-29DFE46F3232}"/>
    <cellStyle name="Normal 4 2 4 2 4 2 2 2 2" xfId="49564" xr:uid="{0C0B2141-26D5-473A-98CC-48473A55A29F}"/>
    <cellStyle name="Normal 4 2 4 2 4 2 2 3" xfId="36973" xr:uid="{7E2B02D4-3FD3-42C1-B9A0-230C04A9CB2D}"/>
    <cellStyle name="Normal 4 2 4 2 4 2 3" xfId="17794" xr:uid="{30A79EBE-13B3-4BFC-A3D5-9CB93094A20A}"/>
    <cellStyle name="Normal 4 2 4 2 4 2 3 2" xfId="43286" xr:uid="{0FBA8E0C-D108-449B-9508-FC240D42ADBD}"/>
    <cellStyle name="Normal 4 2 4 2 4 2 4" xfId="30695" xr:uid="{A9CB9DD6-484D-452C-8ECD-D84AED44CE8F}"/>
    <cellStyle name="Normal 4 2 4 2 4 3" xfId="8251" xr:uid="{054E7B32-06C8-4FE3-AE8B-0D0AB72BDB44}"/>
    <cellStyle name="Normal 4 2 4 2 4 3 2" xfId="20933" xr:uid="{4FDB2F9F-7886-4609-81B1-2E3FD9EB40FB}"/>
    <cellStyle name="Normal 4 2 4 2 4 3 2 2" xfId="46425" xr:uid="{3B7D4EBD-1C6B-49A5-8B49-7A352390896D}"/>
    <cellStyle name="Normal 4 2 4 2 4 3 3" xfId="33834" xr:uid="{569C81D1-35E9-4927-A5DF-E8B55CCD8A8C}"/>
    <cellStyle name="Normal 4 2 4 2 4 4" xfId="14655" xr:uid="{643B0D31-2772-4DB6-8C80-956D9D0B58AF}"/>
    <cellStyle name="Normal 4 2 4 2 4 4 2" xfId="40147" xr:uid="{3D9BAAF8-A79E-424A-815D-7AB77D0C9E6C}"/>
    <cellStyle name="Normal 4 2 4 2 4 5" xfId="27556" xr:uid="{6172843A-B6BB-4DF7-B1EA-462D600479BE}"/>
    <cellStyle name="Normal 4 2 4 2 5" xfId="1421" xr:uid="{4ECA25D4-B99B-4403-A84A-FF8A53BE828B}"/>
    <cellStyle name="Normal 4 2 4 2 5 2" xfId="4575" xr:uid="{DB1143C9-3C9F-4B7B-A551-A7E0C42B9AF1}"/>
    <cellStyle name="Normal 4 2 4 2 5 2 2" xfId="10868" xr:uid="{2ADB43F7-85C2-4463-84AD-B9BC90EE77B0}"/>
    <cellStyle name="Normal 4 2 4 2 5 2 2 2" xfId="23550" xr:uid="{0313E5C6-F703-4CDA-85AC-D32987B40327}"/>
    <cellStyle name="Normal 4 2 4 2 5 2 2 2 2" xfId="49042" xr:uid="{894AAC3C-EE1D-4E2F-AA32-4C777AC2A42F}"/>
    <cellStyle name="Normal 4 2 4 2 5 2 2 3" xfId="36451" xr:uid="{BF2A4C6C-02A1-4F53-9200-3CB8E57FE09D}"/>
    <cellStyle name="Normal 4 2 4 2 5 2 3" xfId="17272" xr:uid="{80665B35-DD30-492F-8447-13A1B4515C62}"/>
    <cellStyle name="Normal 4 2 4 2 5 2 3 2" xfId="42764" xr:uid="{29779E9B-F599-48C0-A827-A1F35377AF09}"/>
    <cellStyle name="Normal 4 2 4 2 5 2 4" xfId="30173" xr:uid="{5ADA060C-74F2-4F0B-AB5C-C36690C94C5E}"/>
    <cellStyle name="Normal 4 2 4 2 5 3" xfId="7729" xr:uid="{5C24CD21-1BCE-40DA-900E-E4778ED5BE5D}"/>
    <cellStyle name="Normal 4 2 4 2 5 3 2" xfId="20411" xr:uid="{A15F26A7-27BE-4A13-8BB8-A1B523BB7597}"/>
    <cellStyle name="Normal 4 2 4 2 5 3 2 2" xfId="45903" xr:uid="{D1CB550B-B24A-4964-A447-350D32B07C67}"/>
    <cellStyle name="Normal 4 2 4 2 5 3 3" xfId="33312" xr:uid="{F194D1D0-FA32-4666-A2CE-8C9E70CF3A6D}"/>
    <cellStyle name="Normal 4 2 4 2 5 4" xfId="14133" xr:uid="{EE139999-151F-4C29-8294-3032A7ACB6AC}"/>
    <cellStyle name="Normal 4 2 4 2 5 4 2" xfId="39625" xr:uid="{D162ACE7-94BB-41F7-9222-14B656811093}"/>
    <cellStyle name="Normal 4 2 4 2 5 5" xfId="27034" xr:uid="{B274053D-AFE2-4733-83CD-1F40F4783584}"/>
    <cellStyle name="Normal 4 2 4 2 6" xfId="2728" xr:uid="{018A517D-E7D1-405C-B4CF-881F4B61549E}"/>
    <cellStyle name="Normal 4 2 4 2 6 2" xfId="5882" xr:uid="{A0EE72E1-ED16-4844-83A4-39F7227BE926}"/>
    <cellStyle name="Normal 4 2 4 2 6 2 2" xfId="12175" xr:uid="{0CDF418B-0F32-4DC4-887B-C20453DA8540}"/>
    <cellStyle name="Normal 4 2 4 2 6 2 2 2" xfId="24857" xr:uid="{43D52BE8-DE44-46D0-97EC-C8E335ECE93F}"/>
    <cellStyle name="Normal 4 2 4 2 6 2 2 2 2" xfId="50349" xr:uid="{914A5999-0E11-4F08-9BC4-969C110E026E}"/>
    <cellStyle name="Normal 4 2 4 2 6 2 2 3" xfId="37758" xr:uid="{B08008D2-24CF-4AFC-A5B2-5D9CADF28396}"/>
    <cellStyle name="Normal 4 2 4 2 6 2 3" xfId="18579" xr:uid="{7CE27C1D-1742-4E3C-B2D3-A524205FAED0}"/>
    <cellStyle name="Normal 4 2 4 2 6 2 3 2" xfId="44071" xr:uid="{99D089C1-E7AD-48A3-B610-2026D74468EA}"/>
    <cellStyle name="Normal 4 2 4 2 6 2 4" xfId="31480" xr:uid="{FBBCFD9F-5176-4149-8BF5-95F761328C6E}"/>
    <cellStyle name="Normal 4 2 4 2 6 3" xfId="9036" xr:uid="{CB5311C5-C167-4061-BC27-FF7D688EB313}"/>
    <cellStyle name="Normal 4 2 4 2 6 3 2" xfId="21718" xr:uid="{0DEEBAEE-0DA3-439D-ACC5-58ED4783CC03}"/>
    <cellStyle name="Normal 4 2 4 2 6 3 2 2" xfId="47210" xr:uid="{591DDF06-0A6E-4A4F-9214-1B6B72F7ACA9}"/>
    <cellStyle name="Normal 4 2 4 2 6 3 3" xfId="34619" xr:uid="{0A916D45-C6E9-4DEE-B448-365DD065DE84}"/>
    <cellStyle name="Normal 4 2 4 2 6 4" xfId="15440" xr:uid="{4D1ED7E3-E8DF-46B1-BB91-56CDFB5C40D9}"/>
    <cellStyle name="Normal 4 2 4 2 6 4 2" xfId="40932" xr:uid="{DB6323F6-2207-447E-B77D-A7A0ED0063F1}"/>
    <cellStyle name="Normal 4 2 4 2 6 5" xfId="28341" xr:uid="{2A84F5A5-2294-4458-9888-9236BE32DC79}"/>
    <cellStyle name="Normal 4 2 4 2 7" xfId="3251" xr:uid="{2481DCA7-13F5-48FE-9261-B2740E7CB1E2}"/>
    <cellStyle name="Normal 4 2 4 2 7 2" xfId="6405" xr:uid="{DEC6D5F5-8EA9-4F52-A659-EB75D1544D90}"/>
    <cellStyle name="Normal 4 2 4 2 7 2 2" xfId="12698" xr:uid="{CD042D71-E4A3-4EE8-9A54-E4865A7D5CB0}"/>
    <cellStyle name="Normal 4 2 4 2 7 2 2 2" xfId="25380" xr:uid="{B1895DDA-0F46-4B64-9735-7FC8670B38D6}"/>
    <cellStyle name="Normal 4 2 4 2 7 2 2 2 2" xfId="50872" xr:uid="{69A68B67-325C-4F07-A2F2-72A3BB05C3A9}"/>
    <cellStyle name="Normal 4 2 4 2 7 2 2 3" xfId="38281" xr:uid="{211CA5EE-6DFC-4AC1-99D2-194A662B8DF6}"/>
    <cellStyle name="Normal 4 2 4 2 7 2 3" xfId="19102" xr:uid="{664A5316-C053-41D6-9DEB-FC2091BA9F65}"/>
    <cellStyle name="Normal 4 2 4 2 7 2 3 2" xfId="44594" xr:uid="{B315E750-B8CD-4176-943B-2BE0F9A055B8}"/>
    <cellStyle name="Normal 4 2 4 2 7 2 4" xfId="32003" xr:uid="{AF28379D-9CEA-4BA6-8EDA-6D457721C234}"/>
    <cellStyle name="Normal 4 2 4 2 7 3" xfId="9559" xr:uid="{AD2F5775-F322-4EA6-9E04-D75E78D1EBF1}"/>
    <cellStyle name="Normal 4 2 4 2 7 3 2" xfId="22241" xr:uid="{A190B055-DEA5-4195-AC06-4FDBC8CB4A77}"/>
    <cellStyle name="Normal 4 2 4 2 7 3 2 2" xfId="47733" xr:uid="{67540F89-6F62-4E0F-B5F4-AF909675C5D5}"/>
    <cellStyle name="Normal 4 2 4 2 7 3 3" xfId="35142" xr:uid="{6E9FEF98-E9D3-439F-B933-13A0B943CA55}"/>
    <cellStyle name="Normal 4 2 4 2 7 4" xfId="15963" xr:uid="{4575C70A-5DC8-4F7B-A5FF-5AAF39052F8C}"/>
    <cellStyle name="Normal 4 2 4 2 7 4 2" xfId="41455" xr:uid="{D043F254-5A21-4086-870B-2F159B92B07F}"/>
    <cellStyle name="Normal 4 2 4 2 7 5" xfId="28864" xr:uid="{FB423BDF-6D4D-4D55-BECD-EB6A74C17C54}"/>
    <cellStyle name="Normal 4 2 4 2 8" xfId="3790" xr:uid="{B8C41F95-31C6-4A83-8B88-5DFBE18A4047}"/>
    <cellStyle name="Normal 4 2 4 2 8 2" xfId="10083" xr:uid="{641C063D-B817-4BF1-A3E1-86499912050F}"/>
    <cellStyle name="Normal 4 2 4 2 8 2 2" xfId="22765" xr:uid="{412D1EE3-8FD1-4A32-96FD-19AE573C3A0E}"/>
    <cellStyle name="Normal 4 2 4 2 8 2 2 2" xfId="48257" xr:uid="{754C5112-CE61-48AD-BAF4-4D57696B9815}"/>
    <cellStyle name="Normal 4 2 4 2 8 2 3" xfId="35666" xr:uid="{42516692-C5B0-4CBF-B902-1F30B8E5ED03}"/>
    <cellStyle name="Normal 4 2 4 2 8 3" xfId="16487" xr:uid="{5E943175-8AE5-4483-A288-EED141692CBA}"/>
    <cellStyle name="Normal 4 2 4 2 8 3 2" xfId="41979" xr:uid="{8E222D29-30BD-4B5C-9DC6-C8EC09F06E8D}"/>
    <cellStyle name="Normal 4 2 4 2 8 4" xfId="29388" xr:uid="{A6196CEE-846B-45FF-9914-07FE481AC4F4}"/>
    <cellStyle name="Normal 4 2 4 2 9" xfId="6944" xr:uid="{7B3AABAF-1C1D-4E3A-8CAD-AD41CE362CE0}"/>
    <cellStyle name="Normal 4 2 4 2 9 2" xfId="19626" xr:uid="{C179DFA9-BFFD-4523-B263-31B1855920CA}"/>
    <cellStyle name="Normal 4 2 4 2 9 2 2" xfId="45118" xr:uid="{9127FE11-0F40-4577-A58A-21D0FFF26C9D}"/>
    <cellStyle name="Normal 4 2 4 2 9 3" xfId="32527" xr:uid="{EDA35C5B-A8E6-4772-B89F-18B09DD1FE86}"/>
    <cellStyle name="Normal 4 2 4 3" xfId="999" xr:uid="{5C98944F-3474-4A4F-80CC-31DAE25DE45F}"/>
    <cellStyle name="Normal 4 2 4 3 2" xfId="2306" xr:uid="{2E748B1D-0A4C-4D58-AD2F-E735FC798BA3}"/>
    <cellStyle name="Normal 4 2 4 3 2 2" xfId="5460" xr:uid="{379623BF-96EB-4ED5-A7F9-56D0914619A7}"/>
    <cellStyle name="Normal 4 2 4 3 2 2 2" xfId="11753" xr:uid="{4492410A-0434-4FA7-8B9C-B4CBCC7A66BB}"/>
    <cellStyle name="Normal 4 2 4 3 2 2 2 2" xfId="24435" xr:uid="{4F263F52-1061-4784-B75B-9946AA0C43AD}"/>
    <cellStyle name="Normal 4 2 4 3 2 2 2 2 2" xfId="49927" xr:uid="{FB0515BC-7E15-4078-9D0F-F9311FCE60B7}"/>
    <cellStyle name="Normal 4 2 4 3 2 2 2 3" xfId="37336" xr:uid="{13A0BBFA-60C1-4F64-8E81-142BD81136A7}"/>
    <cellStyle name="Normal 4 2 4 3 2 2 3" xfId="18157" xr:uid="{015A00D3-F958-4FC8-8E1C-2C9D37995FD2}"/>
    <cellStyle name="Normal 4 2 4 3 2 2 3 2" xfId="43649" xr:uid="{7D4ECD3B-D89A-4EB7-B69B-9F165A175A0D}"/>
    <cellStyle name="Normal 4 2 4 3 2 2 4" xfId="31058" xr:uid="{651CD0F7-4B29-49FB-B9B1-AAB202C5AACB}"/>
    <cellStyle name="Normal 4 2 4 3 2 3" xfId="8614" xr:uid="{4F0737CF-CE03-48A4-906F-D0D815C44753}"/>
    <cellStyle name="Normal 4 2 4 3 2 3 2" xfId="21296" xr:uid="{DB17E987-CCA0-4EED-AB94-AB22C3CBCEFF}"/>
    <cellStyle name="Normal 4 2 4 3 2 3 2 2" xfId="46788" xr:uid="{BCDCF3F7-5E73-4EFD-8451-8B2D8B7E797F}"/>
    <cellStyle name="Normal 4 2 4 3 2 3 3" xfId="34197" xr:uid="{AD59701B-B081-41EE-92C9-5FE63CCD6B6D}"/>
    <cellStyle name="Normal 4 2 4 3 2 4" xfId="15018" xr:uid="{C01783DA-FE4B-4638-BAD4-A44D2B78F017}"/>
    <cellStyle name="Normal 4 2 4 3 2 4 2" xfId="40510" xr:uid="{FA4B4BC9-9653-44E2-B77D-A89A565B80BE}"/>
    <cellStyle name="Normal 4 2 4 3 2 5" xfId="27919" xr:uid="{B0C2B8A1-F793-4F90-8E04-1304DB17CF8C}"/>
    <cellStyle name="Normal 4 2 4 3 3" xfId="1523" xr:uid="{92F05A6D-28DA-42F5-9C35-2816F53A3B66}"/>
    <cellStyle name="Normal 4 2 4 3 3 2" xfId="4677" xr:uid="{977770B7-3E90-4BD4-AF23-D616DC26E724}"/>
    <cellStyle name="Normal 4 2 4 3 3 2 2" xfId="10970" xr:uid="{BAF28331-78BF-46DB-8477-76AE4E3E397B}"/>
    <cellStyle name="Normal 4 2 4 3 3 2 2 2" xfId="23652" xr:uid="{D3379737-EB01-474B-AE3C-910D3A8B6D6D}"/>
    <cellStyle name="Normal 4 2 4 3 3 2 2 2 2" xfId="49144" xr:uid="{FEC9486A-AFDF-4D96-8359-8D9891F35ED6}"/>
    <cellStyle name="Normal 4 2 4 3 3 2 2 3" xfId="36553" xr:uid="{E4828622-DBF8-4A53-B0DA-A8CC64D07FAF}"/>
    <cellStyle name="Normal 4 2 4 3 3 2 3" xfId="17374" xr:uid="{95294086-D620-4633-AA74-E4A45C546AAB}"/>
    <cellStyle name="Normal 4 2 4 3 3 2 3 2" xfId="42866" xr:uid="{6D4092C1-75E8-4CBA-8D79-9F5B8D3A6DBE}"/>
    <cellStyle name="Normal 4 2 4 3 3 2 4" xfId="30275" xr:uid="{547845B9-8767-4415-B774-6CAE5228CDFA}"/>
    <cellStyle name="Normal 4 2 4 3 3 3" xfId="7831" xr:uid="{501E6367-078E-4B46-8F53-EE364D8AEC78}"/>
    <cellStyle name="Normal 4 2 4 3 3 3 2" xfId="20513" xr:uid="{74A1ED00-4C02-4B6D-9AA5-7F93889F19C3}"/>
    <cellStyle name="Normal 4 2 4 3 3 3 2 2" xfId="46005" xr:uid="{35B478A1-22F1-488B-9260-FBCB182F72DF}"/>
    <cellStyle name="Normal 4 2 4 3 3 3 3" xfId="33414" xr:uid="{F7B25B4B-DB0D-4235-A814-B2C589A6BD34}"/>
    <cellStyle name="Normal 4 2 4 3 3 4" xfId="14235" xr:uid="{EBF30C22-1923-4EEB-8C93-E21710D76082}"/>
    <cellStyle name="Normal 4 2 4 3 3 4 2" xfId="39727" xr:uid="{C7DF7244-9F81-4BA6-952C-BB5B7958199E}"/>
    <cellStyle name="Normal 4 2 4 3 3 5" xfId="27136" xr:uid="{D9A14489-C704-4336-A6C7-4C077659430A}"/>
    <cellStyle name="Normal 4 2 4 3 4" xfId="2830" xr:uid="{40D50B4F-4B8F-4067-A260-F3540AD4CA95}"/>
    <cellStyle name="Normal 4 2 4 3 4 2" xfId="5984" xr:uid="{19D5B2C7-77CB-4599-9A09-859B4369EC81}"/>
    <cellStyle name="Normal 4 2 4 3 4 2 2" xfId="12277" xr:uid="{94C14A9F-9D5E-4286-BF33-44E01B044EB9}"/>
    <cellStyle name="Normal 4 2 4 3 4 2 2 2" xfId="24959" xr:uid="{D03B6709-C50E-4846-808B-F7E7BEE83DFF}"/>
    <cellStyle name="Normal 4 2 4 3 4 2 2 2 2" xfId="50451" xr:uid="{2AE95601-DB1B-4033-91B5-21AC97267F94}"/>
    <cellStyle name="Normal 4 2 4 3 4 2 2 3" xfId="37860" xr:uid="{E2172D1E-FDBA-4FBD-A4B6-83C15447234A}"/>
    <cellStyle name="Normal 4 2 4 3 4 2 3" xfId="18681" xr:uid="{0425F8DB-C356-498C-88B0-D8240CE64D4D}"/>
    <cellStyle name="Normal 4 2 4 3 4 2 3 2" xfId="44173" xr:uid="{A2E56BC0-0AA4-4C7C-931A-AA6C0ED5B221}"/>
    <cellStyle name="Normal 4 2 4 3 4 2 4" xfId="31582" xr:uid="{6BF339EC-20C6-461E-8062-538C6D029DDE}"/>
    <cellStyle name="Normal 4 2 4 3 4 3" xfId="9138" xr:uid="{54DA7DAD-3BD0-40CC-8B59-5A61892CBB53}"/>
    <cellStyle name="Normal 4 2 4 3 4 3 2" xfId="21820" xr:uid="{B45A5E9F-095E-4C97-BE8A-F3C56C4AFD55}"/>
    <cellStyle name="Normal 4 2 4 3 4 3 2 2" xfId="47312" xr:uid="{71B61494-DE1A-47BD-ADD6-70B516BBB7C3}"/>
    <cellStyle name="Normal 4 2 4 3 4 3 3" xfId="34721" xr:uid="{26034503-59FB-4495-8D62-0BD818BB8774}"/>
    <cellStyle name="Normal 4 2 4 3 4 4" xfId="15542" xr:uid="{61269989-3955-458E-B90D-635D7CA5A8DD}"/>
    <cellStyle name="Normal 4 2 4 3 4 4 2" xfId="41034" xr:uid="{1ED47AE0-1075-40C7-86D4-8CD040023AD8}"/>
    <cellStyle name="Normal 4 2 4 3 4 5" xfId="28443" xr:uid="{F918D23A-2682-4F11-B0C3-D83C40B4035B}"/>
    <cellStyle name="Normal 4 2 4 3 5" xfId="3353" xr:uid="{E103955B-87B7-49EA-AF13-9BF70F9BC89D}"/>
    <cellStyle name="Normal 4 2 4 3 5 2" xfId="6507" xr:uid="{E3797855-CBA3-45E7-859F-FA8707571306}"/>
    <cellStyle name="Normal 4 2 4 3 5 2 2" xfId="12800" xr:uid="{F2AF8395-AFCA-4959-BADF-2398C1BFCD2A}"/>
    <cellStyle name="Normal 4 2 4 3 5 2 2 2" xfId="25482" xr:uid="{A7964FAF-8DCA-4780-82F0-A4B0D5E16174}"/>
    <cellStyle name="Normal 4 2 4 3 5 2 2 2 2" xfId="50974" xr:uid="{8B663D5A-C824-4437-AB30-4A662BA9E076}"/>
    <cellStyle name="Normal 4 2 4 3 5 2 2 3" xfId="38383" xr:uid="{F30DC3AA-9921-444F-901E-EE7049885F92}"/>
    <cellStyle name="Normal 4 2 4 3 5 2 3" xfId="19204" xr:uid="{0440AF36-DB4B-4AAC-9F54-221515414529}"/>
    <cellStyle name="Normal 4 2 4 3 5 2 3 2" xfId="44696" xr:uid="{D5A81FDC-3D2E-4570-B36B-8AB47CEE83AF}"/>
    <cellStyle name="Normal 4 2 4 3 5 2 4" xfId="32105" xr:uid="{EBB851EC-C6E7-461F-813C-42F8AF78404E}"/>
    <cellStyle name="Normal 4 2 4 3 5 3" xfId="9661" xr:uid="{42CFE08F-EE66-4C3A-A9A1-D805C3670650}"/>
    <cellStyle name="Normal 4 2 4 3 5 3 2" xfId="22343" xr:uid="{D7B46F67-8742-46A1-B72B-29B12BC8E685}"/>
    <cellStyle name="Normal 4 2 4 3 5 3 2 2" xfId="47835" xr:uid="{197363D0-BC84-4E94-924B-CFF1DFA66040}"/>
    <cellStyle name="Normal 4 2 4 3 5 3 3" xfId="35244" xr:uid="{4D915094-EE51-47D4-9917-59874203A7BD}"/>
    <cellStyle name="Normal 4 2 4 3 5 4" xfId="16065" xr:uid="{00FDAE0A-6919-4A4B-B16A-5030EB97CD4D}"/>
    <cellStyle name="Normal 4 2 4 3 5 4 2" xfId="41557" xr:uid="{FFCA6F7A-3BD9-47EE-B4D5-70542E1DEFDB}"/>
    <cellStyle name="Normal 4 2 4 3 5 5" xfId="28966" xr:uid="{29F287E2-D33C-454E-811A-D781D19571C7}"/>
    <cellStyle name="Normal 4 2 4 3 6" xfId="4153" xr:uid="{371BF147-EC49-4B64-8A76-44D176B7DC9A}"/>
    <cellStyle name="Normal 4 2 4 3 6 2" xfId="10446" xr:uid="{B648F692-F432-4B7E-84F7-C3CD668CAFED}"/>
    <cellStyle name="Normal 4 2 4 3 6 2 2" xfId="23128" xr:uid="{DDD972DE-5490-4722-8DA9-30AF714CFB9C}"/>
    <cellStyle name="Normal 4 2 4 3 6 2 2 2" xfId="48620" xr:uid="{09D687DD-89E1-4462-B553-76BAC0FD6025}"/>
    <cellStyle name="Normal 4 2 4 3 6 2 3" xfId="36029" xr:uid="{1D4CFAD3-5560-4AD0-9079-12361C82FD62}"/>
    <cellStyle name="Normal 4 2 4 3 6 3" xfId="16850" xr:uid="{CFF58056-94AA-46E5-88AE-4DD9FB9431E2}"/>
    <cellStyle name="Normal 4 2 4 3 6 3 2" xfId="42342" xr:uid="{15331D74-DA22-4B4F-9727-8B30C09BD143}"/>
    <cellStyle name="Normal 4 2 4 3 6 4" xfId="29751" xr:uid="{C1ED67DB-1A41-4674-B726-8FCEA06CF73F}"/>
    <cellStyle name="Normal 4 2 4 3 7" xfId="7307" xr:uid="{C38DEB08-1EB7-442A-9F97-81B23D784D51}"/>
    <cellStyle name="Normal 4 2 4 3 7 2" xfId="19989" xr:uid="{ADBFCD17-DE9C-43F6-9894-393FF4CB277F}"/>
    <cellStyle name="Normal 4 2 4 3 7 2 2" xfId="45481" xr:uid="{878ADC53-E632-48F4-AC4F-3180112672F6}"/>
    <cellStyle name="Normal 4 2 4 3 7 3" xfId="32890" xr:uid="{1B2F4DFC-EAEF-4137-B068-9EBC79515D38}"/>
    <cellStyle name="Normal 4 2 4 3 8" xfId="13711" xr:uid="{54012E43-0C44-4995-9EF9-DA00948BAA27}"/>
    <cellStyle name="Normal 4 2 4 3 8 2" xfId="39203" xr:uid="{8590D96C-F0A7-4E48-BFD9-C032FEA940B5}"/>
    <cellStyle name="Normal 4 2 4 3 9" xfId="26612" xr:uid="{0D1C4983-86AF-437C-AEE6-CC51C2BBE7C3}"/>
    <cellStyle name="Normal 4 2 4 4" xfId="739" xr:uid="{4CD20334-E428-4D35-BD09-7BA6A949F8D6}"/>
    <cellStyle name="Normal 4 2 4 4 2" xfId="2046" xr:uid="{0141708F-6DB1-4E1E-BA6A-08D5FCFF5FF9}"/>
    <cellStyle name="Normal 4 2 4 4 2 2" xfId="5200" xr:uid="{9C7002FC-FE7E-43C5-9069-D1F82195264E}"/>
    <cellStyle name="Normal 4 2 4 4 2 2 2" xfId="11493" xr:uid="{6095DA38-00AA-4717-AB12-619D0C1BF124}"/>
    <cellStyle name="Normal 4 2 4 4 2 2 2 2" xfId="24175" xr:uid="{8B45A8D7-36DC-4AE5-9FF4-AF01424AB273}"/>
    <cellStyle name="Normal 4 2 4 4 2 2 2 2 2" xfId="49667" xr:uid="{8B8881CC-7077-4445-BF43-E9C4AAE0D63D}"/>
    <cellStyle name="Normal 4 2 4 4 2 2 2 3" xfId="37076" xr:uid="{8C6C22A4-5D40-4F97-8975-7D2505C0D423}"/>
    <cellStyle name="Normal 4 2 4 4 2 2 3" xfId="17897" xr:uid="{6026EFFF-CDC0-4086-8706-EEE61FA727EE}"/>
    <cellStyle name="Normal 4 2 4 4 2 2 3 2" xfId="43389" xr:uid="{05B3B7F9-4D96-46DB-A63E-3555BC1C344D}"/>
    <cellStyle name="Normal 4 2 4 4 2 2 4" xfId="30798" xr:uid="{BB6F19FB-8E4F-4390-BC89-C05EA2FE38FC}"/>
    <cellStyle name="Normal 4 2 4 4 2 3" xfId="8354" xr:uid="{BC787713-B647-4CA8-8C01-DBAF25034BD7}"/>
    <cellStyle name="Normal 4 2 4 4 2 3 2" xfId="21036" xr:uid="{ABCF750B-B8ED-4884-9A13-66341A5D0CA7}"/>
    <cellStyle name="Normal 4 2 4 4 2 3 2 2" xfId="46528" xr:uid="{C8F6DD0F-F684-4817-A616-AD77D1F91A1A}"/>
    <cellStyle name="Normal 4 2 4 4 2 3 3" xfId="33937" xr:uid="{E7A72FED-F421-4A8C-A132-7E062112A8DF}"/>
    <cellStyle name="Normal 4 2 4 4 2 4" xfId="14758" xr:uid="{20FBA2D1-033D-4546-A2DB-C916DB61367F}"/>
    <cellStyle name="Normal 4 2 4 4 2 4 2" xfId="40250" xr:uid="{1B9498DF-E840-415B-B28A-5EF2EAC3F281}"/>
    <cellStyle name="Normal 4 2 4 4 2 5" xfId="27659" xr:uid="{7637AE43-99BD-49F3-95DA-3A20367FC604}"/>
    <cellStyle name="Normal 4 2 4 4 3" xfId="3893" xr:uid="{914E245B-1994-43E5-86B6-318625D3D502}"/>
    <cellStyle name="Normal 4 2 4 4 3 2" xfId="10186" xr:uid="{3E300456-6EDF-42AF-8722-6E7FFB27D14C}"/>
    <cellStyle name="Normal 4 2 4 4 3 2 2" xfId="22868" xr:uid="{928CFF0D-F25E-4473-9572-B401A26E378D}"/>
    <cellStyle name="Normal 4 2 4 4 3 2 2 2" xfId="48360" xr:uid="{C132E29A-6D75-4FFF-AAC5-E48831C4AA09}"/>
    <cellStyle name="Normal 4 2 4 4 3 2 3" xfId="35769" xr:uid="{B5EAE701-C0CF-4AE8-864D-FB91CDC5563F}"/>
    <cellStyle name="Normal 4 2 4 4 3 3" xfId="16590" xr:uid="{F8BE96B3-A128-4562-B2D5-88C61B3E45CF}"/>
    <cellStyle name="Normal 4 2 4 4 3 3 2" xfId="42082" xr:uid="{3FC21EE8-1727-47D0-8FC0-4E7B4E005A50}"/>
    <cellStyle name="Normal 4 2 4 4 3 4" xfId="29491" xr:uid="{70ACFF69-F874-4198-A0DB-A519C6FCDD01}"/>
    <cellStyle name="Normal 4 2 4 4 4" xfId="7047" xr:uid="{61ACBD45-DC67-4E63-A8AC-452C3AE791AC}"/>
    <cellStyle name="Normal 4 2 4 4 4 2" xfId="19729" xr:uid="{C1A43AB4-19F3-4162-9F7A-D4C03A92504A}"/>
    <cellStyle name="Normal 4 2 4 4 4 2 2" xfId="45221" xr:uid="{474A88D5-FE59-4B4C-82EC-237165C85274}"/>
    <cellStyle name="Normal 4 2 4 4 4 3" xfId="32630" xr:uid="{C4192043-DF03-486D-BBD1-A82586F68373}"/>
    <cellStyle name="Normal 4 2 4 4 5" xfId="13451" xr:uid="{E7C8AA36-6DA8-4417-879F-6ABF9597B7F1}"/>
    <cellStyle name="Normal 4 2 4 4 5 2" xfId="38943" xr:uid="{12681C10-F10E-4B3A-8938-77FDF26B2C0C}"/>
    <cellStyle name="Normal 4 2 4 4 6" xfId="26352" xr:uid="{7CC2007F-2E85-41E6-9303-781CB59A083D}"/>
    <cellStyle name="Normal 4 2 4 5" xfId="1784" xr:uid="{1E28FC91-BE0A-4EAC-BE6E-8ED143AFD266}"/>
    <cellStyle name="Normal 4 2 4 5 2" xfId="4938" xr:uid="{A8534C87-68F7-42AE-9DEF-61F5FB74A2C5}"/>
    <cellStyle name="Normal 4 2 4 5 2 2" xfId="11231" xr:uid="{592A7F61-9750-4875-A4F2-692E8D9F1744}"/>
    <cellStyle name="Normal 4 2 4 5 2 2 2" xfId="23913" xr:uid="{5CCB8990-F185-4323-A872-62AB22478399}"/>
    <cellStyle name="Normal 4 2 4 5 2 2 2 2" xfId="49405" xr:uid="{2E50669F-CDF1-42D7-9E87-6DB6B697973E}"/>
    <cellStyle name="Normal 4 2 4 5 2 2 3" xfId="36814" xr:uid="{357FFAC9-697E-42C6-87F8-8CCF7F24674D}"/>
    <cellStyle name="Normal 4 2 4 5 2 3" xfId="17635" xr:uid="{80045AE8-0C22-4A3E-90CC-829FFB5CA68F}"/>
    <cellStyle name="Normal 4 2 4 5 2 3 2" xfId="43127" xr:uid="{69CE7855-E898-44B0-8DF1-81BC1B84EE47}"/>
    <cellStyle name="Normal 4 2 4 5 2 4" xfId="30536" xr:uid="{4E8FBF5A-C6BC-4177-A3BB-73F4F3089FF2}"/>
    <cellStyle name="Normal 4 2 4 5 3" xfId="8092" xr:uid="{3F8E17ED-BC18-4EEF-AD73-04A2FDC6C71B}"/>
    <cellStyle name="Normal 4 2 4 5 3 2" xfId="20774" xr:uid="{6D1C0862-2EB9-422E-B30D-B686E266E014}"/>
    <cellStyle name="Normal 4 2 4 5 3 2 2" xfId="46266" xr:uid="{8A1C541C-913C-465D-81E1-AA1FD3445367}"/>
    <cellStyle name="Normal 4 2 4 5 3 3" xfId="33675" xr:uid="{2E162C5B-8AA5-498C-B253-C98613995BA0}"/>
    <cellStyle name="Normal 4 2 4 5 4" xfId="14496" xr:uid="{232B4243-6F88-4B70-9335-C813BE55B2DF}"/>
    <cellStyle name="Normal 4 2 4 5 4 2" xfId="39988" xr:uid="{E634CC91-450C-439C-BF55-1C27DC586B10}"/>
    <cellStyle name="Normal 4 2 4 5 5" xfId="27397" xr:uid="{539BB109-A9AF-4B74-8A65-F2E74427A385}"/>
    <cellStyle name="Normal 4 2 4 6" xfId="1262" xr:uid="{0604EE3E-9BC9-4C56-BE22-086E35B35301}"/>
    <cellStyle name="Normal 4 2 4 6 2" xfId="4416" xr:uid="{1D3F929B-8759-469B-BF5E-4CA09A98F2BA}"/>
    <cellStyle name="Normal 4 2 4 6 2 2" xfId="10709" xr:uid="{9F3934EE-0F1D-4E33-834B-3BCA0BE1A2C8}"/>
    <cellStyle name="Normal 4 2 4 6 2 2 2" xfId="23391" xr:uid="{515DD003-02AE-4713-9FD5-4EBDC8F952A3}"/>
    <cellStyle name="Normal 4 2 4 6 2 2 2 2" xfId="48883" xr:uid="{D13FF567-30C2-48EA-AED2-771B692A7EA9}"/>
    <cellStyle name="Normal 4 2 4 6 2 2 3" xfId="36292" xr:uid="{DCD6056F-A571-426B-BBB5-30D067E1C49D}"/>
    <cellStyle name="Normal 4 2 4 6 2 3" xfId="17113" xr:uid="{BF612765-08A2-431C-B353-194BE75B8D7D}"/>
    <cellStyle name="Normal 4 2 4 6 2 3 2" xfId="42605" xr:uid="{43927ACF-32E2-4416-ADAC-8046C7D5742E}"/>
    <cellStyle name="Normal 4 2 4 6 2 4" xfId="30014" xr:uid="{E5C220D1-825D-45D5-81E5-0CC80D10B384}"/>
    <cellStyle name="Normal 4 2 4 6 3" xfId="7570" xr:uid="{C3FF5EDC-1A70-4B02-98D4-A1FE4B58C138}"/>
    <cellStyle name="Normal 4 2 4 6 3 2" xfId="20252" xr:uid="{F5A0ADE0-DB00-4AD2-9463-81605B5F8336}"/>
    <cellStyle name="Normal 4 2 4 6 3 2 2" xfId="45744" xr:uid="{41BC87ED-CCB3-4BBC-99A7-866B65198896}"/>
    <cellStyle name="Normal 4 2 4 6 3 3" xfId="33153" xr:uid="{9B2E8CE0-7752-4315-BC54-DB21C3BA999A}"/>
    <cellStyle name="Normal 4 2 4 6 4" xfId="13974" xr:uid="{4061EFB0-7FDB-4904-96F0-9E9AB7CD4694}"/>
    <cellStyle name="Normal 4 2 4 6 4 2" xfId="39466" xr:uid="{BE6085E0-2C45-48DD-AA55-281ECFABEBD7}"/>
    <cellStyle name="Normal 4 2 4 6 5" xfId="26875" xr:uid="{56F38055-B043-49BC-A513-F5D7BFF45955}"/>
    <cellStyle name="Normal 4 2 4 7" xfId="2569" xr:uid="{FA44D643-B224-46CA-8EFB-FC6CF7E2243B}"/>
    <cellStyle name="Normal 4 2 4 7 2" xfId="5723" xr:uid="{C092F41D-7385-4CDE-832F-B82E44DDA638}"/>
    <cellStyle name="Normal 4 2 4 7 2 2" xfId="12016" xr:uid="{7599AB15-56AC-458B-9208-323AE6A4A889}"/>
    <cellStyle name="Normal 4 2 4 7 2 2 2" xfId="24698" xr:uid="{7AFEDD51-2F54-49F5-8A07-0044CA43A5D9}"/>
    <cellStyle name="Normal 4 2 4 7 2 2 2 2" xfId="50190" xr:uid="{F71C6CC4-0DEB-46F4-B4E6-6E4664286A38}"/>
    <cellStyle name="Normal 4 2 4 7 2 2 3" xfId="37599" xr:uid="{F9039A61-17DC-4BFA-86B0-F4EC66ECB0B3}"/>
    <cellStyle name="Normal 4 2 4 7 2 3" xfId="18420" xr:uid="{A4727290-174D-492B-B8D7-15F846EC4AF4}"/>
    <cellStyle name="Normal 4 2 4 7 2 3 2" xfId="43912" xr:uid="{19AA3CB6-A0BF-4EBD-BA70-AA2AD95640B4}"/>
    <cellStyle name="Normal 4 2 4 7 2 4" xfId="31321" xr:uid="{68722BEE-07F0-476F-A494-584B38884585}"/>
    <cellStyle name="Normal 4 2 4 7 3" xfId="8877" xr:uid="{E6DC20B4-BF1E-46D9-8D3A-213E1262A775}"/>
    <cellStyle name="Normal 4 2 4 7 3 2" xfId="21559" xr:uid="{9528B661-3A6E-4DC5-934E-744205568667}"/>
    <cellStyle name="Normal 4 2 4 7 3 2 2" xfId="47051" xr:uid="{D62DB76C-0327-4ADD-92DD-0277A5E37729}"/>
    <cellStyle name="Normal 4 2 4 7 3 3" xfId="34460" xr:uid="{9788DC0C-1FC3-4D2C-9C51-8E82A6195EE9}"/>
    <cellStyle name="Normal 4 2 4 7 4" xfId="15281" xr:uid="{2A4A8E06-D11F-42B2-94CE-C2713CFDF5CF}"/>
    <cellStyle name="Normal 4 2 4 7 4 2" xfId="40773" xr:uid="{6B528474-820D-4F76-B185-7BE9706F48E9}"/>
    <cellStyle name="Normal 4 2 4 7 5" xfId="28182" xr:uid="{81D48F00-E564-4EC5-932F-A018AEAC48E1}"/>
    <cellStyle name="Normal 4 2 4 8" xfId="3092" xr:uid="{58BE34CA-A003-4236-829A-7C3D936B4F23}"/>
    <cellStyle name="Normal 4 2 4 8 2" xfId="6246" xr:uid="{B8558004-ED88-40A4-9118-36C88024D78A}"/>
    <cellStyle name="Normal 4 2 4 8 2 2" xfId="12539" xr:uid="{CB66FA0F-314C-4363-8265-CBF61D470912}"/>
    <cellStyle name="Normal 4 2 4 8 2 2 2" xfId="25221" xr:uid="{2674E202-B3D8-4570-82CD-41F3954A4C37}"/>
    <cellStyle name="Normal 4 2 4 8 2 2 2 2" xfId="50713" xr:uid="{B9984F19-A184-45DA-BABD-789E3739CB1A}"/>
    <cellStyle name="Normal 4 2 4 8 2 2 3" xfId="38122" xr:uid="{3B436598-B844-4792-AC26-6376CA67EA23}"/>
    <cellStyle name="Normal 4 2 4 8 2 3" xfId="18943" xr:uid="{11F75D34-BAAB-4E95-AC30-0B34A627B061}"/>
    <cellStyle name="Normal 4 2 4 8 2 3 2" xfId="44435" xr:uid="{6FE3E980-EB7D-4B97-9B50-69239D1D395D}"/>
    <cellStyle name="Normal 4 2 4 8 2 4" xfId="31844" xr:uid="{834F0A87-2977-4684-8C6B-52C3C1A63570}"/>
    <cellStyle name="Normal 4 2 4 8 3" xfId="9400" xr:uid="{3F29C9DE-65EA-44B0-91D9-186EC0CE8491}"/>
    <cellStyle name="Normal 4 2 4 8 3 2" xfId="22082" xr:uid="{DC25BF60-308F-4889-85D6-3FF5572BCA95}"/>
    <cellStyle name="Normal 4 2 4 8 3 2 2" xfId="47574" xr:uid="{5D509355-1535-441D-84C3-6ACDBDAF5A52}"/>
    <cellStyle name="Normal 4 2 4 8 3 3" xfId="34983" xr:uid="{D7D77DFB-8147-4F81-A2FA-FA0D151B1EB5}"/>
    <cellStyle name="Normal 4 2 4 8 4" xfId="15804" xr:uid="{0991B61F-2A5D-487A-B150-8F4E7A9A05A6}"/>
    <cellStyle name="Normal 4 2 4 8 4 2" xfId="41296" xr:uid="{D4937642-524B-49C9-8C19-B6563FCDA774}"/>
    <cellStyle name="Normal 4 2 4 8 5" xfId="28705" xr:uid="{E3C0FB26-B46A-4F91-919D-E2097ACEA336}"/>
    <cellStyle name="Normal 4 2 4 9" xfId="3631" xr:uid="{B3AAD92A-DFF6-4110-9862-E048B9902FCB}"/>
    <cellStyle name="Normal 4 2 4 9 2" xfId="9924" xr:uid="{38CCDBCD-2546-4476-92E4-16BA4AD5A428}"/>
    <cellStyle name="Normal 4 2 4 9 2 2" xfId="22606" xr:uid="{4314ED16-FB15-4545-9F16-162C49EF1C0F}"/>
    <cellStyle name="Normal 4 2 4 9 2 2 2" xfId="48098" xr:uid="{DAD422B7-A3E2-4B81-89B3-FDC2B2F33416}"/>
    <cellStyle name="Normal 4 2 4 9 2 3" xfId="35507" xr:uid="{5448E717-1AEC-4981-B1B9-9D810EC2CD99}"/>
    <cellStyle name="Normal 4 2 4 9 3" xfId="16328" xr:uid="{622BA866-D4BB-46E0-89CF-3F02098D3089}"/>
    <cellStyle name="Normal 4 2 4 9 3 2" xfId="41820" xr:uid="{317FBB33-4764-469D-BED9-5C78678CA62D}"/>
    <cellStyle name="Normal 4 2 4 9 4" xfId="29229" xr:uid="{CD49895D-11FE-447A-B5E3-7B1C3D530E56}"/>
    <cellStyle name="Normal 4 2 5" xfId="579" xr:uid="{436A9581-378A-4F02-92C0-2D5FD8374C48}"/>
    <cellStyle name="Normal 4 2 5 10" xfId="13306" xr:uid="{E115B6D0-9BD0-4D20-BDE6-9646CBD75162}"/>
    <cellStyle name="Normal 4 2 5 10 2" xfId="38798" xr:uid="{F406A514-E3EE-4F56-97E9-AD3E9F4D7E43}"/>
    <cellStyle name="Normal 4 2 5 11" xfId="26207" xr:uid="{636D1D0E-1C48-498D-B656-1D582CBBAA97}"/>
    <cellStyle name="Normal 4 2 5 2" xfId="1116" xr:uid="{DB9F11E0-723E-46B9-B3DD-495047B87D4B}"/>
    <cellStyle name="Normal 4 2 5 2 2" xfId="2423" xr:uid="{DC2540F3-6077-4E07-AF04-233AF846FF02}"/>
    <cellStyle name="Normal 4 2 5 2 2 2" xfId="5577" xr:uid="{2B9A06B1-6117-46BC-9154-24358499B794}"/>
    <cellStyle name="Normal 4 2 5 2 2 2 2" xfId="11870" xr:uid="{5455F27D-FE5C-4723-A210-3BEAAAF2F76A}"/>
    <cellStyle name="Normal 4 2 5 2 2 2 2 2" xfId="24552" xr:uid="{0A526405-47DB-4CEF-8922-F51C27CE9466}"/>
    <cellStyle name="Normal 4 2 5 2 2 2 2 2 2" xfId="50044" xr:uid="{7A57F0C7-17F5-4F19-8497-8482A1F0A9D9}"/>
    <cellStyle name="Normal 4 2 5 2 2 2 2 3" xfId="37453" xr:uid="{4FC8D5C2-B570-4C4E-B4F6-C425FC8A16B8}"/>
    <cellStyle name="Normal 4 2 5 2 2 2 3" xfId="18274" xr:uid="{E2C252AF-DE1C-4065-A29F-853888492CA1}"/>
    <cellStyle name="Normal 4 2 5 2 2 2 3 2" xfId="43766" xr:uid="{A9BEE8EC-D6A2-4161-8D3C-CFAFDF782806}"/>
    <cellStyle name="Normal 4 2 5 2 2 2 4" xfId="31175" xr:uid="{A2CA4B5F-EACC-40A1-B254-6B471FE1F8F5}"/>
    <cellStyle name="Normal 4 2 5 2 2 3" xfId="8731" xr:uid="{53382266-D6AD-48E4-B436-B57365508EC6}"/>
    <cellStyle name="Normal 4 2 5 2 2 3 2" xfId="21413" xr:uid="{80D8BC46-0EFD-45C2-9F60-5B4120DEDCA9}"/>
    <cellStyle name="Normal 4 2 5 2 2 3 2 2" xfId="46905" xr:uid="{661FDC04-734E-425E-A631-707ADDCD430F}"/>
    <cellStyle name="Normal 4 2 5 2 2 3 3" xfId="34314" xr:uid="{CFDD1978-2047-4EB7-B9D5-B7180D9D9B4A}"/>
    <cellStyle name="Normal 4 2 5 2 2 4" xfId="15135" xr:uid="{FDF15F7E-0D49-412D-9FF2-894C4AF95716}"/>
    <cellStyle name="Normal 4 2 5 2 2 4 2" xfId="40627" xr:uid="{8F04EC7B-364C-4A47-97B3-29E3797C4F07}"/>
    <cellStyle name="Normal 4 2 5 2 2 5" xfId="28036" xr:uid="{2F3057E1-26D7-4839-AE27-ADAC50B0E8FB}"/>
    <cellStyle name="Normal 4 2 5 2 3" xfId="1640" xr:uid="{1DF796DA-7B89-47A2-B4ED-32EE41203A4C}"/>
    <cellStyle name="Normal 4 2 5 2 3 2" xfId="4794" xr:uid="{B3179DF9-4F96-4F7F-8E6F-1767E5269183}"/>
    <cellStyle name="Normal 4 2 5 2 3 2 2" xfId="11087" xr:uid="{65CF414D-128D-4223-8A6E-1FBD83905B54}"/>
    <cellStyle name="Normal 4 2 5 2 3 2 2 2" xfId="23769" xr:uid="{0A2E6F91-23AC-4AE4-8FE0-C01D5C2B4AAC}"/>
    <cellStyle name="Normal 4 2 5 2 3 2 2 2 2" xfId="49261" xr:uid="{61503E1C-FE0D-47AC-8E61-3A3A5E1FAF51}"/>
    <cellStyle name="Normal 4 2 5 2 3 2 2 3" xfId="36670" xr:uid="{12C05CEE-9DFA-4404-93FE-B5995D0705AE}"/>
    <cellStyle name="Normal 4 2 5 2 3 2 3" xfId="17491" xr:uid="{6C027613-B517-4B8F-8945-5BBCB7CACDEB}"/>
    <cellStyle name="Normal 4 2 5 2 3 2 3 2" xfId="42983" xr:uid="{461070E5-DBE6-4640-94C0-CABB4CA61931}"/>
    <cellStyle name="Normal 4 2 5 2 3 2 4" xfId="30392" xr:uid="{D12E0F36-C986-490A-8520-A1B939121EAD}"/>
    <cellStyle name="Normal 4 2 5 2 3 3" xfId="7948" xr:uid="{0AB01C72-A829-4714-8685-74050497083A}"/>
    <cellStyle name="Normal 4 2 5 2 3 3 2" xfId="20630" xr:uid="{BE0167CF-2ADC-4566-80D9-77E1E8877C32}"/>
    <cellStyle name="Normal 4 2 5 2 3 3 2 2" xfId="46122" xr:uid="{E4C649CA-4DC6-44FC-BC7E-4C63FF65B5BA}"/>
    <cellStyle name="Normal 4 2 5 2 3 3 3" xfId="33531" xr:uid="{7C066177-CC0C-4A14-A92D-6D217B77C053}"/>
    <cellStyle name="Normal 4 2 5 2 3 4" xfId="14352" xr:uid="{AAB52496-9A65-49B4-A6F4-7D82E87717BE}"/>
    <cellStyle name="Normal 4 2 5 2 3 4 2" xfId="39844" xr:uid="{46EE609B-2982-40E1-ACA9-3159397AF91C}"/>
    <cellStyle name="Normal 4 2 5 2 3 5" xfId="27253" xr:uid="{EDAACA3D-5627-46A2-B0DE-D9113C783C3E}"/>
    <cellStyle name="Normal 4 2 5 2 4" xfId="2947" xr:uid="{C9C5D06B-C49B-43FE-9783-747DC24C0FA0}"/>
    <cellStyle name="Normal 4 2 5 2 4 2" xfId="6101" xr:uid="{9E222258-1736-442C-B949-348662514AE0}"/>
    <cellStyle name="Normal 4 2 5 2 4 2 2" xfId="12394" xr:uid="{70581A57-596B-4480-8B7C-1FEC383DC365}"/>
    <cellStyle name="Normal 4 2 5 2 4 2 2 2" xfId="25076" xr:uid="{2F02DBF7-8E26-47AB-9E6D-145D49E8CAD3}"/>
    <cellStyle name="Normal 4 2 5 2 4 2 2 2 2" xfId="50568" xr:uid="{6B5594B6-C452-4751-9F97-10FF8627FF31}"/>
    <cellStyle name="Normal 4 2 5 2 4 2 2 3" xfId="37977" xr:uid="{D6FC7A42-89A1-44EA-94E4-6BA32860D116}"/>
    <cellStyle name="Normal 4 2 5 2 4 2 3" xfId="18798" xr:uid="{A1089CDA-87EE-4101-9AAA-0600A5064EDD}"/>
    <cellStyle name="Normal 4 2 5 2 4 2 3 2" xfId="44290" xr:uid="{CFD2A528-BA00-4FA2-A9F4-D71350D61AE6}"/>
    <cellStyle name="Normal 4 2 5 2 4 2 4" xfId="31699" xr:uid="{07AD18F4-4D82-4A68-8643-E6159EE95018}"/>
    <cellStyle name="Normal 4 2 5 2 4 3" xfId="9255" xr:uid="{6A2F71B2-5CF6-4A3B-B24A-6282A550A484}"/>
    <cellStyle name="Normal 4 2 5 2 4 3 2" xfId="21937" xr:uid="{31C82CE8-82BC-4F02-882F-AE873F631288}"/>
    <cellStyle name="Normal 4 2 5 2 4 3 2 2" xfId="47429" xr:uid="{D6C83EE5-16B7-4503-B8C5-7327541302F7}"/>
    <cellStyle name="Normal 4 2 5 2 4 3 3" xfId="34838" xr:uid="{B39EEC3A-21D5-4B35-B960-7D108A06B006}"/>
    <cellStyle name="Normal 4 2 5 2 4 4" xfId="15659" xr:uid="{D40F9554-4FE8-45B6-A691-006DA32F5DF0}"/>
    <cellStyle name="Normal 4 2 5 2 4 4 2" xfId="41151" xr:uid="{35F9C7F9-9B6E-4EF1-A1BC-A4A94C2CD0C9}"/>
    <cellStyle name="Normal 4 2 5 2 4 5" xfId="28560" xr:uid="{85B72767-6520-4546-A522-911F21C1BCD4}"/>
    <cellStyle name="Normal 4 2 5 2 5" xfId="3470" xr:uid="{DC8F50AF-8826-4D60-90EF-6C6DB92FA0ED}"/>
    <cellStyle name="Normal 4 2 5 2 5 2" xfId="6624" xr:uid="{75E5BCC7-A012-4E70-B41A-07C5D94E015D}"/>
    <cellStyle name="Normal 4 2 5 2 5 2 2" xfId="12917" xr:uid="{4D14F0DE-757B-46F6-97EB-3AF4ADA4529C}"/>
    <cellStyle name="Normal 4 2 5 2 5 2 2 2" xfId="25599" xr:uid="{9CCA5F94-ED8E-49CE-9CCD-BE893AB829DD}"/>
    <cellStyle name="Normal 4 2 5 2 5 2 2 2 2" xfId="51091" xr:uid="{07B7EC58-54B0-4994-ABA7-8E5FE6BBB984}"/>
    <cellStyle name="Normal 4 2 5 2 5 2 2 3" xfId="38500" xr:uid="{8C2F782F-80AF-43A5-A96B-2122A96B690E}"/>
    <cellStyle name="Normal 4 2 5 2 5 2 3" xfId="19321" xr:uid="{772B794B-A064-4628-9085-F6E40A59E434}"/>
    <cellStyle name="Normal 4 2 5 2 5 2 3 2" xfId="44813" xr:uid="{58F9B2FA-0646-4407-84B2-631D93950E50}"/>
    <cellStyle name="Normal 4 2 5 2 5 2 4" xfId="32222" xr:uid="{E153838B-DE78-4425-A292-E0E3B0DAAC02}"/>
    <cellStyle name="Normal 4 2 5 2 5 3" xfId="9778" xr:uid="{3ACC5CA8-4108-44BB-8DCE-E1E64E84D667}"/>
    <cellStyle name="Normal 4 2 5 2 5 3 2" xfId="22460" xr:uid="{B7FE7BB7-CBA3-4020-AB72-E7C882D4EFA6}"/>
    <cellStyle name="Normal 4 2 5 2 5 3 2 2" xfId="47952" xr:uid="{FE8CDD87-EEA6-4947-8293-CF822F59ED91}"/>
    <cellStyle name="Normal 4 2 5 2 5 3 3" xfId="35361" xr:uid="{6C344ED7-CE4B-42F2-B334-65ECD19BD690}"/>
    <cellStyle name="Normal 4 2 5 2 5 4" xfId="16182" xr:uid="{BB29CC13-214B-47BF-8262-98C6A239B796}"/>
    <cellStyle name="Normal 4 2 5 2 5 4 2" xfId="41674" xr:uid="{D9AD6DB0-AE19-453B-B6FE-2547F80D1925}"/>
    <cellStyle name="Normal 4 2 5 2 5 5" xfId="29083" xr:uid="{66B38E2A-CA53-471B-B861-663F7F4ACE0F}"/>
    <cellStyle name="Normal 4 2 5 2 6" xfId="4270" xr:uid="{126D3244-00C6-4048-A65B-26EC80396F5C}"/>
    <cellStyle name="Normal 4 2 5 2 6 2" xfId="10563" xr:uid="{20E39906-B733-4D72-A899-CF72BE4BA141}"/>
    <cellStyle name="Normal 4 2 5 2 6 2 2" xfId="23245" xr:uid="{F6444519-81CA-42BF-8005-EEBE9C45BD4A}"/>
    <cellStyle name="Normal 4 2 5 2 6 2 2 2" xfId="48737" xr:uid="{F241C0AC-2394-4D40-894F-3AA8C36B5707}"/>
    <cellStyle name="Normal 4 2 5 2 6 2 3" xfId="36146" xr:uid="{17B8AB26-9200-4EED-A5C0-AB7FB62EC6FD}"/>
    <cellStyle name="Normal 4 2 5 2 6 3" xfId="16967" xr:uid="{D1D75768-C45B-4785-9B22-034C487DB568}"/>
    <cellStyle name="Normal 4 2 5 2 6 3 2" xfId="42459" xr:uid="{6CDA4004-7C0F-4AF9-925E-D0D2B78C35AE}"/>
    <cellStyle name="Normal 4 2 5 2 6 4" xfId="29868" xr:uid="{97404918-6701-412E-85A2-ED867DE5DE27}"/>
    <cellStyle name="Normal 4 2 5 2 7" xfId="7424" xr:uid="{C318CF11-83DD-4BE9-A308-027B018516E0}"/>
    <cellStyle name="Normal 4 2 5 2 7 2" xfId="20106" xr:uid="{F7836052-D920-4C42-9F5C-EEFD3E5BE554}"/>
    <cellStyle name="Normal 4 2 5 2 7 2 2" xfId="45598" xr:uid="{E51E6F3A-457C-46D9-A44E-FDCC84A08038}"/>
    <cellStyle name="Normal 4 2 5 2 7 3" xfId="33007" xr:uid="{A23310FA-006F-4EBA-8D24-457FBCF60560}"/>
    <cellStyle name="Normal 4 2 5 2 8" xfId="13828" xr:uid="{1C9130F3-E8C3-41AE-9513-90E6CE9E7202}"/>
    <cellStyle name="Normal 4 2 5 2 8 2" xfId="39320" xr:uid="{35F3D914-99A8-4DCE-B8B9-382517247B07}"/>
    <cellStyle name="Normal 4 2 5 2 9" xfId="26729" xr:uid="{C6DE47ED-E6F8-4B5D-B516-0E82070C9D64}"/>
    <cellStyle name="Normal 4 2 5 3" xfId="856" xr:uid="{AA52BDCD-5B46-400D-9D59-9582A37D7CD6}"/>
    <cellStyle name="Normal 4 2 5 3 2" xfId="2163" xr:uid="{9F9E6CD8-5DA3-4C6C-9CB7-FAB598AF7CA9}"/>
    <cellStyle name="Normal 4 2 5 3 2 2" xfId="5317" xr:uid="{A84815E0-4E01-4330-9C55-D82C4A03646A}"/>
    <cellStyle name="Normal 4 2 5 3 2 2 2" xfId="11610" xr:uid="{2B0FB6B7-0E68-4836-8453-911C3B8300B9}"/>
    <cellStyle name="Normal 4 2 5 3 2 2 2 2" xfId="24292" xr:uid="{F62CC6A5-C77B-4327-A693-AC2133129375}"/>
    <cellStyle name="Normal 4 2 5 3 2 2 2 2 2" xfId="49784" xr:uid="{2512E931-F621-4585-A44B-FF5AA043E6E4}"/>
    <cellStyle name="Normal 4 2 5 3 2 2 2 3" xfId="37193" xr:uid="{AD9EF3D2-869E-489F-AE48-F1943757B5B9}"/>
    <cellStyle name="Normal 4 2 5 3 2 2 3" xfId="18014" xr:uid="{4B2882DF-0B80-41DF-AF70-EA3D25326A40}"/>
    <cellStyle name="Normal 4 2 5 3 2 2 3 2" xfId="43506" xr:uid="{68AA4412-974E-44FA-B238-D68444D91FA4}"/>
    <cellStyle name="Normal 4 2 5 3 2 2 4" xfId="30915" xr:uid="{FF5F1944-48C1-4DA9-8614-6B351261982F}"/>
    <cellStyle name="Normal 4 2 5 3 2 3" xfId="8471" xr:uid="{B82180B3-8512-4DB7-ADE0-34A5BE30DE70}"/>
    <cellStyle name="Normal 4 2 5 3 2 3 2" xfId="21153" xr:uid="{30225C02-3894-49CD-8F88-2486714FBFC0}"/>
    <cellStyle name="Normal 4 2 5 3 2 3 2 2" xfId="46645" xr:uid="{F1AC4D5E-C320-41BB-B517-7E264CF6BD78}"/>
    <cellStyle name="Normal 4 2 5 3 2 3 3" xfId="34054" xr:uid="{598B24CD-393B-4724-AF51-F05CC1D600A0}"/>
    <cellStyle name="Normal 4 2 5 3 2 4" xfId="14875" xr:uid="{758242F7-0C69-427D-B152-8193D9CA9DBB}"/>
    <cellStyle name="Normal 4 2 5 3 2 4 2" xfId="40367" xr:uid="{B35A6A70-0000-43F0-B719-E3B21CEAF952}"/>
    <cellStyle name="Normal 4 2 5 3 2 5" xfId="27776" xr:uid="{78AC2D28-0B8D-4AA0-A893-6B165F95CA1F}"/>
    <cellStyle name="Normal 4 2 5 3 3" xfId="4010" xr:uid="{7943CDE0-843A-46B8-90AC-98F456E28788}"/>
    <cellStyle name="Normal 4 2 5 3 3 2" xfId="10303" xr:uid="{7308C0B2-7D50-4C73-8CEF-92509058E8EB}"/>
    <cellStyle name="Normal 4 2 5 3 3 2 2" xfId="22985" xr:uid="{7EDE631E-1C78-4084-A0C1-06C6BB5719E4}"/>
    <cellStyle name="Normal 4 2 5 3 3 2 2 2" xfId="48477" xr:uid="{76F3E57D-8BDA-4768-8B10-550CF05214B9}"/>
    <cellStyle name="Normal 4 2 5 3 3 2 3" xfId="35886" xr:uid="{39F6D3CE-88A5-454D-8AF4-8D966B91D34B}"/>
    <cellStyle name="Normal 4 2 5 3 3 3" xfId="16707" xr:uid="{3173798A-A620-4459-BBF4-3771201863E9}"/>
    <cellStyle name="Normal 4 2 5 3 3 3 2" xfId="42199" xr:uid="{D500DD4B-5D05-4A16-B2B3-86591F987B75}"/>
    <cellStyle name="Normal 4 2 5 3 3 4" xfId="29608" xr:uid="{96BE0EBF-EFD9-4409-A1C1-E9AA89EEE1D2}"/>
    <cellStyle name="Normal 4 2 5 3 4" xfId="7164" xr:uid="{EFB08F8A-1EDD-44E3-A196-DD90F584BB63}"/>
    <cellStyle name="Normal 4 2 5 3 4 2" xfId="19846" xr:uid="{C458F55D-4FF6-4FBA-9585-6E2BD254B632}"/>
    <cellStyle name="Normal 4 2 5 3 4 2 2" xfId="45338" xr:uid="{D6BF3979-C3C1-43E7-B956-D1245361C3AE}"/>
    <cellStyle name="Normal 4 2 5 3 4 3" xfId="32747" xr:uid="{9D6E45BB-3771-44AE-B725-554735EA3618}"/>
    <cellStyle name="Normal 4 2 5 3 5" xfId="13568" xr:uid="{C448F498-002B-49C2-BC45-16F8346B0B37}"/>
    <cellStyle name="Normal 4 2 5 3 5 2" xfId="39060" xr:uid="{5CF660D1-FDCC-443E-A3D6-02E32F2C17D5}"/>
    <cellStyle name="Normal 4 2 5 3 6" xfId="26469" xr:uid="{46035BEF-A923-4E09-AB6B-3243C3B65CA6}"/>
    <cellStyle name="Normal 4 2 5 4" xfId="1901" xr:uid="{D0D40419-60F7-488F-96AB-8434E4E12A09}"/>
    <cellStyle name="Normal 4 2 5 4 2" xfId="5055" xr:uid="{DD68E569-6AC6-45CF-85FA-CF01F7894525}"/>
    <cellStyle name="Normal 4 2 5 4 2 2" xfId="11348" xr:uid="{DF3FFD41-61DD-4A73-8084-294D70853B32}"/>
    <cellStyle name="Normal 4 2 5 4 2 2 2" xfId="24030" xr:uid="{FDB742A3-E8D5-430F-9904-60D73F569711}"/>
    <cellStyle name="Normal 4 2 5 4 2 2 2 2" xfId="49522" xr:uid="{E6D42877-FCC5-4309-AE7F-B5AF997C1511}"/>
    <cellStyle name="Normal 4 2 5 4 2 2 3" xfId="36931" xr:uid="{9A378253-46B2-44E5-AAE3-C6F3B8F6DDB8}"/>
    <cellStyle name="Normal 4 2 5 4 2 3" xfId="17752" xr:uid="{17819790-CFAE-4955-BF3B-DD318A5132BB}"/>
    <cellStyle name="Normal 4 2 5 4 2 3 2" xfId="43244" xr:uid="{66D46DCB-E695-4C33-A13A-637EFF562E8D}"/>
    <cellStyle name="Normal 4 2 5 4 2 4" xfId="30653" xr:uid="{F007DA81-578E-4365-B727-E9B2ED592694}"/>
    <cellStyle name="Normal 4 2 5 4 3" xfId="8209" xr:uid="{2636C004-44F8-4572-8EFB-CCC071784299}"/>
    <cellStyle name="Normal 4 2 5 4 3 2" xfId="20891" xr:uid="{E2CC3471-B730-4DC6-B9D0-4D9D3004D022}"/>
    <cellStyle name="Normal 4 2 5 4 3 2 2" xfId="46383" xr:uid="{77A0473A-28B9-40EF-9C0F-1257398EA61C}"/>
    <cellStyle name="Normal 4 2 5 4 3 3" xfId="33792" xr:uid="{F9A7D90B-5883-44F1-8BC7-B34C9FDFB94B}"/>
    <cellStyle name="Normal 4 2 5 4 4" xfId="14613" xr:uid="{0BBC7BE3-157B-482F-BFA1-3F15B1828C36}"/>
    <cellStyle name="Normal 4 2 5 4 4 2" xfId="40105" xr:uid="{6514ECC4-435D-43D2-8949-EF4E0D12E8E8}"/>
    <cellStyle name="Normal 4 2 5 4 5" xfId="27514" xr:uid="{AB7D9329-422A-4434-ACF1-B53E10FDE5B2}"/>
    <cellStyle name="Normal 4 2 5 5" xfId="1379" xr:uid="{B5BFE5B1-83C7-49CE-8865-F06906C183AB}"/>
    <cellStyle name="Normal 4 2 5 5 2" xfId="4533" xr:uid="{62EB0C27-9426-4FC9-A296-CF8A5B784DEE}"/>
    <cellStyle name="Normal 4 2 5 5 2 2" xfId="10826" xr:uid="{13A9FA6A-7534-4C82-A634-01444914440D}"/>
    <cellStyle name="Normal 4 2 5 5 2 2 2" xfId="23508" xr:uid="{BA84B84D-61FA-4708-9A63-0CBF0A719D7B}"/>
    <cellStyle name="Normal 4 2 5 5 2 2 2 2" xfId="49000" xr:uid="{56B87D22-2586-4F4D-A99F-1D852234DD2A}"/>
    <cellStyle name="Normal 4 2 5 5 2 2 3" xfId="36409" xr:uid="{EE8D6CA6-5DBD-4A99-A182-A363AF7BBE98}"/>
    <cellStyle name="Normal 4 2 5 5 2 3" xfId="17230" xr:uid="{183C1E7B-CA5A-415C-8980-9CE5A5A70254}"/>
    <cellStyle name="Normal 4 2 5 5 2 3 2" xfId="42722" xr:uid="{7418AFE9-B7FD-4F33-8E28-1FB81AEA01FF}"/>
    <cellStyle name="Normal 4 2 5 5 2 4" xfId="30131" xr:uid="{1369D9E6-0917-4B53-BDDE-2D0BA6E3C671}"/>
    <cellStyle name="Normal 4 2 5 5 3" xfId="7687" xr:uid="{559DBB18-32CE-40E2-AB36-5C13570688A3}"/>
    <cellStyle name="Normal 4 2 5 5 3 2" xfId="20369" xr:uid="{15883036-F01F-4BD0-8B5C-C7FE54356E53}"/>
    <cellStyle name="Normal 4 2 5 5 3 2 2" xfId="45861" xr:uid="{AD85874A-9624-4592-803D-BC8795E8C1CF}"/>
    <cellStyle name="Normal 4 2 5 5 3 3" xfId="33270" xr:uid="{8CF7D044-3F37-44AD-BADE-70BCC809603E}"/>
    <cellStyle name="Normal 4 2 5 5 4" xfId="14091" xr:uid="{CA90F1CB-B255-4FD9-A6E7-8290C0293B1E}"/>
    <cellStyle name="Normal 4 2 5 5 4 2" xfId="39583" xr:uid="{245C3AEA-EE15-4AB2-A8D1-EBFC88256F8C}"/>
    <cellStyle name="Normal 4 2 5 5 5" xfId="26992" xr:uid="{1C2184F4-63E5-441B-BCC8-95AD18B1879A}"/>
    <cellStyle name="Normal 4 2 5 6" xfId="2686" xr:uid="{47FE7AB6-0D8F-4E13-849D-17013C697F4A}"/>
    <cellStyle name="Normal 4 2 5 6 2" xfId="5840" xr:uid="{2AA703D0-F4DC-40DE-A33F-263FFCB7E63D}"/>
    <cellStyle name="Normal 4 2 5 6 2 2" xfId="12133" xr:uid="{121A1E8D-CA1C-4308-8556-63A854127CBA}"/>
    <cellStyle name="Normal 4 2 5 6 2 2 2" xfId="24815" xr:uid="{578D3ED3-6D1A-4B18-8475-F53981D00936}"/>
    <cellStyle name="Normal 4 2 5 6 2 2 2 2" xfId="50307" xr:uid="{FBFE889B-BC86-4642-BCC9-B576BA525998}"/>
    <cellStyle name="Normal 4 2 5 6 2 2 3" xfId="37716" xr:uid="{A99F0239-CBC0-486D-9462-AE165D17D8B0}"/>
    <cellStyle name="Normal 4 2 5 6 2 3" xfId="18537" xr:uid="{C8539313-0EE9-4926-A974-601A763F1466}"/>
    <cellStyle name="Normal 4 2 5 6 2 3 2" xfId="44029" xr:uid="{5C751765-E812-46D8-B025-08BD25B8E8F0}"/>
    <cellStyle name="Normal 4 2 5 6 2 4" xfId="31438" xr:uid="{2EBFB341-273B-456D-9B31-C3F684720D4E}"/>
    <cellStyle name="Normal 4 2 5 6 3" xfId="8994" xr:uid="{FA33BF3E-4A66-415D-80EF-0D01DEC6C45A}"/>
    <cellStyle name="Normal 4 2 5 6 3 2" xfId="21676" xr:uid="{1A4484B1-D89E-4A41-ACCF-A26D1DE8563B}"/>
    <cellStyle name="Normal 4 2 5 6 3 2 2" xfId="47168" xr:uid="{8CC37249-B17D-47EE-98AF-4A1DF6C96965}"/>
    <cellStyle name="Normal 4 2 5 6 3 3" xfId="34577" xr:uid="{926D0DE8-D88D-4DBD-85FB-DCD888B05F71}"/>
    <cellStyle name="Normal 4 2 5 6 4" xfId="15398" xr:uid="{13DDE6C9-41E2-4065-89FC-F29CC9A5C9FF}"/>
    <cellStyle name="Normal 4 2 5 6 4 2" xfId="40890" xr:uid="{5E98D009-C1F3-4F93-B04E-9DA56B971FEA}"/>
    <cellStyle name="Normal 4 2 5 6 5" xfId="28299" xr:uid="{A190DDF3-E293-4B67-BB39-0130E0DF4D2C}"/>
    <cellStyle name="Normal 4 2 5 7" xfId="3209" xr:uid="{1A0BA406-E06D-42D0-B49B-976B1614E7D3}"/>
    <cellStyle name="Normal 4 2 5 7 2" xfId="6363" xr:uid="{FAF4C310-5E50-40CF-AE7E-39687219EBAE}"/>
    <cellStyle name="Normal 4 2 5 7 2 2" xfId="12656" xr:uid="{E74C3098-B741-4492-87FF-5BD38CB1EFB5}"/>
    <cellStyle name="Normal 4 2 5 7 2 2 2" xfId="25338" xr:uid="{92A3895F-15CA-4C8A-B59E-5306C880338E}"/>
    <cellStyle name="Normal 4 2 5 7 2 2 2 2" xfId="50830" xr:uid="{70C2AFB1-D7AC-4318-9D75-B0D004EF06D0}"/>
    <cellStyle name="Normal 4 2 5 7 2 2 3" xfId="38239" xr:uid="{73DD9C02-941E-4CFC-A783-5C48D9A541D2}"/>
    <cellStyle name="Normal 4 2 5 7 2 3" xfId="19060" xr:uid="{D8234892-D076-4886-BB92-BC1525A55C4F}"/>
    <cellStyle name="Normal 4 2 5 7 2 3 2" xfId="44552" xr:uid="{A7F17CCA-8245-40CA-BAF6-1D33384C1A2A}"/>
    <cellStyle name="Normal 4 2 5 7 2 4" xfId="31961" xr:uid="{52D700C9-517A-4066-BB20-996C2BB63036}"/>
    <cellStyle name="Normal 4 2 5 7 3" xfId="9517" xr:uid="{7D88D188-2EBA-47E0-BD8C-75E5AE655779}"/>
    <cellStyle name="Normal 4 2 5 7 3 2" xfId="22199" xr:uid="{B658E1B7-9F3B-40BB-8922-EEC25A4E4D45}"/>
    <cellStyle name="Normal 4 2 5 7 3 2 2" xfId="47691" xr:uid="{7F8E76BC-9F74-4AF8-94F8-4004B37B0094}"/>
    <cellStyle name="Normal 4 2 5 7 3 3" xfId="35100" xr:uid="{ADC0EB46-432D-4CBB-A129-51F2D0ADDDBD}"/>
    <cellStyle name="Normal 4 2 5 7 4" xfId="15921" xr:uid="{FEB501CB-9053-455A-A417-5584115FA90B}"/>
    <cellStyle name="Normal 4 2 5 7 4 2" xfId="41413" xr:uid="{E04C0E70-DE44-41CA-9EB7-EB4584605226}"/>
    <cellStyle name="Normal 4 2 5 7 5" xfId="28822" xr:uid="{7C932300-961C-4EFF-89DB-EE6406E531FB}"/>
    <cellStyle name="Normal 4 2 5 8" xfId="3748" xr:uid="{DE6EE192-4A20-4784-A73C-B5AB406F3B5C}"/>
    <cellStyle name="Normal 4 2 5 8 2" xfId="10041" xr:uid="{75666511-6381-48D3-982C-B3191F7E66FF}"/>
    <cellStyle name="Normal 4 2 5 8 2 2" xfId="22723" xr:uid="{F3A2288C-B9EC-4795-A699-4CBC63E0D6A8}"/>
    <cellStyle name="Normal 4 2 5 8 2 2 2" xfId="48215" xr:uid="{99D35C76-5C59-45D8-9EC4-B10F8936E751}"/>
    <cellStyle name="Normal 4 2 5 8 2 3" xfId="35624" xr:uid="{1287FE5E-07F6-4616-87F5-1C7B9A98F8DD}"/>
    <cellStyle name="Normal 4 2 5 8 3" xfId="16445" xr:uid="{91840034-FEFF-4598-9DFD-5CC558C5041C}"/>
    <cellStyle name="Normal 4 2 5 8 3 2" xfId="41937" xr:uid="{0F6B425F-51E3-411F-A371-97FED537A726}"/>
    <cellStyle name="Normal 4 2 5 8 4" xfId="29346" xr:uid="{AF779FB5-C6EC-4470-A5A1-9FAA1D17BB31}"/>
    <cellStyle name="Normal 4 2 5 9" xfId="6902" xr:uid="{5FFC81B9-B5BD-4667-8877-C6FE76763703}"/>
    <cellStyle name="Normal 4 2 5 9 2" xfId="19584" xr:uid="{862DB579-289E-42E3-8EDC-9DAC2AC3882E}"/>
    <cellStyle name="Normal 4 2 5 9 2 2" xfId="45076" xr:uid="{DE7D6B43-5143-4C94-958B-FB643726C8EA}"/>
    <cellStyle name="Normal 4 2 5 9 3" xfId="32485" xr:uid="{A80EA4A6-48D0-4C84-9FE2-6185C6D42FF9}"/>
    <cellStyle name="Normal 4 2 6" xfId="521" xr:uid="{E868D330-2C2E-464D-BC11-73085612A3FD}"/>
    <cellStyle name="Normal 4 2 6 10" xfId="13248" xr:uid="{CFB7B7C0-7F6B-4DC5-B650-6F458EFEAF9F}"/>
    <cellStyle name="Normal 4 2 6 10 2" xfId="38740" xr:uid="{E043D0CB-5210-43E5-A61C-5E3554F033C7}"/>
    <cellStyle name="Normal 4 2 6 11" xfId="26149" xr:uid="{61716BA4-7FB5-4938-B98B-AD2306128D8F}"/>
    <cellStyle name="Normal 4 2 6 2" xfId="1058" xr:uid="{9807F5F6-9B40-4002-AC1A-F95052C00B71}"/>
    <cellStyle name="Normal 4 2 6 2 2" xfId="2365" xr:uid="{E25A43CF-0EDD-4015-B432-45BFFFF86EC2}"/>
    <cellStyle name="Normal 4 2 6 2 2 2" xfId="5519" xr:uid="{10DBB0BB-FC5C-48A0-902F-849EB475EFFB}"/>
    <cellStyle name="Normal 4 2 6 2 2 2 2" xfId="11812" xr:uid="{597A4EB1-0877-49DB-BBA2-A222A021BA76}"/>
    <cellStyle name="Normal 4 2 6 2 2 2 2 2" xfId="24494" xr:uid="{1F638461-84E2-42B9-8A1A-6B6FC8AE5EE1}"/>
    <cellStyle name="Normal 4 2 6 2 2 2 2 2 2" xfId="49986" xr:uid="{D0BEF332-4759-4535-983A-A15DD1935819}"/>
    <cellStyle name="Normal 4 2 6 2 2 2 2 3" xfId="37395" xr:uid="{4B354221-A4F6-4656-BF6E-2235A943C522}"/>
    <cellStyle name="Normal 4 2 6 2 2 2 3" xfId="18216" xr:uid="{228933E1-D0CA-4BC5-A0DD-58EB4C836647}"/>
    <cellStyle name="Normal 4 2 6 2 2 2 3 2" xfId="43708" xr:uid="{CEBAC7E5-9B6E-420A-A13B-4D7DD1AA112B}"/>
    <cellStyle name="Normal 4 2 6 2 2 2 4" xfId="31117" xr:uid="{6092980F-64DC-4A04-9402-22A4CD6E9778}"/>
    <cellStyle name="Normal 4 2 6 2 2 3" xfId="8673" xr:uid="{7CAA6A5D-C470-4F3A-AF37-C06ABDE35286}"/>
    <cellStyle name="Normal 4 2 6 2 2 3 2" xfId="21355" xr:uid="{14A5C33C-5579-4422-916D-6538B2878914}"/>
    <cellStyle name="Normal 4 2 6 2 2 3 2 2" xfId="46847" xr:uid="{BEDD7BB6-14EE-471B-8ED7-BD8AAA55E28B}"/>
    <cellStyle name="Normal 4 2 6 2 2 3 3" xfId="34256" xr:uid="{F7DD380D-E34C-46FB-B698-81A03294F0E4}"/>
    <cellStyle name="Normal 4 2 6 2 2 4" xfId="15077" xr:uid="{FC21AB4B-5EBB-4ABC-BFEB-9F29CB413BF0}"/>
    <cellStyle name="Normal 4 2 6 2 2 4 2" xfId="40569" xr:uid="{CEF4696B-E07E-4785-B760-CD645A7241C1}"/>
    <cellStyle name="Normal 4 2 6 2 2 5" xfId="27978" xr:uid="{39CD2031-DA9E-4E29-86D2-A666389F9B82}"/>
    <cellStyle name="Normal 4 2 6 2 3" xfId="1582" xr:uid="{4C0222F9-5696-450B-92C3-4C678D2673CF}"/>
    <cellStyle name="Normal 4 2 6 2 3 2" xfId="4736" xr:uid="{6A4B68CC-8D2E-486D-93E8-053DD21B8847}"/>
    <cellStyle name="Normal 4 2 6 2 3 2 2" xfId="11029" xr:uid="{1A71DDE7-AA64-4B16-A16F-C3BD6E3D2816}"/>
    <cellStyle name="Normal 4 2 6 2 3 2 2 2" xfId="23711" xr:uid="{41DBF2CC-4B90-40D6-A3D8-F6902F75023D}"/>
    <cellStyle name="Normal 4 2 6 2 3 2 2 2 2" xfId="49203" xr:uid="{85FA9B91-DA04-4C7B-A952-533207A05F41}"/>
    <cellStyle name="Normal 4 2 6 2 3 2 2 3" xfId="36612" xr:uid="{8A642A7E-2AEC-491D-B78B-38D81B48EC47}"/>
    <cellStyle name="Normal 4 2 6 2 3 2 3" xfId="17433" xr:uid="{28C6B12B-F8DC-46D3-B9A4-A9C581AFD446}"/>
    <cellStyle name="Normal 4 2 6 2 3 2 3 2" xfId="42925" xr:uid="{4B18E643-2007-4AC6-AF9F-33A7F1C623D2}"/>
    <cellStyle name="Normal 4 2 6 2 3 2 4" xfId="30334" xr:uid="{7F9C381E-6C43-452C-A0FB-FD84AF0BDF1F}"/>
    <cellStyle name="Normal 4 2 6 2 3 3" xfId="7890" xr:uid="{0BC7D023-1571-4357-AA84-71ABF2AD14E7}"/>
    <cellStyle name="Normal 4 2 6 2 3 3 2" xfId="20572" xr:uid="{EB809D76-7B2E-4D3C-82F9-4424ECDF9E5C}"/>
    <cellStyle name="Normal 4 2 6 2 3 3 2 2" xfId="46064" xr:uid="{D76B62DF-8A69-40F4-A6D3-A5CF56C945BF}"/>
    <cellStyle name="Normal 4 2 6 2 3 3 3" xfId="33473" xr:uid="{B9AB7E06-4711-4503-BF44-0D16FDAA2D6F}"/>
    <cellStyle name="Normal 4 2 6 2 3 4" xfId="14294" xr:uid="{FF228656-4B5E-4CFF-ABC7-396F118D6DE6}"/>
    <cellStyle name="Normal 4 2 6 2 3 4 2" xfId="39786" xr:uid="{01B278F4-919A-4316-B23F-2CBF35766774}"/>
    <cellStyle name="Normal 4 2 6 2 3 5" xfId="27195" xr:uid="{ECD19A93-B024-4C37-BDF0-F0226FDDC2CF}"/>
    <cellStyle name="Normal 4 2 6 2 4" xfId="2889" xr:uid="{5EEA8C62-A537-48A1-B80C-F0F00EDA9A0B}"/>
    <cellStyle name="Normal 4 2 6 2 4 2" xfId="6043" xr:uid="{4C9D2956-576A-4C63-AE8D-525AAD97DBB6}"/>
    <cellStyle name="Normal 4 2 6 2 4 2 2" xfId="12336" xr:uid="{5D5020AA-89AA-40E1-96A4-6B0957B41545}"/>
    <cellStyle name="Normal 4 2 6 2 4 2 2 2" xfId="25018" xr:uid="{7CA3B2EC-A25C-4085-B00C-D6124990A84B}"/>
    <cellStyle name="Normal 4 2 6 2 4 2 2 2 2" xfId="50510" xr:uid="{658C84DC-0BB9-4D1B-AB77-23A2D6E1E8DE}"/>
    <cellStyle name="Normal 4 2 6 2 4 2 2 3" xfId="37919" xr:uid="{B269C32C-955E-4879-8D28-76A6665F077C}"/>
    <cellStyle name="Normal 4 2 6 2 4 2 3" xfId="18740" xr:uid="{CF9B486D-B157-4FA2-9D09-099F57FD3BBB}"/>
    <cellStyle name="Normal 4 2 6 2 4 2 3 2" xfId="44232" xr:uid="{1591286E-DA3F-4372-87AB-1275FB5A8AEA}"/>
    <cellStyle name="Normal 4 2 6 2 4 2 4" xfId="31641" xr:uid="{AF00D6EE-F76E-44CE-AEB0-751CB8A5BF9E}"/>
    <cellStyle name="Normal 4 2 6 2 4 3" xfId="9197" xr:uid="{91A12C5C-C0E5-4850-8F0C-F2C02E158183}"/>
    <cellStyle name="Normal 4 2 6 2 4 3 2" xfId="21879" xr:uid="{157F9E8D-3090-49CF-B653-1B268D25BD6E}"/>
    <cellStyle name="Normal 4 2 6 2 4 3 2 2" xfId="47371" xr:uid="{1A4E03D2-828C-46D8-9866-C377B63F737B}"/>
    <cellStyle name="Normal 4 2 6 2 4 3 3" xfId="34780" xr:uid="{8EE6C1CD-28A5-4F18-822D-75FD430EE1E0}"/>
    <cellStyle name="Normal 4 2 6 2 4 4" xfId="15601" xr:uid="{0FF5F277-C906-4734-94F8-E4A7D9F39214}"/>
    <cellStyle name="Normal 4 2 6 2 4 4 2" xfId="41093" xr:uid="{AEB49F0E-4A05-41B3-8DEE-E839A2F616D2}"/>
    <cellStyle name="Normal 4 2 6 2 4 5" xfId="28502" xr:uid="{F43389F3-84C7-4145-B8ED-4CE2FFA2E27F}"/>
    <cellStyle name="Normal 4 2 6 2 5" xfId="3412" xr:uid="{0D6F8D75-DD02-417B-95B3-B4D5EAE7CA41}"/>
    <cellStyle name="Normal 4 2 6 2 5 2" xfId="6566" xr:uid="{5A7FD50D-8504-4FC4-8DD0-19B03433AB55}"/>
    <cellStyle name="Normal 4 2 6 2 5 2 2" xfId="12859" xr:uid="{EE0B036F-AD7B-40DB-A508-4B20AA347F5A}"/>
    <cellStyle name="Normal 4 2 6 2 5 2 2 2" xfId="25541" xr:uid="{B3058574-68D1-4FD3-9662-124024F11ABA}"/>
    <cellStyle name="Normal 4 2 6 2 5 2 2 2 2" xfId="51033" xr:uid="{EA4B973C-74B1-4066-A4C9-F4F03FC9E5A8}"/>
    <cellStyle name="Normal 4 2 6 2 5 2 2 3" xfId="38442" xr:uid="{01D37886-57EA-414E-A484-7BA06AEE50FD}"/>
    <cellStyle name="Normal 4 2 6 2 5 2 3" xfId="19263" xr:uid="{0BDCC1F6-1994-4C27-A474-7CAAFBB4A6C5}"/>
    <cellStyle name="Normal 4 2 6 2 5 2 3 2" xfId="44755" xr:uid="{48DB2C46-4195-40FF-90A1-E0609F92DF13}"/>
    <cellStyle name="Normal 4 2 6 2 5 2 4" xfId="32164" xr:uid="{ED1FC101-BD29-45E2-BA79-269E1EB20A28}"/>
    <cellStyle name="Normal 4 2 6 2 5 3" xfId="9720" xr:uid="{256A73FD-F263-4B0F-A037-28BF6BB28646}"/>
    <cellStyle name="Normal 4 2 6 2 5 3 2" xfId="22402" xr:uid="{023E6867-5E30-41EB-A78A-C0856098C7D2}"/>
    <cellStyle name="Normal 4 2 6 2 5 3 2 2" xfId="47894" xr:uid="{95F83C64-5620-4554-BD51-B7623BCBAE2E}"/>
    <cellStyle name="Normal 4 2 6 2 5 3 3" xfId="35303" xr:uid="{694ECFD5-EE16-44A0-80D5-47F6A51382CB}"/>
    <cellStyle name="Normal 4 2 6 2 5 4" xfId="16124" xr:uid="{50A998D6-91DE-429D-BD59-7C2DEB5EB60C}"/>
    <cellStyle name="Normal 4 2 6 2 5 4 2" xfId="41616" xr:uid="{7744DACA-A610-4BD8-AEBC-87209D2B1283}"/>
    <cellStyle name="Normal 4 2 6 2 5 5" xfId="29025" xr:uid="{6DD49F40-90FC-41E3-A5C0-F0BD8EDB22AC}"/>
    <cellStyle name="Normal 4 2 6 2 6" xfId="4212" xr:uid="{656F67D3-CB82-41E8-84A6-AB83F1440B05}"/>
    <cellStyle name="Normal 4 2 6 2 6 2" xfId="10505" xr:uid="{B5971105-04FB-433B-9366-F431D10ACFF1}"/>
    <cellStyle name="Normal 4 2 6 2 6 2 2" xfId="23187" xr:uid="{A05D29F0-877A-4B63-A3B2-AE21DE25FB78}"/>
    <cellStyle name="Normal 4 2 6 2 6 2 2 2" xfId="48679" xr:uid="{3AA8EB47-4F01-490C-9265-FCE1977275FB}"/>
    <cellStyle name="Normal 4 2 6 2 6 2 3" xfId="36088" xr:uid="{A9C6D6BF-D15E-4C63-A52A-A389ABD0677C}"/>
    <cellStyle name="Normal 4 2 6 2 6 3" xfId="16909" xr:uid="{E11A73EC-6DDD-453A-BD25-61DDBCD5E19A}"/>
    <cellStyle name="Normal 4 2 6 2 6 3 2" xfId="42401" xr:uid="{8BA607D2-DFF5-4A20-8E7B-17F6D94DF78C}"/>
    <cellStyle name="Normal 4 2 6 2 6 4" xfId="29810" xr:uid="{9D26FAD7-975C-44E1-B998-F6F67C1C3007}"/>
    <cellStyle name="Normal 4 2 6 2 7" xfId="7366" xr:uid="{82A0270E-FC2F-4F03-8783-823635CE72D8}"/>
    <cellStyle name="Normal 4 2 6 2 7 2" xfId="20048" xr:uid="{23D788E8-55BE-4B6F-A907-D4C1844660F2}"/>
    <cellStyle name="Normal 4 2 6 2 7 2 2" xfId="45540" xr:uid="{63DCBA19-271F-43E0-8E97-0E6780E8F836}"/>
    <cellStyle name="Normal 4 2 6 2 7 3" xfId="32949" xr:uid="{304E4DE7-B422-42FD-872F-E174087D2A99}"/>
    <cellStyle name="Normal 4 2 6 2 8" xfId="13770" xr:uid="{A7DA006F-161D-4636-8686-BAE88A2C3A80}"/>
    <cellStyle name="Normal 4 2 6 2 8 2" xfId="39262" xr:uid="{5A9B189B-613D-4822-AC10-7BEDDD757EB1}"/>
    <cellStyle name="Normal 4 2 6 2 9" xfId="26671" xr:uid="{FCC23457-248C-48A0-B9CB-3CEC1D31838A}"/>
    <cellStyle name="Normal 4 2 6 3" xfId="798" xr:uid="{D410DEC9-1E52-44BE-BCE3-B663DAB16A9C}"/>
    <cellStyle name="Normal 4 2 6 3 2" xfId="2105" xr:uid="{83402A9D-FEFB-4DD0-9A2A-7E97C257148A}"/>
    <cellStyle name="Normal 4 2 6 3 2 2" xfId="5259" xr:uid="{41300373-360A-49CF-87A4-F8F922810BFD}"/>
    <cellStyle name="Normal 4 2 6 3 2 2 2" xfId="11552" xr:uid="{1642B48F-AD4E-405F-9E53-7ECFED1EAE38}"/>
    <cellStyle name="Normal 4 2 6 3 2 2 2 2" xfId="24234" xr:uid="{DB760761-D4E5-48C5-8998-DBDEC8454BF7}"/>
    <cellStyle name="Normal 4 2 6 3 2 2 2 2 2" xfId="49726" xr:uid="{11DD86E6-D520-47F9-BB92-0C18840CDC98}"/>
    <cellStyle name="Normal 4 2 6 3 2 2 2 3" xfId="37135" xr:uid="{4A12B86F-1706-477E-BA30-5D57919874AF}"/>
    <cellStyle name="Normal 4 2 6 3 2 2 3" xfId="17956" xr:uid="{DC905CF6-FC59-46A8-A1AD-CE2DD9CEF96C}"/>
    <cellStyle name="Normal 4 2 6 3 2 2 3 2" xfId="43448" xr:uid="{613E0426-5B8C-48E6-A5A6-4958E5A31AD4}"/>
    <cellStyle name="Normal 4 2 6 3 2 2 4" xfId="30857" xr:uid="{C15C49C5-0E77-4A72-967C-119FAD8C2385}"/>
    <cellStyle name="Normal 4 2 6 3 2 3" xfId="8413" xr:uid="{9064C4F2-89CF-4714-9EED-166BBCA8CEDE}"/>
    <cellStyle name="Normal 4 2 6 3 2 3 2" xfId="21095" xr:uid="{8F8D5DEA-63EC-4532-B60C-B4123834AED2}"/>
    <cellStyle name="Normal 4 2 6 3 2 3 2 2" xfId="46587" xr:uid="{286930A5-C405-466A-B50A-40C780C78B06}"/>
    <cellStyle name="Normal 4 2 6 3 2 3 3" xfId="33996" xr:uid="{C673B80F-BBE9-47B6-AAA7-8EE475E614A1}"/>
    <cellStyle name="Normal 4 2 6 3 2 4" xfId="14817" xr:uid="{294E732B-50E0-4119-8129-AE68FD36AB71}"/>
    <cellStyle name="Normal 4 2 6 3 2 4 2" xfId="40309" xr:uid="{D5CC0BAD-0113-4134-A984-14ED4C56BD86}"/>
    <cellStyle name="Normal 4 2 6 3 2 5" xfId="27718" xr:uid="{1FED295A-34F1-474A-A4B8-58CF195964CA}"/>
    <cellStyle name="Normal 4 2 6 3 3" xfId="3952" xr:uid="{E64CDE04-6C5F-4E78-8C1F-DCE30A6337E5}"/>
    <cellStyle name="Normal 4 2 6 3 3 2" xfId="10245" xr:uid="{575F6E6B-C5F8-4195-AC4E-622CABCA79B8}"/>
    <cellStyle name="Normal 4 2 6 3 3 2 2" xfId="22927" xr:uid="{E9455197-2F67-4866-AA9A-E488E5582040}"/>
    <cellStyle name="Normal 4 2 6 3 3 2 2 2" xfId="48419" xr:uid="{EBAFD913-F88E-4DAD-BCE7-57D2976D444A}"/>
    <cellStyle name="Normal 4 2 6 3 3 2 3" xfId="35828" xr:uid="{2390B419-EDFE-4410-A63A-1402B07F94E4}"/>
    <cellStyle name="Normal 4 2 6 3 3 3" xfId="16649" xr:uid="{35E8CAAC-3922-4745-9974-AAB55C62A83D}"/>
    <cellStyle name="Normal 4 2 6 3 3 3 2" xfId="42141" xr:uid="{6AA68DCD-4704-4315-982C-0D469BA5C388}"/>
    <cellStyle name="Normal 4 2 6 3 3 4" xfId="29550" xr:uid="{E5ADAA4F-E698-445F-846E-C0D757341FEF}"/>
    <cellStyle name="Normal 4 2 6 3 4" xfId="7106" xr:uid="{2528F737-68ED-44CB-8A54-EEA9CF23CC4A}"/>
    <cellStyle name="Normal 4 2 6 3 4 2" xfId="19788" xr:uid="{C24A1267-2B1A-4B0F-8F58-BDDBC37D4A42}"/>
    <cellStyle name="Normal 4 2 6 3 4 2 2" xfId="45280" xr:uid="{CFF9AA58-0AB4-45AC-94FA-8DBBFAC830B9}"/>
    <cellStyle name="Normal 4 2 6 3 4 3" xfId="32689" xr:uid="{095EAB9C-FE02-4382-82C0-14AD2712314D}"/>
    <cellStyle name="Normal 4 2 6 3 5" xfId="13510" xr:uid="{C1A395DA-5AA3-4473-A4D8-3D454189A577}"/>
    <cellStyle name="Normal 4 2 6 3 5 2" xfId="39002" xr:uid="{BD109601-4DB2-4E00-9EC4-6686358D3391}"/>
    <cellStyle name="Normal 4 2 6 3 6" xfId="26411" xr:uid="{691B50A4-F984-45A6-B10B-85B4AC90ECC4}"/>
    <cellStyle name="Normal 4 2 6 4" xfId="1843" xr:uid="{B4648546-3DFD-4CBD-874D-A3AD266941B4}"/>
    <cellStyle name="Normal 4 2 6 4 2" xfId="4997" xr:uid="{04E6C6D4-8E8E-4857-8555-467FC9C9FF67}"/>
    <cellStyle name="Normal 4 2 6 4 2 2" xfId="11290" xr:uid="{04C8D854-2B16-4E05-988E-8D214A6B6D47}"/>
    <cellStyle name="Normal 4 2 6 4 2 2 2" xfId="23972" xr:uid="{6FCA4AAB-94DD-4836-A305-C2F11580E69A}"/>
    <cellStyle name="Normal 4 2 6 4 2 2 2 2" xfId="49464" xr:uid="{AC7666EF-BA57-42DC-BC98-4DBB8D534925}"/>
    <cellStyle name="Normal 4 2 6 4 2 2 3" xfId="36873" xr:uid="{4449DABC-69F4-499D-A941-F9A588F9DFFB}"/>
    <cellStyle name="Normal 4 2 6 4 2 3" xfId="17694" xr:uid="{5D608770-365C-44FD-A02D-C286636FA94B}"/>
    <cellStyle name="Normal 4 2 6 4 2 3 2" xfId="43186" xr:uid="{87FA0786-AC57-4802-AFE5-C5648B7D3196}"/>
    <cellStyle name="Normal 4 2 6 4 2 4" xfId="30595" xr:uid="{FB0A9C72-52B8-486D-B329-E6736D9A1F45}"/>
    <cellStyle name="Normal 4 2 6 4 3" xfId="8151" xr:uid="{190C753D-0B19-4E2C-AD17-346F7F5A172B}"/>
    <cellStyle name="Normal 4 2 6 4 3 2" xfId="20833" xr:uid="{D5249BC8-E336-4FA8-8E98-5BAAE8B73F75}"/>
    <cellStyle name="Normal 4 2 6 4 3 2 2" xfId="46325" xr:uid="{6804B9A5-86DB-4F04-9DB5-989A4E25C504}"/>
    <cellStyle name="Normal 4 2 6 4 3 3" xfId="33734" xr:uid="{29582FF2-42BC-4309-AA6D-A2793585CA38}"/>
    <cellStyle name="Normal 4 2 6 4 4" xfId="14555" xr:uid="{1306B4B5-8685-428F-8191-FF51C4DCD9C5}"/>
    <cellStyle name="Normal 4 2 6 4 4 2" xfId="40047" xr:uid="{35A105DA-EE80-44D1-A923-F9E74FC844D2}"/>
    <cellStyle name="Normal 4 2 6 4 5" xfId="27456" xr:uid="{F1608F3D-E2B5-4C33-8922-CCB54F4C7CC0}"/>
    <cellStyle name="Normal 4 2 6 5" xfId="1321" xr:uid="{0B9E1CF1-748F-4AAB-BD38-28BD2B8708F5}"/>
    <cellStyle name="Normal 4 2 6 5 2" xfId="4475" xr:uid="{9BDB14FB-7F95-447F-9F29-C55A5AF2B6E1}"/>
    <cellStyle name="Normal 4 2 6 5 2 2" xfId="10768" xr:uid="{FCAF8379-2F5F-4A5B-A796-5E33142341C2}"/>
    <cellStyle name="Normal 4 2 6 5 2 2 2" xfId="23450" xr:uid="{7A7C891B-66CA-48A5-9599-CC8A19E0F1BB}"/>
    <cellStyle name="Normal 4 2 6 5 2 2 2 2" xfId="48942" xr:uid="{7194B681-AAA9-4163-8C34-63AFC8B5D379}"/>
    <cellStyle name="Normal 4 2 6 5 2 2 3" xfId="36351" xr:uid="{3BF045A3-7632-475A-8025-1755B00D6E5D}"/>
    <cellStyle name="Normal 4 2 6 5 2 3" xfId="17172" xr:uid="{4F69FC3B-1B56-4C4E-95A9-E88A690E53D0}"/>
    <cellStyle name="Normal 4 2 6 5 2 3 2" xfId="42664" xr:uid="{BD5A2C5E-DAD4-43BA-99C7-534A101998E9}"/>
    <cellStyle name="Normal 4 2 6 5 2 4" xfId="30073" xr:uid="{ABF96A3E-3AC7-4B17-BAA6-4576323446BF}"/>
    <cellStyle name="Normal 4 2 6 5 3" xfId="7629" xr:uid="{1E420690-B760-4E43-8108-95C5F0F92D48}"/>
    <cellStyle name="Normal 4 2 6 5 3 2" xfId="20311" xr:uid="{B744D960-C693-4C01-822F-C9BF1E5B0965}"/>
    <cellStyle name="Normal 4 2 6 5 3 2 2" xfId="45803" xr:uid="{5E5F4E76-B313-4BBA-9A73-F49E93C930D7}"/>
    <cellStyle name="Normal 4 2 6 5 3 3" xfId="33212" xr:uid="{C465D95F-E1EB-42BC-8388-37E17CD3A1B0}"/>
    <cellStyle name="Normal 4 2 6 5 4" xfId="14033" xr:uid="{638D1B27-8779-4D56-8B89-3127E94A0EED}"/>
    <cellStyle name="Normal 4 2 6 5 4 2" xfId="39525" xr:uid="{F83878F4-CE3B-4CBC-841B-9084C3A81EF1}"/>
    <cellStyle name="Normal 4 2 6 5 5" xfId="26934" xr:uid="{A1522787-F759-4DAC-81CF-5BC6CA1F0AC7}"/>
    <cellStyle name="Normal 4 2 6 6" xfId="2628" xr:uid="{D05BB7CE-EB8B-41DE-BE73-26BE0E7ED279}"/>
    <cellStyle name="Normal 4 2 6 6 2" xfId="5782" xr:uid="{E3853608-9F2F-488C-8C09-6841E1283582}"/>
    <cellStyle name="Normal 4 2 6 6 2 2" xfId="12075" xr:uid="{A2823C46-5596-498E-842B-B6CBE1DB7600}"/>
    <cellStyle name="Normal 4 2 6 6 2 2 2" xfId="24757" xr:uid="{7EF920E5-D49D-492C-BADE-780D6348CB94}"/>
    <cellStyle name="Normal 4 2 6 6 2 2 2 2" xfId="50249" xr:uid="{C4545E79-2F5A-42D5-928D-2DE74527E2EC}"/>
    <cellStyle name="Normal 4 2 6 6 2 2 3" xfId="37658" xr:uid="{9F54D9A6-E568-4C92-9AE6-A88045CB559A}"/>
    <cellStyle name="Normal 4 2 6 6 2 3" xfId="18479" xr:uid="{4916E9A5-08A0-47CF-B916-0305F0F67E93}"/>
    <cellStyle name="Normal 4 2 6 6 2 3 2" xfId="43971" xr:uid="{827D536C-F6BA-4D11-A3D3-2A2A1FE807F7}"/>
    <cellStyle name="Normal 4 2 6 6 2 4" xfId="31380" xr:uid="{4CDB0CD2-935D-4F79-9871-F1338F20FB99}"/>
    <cellStyle name="Normal 4 2 6 6 3" xfId="8936" xr:uid="{7B431184-028B-4BDB-B115-49DACBF120EF}"/>
    <cellStyle name="Normal 4 2 6 6 3 2" xfId="21618" xr:uid="{AE396173-3564-4E30-AE8E-F7CEDBA0CD27}"/>
    <cellStyle name="Normal 4 2 6 6 3 2 2" xfId="47110" xr:uid="{558E2870-BA47-4389-BE93-48830E3594DF}"/>
    <cellStyle name="Normal 4 2 6 6 3 3" xfId="34519" xr:uid="{9FF21BD9-EB04-43F2-9165-C43D9BF189FF}"/>
    <cellStyle name="Normal 4 2 6 6 4" xfId="15340" xr:uid="{A8F103B2-E53E-49F0-8C99-458AF8C9FB60}"/>
    <cellStyle name="Normal 4 2 6 6 4 2" xfId="40832" xr:uid="{6CB0289D-04D6-4FF5-9F2D-5BB4F8C1987F}"/>
    <cellStyle name="Normal 4 2 6 6 5" xfId="28241" xr:uid="{C1A58C75-2D80-45D0-A036-7015FF6BC85F}"/>
    <cellStyle name="Normal 4 2 6 7" xfId="3151" xr:uid="{7B10BF55-12D8-4BB4-BFC6-18D2678FC6B9}"/>
    <cellStyle name="Normal 4 2 6 7 2" xfId="6305" xr:uid="{664C4124-A871-47F5-81B8-446C61809B79}"/>
    <cellStyle name="Normal 4 2 6 7 2 2" xfId="12598" xr:uid="{AB9E4F3F-EEA4-4C09-8D4D-78BA0E476DCF}"/>
    <cellStyle name="Normal 4 2 6 7 2 2 2" xfId="25280" xr:uid="{6B3E330B-FC08-4352-9BEC-2949476F0CAC}"/>
    <cellStyle name="Normal 4 2 6 7 2 2 2 2" xfId="50772" xr:uid="{38BF12BF-8C65-4D4A-9E6F-D8FB912DBDF1}"/>
    <cellStyle name="Normal 4 2 6 7 2 2 3" xfId="38181" xr:uid="{8759490E-38D8-478F-92C3-54892B255E04}"/>
    <cellStyle name="Normal 4 2 6 7 2 3" xfId="19002" xr:uid="{4B74F6FD-AE4A-43BB-B9B3-0D4E3023A8CA}"/>
    <cellStyle name="Normal 4 2 6 7 2 3 2" xfId="44494" xr:uid="{5374AE08-92B2-474E-83A0-8CA08F4281B0}"/>
    <cellStyle name="Normal 4 2 6 7 2 4" xfId="31903" xr:uid="{C301FB3B-4280-4188-B7C9-6E5C62A286AD}"/>
    <cellStyle name="Normal 4 2 6 7 3" xfId="9459" xr:uid="{A94D6F20-78A9-4292-A366-29C54F89CB36}"/>
    <cellStyle name="Normal 4 2 6 7 3 2" xfId="22141" xr:uid="{B05ABC8B-4DC4-407A-9531-741F693BD379}"/>
    <cellStyle name="Normal 4 2 6 7 3 2 2" xfId="47633" xr:uid="{29E234C4-9CC7-470F-B00E-A2519092769E}"/>
    <cellStyle name="Normal 4 2 6 7 3 3" xfId="35042" xr:uid="{6D16B727-C11E-4786-9E2B-A2629B93EEF9}"/>
    <cellStyle name="Normal 4 2 6 7 4" xfId="15863" xr:uid="{4380B1D9-6FEB-47A3-944B-AE398ADCC2FB}"/>
    <cellStyle name="Normal 4 2 6 7 4 2" xfId="41355" xr:uid="{A18A0E31-8369-4DB6-8C36-ACAB171E49F5}"/>
    <cellStyle name="Normal 4 2 6 7 5" xfId="28764" xr:uid="{7DF0E9FF-7D33-4EC7-9AC1-BAD1507E10F9}"/>
    <cellStyle name="Normal 4 2 6 8" xfId="3690" xr:uid="{0084B161-648F-48EA-ADE5-7D799B2347A9}"/>
    <cellStyle name="Normal 4 2 6 8 2" xfId="9983" xr:uid="{9CA1E90F-1DD4-401A-835D-C8FA9263DF16}"/>
    <cellStyle name="Normal 4 2 6 8 2 2" xfId="22665" xr:uid="{B9F98A79-0F62-4D5A-83C0-7549CAB73CBD}"/>
    <cellStyle name="Normal 4 2 6 8 2 2 2" xfId="48157" xr:uid="{C7C67969-DE90-4CC7-B116-916FDBD1BC25}"/>
    <cellStyle name="Normal 4 2 6 8 2 3" xfId="35566" xr:uid="{36F1DF7D-F4A8-437C-89E3-4EC8EA3212E5}"/>
    <cellStyle name="Normal 4 2 6 8 3" xfId="16387" xr:uid="{6A331A8F-57B4-4410-9C90-47F0AE32C562}"/>
    <cellStyle name="Normal 4 2 6 8 3 2" xfId="41879" xr:uid="{B02E70F6-F0AE-4940-9C41-79F4EE847E85}"/>
    <cellStyle name="Normal 4 2 6 8 4" xfId="29288" xr:uid="{4CC759DF-D4FA-4ADC-938A-3360839014C9}"/>
    <cellStyle name="Normal 4 2 6 9" xfId="6844" xr:uid="{080071B8-1B42-4FEE-B25A-D061FB8E087D}"/>
    <cellStyle name="Normal 4 2 6 9 2" xfId="19526" xr:uid="{5BDB5B79-286F-47F1-9511-425D9550BF58}"/>
    <cellStyle name="Normal 4 2 6 9 2 2" xfId="45018" xr:uid="{5BB7766C-258F-4D42-A714-1749E7EA3EBB}"/>
    <cellStyle name="Normal 4 2 6 9 3" xfId="32427" xr:uid="{EEA1E86C-02BA-4793-AED5-66D587C88D32}"/>
    <cellStyle name="Normal 4 2 7" xfId="957" xr:uid="{2BB72070-81FD-4862-8DCE-8A0FD1E3E834}"/>
    <cellStyle name="Normal 4 2 7 2" xfId="2264" xr:uid="{BD560562-B498-43C3-B64E-4E0895F49323}"/>
    <cellStyle name="Normal 4 2 7 2 2" xfId="5418" xr:uid="{67B6163F-92DE-4733-862D-920251F21DB7}"/>
    <cellStyle name="Normal 4 2 7 2 2 2" xfId="11711" xr:uid="{11480B94-9DEA-4854-8453-7197C4C6CAC6}"/>
    <cellStyle name="Normal 4 2 7 2 2 2 2" xfId="24393" xr:uid="{B9E4141A-955E-4CC6-8D05-F8CA63B375CE}"/>
    <cellStyle name="Normal 4 2 7 2 2 2 2 2" xfId="49885" xr:uid="{345FA3AD-C15B-410B-8749-5AACD709A25D}"/>
    <cellStyle name="Normal 4 2 7 2 2 2 3" xfId="37294" xr:uid="{16437210-753B-441D-B1F2-0183C04EFF9E}"/>
    <cellStyle name="Normal 4 2 7 2 2 3" xfId="18115" xr:uid="{DCE8F06C-485A-45A0-A50F-39D842F4DFB7}"/>
    <cellStyle name="Normal 4 2 7 2 2 3 2" xfId="43607" xr:uid="{B74AA72F-82DE-4FE6-A741-A0DDF904E065}"/>
    <cellStyle name="Normal 4 2 7 2 2 4" xfId="31016" xr:uid="{B7203D18-0C71-4F61-8B5A-432D1E003539}"/>
    <cellStyle name="Normal 4 2 7 2 3" xfId="8572" xr:uid="{A90D6B7A-8154-449F-AA58-562FAECB8F1A}"/>
    <cellStyle name="Normal 4 2 7 2 3 2" xfId="21254" xr:uid="{3859B5F6-8EB7-4E55-91E2-2C5477C88F31}"/>
    <cellStyle name="Normal 4 2 7 2 3 2 2" xfId="46746" xr:uid="{36338380-CAEA-4058-9C38-B3588B901865}"/>
    <cellStyle name="Normal 4 2 7 2 3 3" xfId="34155" xr:uid="{57BBBF8F-969C-48A3-A7D5-60FEF0849AF4}"/>
    <cellStyle name="Normal 4 2 7 2 4" xfId="14976" xr:uid="{FF30A593-3F4A-41BE-BFFC-FED063C80FB0}"/>
    <cellStyle name="Normal 4 2 7 2 4 2" xfId="40468" xr:uid="{34A2C3F3-F19F-4C94-B29E-2041AEAFFDB7}"/>
    <cellStyle name="Normal 4 2 7 2 5" xfId="27877" xr:uid="{22282E26-B07B-40FD-9185-313B0D00935D}"/>
    <cellStyle name="Normal 4 2 7 3" xfId="1481" xr:uid="{A187C596-3B42-4193-9A62-1673279F5927}"/>
    <cellStyle name="Normal 4 2 7 3 2" xfId="4635" xr:uid="{7AC43D22-5BA7-4A0C-A31A-8E54644C160A}"/>
    <cellStyle name="Normal 4 2 7 3 2 2" xfId="10928" xr:uid="{8A61C18B-650B-4475-918C-89DED58AF20A}"/>
    <cellStyle name="Normal 4 2 7 3 2 2 2" xfId="23610" xr:uid="{453CE73F-8E10-4BC4-A07A-CA255B110512}"/>
    <cellStyle name="Normal 4 2 7 3 2 2 2 2" xfId="49102" xr:uid="{C5A75074-E49D-41CA-8DE0-89722F02B55F}"/>
    <cellStyle name="Normal 4 2 7 3 2 2 3" xfId="36511" xr:uid="{86120710-735A-4330-901C-8199B0C3A870}"/>
    <cellStyle name="Normal 4 2 7 3 2 3" xfId="17332" xr:uid="{F379A369-6538-45C1-ABB6-FEF43C30DE79}"/>
    <cellStyle name="Normal 4 2 7 3 2 3 2" xfId="42824" xr:uid="{F782C4DE-0FFF-45F2-8345-C968598CB0B8}"/>
    <cellStyle name="Normal 4 2 7 3 2 4" xfId="30233" xr:uid="{B634DD08-F669-4655-8135-A7326F854759}"/>
    <cellStyle name="Normal 4 2 7 3 3" xfId="7789" xr:uid="{56C9017C-E74A-4FAA-8D93-463B64AAA7F7}"/>
    <cellStyle name="Normal 4 2 7 3 3 2" xfId="20471" xr:uid="{695BBE5D-816D-435E-B865-8411B2836DDD}"/>
    <cellStyle name="Normal 4 2 7 3 3 2 2" xfId="45963" xr:uid="{036ACFEC-4660-4CAC-AAEE-406BA11F43BA}"/>
    <cellStyle name="Normal 4 2 7 3 3 3" xfId="33372" xr:uid="{64C0805C-8319-48BF-BE48-144A31F878BA}"/>
    <cellStyle name="Normal 4 2 7 3 4" xfId="14193" xr:uid="{3E821928-B656-4685-B68A-2324CA3DABC4}"/>
    <cellStyle name="Normal 4 2 7 3 4 2" xfId="39685" xr:uid="{A20D9989-5DCC-4E31-BDA4-FEEF5919A558}"/>
    <cellStyle name="Normal 4 2 7 3 5" xfId="27094" xr:uid="{6573E1F7-AE16-4AD0-BE8A-1355E3192C91}"/>
    <cellStyle name="Normal 4 2 7 4" xfId="2788" xr:uid="{3E24E18F-F4DA-46E2-8A67-4335AC1C5EC1}"/>
    <cellStyle name="Normal 4 2 7 4 2" xfId="5942" xr:uid="{0E872002-6BA7-4EB2-A637-C2CE730602F6}"/>
    <cellStyle name="Normal 4 2 7 4 2 2" xfId="12235" xr:uid="{E1898DE1-51A9-4154-9B53-377E8E5C3DCA}"/>
    <cellStyle name="Normal 4 2 7 4 2 2 2" xfId="24917" xr:uid="{E3AFDAFB-1712-4E20-8296-2408ED0724A5}"/>
    <cellStyle name="Normal 4 2 7 4 2 2 2 2" xfId="50409" xr:uid="{F66444D7-8F59-4CD4-A80C-1B837927EBC5}"/>
    <cellStyle name="Normal 4 2 7 4 2 2 3" xfId="37818" xr:uid="{3913B1DC-237C-4B4D-8862-0DAF9C9F8B1E}"/>
    <cellStyle name="Normal 4 2 7 4 2 3" xfId="18639" xr:uid="{E2D7E817-496B-435D-A031-0FA989CD7AE3}"/>
    <cellStyle name="Normal 4 2 7 4 2 3 2" xfId="44131" xr:uid="{D9F28BCA-63AD-499F-80E0-F30641359313}"/>
    <cellStyle name="Normal 4 2 7 4 2 4" xfId="31540" xr:uid="{1FA9F6E3-3185-4CA9-AFEF-0F0EA57239BB}"/>
    <cellStyle name="Normal 4 2 7 4 3" xfId="9096" xr:uid="{DC63C979-12B2-403A-93E8-9A18FE269467}"/>
    <cellStyle name="Normal 4 2 7 4 3 2" xfId="21778" xr:uid="{C1F53843-4402-424A-A9C7-76A12B0AC286}"/>
    <cellStyle name="Normal 4 2 7 4 3 2 2" xfId="47270" xr:uid="{E8CBCD98-048F-4278-B0DD-2513D8ECEDBF}"/>
    <cellStyle name="Normal 4 2 7 4 3 3" xfId="34679" xr:uid="{1850C6E6-9431-4F1B-8605-95F56791672C}"/>
    <cellStyle name="Normal 4 2 7 4 4" xfId="15500" xr:uid="{C81070BB-6F8A-40C0-B5A4-25BE23A14809}"/>
    <cellStyle name="Normal 4 2 7 4 4 2" xfId="40992" xr:uid="{75422485-980C-4114-BFB5-F414DB9B543B}"/>
    <cellStyle name="Normal 4 2 7 4 5" xfId="28401" xr:uid="{6BEC07EB-D69A-456D-9F73-34E5B90C33E7}"/>
    <cellStyle name="Normal 4 2 7 5" xfId="3311" xr:uid="{CD6FB288-FC4C-4A58-BF09-B16D62B4A58B}"/>
    <cellStyle name="Normal 4 2 7 5 2" xfId="6465" xr:uid="{B62FA5B4-5A0E-42C6-8C39-813748E0C601}"/>
    <cellStyle name="Normal 4 2 7 5 2 2" xfId="12758" xr:uid="{AC7027D9-25A5-46C9-BF53-9699EBF8230A}"/>
    <cellStyle name="Normal 4 2 7 5 2 2 2" xfId="25440" xr:uid="{9DFFC29F-73AE-4DBF-871B-EF2F66496660}"/>
    <cellStyle name="Normal 4 2 7 5 2 2 2 2" xfId="50932" xr:uid="{39259D96-551A-41AF-AE1F-4F90EEAD3C7B}"/>
    <cellStyle name="Normal 4 2 7 5 2 2 3" xfId="38341" xr:uid="{AFC5FDE0-43DF-488F-BEAC-BD01DAFD6B7E}"/>
    <cellStyle name="Normal 4 2 7 5 2 3" xfId="19162" xr:uid="{F3035A71-36AB-4492-819B-8C88402520C6}"/>
    <cellStyle name="Normal 4 2 7 5 2 3 2" xfId="44654" xr:uid="{8BCBE713-D913-4469-B889-D44992479455}"/>
    <cellStyle name="Normal 4 2 7 5 2 4" xfId="32063" xr:uid="{0C102927-33DB-4D1F-B7CE-54C85AFC7D20}"/>
    <cellStyle name="Normal 4 2 7 5 3" xfId="9619" xr:uid="{1E15B8A3-9695-4D38-BCDA-D77E745B5CE0}"/>
    <cellStyle name="Normal 4 2 7 5 3 2" xfId="22301" xr:uid="{7B2FE528-6838-4DBF-82B5-853A33D6902B}"/>
    <cellStyle name="Normal 4 2 7 5 3 2 2" xfId="47793" xr:uid="{6E9EFCEB-952D-4E37-BCE7-7B75FE998DFF}"/>
    <cellStyle name="Normal 4 2 7 5 3 3" xfId="35202" xr:uid="{8050B4C9-59B3-4D12-91C0-2AAEB9A0F174}"/>
    <cellStyle name="Normal 4 2 7 5 4" xfId="16023" xr:uid="{DDBDA083-E090-4316-97B0-C2F8ED588DC5}"/>
    <cellStyle name="Normal 4 2 7 5 4 2" xfId="41515" xr:uid="{3DEBF10C-D98E-4B9B-9CAF-C438EF0105F9}"/>
    <cellStyle name="Normal 4 2 7 5 5" xfId="28924" xr:uid="{C726A2EB-57BC-4147-8BDE-6B433C26F8E1}"/>
    <cellStyle name="Normal 4 2 7 6" xfId="4111" xr:uid="{6E860606-7385-459E-BDBF-644B006F59F8}"/>
    <cellStyle name="Normal 4 2 7 6 2" xfId="10404" xr:uid="{60B95ABC-2CF1-4D2A-82F2-F7F007BAFCA5}"/>
    <cellStyle name="Normal 4 2 7 6 2 2" xfId="23086" xr:uid="{C3F355BE-7B31-4908-968B-611D2AD9E820}"/>
    <cellStyle name="Normal 4 2 7 6 2 2 2" xfId="48578" xr:uid="{6405CE59-F8A1-4C30-AD50-3944997722FA}"/>
    <cellStyle name="Normal 4 2 7 6 2 3" xfId="35987" xr:uid="{2606152B-AF79-4200-8B23-64D8C6A09281}"/>
    <cellStyle name="Normal 4 2 7 6 3" xfId="16808" xr:uid="{34E6B73A-749A-49DF-99CC-BBCAEDDC2EB0}"/>
    <cellStyle name="Normal 4 2 7 6 3 2" xfId="42300" xr:uid="{7BF66867-7802-40D4-B419-042AEFB35F1C}"/>
    <cellStyle name="Normal 4 2 7 6 4" xfId="29709" xr:uid="{AB5B5459-9FEE-4685-AA9D-C688B0223155}"/>
    <cellStyle name="Normal 4 2 7 7" xfId="7265" xr:uid="{04ADCEDC-E76E-4E5B-A96F-DD074282BA80}"/>
    <cellStyle name="Normal 4 2 7 7 2" xfId="19947" xr:uid="{7DBB81BD-3F05-4F1B-8F72-74ADA92D1069}"/>
    <cellStyle name="Normal 4 2 7 7 2 2" xfId="45439" xr:uid="{3710620C-AC41-4997-B664-B3E706855A4C}"/>
    <cellStyle name="Normal 4 2 7 7 3" xfId="32848" xr:uid="{3183F2FE-F8C3-4619-9720-B8909FC95C5D}"/>
    <cellStyle name="Normal 4 2 7 8" xfId="13669" xr:uid="{B6528C3E-D26C-4675-B913-48E8F898D6DD}"/>
    <cellStyle name="Normal 4 2 7 8 2" xfId="39161" xr:uid="{8030BC55-A3C5-4592-8157-D77213446295}"/>
    <cellStyle name="Normal 4 2 7 9" xfId="26570" xr:uid="{F1C64966-9607-44A7-A4D5-DC3041C9B0E9}"/>
    <cellStyle name="Normal 4 2 8" xfId="697" xr:uid="{475019B3-64A2-4265-B388-918BC03E1EDC}"/>
    <cellStyle name="Normal 4 2 8 2" xfId="2004" xr:uid="{75F674DC-C806-4CFA-8505-B62C7270C867}"/>
    <cellStyle name="Normal 4 2 8 2 2" xfId="5158" xr:uid="{3F01D038-05C5-4C02-8EDE-2B8BC30CA1D5}"/>
    <cellStyle name="Normal 4 2 8 2 2 2" xfId="11451" xr:uid="{280352C3-0E5C-4697-8129-BA7976583E5B}"/>
    <cellStyle name="Normal 4 2 8 2 2 2 2" xfId="24133" xr:uid="{A7A7DD3D-4393-4679-A976-C7A3D56D9ABD}"/>
    <cellStyle name="Normal 4 2 8 2 2 2 2 2" xfId="49625" xr:uid="{B62C052B-181D-489B-9E3B-6EFAF2CABF4D}"/>
    <cellStyle name="Normal 4 2 8 2 2 2 3" xfId="37034" xr:uid="{C9DF9763-CE4D-49EC-B7DD-2B769768CA4D}"/>
    <cellStyle name="Normal 4 2 8 2 2 3" xfId="17855" xr:uid="{48E05981-CA2F-4CE0-9BA7-1B748A049C67}"/>
    <cellStyle name="Normal 4 2 8 2 2 3 2" xfId="43347" xr:uid="{0F05FCC6-1E08-4F3F-96B3-1F77FF28F955}"/>
    <cellStyle name="Normal 4 2 8 2 2 4" xfId="30756" xr:uid="{B4F731D0-6667-4785-8F95-099A9DD53443}"/>
    <cellStyle name="Normal 4 2 8 2 3" xfId="8312" xr:uid="{FEB90E2A-BF17-42E0-8C60-7EB5825F8FF7}"/>
    <cellStyle name="Normal 4 2 8 2 3 2" xfId="20994" xr:uid="{9FA3F919-CD59-40ED-9DD1-F042FCBD81A7}"/>
    <cellStyle name="Normal 4 2 8 2 3 2 2" xfId="46486" xr:uid="{1D6130F7-DF05-4F04-B45D-219DBB5813AB}"/>
    <cellStyle name="Normal 4 2 8 2 3 3" xfId="33895" xr:uid="{F060D56A-715A-4AFB-AB40-83049AD390BD}"/>
    <cellStyle name="Normal 4 2 8 2 4" xfId="14716" xr:uid="{F8C2FDBB-AA1C-4463-A2AE-CA7D11F3756C}"/>
    <cellStyle name="Normal 4 2 8 2 4 2" xfId="40208" xr:uid="{DBE5B2D9-8713-4434-A617-22BAA4E9EFB9}"/>
    <cellStyle name="Normal 4 2 8 2 5" xfId="27617" xr:uid="{1E15C551-B3FE-460B-914D-6940048FC763}"/>
    <cellStyle name="Normal 4 2 8 3" xfId="3851" xr:uid="{9D0CC02C-7B27-4D66-A9FD-42BDAD6CDE12}"/>
    <cellStyle name="Normal 4 2 8 3 2" xfId="10144" xr:uid="{B14FEB50-8F5B-4F69-81ED-125FA7432D36}"/>
    <cellStyle name="Normal 4 2 8 3 2 2" xfId="22826" xr:uid="{E585B1DF-B685-4478-82F0-3EA0891D778F}"/>
    <cellStyle name="Normal 4 2 8 3 2 2 2" xfId="48318" xr:uid="{0226457B-C0F0-46D9-9E41-4B2601AECD6E}"/>
    <cellStyle name="Normal 4 2 8 3 2 3" xfId="35727" xr:uid="{CEC671CA-4FCD-407E-86FA-657EC4A903AE}"/>
    <cellStyle name="Normal 4 2 8 3 3" xfId="16548" xr:uid="{F53D9BED-65FD-40D3-9EA4-68A518CFE178}"/>
    <cellStyle name="Normal 4 2 8 3 3 2" xfId="42040" xr:uid="{B73254C3-441D-4D9B-A18C-B72857BD5E41}"/>
    <cellStyle name="Normal 4 2 8 3 4" xfId="29449" xr:uid="{7217907B-518B-4D49-A5FD-BC3B0D24A7AB}"/>
    <cellStyle name="Normal 4 2 8 4" xfId="7005" xr:uid="{64F29C66-488B-417C-A9A4-5DBBF99B1280}"/>
    <cellStyle name="Normal 4 2 8 4 2" xfId="19687" xr:uid="{0E71266D-2465-4A1E-BEE5-C3DFA0C5A810}"/>
    <cellStyle name="Normal 4 2 8 4 2 2" xfId="45179" xr:uid="{212C4F37-1619-41D3-8A64-E02352D3B872}"/>
    <cellStyle name="Normal 4 2 8 4 3" xfId="32588" xr:uid="{AC5C5C96-CFDF-4C26-ABDD-42FE3829AD45}"/>
    <cellStyle name="Normal 4 2 8 5" xfId="13409" xr:uid="{D1F5637F-E95B-45A9-9587-7D2E34491616}"/>
    <cellStyle name="Normal 4 2 8 5 2" xfId="38901" xr:uid="{AA573D37-D6C3-404B-A784-4C5B5C9CC934}"/>
    <cellStyle name="Normal 4 2 8 6" xfId="26310" xr:uid="{7E007D09-23B0-45BF-97D6-0984CC2A5B28}"/>
    <cellStyle name="Normal 4 2 9" xfId="1742" xr:uid="{0262E35D-4669-493A-85D2-8AF36B921513}"/>
    <cellStyle name="Normal 4 2 9 2" xfId="4896" xr:uid="{99372618-0B0B-461A-8787-D81DC5505BF1}"/>
    <cellStyle name="Normal 4 2 9 2 2" xfId="11189" xr:uid="{508BAEEE-0F14-4718-9FDA-F7B62CEBE3E9}"/>
    <cellStyle name="Normal 4 2 9 2 2 2" xfId="23871" xr:uid="{5BAE0F73-D7E3-46A1-8FC5-40F94691EE40}"/>
    <cellStyle name="Normal 4 2 9 2 2 2 2" xfId="49363" xr:uid="{723D60A4-9C4C-4AE7-A8A1-50FE5459439D}"/>
    <cellStyle name="Normal 4 2 9 2 2 3" xfId="36772" xr:uid="{13C6B018-A108-4725-9F40-308D6743A8D6}"/>
    <cellStyle name="Normal 4 2 9 2 3" xfId="17593" xr:uid="{3229310A-E036-40DF-B0B3-C5B186122B27}"/>
    <cellStyle name="Normal 4 2 9 2 3 2" xfId="43085" xr:uid="{64FF4A80-432A-4CE9-A4C2-111240EFEBC5}"/>
    <cellStyle name="Normal 4 2 9 2 4" xfId="30494" xr:uid="{30452386-92B6-4CDA-83BC-172A1E3AAA43}"/>
    <cellStyle name="Normal 4 2 9 3" xfId="8050" xr:uid="{19F5D60E-F9FF-4994-93F2-DEA0499E0EF8}"/>
    <cellStyle name="Normal 4 2 9 3 2" xfId="20732" xr:uid="{54B7BA48-D942-4F75-AB58-A5E13E0611FE}"/>
    <cellStyle name="Normal 4 2 9 3 2 2" xfId="46224" xr:uid="{BAEB308D-C2C8-44D1-A95F-6BD961D613C1}"/>
    <cellStyle name="Normal 4 2 9 3 3" xfId="33633" xr:uid="{06D64D9C-5882-48E7-A074-84CF8BB1DA02}"/>
    <cellStyle name="Normal 4 2 9 4" xfId="14454" xr:uid="{7A352B0D-5241-4E29-8E9C-1322AF1F4A50}"/>
    <cellStyle name="Normal 4 2 9 4 2" xfId="39946" xr:uid="{B3FD4D14-403E-41B8-9C72-E311E1C44FC0}"/>
    <cellStyle name="Normal 4 2 9 5" xfId="27355" xr:uid="{9F502AFE-6909-4136-A450-0C92CFCC08BC}"/>
    <cellStyle name="Normal 4 20" xfId="221" xr:uid="{46C1642D-844B-4D3E-87FC-44B8E4E87D66}"/>
    <cellStyle name="Normal 4 3" xfId="130" xr:uid="{04391D1F-E89B-4AE2-BFCA-FEFD215CBD57}"/>
    <cellStyle name="Normal 4 3 10" xfId="3061" xr:uid="{902172BD-6E50-4DE7-A773-3A9BB96352A8}"/>
    <cellStyle name="Normal 4 3 10 2" xfId="6215" xr:uid="{8670203F-C2D0-440B-92B5-9FE2B6353D04}"/>
    <cellStyle name="Normal 4 3 10 2 2" xfId="12508" xr:uid="{FC96228E-359B-4CBE-8E26-C713BCA21729}"/>
    <cellStyle name="Normal 4 3 10 2 2 2" xfId="25190" xr:uid="{7F09AADF-A4A6-4B5C-9ADD-560A86929BA5}"/>
    <cellStyle name="Normal 4 3 10 2 2 2 2" xfId="50682" xr:uid="{EF014F0C-35E8-48AF-A985-8FACBFA2FF63}"/>
    <cellStyle name="Normal 4 3 10 2 2 3" xfId="38091" xr:uid="{2E3B0FA5-5AA4-4124-AA07-D2D570BC3812}"/>
    <cellStyle name="Normal 4 3 10 2 3" xfId="18912" xr:uid="{10BD1696-047C-4D33-865D-181489BD1422}"/>
    <cellStyle name="Normal 4 3 10 2 3 2" xfId="44404" xr:uid="{5536E1E6-8D49-4E78-901D-E32835BA1AE6}"/>
    <cellStyle name="Normal 4 3 10 2 4" xfId="31813" xr:uid="{36D61450-BF13-40B2-85EA-9F726DD182CD}"/>
    <cellStyle name="Normal 4 3 10 3" xfId="9369" xr:uid="{D8104458-214F-4915-A9A6-AA740C5D0FF3}"/>
    <cellStyle name="Normal 4 3 10 3 2" xfId="22051" xr:uid="{C6D29656-0A31-41D3-8901-7C64E3D03B9A}"/>
    <cellStyle name="Normal 4 3 10 3 2 2" xfId="47543" xr:uid="{C3BC8703-0ABE-4CAC-AD4C-25F0A3909485}"/>
    <cellStyle name="Normal 4 3 10 3 3" xfId="34952" xr:uid="{875C54AF-6BC5-40FB-95DF-EBA82AE6CEF1}"/>
    <cellStyle name="Normal 4 3 10 4" xfId="15773" xr:uid="{F13C03AD-53DB-4E33-8097-7DAE2C651BD2}"/>
    <cellStyle name="Normal 4 3 10 4 2" xfId="41265" xr:uid="{56AC8604-D911-40B8-81EE-F7125F2DA77C}"/>
    <cellStyle name="Normal 4 3 10 5" xfId="28674" xr:uid="{B5C6AE97-7970-47B6-A790-E3C0043F07C9}"/>
    <cellStyle name="Normal 4 3 11" xfId="3600" xr:uid="{D398388D-D8F4-482F-8FD9-67D377F70FB5}"/>
    <cellStyle name="Normal 4 3 11 2" xfId="9893" xr:uid="{7167FE0C-B936-4D39-9623-B11B72F46F0B}"/>
    <cellStyle name="Normal 4 3 11 2 2" xfId="22575" xr:uid="{65588C52-E776-443E-87B7-5F9EE8BE516C}"/>
    <cellStyle name="Normal 4 3 11 2 2 2" xfId="48067" xr:uid="{5876309D-3B4D-46C5-B0C8-85AA875040A0}"/>
    <cellStyle name="Normal 4 3 11 2 3" xfId="35476" xr:uid="{2FD69C07-DA3F-4195-80E2-D657B4611EFF}"/>
    <cellStyle name="Normal 4 3 11 3" xfId="16297" xr:uid="{F4EB1D6E-F3BB-44B7-9C08-F648ABAD5FBB}"/>
    <cellStyle name="Normal 4 3 11 3 2" xfId="41789" xr:uid="{0326BCF2-F64F-46D7-BB82-4AAAA28280F0}"/>
    <cellStyle name="Normal 4 3 11 4" xfId="29198" xr:uid="{3246A670-B92C-4A45-871A-3B3FF440F1B4}"/>
    <cellStyle name="Normal 4 3 12" xfId="6754" xr:uid="{6255E6C3-5714-4666-9F21-0749FF93A3F0}"/>
    <cellStyle name="Normal 4 3 12 2" xfId="19436" xr:uid="{71D8C138-5E11-41AE-98A6-4D3374761198}"/>
    <cellStyle name="Normal 4 3 12 2 2" xfId="44928" xr:uid="{C3381C4F-3AD2-4B22-8F2A-4FDDBC466DB2}"/>
    <cellStyle name="Normal 4 3 12 3" xfId="32337" xr:uid="{31859977-BAA7-46DE-A0FC-CA0475C9903F}"/>
    <cellStyle name="Normal 4 3 13" xfId="13158" xr:uid="{15D251D7-9ADE-4267-B62E-E77F05D905EF}"/>
    <cellStyle name="Normal 4 3 13 2" xfId="38650" xr:uid="{9DF2A73F-CD18-4C38-B803-EED0B03124CF}"/>
    <cellStyle name="Normal 4 3 14" xfId="26059" xr:uid="{DECDCEC8-CA09-4510-BA70-990B79E941D7}"/>
    <cellStyle name="Normal 4 3 15" xfId="431" xr:uid="{2A30F7B9-7054-4EA4-A195-0BB8C27834F5}"/>
    <cellStyle name="Normal 4 3 2" xfId="492" xr:uid="{54EFBD26-23FF-4333-8977-03B663DB9999}"/>
    <cellStyle name="Normal 4 3 2 10" xfId="6815" xr:uid="{8F2A382A-DACC-45BD-A5D6-F63806385EDB}"/>
    <cellStyle name="Normal 4 3 2 10 2" xfId="19497" xr:uid="{7F74B56C-8E2D-418F-871B-D5153BB5DBF5}"/>
    <cellStyle name="Normal 4 3 2 10 2 2" xfId="44989" xr:uid="{FAD1C7DC-D76F-495B-9D17-D20BE9A66045}"/>
    <cellStyle name="Normal 4 3 2 10 3" xfId="32398" xr:uid="{4F1412A5-E576-427B-B0E8-E14814AA677E}"/>
    <cellStyle name="Normal 4 3 2 11" xfId="13219" xr:uid="{B0AF5B4A-8ED9-4215-BFAF-EB92F6AB482D}"/>
    <cellStyle name="Normal 4 3 2 11 2" xfId="38711" xr:uid="{03E03530-FE2C-4DB4-A251-B107CB14157A}"/>
    <cellStyle name="Normal 4 3 2 12" xfId="26120" xr:uid="{802453FB-7D16-471A-9B35-F34D08D8ECFB}"/>
    <cellStyle name="Normal 4 3 2 2" xfId="651" xr:uid="{C26081B4-13AF-49B1-9B94-5815B262CB44}"/>
    <cellStyle name="Normal 4 3 2 2 10" xfId="13378" xr:uid="{63568896-2DCD-49B6-8B14-FA6F8F1BDA78}"/>
    <cellStyle name="Normal 4 3 2 2 10 2" xfId="38870" xr:uid="{779B351F-7195-497E-9235-63EA7B388742}"/>
    <cellStyle name="Normal 4 3 2 2 11" xfId="26279" xr:uid="{197A8AAD-E6EC-4624-9EE6-5C070E4EE3A7}"/>
    <cellStyle name="Normal 4 3 2 2 2" xfId="1188" xr:uid="{62720746-1A01-477F-8C98-272E20E9E2A9}"/>
    <cellStyle name="Normal 4 3 2 2 2 2" xfId="2495" xr:uid="{AC8B3CCC-FD8D-4893-86FF-2D05FF882D03}"/>
    <cellStyle name="Normal 4 3 2 2 2 2 2" xfId="5649" xr:uid="{0FD9BBA2-E653-429F-A88F-EBA9C1D8C5CC}"/>
    <cellStyle name="Normal 4 3 2 2 2 2 2 2" xfId="11942" xr:uid="{3042D82D-AAA1-4BC9-BC1D-07851534F7B0}"/>
    <cellStyle name="Normal 4 3 2 2 2 2 2 2 2" xfId="24624" xr:uid="{9A837D91-2209-4E55-A117-FAFEBE1AFDCE}"/>
    <cellStyle name="Normal 4 3 2 2 2 2 2 2 2 2" xfId="50116" xr:uid="{94DDFD6E-B764-4C8A-9702-0974734D1DFE}"/>
    <cellStyle name="Normal 4 3 2 2 2 2 2 2 3" xfId="37525" xr:uid="{97E22B1B-16E9-4D19-A79C-6A5DF974B38E}"/>
    <cellStyle name="Normal 4 3 2 2 2 2 2 3" xfId="18346" xr:uid="{282FBB42-E2E4-4A64-8175-E6FF0154262C}"/>
    <cellStyle name="Normal 4 3 2 2 2 2 2 3 2" xfId="43838" xr:uid="{62FF49BC-95BE-4DD4-8FCE-70A12E7C67C2}"/>
    <cellStyle name="Normal 4 3 2 2 2 2 2 4" xfId="31247" xr:uid="{228D5960-1DB1-4567-AC47-8E7AE6E6BF8B}"/>
    <cellStyle name="Normal 4 3 2 2 2 2 3" xfId="8803" xr:uid="{9B8A57F6-D682-4131-86F3-03553705263F}"/>
    <cellStyle name="Normal 4 3 2 2 2 2 3 2" xfId="21485" xr:uid="{32F0EC78-F71B-4109-A276-D0D0194CC961}"/>
    <cellStyle name="Normal 4 3 2 2 2 2 3 2 2" xfId="46977" xr:uid="{D1298A4F-273E-440A-9F0D-902BBB158353}"/>
    <cellStyle name="Normal 4 3 2 2 2 2 3 3" xfId="34386" xr:uid="{3230E696-FEF2-4A19-907E-6943D67AC440}"/>
    <cellStyle name="Normal 4 3 2 2 2 2 4" xfId="15207" xr:uid="{B20B4B93-1637-4E1D-B3C2-74F71BE2B3F3}"/>
    <cellStyle name="Normal 4 3 2 2 2 2 4 2" xfId="40699" xr:uid="{EA08B458-6912-46F3-8849-F6816E2034BA}"/>
    <cellStyle name="Normal 4 3 2 2 2 2 5" xfId="28108" xr:uid="{F00FAD59-5690-492E-9CC0-290B8358AAC0}"/>
    <cellStyle name="Normal 4 3 2 2 2 3" xfId="1712" xr:uid="{3FA68637-13DF-4E79-B591-539C1EA0BD47}"/>
    <cellStyle name="Normal 4 3 2 2 2 3 2" xfId="4866" xr:uid="{161B3F5D-112C-450B-B6CB-CF7E79E81FF0}"/>
    <cellStyle name="Normal 4 3 2 2 2 3 2 2" xfId="11159" xr:uid="{8478D791-1600-4E4B-8435-63D2B392F1D3}"/>
    <cellStyle name="Normal 4 3 2 2 2 3 2 2 2" xfId="23841" xr:uid="{544E6D63-284B-46FC-9830-861DB0AF9CA6}"/>
    <cellStyle name="Normal 4 3 2 2 2 3 2 2 2 2" xfId="49333" xr:uid="{5AF5D6FF-4DC3-4485-A9D7-D6776BBF3ED8}"/>
    <cellStyle name="Normal 4 3 2 2 2 3 2 2 3" xfId="36742" xr:uid="{2DBA7230-CF33-4820-9282-3665379D3123}"/>
    <cellStyle name="Normal 4 3 2 2 2 3 2 3" xfId="17563" xr:uid="{BC78B45B-9B23-4454-B0EA-4E6436F75899}"/>
    <cellStyle name="Normal 4 3 2 2 2 3 2 3 2" xfId="43055" xr:uid="{9C52274F-69D8-4EF7-B8D0-FA326C25BDBF}"/>
    <cellStyle name="Normal 4 3 2 2 2 3 2 4" xfId="30464" xr:uid="{C2801091-2C60-4544-B39A-E3FE2727E944}"/>
    <cellStyle name="Normal 4 3 2 2 2 3 3" xfId="8020" xr:uid="{46B97293-7780-4EAE-8A73-86BFD8B537AA}"/>
    <cellStyle name="Normal 4 3 2 2 2 3 3 2" xfId="20702" xr:uid="{B2696564-F39A-4ED5-803C-FC977A131438}"/>
    <cellStyle name="Normal 4 3 2 2 2 3 3 2 2" xfId="46194" xr:uid="{ABFA79EF-CBE1-4BB0-89E3-0583FCDA718A}"/>
    <cellStyle name="Normal 4 3 2 2 2 3 3 3" xfId="33603" xr:uid="{679318E5-DC75-4B42-BCF3-076CA09B2905}"/>
    <cellStyle name="Normal 4 3 2 2 2 3 4" xfId="14424" xr:uid="{874C9394-DE32-423D-AD65-0A1F81F24642}"/>
    <cellStyle name="Normal 4 3 2 2 2 3 4 2" xfId="39916" xr:uid="{6D33CB87-862D-462F-BE6D-22B7B7D8BAE5}"/>
    <cellStyle name="Normal 4 3 2 2 2 3 5" xfId="27325" xr:uid="{C3ADBF76-431D-494B-B92E-DC7048F3D815}"/>
    <cellStyle name="Normal 4 3 2 2 2 4" xfId="3019" xr:uid="{B24E38FD-52AB-4A8D-B049-396A0A4A46FC}"/>
    <cellStyle name="Normal 4 3 2 2 2 4 2" xfId="6173" xr:uid="{AEAABED9-C29B-475E-9A9A-5085284ED8F9}"/>
    <cellStyle name="Normal 4 3 2 2 2 4 2 2" xfId="12466" xr:uid="{A7FC6E3E-F043-4276-9C18-91144E048432}"/>
    <cellStyle name="Normal 4 3 2 2 2 4 2 2 2" xfId="25148" xr:uid="{1CB2428E-1973-4246-9330-4F719654A9E3}"/>
    <cellStyle name="Normal 4 3 2 2 2 4 2 2 2 2" xfId="50640" xr:uid="{4F624D3A-9CA0-40EF-ABB6-445CA39E6301}"/>
    <cellStyle name="Normal 4 3 2 2 2 4 2 2 3" xfId="38049" xr:uid="{48FE472D-26A1-466C-91DF-703D27785DA7}"/>
    <cellStyle name="Normal 4 3 2 2 2 4 2 3" xfId="18870" xr:uid="{FE5DAFC6-A061-409E-8D4A-66944C1092D1}"/>
    <cellStyle name="Normal 4 3 2 2 2 4 2 3 2" xfId="44362" xr:uid="{C3118045-83AF-4FAD-9ACF-C9E1604F1172}"/>
    <cellStyle name="Normal 4 3 2 2 2 4 2 4" xfId="31771" xr:uid="{CDE535EE-903A-4DFC-BAE6-03810CD0BF70}"/>
    <cellStyle name="Normal 4 3 2 2 2 4 3" xfId="9327" xr:uid="{B17CA7BC-85C5-4D77-88B4-DE4ED9F12909}"/>
    <cellStyle name="Normal 4 3 2 2 2 4 3 2" xfId="22009" xr:uid="{836293C2-162B-4E99-9744-2B42A77FFD54}"/>
    <cellStyle name="Normal 4 3 2 2 2 4 3 2 2" xfId="47501" xr:uid="{222F74E9-6A57-4E24-90FA-5D6C8C646C78}"/>
    <cellStyle name="Normal 4 3 2 2 2 4 3 3" xfId="34910" xr:uid="{948C68E1-748F-4EDB-AA44-C034FC590EE3}"/>
    <cellStyle name="Normal 4 3 2 2 2 4 4" xfId="15731" xr:uid="{B72C1CEC-F6EA-481C-BDDB-AB32E2BD4F4E}"/>
    <cellStyle name="Normal 4 3 2 2 2 4 4 2" xfId="41223" xr:uid="{F53EB017-A8E6-42EB-95BC-DFDC086D6BC9}"/>
    <cellStyle name="Normal 4 3 2 2 2 4 5" xfId="28632" xr:uid="{43C9B7BA-4A35-464C-8761-179398C94F80}"/>
    <cellStyle name="Normal 4 3 2 2 2 5" xfId="3542" xr:uid="{A1213762-A7EF-42EA-B93A-52355880C756}"/>
    <cellStyle name="Normal 4 3 2 2 2 5 2" xfId="6696" xr:uid="{69178941-EC9F-43BB-A2DB-C06FD0F33F34}"/>
    <cellStyle name="Normal 4 3 2 2 2 5 2 2" xfId="12989" xr:uid="{57F036F5-7F83-4BC9-8476-17B7384B36E5}"/>
    <cellStyle name="Normal 4 3 2 2 2 5 2 2 2" xfId="25671" xr:uid="{C344CCD8-32E4-4B6A-811D-44E48B42513B}"/>
    <cellStyle name="Normal 4 3 2 2 2 5 2 2 2 2" xfId="51163" xr:uid="{BD1381BF-24F2-44E7-A5D6-199B190FFD04}"/>
    <cellStyle name="Normal 4 3 2 2 2 5 2 2 3" xfId="38572" xr:uid="{BBA21144-24A9-4471-A24E-29975B540D71}"/>
    <cellStyle name="Normal 4 3 2 2 2 5 2 3" xfId="19393" xr:uid="{66F4BE47-922C-4EA0-A478-38893A1680D9}"/>
    <cellStyle name="Normal 4 3 2 2 2 5 2 3 2" xfId="44885" xr:uid="{46511569-651D-4300-906D-33ABC48863D3}"/>
    <cellStyle name="Normal 4 3 2 2 2 5 2 4" xfId="32294" xr:uid="{65D39172-A242-432F-A3FC-334A91480BDD}"/>
    <cellStyle name="Normal 4 3 2 2 2 5 3" xfId="9850" xr:uid="{30E058C8-188E-450B-A68C-A5A512BCE67E}"/>
    <cellStyle name="Normal 4 3 2 2 2 5 3 2" xfId="22532" xr:uid="{556A2595-2850-422D-A516-C11B1B43540C}"/>
    <cellStyle name="Normal 4 3 2 2 2 5 3 2 2" xfId="48024" xr:uid="{E6F5FD9D-FBD4-4849-B5B8-B8301243172A}"/>
    <cellStyle name="Normal 4 3 2 2 2 5 3 3" xfId="35433" xr:uid="{B885E1E6-9198-4A22-B9BF-1ECA2EB42720}"/>
    <cellStyle name="Normal 4 3 2 2 2 5 4" xfId="16254" xr:uid="{B95BA0A8-4201-4631-938A-9C0F0397742F}"/>
    <cellStyle name="Normal 4 3 2 2 2 5 4 2" xfId="41746" xr:uid="{CBEA325A-F566-4045-974A-FF0225BAA93E}"/>
    <cellStyle name="Normal 4 3 2 2 2 5 5" xfId="29155" xr:uid="{4C21EC90-1115-4C56-8CFA-43EC37BA86C3}"/>
    <cellStyle name="Normal 4 3 2 2 2 6" xfId="4342" xr:uid="{85006D05-A6FB-4808-88FD-8091893E21A7}"/>
    <cellStyle name="Normal 4 3 2 2 2 6 2" xfId="10635" xr:uid="{A2E63C8A-903C-420B-A5DE-96509A2F6D6E}"/>
    <cellStyle name="Normal 4 3 2 2 2 6 2 2" xfId="23317" xr:uid="{82DC9E23-71EE-4A2E-9502-1FF19E33326E}"/>
    <cellStyle name="Normal 4 3 2 2 2 6 2 2 2" xfId="48809" xr:uid="{3193AB7E-A873-4628-9312-3F58FED70432}"/>
    <cellStyle name="Normal 4 3 2 2 2 6 2 3" xfId="36218" xr:uid="{E18DC8E3-4FBB-4CB9-9337-3FABEAF694ED}"/>
    <cellStyle name="Normal 4 3 2 2 2 6 3" xfId="17039" xr:uid="{FD5B927D-D74C-415E-B424-EDFB8997A0AE}"/>
    <cellStyle name="Normal 4 3 2 2 2 6 3 2" xfId="42531" xr:uid="{C6610ECE-9DB0-46FF-B14D-98C8298B2B89}"/>
    <cellStyle name="Normal 4 3 2 2 2 6 4" xfId="29940" xr:uid="{8641A623-0AE0-4BA2-B8BC-721FC4A068CD}"/>
    <cellStyle name="Normal 4 3 2 2 2 7" xfId="7496" xr:uid="{32602081-B1E5-4955-B24F-078B50FC94AD}"/>
    <cellStyle name="Normal 4 3 2 2 2 7 2" xfId="20178" xr:uid="{0031D2B9-A8C9-44F2-82D3-5E65DBFC6349}"/>
    <cellStyle name="Normal 4 3 2 2 2 7 2 2" xfId="45670" xr:uid="{D2A3BB2F-57D6-47B0-BD7C-7BA8E5E9002C}"/>
    <cellStyle name="Normal 4 3 2 2 2 7 3" xfId="33079" xr:uid="{49CA8FA8-9A54-453D-BC92-C8D052CAA7E9}"/>
    <cellStyle name="Normal 4 3 2 2 2 8" xfId="13900" xr:uid="{C8485309-AEB5-492E-99A3-A21CDE86C41E}"/>
    <cellStyle name="Normal 4 3 2 2 2 8 2" xfId="39392" xr:uid="{73331EF3-2500-4CC9-8D78-94A2595FC851}"/>
    <cellStyle name="Normal 4 3 2 2 2 9" xfId="26801" xr:uid="{EE5FE352-2E88-4D6F-A69E-92B9C613BEC7}"/>
    <cellStyle name="Normal 4 3 2 2 3" xfId="928" xr:uid="{9FA08243-6051-4B66-988E-75E82729509F}"/>
    <cellStyle name="Normal 4 3 2 2 3 2" xfId="2235" xr:uid="{13235476-F663-4965-9862-D2306840AA8D}"/>
    <cellStyle name="Normal 4 3 2 2 3 2 2" xfId="5389" xr:uid="{AABF04F3-3E4D-445B-B27E-8254B4BB8CAA}"/>
    <cellStyle name="Normal 4 3 2 2 3 2 2 2" xfId="11682" xr:uid="{6F1DEDEE-AAE0-40ED-8632-7E4DE94A71FE}"/>
    <cellStyle name="Normal 4 3 2 2 3 2 2 2 2" xfId="24364" xr:uid="{C1BBC007-5A3D-4A17-B8AF-161506EA7FB7}"/>
    <cellStyle name="Normal 4 3 2 2 3 2 2 2 2 2" xfId="49856" xr:uid="{ED85A006-F8E8-4057-A62E-67357C30DBE6}"/>
    <cellStyle name="Normal 4 3 2 2 3 2 2 2 3" xfId="37265" xr:uid="{4DD4BC2A-B200-4C24-8B6A-7CD0F7F8F55F}"/>
    <cellStyle name="Normal 4 3 2 2 3 2 2 3" xfId="18086" xr:uid="{10C8C7D1-6B1A-4825-9FD8-BBD36D1B67BB}"/>
    <cellStyle name="Normal 4 3 2 2 3 2 2 3 2" xfId="43578" xr:uid="{1481F5FF-70F2-49C2-BE96-D87F5A77634D}"/>
    <cellStyle name="Normal 4 3 2 2 3 2 2 4" xfId="30987" xr:uid="{9E0044D4-576B-46EA-B003-FE3D5A5791F0}"/>
    <cellStyle name="Normal 4 3 2 2 3 2 3" xfId="8543" xr:uid="{151AD34F-C92A-413D-B39F-C892C445C572}"/>
    <cellStyle name="Normal 4 3 2 2 3 2 3 2" xfId="21225" xr:uid="{546C3F17-31B1-40F1-BF2B-C035D42DD10E}"/>
    <cellStyle name="Normal 4 3 2 2 3 2 3 2 2" xfId="46717" xr:uid="{65AF0C49-A8EB-4CA3-9CFF-822258EB0828}"/>
    <cellStyle name="Normal 4 3 2 2 3 2 3 3" xfId="34126" xr:uid="{B976FA71-813E-4F41-82F4-E5B0BCA21128}"/>
    <cellStyle name="Normal 4 3 2 2 3 2 4" xfId="14947" xr:uid="{58C2B8E2-885E-490B-AB25-07FD83A55C88}"/>
    <cellStyle name="Normal 4 3 2 2 3 2 4 2" xfId="40439" xr:uid="{316C3CA3-FCA9-4A19-98FF-22C9A9D5FA25}"/>
    <cellStyle name="Normal 4 3 2 2 3 2 5" xfId="27848" xr:uid="{2D9A14AA-DB59-413B-9345-C6EEBD65BE46}"/>
    <cellStyle name="Normal 4 3 2 2 3 3" xfId="4082" xr:uid="{F052172C-2157-4A6E-A510-D0E19652AABA}"/>
    <cellStyle name="Normal 4 3 2 2 3 3 2" xfId="10375" xr:uid="{79AA742E-FFBC-404C-B17F-D2A28CD76060}"/>
    <cellStyle name="Normal 4 3 2 2 3 3 2 2" xfId="23057" xr:uid="{81123A93-99DB-4951-AFA5-E722FDEC0B7E}"/>
    <cellStyle name="Normal 4 3 2 2 3 3 2 2 2" xfId="48549" xr:uid="{687AB44A-268F-4BFF-868E-7EC1086A147D}"/>
    <cellStyle name="Normal 4 3 2 2 3 3 2 3" xfId="35958" xr:uid="{EA87922F-FED7-440C-8A1F-2C894752A42A}"/>
    <cellStyle name="Normal 4 3 2 2 3 3 3" xfId="16779" xr:uid="{30458755-DB27-4815-A8DE-6964F53E7E03}"/>
    <cellStyle name="Normal 4 3 2 2 3 3 3 2" xfId="42271" xr:uid="{E59ADA3B-7BFD-4485-BF7E-75394D24A366}"/>
    <cellStyle name="Normal 4 3 2 2 3 3 4" xfId="29680" xr:uid="{9C7AED6B-596D-4954-B6F2-D5EB16DA44E2}"/>
    <cellStyle name="Normal 4 3 2 2 3 4" xfId="7236" xr:uid="{BA38B683-DC2F-45EA-84BA-CA14D65C3555}"/>
    <cellStyle name="Normal 4 3 2 2 3 4 2" xfId="19918" xr:uid="{13336AB6-8A5C-4F45-A233-790E26B4B0C1}"/>
    <cellStyle name="Normal 4 3 2 2 3 4 2 2" xfId="45410" xr:uid="{15FEA9BF-C16A-4CC3-9A0C-8C7BAEA85257}"/>
    <cellStyle name="Normal 4 3 2 2 3 4 3" xfId="32819" xr:uid="{A4FC36B1-DD31-4E33-B2F8-FB9DBB5F2B50}"/>
    <cellStyle name="Normal 4 3 2 2 3 5" xfId="13640" xr:uid="{E98F8FD6-224B-4B86-A927-E2A0CF0360FB}"/>
    <cellStyle name="Normal 4 3 2 2 3 5 2" xfId="39132" xr:uid="{400EB1A0-C9CC-45E4-9024-DAD041571C57}"/>
    <cellStyle name="Normal 4 3 2 2 3 6" xfId="26541" xr:uid="{3CC54693-8F45-4D84-A0A9-86B5D1120C07}"/>
    <cellStyle name="Normal 4 3 2 2 4" xfId="1973" xr:uid="{C26017AF-B8CA-4EC0-B711-E301BBDB9431}"/>
    <cellStyle name="Normal 4 3 2 2 4 2" xfId="5127" xr:uid="{A81337F5-757F-49D0-A708-77535CB40061}"/>
    <cellStyle name="Normal 4 3 2 2 4 2 2" xfId="11420" xr:uid="{D8973935-47B2-481A-B952-3198651B4FC1}"/>
    <cellStyle name="Normal 4 3 2 2 4 2 2 2" xfId="24102" xr:uid="{27004AAF-AA69-4AFD-8DEB-3A5CE4D4F805}"/>
    <cellStyle name="Normal 4 3 2 2 4 2 2 2 2" xfId="49594" xr:uid="{5167F028-7F77-48D0-8A03-DA4B14086042}"/>
    <cellStyle name="Normal 4 3 2 2 4 2 2 3" xfId="37003" xr:uid="{05051017-F8AE-4EFA-A41E-B77335A85E23}"/>
    <cellStyle name="Normal 4 3 2 2 4 2 3" xfId="17824" xr:uid="{75AEA3F1-4CBE-40FB-B26C-2D8DAC3BD171}"/>
    <cellStyle name="Normal 4 3 2 2 4 2 3 2" xfId="43316" xr:uid="{EB0A1861-66E0-4F93-AA61-6C5A78578A2A}"/>
    <cellStyle name="Normal 4 3 2 2 4 2 4" xfId="30725" xr:uid="{8E0D0476-D60E-4868-A3FC-FD7739832756}"/>
    <cellStyle name="Normal 4 3 2 2 4 3" xfId="8281" xr:uid="{A0F1E217-8549-4933-9D75-12C558E9A87B}"/>
    <cellStyle name="Normal 4 3 2 2 4 3 2" xfId="20963" xr:uid="{FD2DED55-668F-4BBA-A582-D4BD303F84DE}"/>
    <cellStyle name="Normal 4 3 2 2 4 3 2 2" xfId="46455" xr:uid="{D4E49F77-1E77-4812-8C86-03730E991DD7}"/>
    <cellStyle name="Normal 4 3 2 2 4 3 3" xfId="33864" xr:uid="{5EDE1AA9-E29B-4E9B-876D-937D74811626}"/>
    <cellStyle name="Normal 4 3 2 2 4 4" xfId="14685" xr:uid="{6D201399-FE5C-4F02-B778-7ACD39805722}"/>
    <cellStyle name="Normal 4 3 2 2 4 4 2" xfId="40177" xr:uid="{4D9C430B-273A-4C1E-A8B1-C84CC43E1A81}"/>
    <cellStyle name="Normal 4 3 2 2 4 5" xfId="27586" xr:uid="{2A655B57-33C2-4FDA-AE0F-F0457A48EEBF}"/>
    <cellStyle name="Normal 4 3 2 2 5" xfId="1451" xr:uid="{6EDA0CA3-74DA-4D9F-9F2B-847DE472E660}"/>
    <cellStyle name="Normal 4 3 2 2 5 2" xfId="4605" xr:uid="{86A5B093-8C90-4D5D-ACE8-FC7D4A24FA67}"/>
    <cellStyle name="Normal 4 3 2 2 5 2 2" xfId="10898" xr:uid="{7119C88E-25BA-4BCA-BA5D-E19F9EDCFF54}"/>
    <cellStyle name="Normal 4 3 2 2 5 2 2 2" xfId="23580" xr:uid="{82F7D106-987C-49A5-9D55-20B157A25115}"/>
    <cellStyle name="Normal 4 3 2 2 5 2 2 2 2" xfId="49072" xr:uid="{068839CE-8409-4C05-A1AB-33669585085F}"/>
    <cellStyle name="Normal 4 3 2 2 5 2 2 3" xfId="36481" xr:uid="{6BAF5103-E228-4F86-9885-52EA6D7FBF1F}"/>
    <cellStyle name="Normal 4 3 2 2 5 2 3" xfId="17302" xr:uid="{4B6483B2-3AD0-43C5-A59C-8B24C36028FB}"/>
    <cellStyle name="Normal 4 3 2 2 5 2 3 2" xfId="42794" xr:uid="{470BCBAE-FA00-4981-AD68-14E04A1F3CC0}"/>
    <cellStyle name="Normal 4 3 2 2 5 2 4" xfId="30203" xr:uid="{506C4958-21E9-4863-BE8B-36F09726C789}"/>
    <cellStyle name="Normal 4 3 2 2 5 3" xfId="7759" xr:uid="{C8CE198E-F882-4BAE-A1DC-271C5BD432D6}"/>
    <cellStyle name="Normal 4 3 2 2 5 3 2" xfId="20441" xr:uid="{A5581479-48AE-4A8A-B2D2-7742C8DAA8D5}"/>
    <cellStyle name="Normal 4 3 2 2 5 3 2 2" xfId="45933" xr:uid="{D1A726D3-F5D1-45BE-9CD3-9DF0F5803E4A}"/>
    <cellStyle name="Normal 4 3 2 2 5 3 3" xfId="33342" xr:uid="{F4648AF7-05D6-4C38-8694-464B16F9DFC7}"/>
    <cellStyle name="Normal 4 3 2 2 5 4" xfId="14163" xr:uid="{CFB79F62-AF76-4703-91EB-DF13D5EEC1EE}"/>
    <cellStyle name="Normal 4 3 2 2 5 4 2" xfId="39655" xr:uid="{B09714DB-6707-4B58-881E-887515105917}"/>
    <cellStyle name="Normal 4 3 2 2 5 5" xfId="27064" xr:uid="{78D21106-55EE-4458-B83B-D4E10FEDE1C9}"/>
    <cellStyle name="Normal 4 3 2 2 6" xfId="2758" xr:uid="{BD32E0EF-A786-4B8A-894D-AB22194D5649}"/>
    <cellStyle name="Normal 4 3 2 2 6 2" xfId="5912" xr:uid="{DAC0DBCE-BD98-4650-B4AD-6302244439F0}"/>
    <cellStyle name="Normal 4 3 2 2 6 2 2" xfId="12205" xr:uid="{EC3931A7-5EBD-4366-A276-F9F906A845D6}"/>
    <cellStyle name="Normal 4 3 2 2 6 2 2 2" xfId="24887" xr:uid="{4B3A0235-1462-40B5-8445-A60A52AD4ED5}"/>
    <cellStyle name="Normal 4 3 2 2 6 2 2 2 2" xfId="50379" xr:uid="{C8AADE25-D400-4A99-A777-46675FC3B6EE}"/>
    <cellStyle name="Normal 4 3 2 2 6 2 2 3" xfId="37788" xr:uid="{43FE4367-838D-4FFD-88AC-C04E83178377}"/>
    <cellStyle name="Normal 4 3 2 2 6 2 3" xfId="18609" xr:uid="{85936B15-91FD-4C18-BF6A-B8C2A9C27378}"/>
    <cellStyle name="Normal 4 3 2 2 6 2 3 2" xfId="44101" xr:uid="{2BE788AB-6D83-4F2B-BC8D-FC009BB1CC0C}"/>
    <cellStyle name="Normal 4 3 2 2 6 2 4" xfId="31510" xr:uid="{A8311D6F-CB8E-4E44-ADFB-62D7E660F084}"/>
    <cellStyle name="Normal 4 3 2 2 6 3" xfId="9066" xr:uid="{42BBAB74-660D-4EC9-9AC7-4536F58EE783}"/>
    <cellStyle name="Normal 4 3 2 2 6 3 2" xfId="21748" xr:uid="{91FE48CA-A79B-41BF-8A15-9B617C1DF8F5}"/>
    <cellStyle name="Normal 4 3 2 2 6 3 2 2" xfId="47240" xr:uid="{2E94693D-C879-4C07-98D8-67EEEAB0B6D2}"/>
    <cellStyle name="Normal 4 3 2 2 6 3 3" xfId="34649" xr:uid="{652A9D8B-B453-4F39-AF71-CF323C6384EE}"/>
    <cellStyle name="Normal 4 3 2 2 6 4" xfId="15470" xr:uid="{17837A6D-CDA8-4B0C-A3EB-C4DE5421C216}"/>
    <cellStyle name="Normal 4 3 2 2 6 4 2" xfId="40962" xr:uid="{8893D739-83E8-432D-A096-D74DA66BD99D}"/>
    <cellStyle name="Normal 4 3 2 2 6 5" xfId="28371" xr:uid="{45EB17B2-93A9-497A-89A0-002B6C6F6BBB}"/>
    <cellStyle name="Normal 4 3 2 2 7" xfId="3281" xr:uid="{C7C8A7C1-95F7-4226-BBED-0F60DE14DB69}"/>
    <cellStyle name="Normal 4 3 2 2 7 2" xfId="6435" xr:uid="{61E78D18-FF60-4E9C-8D21-BAEB7CD127CE}"/>
    <cellStyle name="Normal 4 3 2 2 7 2 2" xfId="12728" xr:uid="{DC71C756-ECD3-42DD-8B8A-9F97C6C90388}"/>
    <cellStyle name="Normal 4 3 2 2 7 2 2 2" xfId="25410" xr:uid="{0235A55A-0744-41CB-BEA8-D540B4749514}"/>
    <cellStyle name="Normal 4 3 2 2 7 2 2 2 2" xfId="50902" xr:uid="{58F35D23-06F7-4C9B-8869-08531CD3C10A}"/>
    <cellStyle name="Normal 4 3 2 2 7 2 2 3" xfId="38311" xr:uid="{8A75E4DA-998C-4A0D-B44D-A4CF1DF61ED8}"/>
    <cellStyle name="Normal 4 3 2 2 7 2 3" xfId="19132" xr:uid="{A48F5577-42DA-4C24-9AF3-9D526DDBFF8C}"/>
    <cellStyle name="Normal 4 3 2 2 7 2 3 2" xfId="44624" xr:uid="{50C30255-A896-43E5-AC26-3522634F3D1D}"/>
    <cellStyle name="Normal 4 3 2 2 7 2 4" xfId="32033" xr:uid="{909058B5-A8D5-45BB-8E44-4DB829A3DD03}"/>
    <cellStyle name="Normal 4 3 2 2 7 3" xfId="9589" xr:uid="{3B4442F8-0852-4B47-9018-5859B65EA3CC}"/>
    <cellStyle name="Normal 4 3 2 2 7 3 2" xfId="22271" xr:uid="{8F6691F2-F6C9-4B2A-8C4D-6CD679D606F3}"/>
    <cellStyle name="Normal 4 3 2 2 7 3 2 2" xfId="47763" xr:uid="{19D132C2-2B88-442C-9457-D9547E645FFA}"/>
    <cellStyle name="Normal 4 3 2 2 7 3 3" xfId="35172" xr:uid="{F43FE271-2314-4E5B-9920-9DC752CC28E0}"/>
    <cellStyle name="Normal 4 3 2 2 7 4" xfId="15993" xr:uid="{5934C683-7D0D-4391-8F21-B35FC759638D}"/>
    <cellStyle name="Normal 4 3 2 2 7 4 2" xfId="41485" xr:uid="{7C682887-C474-4CD5-9480-281413EFF2F5}"/>
    <cellStyle name="Normal 4 3 2 2 7 5" xfId="28894" xr:uid="{80162335-BCC1-4D5C-AD56-A83ED101B174}"/>
    <cellStyle name="Normal 4 3 2 2 8" xfId="3820" xr:uid="{32E127B2-66E8-4658-9D93-1689359C2836}"/>
    <cellStyle name="Normal 4 3 2 2 8 2" xfId="10113" xr:uid="{73BEF5E4-40C3-4613-BCD7-04CE36D9BC06}"/>
    <cellStyle name="Normal 4 3 2 2 8 2 2" xfId="22795" xr:uid="{05A2DD2B-35A2-49FA-BBC4-4015D97FD179}"/>
    <cellStyle name="Normal 4 3 2 2 8 2 2 2" xfId="48287" xr:uid="{A581329A-E60C-40D4-AB4F-8CFE5DA41E9F}"/>
    <cellStyle name="Normal 4 3 2 2 8 2 3" xfId="35696" xr:uid="{5FEFD81D-BEC7-4626-BA9E-DD6E367AAA10}"/>
    <cellStyle name="Normal 4 3 2 2 8 3" xfId="16517" xr:uid="{386B3E77-546D-436F-B85B-1D93F335173C}"/>
    <cellStyle name="Normal 4 3 2 2 8 3 2" xfId="42009" xr:uid="{9145E434-F0BE-4154-9311-960BEED278FC}"/>
    <cellStyle name="Normal 4 3 2 2 8 4" xfId="29418" xr:uid="{EA96694B-E8C5-4DE1-B269-9E1A76205923}"/>
    <cellStyle name="Normal 4 3 2 2 9" xfId="6974" xr:uid="{3663FDB2-168C-47E7-934C-76CD771B4E8B}"/>
    <cellStyle name="Normal 4 3 2 2 9 2" xfId="19656" xr:uid="{309A1691-69A5-4CDD-8F41-F6AD24F82E90}"/>
    <cellStyle name="Normal 4 3 2 2 9 2 2" xfId="45148" xr:uid="{249A9ECB-C0CC-4159-8C05-688562317C04}"/>
    <cellStyle name="Normal 4 3 2 2 9 3" xfId="32557" xr:uid="{4E44486F-6C2F-46A0-A367-868DFFBC9368}"/>
    <cellStyle name="Normal 4 3 2 3" xfId="1029" xr:uid="{73A77195-68AB-4E54-ABCE-41731E136C60}"/>
    <cellStyle name="Normal 4 3 2 3 2" xfId="2336" xr:uid="{1E96D912-24C1-434E-9716-412C03EAAB6C}"/>
    <cellStyle name="Normal 4 3 2 3 2 2" xfId="5490" xr:uid="{65DDE51B-D878-4BF2-BB38-10D8A9ACA051}"/>
    <cellStyle name="Normal 4 3 2 3 2 2 2" xfId="11783" xr:uid="{CFC37DB5-4E1A-41FF-81A4-A3357B358A6D}"/>
    <cellStyle name="Normal 4 3 2 3 2 2 2 2" xfId="24465" xr:uid="{F17F43B1-9992-43B9-837C-200548C783E4}"/>
    <cellStyle name="Normal 4 3 2 3 2 2 2 2 2" xfId="49957" xr:uid="{EC692CCC-BE48-46F4-9F84-6D1224D7EB9C}"/>
    <cellStyle name="Normal 4 3 2 3 2 2 2 3" xfId="37366" xr:uid="{A4C893A4-AF50-4D5D-BAE5-84B14B076A71}"/>
    <cellStyle name="Normal 4 3 2 3 2 2 3" xfId="18187" xr:uid="{E6B4889D-E27E-482B-B167-8F4364019E5E}"/>
    <cellStyle name="Normal 4 3 2 3 2 2 3 2" xfId="43679" xr:uid="{A9DAF7CD-9450-40C7-BFF8-10558ED83A78}"/>
    <cellStyle name="Normal 4 3 2 3 2 2 4" xfId="31088" xr:uid="{28E96CC2-B9F9-4EA0-80C9-7DFD3F616FDA}"/>
    <cellStyle name="Normal 4 3 2 3 2 3" xfId="8644" xr:uid="{2A42328C-915B-423F-AF2E-0FABB2E71D3E}"/>
    <cellStyle name="Normal 4 3 2 3 2 3 2" xfId="21326" xr:uid="{0DAC7324-2C99-4906-B96E-B3BDE06C57CB}"/>
    <cellStyle name="Normal 4 3 2 3 2 3 2 2" xfId="46818" xr:uid="{548AFC57-DC8A-4453-A3A0-A2893753C814}"/>
    <cellStyle name="Normal 4 3 2 3 2 3 3" xfId="34227" xr:uid="{C154B12D-E01B-4F5E-8B68-538EE6F7B780}"/>
    <cellStyle name="Normal 4 3 2 3 2 4" xfId="15048" xr:uid="{69DF390B-EE1D-43A8-BE6D-0B5AD962E5EE}"/>
    <cellStyle name="Normal 4 3 2 3 2 4 2" xfId="40540" xr:uid="{E4150DB0-7BD9-4AF2-AF2C-2AB4AEB73F82}"/>
    <cellStyle name="Normal 4 3 2 3 2 5" xfId="27949" xr:uid="{789AC39E-0997-4A7C-9ADA-821463216959}"/>
    <cellStyle name="Normal 4 3 2 3 3" xfId="1553" xr:uid="{80168F34-6A20-420E-9B07-8FF1050B04CF}"/>
    <cellStyle name="Normal 4 3 2 3 3 2" xfId="4707" xr:uid="{4DCA4196-FB18-4957-8B0C-831AA5BB163C}"/>
    <cellStyle name="Normal 4 3 2 3 3 2 2" xfId="11000" xr:uid="{BAEB0FB9-CB81-4F6B-93E8-081AA1E79C20}"/>
    <cellStyle name="Normal 4 3 2 3 3 2 2 2" xfId="23682" xr:uid="{6B01A49F-A3B8-4B37-976D-0207240C3A05}"/>
    <cellStyle name="Normal 4 3 2 3 3 2 2 2 2" xfId="49174" xr:uid="{38068FCE-1BA4-4F62-9BD2-EF86B40EE294}"/>
    <cellStyle name="Normal 4 3 2 3 3 2 2 3" xfId="36583" xr:uid="{010BE52B-2AA6-49A3-BD27-6F6133B584CD}"/>
    <cellStyle name="Normal 4 3 2 3 3 2 3" xfId="17404" xr:uid="{E832E32A-0E7C-4F4F-A31D-6CB1C444A20E}"/>
    <cellStyle name="Normal 4 3 2 3 3 2 3 2" xfId="42896" xr:uid="{411C70F2-AF69-4630-8DDC-10997CD16201}"/>
    <cellStyle name="Normal 4 3 2 3 3 2 4" xfId="30305" xr:uid="{7DF4B506-43CA-48B4-9565-3F3B5A58C93C}"/>
    <cellStyle name="Normal 4 3 2 3 3 3" xfId="7861" xr:uid="{5BF1869B-E77C-4262-929E-7375B9079851}"/>
    <cellStyle name="Normal 4 3 2 3 3 3 2" xfId="20543" xr:uid="{03A62C00-1704-4B87-9985-FB2347823DE5}"/>
    <cellStyle name="Normal 4 3 2 3 3 3 2 2" xfId="46035" xr:uid="{0D83B72C-CD85-406D-BC40-5535D79E69CC}"/>
    <cellStyle name="Normal 4 3 2 3 3 3 3" xfId="33444" xr:uid="{094873E4-C57D-4C38-9874-4DB51347BF6B}"/>
    <cellStyle name="Normal 4 3 2 3 3 4" xfId="14265" xr:uid="{19586E18-5CB0-4857-AEB5-7D90F23FC688}"/>
    <cellStyle name="Normal 4 3 2 3 3 4 2" xfId="39757" xr:uid="{1A0C8941-3748-4A93-AC5D-A3257E0D412F}"/>
    <cellStyle name="Normal 4 3 2 3 3 5" xfId="27166" xr:uid="{83299C1D-583D-4449-99A5-B8700E799903}"/>
    <cellStyle name="Normal 4 3 2 3 4" xfId="2860" xr:uid="{66BD9264-753E-4AE3-AA05-66C2822C7C21}"/>
    <cellStyle name="Normal 4 3 2 3 4 2" xfId="6014" xr:uid="{6B1F212D-CAD3-4EED-A3D9-7DAB68DC7167}"/>
    <cellStyle name="Normal 4 3 2 3 4 2 2" xfId="12307" xr:uid="{F1182EB0-6A08-45B7-9A63-7891AF65E0B7}"/>
    <cellStyle name="Normal 4 3 2 3 4 2 2 2" xfId="24989" xr:uid="{E656477E-EE86-40A1-83B3-117506EFE05C}"/>
    <cellStyle name="Normal 4 3 2 3 4 2 2 2 2" xfId="50481" xr:uid="{A624C67E-443F-4D77-9021-33C4DD386770}"/>
    <cellStyle name="Normal 4 3 2 3 4 2 2 3" xfId="37890" xr:uid="{C9484918-3DDE-447C-8AA8-6C3E95F30580}"/>
    <cellStyle name="Normal 4 3 2 3 4 2 3" xfId="18711" xr:uid="{85E54DB9-0E17-42F5-800C-8479788CA6AE}"/>
    <cellStyle name="Normal 4 3 2 3 4 2 3 2" xfId="44203" xr:uid="{7EE23D4F-7019-441C-B898-B04DD7EB907F}"/>
    <cellStyle name="Normal 4 3 2 3 4 2 4" xfId="31612" xr:uid="{F01D5CD2-82A5-4A9E-834A-27259737D2F3}"/>
    <cellStyle name="Normal 4 3 2 3 4 3" xfId="9168" xr:uid="{0DE8F917-954C-445B-BC23-7B8EA68990AD}"/>
    <cellStyle name="Normal 4 3 2 3 4 3 2" xfId="21850" xr:uid="{9B6ED598-DA24-48D5-A9F1-69CD4C049EA2}"/>
    <cellStyle name="Normal 4 3 2 3 4 3 2 2" xfId="47342" xr:uid="{4AA66F6E-05F1-46D0-9658-B16240976EF2}"/>
    <cellStyle name="Normal 4 3 2 3 4 3 3" xfId="34751" xr:uid="{EA80B24A-B8CC-4555-967A-828384A0CCA3}"/>
    <cellStyle name="Normal 4 3 2 3 4 4" xfId="15572" xr:uid="{E9C8F7BE-2F4A-4AE8-869B-72789ACF5862}"/>
    <cellStyle name="Normal 4 3 2 3 4 4 2" xfId="41064" xr:uid="{EE3CBA82-792C-4236-9879-98A87B48BF76}"/>
    <cellStyle name="Normal 4 3 2 3 4 5" xfId="28473" xr:uid="{7F0CCF93-7F9D-41A8-BB87-9261DCCBC276}"/>
    <cellStyle name="Normal 4 3 2 3 5" xfId="3383" xr:uid="{71E569B9-8972-4728-B7A0-D8D35AF232BE}"/>
    <cellStyle name="Normal 4 3 2 3 5 2" xfId="6537" xr:uid="{4F225587-9468-4EF5-B993-4FA216828C69}"/>
    <cellStyle name="Normal 4 3 2 3 5 2 2" xfId="12830" xr:uid="{9270F788-BD99-4E11-867E-0ABEC833A348}"/>
    <cellStyle name="Normal 4 3 2 3 5 2 2 2" xfId="25512" xr:uid="{5DBDF6ED-7B70-406D-B102-22EE127C9B2E}"/>
    <cellStyle name="Normal 4 3 2 3 5 2 2 2 2" xfId="51004" xr:uid="{8FDF06CE-355B-4BCA-A149-882EAD16B2F5}"/>
    <cellStyle name="Normal 4 3 2 3 5 2 2 3" xfId="38413" xr:uid="{B89C3A82-8FDE-4FAE-9AF8-85702F8ED4DB}"/>
    <cellStyle name="Normal 4 3 2 3 5 2 3" xfId="19234" xr:uid="{6496BD92-E4BB-4A45-A97C-60D1ECF345DF}"/>
    <cellStyle name="Normal 4 3 2 3 5 2 3 2" xfId="44726" xr:uid="{AEA68621-647A-4515-9FCB-1254E4AD157A}"/>
    <cellStyle name="Normal 4 3 2 3 5 2 4" xfId="32135" xr:uid="{30F0C8AA-E1BC-451D-BD14-AC23EECB305F}"/>
    <cellStyle name="Normal 4 3 2 3 5 3" xfId="9691" xr:uid="{43C4690F-6ABB-43CA-9C4E-31F57341CAC3}"/>
    <cellStyle name="Normal 4 3 2 3 5 3 2" xfId="22373" xr:uid="{907AF5F9-AC40-4E9F-8E92-F718F35DE586}"/>
    <cellStyle name="Normal 4 3 2 3 5 3 2 2" xfId="47865" xr:uid="{89B4135E-7B63-4256-B4F0-E2DD73F54615}"/>
    <cellStyle name="Normal 4 3 2 3 5 3 3" xfId="35274" xr:uid="{AAA89BBE-3D7E-4B26-AF5C-4F2E3A569D27}"/>
    <cellStyle name="Normal 4 3 2 3 5 4" xfId="16095" xr:uid="{B5D9FDC5-7F65-4345-B3BF-E0DF2F5866C5}"/>
    <cellStyle name="Normal 4 3 2 3 5 4 2" xfId="41587" xr:uid="{36044605-C764-4952-99AF-E2DCBFACD51F}"/>
    <cellStyle name="Normal 4 3 2 3 5 5" xfId="28996" xr:uid="{491CF3C3-01BC-4A4E-9A60-999EAD1D04CD}"/>
    <cellStyle name="Normal 4 3 2 3 6" xfId="4183" xr:uid="{B240588A-0947-461F-89AF-D9F6EA1255E3}"/>
    <cellStyle name="Normal 4 3 2 3 6 2" xfId="10476" xr:uid="{8160E52E-8E7F-4A38-8B5A-A637B8EEE698}"/>
    <cellStyle name="Normal 4 3 2 3 6 2 2" xfId="23158" xr:uid="{91D82435-C5EF-4F00-A00C-C6E8EE0ACBF7}"/>
    <cellStyle name="Normal 4 3 2 3 6 2 2 2" xfId="48650" xr:uid="{D72DFBFA-537E-4DE4-A4B0-8B35E884D202}"/>
    <cellStyle name="Normal 4 3 2 3 6 2 3" xfId="36059" xr:uid="{0A676DF2-FF6B-4656-8862-5BE7E8CC71B8}"/>
    <cellStyle name="Normal 4 3 2 3 6 3" xfId="16880" xr:uid="{1C3B154C-329D-4EF9-9BA6-75DBCFD67BA3}"/>
    <cellStyle name="Normal 4 3 2 3 6 3 2" xfId="42372" xr:uid="{F96A6FAE-54D8-4D2C-8856-6C6EE15F344D}"/>
    <cellStyle name="Normal 4 3 2 3 6 4" xfId="29781" xr:uid="{C1FE9432-21E1-4FD2-B58B-764F5EF78F7E}"/>
    <cellStyle name="Normal 4 3 2 3 7" xfId="7337" xr:uid="{F4D485D6-F169-4FA4-8DC1-6B5C3494DD9C}"/>
    <cellStyle name="Normal 4 3 2 3 7 2" xfId="20019" xr:uid="{8266A95E-6049-48FB-8396-23BA939AE0A2}"/>
    <cellStyle name="Normal 4 3 2 3 7 2 2" xfId="45511" xr:uid="{958F39C3-EEA3-4CC5-8AD2-E9945EBF4A54}"/>
    <cellStyle name="Normal 4 3 2 3 7 3" xfId="32920" xr:uid="{7DC30196-6FF5-46AC-9950-811CBE6CD411}"/>
    <cellStyle name="Normal 4 3 2 3 8" xfId="13741" xr:uid="{A2A68CCB-AA5E-4F10-A806-F66BE45DBC68}"/>
    <cellStyle name="Normal 4 3 2 3 8 2" xfId="39233" xr:uid="{D0F2E93D-DDCB-4EE4-A99D-A3925379F6AD}"/>
    <cellStyle name="Normal 4 3 2 3 9" xfId="26642" xr:uid="{CEF53299-278A-445F-A412-DF041B980824}"/>
    <cellStyle name="Normal 4 3 2 4" xfId="769" xr:uid="{32815F6B-5CAC-4736-BF03-DB4C34EB654F}"/>
    <cellStyle name="Normal 4 3 2 4 2" xfId="2076" xr:uid="{4BCF22F9-2A05-4590-BB95-C1812C4DEE18}"/>
    <cellStyle name="Normal 4 3 2 4 2 2" xfId="5230" xr:uid="{73B276F7-96E0-4AD1-BCB5-6706F2C134A1}"/>
    <cellStyle name="Normal 4 3 2 4 2 2 2" xfId="11523" xr:uid="{0BF6148E-3095-4485-A7D7-CBC770B70671}"/>
    <cellStyle name="Normal 4 3 2 4 2 2 2 2" xfId="24205" xr:uid="{EFF020DB-B122-407A-8403-6E53D969E5F0}"/>
    <cellStyle name="Normal 4 3 2 4 2 2 2 2 2" xfId="49697" xr:uid="{550D26A2-4712-47D5-B5B9-A01FC0BD32C3}"/>
    <cellStyle name="Normal 4 3 2 4 2 2 2 3" xfId="37106" xr:uid="{70B16279-6AAE-4932-A398-F35B1C824780}"/>
    <cellStyle name="Normal 4 3 2 4 2 2 3" xfId="17927" xr:uid="{7F660348-09F1-434F-AFDB-93A0E298B675}"/>
    <cellStyle name="Normal 4 3 2 4 2 2 3 2" xfId="43419" xr:uid="{2C1675B0-F99D-4B3E-AAF4-006861F8AE00}"/>
    <cellStyle name="Normal 4 3 2 4 2 2 4" xfId="30828" xr:uid="{7C5D069C-690D-4C14-851F-AF4FB267675A}"/>
    <cellStyle name="Normal 4 3 2 4 2 3" xfId="8384" xr:uid="{C2E7316C-23B2-49DE-A0F2-C6C07484BABA}"/>
    <cellStyle name="Normal 4 3 2 4 2 3 2" xfId="21066" xr:uid="{FF843D74-E8ED-4C77-93A6-72D4BC2EBC8B}"/>
    <cellStyle name="Normal 4 3 2 4 2 3 2 2" xfId="46558" xr:uid="{F8207E0C-DF42-4BEC-ACDB-847241E69CAF}"/>
    <cellStyle name="Normal 4 3 2 4 2 3 3" xfId="33967" xr:uid="{5C6A810D-9AE0-4EAA-B14E-7F1708F35460}"/>
    <cellStyle name="Normal 4 3 2 4 2 4" xfId="14788" xr:uid="{D24476B0-CA0E-405E-8326-7223BDAD5DB8}"/>
    <cellStyle name="Normal 4 3 2 4 2 4 2" xfId="40280" xr:uid="{9679969C-A84E-45D2-BF4B-9ADDBB0EB0EE}"/>
    <cellStyle name="Normal 4 3 2 4 2 5" xfId="27689" xr:uid="{93FE254C-A558-419F-8E46-BCBE4D2D6CC9}"/>
    <cellStyle name="Normal 4 3 2 4 3" xfId="3923" xr:uid="{B2F14FEE-C1A8-4C81-8BC5-B98B0E64D615}"/>
    <cellStyle name="Normal 4 3 2 4 3 2" xfId="10216" xr:uid="{687104D1-E64B-4CDB-9B34-6F90DE753189}"/>
    <cellStyle name="Normal 4 3 2 4 3 2 2" xfId="22898" xr:uid="{4C1DCAC7-DBB6-4898-820D-32114EAAE659}"/>
    <cellStyle name="Normal 4 3 2 4 3 2 2 2" xfId="48390" xr:uid="{FB817D8E-F00C-4EF5-BF36-2950AB7FAB05}"/>
    <cellStyle name="Normal 4 3 2 4 3 2 3" xfId="35799" xr:uid="{95ACE3E8-A9CC-4CC5-A3C1-36D237F289A0}"/>
    <cellStyle name="Normal 4 3 2 4 3 3" xfId="16620" xr:uid="{13185607-5F2D-4F0B-9AE1-87AB433D1F8B}"/>
    <cellStyle name="Normal 4 3 2 4 3 3 2" xfId="42112" xr:uid="{D237C511-82CB-4B10-9102-A15BC7CC6AEB}"/>
    <cellStyle name="Normal 4 3 2 4 3 4" xfId="29521" xr:uid="{CE74BE97-FE71-46F0-A200-EFB55D8301AF}"/>
    <cellStyle name="Normal 4 3 2 4 4" xfId="7077" xr:uid="{D2B2F329-E051-436A-AB6C-42671B7E0EB6}"/>
    <cellStyle name="Normal 4 3 2 4 4 2" xfId="19759" xr:uid="{D27F35C1-D5EC-4F67-A049-061E9F8F97CF}"/>
    <cellStyle name="Normal 4 3 2 4 4 2 2" xfId="45251" xr:uid="{3459206F-62A1-4520-A0E5-CEFE9F30FCF7}"/>
    <cellStyle name="Normal 4 3 2 4 4 3" xfId="32660" xr:uid="{C0AB127F-3969-465D-AF7A-5E3CD791D663}"/>
    <cellStyle name="Normal 4 3 2 4 5" xfId="13481" xr:uid="{BA97B4E2-0F9C-416E-8956-184343ABB505}"/>
    <cellStyle name="Normal 4 3 2 4 5 2" xfId="38973" xr:uid="{EBABFBE7-F2F2-4BCB-9963-F35F08828BA0}"/>
    <cellStyle name="Normal 4 3 2 4 6" xfId="26382" xr:uid="{061D1660-2334-4B0E-A944-49933164B318}"/>
    <cellStyle name="Normal 4 3 2 5" xfId="1814" xr:uid="{3585B6C5-A82F-4D62-B90B-8E64CD6CF471}"/>
    <cellStyle name="Normal 4 3 2 5 2" xfId="4968" xr:uid="{88CE2098-D28F-4173-82EA-1A9733BFC9F8}"/>
    <cellStyle name="Normal 4 3 2 5 2 2" xfId="11261" xr:uid="{269A1BA8-1963-416C-8B68-E652497581A9}"/>
    <cellStyle name="Normal 4 3 2 5 2 2 2" xfId="23943" xr:uid="{69304AF2-C3F1-4C5D-AAB7-F374B39862CC}"/>
    <cellStyle name="Normal 4 3 2 5 2 2 2 2" xfId="49435" xr:uid="{90160A43-256F-469C-8F21-DBA750CFB2A7}"/>
    <cellStyle name="Normal 4 3 2 5 2 2 3" xfId="36844" xr:uid="{D0796403-8D35-4D74-9EA5-F7A90A3A5530}"/>
    <cellStyle name="Normal 4 3 2 5 2 3" xfId="17665" xr:uid="{CD587F08-9C7A-4399-80A3-1C9C74EC7C02}"/>
    <cellStyle name="Normal 4 3 2 5 2 3 2" xfId="43157" xr:uid="{C8827646-DAC9-462B-8B1F-08C8A114132F}"/>
    <cellStyle name="Normal 4 3 2 5 2 4" xfId="30566" xr:uid="{F046092A-1B91-4C1A-BA26-1A4548672748}"/>
    <cellStyle name="Normal 4 3 2 5 3" xfId="8122" xr:uid="{F87AA6F4-B3F0-4C4C-8C08-ACF67CDB9A82}"/>
    <cellStyle name="Normal 4 3 2 5 3 2" xfId="20804" xr:uid="{F0080344-029E-4878-B69C-120E9864D84B}"/>
    <cellStyle name="Normal 4 3 2 5 3 2 2" xfId="46296" xr:uid="{D5F0D40E-247D-48DB-88E6-50E4EEC67AB1}"/>
    <cellStyle name="Normal 4 3 2 5 3 3" xfId="33705" xr:uid="{9B76029F-C0CD-4588-96E3-8432CD449267}"/>
    <cellStyle name="Normal 4 3 2 5 4" xfId="14526" xr:uid="{4FF0F5AF-30C1-40C9-8EB6-3735DFD37482}"/>
    <cellStyle name="Normal 4 3 2 5 4 2" xfId="40018" xr:uid="{4B8799AE-D5DD-4DED-9AC4-B2FF4FB37C91}"/>
    <cellStyle name="Normal 4 3 2 5 5" xfId="27427" xr:uid="{6E0B28AE-3C13-4A1D-BC70-1CED4B7D372B}"/>
    <cellStyle name="Normal 4 3 2 6" xfId="1292" xr:uid="{EFAE92DE-99E7-4F9C-83E7-A6E057B26D6B}"/>
    <cellStyle name="Normal 4 3 2 6 2" xfId="4446" xr:uid="{122F5B29-1A0D-4D6E-A414-464C9BABD9C4}"/>
    <cellStyle name="Normal 4 3 2 6 2 2" xfId="10739" xr:uid="{9F77F8FD-E882-4813-9BFB-7B4B0607CFDB}"/>
    <cellStyle name="Normal 4 3 2 6 2 2 2" xfId="23421" xr:uid="{9046C6FE-DB74-431B-817F-25860DEEF44F}"/>
    <cellStyle name="Normal 4 3 2 6 2 2 2 2" xfId="48913" xr:uid="{E75FF2E1-05AD-4B6A-AC67-264C2EC55302}"/>
    <cellStyle name="Normal 4 3 2 6 2 2 3" xfId="36322" xr:uid="{E99ECF66-0E6F-43BC-AB03-7C16A57AA330}"/>
    <cellStyle name="Normal 4 3 2 6 2 3" xfId="17143" xr:uid="{FED7A35A-1381-4F33-9588-17D6D32DA6C4}"/>
    <cellStyle name="Normal 4 3 2 6 2 3 2" xfId="42635" xr:uid="{0A623252-8975-414B-B2B8-97E0E438B358}"/>
    <cellStyle name="Normal 4 3 2 6 2 4" xfId="30044" xr:uid="{9D37ECAD-D7D3-42DC-97D4-4D14445915F1}"/>
    <cellStyle name="Normal 4 3 2 6 3" xfId="7600" xr:uid="{509AA949-30A6-46DD-93F7-E3C8E97C46AC}"/>
    <cellStyle name="Normal 4 3 2 6 3 2" xfId="20282" xr:uid="{2F4ED04C-6E8B-4095-A936-BCABC85DB0A2}"/>
    <cellStyle name="Normal 4 3 2 6 3 2 2" xfId="45774" xr:uid="{BB410C42-9909-4DD7-8C31-98B07359C5FE}"/>
    <cellStyle name="Normal 4 3 2 6 3 3" xfId="33183" xr:uid="{77E877C5-6AD6-4BC3-9A90-BE5EB2DF6C7D}"/>
    <cellStyle name="Normal 4 3 2 6 4" xfId="14004" xr:uid="{913EBF9C-96A7-4268-94A0-C0676CFBC0D5}"/>
    <cellStyle name="Normal 4 3 2 6 4 2" xfId="39496" xr:uid="{0C4ADB5A-273C-4536-81F7-126B8EAFDE84}"/>
    <cellStyle name="Normal 4 3 2 6 5" xfId="26905" xr:uid="{96CEB9B3-AF0A-425C-AF5F-A5C194BC2A9C}"/>
    <cellStyle name="Normal 4 3 2 7" xfId="2599" xr:uid="{6657715F-B61D-49B7-99D9-E2D3BA42BDE3}"/>
    <cellStyle name="Normal 4 3 2 7 2" xfId="5753" xr:uid="{FAFA2609-F098-4FE4-A9B6-15DE2DB3237C}"/>
    <cellStyle name="Normal 4 3 2 7 2 2" xfId="12046" xr:uid="{3519C516-EFFB-40D5-BF43-02B65F58A302}"/>
    <cellStyle name="Normal 4 3 2 7 2 2 2" xfId="24728" xr:uid="{6555A738-4733-4185-9217-DBB54B46436F}"/>
    <cellStyle name="Normal 4 3 2 7 2 2 2 2" xfId="50220" xr:uid="{76FF9456-6623-4517-A998-DB8638FF25D5}"/>
    <cellStyle name="Normal 4 3 2 7 2 2 3" xfId="37629" xr:uid="{A677D4FB-AFBC-466D-89B9-23B960D3E9ED}"/>
    <cellStyle name="Normal 4 3 2 7 2 3" xfId="18450" xr:uid="{CD01164B-72AF-4ADF-9690-5BB67A1E890B}"/>
    <cellStyle name="Normal 4 3 2 7 2 3 2" xfId="43942" xr:uid="{76295F61-B0FB-45A9-96F0-F763FBEB8718}"/>
    <cellStyle name="Normal 4 3 2 7 2 4" xfId="31351" xr:uid="{B37161D8-781F-4EFA-A828-2504FD4623D7}"/>
    <cellStyle name="Normal 4 3 2 7 3" xfId="8907" xr:uid="{B4B99645-C355-4CD7-87CD-38FF88F0D0F0}"/>
    <cellStyle name="Normal 4 3 2 7 3 2" xfId="21589" xr:uid="{BAFA2B87-01C9-429B-B1E6-806E80E23952}"/>
    <cellStyle name="Normal 4 3 2 7 3 2 2" xfId="47081" xr:uid="{817BA3F8-1FEB-462E-92ED-0DD48778E69B}"/>
    <cellStyle name="Normal 4 3 2 7 3 3" xfId="34490" xr:uid="{F94C440B-BD9F-419D-8188-ADF2D4243324}"/>
    <cellStyle name="Normal 4 3 2 7 4" xfId="15311" xr:uid="{B21E0378-18AC-488A-ACBB-A6FD511B522D}"/>
    <cellStyle name="Normal 4 3 2 7 4 2" xfId="40803" xr:uid="{77B9F130-45C8-4B8B-9ABA-A7D5D869298E}"/>
    <cellStyle name="Normal 4 3 2 7 5" xfId="28212" xr:uid="{59412DAF-E801-4C57-9530-8B296939B18A}"/>
    <cellStyle name="Normal 4 3 2 8" xfId="3122" xr:uid="{638A33B5-5FF8-4744-9959-E060504920F4}"/>
    <cellStyle name="Normal 4 3 2 8 2" xfId="6276" xr:uid="{62BF0A73-C9D0-45E4-8A6C-3C187618C65A}"/>
    <cellStyle name="Normal 4 3 2 8 2 2" xfId="12569" xr:uid="{CDB3FEB7-3ED4-4DFB-95B8-1A49734FE8CA}"/>
    <cellStyle name="Normal 4 3 2 8 2 2 2" xfId="25251" xr:uid="{DD866153-1F26-450B-B7FE-4A82CABDDDC3}"/>
    <cellStyle name="Normal 4 3 2 8 2 2 2 2" xfId="50743" xr:uid="{4CB7ABE4-66F5-45B1-93EA-A8461C6775C1}"/>
    <cellStyle name="Normal 4 3 2 8 2 2 3" xfId="38152" xr:uid="{2BD61CA0-4E47-43F6-BFA9-F5A3CFE5AF95}"/>
    <cellStyle name="Normal 4 3 2 8 2 3" xfId="18973" xr:uid="{895BCBB2-BFBB-4483-A397-2A6E8184F3FA}"/>
    <cellStyle name="Normal 4 3 2 8 2 3 2" xfId="44465" xr:uid="{C4F28968-D572-42C7-BFCC-E36C3E16C086}"/>
    <cellStyle name="Normal 4 3 2 8 2 4" xfId="31874" xr:uid="{DBB0982B-3851-4970-A42E-1674B8577A42}"/>
    <cellStyle name="Normal 4 3 2 8 3" xfId="9430" xr:uid="{7BBBA21E-5B13-40C6-B0C8-76B2D15F2EC9}"/>
    <cellStyle name="Normal 4 3 2 8 3 2" xfId="22112" xr:uid="{1A7CD492-DDB5-4318-8D53-2EEABB69A058}"/>
    <cellStyle name="Normal 4 3 2 8 3 2 2" xfId="47604" xr:uid="{A8CFED20-72DC-4888-B973-D21152D04576}"/>
    <cellStyle name="Normal 4 3 2 8 3 3" xfId="35013" xr:uid="{4B585288-C620-4CFF-AB12-AAF75A421EAD}"/>
    <cellStyle name="Normal 4 3 2 8 4" xfId="15834" xr:uid="{6388C580-8883-496A-97C2-0189CD0D9960}"/>
    <cellStyle name="Normal 4 3 2 8 4 2" xfId="41326" xr:uid="{84A16684-FB04-4708-9ED0-7574AD72CE7B}"/>
    <cellStyle name="Normal 4 3 2 8 5" xfId="28735" xr:uid="{5BFFFD43-EFA4-4B1E-9CA6-BC69F667EBBC}"/>
    <cellStyle name="Normal 4 3 2 9" xfId="3661" xr:uid="{8488DA7B-72BC-499B-86DC-F169CAC22E9A}"/>
    <cellStyle name="Normal 4 3 2 9 2" xfId="9954" xr:uid="{C0F53056-1554-40C2-9E6A-CC6A2F79302D}"/>
    <cellStyle name="Normal 4 3 2 9 2 2" xfId="22636" xr:uid="{05A1FB22-9FA5-47D8-B31C-B66A2B4F7E7A}"/>
    <cellStyle name="Normal 4 3 2 9 2 2 2" xfId="48128" xr:uid="{CEDC2CE1-AB8E-4A42-945B-FB7ACC657068}"/>
    <cellStyle name="Normal 4 3 2 9 2 3" xfId="35537" xr:uid="{21918EAD-57CE-4C0E-9AED-5A121FF4EA58}"/>
    <cellStyle name="Normal 4 3 2 9 3" xfId="16358" xr:uid="{F9C120D3-C230-411A-94A0-CD0DD6E4B466}"/>
    <cellStyle name="Normal 4 3 2 9 3 2" xfId="41850" xr:uid="{C3940BDB-ED13-487F-A7D5-93FC3CF42359}"/>
    <cellStyle name="Normal 4 3 2 9 4" xfId="29259" xr:uid="{403CCFFF-5B51-4A36-93FF-129EABD3F232}"/>
    <cellStyle name="Normal 4 3 3" xfId="590" xr:uid="{3EE92C7F-05A5-45A8-8B76-31D277B5D272}"/>
    <cellStyle name="Normal 4 3 3 10" xfId="13317" xr:uid="{18967021-4923-45D5-9741-E589EF6045CE}"/>
    <cellStyle name="Normal 4 3 3 10 2" xfId="38809" xr:uid="{471D223B-CC31-4D27-A0ED-2D4C459DA88D}"/>
    <cellStyle name="Normal 4 3 3 11" xfId="26218" xr:uid="{7EC8B291-3AC0-40DD-B308-46F51F04B6A2}"/>
    <cellStyle name="Normal 4 3 3 2" xfId="1127" xr:uid="{11785CD0-64A9-46D3-8F05-2389EA106DF6}"/>
    <cellStyle name="Normal 4 3 3 2 2" xfId="2434" xr:uid="{3510F056-4DD3-411F-9730-B5FFF9573780}"/>
    <cellStyle name="Normal 4 3 3 2 2 2" xfId="5588" xr:uid="{78CB0F2E-5F71-419C-8382-7B98B248F5D0}"/>
    <cellStyle name="Normal 4 3 3 2 2 2 2" xfId="11881" xr:uid="{0E12B3B4-0499-4440-8333-747AE78D715D}"/>
    <cellStyle name="Normal 4 3 3 2 2 2 2 2" xfId="24563" xr:uid="{B009D29E-E569-44D0-A438-1042025C9A61}"/>
    <cellStyle name="Normal 4 3 3 2 2 2 2 2 2" xfId="50055" xr:uid="{39C035DA-2A58-4626-AFFB-C8840AACECFC}"/>
    <cellStyle name="Normal 4 3 3 2 2 2 2 3" xfId="37464" xr:uid="{F27BEB45-3938-4F7D-88A6-1728F13B46C8}"/>
    <cellStyle name="Normal 4 3 3 2 2 2 3" xfId="18285" xr:uid="{854077A1-577B-40AF-8FE1-53A52094CEE0}"/>
    <cellStyle name="Normal 4 3 3 2 2 2 3 2" xfId="43777" xr:uid="{54E47CD9-4D62-43B3-91D4-CFD1179039D3}"/>
    <cellStyle name="Normal 4 3 3 2 2 2 4" xfId="31186" xr:uid="{C31C346B-5A8B-4F35-ACBC-880FF11CF2EC}"/>
    <cellStyle name="Normal 4 3 3 2 2 3" xfId="8742" xr:uid="{A373B690-9446-458E-ABE8-76F06EA661B8}"/>
    <cellStyle name="Normal 4 3 3 2 2 3 2" xfId="21424" xr:uid="{8362C4C0-8092-41DB-BBA0-DCF765D91C0D}"/>
    <cellStyle name="Normal 4 3 3 2 2 3 2 2" xfId="46916" xr:uid="{42295266-86CE-4943-8733-62B9C5FF5111}"/>
    <cellStyle name="Normal 4 3 3 2 2 3 3" xfId="34325" xr:uid="{1D96273E-00A3-4E19-A178-336C1893AE54}"/>
    <cellStyle name="Normal 4 3 3 2 2 4" xfId="15146" xr:uid="{3361AC5D-C8FA-45A7-B7E4-10B57C46370D}"/>
    <cellStyle name="Normal 4 3 3 2 2 4 2" xfId="40638" xr:uid="{FADCFE09-BECC-47F5-9177-89BAEE3B7A64}"/>
    <cellStyle name="Normal 4 3 3 2 2 5" xfId="28047" xr:uid="{B725BBCE-4834-4181-9B05-86BE8BE4CE67}"/>
    <cellStyle name="Normal 4 3 3 2 3" xfId="1651" xr:uid="{B13D1C66-27EB-4A44-AF25-8149E62389D0}"/>
    <cellStyle name="Normal 4 3 3 2 3 2" xfId="4805" xr:uid="{6B03CEB6-64BD-4C30-A587-611AFDE00642}"/>
    <cellStyle name="Normal 4 3 3 2 3 2 2" xfId="11098" xr:uid="{021DE7D1-937C-49B4-AF76-A9B5B1F2EF67}"/>
    <cellStyle name="Normal 4 3 3 2 3 2 2 2" xfId="23780" xr:uid="{589896E3-7C4B-4A26-9B3C-2870A681FB88}"/>
    <cellStyle name="Normal 4 3 3 2 3 2 2 2 2" xfId="49272" xr:uid="{A3440830-8E78-4A00-99D5-B892CC88E072}"/>
    <cellStyle name="Normal 4 3 3 2 3 2 2 3" xfId="36681" xr:uid="{7AB7CB19-DFDC-4623-A8FD-8B89EEB585EB}"/>
    <cellStyle name="Normal 4 3 3 2 3 2 3" xfId="17502" xr:uid="{B29FBA92-C6C2-484B-849D-530B8F49DF13}"/>
    <cellStyle name="Normal 4 3 3 2 3 2 3 2" xfId="42994" xr:uid="{F13C1E3F-F0A0-48EC-81F0-B1696E5897A8}"/>
    <cellStyle name="Normal 4 3 3 2 3 2 4" xfId="30403" xr:uid="{BFE4AD8F-EFAB-4C50-A146-E2E60F9F1ABB}"/>
    <cellStyle name="Normal 4 3 3 2 3 3" xfId="7959" xr:uid="{1ED96597-2FB4-4477-B1EA-9FC52BB9F46C}"/>
    <cellStyle name="Normal 4 3 3 2 3 3 2" xfId="20641" xr:uid="{FF0484CB-BF78-40E1-A64B-A93BA5BF3917}"/>
    <cellStyle name="Normal 4 3 3 2 3 3 2 2" xfId="46133" xr:uid="{8FD7525E-8E27-43CC-BB0A-646A24A83A7F}"/>
    <cellStyle name="Normal 4 3 3 2 3 3 3" xfId="33542" xr:uid="{EC95B492-851E-4A1E-8B8A-327AD1A5E064}"/>
    <cellStyle name="Normal 4 3 3 2 3 4" xfId="14363" xr:uid="{8F565095-ED0D-4DBA-BF77-B22567E0F544}"/>
    <cellStyle name="Normal 4 3 3 2 3 4 2" xfId="39855" xr:uid="{4F509BE9-BC6B-4E8E-A7C5-CDA37791B87B}"/>
    <cellStyle name="Normal 4 3 3 2 3 5" xfId="27264" xr:uid="{812A95FB-6A48-47C9-9E86-682CABCFE125}"/>
    <cellStyle name="Normal 4 3 3 2 4" xfId="2958" xr:uid="{A3F3A5C5-4F1F-4257-9C12-313750BBD76F}"/>
    <cellStyle name="Normal 4 3 3 2 4 2" xfId="6112" xr:uid="{87A20B73-A512-4E01-95E5-EFB5AB4AEE39}"/>
    <cellStyle name="Normal 4 3 3 2 4 2 2" xfId="12405" xr:uid="{A96432A3-4C3E-4090-800F-8D30386C82BF}"/>
    <cellStyle name="Normal 4 3 3 2 4 2 2 2" xfId="25087" xr:uid="{0F7CB305-DF7D-4305-9456-F974C1929D0B}"/>
    <cellStyle name="Normal 4 3 3 2 4 2 2 2 2" xfId="50579" xr:uid="{4F0B4F3A-3726-40FD-8D78-54D6A8613099}"/>
    <cellStyle name="Normal 4 3 3 2 4 2 2 3" xfId="37988" xr:uid="{1ABAB6E6-7616-4C8F-88E2-C39D3E565A3C}"/>
    <cellStyle name="Normal 4 3 3 2 4 2 3" xfId="18809" xr:uid="{F70EBFC0-AD61-4047-B737-35A576735BC5}"/>
    <cellStyle name="Normal 4 3 3 2 4 2 3 2" xfId="44301" xr:uid="{3635AC29-B70A-4681-B65F-7DEBF6FEC5C7}"/>
    <cellStyle name="Normal 4 3 3 2 4 2 4" xfId="31710" xr:uid="{08B0305A-2B46-40B2-AA29-CDA5960A691F}"/>
    <cellStyle name="Normal 4 3 3 2 4 3" xfId="9266" xr:uid="{989E6536-29FB-4DB8-93C4-A766FF2823DF}"/>
    <cellStyle name="Normal 4 3 3 2 4 3 2" xfId="21948" xr:uid="{B8926C0D-1B14-48E5-B131-E090479239D3}"/>
    <cellStyle name="Normal 4 3 3 2 4 3 2 2" xfId="47440" xr:uid="{ABD24771-6C29-41CC-B395-D68CC29154F6}"/>
    <cellStyle name="Normal 4 3 3 2 4 3 3" xfId="34849" xr:uid="{486CE6F3-832B-4C46-AEC9-AA7FF32C08A1}"/>
    <cellStyle name="Normal 4 3 3 2 4 4" xfId="15670" xr:uid="{3294324C-892F-49D9-84DF-B421C1287AD4}"/>
    <cellStyle name="Normal 4 3 3 2 4 4 2" xfId="41162" xr:uid="{66198B7E-3AA8-480C-844B-A0FB61740F9C}"/>
    <cellStyle name="Normal 4 3 3 2 4 5" xfId="28571" xr:uid="{828F747E-614C-419E-A867-DF6C48D55C00}"/>
    <cellStyle name="Normal 4 3 3 2 5" xfId="3481" xr:uid="{6AED0163-FD2A-45D7-9680-0719A01F121D}"/>
    <cellStyle name="Normal 4 3 3 2 5 2" xfId="6635" xr:uid="{343A6083-6410-4F46-AD57-25B4D9517D27}"/>
    <cellStyle name="Normal 4 3 3 2 5 2 2" xfId="12928" xr:uid="{53D4BA00-1378-4EA6-9ABA-6C0AED632F8B}"/>
    <cellStyle name="Normal 4 3 3 2 5 2 2 2" xfId="25610" xr:uid="{52ACE02F-034C-401E-9580-5BC0F2CFFD7B}"/>
    <cellStyle name="Normal 4 3 3 2 5 2 2 2 2" xfId="51102" xr:uid="{75A633AC-A53C-4CB5-BA26-6A59D2B853A6}"/>
    <cellStyle name="Normal 4 3 3 2 5 2 2 3" xfId="38511" xr:uid="{A9B24807-9EE6-4AA8-BA37-B7CEF3DA5D7E}"/>
    <cellStyle name="Normal 4 3 3 2 5 2 3" xfId="19332" xr:uid="{7AEA03F5-D5F4-4E6E-880E-B8FEBDCB8591}"/>
    <cellStyle name="Normal 4 3 3 2 5 2 3 2" xfId="44824" xr:uid="{26F2F8BD-7FEC-4DE4-9DC7-C2E5726E7B47}"/>
    <cellStyle name="Normal 4 3 3 2 5 2 4" xfId="32233" xr:uid="{FB295D8C-2CBA-47BE-B057-CFCD2410EF2E}"/>
    <cellStyle name="Normal 4 3 3 2 5 3" xfId="9789" xr:uid="{1A49A725-25CB-4CF6-AA7C-A02D07657DAD}"/>
    <cellStyle name="Normal 4 3 3 2 5 3 2" xfId="22471" xr:uid="{13EF9B91-9225-47B7-9D07-F2535729C677}"/>
    <cellStyle name="Normal 4 3 3 2 5 3 2 2" xfId="47963" xr:uid="{18F4E61A-E9F3-4695-9731-8F1C5CF8A5BA}"/>
    <cellStyle name="Normal 4 3 3 2 5 3 3" xfId="35372" xr:uid="{74490C3A-D2D7-430D-BE47-9DEA9D6D58F2}"/>
    <cellStyle name="Normal 4 3 3 2 5 4" xfId="16193" xr:uid="{25C690AC-F1D4-407C-815F-20863FAB662A}"/>
    <cellStyle name="Normal 4 3 3 2 5 4 2" xfId="41685" xr:uid="{590C6E22-1568-4BCE-B316-6C40493A52CB}"/>
    <cellStyle name="Normal 4 3 3 2 5 5" xfId="29094" xr:uid="{D7A90587-BFCF-4FCB-9590-97F4E8FA3E80}"/>
    <cellStyle name="Normal 4 3 3 2 6" xfId="4281" xr:uid="{3C3E3B46-4021-43D0-9A38-CD3AB450438F}"/>
    <cellStyle name="Normal 4 3 3 2 6 2" xfId="10574" xr:uid="{7011EDE8-D809-40EB-B650-8481CC180B90}"/>
    <cellStyle name="Normal 4 3 3 2 6 2 2" xfId="23256" xr:uid="{EB6F8401-CF0C-430B-A24D-97E11428A7BB}"/>
    <cellStyle name="Normal 4 3 3 2 6 2 2 2" xfId="48748" xr:uid="{48C16D2E-1FDF-42AA-BC3E-6A3051F590A5}"/>
    <cellStyle name="Normal 4 3 3 2 6 2 3" xfId="36157" xr:uid="{B8DA3797-ACF4-4F86-8EC4-AB9DD5FC7436}"/>
    <cellStyle name="Normal 4 3 3 2 6 3" xfId="16978" xr:uid="{8F47AA29-BC39-441C-8FB8-051EE8C8CA04}"/>
    <cellStyle name="Normal 4 3 3 2 6 3 2" xfId="42470" xr:uid="{28BA00EE-39C8-4F8D-8183-D720EE6A2B40}"/>
    <cellStyle name="Normal 4 3 3 2 6 4" xfId="29879" xr:uid="{47D79848-379B-4C65-A8F1-CA0A5DDEECED}"/>
    <cellStyle name="Normal 4 3 3 2 7" xfId="7435" xr:uid="{264E0584-A304-4560-9935-01D7F5354C89}"/>
    <cellStyle name="Normal 4 3 3 2 7 2" xfId="20117" xr:uid="{B8A79357-101A-4EA1-B3A8-AC65280E8F55}"/>
    <cellStyle name="Normal 4 3 3 2 7 2 2" xfId="45609" xr:uid="{27FB3DAF-BCC5-4CD2-AA48-325AB4A8485B}"/>
    <cellStyle name="Normal 4 3 3 2 7 3" xfId="33018" xr:uid="{7D83744D-3EA8-4158-9388-A1706150189A}"/>
    <cellStyle name="Normal 4 3 3 2 8" xfId="13839" xr:uid="{1FDE2EEE-5F78-4B47-88E9-74A0823D3970}"/>
    <cellStyle name="Normal 4 3 3 2 8 2" xfId="39331" xr:uid="{A70E41B5-EC13-4A19-BC02-1FFCC7746989}"/>
    <cellStyle name="Normal 4 3 3 2 9" xfId="26740" xr:uid="{33CCB27D-0127-4F74-A26C-2B261CE7E41E}"/>
    <cellStyle name="Normal 4 3 3 3" xfId="867" xr:uid="{CCE263BB-22F1-4F2B-96F6-168BB76B0FE7}"/>
    <cellStyle name="Normal 4 3 3 3 2" xfId="2174" xr:uid="{0F9D9070-2F9D-4DD3-AFE9-F0961C808463}"/>
    <cellStyle name="Normal 4 3 3 3 2 2" xfId="5328" xr:uid="{61D21117-177C-4B4D-AC2C-813C7E21B8E9}"/>
    <cellStyle name="Normal 4 3 3 3 2 2 2" xfId="11621" xr:uid="{1D6FA27C-2239-4886-8BF6-5D00790DCDE2}"/>
    <cellStyle name="Normal 4 3 3 3 2 2 2 2" xfId="24303" xr:uid="{853B2087-45A9-4F67-98DE-8563B11D9276}"/>
    <cellStyle name="Normal 4 3 3 3 2 2 2 2 2" xfId="49795" xr:uid="{1EA9BF40-B11E-4CE4-BE02-74A9BDAB5DB0}"/>
    <cellStyle name="Normal 4 3 3 3 2 2 2 3" xfId="37204" xr:uid="{F597C0D7-A6EB-4775-967C-064D2E97029E}"/>
    <cellStyle name="Normal 4 3 3 3 2 2 3" xfId="18025" xr:uid="{1FAA8160-80F7-4AED-884D-38341ECCC23E}"/>
    <cellStyle name="Normal 4 3 3 3 2 2 3 2" xfId="43517" xr:uid="{7856304E-B4AD-4ABB-8BB2-3119CBCD058E}"/>
    <cellStyle name="Normal 4 3 3 3 2 2 4" xfId="30926" xr:uid="{C640D347-4696-474E-AFEF-41F6E862FC69}"/>
    <cellStyle name="Normal 4 3 3 3 2 3" xfId="8482" xr:uid="{0078654D-7DEA-402E-A0D8-BCA90C5F9899}"/>
    <cellStyle name="Normal 4 3 3 3 2 3 2" xfId="21164" xr:uid="{7C2C04F3-1880-4056-A3CC-9902372E9B23}"/>
    <cellStyle name="Normal 4 3 3 3 2 3 2 2" xfId="46656" xr:uid="{7C912CBC-1FFB-41A2-ADC8-E3DFD028F675}"/>
    <cellStyle name="Normal 4 3 3 3 2 3 3" xfId="34065" xr:uid="{B37E1B4E-84C0-4D6B-B2D2-6BCB4CB108C1}"/>
    <cellStyle name="Normal 4 3 3 3 2 4" xfId="14886" xr:uid="{3A44A7BB-C07C-4A01-B499-B73D53C90A21}"/>
    <cellStyle name="Normal 4 3 3 3 2 4 2" xfId="40378" xr:uid="{8B44EEEB-E1DB-45AD-B485-CD2718AF8F37}"/>
    <cellStyle name="Normal 4 3 3 3 2 5" xfId="27787" xr:uid="{97F20D47-3B10-4672-BB5B-66FF27EABD7C}"/>
    <cellStyle name="Normal 4 3 3 3 3" xfId="4021" xr:uid="{DC9D823C-67FF-4E52-8D42-06EF39DA607D}"/>
    <cellStyle name="Normal 4 3 3 3 3 2" xfId="10314" xr:uid="{BF062295-68DC-4386-A5A0-C0552A84A5B6}"/>
    <cellStyle name="Normal 4 3 3 3 3 2 2" xfId="22996" xr:uid="{F066D36E-5DCE-44C1-B4D7-D78A1D42DCBE}"/>
    <cellStyle name="Normal 4 3 3 3 3 2 2 2" xfId="48488" xr:uid="{B4BED0C9-1E78-4C7A-B83E-D706A5BA302E}"/>
    <cellStyle name="Normal 4 3 3 3 3 2 3" xfId="35897" xr:uid="{8A3D3575-60EF-4CA9-A61C-CFB4F7AEB530}"/>
    <cellStyle name="Normal 4 3 3 3 3 3" xfId="16718" xr:uid="{766323EF-85A0-4048-8E90-8407FD447B3A}"/>
    <cellStyle name="Normal 4 3 3 3 3 3 2" xfId="42210" xr:uid="{F7FEBFD7-102F-4DE9-B7A8-29F87B823F9C}"/>
    <cellStyle name="Normal 4 3 3 3 3 4" xfId="29619" xr:uid="{EA7A42D8-62AE-4F86-BD04-D3116F76B858}"/>
    <cellStyle name="Normal 4 3 3 3 4" xfId="7175" xr:uid="{3E86E416-BA61-40CD-88E6-C876310BEC14}"/>
    <cellStyle name="Normal 4 3 3 3 4 2" xfId="19857" xr:uid="{94717C65-CBA4-486C-A3D1-0C86F11A4EA4}"/>
    <cellStyle name="Normal 4 3 3 3 4 2 2" xfId="45349" xr:uid="{272B4788-5B0D-4F01-9B23-042940A0B37F}"/>
    <cellStyle name="Normal 4 3 3 3 4 3" xfId="32758" xr:uid="{13CC8972-AB96-45E9-B882-DA96332DBCE9}"/>
    <cellStyle name="Normal 4 3 3 3 5" xfId="13579" xr:uid="{0E4AFBF4-27B5-403A-A747-1FE01EF4CEB2}"/>
    <cellStyle name="Normal 4 3 3 3 5 2" xfId="39071" xr:uid="{15F33E01-8971-42EC-870E-7BC26CDF700B}"/>
    <cellStyle name="Normal 4 3 3 3 6" xfId="26480" xr:uid="{030F9455-759B-4572-9E1F-A0F53C0B2773}"/>
    <cellStyle name="Normal 4 3 3 4" xfId="1912" xr:uid="{1D18A7F8-6240-47E6-B5F5-F2F09552F36B}"/>
    <cellStyle name="Normal 4 3 3 4 2" xfId="5066" xr:uid="{EE0E712C-75D3-44C7-9544-9276AB898D3F}"/>
    <cellStyle name="Normal 4 3 3 4 2 2" xfId="11359" xr:uid="{3771B38F-EB05-4AC3-81A4-6FC025460073}"/>
    <cellStyle name="Normal 4 3 3 4 2 2 2" xfId="24041" xr:uid="{4671C214-4F6E-42E4-8929-6E590E15D7D2}"/>
    <cellStyle name="Normal 4 3 3 4 2 2 2 2" xfId="49533" xr:uid="{8CEED5F2-EE99-484C-AE89-C8D7EF14E91D}"/>
    <cellStyle name="Normal 4 3 3 4 2 2 3" xfId="36942" xr:uid="{F162FFF8-2663-443E-A368-401212013F74}"/>
    <cellStyle name="Normal 4 3 3 4 2 3" xfId="17763" xr:uid="{27B5BFD2-2010-4F03-A732-FBC5623F9659}"/>
    <cellStyle name="Normal 4 3 3 4 2 3 2" xfId="43255" xr:uid="{A4B6D49F-0CBD-48A0-BFA2-AF6B13209A5D}"/>
    <cellStyle name="Normal 4 3 3 4 2 4" xfId="30664" xr:uid="{FF7EAA6A-AE75-433A-8A97-3B696CE796D0}"/>
    <cellStyle name="Normal 4 3 3 4 3" xfId="8220" xr:uid="{B862EFFA-1E57-4652-9D55-488B3F5C8E34}"/>
    <cellStyle name="Normal 4 3 3 4 3 2" xfId="20902" xr:uid="{2684E126-8890-41CC-83F8-58F54156FF36}"/>
    <cellStyle name="Normal 4 3 3 4 3 2 2" xfId="46394" xr:uid="{4A380485-01FC-4A78-A227-83FAC86938C8}"/>
    <cellStyle name="Normal 4 3 3 4 3 3" xfId="33803" xr:uid="{4DD9E75C-BEF7-4EDA-92F7-2143303C9A46}"/>
    <cellStyle name="Normal 4 3 3 4 4" xfId="14624" xr:uid="{FD1B9355-2B29-404A-876D-563C825FC9B4}"/>
    <cellStyle name="Normal 4 3 3 4 4 2" xfId="40116" xr:uid="{8B7A23B4-084E-4CBE-AAB3-9ED24BEA5583}"/>
    <cellStyle name="Normal 4 3 3 4 5" xfId="27525" xr:uid="{8BCC635C-ED29-4DFE-AF05-0A7EE6BF04F4}"/>
    <cellStyle name="Normal 4 3 3 5" xfId="1390" xr:uid="{6D5F2B16-23E9-4405-B598-46E8E472F3EE}"/>
    <cellStyle name="Normal 4 3 3 5 2" xfId="4544" xr:uid="{933B95D8-A6C1-482E-B6D1-E287E745EE0A}"/>
    <cellStyle name="Normal 4 3 3 5 2 2" xfId="10837" xr:uid="{2AA0A277-4146-42E9-8D55-D3AC932805E3}"/>
    <cellStyle name="Normal 4 3 3 5 2 2 2" xfId="23519" xr:uid="{8EE6F828-CFE5-4971-9365-02F6BB3E500E}"/>
    <cellStyle name="Normal 4 3 3 5 2 2 2 2" xfId="49011" xr:uid="{961DB7FE-CA1F-4D76-B23E-04B12D6CA6A9}"/>
    <cellStyle name="Normal 4 3 3 5 2 2 3" xfId="36420" xr:uid="{9DD6018E-BE0D-4A62-950E-1A58F5407080}"/>
    <cellStyle name="Normal 4 3 3 5 2 3" xfId="17241" xr:uid="{3E75D98D-8488-4547-9016-82F377B2B77D}"/>
    <cellStyle name="Normal 4 3 3 5 2 3 2" xfId="42733" xr:uid="{4BC940E8-F37D-4408-8F6F-EEB4E4EE1ECD}"/>
    <cellStyle name="Normal 4 3 3 5 2 4" xfId="30142" xr:uid="{14FB857F-5673-456D-84BD-3F3F885715E9}"/>
    <cellStyle name="Normal 4 3 3 5 3" xfId="7698" xr:uid="{E995D235-604B-42A1-B68C-90F2AEDC8373}"/>
    <cellStyle name="Normal 4 3 3 5 3 2" xfId="20380" xr:uid="{FC929385-7B32-4DEB-9B18-CC7C2E4D7E06}"/>
    <cellStyle name="Normal 4 3 3 5 3 2 2" xfId="45872" xr:uid="{EA31DC4D-395D-4440-B158-05B6D7AFAAE7}"/>
    <cellStyle name="Normal 4 3 3 5 3 3" xfId="33281" xr:uid="{53E3A56B-3C3E-42AA-A39D-11AF29816073}"/>
    <cellStyle name="Normal 4 3 3 5 4" xfId="14102" xr:uid="{CD50CA1B-EAD9-428A-AD19-A51B61AB74DF}"/>
    <cellStyle name="Normal 4 3 3 5 4 2" xfId="39594" xr:uid="{11B5A459-BB60-4295-BCC7-2C78AEEAFE47}"/>
    <cellStyle name="Normal 4 3 3 5 5" xfId="27003" xr:uid="{CFFCB297-216B-4E6A-8A0C-608FF5D570E7}"/>
    <cellStyle name="Normal 4 3 3 6" xfId="2697" xr:uid="{86B0606C-4215-4C7D-86F8-F50F6D83286D}"/>
    <cellStyle name="Normal 4 3 3 6 2" xfId="5851" xr:uid="{2613BD7F-FD3E-45A3-B381-DBBC5E51D53C}"/>
    <cellStyle name="Normal 4 3 3 6 2 2" xfId="12144" xr:uid="{55455BCC-2C2A-43FC-A369-066693741AED}"/>
    <cellStyle name="Normal 4 3 3 6 2 2 2" xfId="24826" xr:uid="{A2B5C078-5926-44DE-A7F4-CCA89CB7ED2F}"/>
    <cellStyle name="Normal 4 3 3 6 2 2 2 2" xfId="50318" xr:uid="{014C065F-9B3D-4E45-A935-285551736553}"/>
    <cellStyle name="Normal 4 3 3 6 2 2 3" xfId="37727" xr:uid="{46E9A639-1D98-4E33-80CF-9D9E9880F3DF}"/>
    <cellStyle name="Normal 4 3 3 6 2 3" xfId="18548" xr:uid="{2F029D33-7F83-4B4C-835C-94A86F547BB6}"/>
    <cellStyle name="Normal 4 3 3 6 2 3 2" xfId="44040" xr:uid="{A70A02AD-0628-48DA-B9C8-D6C79F546286}"/>
    <cellStyle name="Normal 4 3 3 6 2 4" xfId="31449" xr:uid="{24685F4A-DE19-49E9-ACCD-63A2F0AC41FC}"/>
    <cellStyle name="Normal 4 3 3 6 3" xfId="9005" xr:uid="{99E65B78-D44E-4363-B541-3480794E2CCB}"/>
    <cellStyle name="Normal 4 3 3 6 3 2" xfId="21687" xr:uid="{6FB7C1EC-E9E4-43F5-A365-897F95DE8BA8}"/>
    <cellStyle name="Normal 4 3 3 6 3 2 2" xfId="47179" xr:uid="{A3B4273F-29F7-4CA2-AB03-627FBB0A2764}"/>
    <cellStyle name="Normal 4 3 3 6 3 3" xfId="34588" xr:uid="{684566D7-A08A-4255-B1CD-681771296E24}"/>
    <cellStyle name="Normal 4 3 3 6 4" xfId="15409" xr:uid="{ED0CE081-426A-4A88-A92F-56C8F47B8DA2}"/>
    <cellStyle name="Normal 4 3 3 6 4 2" xfId="40901" xr:uid="{E382AC97-D68B-4956-97D7-A7C3EB0BD270}"/>
    <cellStyle name="Normal 4 3 3 6 5" xfId="28310" xr:uid="{879CB080-24EB-49BB-AC97-7FCF3460B093}"/>
    <cellStyle name="Normal 4 3 3 7" xfId="3220" xr:uid="{90853EA8-75EC-4C7A-949B-16CDF68FC239}"/>
    <cellStyle name="Normal 4 3 3 7 2" xfId="6374" xr:uid="{600A12DE-314E-4BE1-9A76-F434EF8D737A}"/>
    <cellStyle name="Normal 4 3 3 7 2 2" xfId="12667" xr:uid="{9EB6704C-9682-406C-A0EB-CF17B8950E2B}"/>
    <cellStyle name="Normal 4 3 3 7 2 2 2" xfId="25349" xr:uid="{2FCFD952-1429-4EB5-8E9A-9EBCF881F56B}"/>
    <cellStyle name="Normal 4 3 3 7 2 2 2 2" xfId="50841" xr:uid="{353150FA-144D-4544-A50B-A586AF1DE1BE}"/>
    <cellStyle name="Normal 4 3 3 7 2 2 3" xfId="38250" xr:uid="{99BF079B-5EC6-4D6A-A473-5A8DD8C726BB}"/>
    <cellStyle name="Normal 4 3 3 7 2 3" xfId="19071" xr:uid="{BAF08382-CE9E-4911-AAF2-9A9FFF96E682}"/>
    <cellStyle name="Normal 4 3 3 7 2 3 2" xfId="44563" xr:uid="{BCF53792-9D05-4E98-A0F8-48D1399A652B}"/>
    <cellStyle name="Normal 4 3 3 7 2 4" xfId="31972" xr:uid="{E4F75205-C82A-4788-9B4C-A2FEF7665173}"/>
    <cellStyle name="Normal 4 3 3 7 3" xfId="9528" xr:uid="{DF31B05E-79D7-426E-B3C1-16A9466A3F46}"/>
    <cellStyle name="Normal 4 3 3 7 3 2" xfId="22210" xr:uid="{95826DFC-7B0D-44EA-AF14-83C246A23847}"/>
    <cellStyle name="Normal 4 3 3 7 3 2 2" xfId="47702" xr:uid="{3A3BA062-68B9-4472-8E65-C46BE1D0083A}"/>
    <cellStyle name="Normal 4 3 3 7 3 3" xfId="35111" xr:uid="{8FD066EA-889B-4BDE-B0A6-38D77A728E39}"/>
    <cellStyle name="Normal 4 3 3 7 4" xfId="15932" xr:uid="{34450ABF-A4FD-4ED7-9B4A-C1386D0C0DEF}"/>
    <cellStyle name="Normal 4 3 3 7 4 2" xfId="41424" xr:uid="{49F79180-1CAD-44D0-BBCF-8928D9177231}"/>
    <cellStyle name="Normal 4 3 3 7 5" xfId="28833" xr:uid="{3C7605F0-86BA-4DA7-A476-1FAF82FB4269}"/>
    <cellStyle name="Normal 4 3 3 8" xfId="3759" xr:uid="{0E166656-7582-4BEC-8670-DB577EF6EEC4}"/>
    <cellStyle name="Normal 4 3 3 8 2" xfId="10052" xr:uid="{EA7A4667-DF3B-47AF-B385-C3C8B1C88C76}"/>
    <cellStyle name="Normal 4 3 3 8 2 2" xfId="22734" xr:uid="{D1E44C64-2FA7-4376-8F91-90D976C7D4D2}"/>
    <cellStyle name="Normal 4 3 3 8 2 2 2" xfId="48226" xr:uid="{147982B0-7977-4BF1-9678-ACAFAB624DF0}"/>
    <cellStyle name="Normal 4 3 3 8 2 3" xfId="35635" xr:uid="{AB03E6BF-916F-4BE9-9A93-30956276B263}"/>
    <cellStyle name="Normal 4 3 3 8 3" xfId="16456" xr:uid="{D6223FB6-0082-444F-96C9-DE08AE7E745B}"/>
    <cellStyle name="Normal 4 3 3 8 3 2" xfId="41948" xr:uid="{23023F7F-EF79-430F-B380-33688F59964E}"/>
    <cellStyle name="Normal 4 3 3 8 4" xfId="29357" xr:uid="{D0E0798A-5041-47B7-A36E-DF98BDFE2748}"/>
    <cellStyle name="Normal 4 3 3 9" xfId="6913" xr:uid="{248C606A-67A6-4889-8E77-D852BB787EE5}"/>
    <cellStyle name="Normal 4 3 3 9 2" xfId="19595" xr:uid="{03C2E844-6FBE-4219-9771-054928A314E8}"/>
    <cellStyle name="Normal 4 3 3 9 2 2" xfId="45087" xr:uid="{33C1C74A-9256-4E89-9C74-DD3BF5BF5D65}"/>
    <cellStyle name="Normal 4 3 3 9 3" xfId="32496" xr:uid="{ADF444CB-D658-4E93-BFAA-EF018DDDF813}"/>
    <cellStyle name="Normal 4 3 4" xfId="551" xr:uid="{CD088643-5518-41A5-B0D0-0C1F4655E569}"/>
    <cellStyle name="Normal 4 3 4 10" xfId="13278" xr:uid="{8CA71D6F-9DEB-4CB9-BE62-1FDE4BF50933}"/>
    <cellStyle name="Normal 4 3 4 10 2" xfId="38770" xr:uid="{33CF3FF0-2A37-411F-B94A-5B95859279E6}"/>
    <cellStyle name="Normal 4 3 4 11" xfId="26179" xr:uid="{1861692F-09C5-4A6E-A243-A1D478BEA6F3}"/>
    <cellStyle name="Normal 4 3 4 2" xfId="1088" xr:uid="{7D548812-1E42-45BE-821F-46A198D8D534}"/>
    <cellStyle name="Normal 4 3 4 2 2" xfId="2395" xr:uid="{5373E083-71D8-48C9-B49B-DB6DC7D983F4}"/>
    <cellStyle name="Normal 4 3 4 2 2 2" xfId="5549" xr:uid="{A2274D4B-2A91-4422-8620-D6A5A37C1872}"/>
    <cellStyle name="Normal 4 3 4 2 2 2 2" xfId="11842" xr:uid="{8B1A175F-9C18-4CC4-A89E-DAECB7709BED}"/>
    <cellStyle name="Normal 4 3 4 2 2 2 2 2" xfId="24524" xr:uid="{70A56B64-5A0A-4B54-8CB5-AD0B46CED1CA}"/>
    <cellStyle name="Normal 4 3 4 2 2 2 2 2 2" xfId="50016" xr:uid="{82B7C6A3-8310-4CD8-83C4-2244C52E1672}"/>
    <cellStyle name="Normal 4 3 4 2 2 2 2 3" xfId="37425" xr:uid="{B8A5D357-352D-4ABF-A242-EC209F258AAE}"/>
    <cellStyle name="Normal 4 3 4 2 2 2 3" xfId="18246" xr:uid="{14349A9F-5F39-4E92-9CB3-74C580C61F55}"/>
    <cellStyle name="Normal 4 3 4 2 2 2 3 2" xfId="43738" xr:uid="{4F53E751-A54A-4A32-8400-E65A2620AD32}"/>
    <cellStyle name="Normal 4 3 4 2 2 2 4" xfId="31147" xr:uid="{A5ECEA1B-A772-4F81-816B-14722207DFB5}"/>
    <cellStyle name="Normal 4 3 4 2 2 3" xfId="8703" xr:uid="{39E5AA20-34EB-4A71-9959-20193C9B3753}"/>
    <cellStyle name="Normal 4 3 4 2 2 3 2" xfId="21385" xr:uid="{33E61153-C7D8-45C8-9B30-DC0EE70717BD}"/>
    <cellStyle name="Normal 4 3 4 2 2 3 2 2" xfId="46877" xr:uid="{C01EAE0F-3C23-46AC-922C-1459DB2EA910}"/>
    <cellStyle name="Normal 4 3 4 2 2 3 3" xfId="34286" xr:uid="{0EAD8220-547A-4C3F-91A3-136BEB0E88B5}"/>
    <cellStyle name="Normal 4 3 4 2 2 4" xfId="15107" xr:uid="{716AD1E1-A5AB-4122-867F-CAB73A3E233A}"/>
    <cellStyle name="Normal 4 3 4 2 2 4 2" xfId="40599" xr:uid="{00AEA83D-94FF-46BA-9ED4-4BDD15674DDA}"/>
    <cellStyle name="Normal 4 3 4 2 2 5" xfId="28008" xr:uid="{E8BC2190-BD27-498F-A5B4-762817B60D0A}"/>
    <cellStyle name="Normal 4 3 4 2 3" xfId="1612" xr:uid="{5A8A2235-4B74-4DE0-9780-E4FC183F879E}"/>
    <cellStyle name="Normal 4 3 4 2 3 2" xfId="4766" xr:uid="{62038744-AD45-4483-90DC-E4FFCEF07349}"/>
    <cellStyle name="Normal 4 3 4 2 3 2 2" xfId="11059" xr:uid="{107C2EFA-CA1A-45EB-BEFC-7AB3BB5FF306}"/>
    <cellStyle name="Normal 4 3 4 2 3 2 2 2" xfId="23741" xr:uid="{5FD2379A-8E1A-4397-88C5-F18A1112AB84}"/>
    <cellStyle name="Normal 4 3 4 2 3 2 2 2 2" xfId="49233" xr:uid="{ED0D157F-05D2-4615-B308-36FFAE14A73C}"/>
    <cellStyle name="Normal 4 3 4 2 3 2 2 3" xfId="36642" xr:uid="{A3AA0C30-A3C3-415D-81AB-3B113C8DDA89}"/>
    <cellStyle name="Normal 4 3 4 2 3 2 3" xfId="17463" xr:uid="{ED50EC1C-B662-4126-AD24-367F1BFC08A3}"/>
    <cellStyle name="Normal 4 3 4 2 3 2 3 2" xfId="42955" xr:uid="{81DBB834-67B3-419D-9D3B-04DC38D65365}"/>
    <cellStyle name="Normal 4 3 4 2 3 2 4" xfId="30364" xr:uid="{CBC3853C-A3BA-4C86-88D9-BB5015E161BB}"/>
    <cellStyle name="Normal 4 3 4 2 3 3" xfId="7920" xr:uid="{142207A5-74F3-4F01-B141-C954E9D6B4F2}"/>
    <cellStyle name="Normal 4 3 4 2 3 3 2" xfId="20602" xr:uid="{949D0E1B-DEC5-428A-B227-EB2930A4365D}"/>
    <cellStyle name="Normal 4 3 4 2 3 3 2 2" xfId="46094" xr:uid="{279EE022-32DA-40FF-A6B7-515D6FAFE9E8}"/>
    <cellStyle name="Normal 4 3 4 2 3 3 3" xfId="33503" xr:uid="{6908743E-E4D9-4B43-96F7-701ECA9A95FE}"/>
    <cellStyle name="Normal 4 3 4 2 3 4" xfId="14324" xr:uid="{E09C0576-0971-4571-A9AE-79B9F47FEDC6}"/>
    <cellStyle name="Normal 4 3 4 2 3 4 2" xfId="39816" xr:uid="{9B08D220-17B7-4DA9-AF15-8F4B1F9AFF5B}"/>
    <cellStyle name="Normal 4 3 4 2 3 5" xfId="27225" xr:uid="{3E419215-4247-4D89-988E-E6FDAFCB887F}"/>
    <cellStyle name="Normal 4 3 4 2 4" xfId="2919" xr:uid="{9AC26A69-1578-4F9A-92F1-664428311B4A}"/>
    <cellStyle name="Normal 4 3 4 2 4 2" xfId="6073" xr:uid="{35CE72DA-ED69-4255-A57B-5B07A52C4097}"/>
    <cellStyle name="Normal 4 3 4 2 4 2 2" xfId="12366" xr:uid="{3D170BFB-1A43-4E98-8986-7399B6F7F8F1}"/>
    <cellStyle name="Normal 4 3 4 2 4 2 2 2" xfId="25048" xr:uid="{C7226E87-9F61-4059-AA00-66BA05BF4C14}"/>
    <cellStyle name="Normal 4 3 4 2 4 2 2 2 2" xfId="50540" xr:uid="{374B62F6-8897-4640-9C2D-219D3E3B288B}"/>
    <cellStyle name="Normal 4 3 4 2 4 2 2 3" xfId="37949" xr:uid="{922BB701-6D27-4445-970C-59F1B69B2630}"/>
    <cellStyle name="Normal 4 3 4 2 4 2 3" xfId="18770" xr:uid="{A93F083E-8421-4310-92B6-A704B680BFE9}"/>
    <cellStyle name="Normal 4 3 4 2 4 2 3 2" xfId="44262" xr:uid="{D026D190-B81C-4E14-A562-E6989E5F94B1}"/>
    <cellStyle name="Normal 4 3 4 2 4 2 4" xfId="31671" xr:uid="{8DE4EA2E-6E81-41F4-9594-4D2D425E38EF}"/>
    <cellStyle name="Normal 4 3 4 2 4 3" xfId="9227" xr:uid="{0EB37B6A-ECF4-4824-8717-DB2DA068C425}"/>
    <cellStyle name="Normal 4 3 4 2 4 3 2" xfId="21909" xr:uid="{2B9DABF7-F9E3-4E20-A981-94FED051F88C}"/>
    <cellStyle name="Normal 4 3 4 2 4 3 2 2" xfId="47401" xr:uid="{1AD8AB86-4696-4D14-B2A5-3B615A1733A0}"/>
    <cellStyle name="Normal 4 3 4 2 4 3 3" xfId="34810" xr:uid="{F23F21F2-1163-4DF8-B3A4-2B5C563A9640}"/>
    <cellStyle name="Normal 4 3 4 2 4 4" xfId="15631" xr:uid="{C2019B2D-7272-43EE-A877-EA843A141F43}"/>
    <cellStyle name="Normal 4 3 4 2 4 4 2" xfId="41123" xr:uid="{89BB0859-73BF-4C47-AD8D-0EE8B0604C18}"/>
    <cellStyle name="Normal 4 3 4 2 4 5" xfId="28532" xr:uid="{042C67AB-30D2-4BA6-8647-62D97F87C44A}"/>
    <cellStyle name="Normal 4 3 4 2 5" xfId="3442" xr:uid="{B01912CC-B97D-4DB6-93A7-C034ED0DA961}"/>
    <cellStyle name="Normal 4 3 4 2 5 2" xfId="6596" xr:uid="{BA09206F-71A7-497E-BB7D-6E86EEE7226B}"/>
    <cellStyle name="Normal 4 3 4 2 5 2 2" xfId="12889" xr:uid="{B159D551-94C4-4252-AFDE-7CE1F4CE7EDB}"/>
    <cellStyle name="Normal 4 3 4 2 5 2 2 2" xfId="25571" xr:uid="{1C59DF2B-6A93-488D-989F-07ADDC902C4A}"/>
    <cellStyle name="Normal 4 3 4 2 5 2 2 2 2" xfId="51063" xr:uid="{2DD5B0D8-A7DA-433A-9689-9973932BD8B9}"/>
    <cellStyle name="Normal 4 3 4 2 5 2 2 3" xfId="38472" xr:uid="{23EA619C-9110-442F-A10C-570698E9314D}"/>
    <cellStyle name="Normal 4 3 4 2 5 2 3" xfId="19293" xr:uid="{6BF6A765-5A23-419B-AFD4-C18222905405}"/>
    <cellStyle name="Normal 4 3 4 2 5 2 3 2" xfId="44785" xr:uid="{ABE677BF-8612-4372-B342-8A59F060D8E7}"/>
    <cellStyle name="Normal 4 3 4 2 5 2 4" xfId="32194" xr:uid="{70D909D0-ABCE-404D-B608-275D90B0D47B}"/>
    <cellStyle name="Normal 4 3 4 2 5 3" xfId="9750" xr:uid="{588DE739-BA20-42E6-BCD2-E396CC253BCC}"/>
    <cellStyle name="Normal 4 3 4 2 5 3 2" xfId="22432" xr:uid="{B245C4E2-51B5-4CEB-BC04-84FF602F237C}"/>
    <cellStyle name="Normal 4 3 4 2 5 3 2 2" xfId="47924" xr:uid="{1BDCA6C1-5006-4FF7-9F97-13D3339ECB13}"/>
    <cellStyle name="Normal 4 3 4 2 5 3 3" xfId="35333" xr:uid="{3FA9EB9F-3C3E-4C7A-8EBE-0E322207BBBE}"/>
    <cellStyle name="Normal 4 3 4 2 5 4" xfId="16154" xr:uid="{EB01906C-92F3-4278-BA2E-A6EB7F1E49FD}"/>
    <cellStyle name="Normal 4 3 4 2 5 4 2" xfId="41646" xr:uid="{78EE7F52-755C-485B-AD0C-884F54AEC166}"/>
    <cellStyle name="Normal 4 3 4 2 5 5" xfId="29055" xr:uid="{A346B89C-D447-4BD4-A99B-9A51999F9B61}"/>
    <cellStyle name="Normal 4 3 4 2 6" xfId="4242" xr:uid="{F6060302-D392-42FD-A8B5-F5C4F60C27DD}"/>
    <cellStyle name="Normal 4 3 4 2 6 2" xfId="10535" xr:uid="{58C29203-28E7-4265-9EBC-697617B82842}"/>
    <cellStyle name="Normal 4 3 4 2 6 2 2" xfId="23217" xr:uid="{ED16D24C-CBB6-4B24-82EA-4D0583801B43}"/>
    <cellStyle name="Normal 4 3 4 2 6 2 2 2" xfId="48709" xr:uid="{06FB30C4-A098-4A38-BAAE-7402D113CF9A}"/>
    <cellStyle name="Normal 4 3 4 2 6 2 3" xfId="36118" xr:uid="{AD5777EC-BD21-4FC8-ABE4-8C9319A72F03}"/>
    <cellStyle name="Normal 4 3 4 2 6 3" xfId="16939" xr:uid="{7C7E0BBC-F9B2-4AE5-B0E6-BB7004129868}"/>
    <cellStyle name="Normal 4 3 4 2 6 3 2" xfId="42431" xr:uid="{06C2B2AA-8B3A-4162-96EC-65DA979F7568}"/>
    <cellStyle name="Normal 4 3 4 2 6 4" xfId="29840" xr:uid="{C52B7021-D6DC-491E-9E32-CDFE2B31BB06}"/>
    <cellStyle name="Normal 4 3 4 2 7" xfId="7396" xr:uid="{E2B3376F-9184-4CE0-985A-8D5A24FD036C}"/>
    <cellStyle name="Normal 4 3 4 2 7 2" xfId="20078" xr:uid="{1CEADFA0-A10F-4212-B8C9-37B46532A9AF}"/>
    <cellStyle name="Normal 4 3 4 2 7 2 2" xfId="45570" xr:uid="{C0B06E01-290E-4E1F-B789-7418B198583B}"/>
    <cellStyle name="Normal 4 3 4 2 7 3" xfId="32979" xr:uid="{99348FED-7F7C-4CBA-A933-1EAA24A3D65F}"/>
    <cellStyle name="Normal 4 3 4 2 8" xfId="13800" xr:uid="{F98A46B5-7871-4E0D-A23E-019963B8146B}"/>
    <cellStyle name="Normal 4 3 4 2 8 2" xfId="39292" xr:uid="{F3FA7108-9220-47E4-94B8-737E2D223634}"/>
    <cellStyle name="Normal 4 3 4 2 9" xfId="26701" xr:uid="{7D7CA33D-3F9D-422E-8EB4-B218AF06794C}"/>
    <cellStyle name="Normal 4 3 4 3" xfId="828" xr:uid="{21DD67CE-259C-4F38-B892-85D188984AA5}"/>
    <cellStyle name="Normal 4 3 4 3 2" xfId="2135" xr:uid="{0E13DAA5-B96D-441A-AD85-D814C229A268}"/>
    <cellStyle name="Normal 4 3 4 3 2 2" xfId="5289" xr:uid="{F17E06B3-2CBB-45BE-B5AB-03EB03289BEF}"/>
    <cellStyle name="Normal 4 3 4 3 2 2 2" xfId="11582" xr:uid="{A8221AC7-49EA-4190-A1B1-6693EBDCF40D}"/>
    <cellStyle name="Normal 4 3 4 3 2 2 2 2" xfId="24264" xr:uid="{21AED9EC-7C5E-4BC7-BE3A-6AF2E8B579BC}"/>
    <cellStyle name="Normal 4 3 4 3 2 2 2 2 2" xfId="49756" xr:uid="{BEBCC5FC-0282-42AE-B4F9-366523378AC0}"/>
    <cellStyle name="Normal 4 3 4 3 2 2 2 3" xfId="37165" xr:uid="{962118DE-249A-435F-AA0A-FAF9842CC7B3}"/>
    <cellStyle name="Normal 4 3 4 3 2 2 3" xfId="17986" xr:uid="{B2FB3F16-D7C4-4087-9BC6-A3ABEF8750AC}"/>
    <cellStyle name="Normal 4 3 4 3 2 2 3 2" xfId="43478" xr:uid="{C98D57A0-B89D-4E2F-A755-919CA5151448}"/>
    <cellStyle name="Normal 4 3 4 3 2 2 4" xfId="30887" xr:uid="{3C02DCB5-C59D-4502-94C9-796A76E09F79}"/>
    <cellStyle name="Normal 4 3 4 3 2 3" xfId="8443" xr:uid="{DC0ABF63-AB67-4C23-A95F-CFB8B34B48A5}"/>
    <cellStyle name="Normal 4 3 4 3 2 3 2" xfId="21125" xr:uid="{B8D1D478-B750-4FCC-9172-1791B864189B}"/>
    <cellStyle name="Normal 4 3 4 3 2 3 2 2" xfId="46617" xr:uid="{6BF0E91B-0F98-43F7-A043-6DB73B2C4D4F}"/>
    <cellStyle name="Normal 4 3 4 3 2 3 3" xfId="34026" xr:uid="{031432EF-4B62-4111-B54E-210DD9C49458}"/>
    <cellStyle name="Normal 4 3 4 3 2 4" xfId="14847" xr:uid="{06C58DC8-011B-4272-896C-65B72BF873A5}"/>
    <cellStyle name="Normal 4 3 4 3 2 4 2" xfId="40339" xr:uid="{07FA2A41-FAB5-45BF-A6D5-41C72E0BF231}"/>
    <cellStyle name="Normal 4 3 4 3 2 5" xfId="27748" xr:uid="{6765A067-217B-423F-89B1-6E6067B37C99}"/>
    <cellStyle name="Normal 4 3 4 3 3" xfId="3982" xr:uid="{6D531E99-5939-40E0-B829-06911FBD575A}"/>
    <cellStyle name="Normal 4 3 4 3 3 2" xfId="10275" xr:uid="{28A07EB4-F079-4A83-BD7C-1E75471BF920}"/>
    <cellStyle name="Normal 4 3 4 3 3 2 2" xfId="22957" xr:uid="{5787AA96-5277-4080-84E9-18E39249B488}"/>
    <cellStyle name="Normal 4 3 4 3 3 2 2 2" xfId="48449" xr:uid="{45C2749C-BE88-4C25-A0E5-6DF60D7D33B0}"/>
    <cellStyle name="Normal 4 3 4 3 3 2 3" xfId="35858" xr:uid="{52A74808-BFE8-4355-9AFE-7B2176D4DEED}"/>
    <cellStyle name="Normal 4 3 4 3 3 3" xfId="16679" xr:uid="{0D256A3B-1A02-4673-A2ED-26A15D49B067}"/>
    <cellStyle name="Normal 4 3 4 3 3 3 2" xfId="42171" xr:uid="{A812EC0E-A8B9-47C9-B1E9-4D26976722E4}"/>
    <cellStyle name="Normal 4 3 4 3 3 4" xfId="29580" xr:uid="{E5266A35-FD85-47AA-AA13-4A082814468F}"/>
    <cellStyle name="Normal 4 3 4 3 4" xfId="7136" xr:uid="{B5B13C11-C0C9-4E73-9FDE-FCFDCBFFEC51}"/>
    <cellStyle name="Normal 4 3 4 3 4 2" xfId="19818" xr:uid="{BD0CC4C3-1BC9-4BCD-B86D-57DE8AEBDCEF}"/>
    <cellStyle name="Normal 4 3 4 3 4 2 2" xfId="45310" xr:uid="{99A91A8B-1A2E-4E18-A3B7-9C4D5ED4A7F5}"/>
    <cellStyle name="Normal 4 3 4 3 4 3" xfId="32719" xr:uid="{71323496-0EC8-4214-A543-F87482829553}"/>
    <cellStyle name="Normal 4 3 4 3 5" xfId="13540" xr:uid="{4AD6D16E-E4A3-4D29-BF5C-F8292C1EE4F6}"/>
    <cellStyle name="Normal 4 3 4 3 5 2" xfId="39032" xr:uid="{369D9D93-181D-4E49-8AB7-D55F3B47ADAA}"/>
    <cellStyle name="Normal 4 3 4 3 6" xfId="26441" xr:uid="{5FBD40C0-5BAC-4823-9AF5-B94AB14F5EAD}"/>
    <cellStyle name="Normal 4 3 4 4" xfId="1873" xr:uid="{BDF7A34D-1F17-446F-BAC6-242E2DB1A885}"/>
    <cellStyle name="Normal 4 3 4 4 2" xfId="5027" xr:uid="{3EF456C8-3AEE-4D73-85D9-2E4B1661F56B}"/>
    <cellStyle name="Normal 4 3 4 4 2 2" xfId="11320" xr:uid="{3289729C-88F0-4971-AED0-EA97C7D53B1A}"/>
    <cellStyle name="Normal 4 3 4 4 2 2 2" xfId="24002" xr:uid="{F4EA6332-0041-4840-93A1-4E8334FEDDAD}"/>
    <cellStyle name="Normal 4 3 4 4 2 2 2 2" xfId="49494" xr:uid="{EDA35620-7028-44F6-9373-2300CCCF8AE6}"/>
    <cellStyle name="Normal 4 3 4 4 2 2 3" xfId="36903" xr:uid="{07803879-B4CE-45B2-A5E0-17014F2078B7}"/>
    <cellStyle name="Normal 4 3 4 4 2 3" xfId="17724" xr:uid="{2B089733-0C0F-483E-B2E4-38D11852B996}"/>
    <cellStyle name="Normal 4 3 4 4 2 3 2" xfId="43216" xr:uid="{2FF565CD-C8E8-4831-87BE-04138C1B2B5E}"/>
    <cellStyle name="Normal 4 3 4 4 2 4" xfId="30625" xr:uid="{55600C54-2741-4FA1-B1EB-A52A7F539F48}"/>
    <cellStyle name="Normal 4 3 4 4 3" xfId="8181" xr:uid="{D6188824-9E42-409B-8AA2-448C49D9E726}"/>
    <cellStyle name="Normal 4 3 4 4 3 2" xfId="20863" xr:uid="{B239C139-AB21-47B1-B39B-C487FBE738E6}"/>
    <cellStyle name="Normal 4 3 4 4 3 2 2" xfId="46355" xr:uid="{3FC1F6AA-AD98-43F5-B54F-A31DB23B4CB5}"/>
    <cellStyle name="Normal 4 3 4 4 3 3" xfId="33764" xr:uid="{3315620D-DD20-464B-A2E0-1564F91940B5}"/>
    <cellStyle name="Normal 4 3 4 4 4" xfId="14585" xr:uid="{5F00FFAB-9358-46C3-B0FD-F3072546D747}"/>
    <cellStyle name="Normal 4 3 4 4 4 2" xfId="40077" xr:uid="{7F593192-11C1-4007-A2B3-F02ECAB8C9E6}"/>
    <cellStyle name="Normal 4 3 4 4 5" xfId="27486" xr:uid="{6975CC50-60E4-4433-AD7F-519852E967FB}"/>
    <cellStyle name="Normal 4 3 4 5" xfId="1351" xr:uid="{C7C71A0C-D7C4-45DC-B2AE-9B3389C48757}"/>
    <cellStyle name="Normal 4 3 4 5 2" xfId="4505" xr:uid="{9B958800-FDD1-42FF-A5CF-24C4246E5BD4}"/>
    <cellStyle name="Normal 4 3 4 5 2 2" xfId="10798" xr:uid="{4B79F607-41DC-4AA0-AD01-8AE65329E217}"/>
    <cellStyle name="Normal 4 3 4 5 2 2 2" xfId="23480" xr:uid="{E4880328-AD64-4F4B-80ED-0484B8F61C2C}"/>
    <cellStyle name="Normal 4 3 4 5 2 2 2 2" xfId="48972" xr:uid="{EEC00227-5501-4B58-9D23-AC5BA0CBA8ED}"/>
    <cellStyle name="Normal 4 3 4 5 2 2 3" xfId="36381" xr:uid="{2257FCEC-0856-4EBE-8EFF-38A0B7F30D67}"/>
    <cellStyle name="Normal 4 3 4 5 2 3" xfId="17202" xr:uid="{702697C5-B22B-4823-BF99-FC396FA2FFCA}"/>
    <cellStyle name="Normal 4 3 4 5 2 3 2" xfId="42694" xr:uid="{2E886316-2D1A-4706-B8BD-84BC431516AA}"/>
    <cellStyle name="Normal 4 3 4 5 2 4" xfId="30103" xr:uid="{E23C6B00-C3DC-4F9C-B3FB-F5C7C9610C0D}"/>
    <cellStyle name="Normal 4 3 4 5 3" xfId="7659" xr:uid="{E24C5EA0-CD0D-468B-88B2-BC76CA2719AF}"/>
    <cellStyle name="Normal 4 3 4 5 3 2" xfId="20341" xr:uid="{DE813A36-C32B-466D-B096-5899D7517917}"/>
    <cellStyle name="Normal 4 3 4 5 3 2 2" xfId="45833" xr:uid="{125FAC18-F568-435C-BDC3-CFACCE2B16E6}"/>
    <cellStyle name="Normal 4 3 4 5 3 3" xfId="33242" xr:uid="{8D245EB6-A487-4330-8C8B-8266706335A1}"/>
    <cellStyle name="Normal 4 3 4 5 4" xfId="14063" xr:uid="{2513AB3C-F4BC-44F2-A38D-B8391FE07330}"/>
    <cellStyle name="Normal 4 3 4 5 4 2" xfId="39555" xr:uid="{CD04B231-A4A2-4522-B24E-3F32C063A9CB}"/>
    <cellStyle name="Normal 4 3 4 5 5" xfId="26964" xr:uid="{2097D4E5-3FE5-458A-AC2E-4ACDC564EB42}"/>
    <cellStyle name="Normal 4 3 4 6" xfId="2658" xr:uid="{C13B5868-D0AF-4B98-81FB-6B481DACF867}"/>
    <cellStyle name="Normal 4 3 4 6 2" xfId="5812" xr:uid="{87D83DAF-6433-4705-9624-93E12C4B0C3F}"/>
    <cellStyle name="Normal 4 3 4 6 2 2" xfId="12105" xr:uid="{8F64150B-6D5A-4D42-8FB4-A0789621946D}"/>
    <cellStyle name="Normal 4 3 4 6 2 2 2" xfId="24787" xr:uid="{9D2EA255-791A-4C32-8F18-4D5D3888F620}"/>
    <cellStyle name="Normal 4 3 4 6 2 2 2 2" xfId="50279" xr:uid="{49372E9A-E0CD-41F5-906F-2DC6EB1C52FC}"/>
    <cellStyle name="Normal 4 3 4 6 2 2 3" xfId="37688" xr:uid="{A77490DA-00DB-476A-9B83-40A57E3390F9}"/>
    <cellStyle name="Normal 4 3 4 6 2 3" xfId="18509" xr:uid="{274228C6-F086-464C-B76A-6270FC73D1ED}"/>
    <cellStyle name="Normal 4 3 4 6 2 3 2" xfId="44001" xr:uid="{4B61E4EB-75D2-4AA0-997A-4858AA4C0679}"/>
    <cellStyle name="Normal 4 3 4 6 2 4" xfId="31410" xr:uid="{12100696-551F-4588-9502-2BA542A59D62}"/>
    <cellStyle name="Normal 4 3 4 6 3" xfId="8966" xr:uid="{3969335D-5B4E-4052-AA81-F71CE010A4B8}"/>
    <cellStyle name="Normal 4 3 4 6 3 2" xfId="21648" xr:uid="{D8F0D907-9471-4644-B980-BBCDC41BFDC0}"/>
    <cellStyle name="Normal 4 3 4 6 3 2 2" xfId="47140" xr:uid="{E6F6891E-4B3D-48F5-AA8E-92E126D064B7}"/>
    <cellStyle name="Normal 4 3 4 6 3 3" xfId="34549" xr:uid="{CA64AD63-5BD8-4AE6-8B4B-60ECFFDF4B11}"/>
    <cellStyle name="Normal 4 3 4 6 4" xfId="15370" xr:uid="{65172481-0FCF-4719-AB23-41EFCDCCC807}"/>
    <cellStyle name="Normal 4 3 4 6 4 2" xfId="40862" xr:uid="{12E03960-13DA-484D-A73C-6AE82B822002}"/>
    <cellStyle name="Normal 4 3 4 6 5" xfId="28271" xr:uid="{25BAE0F5-514C-48C5-93D1-31803DAD238B}"/>
    <cellStyle name="Normal 4 3 4 7" xfId="3181" xr:uid="{307B310E-5B5A-4E2F-A736-DA099AEBF671}"/>
    <cellStyle name="Normal 4 3 4 7 2" xfId="6335" xr:uid="{E7D6DA52-5411-410D-94C8-4CFDA8B4013B}"/>
    <cellStyle name="Normal 4 3 4 7 2 2" xfId="12628" xr:uid="{96FCBA8F-0DD4-43FE-A020-CBA59556F12D}"/>
    <cellStyle name="Normal 4 3 4 7 2 2 2" xfId="25310" xr:uid="{196221C0-4F91-4B7C-929D-A6CED0AAF262}"/>
    <cellStyle name="Normal 4 3 4 7 2 2 2 2" xfId="50802" xr:uid="{432C78F2-5785-47AA-93AF-7E98B4BFD59A}"/>
    <cellStyle name="Normal 4 3 4 7 2 2 3" xfId="38211" xr:uid="{FBC2123B-7BB8-4B23-B692-533892DE4CC1}"/>
    <cellStyle name="Normal 4 3 4 7 2 3" xfId="19032" xr:uid="{2A481D2A-F496-421E-957F-116324DDA7D9}"/>
    <cellStyle name="Normal 4 3 4 7 2 3 2" xfId="44524" xr:uid="{5CAC001B-8A54-4FAA-8241-4F8FB753E47D}"/>
    <cellStyle name="Normal 4 3 4 7 2 4" xfId="31933" xr:uid="{DF635196-BD50-4CA3-930B-4480051F45F5}"/>
    <cellStyle name="Normal 4 3 4 7 3" xfId="9489" xr:uid="{0F94AC72-4F3A-4204-A67A-3751F02E2613}"/>
    <cellStyle name="Normal 4 3 4 7 3 2" xfId="22171" xr:uid="{F81EA59B-5EFC-4A3F-BADC-01AE839E2A28}"/>
    <cellStyle name="Normal 4 3 4 7 3 2 2" xfId="47663" xr:uid="{3264D33E-2ED5-4BCD-82F8-106C2D19358A}"/>
    <cellStyle name="Normal 4 3 4 7 3 3" xfId="35072" xr:uid="{D374E494-9E56-4D84-A4E8-1398828B4F32}"/>
    <cellStyle name="Normal 4 3 4 7 4" xfId="15893" xr:uid="{388F2836-B0CD-428C-A300-FF9F13C1488D}"/>
    <cellStyle name="Normal 4 3 4 7 4 2" xfId="41385" xr:uid="{D7E5DECF-5DB0-43BC-A149-784BCEB376BC}"/>
    <cellStyle name="Normal 4 3 4 7 5" xfId="28794" xr:uid="{97761C8E-AA45-4E5B-BE3D-8C9E945A8D24}"/>
    <cellStyle name="Normal 4 3 4 8" xfId="3720" xr:uid="{ED1247DE-0311-4E09-949B-9A6ABFA95431}"/>
    <cellStyle name="Normal 4 3 4 8 2" xfId="10013" xr:uid="{1A874582-D707-48BA-930D-3A4292AAD6FC}"/>
    <cellStyle name="Normal 4 3 4 8 2 2" xfId="22695" xr:uid="{7E210CD4-65EF-484E-B9E3-3555D22FCC24}"/>
    <cellStyle name="Normal 4 3 4 8 2 2 2" xfId="48187" xr:uid="{F700FD80-F112-45D2-8288-185CF09E9D76}"/>
    <cellStyle name="Normal 4 3 4 8 2 3" xfId="35596" xr:uid="{5ECD07E9-579B-4162-A31A-9F402363F2D1}"/>
    <cellStyle name="Normal 4 3 4 8 3" xfId="16417" xr:uid="{846A994D-18B2-4713-8102-5A72252D05F3}"/>
    <cellStyle name="Normal 4 3 4 8 3 2" xfId="41909" xr:uid="{FE49E8D4-240D-45B5-A819-3F1C499CD3BF}"/>
    <cellStyle name="Normal 4 3 4 8 4" xfId="29318" xr:uid="{E1AC5492-BBFC-4A66-84A8-BDC9EFD43A9A}"/>
    <cellStyle name="Normal 4 3 4 9" xfId="6874" xr:uid="{2504C42E-3039-414C-82A7-C15F082107AC}"/>
    <cellStyle name="Normal 4 3 4 9 2" xfId="19556" xr:uid="{54E9E97E-49FF-4420-9930-C42869C07E96}"/>
    <cellStyle name="Normal 4 3 4 9 2 2" xfId="45048" xr:uid="{B3181F7A-0661-44D2-AEF9-7C76D1D1BA57}"/>
    <cellStyle name="Normal 4 3 4 9 3" xfId="32457" xr:uid="{2F1B92D8-9F0A-4C28-A176-58DF791516A6}"/>
    <cellStyle name="Normal 4 3 5" xfId="968" xr:uid="{8EB520E9-EBA6-419F-83DF-7A1DDA00EE79}"/>
    <cellStyle name="Normal 4 3 5 2" xfId="2275" xr:uid="{06E0093F-11AF-4EE9-9DB7-6C21D5C775ED}"/>
    <cellStyle name="Normal 4 3 5 2 2" xfId="5429" xr:uid="{CB64F308-9881-40A1-8C25-91BF3245E113}"/>
    <cellStyle name="Normal 4 3 5 2 2 2" xfId="11722" xr:uid="{56C2703B-E1AA-46E4-A3E0-EEA8B083965C}"/>
    <cellStyle name="Normal 4 3 5 2 2 2 2" xfId="24404" xr:uid="{E9D6D5B9-EC6A-4196-BC1D-F3755F7AD4FD}"/>
    <cellStyle name="Normal 4 3 5 2 2 2 2 2" xfId="49896" xr:uid="{7E8219D1-E018-469C-888D-0449EBA4BEBA}"/>
    <cellStyle name="Normal 4 3 5 2 2 2 3" xfId="37305" xr:uid="{CD6B50B9-3FE8-4940-961B-F089BECCE6C3}"/>
    <cellStyle name="Normal 4 3 5 2 2 3" xfId="18126" xr:uid="{9519645A-C57F-4891-BFBE-6FE187AC3446}"/>
    <cellStyle name="Normal 4 3 5 2 2 3 2" xfId="43618" xr:uid="{E2C5A23A-078E-4AFC-A71E-3147BF31E18D}"/>
    <cellStyle name="Normal 4 3 5 2 2 4" xfId="31027" xr:uid="{F69E4CEF-5722-48BE-9032-41D877A8BA9A}"/>
    <cellStyle name="Normal 4 3 5 2 3" xfId="8583" xr:uid="{5C71B814-4A5A-43D3-B197-01EA9A61FEC4}"/>
    <cellStyle name="Normal 4 3 5 2 3 2" xfId="21265" xr:uid="{625E15D1-5B5D-4596-9241-9EB29BBA813F}"/>
    <cellStyle name="Normal 4 3 5 2 3 2 2" xfId="46757" xr:uid="{FED36110-216B-4C94-ADE6-6DDEFE9075A1}"/>
    <cellStyle name="Normal 4 3 5 2 3 3" xfId="34166" xr:uid="{0B7BE35C-8959-4CE5-925C-BB5A4C955478}"/>
    <cellStyle name="Normal 4 3 5 2 4" xfId="14987" xr:uid="{69904175-EF70-44F9-89CB-2470866652CE}"/>
    <cellStyle name="Normal 4 3 5 2 4 2" xfId="40479" xr:uid="{CE8A9A16-279A-41EA-9930-619A7AB176B6}"/>
    <cellStyle name="Normal 4 3 5 2 5" xfId="27888" xr:uid="{00F41CBA-782D-42C5-A8A1-7C82DFD58F39}"/>
    <cellStyle name="Normal 4 3 5 3" xfId="1492" xr:uid="{63038054-56D8-42CC-BB33-A19B843598ED}"/>
    <cellStyle name="Normal 4 3 5 3 2" xfId="4646" xr:uid="{48A38C2A-0A09-4D0A-9F76-2908B664507D}"/>
    <cellStyle name="Normal 4 3 5 3 2 2" xfId="10939" xr:uid="{09CEE751-28E8-4ED2-AC91-3F3D6221464E}"/>
    <cellStyle name="Normal 4 3 5 3 2 2 2" xfId="23621" xr:uid="{CD25E9B4-D0C2-4659-AC9A-0C5E39538B5F}"/>
    <cellStyle name="Normal 4 3 5 3 2 2 2 2" xfId="49113" xr:uid="{E5694F29-B0A5-4F3A-8615-303822FC06EB}"/>
    <cellStyle name="Normal 4 3 5 3 2 2 3" xfId="36522" xr:uid="{04BCE2ED-012F-4B5D-A966-652BE57FD5BD}"/>
    <cellStyle name="Normal 4 3 5 3 2 3" xfId="17343" xr:uid="{A65FF253-43AB-4319-A0F3-F449D433BFCF}"/>
    <cellStyle name="Normal 4 3 5 3 2 3 2" xfId="42835" xr:uid="{3FBFB49A-339A-43BC-A663-28225F7392D3}"/>
    <cellStyle name="Normal 4 3 5 3 2 4" xfId="30244" xr:uid="{EAA8FC02-23CA-4234-B22C-087CD2204778}"/>
    <cellStyle name="Normal 4 3 5 3 3" xfId="7800" xr:uid="{3DB36CD4-35F3-4FD4-B2B2-5BF2EC91F2C2}"/>
    <cellStyle name="Normal 4 3 5 3 3 2" xfId="20482" xr:uid="{9E9FFB4D-20C3-4E28-814E-59CF10D36DE1}"/>
    <cellStyle name="Normal 4 3 5 3 3 2 2" xfId="45974" xr:uid="{81E2962F-CFF0-4F9D-9CC8-8D77A4E1BAFF}"/>
    <cellStyle name="Normal 4 3 5 3 3 3" xfId="33383" xr:uid="{E2E0E1BD-236F-4A76-A997-F4EEBA401324}"/>
    <cellStyle name="Normal 4 3 5 3 4" xfId="14204" xr:uid="{49A36191-2377-4ADE-9BF1-BDD5209D338C}"/>
    <cellStyle name="Normal 4 3 5 3 4 2" xfId="39696" xr:uid="{F8E9FF04-88DA-4716-8997-C8610EDCFA2B}"/>
    <cellStyle name="Normal 4 3 5 3 5" xfId="27105" xr:uid="{6F04BA40-DDA9-49D6-8A84-C192BAB4E242}"/>
    <cellStyle name="Normal 4 3 5 4" xfId="2799" xr:uid="{B4D81374-9146-4068-AF3F-49B0BF831216}"/>
    <cellStyle name="Normal 4 3 5 4 2" xfId="5953" xr:uid="{459DEDD3-4247-458B-81E7-1F2DC4BD8188}"/>
    <cellStyle name="Normal 4 3 5 4 2 2" xfId="12246" xr:uid="{BA21B74C-C8CC-4ED0-A0AE-C38BC5344A05}"/>
    <cellStyle name="Normal 4 3 5 4 2 2 2" xfId="24928" xr:uid="{E708F240-F05C-4E56-AB6A-5DB7347D8B5C}"/>
    <cellStyle name="Normal 4 3 5 4 2 2 2 2" xfId="50420" xr:uid="{AA728631-7DFC-4946-9699-4489032D2BAB}"/>
    <cellStyle name="Normal 4 3 5 4 2 2 3" xfId="37829" xr:uid="{D7BF89DD-98DD-4F48-81C1-B5292772876A}"/>
    <cellStyle name="Normal 4 3 5 4 2 3" xfId="18650" xr:uid="{56FAB7FE-B3C4-4440-984D-F359CC08E1E0}"/>
    <cellStyle name="Normal 4 3 5 4 2 3 2" xfId="44142" xr:uid="{DEB7951E-D7CB-456F-9CA8-64B6219C2381}"/>
    <cellStyle name="Normal 4 3 5 4 2 4" xfId="31551" xr:uid="{6CA90EE4-AE26-487E-9E46-6F472D811E5C}"/>
    <cellStyle name="Normal 4 3 5 4 3" xfId="9107" xr:uid="{C943916E-EC87-49DF-BD88-07EE9309BE70}"/>
    <cellStyle name="Normal 4 3 5 4 3 2" xfId="21789" xr:uid="{73C52D92-6A93-4480-AAD5-F5A0758C971B}"/>
    <cellStyle name="Normal 4 3 5 4 3 2 2" xfId="47281" xr:uid="{936AE6DE-C3CF-49D9-987E-2EDFBE381CB2}"/>
    <cellStyle name="Normal 4 3 5 4 3 3" xfId="34690" xr:uid="{970B100C-8BBD-413E-A125-CDAA0375FB41}"/>
    <cellStyle name="Normal 4 3 5 4 4" xfId="15511" xr:uid="{4532C82B-8029-4047-8188-A824FFBF86B0}"/>
    <cellStyle name="Normal 4 3 5 4 4 2" xfId="41003" xr:uid="{AC5B2359-CC4C-4109-9D99-D4B2E478E4B3}"/>
    <cellStyle name="Normal 4 3 5 4 5" xfId="28412" xr:uid="{5EA43820-D65F-4269-AB72-E60A5926396C}"/>
    <cellStyle name="Normal 4 3 5 5" xfId="3322" xr:uid="{608441E3-993B-40DC-ABB6-8C00544AEA68}"/>
    <cellStyle name="Normal 4 3 5 5 2" xfId="6476" xr:uid="{C8E88446-98B8-46E1-BAB9-843ED968F27A}"/>
    <cellStyle name="Normal 4 3 5 5 2 2" xfId="12769" xr:uid="{20770C1A-EFBF-4D6B-BABC-84C6D96A717E}"/>
    <cellStyle name="Normal 4 3 5 5 2 2 2" xfId="25451" xr:uid="{5984A16A-107B-4A53-9B2E-EB10112E8EE5}"/>
    <cellStyle name="Normal 4 3 5 5 2 2 2 2" xfId="50943" xr:uid="{B1767882-C25F-42DE-8830-70DF50F3D4B7}"/>
    <cellStyle name="Normal 4 3 5 5 2 2 3" xfId="38352" xr:uid="{3103784A-2E0D-42E8-A0A1-7FAFD82071B6}"/>
    <cellStyle name="Normal 4 3 5 5 2 3" xfId="19173" xr:uid="{627A4FDF-3769-4FC7-BAB3-2A79BEBB40CE}"/>
    <cellStyle name="Normal 4 3 5 5 2 3 2" xfId="44665" xr:uid="{CBFDE489-F52C-43F6-A3D6-0BBB45DAB1BD}"/>
    <cellStyle name="Normal 4 3 5 5 2 4" xfId="32074" xr:uid="{6EA63723-3C90-47F1-A982-698ADB4016FB}"/>
    <cellStyle name="Normal 4 3 5 5 3" xfId="9630" xr:uid="{67C9EB91-6016-4CF1-8BAF-85E7DC25E989}"/>
    <cellStyle name="Normal 4 3 5 5 3 2" xfId="22312" xr:uid="{09B8FAA8-9B87-47E6-AFBF-7E4C53F7E3CA}"/>
    <cellStyle name="Normal 4 3 5 5 3 2 2" xfId="47804" xr:uid="{F0754A57-9122-4AAE-8580-AA1BAF829A33}"/>
    <cellStyle name="Normal 4 3 5 5 3 3" xfId="35213" xr:uid="{0C296DFD-351C-49FD-9E68-2F67FC10835A}"/>
    <cellStyle name="Normal 4 3 5 5 4" xfId="16034" xr:uid="{82385686-4DBB-4329-A6C9-4C8F52543DF4}"/>
    <cellStyle name="Normal 4 3 5 5 4 2" xfId="41526" xr:uid="{EB3DE039-7BCD-40D6-A37D-78C7A21C5DC7}"/>
    <cellStyle name="Normal 4 3 5 5 5" xfId="28935" xr:uid="{50578297-BBC6-4CFC-B7DB-1C9A883F9388}"/>
    <cellStyle name="Normal 4 3 5 6" xfId="4122" xr:uid="{0FAADB08-14AF-495B-9283-87C3DE207D38}"/>
    <cellStyle name="Normal 4 3 5 6 2" xfId="10415" xr:uid="{7E27D304-86CB-4A6C-B1FE-6C1C968A5067}"/>
    <cellStyle name="Normal 4 3 5 6 2 2" xfId="23097" xr:uid="{CB334DE0-D43D-4339-AEE5-6BEB2A4D0935}"/>
    <cellStyle name="Normal 4 3 5 6 2 2 2" xfId="48589" xr:uid="{6BBE866F-B153-48DF-8B93-7255EB441F44}"/>
    <cellStyle name="Normal 4 3 5 6 2 3" xfId="35998" xr:uid="{80D4C035-C2BC-4FE7-B25E-F7837552B446}"/>
    <cellStyle name="Normal 4 3 5 6 3" xfId="16819" xr:uid="{8F9F715F-7C55-4DE3-8FB9-4B342C3025BD}"/>
    <cellStyle name="Normal 4 3 5 6 3 2" xfId="42311" xr:uid="{9B49797B-FD19-43AB-BF64-57B53301FD36}"/>
    <cellStyle name="Normal 4 3 5 6 4" xfId="29720" xr:uid="{B2D3D6DF-BEC4-478A-9457-9AB9671ADDB2}"/>
    <cellStyle name="Normal 4 3 5 7" xfId="7276" xr:uid="{B51E28CE-01A0-4B3A-87B7-E1D4D660DA37}"/>
    <cellStyle name="Normal 4 3 5 7 2" xfId="19958" xr:uid="{1D7FD413-646F-446A-AD5C-B701B49B2876}"/>
    <cellStyle name="Normal 4 3 5 7 2 2" xfId="45450" xr:uid="{9E70DA72-0829-4AFF-9CF8-11CE37873112}"/>
    <cellStyle name="Normal 4 3 5 7 3" xfId="32859" xr:uid="{D1808C72-4921-4E12-B884-492AD72C16C1}"/>
    <cellStyle name="Normal 4 3 5 8" xfId="13680" xr:uid="{DFCB5D94-9B77-41B1-AB9B-E1AC972DCD32}"/>
    <cellStyle name="Normal 4 3 5 8 2" xfId="39172" xr:uid="{D8E8FA6A-D78C-4677-A54B-8DF800BE9FEE}"/>
    <cellStyle name="Normal 4 3 5 9" xfId="26581" xr:uid="{F0B07484-4C40-44C9-95FB-A7C4BBE6D828}"/>
    <cellStyle name="Normal 4 3 6" xfId="708" xr:uid="{D853BBB1-3D61-4FDA-96D9-5B8F7ECC4F21}"/>
    <cellStyle name="Normal 4 3 6 2" xfId="2015" xr:uid="{4656B75F-0427-4C28-9223-0A23570E98D4}"/>
    <cellStyle name="Normal 4 3 6 2 2" xfId="5169" xr:uid="{C590E96C-E062-47AB-BEAF-788C023CDE48}"/>
    <cellStyle name="Normal 4 3 6 2 2 2" xfId="11462" xr:uid="{71A261A7-CE75-411B-84EF-85647138EA81}"/>
    <cellStyle name="Normal 4 3 6 2 2 2 2" xfId="24144" xr:uid="{51C577FA-5F06-4F4E-A8AA-5CF1A4CFFD37}"/>
    <cellStyle name="Normal 4 3 6 2 2 2 2 2" xfId="49636" xr:uid="{86F2881F-B5A6-4596-A036-85FB203ED9CB}"/>
    <cellStyle name="Normal 4 3 6 2 2 2 3" xfId="37045" xr:uid="{9BDE14C0-B92C-4183-A5EC-4EEFD9795825}"/>
    <cellStyle name="Normal 4 3 6 2 2 3" xfId="17866" xr:uid="{175C5372-F2B5-4D34-848B-C152983133AD}"/>
    <cellStyle name="Normal 4 3 6 2 2 3 2" xfId="43358" xr:uid="{AF5AF469-714E-4AF9-B4A7-D8B307E5FF6F}"/>
    <cellStyle name="Normal 4 3 6 2 2 4" xfId="30767" xr:uid="{7D501A07-714F-4C9E-8424-5A9ADB5DC0E3}"/>
    <cellStyle name="Normal 4 3 6 2 3" xfId="8323" xr:uid="{38F90800-7598-4BC8-A0AF-080B5748C5D1}"/>
    <cellStyle name="Normal 4 3 6 2 3 2" xfId="21005" xr:uid="{3F365653-E52B-484D-A664-225DF506AAFA}"/>
    <cellStyle name="Normal 4 3 6 2 3 2 2" xfId="46497" xr:uid="{B1DBB577-D5C7-4384-87C1-490FFF13BFE3}"/>
    <cellStyle name="Normal 4 3 6 2 3 3" xfId="33906" xr:uid="{575F658B-8307-4EC7-8EE4-851A198F6FF0}"/>
    <cellStyle name="Normal 4 3 6 2 4" xfId="14727" xr:uid="{69E718B0-E726-42DA-9479-910F42E180F8}"/>
    <cellStyle name="Normal 4 3 6 2 4 2" xfId="40219" xr:uid="{864C4ED3-52F3-4039-8768-8212CCA36673}"/>
    <cellStyle name="Normal 4 3 6 2 5" xfId="27628" xr:uid="{CDE00C41-5E49-48A5-AE77-D528087372D1}"/>
    <cellStyle name="Normal 4 3 6 3" xfId="3862" xr:uid="{7333427C-9110-4018-A3A8-758ABB5C5B82}"/>
    <cellStyle name="Normal 4 3 6 3 2" xfId="10155" xr:uid="{7CE1C851-877A-49AE-949E-724B9FAA4DC1}"/>
    <cellStyle name="Normal 4 3 6 3 2 2" xfId="22837" xr:uid="{7CA7E03A-323B-4474-B7FC-343216F50890}"/>
    <cellStyle name="Normal 4 3 6 3 2 2 2" xfId="48329" xr:uid="{FBFFCB99-85CE-45AD-9C6D-D64D25C816F9}"/>
    <cellStyle name="Normal 4 3 6 3 2 3" xfId="35738" xr:uid="{00B17E63-7507-43F2-BAF8-1E4F34349985}"/>
    <cellStyle name="Normal 4 3 6 3 3" xfId="16559" xr:uid="{490DDC5A-8993-4879-934A-EA12C87B0DF2}"/>
    <cellStyle name="Normal 4 3 6 3 3 2" xfId="42051" xr:uid="{A6851C4D-0948-426D-B544-60A383A9E283}"/>
    <cellStyle name="Normal 4 3 6 3 4" xfId="29460" xr:uid="{4AA0FAA2-3138-4500-8791-104E1193B840}"/>
    <cellStyle name="Normal 4 3 6 4" xfId="7016" xr:uid="{11C4F7E2-3AF4-4B6B-ACB3-064A82E5CF59}"/>
    <cellStyle name="Normal 4 3 6 4 2" xfId="19698" xr:uid="{436E8E98-E323-42E3-8764-6520570A192E}"/>
    <cellStyle name="Normal 4 3 6 4 2 2" xfId="45190" xr:uid="{D5CE754E-16AA-4763-B217-E68F9A495508}"/>
    <cellStyle name="Normal 4 3 6 4 3" xfId="32599" xr:uid="{AB85FAC0-321F-43E8-BC92-B896A676303C}"/>
    <cellStyle name="Normal 4 3 6 5" xfId="13420" xr:uid="{0F8E56B2-D45C-4231-8BE1-63AB276D1186}"/>
    <cellStyle name="Normal 4 3 6 5 2" xfId="38912" xr:uid="{1723DBE2-ACB8-4DAF-9845-42F8D42525E1}"/>
    <cellStyle name="Normal 4 3 6 6" xfId="26321" xr:uid="{0CD8D36D-9B6B-4BD2-9903-0BBF7250AAFD}"/>
    <cellStyle name="Normal 4 3 7" xfId="1753" xr:uid="{0421FCAF-AF40-4154-8989-860B8B8A6527}"/>
    <cellStyle name="Normal 4 3 7 2" xfId="4907" xr:uid="{C30B9DD2-F49D-41C5-84A3-19DFDC60D535}"/>
    <cellStyle name="Normal 4 3 7 2 2" xfId="11200" xr:uid="{D3FA12E7-50AE-4B7C-B7A1-C981E1622094}"/>
    <cellStyle name="Normal 4 3 7 2 2 2" xfId="23882" xr:uid="{55610420-A77E-4BAF-B624-7237D18877E8}"/>
    <cellStyle name="Normal 4 3 7 2 2 2 2" xfId="49374" xr:uid="{64BEF94E-D46E-4C2F-BCB3-7278CF852767}"/>
    <cellStyle name="Normal 4 3 7 2 2 3" xfId="36783" xr:uid="{4BD3D210-C36B-4D8F-A294-765C03EA3E30}"/>
    <cellStyle name="Normal 4 3 7 2 3" xfId="17604" xr:uid="{314045D4-A687-4624-A8E9-00888DDDED15}"/>
    <cellStyle name="Normal 4 3 7 2 3 2" xfId="43096" xr:uid="{59DEE6B9-7052-490F-9EEB-B62D9773F71F}"/>
    <cellStyle name="Normal 4 3 7 2 4" xfId="30505" xr:uid="{0A464020-8041-4750-8F24-B4ABAABECEC5}"/>
    <cellStyle name="Normal 4 3 7 3" xfId="8061" xr:uid="{A37F7D05-1C71-40EB-B096-5DFA47BAD578}"/>
    <cellStyle name="Normal 4 3 7 3 2" xfId="20743" xr:uid="{E72A4835-9BCD-4A3D-AD17-C4AF76C12940}"/>
    <cellStyle name="Normal 4 3 7 3 2 2" xfId="46235" xr:uid="{831333F7-B74E-48C2-85F9-FBE5CA9488E7}"/>
    <cellStyle name="Normal 4 3 7 3 3" xfId="33644" xr:uid="{9538F4DF-824B-44C6-8447-29B8CF15FF5F}"/>
    <cellStyle name="Normal 4 3 7 4" xfId="14465" xr:uid="{8E4CAE56-555E-4808-B69D-D4B7C81B2747}"/>
    <cellStyle name="Normal 4 3 7 4 2" xfId="39957" xr:uid="{20F1DFAC-E7E9-4CE2-A699-54656E770FF8}"/>
    <cellStyle name="Normal 4 3 7 5" xfId="27366" xr:uid="{A2CDF903-234E-4BB7-998A-CB8591F77BF2}"/>
    <cellStyle name="Normal 4 3 8" xfId="1231" xr:uid="{1981FC91-5119-4106-BD67-06D21685F960}"/>
    <cellStyle name="Normal 4 3 8 2" xfId="4385" xr:uid="{B7D8884D-05EB-4DFC-964B-A100BCF959D2}"/>
    <cellStyle name="Normal 4 3 8 2 2" xfId="10678" xr:uid="{7D434926-4D61-4488-9A78-A03508AE432E}"/>
    <cellStyle name="Normal 4 3 8 2 2 2" xfId="23360" xr:uid="{FD455779-87E9-4CDB-B93E-F0F97FEB0EB7}"/>
    <cellStyle name="Normal 4 3 8 2 2 2 2" xfId="48852" xr:uid="{926704BD-81D4-40ED-83CB-329E803C63D3}"/>
    <cellStyle name="Normal 4 3 8 2 2 3" xfId="36261" xr:uid="{AA393FF0-46BF-4080-A4D4-8A64D36FB622}"/>
    <cellStyle name="Normal 4 3 8 2 3" xfId="17082" xr:uid="{58EF1C83-FC6F-41C5-B31F-7D43B4E0E078}"/>
    <cellStyle name="Normal 4 3 8 2 3 2" xfId="42574" xr:uid="{74698045-DEDC-4826-B41E-8FDC8DC96600}"/>
    <cellStyle name="Normal 4 3 8 2 4" xfId="29983" xr:uid="{B7F95266-C278-4FC8-8672-EE3D92794BAE}"/>
    <cellStyle name="Normal 4 3 8 3" xfId="7539" xr:uid="{B66A6681-D526-443C-83BF-B045C1C30779}"/>
    <cellStyle name="Normal 4 3 8 3 2" xfId="20221" xr:uid="{0A57D0FB-DF93-4A62-ADB1-5EAD9CD5653D}"/>
    <cellStyle name="Normal 4 3 8 3 2 2" xfId="45713" xr:uid="{3DE18FED-EE3A-4809-A269-2A351E5085D5}"/>
    <cellStyle name="Normal 4 3 8 3 3" xfId="33122" xr:uid="{C5CC02D9-72D7-4090-B0D4-FDE6199B9771}"/>
    <cellStyle name="Normal 4 3 8 4" xfId="13943" xr:uid="{A22FF072-7085-4A59-9301-76F427A43684}"/>
    <cellStyle name="Normal 4 3 8 4 2" xfId="39435" xr:uid="{EA195B55-A036-4E23-9CFE-4684534A6383}"/>
    <cellStyle name="Normal 4 3 8 5" xfId="26844" xr:uid="{A8087E42-2C0D-4798-9D2E-C26721F2CC70}"/>
    <cellStyle name="Normal 4 3 9" xfId="2538" xr:uid="{88CAEF1B-6335-48CB-9D41-AD3B567661F6}"/>
    <cellStyle name="Normal 4 3 9 2" xfId="5692" xr:uid="{6BA4A992-28F0-499E-8E48-991BD9F6AF8B}"/>
    <cellStyle name="Normal 4 3 9 2 2" xfId="11985" xr:uid="{A9E8F5D5-8382-4862-8E3F-DEE0AF661BD0}"/>
    <cellStyle name="Normal 4 3 9 2 2 2" xfId="24667" xr:uid="{0EF894C3-CE9E-405F-A51A-B687B6D37252}"/>
    <cellStyle name="Normal 4 3 9 2 2 2 2" xfId="50159" xr:uid="{439D66CB-7AE2-47C3-899A-7F5BF9E0B63A}"/>
    <cellStyle name="Normal 4 3 9 2 2 3" xfId="37568" xr:uid="{28D6D749-9FA8-4C2F-B53C-0766F86AA0F5}"/>
    <cellStyle name="Normal 4 3 9 2 3" xfId="18389" xr:uid="{2FC6DD5C-55ED-4CEC-AD35-EF0951A3BCF7}"/>
    <cellStyle name="Normal 4 3 9 2 3 2" xfId="43881" xr:uid="{9A003A38-297E-47C7-A00C-47ADBB416252}"/>
    <cellStyle name="Normal 4 3 9 2 4" xfId="31290" xr:uid="{E55D6117-04D1-4D75-A90D-10D891C1EDAE}"/>
    <cellStyle name="Normal 4 3 9 3" xfId="8846" xr:uid="{3FDACEF6-AFC5-4058-9E33-1DDD0ACAAB2C}"/>
    <cellStyle name="Normal 4 3 9 3 2" xfId="21528" xr:uid="{A766CFD9-C1B9-40B8-A016-B86CE6B1FB94}"/>
    <cellStyle name="Normal 4 3 9 3 2 2" xfId="47020" xr:uid="{4B186FCC-14F9-4225-8974-E0D666E5E86E}"/>
    <cellStyle name="Normal 4 3 9 3 3" xfId="34429" xr:uid="{E8BAEEC8-C2AF-43FC-AEE9-C363DD4FAE72}"/>
    <cellStyle name="Normal 4 3 9 4" xfId="15250" xr:uid="{5447B605-688C-4AD5-B5CA-FFC5AC6A6F54}"/>
    <cellStyle name="Normal 4 3 9 4 2" xfId="40742" xr:uid="{8234746A-F184-4136-A034-6C2ECBC6A28B}"/>
    <cellStyle name="Normal 4 3 9 5" xfId="28151" xr:uid="{5990EBAC-AD4E-4453-BB9C-A8A289516E91}"/>
    <cellStyle name="Normal 4 4" xfId="472" xr:uid="{5BF40796-13AF-406A-B5A6-3C3194343BAB}"/>
    <cellStyle name="Normal 4 4 10" xfId="3641" xr:uid="{311E11CB-A3DA-4E02-A3A6-C5CB5AA5462F}"/>
    <cellStyle name="Normal 4 4 10 2" xfId="9934" xr:uid="{B351D1F4-9D68-4854-B29B-8B34F293D925}"/>
    <cellStyle name="Normal 4 4 10 2 2" xfId="22616" xr:uid="{ED1ED2D1-C81C-4265-A08A-84BC8405264E}"/>
    <cellStyle name="Normal 4 4 10 2 2 2" xfId="48108" xr:uid="{AD902B81-D769-4A20-95D4-7A714490FCE2}"/>
    <cellStyle name="Normal 4 4 10 2 3" xfId="35517" xr:uid="{F15EAD9C-0841-4164-8DD4-67CB3007CDBA}"/>
    <cellStyle name="Normal 4 4 10 3" xfId="16338" xr:uid="{0CEEDDDE-2BA1-4CD5-9785-F2AFAEC2B8C0}"/>
    <cellStyle name="Normal 4 4 10 3 2" xfId="41830" xr:uid="{B91CD001-6E72-49F5-BAEC-C419D0AB9FD5}"/>
    <cellStyle name="Normal 4 4 10 4" xfId="29239" xr:uid="{BFA9E27C-FA7A-4A1B-B6E1-B137412AB4E1}"/>
    <cellStyle name="Normal 4 4 11" xfId="6795" xr:uid="{75208A0B-D7A2-47ED-80EA-EF39C407BBE6}"/>
    <cellStyle name="Normal 4 4 11 2" xfId="19477" xr:uid="{84829381-F599-4A0E-9E22-A1160EE5E7F7}"/>
    <cellStyle name="Normal 4 4 11 2 2" xfId="44969" xr:uid="{A2EC7D35-CD6D-479D-BCEB-061B29165CE0}"/>
    <cellStyle name="Normal 4 4 11 3" xfId="32378" xr:uid="{8B5132A0-AF82-4DB8-B9C8-2350476BEFA4}"/>
    <cellStyle name="Normal 4 4 12" xfId="13199" xr:uid="{9ADAA99D-0C40-49B5-B7B9-25E535D1D0DC}"/>
    <cellStyle name="Normal 4 4 12 2" xfId="38691" xr:uid="{698E73F4-21B4-4391-B15A-7581FEA07F53}"/>
    <cellStyle name="Normal 4 4 13" xfId="26100" xr:uid="{818B2810-8F69-4F67-85FB-192F6ED03F56}"/>
    <cellStyle name="Normal 4 4 2" xfId="631" xr:uid="{4299BD7D-BB33-402D-9FAA-AECA46354223}"/>
    <cellStyle name="Normal 4 4 2 10" xfId="13358" xr:uid="{A5EB212A-FA3A-4AC5-8781-159D1F00CBCC}"/>
    <cellStyle name="Normal 4 4 2 10 2" xfId="38850" xr:uid="{35A0A41C-536B-40A9-B5FF-D8AD16A69213}"/>
    <cellStyle name="Normal 4 4 2 11" xfId="26259" xr:uid="{634752DE-9FF8-44AA-BD2C-CBF8267C72D2}"/>
    <cellStyle name="Normal 4 4 2 2" xfId="1168" xr:uid="{40BFB5B9-2C39-49C9-AC83-57CA8185378B}"/>
    <cellStyle name="Normal 4 4 2 2 2" xfId="2475" xr:uid="{B6323FE2-6CE4-47E6-8C80-C09C3998E88A}"/>
    <cellStyle name="Normal 4 4 2 2 2 2" xfId="5629" xr:uid="{692597E8-B531-4464-9A78-99FC94CB09E0}"/>
    <cellStyle name="Normal 4 4 2 2 2 2 2" xfId="11922" xr:uid="{411D3150-E86E-4050-834C-5DA8CF27C304}"/>
    <cellStyle name="Normal 4 4 2 2 2 2 2 2" xfId="24604" xr:uid="{CA027246-F922-44C2-895C-12EAFE4CCC4D}"/>
    <cellStyle name="Normal 4 4 2 2 2 2 2 2 2" xfId="50096" xr:uid="{7B56F5E1-26DD-455F-95D2-1745B9EBC23F}"/>
    <cellStyle name="Normal 4 4 2 2 2 2 2 3" xfId="37505" xr:uid="{034A95E5-7277-4838-BA92-053DD31648FE}"/>
    <cellStyle name="Normal 4 4 2 2 2 2 3" xfId="18326" xr:uid="{58E9BA67-CAA7-4FDA-AFB2-1EEDDA3B60E9}"/>
    <cellStyle name="Normal 4 4 2 2 2 2 3 2" xfId="43818" xr:uid="{AB4104A2-49A4-4754-AE5F-FD9E48017CD2}"/>
    <cellStyle name="Normal 4 4 2 2 2 2 4" xfId="31227" xr:uid="{F36610B9-1ED5-4445-BBF6-22553214582E}"/>
    <cellStyle name="Normal 4 4 2 2 2 3" xfId="8783" xr:uid="{8332D6BC-A4FE-4A81-BEDA-282A0DFB9D65}"/>
    <cellStyle name="Normal 4 4 2 2 2 3 2" xfId="21465" xr:uid="{6B4B6FF9-1B0A-4379-94E8-28323F5EF9E6}"/>
    <cellStyle name="Normal 4 4 2 2 2 3 2 2" xfId="46957" xr:uid="{C97636D6-CC75-416B-B9F3-65F55C449DD3}"/>
    <cellStyle name="Normal 4 4 2 2 2 3 3" xfId="34366" xr:uid="{B14CDBFC-1636-4834-A707-068520C86292}"/>
    <cellStyle name="Normal 4 4 2 2 2 4" xfId="15187" xr:uid="{35035DDD-F40C-4AAD-B7FE-FBF695AD588D}"/>
    <cellStyle name="Normal 4 4 2 2 2 4 2" xfId="40679" xr:uid="{B16B762F-8E21-4974-BCC2-275760128E14}"/>
    <cellStyle name="Normal 4 4 2 2 2 5" xfId="28088" xr:uid="{EC6472E2-749D-4E39-8CEC-B21496721B00}"/>
    <cellStyle name="Normal 4 4 2 2 3" xfId="1692" xr:uid="{42A9749B-22AC-45CF-8D77-EA4725C57D2B}"/>
    <cellStyle name="Normal 4 4 2 2 3 2" xfId="4846" xr:uid="{E5653F64-14C6-4C27-9C45-1FE29E1B1423}"/>
    <cellStyle name="Normal 4 4 2 2 3 2 2" xfId="11139" xr:uid="{97F16D03-3512-4302-ADE9-D22A0095E93C}"/>
    <cellStyle name="Normal 4 4 2 2 3 2 2 2" xfId="23821" xr:uid="{DD11E778-35FB-419C-8EC0-2AA0C61C507B}"/>
    <cellStyle name="Normal 4 4 2 2 3 2 2 2 2" xfId="49313" xr:uid="{68357267-E8E6-4D59-BA2E-1D7FAC910FCF}"/>
    <cellStyle name="Normal 4 4 2 2 3 2 2 3" xfId="36722" xr:uid="{E9C07C67-6443-4D02-8AB9-BE745DE56048}"/>
    <cellStyle name="Normal 4 4 2 2 3 2 3" xfId="17543" xr:uid="{495046D1-3881-413A-891E-AEA2EDBA53C4}"/>
    <cellStyle name="Normal 4 4 2 2 3 2 3 2" xfId="43035" xr:uid="{BE87CF45-0771-4C4A-9E15-B09A4C46047D}"/>
    <cellStyle name="Normal 4 4 2 2 3 2 4" xfId="30444" xr:uid="{AECDE28C-9894-46CA-91D8-D431DACCFB37}"/>
    <cellStyle name="Normal 4 4 2 2 3 3" xfId="8000" xr:uid="{92729FA4-D5A4-4DC6-995A-DA8C0F66FCE2}"/>
    <cellStyle name="Normal 4 4 2 2 3 3 2" xfId="20682" xr:uid="{61444071-7344-4596-B94B-AF77AC6C2B6D}"/>
    <cellStyle name="Normal 4 4 2 2 3 3 2 2" xfId="46174" xr:uid="{6B7E7BC8-F5FF-4C73-8A58-6E0F439B422F}"/>
    <cellStyle name="Normal 4 4 2 2 3 3 3" xfId="33583" xr:uid="{CE9F86AC-5557-4C36-A234-530509CA66DE}"/>
    <cellStyle name="Normal 4 4 2 2 3 4" xfId="14404" xr:uid="{6BA694C2-98C4-4281-9672-ED25E0C8B2C0}"/>
    <cellStyle name="Normal 4 4 2 2 3 4 2" xfId="39896" xr:uid="{D0CB8EB1-7FA6-460C-8EEA-7E7E164D129E}"/>
    <cellStyle name="Normal 4 4 2 2 3 5" xfId="27305" xr:uid="{18DF7161-DD9B-4EA7-BDD1-5D38C0D074C8}"/>
    <cellStyle name="Normal 4 4 2 2 4" xfId="2999" xr:uid="{FE72EE96-6E3A-41AF-B14C-C12B2BBE65C7}"/>
    <cellStyle name="Normal 4 4 2 2 4 2" xfId="6153" xr:uid="{9E1C3298-8F6F-479D-AA13-3F507B517C1E}"/>
    <cellStyle name="Normal 4 4 2 2 4 2 2" xfId="12446" xr:uid="{C531567C-0F5E-4DB4-8371-97F88FE377BE}"/>
    <cellStyle name="Normal 4 4 2 2 4 2 2 2" xfId="25128" xr:uid="{F509EC06-6272-437F-8AC2-81EBD0BCE95C}"/>
    <cellStyle name="Normal 4 4 2 2 4 2 2 2 2" xfId="50620" xr:uid="{29286BBF-831C-4675-A8BA-4847D905888A}"/>
    <cellStyle name="Normal 4 4 2 2 4 2 2 3" xfId="38029" xr:uid="{1521DAD7-B10A-4E6C-B3E1-DAA42DB01A55}"/>
    <cellStyle name="Normal 4 4 2 2 4 2 3" xfId="18850" xr:uid="{F99BC075-BAD6-410F-9CC5-80716F0818C3}"/>
    <cellStyle name="Normal 4 4 2 2 4 2 3 2" xfId="44342" xr:uid="{F7FAB3B4-776C-4452-9AC4-B09674434B82}"/>
    <cellStyle name="Normal 4 4 2 2 4 2 4" xfId="31751" xr:uid="{3D8FA097-BFBA-48C4-914C-D8D0171D1347}"/>
    <cellStyle name="Normal 4 4 2 2 4 3" xfId="9307" xr:uid="{82123701-437B-432B-809E-89001D811520}"/>
    <cellStyle name="Normal 4 4 2 2 4 3 2" xfId="21989" xr:uid="{1F9E341C-A9C0-49D5-B5B0-2F936A7618F3}"/>
    <cellStyle name="Normal 4 4 2 2 4 3 2 2" xfId="47481" xr:uid="{474B656D-CA9C-441A-9EC3-31390707D66F}"/>
    <cellStyle name="Normal 4 4 2 2 4 3 3" xfId="34890" xr:uid="{212E1650-F5FF-4228-9CD3-3227E217B857}"/>
    <cellStyle name="Normal 4 4 2 2 4 4" xfId="15711" xr:uid="{E7E08040-E58C-45E4-A519-4F456694E843}"/>
    <cellStyle name="Normal 4 4 2 2 4 4 2" xfId="41203" xr:uid="{8649B2C3-EE7A-4BDA-9220-8A846EB2F0E6}"/>
    <cellStyle name="Normal 4 4 2 2 4 5" xfId="28612" xr:uid="{D7973E86-730E-4063-AD8B-6CC0A6C0A64E}"/>
    <cellStyle name="Normal 4 4 2 2 5" xfId="3522" xr:uid="{014E28E2-8D2A-44AC-B905-B5086DD5D395}"/>
    <cellStyle name="Normal 4 4 2 2 5 2" xfId="6676" xr:uid="{70704FB1-5329-4DD6-A9B2-BF06CF03823F}"/>
    <cellStyle name="Normal 4 4 2 2 5 2 2" xfId="12969" xr:uid="{F8B75027-DC33-4C07-A3AB-9CAE00BF8986}"/>
    <cellStyle name="Normal 4 4 2 2 5 2 2 2" xfId="25651" xr:uid="{52957320-BEBD-45F2-94E8-7376016D1A9C}"/>
    <cellStyle name="Normal 4 4 2 2 5 2 2 2 2" xfId="51143" xr:uid="{12FEB20D-4BEE-4E24-B8FA-C64809342B24}"/>
    <cellStyle name="Normal 4 4 2 2 5 2 2 3" xfId="38552" xr:uid="{8A996A1E-DA05-4CA6-B406-B283B64DD2C2}"/>
    <cellStyle name="Normal 4 4 2 2 5 2 3" xfId="19373" xr:uid="{1D64803D-11AF-485B-AFA8-7319FB892C2F}"/>
    <cellStyle name="Normal 4 4 2 2 5 2 3 2" xfId="44865" xr:uid="{7C3C9590-2164-4058-9129-A83C68BE771D}"/>
    <cellStyle name="Normal 4 4 2 2 5 2 4" xfId="32274" xr:uid="{FEDB9165-6FCC-4F62-906F-E4019A14A34F}"/>
    <cellStyle name="Normal 4 4 2 2 5 3" xfId="9830" xr:uid="{3918E8B0-556C-454C-8BC9-D917E89DB0D7}"/>
    <cellStyle name="Normal 4 4 2 2 5 3 2" xfId="22512" xr:uid="{DF27E9E3-D96E-4FE0-9D99-54403630EF06}"/>
    <cellStyle name="Normal 4 4 2 2 5 3 2 2" xfId="48004" xr:uid="{E1EC23BE-A64C-477C-A766-9E4640B23DBC}"/>
    <cellStyle name="Normal 4 4 2 2 5 3 3" xfId="35413" xr:uid="{8FE6FAFF-8987-4416-97AF-ADFF01DB576C}"/>
    <cellStyle name="Normal 4 4 2 2 5 4" xfId="16234" xr:uid="{1CB094EC-4411-4874-9799-797B209F7473}"/>
    <cellStyle name="Normal 4 4 2 2 5 4 2" xfId="41726" xr:uid="{38839F4C-61D7-48E6-A235-30E474C3CA57}"/>
    <cellStyle name="Normal 4 4 2 2 5 5" xfId="29135" xr:uid="{6C054384-C9BB-4B2E-AF4E-0A10A5672C0C}"/>
    <cellStyle name="Normal 4 4 2 2 6" xfId="4322" xr:uid="{E0AFA8A5-4F42-4137-9E6E-871E27AF936F}"/>
    <cellStyle name="Normal 4 4 2 2 6 2" xfId="10615" xr:uid="{F989D5F7-9B4E-4378-A1FF-2B1F19A1579B}"/>
    <cellStyle name="Normal 4 4 2 2 6 2 2" xfId="23297" xr:uid="{79B3B1CC-DD95-46F3-B354-0AA2F76BC05A}"/>
    <cellStyle name="Normal 4 4 2 2 6 2 2 2" xfId="48789" xr:uid="{E2499DCF-A050-4ACD-9E0F-25597D0158D9}"/>
    <cellStyle name="Normal 4 4 2 2 6 2 3" xfId="36198" xr:uid="{AF280A0D-DB12-4C38-A1E6-71AC6A872284}"/>
    <cellStyle name="Normal 4 4 2 2 6 3" xfId="17019" xr:uid="{305B0C83-576E-467F-913E-67A436E760AC}"/>
    <cellStyle name="Normal 4 4 2 2 6 3 2" xfId="42511" xr:uid="{D0732466-A36D-4AD0-A865-1DEF51E59B38}"/>
    <cellStyle name="Normal 4 4 2 2 6 4" xfId="29920" xr:uid="{E7AD7120-C4B8-4907-9857-E9FEC09A8049}"/>
    <cellStyle name="Normal 4 4 2 2 7" xfId="7476" xr:uid="{412733EA-A692-472B-AB5E-E5C9D42D87CB}"/>
    <cellStyle name="Normal 4 4 2 2 7 2" xfId="20158" xr:uid="{9963F354-142F-4DD8-90DE-1614F689D99E}"/>
    <cellStyle name="Normal 4 4 2 2 7 2 2" xfId="45650" xr:uid="{464CB69F-613A-4D98-9CF5-F6B7CC3DD54E}"/>
    <cellStyle name="Normal 4 4 2 2 7 3" xfId="33059" xr:uid="{752663F3-5828-41BE-9BB0-3E39F5EAAF16}"/>
    <cellStyle name="Normal 4 4 2 2 8" xfId="13880" xr:uid="{FABDE614-D90F-47F8-9AFB-C3BCC760085A}"/>
    <cellStyle name="Normal 4 4 2 2 8 2" xfId="39372" xr:uid="{A0983477-1773-41EC-B29D-8B5E94424285}"/>
    <cellStyle name="Normal 4 4 2 2 9" xfId="26781" xr:uid="{7AA75AA4-3271-4C28-A1EC-8A67DFCE250D}"/>
    <cellStyle name="Normal 4 4 2 3" xfId="908" xr:uid="{80811EF9-0AA5-429B-BD2C-9574AA6A21CC}"/>
    <cellStyle name="Normal 4 4 2 3 2" xfId="2215" xr:uid="{A142AAE3-42C7-4796-A8B6-AFEE13564C8D}"/>
    <cellStyle name="Normal 4 4 2 3 2 2" xfId="5369" xr:uid="{B51366B4-F1DC-45A6-B239-12B6E3CE1808}"/>
    <cellStyle name="Normal 4 4 2 3 2 2 2" xfId="11662" xr:uid="{B0D94028-80C0-4B8A-9005-35AA3F872703}"/>
    <cellStyle name="Normal 4 4 2 3 2 2 2 2" xfId="24344" xr:uid="{5DE2B07F-5721-4CF9-B8E6-7B41AC5EE8E5}"/>
    <cellStyle name="Normal 4 4 2 3 2 2 2 2 2" xfId="49836" xr:uid="{84FB7078-BE8A-495E-B758-671E549B2798}"/>
    <cellStyle name="Normal 4 4 2 3 2 2 2 3" xfId="37245" xr:uid="{11CF4789-15BF-404A-90D4-903900927D09}"/>
    <cellStyle name="Normal 4 4 2 3 2 2 3" xfId="18066" xr:uid="{DBA271C9-7204-4411-8DC6-79CCB4D2204F}"/>
    <cellStyle name="Normal 4 4 2 3 2 2 3 2" xfId="43558" xr:uid="{938AB030-0608-4E77-94B1-659FF214BF81}"/>
    <cellStyle name="Normal 4 4 2 3 2 2 4" xfId="30967" xr:uid="{6A92F35E-5300-4A78-B459-D17E6B87B50F}"/>
    <cellStyle name="Normal 4 4 2 3 2 3" xfId="8523" xr:uid="{BA9F709C-7181-4601-9A78-11D345E2E974}"/>
    <cellStyle name="Normal 4 4 2 3 2 3 2" xfId="21205" xr:uid="{006F8A0E-6118-450D-B868-152BCB860AC9}"/>
    <cellStyle name="Normal 4 4 2 3 2 3 2 2" xfId="46697" xr:uid="{74FCD10C-010F-408C-82EC-64ABBA58642A}"/>
    <cellStyle name="Normal 4 4 2 3 2 3 3" xfId="34106" xr:uid="{66FD95A4-17BD-4F38-9863-C5FEC56278C7}"/>
    <cellStyle name="Normal 4 4 2 3 2 4" xfId="14927" xr:uid="{5755ED5F-AC75-4757-8DCA-B729B12E9D4D}"/>
    <cellStyle name="Normal 4 4 2 3 2 4 2" xfId="40419" xr:uid="{FB02F7AC-8967-483B-91B7-97A47A8AB3A1}"/>
    <cellStyle name="Normal 4 4 2 3 2 5" xfId="27828" xr:uid="{3519A33C-1453-4F09-A4DD-5E7A0F05FF5D}"/>
    <cellStyle name="Normal 4 4 2 3 3" xfId="4062" xr:uid="{A8A97ADA-D6DB-4BE4-8381-84588C389E90}"/>
    <cellStyle name="Normal 4 4 2 3 3 2" xfId="10355" xr:uid="{EDE695D7-2013-42AE-B2A7-A9605285A4CD}"/>
    <cellStyle name="Normal 4 4 2 3 3 2 2" xfId="23037" xr:uid="{0053F21F-7B88-43DA-9C79-7902D3A1A806}"/>
    <cellStyle name="Normal 4 4 2 3 3 2 2 2" xfId="48529" xr:uid="{A14C73A2-1358-46B1-BD4E-1E13FCADB2F8}"/>
    <cellStyle name="Normal 4 4 2 3 3 2 3" xfId="35938" xr:uid="{5A07A99B-D629-45E1-9100-47A9358949C1}"/>
    <cellStyle name="Normal 4 4 2 3 3 3" xfId="16759" xr:uid="{93AD6CF5-F6BA-4544-B6FD-CE7172E384AE}"/>
    <cellStyle name="Normal 4 4 2 3 3 3 2" xfId="42251" xr:uid="{E9AEF05C-C467-488C-AB1E-8D707DAAC7BA}"/>
    <cellStyle name="Normal 4 4 2 3 3 4" xfId="29660" xr:uid="{24845747-E674-4484-A78C-9DA9C45896A9}"/>
    <cellStyle name="Normal 4 4 2 3 4" xfId="7216" xr:uid="{F3C7037F-5AF4-4B56-B2DC-AFCCE79FFA01}"/>
    <cellStyle name="Normal 4 4 2 3 4 2" xfId="19898" xr:uid="{79D1B5DC-8556-4DD7-AC9B-0C7AD873AECE}"/>
    <cellStyle name="Normal 4 4 2 3 4 2 2" xfId="45390" xr:uid="{94299752-00FC-4B6E-9429-8732C4BC3085}"/>
    <cellStyle name="Normal 4 4 2 3 4 3" xfId="32799" xr:uid="{29281355-22C5-4F44-A11D-50C5FF532616}"/>
    <cellStyle name="Normal 4 4 2 3 5" xfId="13620" xr:uid="{7088C095-832C-4805-B283-1DA28F06266D}"/>
    <cellStyle name="Normal 4 4 2 3 5 2" xfId="39112" xr:uid="{5F132E9D-3FED-4165-ABBC-D8883BE38D27}"/>
    <cellStyle name="Normal 4 4 2 3 6" xfId="26521" xr:uid="{5BFD6F8C-F59D-4DEF-830D-08404EED203E}"/>
    <cellStyle name="Normal 4 4 2 4" xfId="1953" xr:uid="{A2ED50F4-23E1-4F0D-B872-BBD7D8611147}"/>
    <cellStyle name="Normal 4 4 2 4 2" xfId="5107" xr:uid="{F2AAD98D-751F-41B5-B3EF-49F661AB6822}"/>
    <cellStyle name="Normal 4 4 2 4 2 2" xfId="11400" xr:uid="{A62E0776-B591-453A-AE23-E6CFA98123F9}"/>
    <cellStyle name="Normal 4 4 2 4 2 2 2" xfId="24082" xr:uid="{EE456C0A-28CF-48F9-A662-5826335CE920}"/>
    <cellStyle name="Normal 4 4 2 4 2 2 2 2" xfId="49574" xr:uid="{AA3FD312-C8DB-4522-A7D8-D7CD2CDCF84C}"/>
    <cellStyle name="Normal 4 4 2 4 2 2 3" xfId="36983" xr:uid="{1FE54D0E-AC86-4114-B89C-521474F31848}"/>
    <cellStyle name="Normal 4 4 2 4 2 3" xfId="17804" xr:uid="{4D618F21-7581-4C71-A2C1-DDCF07CD969F}"/>
    <cellStyle name="Normal 4 4 2 4 2 3 2" xfId="43296" xr:uid="{D04320D1-833C-4117-88FF-310A3D723167}"/>
    <cellStyle name="Normal 4 4 2 4 2 4" xfId="30705" xr:uid="{AE319CBE-F446-43CE-B71E-E6E3C2CA5E2A}"/>
    <cellStyle name="Normal 4 4 2 4 3" xfId="8261" xr:uid="{8AADBBE5-2544-451A-B08E-CB18C19E147C}"/>
    <cellStyle name="Normal 4 4 2 4 3 2" xfId="20943" xr:uid="{44DCC4FA-8975-476B-8A02-85B71F8EE5B1}"/>
    <cellStyle name="Normal 4 4 2 4 3 2 2" xfId="46435" xr:uid="{4700E51B-F213-47C5-826A-E2E55DDDD2B6}"/>
    <cellStyle name="Normal 4 4 2 4 3 3" xfId="33844" xr:uid="{24F32EC8-22D8-4717-848F-8F632B0A04E7}"/>
    <cellStyle name="Normal 4 4 2 4 4" xfId="14665" xr:uid="{FF83C143-51F3-41F6-BEF7-2431C4637EEC}"/>
    <cellStyle name="Normal 4 4 2 4 4 2" xfId="40157" xr:uid="{2DF4BE53-B15D-46A3-81AB-0913E1249ACF}"/>
    <cellStyle name="Normal 4 4 2 4 5" xfId="27566" xr:uid="{8C9F877C-AAD4-40BE-A3E6-69847F9D8575}"/>
    <cellStyle name="Normal 4 4 2 5" xfId="1431" xr:uid="{9B2DBC34-4A31-4068-8BFB-156433FECF7E}"/>
    <cellStyle name="Normal 4 4 2 5 2" xfId="4585" xr:uid="{BA4154FE-4D5C-467A-BBEF-26A818E7E837}"/>
    <cellStyle name="Normal 4 4 2 5 2 2" xfId="10878" xr:uid="{2B5CFAA8-C042-42D4-922E-49E300279767}"/>
    <cellStyle name="Normal 4 4 2 5 2 2 2" xfId="23560" xr:uid="{F396CD0D-8C0C-415E-B97D-360E5D4C7177}"/>
    <cellStyle name="Normal 4 4 2 5 2 2 2 2" xfId="49052" xr:uid="{53DF2436-E897-4411-8A21-C25DBD3B8851}"/>
    <cellStyle name="Normal 4 4 2 5 2 2 3" xfId="36461" xr:uid="{3B972CAB-160C-4826-94CD-7C3221F22675}"/>
    <cellStyle name="Normal 4 4 2 5 2 3" xfId="17282" xr:uid="{8DC07DCF-5CBE-4B56-9211-030CC6A935DB}"/>
    <cellStyle name="Normal 4 4 2 5 2 3 2" xfId="42774" xr:uid="{15DB486C-3B22-4CCD-AC2B-97B2DAD72F7A}"/>
    <cellStyle name="Normal 4 4 2 5 2 4" xfId="30183" xr:uid="{3CF59ED0-0F4A-4FF4-8B26-8ED8B59C9AFE}"/>
    <cellStyle name="Normal 4 4 2 5 3" xfId="7739" xr:uid="{1C89C790-40ED-4BA4-983C-AE316A77E048}"/>
    <cellStyle name="Normal 4 4 2 5 3 2" xfId="20421" xr:uid="{2B468210-8CDC-492C-A66C-22FDC1A85D62}"/>
    <cellStyle name="Normal 4 4 2 5 3 2 2" xfId="45913" xr:uid="{E1D51577-5E68-4688-9053-34E9EBC3DD86}"/>
    <cellStyle name="Normal 4 4 2 5 3 3" xfId="33322" xr:uid="{CAEECDD7-8126-4793-A9A5-3450851BE79D}"/>
    <cellStyle name="Normal 4 4 2 5 4" xfId="14143" xr:uid="{AA05D2EE-225B-47BD-990C-4BFECB81AB70}"/>
    <cellStyle name="Normal 4 4 2 5 4 2" xfId="39635" xr:uid="{0368006F-830F-4072-80F8-FC3D526D8DDA}"/>
    <cellStyle name="Normal 4 4 2 5 5" xfId="27044" xr:uid="{FD985E4F-54EA-46D4-A28B-426BB2506F94}"/>
    <cellStyle name="Normal 4 4 2 6" xfId="2738" xr:uid="{40CD9541-D072-49C7-91BB-0E4938692D51}"/>
    <cellStyle name="Normal 4 4 2 6 2" xfId="5892" xr:uid="{3D5514BC-BF4E-4776-9E87-80F6EEC78258}"/>
    <cellStyle name="Normal 4 4 2 6 2 2" xfId="12185" xr:uid="{DAA8CCFE-B74E-4989-B8CB-2DE25650C2C1}"/>
    <cellStyle name="Normal 4 4 2 6 2 2 2" xfId="24867" xr:uid="{24C5B8C2-A51C-4328-AE04-9BB14326DD79}"/>
    <cellStyle name="Normal 4 4 2 6 2 2 2 2" xfId="50359" xr:uid="{CE323931-CC86-4AB8-8F36-A03BAA136249}"/>
    <cellStyle name="Normal 4 4 2 6 2 2 3" xfId="37768" xr:uid="{DE833B34-4B16-4D16-93D3-77BB45625FE4}"/>
    <cellStyle name="Normal 4 4 2 6 2 3" xfId="18589" xr:uid="{960252F9-568D-4027-9E2F-59FC0B0FCC8A}"/>
    <cellStyle name="Normal 4 4 2 6 2 3 2" xfId="44081" xr:uid="{7F29D90F-6050-496B-97EC-51620AC731DE}"/>
    <cellStyle name="Normal 4 4 2 6 2 4" xfId="31490" xr:uid="{28CE44A7-24E2-40BF-A450-28FAE206CCC8}"/>
    <cellStyle name="Normal 4 4 2 6 3" xfId="9046" xr:uid="{013CF3EC-4674-4A91-80EE-B41DE885016C}"/>
    <cellStyle name="Normal 4 4 2 6 3 2" xfId="21728" xr:uid="{9F7FD00C-8ECD-44B3-B0AA-47E0688FFCFF}"/>
    <cellStyle name="Normal 4 4 2 6 3 2 2" xfId="47220" xr:uid="{03D8A89D-775D-4785-8DC1-3599000A1C9C}"/>
    <cellStyle name="Normal 4 4 2 6 3 3" xfId="34629" xr:uid="{F479C43A-1D3D-441F-B250-FC802ACCED1E}"/>
    <cellStyle name="Normal 4 4 2 6 4" xfId="15450" xr:uid="{38F8234F-1C31-46BB-B0CC-8532D818F9A4}"/>
    <cellStyle name="Normal 4 4 2 6 4 2" xfId="40942" xr:uid="{BC2A8E5F-3BBF-4291-B5E8-B59C097E658C}"/>
    <cellStyle name="Normal 4 4 2 6 5" xfId="28351" xr:uid="{5AB8F282-17B8-48DD-A89D-B2DD653E4992}"/>
    <cellStyle name="Normal 4 4 2 7" xfId="3261" xr:uid="{41C6B88C-BD77-4E7D-940C-E115F5149D6D}"/>
    <cellStyle name="Normal 4 4 2 7 2" xfId="6415" xr:uid="{98AB414C-DF12-48E9-B6B0-8351FE791A2D}"/>
    <cellStyle name="Normal 4 4 2 7 2 2" xfId="12708" xr:uid="{256EA66B-5ABC-43DF-A23B-74C8219B4BEC}"/>
    <cellStyle name="Normal 4 4 2 7 2 2 2" xfId="25390" xr:uid="{D5D8BC86-803E-4FBA-89B5-F643D532823B}"/>
    <cellStyle name="Normal 4 4 2 7 2 2 2 2" xfId="50882" xr:uid="{447A7D89-FF8D-4064-8CBF-AE33DE785695}"/>
    <cellStyle name="Normal 4 4 2 7 2 2 3" xfId="38291" xr:uid="{F5A8ED43-ECEE-4ED3-9520-253668F0088A}"/>
    <cellStyle name="Normal 4 4 2 7 2 3" xfId="19112" xr:uid="{EF29964C-BB24-44C9-98A5-97D2EF4A02BB}"/>
    <cellStyle name="Normal 4 4 2 7 2 3 2" xfId="44604" xr:uid="{14A87867-4BA4-41A9-94D1-65CD4813E7F6}"/>
    <cellStyle name="Normal 4 4 2 7 2 4" xfId="32013" xr:uid="{D9DA11A1-DCB3-46C8-B844-401D99BE5E93}"/>
    <cellStyle name="Normal 4 4 2 7 3" xfId="9569" xr:uid="{5D512D10-07D2-4DD9-869F-0CE93A1DE569}"/>
    <cellStyle name="Normal 4 4 2 7 3 2" xfId="22251" xr:uid="{E55999C1-3E2A-4325-A29D-B4208161F761}"/>
    <cellStyle name="Normal 4 4 2 7 3 2 2" xfId="47743" xr:uid="{B1F91C08-7A7A-41AD-A3D7-257AE2A1F67B}"/>
    <cellStyle name="Normal 4 4 2 7 3 3" xfId="35152" xr:uid="{9FD50DA1-F730-450B-84D1-45088226B075}"/>
    <cellStyle name="Normal 4 4 2 7 4" xfId="15973" xr:uid="{901534CB-10B5-41FB-A946-BF3BBE0A9A9E}"/>
    <cellStyle name="Normal 4 4 2 7 4 2" xfId="41465" xr:uid="{63BB39C9-BA75-459B-84F1-6618CE401FF7}"/>
    <cellStyle name="Normal 4 4 2 7 5" xfId="28874" xr:uid="{776AC0C9-4284-423B-9716-6FA1315BC344}"/>
    <cellStyle name="Normal 4 4 2 8" xfId="3800" xr:uid="{45A5A911-E2CE-415E-BF7F-53AC1628D3A2}"/>
    <cellStyle name="Normal 4 4 2 8 2" xfId="10093" xr:uid="{2FD800B1-8CED-4464-A2B3-B14414A77CDB}"/>
    <cellStyle name="Normal 4 4 2 8 2 2" xfId="22775" xr:uid="{8C8F8D0F-BA7C-49B5-BCB8-724148373D5C}"/>
    <cellStyle name="Normal 4 4 2 8 2 2 2" xfId="48267" xr:uid="{B93A8994-0FB2-4EDA-B146-5990279740E6}"/>
    <cellStyle name="Normal 4 4 2 8 2 3" xfId="35676" xr:uid="{C909E78B-FFC1-4F20-9E0B-C9B1B63D7680}"/>
    <cellStyle name="Normal 4 4 2 8 3" xfId="16497" xr:uid="{2F741236-9C98-469E-8F83-4C88C4E29288}"/>
    <cellStyle name="Normal 4 4 2 8 3 2" xfId="41989" xr:uid="{F61B4214-1E38-48D0-9F74-D92FE6EC0620}"/>
    <cellStyle name="Normal 4 4 2 8 4" xfId="29398" xr:uid="{C06371CB-1025-4B94-97D9-B2A3D09E5FEA}"/>
    <cellStyle name="Normal 4 4 2 9" xfId="6954" xr:uid="{CDE76D0A-0845-4903-BE1A-7FC608EB8330}"/>
    <cellStyle name="Normal 4 4 2 9 2" xfId="19636" xr:uid="{52B84DEF-69DD-4F2C-BFF1-E3118FC0B9E5}"/>
    <cellStyle name="Normal 4 4 2 9 2 2" xfId="45128" xr:uid="{8DCACCA4-E492-476D-B1E1-52235BE013E2}"/>
    <cellStyle name="Normal 4 4 2 9 3" xfId="32537" xr:uid="{D06EA42E-C64E-46AA-918A-CB9BB288C85E}"/>
    <cellStyle name="Normal 4 4 3" xfId="531" xr:uid="{6E696410-0B22-4799-934A-73FDF584CB95}"/>
    <cellStyle name="Normal 4 4 3 10" xfId="13258" xr:uid="{DCEB7863-F810-40DF-A501-5D5C84C3BA0B}"/>
    <cellStyle name="Normal 4 4 3 10 2" xfId="38750" xr:uid="{64BDC48B-11E8-485B-A51B-1AA13CDB42DB}"/>
    <cellStyle name="Normal 4 4 3 11" xfId="26159" xr:uid="{500D71ED-4393-4829-AA2B-E9E6904B92DF}"/>
    <cellStyle name="Normal 4 4 3 2" xfId="1068" xr:uid="{452DCFDC-8499-4728-86AA-D9DB3A0A480A}"/>
    <cellStyle name="Normal 4 4 3 2 2" xfId="2375" xr:uid="{11FBC097-D618-47C0-9A0A-93FBD089107B}"/>
    <cellStyle name="Normal 4 4 3 2 2 2" xfId="5529" xr:uid="{28BC7DCD-EB33-453A-B5B9-606B990A4CF5}"/>
    <cellStyle name="Normal 4 4 3 2 2 2 2" xfId="11822" xr:uid="{2ECA5CFF-72A4-4C92-80CB-F6ABBB26FD6F}"/>
    <cellStyle name="Normal 4 4 3 2 2 2 2 2" xfId="24504" xr:uid="{A2436CB3-44A3-449F-AB5F-3880724F7D0C}"/>
    <cellStyle name="Normal 4 4 3 2 2 2 2 2 2" xfId="49996" xr:uid="{43CF6491-EC62-4EDC-823D-BA0E2E9582B1}"/>
    <cellStyle name="Normal 4 4 3 2 2 2 2 3" xfId="37405" xr:uid="{456ABCFE-2F0D-4D4C-94DF-E57AE926E49D}"/>
    <cellStyle name="Normal 4 4 3 2 2 2 3" xfId="18226" xr:uid="{F900AE77-4998-439D-869D-499BDC0A4DFB}"/>
    <cellStyle name="Normal 4 4 3 2 2 2 3 2" xfId="43718" xr:uid="{8EDA4D13-771C-4AC1-887F-1894C38F4F24}"/>
    <cellStyle name="Normal 4 4 3 2 2 2 4" xfId="31127" xr:uid="{991571FA-6867-46D6-A379-8E3D8E456A78}"/>
    <cellStyle name="Normal 4 4 3 2 2 3" xfId="8683" xr:uid="{C44E1853-4580-4A44-B658-81CDF17FB533}"/>
    <cellStyle name="Normal 4 4 3 2 2 3 2" xfId="21365" xr:uid="{42D2B793-8FD6-4424-9FCB-26B5BCC79575}"/>
    <cellStyle name="Normal 4 4 3 2 2 3 2 2" xfId="46857" xr:uid="{B47CAEFC-FA2D-4FFB-BB4B-65A120BB614F}"/>
    <cellStyle name="Normal 4 4 3 2 2 3 3" xfId="34266" xr:uid="{A76F1550-11CC-43E9-9E86-10580382149F}"/>
    <cellStyle name="Normal 4 4 3 2 2 4" xfId="15087" xr:uid="{355B100E-AF03-4D33-8FC8-D29C43A1EE28}"/>
    <cellStyle name="Normal 4 4 3 2 2 4 2" xfId="40579" xr:uid="{99C3F60C-16A8-4C94-9526-6ECD655390D1}"/>
    <cellStyle name="Normal 4 4 3 2 2 5" xfId="27988" xr:uid="{42ED83A0-FB47-48EB-9C17-5127DECFDB29}"/>
    <cellStyle name="Normal 4 4 3 2 3" xfId="1592" xr:uid="{9CC7D9C2-9E8C-4DEE-8E21-9DA3282A92BF}"/>
    <cellStyle name="Normal 4 4 3 2 3 2" xfId="4746" xr:uid="{D1A2CF03-D93E-4069-B4EE-B9CD116615C1}"/>
    <cellStyle name="Normal 4 4 3 2 3 2 2" xfId="11039" xr:uid="{2D17EC92-C559-4262-AEB1-E65542A35468}"/>
    <cellStyle name="Normal 4 4 3 2 3 2 2 2" xfId="23721" xr:uid="{B73BAE5B-DAB4-4B9C-81E5-E952657EAB9C}"/>
    <cellStyle name="Normal 4 4 3 2 3 2 2 2 2" xfId="49213" xr:uid="{4A538338-3D11-401C-832D-90654BCD602C}"/>
    <cellStyle name="Normal 4 4 3 2 3 2 2 3" xfId="36622" xr:uid="{C7E3C596-9C7B-4169-88EA-556E3C3C38E6}"/>
    <cellStyle name="Normal 4 4 3 2 3 2 3" xfId="17443" xr:uid="{55CAB42E-0C22-4A4E-AA5A-AB4111F358CE}"/>
    <cellStyle name="Normal 4 4 3 2 3 2 3 2" xfId="42935" xr:uid="{7EA6EB50-CFB5-4F35-9F61-1679C0C0FFA1}"/>
    <cellStyle name="Normal 4 4 3 2 3 2 4" xfId="30344" xr:uid="{FE95B1FF-6AB2-43C5-93EB-BED835ACEDB6}"/>
    <cellStyle name="Normal 4 4 3 2 3 3" xfId="7900" xr:uid="{8932FFC5-7561-4E7B-951D-3DEAC40F9FE7}"/>
    <cellStyle name="Normal 4 4 3 2 3 3 2" xfId="20582" xr:uid="{5F781DE8-590A-4AB1-89CB-45D506C09B13}"/>
    <cellStyle name="Normal 4 4 3 2 3 3 2 2" xfId="46074" xr:uid="{2326857D-752D-4DEA-86D3-2F8B6E02E6F8}"/>
    <cellStyle name="Normal 4 4 3 2 3 3 3" xfId="33483" xr:uid="{B36D4263-1553-4544-804D-55B816B56101}"/>
    <cellStyle name="Normal 4 4 3 2 3 4" xfId="14304" xr:uid="{3A49AC58-A168-4528-82D8-34FC93CE5B3F}"/>
    <cellStyle name="Normal 4 4 3 2 3 4 2" xfId="39796" xr:uid="{8039B073-65E1-406D-9423-88E431177ABD}"/>
    <cellStyle name="Normal 4 4 3 2 3 5" xfId="27205" xr:uid="{02D82DE6-27DD-4A70-978F-5B352BA23F7C}"/>
    <cellStyle name="Normal 4 4 3 2 4" xfId="2899" xr:uid="{2FC7B4FD-BD45-4C5F-B5A5-FB9FF1C88E50}"/>
    <cellStyle name="Normal 4 4 3 2 4 2" xfId="6053" xr:uid="{0EFC330E-69E3-4F0D-8C7E-10971B173D64}"/>
    <cellStyle name="Normal 4 4 3 2 4 2 2" xfId="12346" xr:uid="{468460CB-25B3-49D5-A532-F653ECB63CC0}"/>
    <cellStyle name="Normal 4 4 3 2 4 2 2 2" xfId="25028" xr:uid="{07081570-C739-4132-89CF-6D4DB9ECDA7B}"/>
    <cellStyle name="Normal 4 4 3 2 4 2 2 2 2" xfId="50520" xr:uid="{89CB78BD-889B-44DA-A031-809C2CFBCD75}"/>
    <cellStyle name="Normal 4 4 3 2 4 2 2 3" xfId="37929" xr:uid="{4B14CD53-285F-4F9A-8F0E-9D1C71F56421}"/>
    <cellStyle name="Normal 4 4 3 2 4 2 3" xfId="18750" xr:uid="{431F56CC-D676-483A-9706-1812AE1E80FA}"/>
    <cellStyle name="Normal 4 4 3 2 4 2 3 2" xfId="44242" xr:uid="{AF98DE96-B79E-4933-863A-4393CDC154D5}"/>
    <cellStyle name="Normal 4 4 3 2 4 2 4" xfId="31651" xr:uid="{5332ABAE-EE9E-4250-8B39-1F9D0BC5E6E1}"/>
    <cellStyle name="Normal 4 4 3 2 4 3" xfId="9207" xr:uid="{27B15E5E-7795-4FA9-85DC-4252B91F26A9}"/>
    <cellStyle name="Normal 4 4 3 2 4 3 2" xfId="21889" xr:uid="{B5B24A1E-56C9-4E72-97B6-0D7C9A651B1C}"/>
    <cellStyle name="Normal 4 4 3 2 4 3 2 2" xfId="47381" xr:uid="{7E55D0AF-9327-4BCB-93C2-7907774E9328}"/>
    <cellStyle name="Normal 4 4 3 2 4 3 3" xfId="34790" xr:uid="{8FD97EE4-9D1A-4DA9-9454-823AF54F913C}"/>
    <cellStyle name="Normal 4 4 3 2 4 4" xfId="15611" xr:uid="{4A89D27A-C316-41E6-9581-4ABC5E1C3F9B}"/>
    <cellStyle name="Normal 4 4 3 2 4 4 2" xfId="41103" xr:uid="{FF3E555E-776B-403C-9581-12F9FDB65C29}"/>
    <cellStyle name="Normal 4 4 3 2 4 5" xfId="28512" xr:uid="{43308A23-A7EA-4EB7-B36D-108A7B2BDF94}"/>
    <cellStyle name="Normal 4 4 3 2 5" xfId="3422" xr:uid="{85014B4C-CE01-4BE7-9658-48A2CC62B77F}"/>
    <cellStyle name="Normal 4 4 3 2 5 2" xfId="6576" xr:uid="{FA6415EF-E370-4FC0-A89C-03A6AEE87C89}"/>
    <cellStyle name="Normal 4 4 3 2 5 2 2" xfId="12869" xr:uid="{6688ABEE-CFED-4A40-9522-CFDB8C11919D}"/>
    <cellStyle name="Normal 4 4 3 2 5 2 2 2" xfId="25551" xr:uid="{95B60D11-23B9-4083-942F-1A5ED4F7C5D0}"/>
    <cellStyle name="Normal 4 4 3 2 5 2 2 2 2" xfId="51043" xr:uid="{91065908-E42C-4018-B6A6-C500211AD474}"/>
    <cellStyle name="Normal 4 4 3 2 5 2 2 3" xfId="38452" xr:uid="{F0EFF40E-90AA-4E21-BC5F-9B542BA30BC6}"/>
    <cellStyle name="Normal 4 4 3 2 5 2 3" xfId="19273" xr:uid="{E1A11659-FC8E-4AF1-B39F-0ABE0BE32C8C}"/>
    <cellStyle name="Normal 4 4 3 2 5 2 3 2" xfId="44765" xr:uid="{97B44BBC-BCA7-42F8-896E-A0882A7EEF4A}"/>
    <cellStyle name="Normal 4 4 3 2 5 2 4" xfId="32174" xr:uid="{8FC83175-5A56-4592-8F24-AAF67B559DE6}"/>
    <cellStyle name="Normal 4 4 3 2 5 3" xfId="9730" xr:uid="{E652242B-B62D-4915-B3CF-52C85CCC2CAA}"/>
    <cellStyle name="Normal 4 4 3 2 5 3 2" xfId="22412" xr:uid="{08669795-C353-4AE4-8E7E-F4328B65516F}"/>
    <cellStyle name="Normal 4 4 3 2 5 3 2 2" xfId="47904" xr:uid="{B19C1FA0-B988-4FF9-8D36-115F642AA586}"/>
    <cellStyle name="Normal 4 4 3 2 5 3 3" xfId="35313" xr:uid="{042CC434-621D-4330-A920-EF592BB009A9}"/>
    <cellStyle name="Normal 4 4 3 2 5 4" xfId="16134" xr:uid="{A796E62D-0B63-4FC4-83E4-B2C0FD22177D}"/>
    <cellStyle name="Normal 4 4 3 2 5 4 2" xfId="41626" xr:uid="{D5FE2DDA-2CC0-4EA9-B3BA-264F426FEED5}"/>
    <cellStyle name="Normal 4 4 3 2 5 5" xfId="29035" xr:uid="{E0375EF4-4201-4505-A418-3DC2C63541D3}"/>
    <cellStyle name="Normal 4 4 3 2 6" xfId="4222" xr:uid="{8EF8B604-04BD-4D1A-B3AB-5076D23FB8BB}"/>
    <cellStyle name="Normal 4 4 3 2 6 2" xfId="10515" xr:uid="{E8EFD1C7-BFF4-41FE-B66A-15E9FA8FFAE6}"/>
    <cellStyle name="Normal 4 4 3 2 6 2 2" xfId="23197" xr:uid="{1D71DA3D-787C-4E39-8486-D6BD4F6500B0}"/>
    <cellStyle name="Normal 4 4 3 2 6 2 2 2" xfId="48689" xr:uid="{CEDCC67B-1D5C-4C37-B44F-6CAFFD0D04E3}"/>
    <cellStyle name="Normal 4 4 3 2 6 2 3" xfId="36098" xr:uid="{1EC3A5D6-1CFD-41EF-86E1-3F78F3198FDC}"/>
    <cellStyle name="Normal 4 4 3 2 6 3" xfId="16919" xr:uid="{09B587C8-3716-412A-BEBE-B1924137D52C}"/>
    <cellStyle name="Normal 4 4 3 2 6 3 2" xfId="42411" xr:uid="{89CC48C4-C56A-40DB-9BD6-D9B6AFDC334F}"/>
    <cellStyle name="Normal 4 4 3 2 6 4" xfId="29820" xr:uid="{0ADF1243-F912-4216-8E72-267243841E9F}"/>
    <cellStyle name="Normal 4 4 3 2 7" xfId="7376" xr:uid="{1A5AE420-550A-423E-B11C-8C911E21430F}"/>
    <cellStyle name="Normal 4 4 3 2 7 2" xfId="20058" xr:uid="{53551F53-796B-4B17-B62A-AD90AC64735E}"/>
    <cellStyle name="Normal 4 4 3 2 7 2 2" xfId="45550" xr:uid="{5D355A56-C6B0-485C-94CF-F1BCBD59A978}"/>
    <cellStyle name="Normal 4 4 3 2 7 3" xfId="32959" xr:uid="{AD032CF1-1D9F-4BCF-8AD7-75DEA4C80585}"/>
    <cellStyle name="Normal 4 4 3 2 8" xfId="13780" xr:uid="{5AF9366A-3A6B-4E4D-AA30-1B228D5A5F15}"/>
    <cellStyle name="Normal 4 4 3 2 8 2" xfId="39272" xr:uid="{E37C1764-2D30-4514-A9F6-C2E8089A4BBC}"/>
    <cellStyle name="Normal 4 4 3 2 9" xfId="26681" xr:uid="{A9C66AAB-54EB-49B7-9548-40184EE732C6}"/>
    <cellStyle name="Normal 4 4 3 3" xfId="808" xr:uid="{A739677D-F1B1-4382-BF38-8B7E8A11B2F1}"/>
    <cellStyle name="Normal 4 4 3 3 2" xfId="2115" xr:uid="{BEEE3179-FFCB-4CCB-931B-A58C9084C976}"/>
    <cellStyle name="Normal 4 4 3 3 2 2" xfId="5269" xr:uid="{22F568E6-D5B9-4110-B726-010EA151596C}"/>
    <cellStyle name="Normal 4 4 3 3 2 2 2" xfId="11562" xr:uid="{8C2AAFF8-DA06-40F2-A6FD-91487FEDBA73}"/>
    <cellStyle name="Normal 4 4 3 3 2 2 2 2" xfId="24244" xr:uid="{601FC30D-DC14-44A7-99C8-AF9D1E949122}"/>
    <cellStyle name="Normal 4 4 3 3 2 2 2 2 2" xfId="49736" xr:uid="{76D75D56-713B-418E-9E1A-097D51C9BF33}"/>
    <cellStyle name="Normal 4 4 3 3 2 2 2 3" xfId="37145" xr:uid="{E65E028D-55FF-482F-86AF-7618C8A10BE2}"/>
    <cellStyle name="Normal 4 4 3 3 2 2 3" xfId="17966" xr:uid="{4DA1F8BB-C37B-4C0E-821C-2D249F804C9A}"/>
    <cellStyle name="Normal 4 4 3 3 2 2 3 2" xfId="43458" xr:uid="{ABBEB195-8E87-4755-A785-8C3D9D7A7A4E}"/>
    <cellStyle name="Normal 4 4 3 3 2 2 4" xfId="30867" xr:uid="{A5A3BD2B-3E7F-48AD-A1F5-7CF391351225}"/>
    <cellStyle name="Normal 4 4 3 3 2 3" xfId="8423" xr:uid="{24C1926B-38B9-4656-9C76-8D14EBF9AFCD}"/>
    <cellStyle name="Normal 4 4 3 3 2 3 2" xfId="21105" xr:uid="{202CD5CC-AF85-47B2-8C4A-F50DA8CE1AED}"/>
    <cellStyle name="Normal 4 4 3 3 2 3 2 2" xfId="46597" xr:uid="{A6DBF952-9FEA-42A7-B159-E53FDCAD2C08}"/>
    <cellStyle name="Normal 4 4 3 3 2 3 3" xfId="34006" xr:uid="{1B0B3FD3-4654-41F3-8580-A3582DFDCC1D}"/>
    <cellStyle name="Normal 4 4 3 3 2 4" xfId="14827" xr:uid="{013BFECE-4F9B-408A-ADDC-7C37E4C467C9}"/>
    <cellStyle name="Normal 4 4 3 3 2 4 2" xfId="40319" xr:uid="{3ECB2FCE-9BCB-4840-9468-CDF913234F2D}"/>
    <cellStyle name="Normal 4 4 3 3 2 5" xfId="27728" xr:uid="{C9773E00-8D72-4128-BE03-BB219CD73A09}"/>
    <cellStyle name="Normal 4 4 3 3 3" xfId="3962" xr:uid="{7E376390-2957-4FAB-B218-5853E38201D5}"/>
    <cellStyle name="Normal 4 4 3 3 3 2" xfId="10255" xr:uid="{E45ACA3A-2BE1-4D8D-BAB6-E8241438D9FA}"/>
    <cellStyle name="Normal 4 4 3 3 3 2 2" xfId="22937" xr:uid="{FF49CEBA-AC50-48D4-ADB1-93A65A9DD8D9}"/>
    <cellStyle name="Normal 4 4 3 3 3 2 2 2" xfId="48429" xr:uid="{92EAFD05-3080-4D76-A8E8-031F7D77CAFB}"/>
    <cellStyle name="Normal 4 4 3 3 3 2 3" xfId="35838" xr:uid="{643D6509-8488-4765-BCE8-EDCD912314EC}"/>
    <cellStyle name="Normal 4 4 3 3 3 3" xfId="16659" xr:uid="{B5F568E3-8FAC-422C-9668-B466E8EA7163}"/>
    <cellStyle name="Normal 4 4 3 3 3 3 2" xfId="42151" xr:uid="{B15BC1FB-B704-4AC0-BB72-3604FC9F42DA}"/>
    <cellStyle name="Normal 4 4 3 3 3 4" xfId="29560" xr:uid="{C91E1B2B-C090-4450-A4C2-6048845F5F9C}"/>
    <cellStyle name="Normal 4 4 3 3 4" xfId="7116" xr:uid="{DE2F3670-B35C-4580-B76C-63133DCE947D}"/>
    <cellStyle name="Normal 4 4 3 3 4 2" xfId="19798" xr:uid="{EA1F2CFF-FD79-4FA4-AEDF-664D956B507D}"/>
    <cellStyle name="Normal 4 4 3 3 4 2 2" xfId="45290" xr:uid="{96321DF3-5512-4827-BA67-06BE15790A81}"/>
    <cellStyle name="Normal 4 4 3 3 4 3" xfId="32699" xr:uid="{D18EFDB8-9196-435C-9369-0E291826FA58}"/>
    <cellStyle name="Normal 4 4 3 3 5" xfId="13520" xr:uid="{D80D5ED9-F659-44C3-B919-13F32FCF55FA}"/>
    <cellStyle name="Normal 4 4 3 3 5 2" xfId="39012" xr:uid="{10D65E15-54C3-4D43-ACE5-5CCD35F18470}"/>
    <cellStyle name="Normal 4 4 3 3 6" xfId="26421" xr:uid="{5E2C5968-8BE9-486B-B9E8-0210355F2570}"/>
    <cellStyle name="Normal 4 4 3 4" xfId="1853" xr:uid="{A015E930-4731-434C-89F2-A98D4A15894D}"/>
    <cellStyle name="Normal 4 4 3 4 2" xfId="5007" xr:uid="{9911F034-DCF4-4D93-B1B9-FF490FA2A3AC}"/>
    <cellStyle name="Normal 4 4 3 4 2 2" xfId="11300" xr:uid="{F19739AB-5892-411E-AA31-617C6F9BF08D}"/>
    <cellStyle name="Normal 4 4 3 4 2 2 2" xfId="23982" xr:uid="{5F050A1F-EAAD-47CA-A759-66FBED548DBB}"/>
    <cellStyle name="Normal 4 4 3 4 2 2 2 2" xfId="49474" xr:uid="{75616EB6-AB6F-47BF-904A-4F223E1871B0}"/>
    <cellStyle name="Normal 4 4 3 4 2 2 3" xfId="36883" xr:uid="{0384D9B1-F489-4A3C-B421-61ED9232EC11}"/>
    <cellStyle name="Normal 4 4 3 4 2 3" xfId="17704" xr:uid="{24173BEC-B1E2-4F59-B29C-9B65DD408939}"/>
    <cellStyle name="Normal 4 4 3 4 2 3 2" xfId="43196" xr:uid="{B656F813-9320-479A-8808-9DF23D804435}"/>
    <cellStyle name="Normal 4 4 3 4 2 4" xfId="30605" xr:uid="{4E104278-3CC1-4BEC-A3E8-84495C07F49E}"/>
    <cellStyle name="Normal 4 4 3 4 3" xfId="8161" xr:uid="{8B3429BC-FD09-45E4-B377-FC2D44A9C7F8}"/>
    <cellStyle name="Normal 4 4 3 4 3 2" xfId="20843" xr:uid="{08094E02-B6A2-4F03-A806-8C4EE38661A7}"/>
    <cellStyle name="Normal 4 4 3 4 3 2 2" xfId="46335" xr:uid="{D8010EFA-B8AC-4131-AF9B-3A9C9979973E}"/>
    <cellStyle name="Normal 4 4 3 4 3 3" xfId="33744" xr:uid="{0694EAAC-EC85-49A4-8D0C-3EF709967CBD}"/>
    <cellStyle name="Normal 4 4 3 4 4" xfId="14565" xr:uid="{E0EE0311-25CB-4475-9B78-053575677D90}"/>
    <cellStyle name="Normal 4 4 3 4 4 2" xfId="40057" xr:uid="{03E9D806-1EE5-43E4-AA09-C5E34F7F49DF}"/>
    <cellStyle name="Normal 4 4 3 4 5" xfId="27466" xr:uid="{F180027F-2017-4FB2-A427-E83255A41B9E}"/>
    <cellStyle name="Normal 4 4 3 5" xfId="1331" xr:uid="{A8079C4B-618D-4A5F-A623-E407A043CC53}"/>
    <cellStyle name="Normal 4 4 3 5 2" xfId="4485" xr:uid="{3BBCC97B-895C-40B1-84E9-5445DA5B6C0A}"/>
    <cellStyle name="Normal 4 4 3 5 2 2" xfId="10778" xr:uid="{FB48CFA0-B7C3-406B-A6F3-13799498CFC8}"/>
    <cellStyle name="Normal 4 4 3 5 2 2 2" xfId="23460" xr:uid="{929BE627-6223-4112-8C57-9FEFBA7E1F6E}"/>
    <cellStyle name="Normal 4 4 3 5 2 2 2 2" xfId="48952" xr:uid="{F7734B26-7C67-43A8-914E-80D906ACB9C7}"/>
    <cellStyle name="Normal 4 4 3 5 2 2 3" xfId="36361" xr:uid="{46C34025-7BAB-4D5F-8D0F-217140AA8EAD}"/>
    <cellStyle name="Normal 4 4 3 5 2 3" xfId="17182" xr:uid="{EE01DB23-1D4E-4EC3-A8E8-88BA8FAB9C8E}"/>
    <cellStyle name="Normal 4 4 3 5 2 3 2" xfId="42674" xr:uid="{C3B86317-A3FF-423E-9B39-17900340EC60}"/>
    <cellStyle name="Normal 4 4 3 5 2 4" xfId="30083" xr:uid="{ADFEF8FB-85B8-4D7D-9882-2FB5B1B590C3}"/>
    <cellStyle name="Normal 4 4 3 5 3" xfId="7639" xr:uid="{77BD3FB0-C3CF-4B32-A4A7-1BFDD89F84E6}"/>
    <cellStyle name="Normal 4 4 3 5 3 2" xfId="20321" xr:uid="{4BB8A40E-A7BF-4129-AF52-4415E9051D10}"/>
    <cellStyle name="Normal 4 4 3 5 3 2 2" xfId="45813" xr:uid="{054D9A34-81FD-4E43-A263-CEE69E5A9DEE}"/>
    <cellStyle name="Normal 4 4 3 5 3 3" xfId="33222" xr:uid="{26FAE464-F554-41FF-83AC-8C10488065CD}"/>
    <cellStyle name="Normal 4 4 3 5 4" xfId="14043" xr:uid="{960776F6-E607-4628-9170-B92D1826FE3F}"/>
    <cellStyle name="Normal 4 4 3 5 4 2" xfId="39535" xr:uid="{F831897A-D8F4-47E9-BA75-ED0FB91D2A1B}"/>
    <cellStyle name="Normal 4 4 3 5 5" xfId="26944" xr:uid="{AAFF3A42-B7D4-43F9-BE69-BA820E4C6331}"/>
    <cellStyle name="Normal 4 4 3 6" xfId="2638" xr:uid="{D959C3BE-0748-4B35-B9C8-A9386E933935}"/>
    <cellStyle name="Normal 4 4 3 6 2" xfId="5792" xr:uid="{CE287F61-B01D-407B-86A5-ED54D12E34B3}"/>
    <cellStyle name="Normal 4 4 3 6 2 2" xfId="12085" xr:uid="{B00F2355-3385-481C-8603-6CCBBA91423F}"/>
    <cellStyle name="Normal 4 4 3 6 2 2 2" xfId="24767" xr:uid="{12F3FCC2-A0F4-48E9-A00F-722B196F3097}"/>
    <cellStyle name="Normal 4 4 3 6 2 2 2 2" xfId="50259" xr:uid="{D70A07B0-EAF6-4CD3-8EE6-C91A88D23B7F}"/>
    <cellStyle name="Normal 4 4 3 6 2 2 3" xfId="37668" xr:uid="{FA2D7644-6414-4B45-94E2-6CA44C6BE9D0}"/>
    <cellStyle name="Normal 4 4 3 6 2 3" xfId="18489" xr:uid="{0F761A55-0B74-4CE3-A9B3-E7E1629110FC}"/>
    <cellStyle name="Normal 4 4 3 6 2 3 2" xfId="43981" xr:uid="{EB587A6C-7AEA-46B8-8B3A-B46CA02BEA96}"/>
    <cellStyle name="Normal 4 4 3 6 2 4" xfId="31390" xr:uid="{720BAF9F-D0C3-40C8-B89D-93632607EA1D}"/>
    <cellStyle name="Normal 4 4 3 6 3" xfId="8946" xr:uid="{D9752D80-4581-4A5F-8370-1999D3F4BC77}"/>
    <cellStyle name="Normal 4 4 3 6 3 2" xfId="21628" xr:uid="{C938401A-0F5D-47A0-9E8F-21B36BCF975F}"/>
    <cellStyle name="Normal 4 4 3 6 3 2 2" xfId="47120" xr:uid="{D355DD98-4C78-4B53-8097-AF9199BB5EE7}"/>
    <cellStyle name="Normal 4 4 3 6 3 3" xfId="34529" xr:uid="{549FEC5E-34B1-49F4-B662-42D6658A8ACE}"/>
    <cellStyle name="Normal 4 4 3 6 4" xfId="15350" xr:uid="{D0C75C6F-A4E3-48D8-B699-F2D77735F43F}"/>
    <cellStyle name="Normal 4 4 3 6 4 2" xfId="40842" xr:uid="{A3645D6E-230E-4B24-84BA-B13E51A5DC07}"/>
    <cellStyle name="Normal 4 4 3 6 5" xfId="28251" xr:uid="{3070D5F6-8064-4AE8-A85A-EBE7FAB5CE8D}"/>
    <cellStyle name="Normal 4 4 3 7" xfId="3161" xr:uid="{214A4B8E-04F3-45DE-92DD-051D0581DB89}"/>
    <cellStyle name="Normal 4 4 3 7 2" xfId="6315" xr:uid="{50E09B37-AC39-4B5E-BDE1-19688CD3AFD5}"/>
    <cellStyle name="Normal 4 4 3 7 2 2" xfId="12608" xr:uid="{8DF6C7DD-944E-471D-AAFA-8EA5ECEF1D2B}"/>
    <cellStyle name="Normal 4 4 3 7 2 2 2" xfId="25290" xr:uid="{68F122B3-BB77-4E92-956D-E41F14D028B5}"/>
    <cellStyle name="Normal 4 4 3 7 2 2 2 2" xfId="50782" xr:uid="{F340E425-52CC-4A10-A5CA-0FA7D68A75F2}"/>
    <cellStyle name="Normal 4 4 3 7 2 2 3" xfId="38191" xr:uid="{22777CA8-F76C-4308-A19B-20047D345BFA}"/>
    <cellStyle name="Normal 4 4 3 7 2 3" xfId="19012" xr:uid="{85CE67E5-C956-496E-BF35-A3F3AADC8E22}"/>
    <cellStyle name="Normal 4 4 3 7 2 3 2" xfId="44504" xr:uid="{90DB8DCA-DDA1-4747-BE6D-F0C2F8E58A78}"/>
    <cellStyle name="Normal 4 4 3 7 2 4" xfId="31913" xr:uid="{18497F80-807B-41C6-ABFB-E6384BE04475}"/>
    <cellStyle name="Normal 4 4 3 7 3" xfId="9469" xr:uid="{80DAD3FF-8A38-4720-AABB-C9B486300584}"/>
    <cellStyle name="Normal 4 4 3 7 3 2" xfId="22151" xr:uid="{D44B517D-5187-46C9-962B-6BD75C1BD708}"/>
    <cellStyle name="Normal 4 4 3 7 3 2 2" xfId="47643" xr:uid="{02AEDC64-5805-4C05-AC03-CD3F2CF6B814}"/>
    <cellStyle name="Normal 4 4 3 7 3 3" xfId="35052" xr:uid="{C2FA9661-A5C4-4C9D-9439-D070A29A2AEE}"/>
    <cellStyle name="Normal 4 4 3 7 4" xfId="15873" xr:uid="{24586AB6-B07D-429E-AC4B-A776A06C84F9}"/>
    <cellStyle name="Normal 4 4 3 7 4 2" xfId="41365" xr:uid="{E9BE6C94-43A7-41AD-B5CF-FB84774BCE95}"/>
    <cellStyle name="Normal 4 4 3 7 5" xfId="28774" xr:uid="{F12F06DE-F3F5-463F-BADC-FCB6A06F62AA}"/>
    <cellStyle name="Normal 4 4 3 8" xfId="3700" xr:uid="{A8E5F0B2-A2B9-4C2B-9759-AD580E66C3B1}"/>
    <cellStyle name="Normal 4 4 3 8 2" xfId="9993" xr:uid="{B9AC3683-94AD-479C-A00A-5A56F7AE5C90}"/>
    <cellStyle name="Normal 4 4 3 8 2 2" xfId="22675" xr:uid="{B610EEF7-6EC5-4D67-97D8-C8B39ED36806}"/>
    <cellStyle name="Normal 4 4 3 8 2 2 2" xfId="48167" xr:uid="{5D0731ED-93CF-4197-A420-97310ECA766F}"/>
    <cellStyle name="Normal 4 4 3 8 2 3" xfId="35576" xr:uid="{87EA4A17-62E2-4AFD-8B16-9468064C3D6A}"/>
    <cellStyle name="Normal 4 4 3 8 3" xfId="16397" xr:uid="{5FBC6932-3A14-4845-B826-EC42A0A3EE65}"/>
    <cellStyle name="Normal 4 4 3 8 3 2" xfId="41889" xr:uid="{2AFCAA31-83AD-4D49-B3FD-3307C3B43B6B}"/>
    <cellStyle name="Normal 4 4 3 8 4" xfId="29298" xr:uid="{30BACEE2-E71C-4C96-99BF-B38EFF5DFB12}"/>
    <cellStyle name="Normal 4 4 3 9" xfId="6854" xr:uid="{6F8007E0-A072-4D4B-AF9F-DC1570AE8311}"/>
    <cellStyle name="Normal 4 4 3 9 2" xfId="19536" xr:uid="{C1A68FAC-7F1B-4446-A443-2C44B3267839}"/>
    <cellStyle name="Normal 4 4 3 9 2 2" xfId="45028" xr:uid="{9708814D-36E9-43A9-B0EB-42F5330F9DC7}"/>
    <cellStyle name="Normal 4 4 3 9 3" xfId="32437" xr:uid="{3356392A-B0A0-40F4-8458-EB06D0F15903}"/>
    <cellStyle name="Normal 4 4 4" xfId="1009" xr:uid="{7EB56722-BF92-4311-B1E9-3D3FCDADA90F}"/>
    <cellStyle name="Normal 4 4 4 2" xfId="2316" xr:uid="{57300F2C-C09D-4239-A3DA-3F89E3D9E2F5}"/>
    <cellStyle name="Normal 4 4 4 2 2" xfId="5470" xr:uid="{1D3F0A70-8E96-4511-896F-5F4BFA481E3D}"/>
    <cellStyle name="Normal 4 4 4 2 2 2" xfId="11763" xr:uid="{9B4C9CAF-E672-4C2E-B044-213EE65BF2A4}"/>
    <cellStyle name="Normal 4 4 4 2 2 2 2" xfId="24445" xr:uid="{9BD29C52-820E-47C7-BE51-85C078F2F544}"/>
    <cellStyle name="Normal 4 4 4 2 2 2 2 2" xfId="49937" xr:uid="{6D4C1C76-C9ED-4888-90BF-BA2B034DD12A}"/>
    <cellStyle name="Normal 4 4 4 2 2 2 3" xfId="37346" xr:uid="{05B7F2AC-F86F-42B0-8047-F4E85D9E9529}"/>
    <cellStyle name="Normal 4 4 4 2 2 3" xfId="18167" xr:uid="{434917EC-1D41-47C5-8DEC-320EBFCFD005}"/>
    <cellStyle name="Normal 4 4 4 2 2 3 2" xfId="43659" xr:uid="{EA393EE9-CB2C-4B3B-B8BA-210176D50CA8}"/>
    <cellStyle name="Normal 4 4 4 2 2 4" xfId="31068" xr:uid="{C1D04FAD-F37A-4BDF-AF2B-963D07E52005}"/>
    <cellStyle name="Normal 4 4 4 2 3" xfId="8624" xr:uid="{3AC44C1A-644B-4BB9-93BC-57A6E11BA1B4}"/>
    <cellStyle name="Normal 4 4 4 2 3 2" xfId="21306" xr:uid="{6796B457-1EB6-4F1A-9265-9D1739A12D90}"/>
    <cellStyle name="Normal 4 4 4 2 3 2 2" xfId="46798" xr:uid="{E566987A-1B48-4A7F-83CA-8068B07D41FF}"/>
    <cellStyle name="Normal 4 4 4 2 3 3" xfId="34207" xr:uid="{612FA256-C556-4C40-98BD-11B7154EB2A2}"/>
    <cellStyle name="Normal 4 4 4 2 4" xfId="15028" xr:uid="{CAB9FC65-6BD5-4A5F-9D9C-6D8A7B77188C}"/>
    <cellStyle name="Normal 4 4 4 2 4 2" xfId="40520" xr:uid="{3EF5578B-EC72-4118-B760-A30475E4D7D3}"/>
    <cellStyle name="Normal 4 4 4 2 5" xfId="27929" xr:uid="{AC8257C7-9065-4817-859B-E1100CB20F0B}"/>
    <cellStyle name="Normal 4 4 4 3" xfId="1533" xr:uid="{37AC7320-1CFC-4B96-BFFA-06C6CC833809}"/>
    <cellStyle name="Normal 4 4 4 3 2" xfId="4687" xr:uid="{B6A2AB85-C56C-46A9-B61A-9A8CB821A4CC}"/>
    <cellStyle name="Normal 4 4 4 3 2 2" xfId="10980" xr:uid="{FC27482D-25D1-4A7B-801D-724BD611B181}"/>
    <cellStyle name="Normal 4 4 4 3 2 2 2" xfId="23662" xr:uid="{5AB17694-7483-452D-80EC-E37A2B3CE0BE}"/>
    <cellStyle name="Normal 4 4 4 3 2 2 2 2" xfId="49154" xr:uid="{31D8A985-DC9E-4252-A30E-BF631FA0A249}"/>
    <cellStyle name="Normal 4 4 4 3 2 2 3" xfId="36563" xr:uid="{E0AFE57B-AFF1-46F8-9465-C815BB1D99C1}"/>
    <cellStyle name="Normal 4 4 4 3 2 3" xfId="17384" xr:uid="{F498CE25-E44D-4956-87C0-DCB572225DC2}"/>
    <cellStyle name="Normal 4 4 4 3 2 3 2" xfId="42876" xr:uid="{FB323BFA-85AA-4074-A182-813F47421271}"/>
    <cellStyle name="Normal 4 4 4 3 2 4" xfId="30285" xr:uid="{00463A9E-8600-4DE7-BE5C-EB6B5FA6947C}"/>
    <cellStyle name="Normal 4 4 4 3 3" xfId="7841" xr:uid="{B84696C6-CD43-457F-9AD4-B57A2E3F5AB9}"/>
    <cellStyle name="Normal 4 4 4 3 3 2" xfId="20523" xr:uid="{F7FDB3B6-7282-453D-89A5-EBF86B5C4D07}"/>
    <cellStyle name="Normal 4 4 4 3 3 2 2" xfId="46015" xr:uid="{B6B70A39-5387-4C26-A33C-3456F33A3F82}"/>
    <cellStyle name="Normal 4 4 4 3 3 3" xfId="33424" xr:uid="{B0BB79CF-A4A4-441F-9562-146B9A77ABB2}"/>
    <cellStyle name="Normal 4 4 4 3 4" xfId="14245" xr:uid="{5DB4F282-A3EC-42DB-B3A6-39827E11DC9F}"/>
    <cellStyle name="Normal 4 4 4 3 4 2" xfId="39737" xr:uid="{0A1D2EF2-5FA0-4BB7-99D1-14748819DED4}"/>
    <cellStyle name="Normal 4 4 4 3 5" xfId="27146" xr:uid="{0E93D077-2B01-44BC-95C7-5CF8EF872A34}"/>
    <cellStyle name="Normal 4 4 4 4" xfId="2840" xr:uid="{C6A46B01-8542-4859-BF03-ABE674C1740A}"/>
    <cellStyle name="Normal 4 4 4 4 2" xfId="5994" xr:uid="{8415428E-7029-45F1-8047-601F51B0EC3A}"/>
    <cellStyle name="Normal 4 4 4 4 2 2" xfId="12287" xr:uid="{2115A2C8-1273-4F1E-919A-A5995C84EBF9}"/>
    <cellStyle name="Normal 4 4 4 4 2 2 2" xfId="24969" xr:uid="{CE008E2D-D00F-4D0D-BB56-C61408730A65}"/>
    <cellStyle name="Normal 4 4 4 4 2 2 2 2" xfId="50461" xr:uid="{FCD972DF-88CD-428E-AB77-936041BCAB7D}"/>
    <cellStyle name="Normal 4 4 4 4 2 2 3" xfId="37870" xr:uid="{6A7FB690-B1F8-40B9-911D-9A4E3BB7C374}"/>
    <cellStyle name="Normal 4 4 4 4 2 3" xfId="18691" xr:uid="{9204280B-5086-4685-90FA-2F79C2C6711D}"/>
    <cellStyle name="Normal 4 4 4 4 2 3 2" xfId="44183" xr:uid="{69FE9DAE-1188-4E06-94D2-0A46CE4515FD}"/>
    <cellStyle name="Normal 4 4 4 4 2 4" xfId="31592" xr:uid="{806F90D4-7830-46D0-A53A-730D6FE1267C}"/>
    <cellStyle name="Normal 4 4 4 4 3" xfId="9148" xr:uid="{4528C059-151B-41EA-B19A-D71B9EDBADD5}"/>
    <cellStyle name="Normal 4 4 4 4 3 2" xfId="21830" xr:uid="{FF806ED8-F9B5-4A9A-91F6-C7DEC889712E}"/>
    <cellStyle name="Normal 4 4 4 4 3 2 2" xfId="47322" xr:uid="{78BBBDC1-1931-4673-8F53-A948A97C7D3B}"/>
    <cellStyle name="Normal 4 4 4 4 3 3" xfId="34731" xr:uid="{8B470ADE-39BA-4A0D-9E56-AA03F85C15F8}"/>
    <cellStyle name="Normal 4 4 4 4 4" xfId="15552" xr:uid="{C20844C0-7363-4236-872A-74CC6E278EA4}"/>
    <cellStyle name="Normal 4 4 4 4 4 2" xfId="41044" xr:uid="{E74F357A-2882-4BCE-8A0E-6FBF5EBF6331}"/>
    <cellStyle name="Normal 4 4 4 4 5" xfId="28453" xr:uid="{5B03DACE-917E-4B4D-A227-B312F1A0066F}"/>
    <cellStyle name="Normal 4 4 4 5" xfId="3363" xr:uid="{5537622C-DF89-4E2B-994D-82381603BC60}"/>
    <cellStyle name="Normal 4 4 4 5 2" xfId="6517" xr:uid="{070239D9-C0CC-4C77-8005-2538457A259A}"/>
    <cellStyle name="Normal 4 4 4 5 2 2" xfId="12810" xr:uid="{2A64E564-2C46-445B-88CD-F2A8A476CBF1}"/>
    <cellStyle name="Normal 4 4 4 5 2 2 2" xfId="25492" xr:uid="{BD05A7D7-DE75-4663-ABC4-217478C26BDB}"/>
    <cellStyle name="Normal 4 4 4 5 2 2 2 2" xfId="50984" xr:uid="{7DB0EF43-5D39-4F5D-8E6D-D3A8A6729763}"/>
    <cellStyle name="Normal 4 4 4 5 2 2 3" xfId="38393" xr:uid="{5AE5F517-FC4D-4671-89B7-242733B2461D}"/>
    <cellStyle name="Normal 4 4 4 5 2 3" xfId="19214" xr:uid="{49C0094C-2F1B-44BA-B6A8-A9AEDBA244B6}"/>
    <cellStyle name="Normal 4 4 4 5 2 3 2" xfId="44706" xr:uid="{3B074F5B-54B8-45A1-998C-CE3746093FB7}"/>
    <cellStyle name="Normal 4 4 4 5 2 4" xfId="32115" xr:uid="{A3B47A75-4AB7-43B3-8A3F-B1CC14C472E4}"/>
    <cellStyle name="Normal 4 4 4 5 3" xfId="9671" xr:uid="{95162483-1139-4DA9-9FFC-5B5BFD1BA8A7}"/>
    <cellStyle name="Normal 4 4 4 5 3 2" xfId="22353" xr:uid="{50585FFA-C800-4610-943E-D39B11F8E9E0}"/>
    <cellStyle name="Normal 4 4 4 5 3 2 2" xfId="47845" xr:uid="{A3E91427-51E1-4519-A99F-B8269135C07F}"/>
    <cellStyle name="Normal 4 4 4 5 3 3" xfId="35254" xr:uid="{1224E159-8A8C-43D1-90AA-364138FC658E}"/>
    <cellStyle name="Normal 4 4 4 5 4" xfId="16075" xr:uid="{9B371003-F76B-4F56-B488-62A9C4572C68}"/>
    <cellStyle name="Normal 4 4 4 5 4 2" xfId="41567" xr:uid="{2C4BBF8B-C178-406B-A292-FBAAFF782F29}"/>
    <cellStyle name="Normal 4 4 4 5 5" xfId="28976" xr:uid="{BC5966E8-1966-42A7-A2B7-DA5792C371D5}"/>
    <cellStyle name="Normal 4 4 4 6" xfId="4163" xr:uid="{55BC7DB9-C23B-4440-B21C-C8881860C2D7}"/>
    <cellStyle name="Normal 4 4 4 6 2" xfId="10456" xr:uid="{7065EFBD-4FAC-4E08-9897-04AC069F6514}"/>
    <cellStyle name="Normal 4 4 4 6 2 2" xfId="23138" xr:uid="{1B286DBB-CA07-46DE-BAA8-7DBAF1D6464B}"/>
    <cellStyle name="Normal 4 4 4 6 2 2 2" xfId="48630" xr:uid="{770FB35E-AECC-41BA-8FF3-DA919EE0244D}"/>
    <cellStyle name="Normal 4 4 4 6 2 3" xfId="36039" xr:uid="{7AA3D162-D773-4EB7-8473-057875226BCE}"/>
    <cellStyle name="Normal 4 4 4 6 3" xfId="16860" xr:uid="{77662763-878E-4D39-998A-36B06C17587C}"/>
    <cellStyle name="Normal 4 4 4 6 3 2" xfId="42352" xr:uid="{7DCE65B0-4F8A-4DDE-8E3F-8B12EF96566C}"/>
    <cellStyle name="Normal 4 4 4 6 4" xfId="29761" xr:uid="{B2E5E029-20BB-4101-BDA6-1389DB9D5D7D}"/>
    <cellStyle name="Normal 4 4 4 7" xfId="7317" xr:uid="{1178DE45-6A96-471F-B24D-EEB959531D2F}"/>
    <cellStyle name="Normal 4 4 4 7 2" xfId="19999" xr:uid="{EE55B627-4251-4CA1-A398-BC66FB25A374}"/>
    <cellStyle name="Normal 4 4 4 7 2 2" xfId="45491" xr:uid="{2AAE5F2B-690E-42F2-9AC5-F0D9A95DCFE7}"/>
    <cellStyle name="Normal 4 4 4 7 3" xfId="32900" xr:uid="{73E3F2FA-DCC4-433D-A82B-4A451F724061}"/>
    <cellStyle name="Normal 4 4 4 8" xfId="13721" xr:uid="{E5BB6409-61CA-438B-99A3-966393B7B900}"/>
    <cellStyle name="Normal 4 4 4 8 2" xfId="39213" xr:uid="{91F3755A-2341-4FCD-A5C2-02952A61DA30}"/>
    <cellStyle name="Normal 4 4 4 9" xfId="26622" xr:uid="{D62E1134-B2D5-45D8-867B-19C2C282318C}"/>
    <cellStyle name="Normal 4 4 5" xfId="749" xr:uid="{CE4161BF-C9E1-4ADC-89A1-D640B405D78D}"/>
    <cellStyle name="Normal 4 4 5 2" xfId="2056" xr:uid="{C5871F5A-F6E1-451F-ACE2-6C92F81B76A3}"/>
    <cellStyle name="Normal 4 4 5 2 2" xfId="5210" xr:uid="{689B32C5-CA11-42A4-B931-A761F3E55E48}"/>
    <cellStyle name="Normal 4 4 5 2 2 2" xfId="11503" xr:uid="{235FDDB5-9386-4801-9832-9C491ACA1D39}"/>
    <cellStyle name="Normal 4 4 5 2 2 2 2" xfId="24185" xr:uid="{20D0A480-12EA-4807-876E-6C1D7DA8EA63}"/>
    <cellStyle name="Normal 4 4 5 2 2 2 2 2" xfId="49677" xr:uid="{D3226228-4D85-432D-B8A8-C8AB28C27DDE}"/>
    <cellStyle name="Normal 4 4 5 2 2 2 3" xfId="37086" xr:uid="{2494A170-6FCB-4BEC-9A04-ECB976276E01}"/>
    <cellStyle name="Normal 4 4 5 2 2 3" xfId="17907" xr:uid="{27333287-4823-4FF5-A638-BFEDB0C1F3ED}"/>
    <cellStyle name="Normal 4 4 5 2 2 3 2" xfId="43399" xr:uid="{31A36119-6307-48BB-876D-6B4A4F71A18D}"/>
    <cellStyle name="Normal 4 4 5 2 2 4" xfId="30808" xr:uid="{E1DE5360-26A0-498D-9661-99B08D76BF09}"/>
    <cellStyle name="Normal 4 4 5 2 3" xfId="8364" xr:uid="{A353C32A-EBB1-4F6C-9240-B2FA37E46C50}"/>
    <cellStyle name="Normal 4 4 5 2 3 2" xfId="21046" xr:uid="{46625F79-AC0C-41EF-86B6-B142FA96B83E}"/>
    <cellStyle name="Normal 4 4 5 2 3 2 2" xfId="46538" xr:uid="{456A741A-181C-4368-8F91-182CCF65541A}"/>
    <cellStyle name="Normal 4 4 5 2 3 3" xfId="33947" xr:uid="{3E60E149-897E-44A2-8E76-8CFFB5419281}"/>
    <cellStyle name="Normal 4 4 5 2 4" xfId="14768" xr:uid="{6F41EC9B-C3A0-464A-A6AB-7420C0A0D491}"/>
    <cellStyle name="Normal 4 4 5 2 4 2" xfId="40260" xr:uid="{6989B377-D2B5-4AF1-8821-B07719C4A28D}"/>
    <cellStyle name="Normal 4 4 5 2 5" xfId="27669" xr:uid="{D2B96321-A5C8-4209-964B-7CAC6B01B792}"/>
    <cellStyle name="Normal 4 4 5 3" xfId="3903" xr:uid="{CF050ECE-E1E5-46D4-853D-E36FC76D573A}"/>
    <cellStyle name="Normal 4 4 5 3 2" xfId="10196" xr:uid="{B9F0EB40-2492-4871-9E43-9B5F4412F5B6}"/>
    <cellStyle name="Normal 4 4 5 3 2 2" xfId="22878" xr:uid="{3D471512-CDE4-4312-9771-FBCB04F53DA0}"/>
    <cellStyle name="Normal 4 4 5 3 2 2 2" xfId="48370" xr:uid="{7B1F1528-1A4E-4328-AE80-00C2AD5108A3}"/>
    <cellStyle name="Normal 4 4 5 3 2 3" xfId="35779" xr:uid="{BC51BE96-1A5A-4CD8-B123-AFFD87AD0DBF}"/>
    <cellStyle name="Normal 4 4 5 3 3" xfId="16600" xr:uid="{89B4CB46-0EEC-4D37-82D4-BE0DCB37B7DF}"/>
    <cellStyle name="Normal 4 4 5 3 3 2" xfId="42092" xr:uid="{96C9B3B9-BC7C-4830-8BA0-F2E27D97D5A5}"/>
    <cellStyle name="Normal 4 4 5 3 4" xfId="29501" xr:uid="{DE9B91CE-9D81-4AC6-961E-441A9D655CC4}"/>
    <cellStyle name="Normal 4 4 5 4" xfId="7057" xr:uid="{76BCC6CC-F43E-4B56-8DAF-7E0EE2ED9230}"/>
    <cellStyle name="Normal 4 4 5 4 2" xfId="19739" xr:uid="{9843FB45-FE3D-40FD-AD56-1D6E50E730F1}"/>
    <cellStyle name="Normal 4 4 5 4 2 2" xfId="45231" xr:uid="{28344A4F-DDAB-4F8D-AAAF-328DC1D29B26}"/>
    <cellStyle name="Normal 4 4 5 4 3" xfId="32640" xr:uid="{29824033-21A6-42ED-9BEC-1BF4D335F644}"/>
    <cellStyle name="Normal 4 4 5 5" xfId="13461" xr:uid="{FC6C493B-4BA9-4C45-9C0E-D6A1BE37E2EE}"/>
    <cellStyle name="Normal 4 4 5 5 2" xfId="38953" xr:uid="{D34698A9-328D-41C5-B749-213389A036C0}"/>
    <cellStyle name="Normal 4 4 5 6" xfId="26362" xr:uid="{A51C270A-5402-4694-B45C-7419A878B40C}"/>
    <cellStyle name="Normal 4 4 6" xfId="1794" xr:uid="{8AFB38FF-74DF-424C-BF63-DCD408651CAC}"/>
    <cellStyle name="Normal 4 4 6 2" xfId="4948" xr:uid="{7D4B06EA-A5BD-4810-9EE6-44AADAACED9B}"/>
    <cellStyle name="Normal 4 4 6 2 2" xfId="11241" xr:uid="{B5E8FE5A-125C-4704-A544-11B8527C1C59}"/>
    <cellStyle name="Normal 4 4 6 2 2 2" xfId="23923" xr:uid="{D2092A57-E826-418B-A8C0-62EFE33A6F81}"/>
    <cellStyle name="Normal 4 4 6 2 2 2 2" xfId="49415" xr:uid="{14185460-D344-47D5-9E31-B2270783B145}"/>
    <cellStyle name="Normal 4 4 6 2 2 3" xfId="36824" xr:uid="{FF6365C7-BACA-49DE-B9DB-67A0FF3845BD}"/>
    <cellStyle name="Normal 4 4 6 2 3" xfId="17645" xr:uid="{250CA72B-F3DF-4E49-B669-A213B4779B48}"/>
    <cellStyle name="Normal 4 4 6 2 3 2" xfId="43137" xr:uid="{47D0B8F6-56C9-4C5C-8664-3D8EDEC8E66F}"/>
    <cellStyle name="Normal 4 4 6 2 4" xfId="30546" xr:uid="{4316A46F-A058-45F4-8924-1B3B4401BEA0}"/>
    <cellStyle name="Normal 4 4 6 3" xfId="8102" xr:uid="{2FDB432F-A285-491F-956C-B176198558F5}"/>
    <cellStyle name="Normal 4 4 6 3 2" xfId="20784" xr:uid="{F850FF24-8A96-4DC8-A339-F74A35E6A7CA}"/>
    <cellStyle name="Normal 4 4 6 3 2 2" xfId="46276" xr:uid="{53F005B0-67AA-4DC4-B674-67BD0F179B1E}"/>
    <cellStyle name="Normal 4 4 6 3 3" xfId="33685" xr:uid="{B3FE9099-CDAC-4A35-9E9A-8C241A437541}"/>
    <cellStyle name="Normal 4 4 6 4" xfId="14506" xr:uid="{611C41F3-1D6A-4A5C-B386-7028C8094A65}"/>
    <cellStyle name="Normal 4 4 6 4 2" xfId="39998" xr:uid="{72F20DF0-547D-40E7-ADD2-96D3F8B3384D}"/>
    <cellStyle name="Normal 4 4 6 5" xfId="27407" xr:uid="{BCE64887-C8D9-42A1-8683-6100D0D9F829}"/>
    <cellStyle name="Normal 4 4 7" xfId="1272" xr:uid="{5986CFFB-0DC3-42B4-B797-A7AC560F7068}"/>
    <cellStyle name="Normal 4 4 7 2" xfId="4426" xr:uid="{B141003A-962D-4EB6-80D9-2D878D7171A7}"/>
    <cellStyle name="Normal 4 4 7 2 2" xfId="10719" xr:uid="{109C4DEC-BFD9-4195-A699-734FA3C890BE}"/>
    <cellStyle name="Normal 4 4 7 2 2 2" xfId="23401" xr:uid="{97F51B89-9028-4238-99A5-7AFDEB83C6BB}"/>
    <cellStyle name="Normal 4 4 7 2 2 2 2" xfId="48893" xr:uid="{E5B6F460-8886-4CA4-9608-83E4222BDB58}"/>
    <cellStyle name="Normal 4 4 7 2 2 3" xfId="36302" xr:uid="{643E70F3-E76A-4D40-9F2E-87B9CF48C3C1}"/>
    <cellStyle name="Normal 4 4 7 2 3" xfId="17123" xr:uid="{03997A1C-7150-44A8-AD95-71C88155ACA0}"/>
    <cellStyle name="Normal 4 4 7 2 3 2" xfId="42615" xr:uid="{B63DCD0B-A856-412B-8C56-C807DA7CF55D}"/>
    <cellStyle name="Normal 4 4 7 2 4" xfId="30024" xr:uid="{6625BFEE-356E-464E-9699-3D100D0C728D}"/>
    <cellStyle name="Normal 4 4 7 3" xfId="7580" xr:uid="{7A942C03-4FBF-4AAE-B494-B63E516C7028}"/>
    <cellStyle name="Normal 4 4 7 3 2" xfId="20262" xr:uid="{E0BB28E8-2FC3-43CD-905C-2441A3F670B2}"/>
    <cellStyle name="Normal 4 4 7 3 2 2" xfId="45754" xr:uid="{D5650A5C-7B99-43DF-9F72-2B1011AF885A}"/>
    <cellStyle name="Normal 4 4 7 3 3" xfId="33163" xr:uid="{85140A02-3733-4954-89C9-119BCF0F96E7}"/>
    <cellStyle name="Normal 4 4 7 4" xfId="13984" xr:uid="{E670BE6A-9019-45D2-BBE6-A194637A3D5A}"/>
    <cellStyle name="Normal 4 4 7 4 2" xfId="39476" xr:uid="{B1BC3D3B-2E6A-4DC7-B3E9-0A36DC43809E}"/>
    <cellStyle name="Normal 4 4 7 5" xfId="26885" xr:uid="{68B81031-7657-49AE-BBD4-7C2E5D82D0F0}"/>
    <cellStyle name="Normal 4 4 8" xfId="2579" xr:uid="{53CA1010-7197-42DF-BC57-D289510A3557}"/>
    <cellStyle name="Normal 4 4 8 2" xfId="5733" xr:uid="{F8C655DE-477D-406E-BD36-19EE844B3486}"/>
    <cellStyle name="Normal 4 4 8 2 2" xfId="12026" xr:uid="{91E309D0-09DB-4080-94DD-A43AB3325B26}"/>
    <cellStyle name="Normal 4 4 8 2 2 2" xfId="24708" xr:uid="{1B6BADFA-769E-47C4-8047-ADFDA3A84655}"/>
    <cellStyle name="Normal 4 4 8 2 2 2 2" xfId="50200" xr:uid="{70B6D3A0-F09F-4A96-952E-7C2B07CB0BFC}"/>
    <cellStyle name="Normal 4 4 8 2 2 3" xfId="37609" xr:uid="{60999F3A-891C-45A0-87B9-709EB38C2B68}"/>
    <cellStyle name="Normal 4 4 8 2 3" xfId="18430" xr:uid="{AB2A75A2-FAB0-4A26-B6A4-00F023485B8C}"/>
    <cellStyle name="Normal 4 4 8 2 3 2" xfId="43922" xr:uid="{BD3B5D4C-2A20-4443-BB5C-FBF2635CEFD8}"/>
    <cellStyle name="Normal 4 4 8 2 4" xfId="31331" xr:uid="{D971CFDE-2F6C-4058-A455-0B8CEC91A169}"/>
    <cellStyle name="Normal 4 4 8 3" xfId="8887" xr:uid="{54E86205-A9C0-428E-970D-AC8D609EF17E}"/>
    <cellStyle name="Normal 4 4 8 3 2" xfId="21569" xr:uid="{A7393D1C-2C0F-40AE-8EDA-DD0A5F372068}"/>
    <cellStyle name="Normal 4 4 8 3 2 2" xfId="47061" xr:uid="{F64F68B9-7A46-4CAF-A8B5-B7CB57FF35D7}"/>
    <cellStyle name="Normal 4 4 8 3 3" xfId="34470" xr:uid="{936DC307-F8BA-48B3-A9E1-525E9858A2EC}"/>
    <cellStyle name="Normal 4 4 8 4" xfId="15291" xr:uid="{D419096D-47B8-4F51-9591-2EE2DD508842}"/>
    <cellStyle name="Normal 4 4 8 4 2" xfId="40783" xr:uid="{F3E186FC-E94C-4DEE-B678-297B1A211A1A}"/>
    <cellStyle name="Normal 4 4 8 5" xfId="28192" xr:uid="{20FF5550-98F2-4E91-AD71-EBACB4B9C08A}"/>
    <cellStyle name="Normal 4 4 9" xfId="3102" xr:uid="{3F4C705B-439E-4CD3-B2DF-67A7E3D4CC7B}"/>
    <cellStyle name="Normal 4 4 9 2" xfId="6256" xr:uid="{A75C35C6-619C-4395-A13F-3B0102058C9F}"/>
    <cellStyle name="Normal 4 4 9 2 2" xfId="12549" xr:uid="{41E60807-F314-4A2F-BA90-90798B29960A}"/>
    <cellStyle name="Normal 4 4 9 2 2 2" xfId="25231" xr:uid="{78DB7A17-8220-431A-AE3E-325DFDEFCFE3}"/>
    <cellStyle name="Normal 4 4 9 2 2 2 2" xfId="50723" xr:uid="{898C7483-DDB7-4736-818A-610364D2CE42}"/>
    <cellStyle name="Normal 4 4 9 2 2 3" xfId="38132" xr:uid="{2AFC688D-8915-4175-A022-6BB7C28E094E}"/>
    <cellStyle name="Normal 4 4 9 2 3" xfId="18953" xr:uid="{2A038D30-6546-4558-8432-5192019179FB}"/>
    <cellStyle name="Normal 4 4 9 2 3 2" xfId="44445" xr:uid="{22627B7A-3E53-48AF-8F5B-9996EAE3EDE8}"/>
    <cellStyle name="Normal 4 4 9 2 4" xfId="31854" xr:uid="{9ED22BFC-8A38-47DF-8CB2-279F0D53DB55}"/>
    <cellStyle name="Normal 4 4 9 3" xfId="9410" xr:uid="{B88F9AB7-7D22-461C-A249-58B779CD07AD}"/>
    <cellStyle name="Normal 4 4 9 3 2" xfId="22092" xr:uid="{6046DF6C-76FA-4562-8AAE-2C9DCD54CD10}"/>
    <cellStyle name="Normal 4 4 9 3 2 2" xfId="47584" xr:uid="{7F880CD3-6D8D-404E-A3A3-602D748D4097}"/>
    <cellStyle name="Normal 4 4 9 3 3" xfId="34993" xr:uid="{B08BADC1-FA7F-47E1-B4CE-F56C4DDFFE77}"/>
    <cellStyle name="Normal 4 4 9 4" xfId="15814" xr:uid="{F4C6E1C5-D4C1-4A52-93E9-2D76B6FC9223}"/>
    <cellStyle name="Normal 4 4 9 4 2" xfId="41306" xr:uid="{A8D793C4-21E8-4237-BB8C-4A7885480397}"/>
    <cellStyle name="Normal 4 4 9 5" xfId="28715" xr:uid="{A83BE40D-4186-4A3F-B17C-9C90A48BF80B}"/>
    <cellStyle name="Normal 4 5" xfId="453" xr:uid="{F1448F27-8D2C-4F63-BA42-AF4688CE301E}"/>
    <cellStyle name="Normal 4 5 10" xfId="6776" xr:uid="{640CDF2B-4218-47E1-BE3E-CCECC6D84905}"/>
    <cellStyle name="Normal 4 5 10 2" xfId="19458" xr:uid="{2CF14BCB-672B-4E0A-B09F-44FFDE360511}"/>
    <cellStyle name="Normal 4 5 10 2 2" xfId="44950" xr:uid="{98536CE8-1BE9-475D-84B2-D996AD81863E}"/>
    <cellStyle name="Normal 4 5 10 3" xfId="32359" xr:uid="{EB078329-C339-4C4C-9F8D-75985FC5C746}"/>
    <cellStyle name="Normal 4 5 11" xfId="13180" xr:uid="{26964D15-830B-4236-BDBF-3380B852E344}"/>
    <cellStyle name="Normal 4 5 11 2" xfId="38672" xr:uid="{A31CEC6B-643E-4441-A2D6-DFF59D4B1204}"/>
    <cellStyle name="Normal 4 5 12" xfId="26081" xr:uid="{9AC18F29-4CFD-4D0E-8BAB-1CC42A0C5D06}"/>
    <cellStyle name="Normal 4 5 2" xfId="612" xr:uid="{B5B29146-6B2D-4B9B-BF5F-B5BA9C24D5C9}"/>
    <cellStyle name="Normal 4 5 2 10" xfId="13339" xr:uid="{144BB38B-086F-4E81-9D85-DE022C61B3DC}"/>
    <cellStyle name="Normal 4 5 2 10 2" xfId="38831" xr:uid="{72E69AF8-C36A-4983-BAC4-D3E426114D73}"/>
    <cellStyle name="Normal 4 5 2 11" xfId="26240" xr:uid="{D8DF8A2F-6EAE-4CEC-A2EA-65399599F966}"/>
    <cellStyle name="Normal 4 5 2 2" xfId="1149" xr:uid="{D2A3DFED-87FD-46B7-9EFC-464C0B2D941B}"/>
    <cellStyle name="Normal 4 5 2 2 2" xfId="2456" xr:uid="{8C5BC995-B0B5-4D47-81CD-640F1B3409C5}"/>
    <cellStyle name="Normal 4 5 2 2 2 2" xfId="5610" xr:uid="{DA0B9CA8-1089-4725-AD83-041534D4CAE1}"/>
    <cellStyle name="Normal 4 5 2 2 2 2 2" xfId="11903" xr:uid="{9C73270C-212C-4669-8FB5-FCFE7DE6B42D}"/>
    <cellStyle name="Normal 4 5 2 2 2 2 2 2" xfId="24585" xr:uid="{66826AD0-BE12-4AC6-ADF9-AC9616133168}"/>
    <cellStyle name="Normal 4 5 2 2 2 2 2 2 2" xfId="50077" xr:uid="{23EEBDD2-4ECF-4539-A586-63EBE8C5263F}"/>
    <cellStyle name="Normal 4 5 2 2 2 2 2 3" xfId="37486" xr:uid="{1371EB90-0F6F-4855-BDD5-DDB36CC7C209}"/>
    <cellStyle name="Normal 4 5 2 2 2 2 3" xfId="18307" xr:uid="{637C7E6C-C4DA-4C01-9774-28F6AE1C540F}"/>
    <cellStyle name="Normal 4 5 2 2 2 2 3 2" xfId="43799" xr:uid="{91255E32-40A3-4ED2-BC6A-256B58F8E75A}"/>
    <cellStyle name="Normal 4 5 2 2 2 2 4" xfId="31208" xr:uid="{A396F55C-1B5F-4FB1-995A-A33768A29526}"/>
    <cellStyle name="Normal 4 5 2 2 2 3" xfId="8764" xr:uid="{6D41595A-CC47-444D-BDA7-A3A70633915F}"/>
    <cellStyle name="Normal 4 5 2 2 2 3 2" xfId="21446" xr:uid="{D5612965-0FB3-4F1E-B68F-072DEBF25CDA}"/>
    <cellStyle name="Normal 4 5 2 2 2 3 2 2" xfId="46938" xr:uid="{233F0705-7B55-42FB-B4F6-BB8D2D85A136}"/>
    <cellStyle name="Normal 4 5 2 2 2 3 3" xfId="34347" xr:uid="{6A235A34-CEF3-4444-A736-9B0BEBFF838F}"/>
    <cellStyle name="Normal 4 5 2 2 2 4" xfId="15168" xr:uid="{C7932A70-96D2-4A0A-8780-3EDA3704DD7E}"/>
    <cellStyle name="Normal 4 5 2 2 2 4 2" xfId="40660" xr:uid="{FE5517A8-778F-4AED-97F6-A53FDC8F4009}"/>
    <cellStyle name="Normal 4 5 2 2 2 5" xfId="28069" xr:uid="{71CED61A-C0C4-4697-8E25-942783E7EDB3}"/>
    <cellStyle name="Normal 4 5 2 2 3" xfId="1673" xr:uid="{6B39F134-0C4D-491C-9794-B1B69E97D957}"/>
    <cellStyle name="Normal 4 5 2 2 3 2" xfId="4827" xr:uid="{B8221149-9FD9-411F-98FF-96A434FF6733}"/>
    <cellStyle name="Normal 4 5 2 2 3 2 2" xfId="11120" xr:uid="{FC265553-C0D9-4474-AD8F-1C0270D80F07}"/>
    <cellStyle name="Normal 4 5 2 2 3 2 2 2" xfId="23802" xr:uid="{3137F63E-C9C2-41C5-991B-1E70784418A3}"/>
    <cellStyle name="Normal 4 5 2 2 3 2 2 2 2" xfId="49294" xr:uid="{186EE7DD-CDA0-40DD-82A6-D644B93AA166}"/>
    <cellStyle name="Normal 4 5 2 2 3 2 2 3" xfId="36703" xr:uid="{05DDD53C-EAC4-42FB-B7A9-B6213AC61BB3}"/>
    <cellStyle name="Normal 4 5 2 2 3 2 3" xfId="17524" xr:uid="{09CE64FA-1A5D-456B-A509-A1B8D43D999A}"/>
    <cellStyle name="Normal 4 5 2 2 3 2 3 2" xfId="43016" xr:uid="{57550C5E-C55A-4F3D-90E3-38C486321050}"/>
    <cellStyle name="Normal 4 5 2 2 3 2 4" xfId="30425" xr:uid="{D3E0FFA7-695F-4750-B4FF-84FDA28F1F1D}"/>
    <cellStyle name="Normal 4 5 2 2 3 3" xfId="7981" xr:uid="{29080F6D-F8BA-4E89-8DB0-89082FF9F5DE}"/>
    <cellStyle name="Normal 4 5 2 2 3 3 2" xfId="20663" xr:uid="{EF248B23-993D-4B07-BF55-FD28FCD62F21}"/>
    <cellStyle name="Normal 4 5 2 2 3 3 2 2" xfId="46155" xr:uid="{B945C5DA-C0C1-4ACD-9548-9F7ADFD703F6}"/>
    <cellStyle name="Normal 4 5 2 2 3 3 3" xfId="33564" xr:uid="{E492F3AE-D2F8-49BC-A9A4-2AAA3C9DFC57}"/>
    <cellStyle name="Normal 4 5 2 2 3 4" xfId="14385" xr:uid="{26CA28C2-F73D-4370-A35B-DFDEBAB47CD0}"/>
    <cellStyle name="Normal 4 5 2 2 3 4 2" xfId="39877" xr:uid="{9CA1C9A1-FA46-45DB-BB40-9A9B4A5984CD}"/>
    <cellStyle name="Normal 4 5 2 2 3 5" xfId="27286" xr:uid="{B13E2CE5-A1D7-4025-B54D-97C9F0801132}"/>
    <cellStyle name="Normal 4 5 2 2 4" xfId="2980" xr:uid="{BE5C4C62-C677-496B-A867-41C9ABD71FD6}"/>
    <cellStyle name="Normal 4 5 2 2 4 2" xfId="6134" xr:uid="{74628627-335D-4549-8784-417A463CBB07}"/>
    <cellStyle name="Normal 4 5 2 2 4 2 2" xfId="12427" xr:uid="{68BBD3AB-1610-4818-93D7-68EF0FBAFABE}"/>
    <cellStyle name="Normal 4 5 2 2 4 2 2 2" xfId="25109" xr:uid="{43C650A8-E062-49EE-98D0-0D1C64DFC7D5}"/>
    <cellStyle name="Normal 4 5 2 2 4 2 2 2 2" xfId="50601" xr:uid="{34793BD1-F2C6-4B38-A174-7A25986BF16A}"/>
    <cellStyle name="Normal 4 5 2 2 4 2 2 3" xfId="38010" xr:uid="{729F0D98-AF6E-4D1A-9A58-6D566F5A492C}"/>
    <cellStyle name="Normal 4 5 2 2 4 2 3" xfId="18831" xr:uid="{A7914F8F-ED8E-48B3-B63F-3558EF880890}"/>
    <cellStyle name="Normal 4 5 2 2 4 2 3 2" xfId="44323" xr:uid="{925171BD-86FB-4018-86F5-B2A6D6DACDB9}"/>
    <cellStyle name="Normal 4 5 2 2 4 2 4" xfId="31732" xr:uid="{84637762-E5F0-4DE7-9749-1F92E8BF7096}"/>
    <cellStyle name="Normal 4 5 2 2 4 3" xfId="9288" xr:uid="{321F9CF2-19A0-4BCD-9FEA-8DBFDEA2033F}"/>
    <cellStyle name="Normal 4 5 2 2 4 3 2" xfId="21970" xr:uid="{C88AC58B-4AF6-428A-8343-11D560FB48F5}"/>
    <cellStyle name="Normal 4 5 2 2 4 3 2 2" xfId="47462" xr:uid="{D550755F-49E7-4828-BD9D-EC759CD5D1F3}"/>
    <cellStyle name="Normal 4 5 2 2 4 3 3" xfId="34871" xr:uid="{336D6C87-C1F2-4F90-AFFA-09CBD043AD05}"/>
    <cellStyle name="Normal 4 5 2 2 4 4" xfId="15692" xr:uid="{9A5F1A3F-7B99-4729-9FCB-49A6EE74CFFD}"/>
    <cellStyle name="Normal 4 5 2 2 4 4 2" xfId="41184" xr:uid="{8D0159FD-D913-4767-8188-D0F3F6D70AC4}"/>
    <cellStyle name="Normal 4 5 2 2 4 5" xfId="28593" xr:uid="{B7F5E5BE-D9B3-427D-AD08-5A54CE90E4BE}"/>
    <cellStyle name="Normal 4 5 2 2 5" xfId="3503" xr:uid="{E4BBDCE5-98ED-44A0-9715-9B2C4F23C38F}"/>
    <cellStyle name="Normal 4 5 2 2 5 2" xfId="6657" xr:uid="{D32681FD-829B-48AE-ACEB-29D48D7538F7}"/>
    <cellStyle name="Normal 4 5 2 2 5 2 2" xfId="12950" xr:uid="{AF18D799-3A4F-4CAA-BC85-70E0D798DB78}"/>
    <cellStyle name="Normal 4 5 2 2 5 2 2 2" xfId="25632" xr:uid="{E192F437-58A8-4035-8CFD-38F9D387B963}"/>
    <cellStyle name="Normal 4 5 2 2 5 2 2 2 2" xfId="51124" xr:uid="{1DF1552C-A850-42C2-846F-E0EE0540A213}"/>
    <cellStyle name="Normal 4 5 2 2 5 2 2 3" xfId="38533" xr:uid="{598555E0-4BCA-4848-8F02-4F2069597F11}"/>
    <cellStyle name="Normal 4 5 2 2 5 2 3" xfId="19354" xr:uid="{D9B61CA8-73E0-4DF7-BD9E-3466DF173A53}"/>
    <cellStyle name="Normal 4 5 2 2 5 2 3 2" xfId="44846" xr:uid="{37B788D0-4716-48A8-8178-A38FF95B7D69}"/>
    <cellStyle name="Normal 4 5 2 2 5 2 4" xfId="32255" xr:uid="{C20B30F0-2629-45BA-BEB3-1ED1AE5DB825}"/>
    <cellStyle name="Normal 4 5 2 2 5 3" xfId="9811" xr:uid="{101B0DFA-3435-4C24-A9EC-77D9B4A37CA5}"/>
    <cellStyle name="Normal 4 5 2 2 5 3 2" xfId="22493" xr:uid="{B84589CC-4300-487B-8831-C6C35604CC88}"/>
    <cellStyle name="Normal 4 5 2 2 5 3 2 2" xfId="47985" xr:uid="{9FF02288-5F9F-4B9B-AC73-FD7986F12F75}"/>
    <cellStyle name="Normal 4 5 2 2 5 3 3" xfId="35394" xr:uid="{518DC6E2-3D46-4F77-B040-03EEDD8E9074}"/>
    <cellStyle name="Normal 4 5 2 2 5 4" xfId="16215" xr:uid="{5502DEB9-DB63-4F5C-A607-ECC38AC1FFA1}"/>
    <cellStyle name="Normal 4 5 2 2 5 4 2" xfId="41707" xr:uid="{15FA3D5B-D775-4738-864A-B6B54837372B}"/>
    <cellStyle name="Normal 4 5 2 2 5 5" xfId="29116" xr:uid="{D7B692A3-6F87-48D2-A73F-C73C22B47DDB}"/>
    <cellStyle name="Normal 4 5 2 2 6" xfId="4303" xr:uid="{BF3B181A-161E-48CF-A918-736D8BAA19C0}"/>
    <cellStyle name="Normal 4 5 2 2 6 2" xfId="10596" xr:uid="{6C44B142-B46C-44E7-AEA1-00BC4E720AB0}"/>
    <cellStyle name="Normal 4 5 2 2 6 2 2" xfId="23278" xr:uid="{52A33395-9AE7-4DD1-9515-9F4C71CB11A4}"/>
    <cellStyle name="Normal 4 5 2 2 6 2 2 2" xfId="48770" xr:uid="{55233E0F-ACE5-4FB1-9CD8-A6E3F5060374}"/>
    <cellStyle name="Normal 4 5 2 2 6 2 3" xfId="36179" xr:uid="{258C75B7-7D15-4408-A8D8-88872214A53F}"/>
    <cellStyle name="Normal 4 5 2 2 6 3" xfId="17000" xr:uid="{98D89413-3603-4967-93FC-5B8F165FC6DD}"/>
    <cellStyle name="Normal 4 5 2 2 6 3 2" xfId="42492" xr:uid="{030A4109-3CED-485A-A4CD-B65AC5C75BEF}"/>
    <cellStyle name="Normal 4 5 2 2 6 4" xfId="29901" xr:uid="{DC64F4CB-ACEC-415E-A2AE-42AA43D703B6}"/>
    <cellStyle name="Normal 4 5 2 2 7" xfId="7457" xr:uid="{88831629-E471-4D5A-A8F8-487B16E21ECC}"/>
    <cellStyle name="Normal 4 5 2 2 7 2" xfId="20139" xr:uid="{F76054E6-C5D8-4D92-AB0D-75D7A6B72FA1}"/>
    <cellStyle name="Normal 4 5 2 2 7 2 2" xfId="45631" xr:uid="{40039F6F-802B-436E-A99E-AF2EDB51EE8D}"/>
    <cellStyle name="Normal 4 5 2 2 7 3" xfId="33040" xr:uid="{0124229A-3E88-4B10-BB0E-F58C078B8493}"/>
    <cellStyle name="Normal 4 5 2 2 8" xfId="13861" xr:uid="{561F21C1-C371-473D-9DEC-8AE25B64DF35}"/>
    <cellStyle name="Normal 4 5 2 2 8 2" xfId="39353" xr:uid="{96873E34-462A-4A9E-AFB0-AC77AF3C10CD}"/>
    <cellStyle name="Normal 4 5 2 2 9" xfId="26762" xr:uid="{FB0FC1DD-1AF6-4B42-B1D4-1DCEC90F216D}"/>
    <cellStyle name="Normal 4 5 2 3" xfId="889" xr:uid="{AD1B33FE-6C30-4373-8E8F-95B0AC15C49D}"/>
    <cellStyle name="Normal 4 5 2 3 2" xfId="2196" xr:uid="{8B9B57F3-8D02-429E-9EEA-7289FFA3BD69}"/>
    <cellStyle name="Normal 4 5 2 3 2 2" xfId="5350" xr:uid="{8D5378B6-31CA-405A-861C-0D2EE4E663B1}"/>
    <cellStyle name="Normal 4 5 2 3 2 2 2" xfId="11643" xr:uid="{990B60FE-32DF-493E-90A0-73BB3B38BF92}"/>
    <cellStyle name="Normal 4 5 2 3 2 2 2 2" xfId="24325" xr:uid="{396B6529-4B91-4848-87B5-9D1DBE0DCD32}"/>
    <cellStyle name="Normal 4 5 2 3 2 2 2 2 2" xfId="49817" xr:uid="{3CAD9CEC-C775-463F-B526-B572E929400B}"/>
    <cellStyle name="Normal 4 5 2 3 2 2 2 3" xfId="37226" xr:uid="{6FC54DF6-7E78-43CA-B9F6-2C290BBF4395}"/>
    <cellStyle name="Normal 4 5 2 3 2 2 3" xfId="18047" xr:uid="{1A455DC9-3C46-44AA-815E-CC36FDA90E50}"/>
    <cellStyle name="Normal 4 5 2 3 2 2 3 2" xfId="43539" xr:uid="{27533AC2-9186-4657-98B0-BE03E6675B67}"/>
    <cellStyle name="Normal 4 5 2 3 2 2 4" xfId="30948" xr:uid="{C5075AEC-FA90-4895-8434-03728C713097}"/>
    <cellStyle name="Normal 4 5 2 3 2 3" xfId="8504" xr:uid="{55429D93-76FF-4B86-9BAD-9410FB4EB0DC}"/>
    <cellStyle name="Normal 4 5 2 3 2 3 2" xfId="21186" xr:uid="{04C28808-0C8E-45E7-8AB0-0B5C3B29E905}"/>
    <cellStyle name="Normal 4 5 2 3 2 3 2 2" xfId="46678" xr:uid="{2EBE7A8E-6F97-463A-958A-80F9D1AE0FA9}"/>
    <cellStyle name="Normal 4 5 2 3 2 3 3" xfId="34087" xr:uid="{0176E39E-2A23-4EF1-9B87-9478B34A9A35}"/>
    <cellStyle name="Normal 4 5 2 3 2 4" xfId="14908" xr:uid="{A1B4797A-A017-4AF2-9691-A2153AC74E4A}"/>
    <cellStyle name="Normal 4 5 2 3 2 4 2" xfId="40400" xr:uid="{0A9224E8-C238-4013-9EEC-4D9683A395D1}"/>
    <cellStyle name="Normal 4 5 2 3 2 5" xfId="27809" xr:uid="{0AE6C1F2-CFEB-4067-8266-D9292B0A03FF}"/>
    <cellStyle name="Normal 4 5 2 3 3" xfId="4043" xr:uid="{77495207-383F-49ED-B0C0-C492A1193BB7}"/>
    <cellStyle name="Normal 4 5 2 3 3 2" xfId="10336" xr:uid="{7B439467-428F-4A86-B29D-E8CCEE580FA7}"/>
    <cellStyle name="Normal 4 5 2 3 3 2 2" xfId="23018" xr:uid="{EEC6C65F-6748-4C74-8A25-E7A1AD6EDF09}"/>
    <cellStyle name="Normal 4 5 2 3 3 2 2 2" xfId="48510" xr:uid="{24A19486-A617-4661-B136-08DDB653D30A}"/>
    <cellStyle name="Normal 4 5 2 3 3 2 3" xfId="35919" xr:uid="{185AD31E-CA48-4F56-B12A-35416C87410F}"/>
    <cellStyle name="Normal 4 5 2 3 3 3" xfId="16740" xr:uid="{A0243980-01CB-436E-8DBD-0E7B8E7FE5D5}"/>
    <cellStyle name="Normal 4 5 2 3 3 3 2" xfId="42232" xr:uid="{DF4D12A9-0868-4716-B218-07FFD63FAAA6}"/>
    <cellStyle name="Normal 4 5 2 3 3 4" xfId="29641" xr:uid="{66D5FE6F-8550-43CB-A48D-CAF1B5E40E43}"/>
    <cellStyle name="Normal 4 5 2 3 4" xfId="7197" xr:uid="{A89F3924-1215-4A44-AA6B-A401DEAC38E8}"/>
    <cellStyle name="Normal 4 5 2 3 4 2" xfId="19879" xr:uid="{77335194-5FCB-4A21-8E69-69C7BD456EB3}"/>
    <cellStyle name="Normal 4 5 2 3 4 2 2" xfId="45371" xr:uid="{25196D4E-1918-4E31-98EF-CD58D50C2152}"/>
    <cellStyle name="Normal 4 5 2 3 4 3" xfId="32780" xr:uid="{BC491B34-D875-4943-AA23-62C64CBF4571}"/>
    <cellStyle name="Normal 4 5 2 3 5" xfId="13601" xr:uid="{7119907F-B59D-402F-8135-0BE51F53C4EB}"/>
    <cellStyle name="Normal 4 5 2 3 5 2" xfId="39093" xr:uid="{16BCD443-7A49-449B-BC40-654FCEE7EF1C}"/>
    <cellStyle name="Normal 4 5 2 3 6" xfId="26502" xr:uid="{DBE552E1-B47F-4D9A-905F-F492876EF5AD}"/>
    <cellStyle name="Normal 4 5 2 4" xfId="1934" xr:uid="{3237491E-70A4-400F-8149-E1B1210BE071}"/>
    <cellStyle name="Normal 4 5 2 4 2" xfId="5088" xr:uid="{5B54B911-107C-4C0F-8B8F-157ECD01B8BA}"/>
    <cellStyle name="Normal 4 5 2 4 2 2" xfId="11381" xr:uid="{C38812F3-A41E-4190-A934-CC3482A948B7}"/>
    <cellStyle name="Normal 4 5 2 4 2 2 2" xfId="24063" xr:uid="{E50660F4-47E4-4174-BC7C-39B61D8C2F38}"/>
    <cellStyle name="Normal 4 5 2 4 2 2 2 2" xfId="49555" xr:uid="{32E5360C-DD57-4E8E-8D77-8860207E54DA}"/>
    <cellStyle name="Normal 4 5 2 4 2 2 3" xfId="36964" xr:uid="{7C564440-7635-467B-A37E-659FBA358704}"/>
    <cellStyle name="Normal 4 5 2 4 2 3" xfId="17785" xr:uid="{44E6C3DF-2553-46DD-95BB-1B1A3086B67F}"/>
    <cellStyle name="Normal 4 5 2 4 2 3 2" xfId="43277" xr:uid="{04086B10-06E3-4FCE-A812-CFA7BB6E2AF3}"/>
    <cellStyle name="Normal 4 5 2 4 2 4" xfId="30686" xr:uid="{7E7AF90A-B02A-43D2-B6A9-11ED847CC747}"/>
    <cellStyle name="Normal 4 5 2 4 3" xfId="8242" xr:uid="{6798968F-546A-45CB-BCCF-291918183F1D}"/>
    <cellStyle name="Normal 4 5 2 4 3 2" xfId="20924" xr:uid="{82CCB3BF-5B46-4200-B92E-8184EE9C448A}"/>
    <cellStyle name="Normal 4 5 2 4 3 2 2" xfId="46416" xr:uid="{7AC4CBD6-AAE8-461B-978D-5D1C2C430F00}"/>
    <cellStyle name="Normal 4 5 2 4 3 3" xfId="33825" xr:uid="{70530859-FA33-4FA9-8B64-FC6D1A790DC2}"/>
    <cellStyle name="Normal 4 5 2 4 4" xfId="14646" xr:uid="{A2D9E98D-3880-468D-A915-3A93FC27C12E}"/>
    <cellStyle name="Normal 4 5 2 4 4 2" xfId="40138" xr:uid="{CD964F95-2926-4CFF-8418-1FF4B97439D9}"/>
    <cellStyle name="Normal 4 5 2 4 5" xfId="27547" xr:uid="{770DF432-BA58-4D0A-9A2C-0A8BA77129F3}"/>
    <cellStyle name="Normal 4 5 2 5" xfId="1412" xr:uid="{B30A36F5-19B5-485B-B9B3-0FB9DEA5023B}"/>
    <cellStyle name="Normal 4 5 2 5 2" xfId="4566" xr:uid="{B34AB942-A10D-4611-86F7-361B50EC6907}"/>
    <cellStyle name="Normal 4 5 2 5 2 2" xfId="10859" xr:uid="{5EBDCDA8-0CE4-4E44-B511-CD5456D0C2CF}"/>
    <cellStyle name="Normal 4 5 2 5 2 2 2" xfId="23541" xr:uid="{9B8937E1-1EB3-4378-BE44-948B2DCBF4A0}"/>
    <cellStyle name="Normal 4 5 2 5 2 2 2 2" xfId="49033" xr:uid="{CB44C33B-7DE0-494F-9924-0E4EE8D488CF}"/>
    <cellStyle name="Normal 4 5 2 5 2 2 3" xfId="36442" xr:uid="{8B0FF0CD-6E18-4ECF-B88B-D8EE0AA499D7}"/>
    <cellStyle name="Normal 4 5 2 5 2 3" xfId="17263" xr:uid="{3A15C574-77F0-42E4-8A62-44BB4622BD0A}"/>
    <cellStyle name="Normal 4 5 2 5 2 3 2" xfId="42755" xr:uid="{F66AAECE-7CFB-480D-AB1E-23EDD12A99FC}"/>
    <cellStyle name="Normal 4 5 2 5 2 4" xfId="30164" xr:uid="{220595E2-FB0F-4655-8955-B184D82BFA3F}"/>
    <cellStyle name="Normal 4 5 2 5 3" xfId="7720" xr:uid="{3B4860FF-F2EA-4414-9DAE-534C129AB4E5}"/>
    <cellStyle name="Normal 4 5 2 5 3 2" xfId="20402" xr:uid="{9D6CBFBA-CFED-4B0D-A1E9-33F9B7CA2CAD}"/>
    <cellStyle name="Normal 4 5 2 5 3 2 2" xfId="45894" xr:uid="{939430AD-5622-4862-BBE5-6DFA1495E9B4}"/>
    <cellStyle name="Normal 4 5 2 5 3 3" xfId="33303" xr:uid="{7FEBA1D4-B835-4437-B4ED-88CBADF2C67F}"/>
    <cellStyle name="Normal 4 5 2 5 4" xfId="14124" xr:uid="{52E2A976-5E82-4540-B3AB-8C7D7F0DE8CE}"/>
    <cellStyle name="Normal 4 5 2 5 4 2" xfId="39616" xr:uid="{AE0D8D3D-6B75-406B-AB32-53E00B6CCFBF}"/>
    <cellStyle name="Normal 4 5 2 5 5" xfId="27025" xr:uid="{2EC64991-E64A-434F-BB4C-C6CAB06C4FCD}"/>
    <cellStyle name="Normal 4 5 2 6" xfId="2719" xr:uid="{231C5EE6-B14D-49AE-8BBD-4D9FC8298693}"/>
    <cellStyle name="Normal 4 5 2 6 2" xfId="5873" xr:uid="{17CA6165-A552-4D92-9181-69A4B5A7C89C}"/>
    <cellStyle name="Normal 4 5 2 6 2 2" xfId="12166" xr:uid="{70E4AFDF-E84C-4746-8487-7FE3444B8AE3}"/>
    <cellStyle name="Normal 4 5 2 6 2 2 2" xfId="24848" xr:uid="{26D7B8B7-5670-4EC0-A23A-B6B3EE680F93}"/>
    <cellStyle name="Normal 4 5 2 6 2 2 2 2" xfId="50340" xr:uid="{190AEEA5-063D-41C9-8481-895ED2A6CD5C}"/>
    <cellStyle name="Normal 4 5 2 6 2 2 3" xfId="37749" xr:uid="{E423744F-812D-488B-8F87-A77A16A76E04}"/>
    <cellStyle name="Normal 4 5 2 6 2 3" xfId="18570" xr:uid="{EF3215E8-526F-4684-BB4B-8D356677060E}"/>
    <cellStyle name="Normal 4 5 2 6 2 3 2" xfId="44062" xr:uid="{7ED649D9-8F15-4C44-A644-1642046DEF3E}"/>
    <cellStyle name="Normal 4 5 2 6 2 4" xfId="31471" xr:uid="{29F53433-E880-4C52-A746-E742C8DE48A0}"/>
    <cellStyle name="Normal 4 5 2 6 3" xfId="9027" xr:uid="{DB420FA0-6D87-49CD-AE34-0AC53BA417E3}"/>
    <cellStyle name="Normal 4 5 2 6 3 2" xfId="21709" xr:uid="{B1B31444-2AEF-4AD1-B628-1D4FA534534F}"/>
    <cellStyle name="Normal 4 5 2 6 3 2 2" xfId="47201" xr:uid="{053484FC-AC62-4483-9DE1-0513F5B5D68F}"/>
    <cellStyle name="Normal 4 5 2 6 3 3" xfId="34610" xr:uid="{F25A36B9-3601-490A-B239-D8D144420ABA}"/>
    <cellStyle name="Normal 4 5 2 6 4" xfId="15431" xr:uid="{17A1E94A-65EC-4F03-8C69-FDCB222DDBE4}"/>
    <cellStyle name="Normal 4 5 2 6 4 2" xfId="40923" xr:uid="{9441D567-16E5-466D-8C56-8D370FFB15CF}"/>
    <cellStyle name="Normal 4 5 2 6 5" xfId="28332" xr:uid="{07694337-A088-4B6D-BB27-C9870353EF8A}"/>
    <cellStyle name="Normal 4 5 2 7" xfId="3242" xr:uid="{E75A3D2D-AF40-4E02-BFCF-7FE832750523}"/>
    <cellStyle name="Normal 4 5 2 7 2" xfId="6396" xr:uid="{58956C1D-D21F-4EEC-8876-E57C4DC375B8}"/>
    <cellStyle name="Normal 4 5 2 7 2 2" xfId="12689" xr:uid="{75928624-1370-421C-B1E9-0100C8F2E8E4}"/>
    <cellStyle name="Normal 4 5 2 7 2 2 2" xfId="25371" xr:uid="{653A01CD-2D5D-44C1-8F6B-438680E158C3}"/>
    <cellStyle name="Normal 4 5 2 7 2 2 2 2" xfId="50863" xr:uid="{79A9C09A-22BF-428C-BD1C-23C43978E154}"/>
    <cellStyle name="Normal 4 5 2 7 2 2 3" xfId="38272" xr:uid="{4A80012F-9875-471D-8DC3-CFC368DCBA5B}"/>
    <cellStyle name="Normal 4 5 2 7 2 3" xfId="19093" xr:uid="{30F5555E-0634-4F10-A5B8-2C6654F11F1C}"/>
    <cellStyle name="Normal 4 5 2 7 2 3 2" xfId="44585" xr:uid="{2EDD1DC6-644A-47C9-81E0-AE7DF83DEEEC}"/>
    <cellStyle name="Normal 4 5 2 7 2 4" xfId="31994" xr:uid="{8B61163F-D98A-42CA-8E47-0B9166295B56}"/>
    <cellStyle name="Normal 4 5 2 7 3" xfId="9550" xr:uid="{16D802DB-F44A-4D6B-A91A-3685712F088F}"/>
    <cellStyle name="Normal 4 5 2 7 3 2" xfId="22232" xr:uid="{778BF8E6-E707-4295-8B11-AEF35D9240FC}"/>
    <cellStyle name="Normal 4 5 2 7 3 2 2" xfId="47724" xr:uid="{C37A756C-492C-466E-9CDA-7BBF30ADB101}"/>
    <cellStyle name="Normal 4 5 2 7 3 3" xfId="35133" xr:uid="{257E1E05-4BF9-46A2-85DA-2F522DDC34A8}"/>
    <cellStyle name="Normal 4 5 2 7 4" xfId="15954" xr:uid="{CDEDC796-16AC-4973-82F7-D51A60C13C9B}"/>
    <cellStyle name="Normal 4 5 2 7 4 2" xfId="41446" xr:uid="{06833243-9148-42B2-847C-AA7E81E9E5B8}"/>
    <cellStyle name="Normal 4 5 2 7 5" xfId="28855" xr:uid="{EFF8985C-F3AE-419A-86AF-D1CA491E50DD}"/>
    <cellStyle name="Normal 4 5 2 8" xfId="3781" xr:uid="{3111F12A-95E4-4F6B-8FB3-0C3BFC7D1728}"/>
    <cellStyle name="Normal 4 5 2 8 2" xfId="10074" xr:uid="{0EA86887-A71D-4E7B-A3BC-629C917569C1}"/>
    <cellStyle name="Normal 4 5 2 8 2 2" xfId="22756" xr:uid="{0C55ED4B-4801-4505-884D-8B3109FB2EB4}"/>
    <cellStyle name="Normal 4 5 2 8 2 2 2" xfId="48248" xr:uid="{6A9F0451-D53E-4C1F-9A09-08AFF151DD91}"/>
    <cellStyle name="Normal 4 5 2 8 2 3" xfId="35657" xr:uid="{284E901A-DE49-4C29-8E90-ECB6377E5EDD}"/>
    <cellStyle name="Normal 4 5 2 8 3" xfId="16478" xr:uid="{AB75F392-EBC5-43CB-91A1-F38EB23D0D49}"/>
    <cellStyle name="Normal 4 5 2 8 3 2" xfId="41970" xr:uid="{1482AD8C-4013-4B13-9139-932A02CE2AC8}"/>
    <cellStyle name="Normal 4 5 2 8 4" xfId="29379" xr:uid="{963BD4D3-15D9-4CAF-BCC2-2A6FE7B57651}"/>
    <cellStyle name="Normal 4 5 2 9" xfId="6935" xr:uid="{B88FC20A-5E28-4D29-BC71-2A2B4367A803}"/>
    <cellStyle name="Normal 4 5 2 9 2" xfId="19617" xr:uid="{4F835F3F-D512-444B-B9E4-8A03EF4B9849}"/>
    <cellStyle name="Normal 4 5 2 9 2 2" xfId="45109" xr:uid="{1EF049BC-3BD6-404E-90EA-D5A5878E7561}"/>
    <cellStyle name="Normal 4 5 2 9 3" xfId="32518" xr:uid="{0E5AFC18-8AAB-410E-A437-80BCE195A681}"/>
    <cellStyle name="Normal 4 5 3" xfId="990" xr:uid="{EBA63032-62E8-4F2B-8438-1D21454DFE6E}"/>
    <cellStyle name="Normal 4 5 3 2" xfId="2297" xr:uid="{27927B01-3E0F-41D2-9848-EE02BAA0C22C}"/>
    <cellStyle name="Normal 4 5 3 2 2" xfId="5451" xr:uid="{FECF6120-78E5-42CA-852F-CCB30AC720B6}"/>
    <cellStyle name="Normal 4 5 3 2 2 2" xfId="11744" xr:uid="{67781357-549C-432C-BB71-3BD0EA7DDA03}"/>
    <cellStyle name="Normal 4 5 3 2 2 2 2" xfId="24426" xr:uid="{C8FA2EA2-24B9-4C7A-8283-502216751C5B}"/>
    <cellStyle name="Normal 4 5 3 2 2 2 2 2" xfId="49918" xr:uid="{9B429DD7-37A0-4500-A742-A1898E7BE8AA}"/>
    <cellStyle name="Normal 4 5 3 2 2 2 3" xfId="37327" xr:uid="{0CFBA9DB-9176-4222-B957-03F77E8F425F}"/>
    <cellStyle name="Normal 4 5 3 2 2 3" xfId="18148" xr:uid="{72F88A6D-9BAC-4761-958C-4088C8927F3E}"/>
    <cellStyle name="Normal 4 5 3 2 2 3 2" xfId="43640" xr:uid="{597AD9F8-3619-47F4-8007-F8E9CB289822}"/>
    <cellStyle name="Normal 4 5 3 2 2 4" xfId="31049" xr:uid="{48B50EF2-F269-4E8E-ACF7-A987F429AA02}"/>
    <cellStyle name="Normal 4 5 3 2 3" xfId="8605" xr:uid="{C4573EB0-D959-4CF7-9B5F-3B9D894939BF}"/>
    <cellStyle name="Normal 4 5 3 2 3 2" xfId="21287" xr:uid="{285966D3-031D-4469-9730-7CD2F78D72DD}"/>
    <cellStyle name="Normal 4 5 3 2 3 2 2" xfId="46779" xr:uid="{6A0065BE-53A4-4D84-8E63-8B82746229C8}"/>
    <cellStyle name="Normal 4 5 3 2 3 3" xfId="34188" xr:uid="{C1B265EB-3228-4F0A-986A-26C04B45D6AB}"/>
    <cellStyle name="Normal 4 5 3 2 4" xfId="15009" xr:uid="{6945F773-1F29-4D19-A58D-A35133263F94}"/>
    <cellStyle name="Normal 4 5 3 2 4 2" xfId="40501" xr:uid="{525D4A8C-3213-4A91-9A06-51C1C7ED2EB2}"/>
    <cellStyle name="Normal 4 5 3 2 5" xfId="27910" xr:uid="{277733B9-FD04-42C9-953B-6308295BC6B5}"/>
    <cellStyle name="Normal 4 5 3 3" xfId="1514" xr:uid="{8B5BD190-6D74-4BEA-AB0A-66A178488480}"/>
    <cellStyle name="Normal 4 5 3 3 2" xfId="4668" xr:uid="{6BB65E43-49F6-4874-A8E2-A1B5CE0EFF80}"/>
    <cellStyle name="Normal 4 5 3 3 2 2" xfId="10961" xr:uid="{148DF998-ABBF-4916-8420-2CD76EC94E5A}"/>
    <cellStyle name="Normal 4 5 3 3 2 2 2" xfId="23643" xr:uid="{9F68BE78-9A91-410B-B529-57EBE2820554}"/>
    <cellStyle name="Normal 4 5 3 3 2 2 2 2" xfId="49135" xr:uid="{6BA2B43A-1987-487B-A131-94B83ED44558}"/>
    <cellStyle name="Normal 4 5 3 3 2 2 3" xfId="36544" xr:uid="{5BBECA6D-BEA8-4403-85AB-6096F2E2573A}"/>
    <cellStyle name="Normal 4 5 3 3 2 3" xfId="17365" xr:uid="{392D6A64-8DE9-40C9-BDB5-F1CA3F02B054}"/>
    <cellStyle name="Normal 4 5 3 3 2 3 2" xfId="42857" xr:uid="{95322518-F48B-45FF-9F37-E2E06E33952C}"/>
    <cellStyle name="Normal 4 5 3 3 2 4" xfId="30266" xr:uid="{1F83CE79-1F05-487F-AD85-DE797F0A6612}"/>
    <cellStyle name="Normal 4 5 3 3 3" xfId="7822" xr:uid="{15720E24-0425-4502-AC02-CAF6D1F27C13}"/>
    <cellStyle name="Normal 4 5 3 3 3 2" xfId="20504" xr:uid="{B7297259-29B7-497D-B302-91AEE80DFDE4}"/>
    <cellStyle name="Normal 4 5 3 3 3 2 2" xfId="45996" xr:uid="{815C05FE-43F7-4015-8D8C-BF771CC6C742}"/>
    <cellStyle name="Normal 4 5 3 3 3 3" xfId="33405" xr:uid="{1F24C680-AD2D-437C-95A8-D7527BF48F07}"/>
    <cellStyle name="Normal 4 5 3 3 4" xfId="14226" xr:uid="{60B46C52-AB0A-4520-A530-D97584C47E85}"/>
    <cellStyle name="Normal 4 5 3 3 4 2" xfId="39718" xr:uid="{8DE6B583-B02A-4D36-9A6B-B0F3D31CF856}"/>
    <cellStyle name="Normal 4 5 3 3 5" xfId="27127" xr:uid="{5D8843E4-6A9D-4551-ABE7-9ED8BE43D4C3}"/>
    <cellStyle name="Normal 4 5 3 4" xfId="2821" xr:uid="{34238F5B-EB62-47F2-81E0-81A03FBFDD92}"/>
    <cellStyle name="Normal 4 5 3 4 2" xfId="5975" xr:uid="{26B3DE20-9497-41BB-AEDB-21C9F1B8B922}"/>
    <cellStyle name="Normal 4 5 3 4 2 2" xfId="12268" xr:uid="{1C9CB311-55C8-49A5-8A77-D5C42E9F5A4D}"/>
    <cellStyle name="Normal 4 5 3 4 2 2 2" xfId="24950" xr:uid="{C20191B7-F27A-4C49-8041-17A1181044B4}"/>
    <cellStyle name="Normal 4 5 3 4 2 2 2 2" xfId="50442" xr:uid="{FE099841-F2A0-4FC7-9B72-2A9EA13A84D4}"/>
    <cellStyle name="Normal 4 5 3 4 2 2 3" xfId="37851" xr:uid="{4AA04FC0-FB27-4F8B-A1B3-E6D4425A4893}"/>
    <cellStyle name="Normal 4 5 3 4 2 3" xfId="18672" xr:uid="{C6C3494B-8F49-4E25-A427-83B8694ED869}"/>
    <cellStyle name="Normal 4 5 3 4 2 3 2" xfId="44164" xr:uid="{CDEE863C-272C-4659-A47C-F24136064085}"/>
    <cellStyle name="Normal 4 5 3 4 2 4" xfId="31573" xr:uid="{466C4D71-4730-45FD-BB70-3087AE9D650F}"/>
    <cellStyle name="Normal 4 5 3 4 3" xfId="9129" xr:uid="{CCB80ACE-5522-4CA5-96AA-252EC3A2344C}"/>
    <cellStyle name="Normal 4 5 3 4 3 2" xfId="21811" xr:uid="{EEB98F13-AD9D-455A-A8CC-18C1BC83D38A}"/>
    <cellStyle name="Normal 4 5 3 4 3 2 2" xfId="47303" xr:uid="{DD720CCF-5C41-46A2-B86A-07051C70A96A}"/>
    <cellStyle name="Normal 4 5 3 4 3 3" xfId="34712" xr:uid="{3FF48A3B-1E81-4167-8A06-F774E368DC9C}"/>
    <cellStyle name="Normal 4 5 3 4 4" xfId="15533" xr:uid="{B33E9B8F-932A-445C-961C-A84405CD37E8}"/>
    <cellStyle name="Normal 4 5 3 4 4 2" xfId="41025" xr:uid="{833B3312-CC0F-46E5-AC8C-AB971E91475B}"/>
    <cellStyle name="Normal 4 5 3 4 5" xfId="28434" xr:uid="{24576185-D60A-4216-A004-4657054E7922}"/>
    <cellStyle name="Normal 4 5 3 5" xfId="3344" xr:uid="{6FD3B50F-7253-48B6-B695-B2DFFE17B9D5}"/>
    <cellStyle name="Normal 4 5 3 5 2" xfId="6498" xr:uid="{A63B75E8-1C3F-4777-960D-83F84513826D}"/>
    <cellStyle name="Normal 4 5 3 5 2 2" xfId="12791" xr:uid="{EEDE717D-71D6-442E-886F-5443B6FA69C3}"/>
    <cellStyle name="Normal 4 5 3 5 2 2 2" xfId="25473" xr:uid="{6757864C-640F-4510-8BD9-B4C95129F55A}"/>
    <cellStyle name="Normal 4 5 3 5 2 2 2 2" xfId="50965" xr:uid="{08054940-8EE4-435D-A999-971C38C5B064}"/>
    <cellStyle name="Normal 4 5 3 5 2 2 3" xfId="38374" xr:uid="{34E0519C-EC51-4F67-91F2-7609CB937F14}"/>
    <cellStyle name="Normal 4 5 3 5 2 3" xfId="19195" xr:uid="{84025BAB-AD59-40DF-8E63-3D018490E99D}"/>
    <cellStyle name="Normal 4 5 3 5 2 3 2" xfId="44687" xr:uid="{45ACF955-EA62-4BB0-AE8B-9C6251372DEB}"/>
    <cellStyle name="Normal 4 5 3 5 2 4" xfId="32096" xr:uid="{E2717B04-EE00-4DE5-84FE-B09A1D5304D3}"/>
    <cellStyle name="Normal 4 5 3 5 3" xfId="9652" xr:uid="{D7D50823-0F82-4403-9B21-D0405A21A7EF}"/>
    <cellStyle name="Normal 4 5 3 5 3 2" xfId="22334" xr:uid="{064C3239-DAF1-4C98-8AB3-C271D882F73E}"/>
    <cellStyle name="Normal 4 5 3 5 3 2 2" xfId="47826" xr:uid="{77CF70F1-6A90-4580-BA25-2A17543FC225}"/>
    <cellStyle name="Normal 4 5 3 5 3 3" xfId="35235" xr:uid="{4CACEDD6-8668-40D9-8503-85038BD31CD3}"/>
    <cellStyle name="Normal 4 5 3 5 4" xfId="16056" xr:uid="{460A00C1-C670-4B33-8C93-8E4A7F825CEB}"/>
    <cellStyle name="Normal 4 5 3 5 4 2" xfId="41548" xr:uid="{7B408A42-15BF-43CF-BECB-9EF25FAA9C32}"/>
    <cellStyle name="Normal 4 5 3 5 5" xfId="28957" xr:uid="{1FCFE88C-4319-40B6-947A-71492DD75264}"/>
    <cellStyle name="Normal 4 5 3 6" xfId="4144" xr:uid="{A3257B4E-060B-4F23-97F0-CBF5F21E8FCC}"/>
    <cellStyle name="Normal 4 5 3 6 2" xfId="10437" xr:uid="{6EC8B70A-1EBD-4A29-BC0D-1A414BB7AA64}"/>
    <cellStyle name="Normal 4 5 3 6 2 2" xfId="23119" xr:uid="{0EBF184A-CF39-4CB3-9318-6E9CB673FE76}"/>
    <cellStyle name="Normal 4 5 3 6 2 2 2" xfId="48611" xr:uid="{F5DA857A-0A2B-477A-ABA5-293219CD30E6}"/>
    <cellStyle name="Normal 4 5 3 6 2 3" xfId="36020" xr:uid="{435C62C9-C9D9-45DF-9C19-F45A0D668073}"/>
    <cellStyle name="Normal 4 5 3 6 3" xfId="16841" xr:uid="{080085DF-A10C-49B1-B7D9-A981BEFCB8FD}"/>
    <cellStyle name="Normal 4 5 3 6 3 2" xfId="42333" xr:uid="{0F5CEFF3-4095-4985-B986-A056AB9941EC}"/>
    <cellStyle name="Normal 4 5 3 6 4" xfId="29742" xr:uid="{65D1E878-BFB9-4D33-B3E6-F8586CFBD10F}"/>
    <cellStyle name="Normal 4 5 3 7" xfId="7298" xr:uid="{2C1252A6-7E0F-4E2A-8F73-D5CD18492B2A}"/>
    <cellStyle name="Normal 4 5 3 7 2" xfId="19980" xr:uid="{C55AE189-FAD7-485A-BEB6-F5FA6C46EB47}"/>
    <cellStyle name="Normal 4 5 3 7 2 2" xfId="45472" xr:uid="{EC667B9D-5652-4B26-9C37-624DA860E1C2}"/>
    <cellStyle name="Normal 4 5 3 7 3" xfId="32881" xr:uid="{C40B4ECF-DBCB-4933-B146-03BE3B4556E0}"/>
    <cellStyle name="Normal 4 5 3 8" xfId="13702" xr:uid="{6E6A2C5A-B750-48CE-B99F-5ECBD5969073}"/>
    <cellStyle name="Normal 4 5 3 8 2" xfId="39194" xr:uid="{8C705580-6CDF-488D-8D2F-8A7A0CF47FBB}"/>
    <cellStyle name="Normal 4 5 3 9" xfId="26603" xr:uid="{C0D5078E-CD14-4CA2-890E-1FEE52C7ECEA}"/>
    <cellStyle name="Normal 4 5 4" xfId="730" xr:uid="{45E35912-B4B6-470A-A2B8-D5DD343CB1EF}"/>
    <cellStyle name="Normal 4 5 4 2" xfId="2037" xr:uid="{9C3BFA10-2CB0-4A78-A9F1-3B879BAB08A3}"/>
    <cellStyle name="Normal 4 5 4 2 2" xfId="5191" xr:uid="{20666804-0724-4303-8EEB-41DE5BDDBB1D}"/>
    <cellStyle name="Normal 4 5 4 2 2 2" xfId="11484" xr:uid="{F7A843F6-E091-44A9-9549-ABB54F48C5AA}"/>
    <cellStyle name="Normal 4 5 4 2 2 2 2" xfId="24166" xr:uid="{0469DA4A-6B1A-4263-B956-C8BA229A494C}"/>
    <cellStyle name="Normal 4 5 4 2 2 2 2 2" xfId="49658" xr:uid="{8A52405C-6BE1-498E-8E8F-86F350302E7A}"/>
    <cellStyle name="Normal 4 5 4 2 2 2 3" xfId="37067" xr:uid="{95D1EF24-1137-45DC-9676-67389A88C187}"/>
    <cellStyle name="Normal 4 5 4 2 2 3" xfId="17888" xr:uid="{49C24DF1-EE0D-4117-BFA7-47AFC2C84AB4}"/>
    <cellStyle name="Normal 4 5 4 2 2 3 2" xfId="43380" xr:uid="{7773086C-5C5C-4493-B028-4D5B75584616}"/>
    <cellStyle name="Normal 4 5 4 2 2 4" xfId="30789" xr:uid="{5D2F7B6A-7564-4741-920D-C55BF0DD520A}"/>
    <cellStyle name="Normal 4 5 4 2 3" xfId="8345" xr:uid="{7F6B0011-56D9-4335-8A18-B6995F7CC9AA}"/>
    <cellStyle name="Normal 4 5 4 2 3 2" xfId="21027" xr:uid="{A5FABDA6-3787-474E-97CB-A2CB90946CE2}"/>
    <cellStyle name="Normal 4 5 4 2 3 2 2" xfId="46519" xr:uid="{23F20321-26FA-44C2-9D4D-C2DDB2471551}"/>
    <cellStyle name="Normal 4 5 4 2 3 3" xfId="33928" xr:uid="{D3374C88-B3C9-41F0-A734-4FD8FB817DB7}"/>
    <cellStyle name="Normal 4 5 4 2 4" xfId="14749" xr:uid="{FEA58CBB-AF5F-490C-BA8A-40B81AA4C890}"/>
    <cellStyle name="Normal 4 5 4 2 4 2" xfId="40241" xr:uid="{E85A2B6C-9F81-4774-881C-098E39C4FF8D}"/>
    <cellStyle name="Normal 4 5 4 2 5" xfId="27650" xr:uid="{6A67929C-D30F-4548-B091-3975DE57F8F3}"/>
    <cellStyle name="Normal 4 5 4 3" xfId="3884" xr:uid="{2ECB979E-B07C-4F23-94D9-4066D5A3933A}"/>
    <cellStyle name="Normal 4 5 4 3 2" xfId="10177" xr:uid="{6B05C370-05D0-4E62-B491-849A57B79582}"/>
    <cellStyle name="Normal 4 5 4 3 2 2" xfId="22859" xr:uid="{CDAEC599-48E8-46B8-8D1E-E7F860D0DCEE}"/>
    <cellStyle name="Normal 4 5 4 3 2 2 2" xfId="48351" xr:uid="{BCA8F295-5C73-4127-A3CB-C69B2FA95DA6}"/>
    <cellStyle name="Normal 4 5 4 3 2 3" xfId="35760" xr:uid="{D8553DF6-A2B7-438E-A669-32A832F4769C}"/>
    <cellStyle name="Normal 4 5 4 3 3" xfId="16581" xr:uid="{E2639BB7-938B-438C-BA8A-BC05ABB0A83D}"/>
    <cellStyle name="Normal 4 5 4 3 3 2" xfId="42073" xr:uid="{02C2F6BA-BB4A-494C-8A6D-6284243CA759}"/>
    <cellStyle name="Normal 4 5 4 3 4" xfId="29482" xr:uid="{77784B5D-0926-46D6-AD1E-BFBF51ABCCD7}"/>
    <cellStyle name="Normal 4 5 4 4" xfId="7038" xr:uid="{93EA83B6-F37E-4EE0-A104-6AA6D1B9EE3F}"/>
    <cellStyle name="Normal 4 5 4 4 2" xfId="19720" xr:uid="{70647AC9-615F-4698-A6C1-CC6C86C7D991}"/>
    <cellStyle name="Normal 4 5 4 4 2 2" xfId="45212" xr:uid="{790F3473-0684-46FF-973C-C3586186735B}"/>
    <cellStyle name="Normal 4 5 4 4 3" xfId="32621" xr:uid="{823DC56D-28D2-4D11-B34C-1D55D13A585A}"/>
    <cellStyle name="Normal 4 5 4 5" xfId="13442" xr:uid="{32D83694-8F73-443D-A836-3E8568A7F77E}"/>
    <cellStyle name="Normal 4 5 4 5 2" xfId="38934" xr:uid="{B1E4A5C9-A8D0-4605-B26B-BBA4F7115901}"/>
    <cellStyle name="Normal 4 5 4 6" xfId="26343" xr:uid="{85FCB832-01C8-411E-BC7B-7206D8F83100}"/>
    <cellStyle name="Normal 4 5 5" xfId="1775" xr:uid="{E2B0768F-E1A9-411A-A164-E91525A42EE7}"/>
    <cellStyle name="Normal 4 5 5 2" xfId="4929" xr:uid="{59B5B3BA-CD47-4CED-8912-04F66173AF46}"/>
    <cellStyle name="Normal 4 5 5 2 2" xfId="11222" xr:uid="{B263B8E6-E5F3-4AC0-88EB-28A3B83AE073}"/>
    <cellStyle name="Normal 4 5 5 2 2 2" xfId="23904" xr:uid="{11AA8ECA-7CFF-4E2F-9283-28B61398CC3C}"/>
    <cellStyle name="Normal 4 5 5 2 2 2 2" xfId="49396" xr:uid="{B6ECE697-7A81-4F07-97A8-E34858D3D504}"/>
    <cellStyle name="Normal 4 5 5 2 2 3" xfId="36805" xr:uid="{94EE721B-6569-4A8C-8F4F-F7D6FDEC5E0D}"/>
    <cellStyle name="Normal 4 5 5 2 3" xfId="17626" xr:uid="{9CE6ED97-86E9-4ECA-9CA3-D3C659D591C5}"/>
    <cellStyle name="Normal 4 5 5 2 3 2" xfId="43118" xr:uid="{7ED13160-257A-4079-856E-E223242F4EB0}"/>
    <cellStyle name="Normal 4 5 5 2 4" xfId="30527" xr:uid="{1F4C7215-B519-46D5-926F-8F9C19BEEB50}"/>
    <cellStyle name="Normal 4 5 5 3" xfId="8083" xr:uid="{8A5FE499-773D-4D06-91DA-C61E3CCA8F7A}"/>
    <cellStyle name="Normal 4 5 5 3 2" xfId="20765" xr:uid="{4EF82BA0-85AB-48FE-81BE-C372B9ACFD2D}"/>
    <cellStyle name="Normal 4 5 5 3 2 2" xfId="46257" xr:uid="{62CC6794-2479-45B6-BFC8-4F1BD562ABFF}"/>
    <cellStyle name="Normal 4 5 5 3 3" xfId="33666" xr:uid="{C1675C81-6DF9-444D-8C27-46D044460C97}"/>
    <cellStyle name="Normal 4 5 5 4" xfId="14487" xr:uid="{9AB69AE7-C352-4370-BBA3-B15B0B915801}"/>
    <cellStyle name="Normal 4 5 5 4 2" xfId="39979" xr:uid="{18C58C96-DED4-4BA9-87F4-D9B8C76E70B9}"/>
    <cellStyle name="Normal 4 5 5 5" xfId="27388" xr:uid="{AB3DC233-E987-4E21-A288-52EB4121E338}"/>
    <cellStyle name="Normal 4 5 6" xfId="1253" xr:uid="{9B00417B-2F3D-46AE-9207-433014F2C3C8}"/>
    <cellStyle name="Normal 4 5 6 2" xfId="4407" xr:uid="{DF0A308F-25BD-4C2B-A5D7-F4B85BADF4C5}"/>
    <cellStyle name="Normal 4 5 6 2 2" xfId="10700" xr:uid="{82FD2333-AA33-48B1-976C-97BD99895BF5}"/>
    <cellStyle name="Normal 4 5 6 2 2 2" xfId="23382" xr:uid="{9D9DABEE-4B08-481C-BC3E-93885291F2E5}"/>
    <cellStyle name="Normal 4 5 6 2 2 2 2" xfId="48874" xr:uid="{76A81373-5B04-4987-B57F-0D4E3F775F0D}"/>
    <cellStyle name="Normal 4 5 6 2 2 3" xfId="36283" xr:uid="{33F037F9-9BA7-435A-984A-D963330D7300}"/>
    <cellStyle name="Normal 4 5 6 2 3" xfId="17104" xr:uid="{8AF1E291-1386-4EC3-88E6-BC3806CE8DC9}"/>
    <cellStyle name="Normal 4 5 6 2 3 2" xfId="42596" xr:uid="{A632827F-A954-4EF2-A0B5-90FD39D51661}"/>
    <cellStyle name="Normal 4 5 6 2 4" xfId="30005" xr:uid="{52E304F8-7CB8-4A7B-AE60-0D1943A7FCF8}"/>
    <cellStyle name="Normal 4 5 6 3" xfId="7561" xr:uid="{DAE7F5C3-22F9-4F6F-BEAD-F45037A4FF60}"/>
    <cellStyle name="Normal 4 5 6 3 2" xfId="20243" xr:uid="{7337BED1-0041-4369-B431-B12D74004CEB}"/>
    <cellStyle name="Normal 4 5 6 3 2 2" xfId="45735" xr:uid="{04D8845F-3C9A-47FE-97B7-C2FB5EA6A347}"/>
    <cellStyle name="Normal 4 5 6 3 3" xfId="33144" xr:uid="{5D389956-FE1F-45B4-8F4B-78535262C680}"/>
    <cellStyle name="Normal 4 5 6 4" xfId="13965" xr:uid="{384374AA-C71D-4860-835B-9BC5702C4C47}"/>
    <cellStyle name="Normal 4 5 6 4 2" xfId="39457" xr:uid="{61BC58D9-8C33-48B7-B55F-7E80411A9FDA}"/>
    <cellStyle name="Normal 4 5 6 5" xfId="26866" xr:uid="{6E8E7C01-DFB7-4E10-8AAB-2AF9ED8824A4}"/>
    <cellStyle name="Normal 4 5 7" xfId="2560" xr:uid="{B3C5F76C-19DE-4F27-A9CB-85C3CD86C8F9}"/>
    <cellStyle name="Normal 4 5 7 2" xfId="5714" xr:uid="{418EFE1F-2FF7-4C87-AB56-3B45A81F078A}"/>
    <cellStyle name="Normal 4 5 7 2 2" xfId="12007" xr:uid="{D8F76F34-3735-45F4-8A22-38FC649B57E4}"/>
    <cellStyle name="Normal 4 5 7 2 2 2" xfId="24689" xr:uid="{D29F9877-C095-4496-8A16-E462D5AC1984}"/>
    <cellStyle name="Normal 4 5 7 2 2 2 2" xfId="50181" xr:uid="{1DF59492-4650-46BE-A21D-FA1DC394CC1E}"/>
    <cellStyle name="Normal 4 5 7 2 2 3" xfId="37590" xr:uid="{56D20E89-3262-4F75-B847-C9BFA68BD41B}"/>
    <cellStyle name="Normal 4 5 7 2 3" xfId="18411" xr:uid="{D1F6747A-8C40-4734-9BAE-D2E71299B4E4}"/>
    <cellStyle name="Normal 4 5 7 2 3 2" xfId="43903" xr:uid="{773C4645-A362-49BA-B643-A30B03C032B9}"/>
    <cellStyle name="Normal 4 5 7 2 4" xfId="31312" xr:uid="{F507DE24-C206-4B99-9A64-33915252D1FA}"/>
    <cellStyle name="Normal 4 5 7 3" xfId="8868" xr:uid="{3D723D50-8FC8-4E41-9914-BDAFE80E490E}"/>
    <cellStyle name="Normal 4 5 7 3 2" xfId="21550" xr:uid="{F3C8D035-1F59-4728-B75A-16AF5C9CF5BE}"/>
    <cellStyle name="Normal 4 5 7 3 2 2" xfId="47042" xr:uid="{7A48F4D7-E1F0-4261-9619-82F885E5F6CF}"/>
    <cellStyle name="Normal 4 5 7 3 3" xfId="34451" xr:uid="{677C0AFA-817E-4664-80DA-2D7A713BDAE9}"/>
    <cellStyle name="Normal 4 5 7 4" xfId="15272" xr:uid="{8072F2C3-AB75-4C49-98B7-8CEC614EDFA5}"/>
    <cellStyle name="Normal 4 5 7 4 2" xfId="40764" xr:uid="{0FCA1EFF-8F18-471D-A891-C6D7C3A9FF38}"/>
    <cellStyle name="Normal 4 5 7 5" xfId="28173" xr:uid="{44E855E0-EF12-4DA3-9CB1-3290C895F2AB}"/>
    <cellStyle name="Normal 4 5 8" xfId="3083" xr:uid="{F530969E-C6C8-4B6C-94FF-FA1544D2B25C}"/>
    <cellStyle name="Normal 4 5 8 2" xfId="6237" xr:uid="{F4FC0FC7-86AF-485D-B1B1-F4353A9C4AF8}"/>
    <cellStyle name="Normal 4 5 8 2 2" xfId="12530" xr:uid="{8B47EE23-5A06-4589-820C-C9BA3A5C7A87}"/>
    <cellStyle name="Normal 4 5 8 2 2 2" xfId="25212" xr:uid="{9BBDA352-0299-46AD-83AE-3E6E0F7DB320}"/>
    <cellStyle name="Normal 4 5 8 2 2 2 2" xfId="50704" xr:uid="{689DB7BB-F6F9-4F14-8643-057213ED1D09}"/>
    <cellStyle name="Normal 4 5 8 2 2 3" xfId="38113" xr:uid="{9F88D11B-6C8F-431E-8271-32028B02DB4B}"/>
    <cellStyle name="Normal 4 5 8 2 3" xfId="18934" xr:uid="{E6C279EB-B68B-43D5-B146-2EDAFD06C3BE}"/>
    <cellStyle name="Normal 4 5 8 2 3 2" xfId="44426" xr:uid="{4FE7078A-2A89-4F20-80B3-32B9AA1ACE7D}"/>
    <cellStyle name="Normal 4 5 8 2 4" xfId="31835" xr:uid="{00570354-19DA-40F0-A3C4-23FA67541AA1}"/>
    <cellStyle name="Normal 4 5 8 3" xfId="9391" xr:uid="{D4247368-CB6F-461C-96D9-2C940409C439}"/>
    <cellStyle name="Normal 4 5 8 3 2" xfId="22073" xr:uid="{EBAE328F-75C0-4C8F-81BB-6E17B27B9CBB}"/>
    <cellStyle name="Normal 4 5 8 3 2 2" xfId="47565" xr:uid="{E6387AB3-339D-4DAF-849F-C04F943CDA65}"/>
    <cellStyle name="Normal 4 5 8 3 3" xfId="34974" xr:uid="{8D2ACDE2-A15D-4C87-999A-A4309A8E71D7}"/>
    <cellStyle name="Normal 4 5 8 4" xfId="15795" xr:uid="{C97D81B9-EFE7-4D1F-B5B1-0901A9719961}"/>
    <cellStyle name="Normal 4 5 8 4 2" xfId="41287" xr:uid="{43EA47C1-F3F1-4B14-B8D1-E603E25A2EE8}"/>
    <cellStyle name="Normal 4 5 8 5" xfId="28696" xr:uid="{AB2422E2-87D1-4C4B-BBB3-30E25FD22D74}"/>
    <cellStyle name="Normal 4 5 9" xfId="3622" xr:uid="{F373209A-4BC3-4221-A1E3-151AFEC559D9}"/>
    <cellStyle name="Normal 4 5 9 2" xfId="9915" xr:uid="{7321A6D4-3BB5-481B-A8E9-EF1655D327E3}"/>
    <cellStyle name="Normal 4 5 9 2 2" xfId="22597" xr:uid="{5DBD57A3-A8E2-484A-B1DB-FF1CB70BF2DB}"/>
    <cellStyle name="Normal 4 5 9 2 2 2" xfId="48089" xr:uid="{381909F8-160F-4053-940B-5DE9E92C1886}"/>
    <cellStyle name="Normal 4 5 9 2 3" xfId="35498" xr:uid="{DC29D0E2-A702-4776-9690-65127A31B8B4}"/>
    <cellStyle name="Normal 4 5 9 3" xfId="16319" xr:uid="{44A22089-70A1-4F43-849D-E9B99C4F5E13}"/>
    <cellStyle name="Normal 4 5 9 3 2" xfId="41811" xr:uid="{BBAF2402-BBE2-42A7-8F85-BE67DFBE0375}"/>
    <cellStyle name="Normal 4 5 9 4" xfId="29220" xr:uid="{B34B4FED-20BC-49A9-B72C-474755101ECB}"/>
    <cellStyle name="Normal 4 6" xfId="570" xr:uid="{ADC82049-E531-4AA4-B39F-28A2FA2DEB7D}"/>
    <cellStyle name="Normal 4 6 10" xfId="13297" xr:uid="{60AA135D-1F55-46DD-99BE-0263253221DB}"/>
    <cellStyle name="Normal 4 6 10 2" xfId="38789" xr:uid="{EB244A00-92E5-47F8-B86E-4E6305AD9E3F}"/>
    <cellStyle name="Normal 4 6 11" xfId="26198" xr:uid="{653517BE-F329-4E56-BCF3-1F89FC7B121F}"/>
    <cellStyle name="Normal 4 6 2" xfId="1107" xr:uid="{7F5A48CB-9572-4BC6-A21A-1BDF4257A25D}"/>
    <cellStyle name="Normal 4 6 2 2" xfId="2414" xr:uid="{75B5FE0D-5F3A-45A3-A555-90A7FBD7B58E}"/>
    <cellStyle name="Normal 4 6 2 2 2" xfId="5568" xr:uid="{827C4CD3-5937-44D1-9023-57F27BED8690}"/>
    <cellStyle name="Normal 4 6 2 2 2 2" xfId="11861" xr:uid="{DB242BD7-A98B-45B9-A92E-0D73FD6D1EB7}"/>
    <cellStyle name="Normal 4 6 2 2 2 2 2" xfId="24543" xr:uid="{7F0B8FE1-CF4E-48AF-991A-5DAD04CE868B}"/>
    <cellStyle name="Normal 4 6 2 2 2 2 2 2" xfId="50035" xr:uid="{D75090A5-9D14-405C-9F59-5AE7A6EB8D87}"/>
    <cellStyle name="Normal 4 6 2 2 2 2 3" xfId="37444" xr:uid="{7CCA211F-984D-4135-A6B9-CA1DB8D3DCC8}"/>
    <cellStyle name="Normal 4 6 2 2 2 3" xfId="18265" xr:uid="{1A630916-9C13-4B65-B19A-5EB48707AE9E}"/>
    <cellStyle name="Normal 4 6 2 2 2 3 2" xfId="43757" xr:uid="{6596E2AD-5112-4513-A99C-51CEF5307939}"/>
    <cellStyle name="Normal 4 6 2 2 2 4" xfId="31166" xr:uid="{FB8BC793-C19B-4C0C-AF08-C3419FDB706D}"/>
    <cellStyle name="Normal 4 6 2 2 3" xfId="8722" xr:uid="{6DA5CDD7-CE48-422F-B093-0730DA500A2E}"/>
    <cellStyle name="Normal 4 6 2 2 3 2" xfId="21404" xr:uid="{7652682F-2E53-49B9-9DF6-CF7C424D8070}"/>
    <cellStyle name="Normal 4 6 2 2 3 2 2" xfId="46896" xr:uid="{D736E62B-1161-4BA6-9046-1CB6DFED13DA}"/>
    <cellStyle name="Normal 4 6 2 2 3 3" xfId="34305" xr:uid="{831CB09C-D2D9-44F5-9D3B-8023C2EB7530}"/>
    <cellStyle name="Normal 4 6 2 2 4" xfId="15126" xr:uid="{434C250B-86B6-4DD4-8EF1-6889A99E6059}"/>
    <cellStyle name="Normal 4 6 2 2 4 2" xfId="40618" xr:uid="{6705529D-8D5F-42E5-B48E-1937818A0148}"/>
    <cellStyle name="Normal 4 6 2 2 5" xfId="28027" xr:uid="{14A40E1E-5C97-44A2-8770-0CB1414E7ED1}"/>
    <cellStyle name="Normal 4 6 2 3" xfId="1631" xr:uid="{F341AC68-1AD3-465F-9470-1F1948C6CB48}"/>
    <cellStyle name="Normal 4 6 2 3 2" xfId="4785" xr:uid="{A4212B9A-C19D-410E-B222-2F792ED0AA2C}"/>
    <cellStyle name="Normal 4 6 2 3 2 2" xfId="11078" xr:uid="{9A223E30-E3CE-4ECD-A45B-524FA912B150}"/>
    <cellStyle name="Normal 4 6 2 3 2 2 2" xfId="23760" xr:uid="{D8B7D93C-2783-408E-922B-CB47DAC6200C}"/>
    <cellStyle name="Normal 4 6 2 3 2 2 2 2" xfId="49252" xr:uid="{B360069A-E858-40E0-ABEA-C22BE1F9B8E6}"/>
    <cellStyle name="Normal 4 6 2 3 2 2 3" xfId="36661" xr:uid="{4A80879E-BA24-4E16-974E-30E0AFA01AB0}"/>
    <cellStyle name="Normal 4 6 2 3 2 3" xfId="17482" xr:uid="{82EFE19B-34CD-44DA-AEC2-E1ED1DF8E9CA}"/>
    <cellStyle name="Normal 4 6 2 3 2 3 2" xfId="42974" xr:uid="{0FC95A3C-F091-4D40-99A9-42B3CDF4EAD4}"/>
    <cellStyle name="Normal 4 6 2 3 2 4" xfId="30383" xr:uid="{FE5207E3-90F3-4D06-AE37-2EE17C7E05E1}"/>
    <cellStyle name="Normal 4 6 2 3 3" xfId="7939" xr:uid="{B075C4C8-9E32-4E0D-8F77-B221EC25FB4B}"/>
    <cellStyle name="Normal 4 6 2 3 3 2" xfId="20621" xr:uid="{47D56FEE-3D23-45C9-BD91-B073AD64A9F2}"/>
    <cellStyle name="Normal 4 6 2 3 3 2 2" xfId="46113" xr:uid="{B1C30548-410D-45F4-A847-A8937C18CF2C}"/>
    <cellStyle name="Normal 4 6 2 3 3 3" xfId="33522" xr:uid="{F731C7B7-274A-466C-B32D-312BBCB33311}"/>
    <cellStyle name="Normal 4 6 2 3 4" xfId="14343" xr:uid="{FC50B95C-BB0F-4E1E-8126-146280234E48}"/>
    <cellStyle name="Normal 4 6 2 3 4 2" xfId="39835" xr:uid="{E9BE126E-9B40-4740-91C5-5D7E426C3B0C}"/>
    <cellStyle name="Normal 4 6 2 3 5" xfId="27244" xr:uid="{A3B3F31A-736D-4C41-9881-BDF2F2E56115}"/>
    <cellStyle name="Normal 4 6 2 4" xfId="2938" xr:uid="{D1B7F116-C74A-4AC0-A16E-C6443CFE1CFF}"/>
    <cellStyle name="Normal 4 6 2 4 2" xfId="6092" xr:uid="{CF41B2EB-C41D-4C2A-9EF6-23B7C363E204}"/>
    <cellStyle name="Normal 4 6 2 4 2 2" xfId="12385" xr:uid="{8302119C-8A12-4ABC-AEFE-B330E467FDA1}"/>
    <cellStyle name="Normal 4 6 2 4 2 2 2" xfId="25067" xr:uid="{8B182474-C4E6-4038-B5F6-1D76A08C7200}"/>
    <cellStyle name="Normal 4 6 2 4 2 2 2 2" xfId="50559" xr:uid="{27FE07E9-995C-4FBB-B41B-00DB15947D79}"/>
    <cellStyle name="Normal 4 6 2 4 2 2 3" xfId="37968" xr:uid="{03F009AD-482D-4449-9EDD-AFA2FB5BE730}"/>
    <cellStyle name="Normal 4 6 2 4 2 3" xfId="18789" xr:uid="{E3FB4E16-305A-46A5-9E28-64C2F6DC426E}"/>
    <cellStyle name="Normal 4 6 2 4 2 3 2" xfId="44281" xr:uid="{B296F8DC-298B-4A75-A799-E2647D6A3474}"/>
    <cellStyle name="Normal 4 6 2 4 2 4" xfId="31690" xr:uid="{0ED1D18C-857C-4C4A-BDC5-838B4A07444E}"/>
    <cellStyle name="Normal 4 6 2 4 3" xfId="9246" xr:uid="{671168AB-83F6-4BE8-8729-C782C1383AB2}"/>
    <cellStyle name="Normal 4 6 2 4 3 2" xfId="21928" xr:uid="{20D733B7-4C7A-4928-A23A-495F3925CF5B}"/>
    <cellStyle name="Normal 4 6 2 4 3 2 2" xfId="47420" xr:uid="{08B1B906-64E4-43E8-BD76-2644587CCB1D}"/>
    <cellStyle name="Normal 4 6 2 4 3 3" xfId="34829" xr:uid="{37034B30-3228-43C0-A6E5-9B27700D1439}"/>
    <cellStyle name="Normal 4 6 2 4 4" xfId="15650" xr:uid="{19EE7E26-BB1D-40F6-AD4E-15D390328491}"/>
    <cellStyle name="Normal 4 6 2 4 4 2" xfId="41142" xr:uid="{5F9D6604-1CB1-4444-A762-80B1A10A9361}"/>
    <cellStyle name="Normal 4 6 2 4 5" xfId="28551" xr:uid="{1ED81D0A-61E9-4EEC-9129-6B4D8F02AF0A}"/>
    <cellStyle name="Normal 4 6 2 5" xfId="3461" xr:uid="{587B73DE-DD1A-44F6-83E7-1F082190F002}"/>
    <cellStyle name="Normal 4 6 2 5 2" xfId="6615" xr:uid="{9FA795D7-DE17-447D-A5C3-0B2A5DEDFC24}"/>
    <cellStyle name="Normal 4 6 2 5 2 2" xfId="12908" xr:uid="{53230AFB-BD77-4405-A4B6-3527B7C85AC0}"/>
    <cellStyle name="Normal 4 6 2 5 2 2 2" xfId="25590" xr:uid="{793FCED5-B389-4FA2-99D6-2B6D9814EE81}"/>
    <cellStyle name="Normal 4 6 2 5 2 2 2 2" xfId="51082" xr:uid="{82466434-3AE8-4389-BC46-436D0191378C}"/>
    <cellStyle name="Normal 4 6 2 5 2 2 3" xfId="38491" xr:uid="{9B2B7EF2-79F6-464E-B764-D39F7E9CA1EE}"/>
    <cellStyle name="Normal 4 6 2 5 2 3" xfId="19312" xr:uid="{9B759884-53D8-4CD8-A98A-21AFD3010C2C}"/>
    <cellStyle name="Normal 4 6 2 5 2 3 2" xfId="44804" xr:uid="{DB33A4EC-6CCB-47F3-BA32-6EDF05D7EC5D}"/>
    <cellStyle name="Normal 4 6 2 5 2 4" xfId="32213" xr:uid="{07E1FF88-6810-41E6-A666-953968CE5303}"/>
    <cellStyle name="Normal 4 6 2 5 3" xfId="9769" xr:uid="{5B027227-E709-46E9-A3BF-2479311C8098}"/>
    <cellStyle name="Normal 4 6 2 5 3 2" xfId="22451" xr:uid="{70726B08-3B76-4271-B579-CCC4B237C6A1}"/>
    <cellStyle name="Normal 4 6 2 5 3 2 2" xfId="47943" xr:uid="{C9662012-EA0E-424A-BDF0-2240CDB9CAF3}"/>
    <cellStyle name="Normal 4 6 2 5 3 3" xfId="35352" xr:uid="{23981853-6BD4-4FB8-91F3-092CF54499B0}"/>
    <cellStyle name="Normal 4 6 2 5 4" xfId="16173" xr:uid="{F8C79BF7-D66A-4CC5-94D4-3682BD04D12C}"/>
    <cellStyle name="Normal 4 6 2 5 4 2" xfId="41665" xr:uid="{E64D1526-4BDC-42F0-A11D-1A6C5FFC1B93}"/>
    <cellStyle name="Normal 4 6 2 5 5" xfId="29074" xr:uid="{63420A80-5025-4F64-A16F-0DAE21790990}"/>
    <cellStyle name="Normal 4 6 2 6" xfId="4261" xr:uid="{D6021F67-9FBD-4BAD-9F32-7820E80EE347}"/>
    <cellStyle name="Normal 4 6 2 6 2" xfId="10554" xr:uid="{A0CB52A2-BE36-4540-A198-290DE9887B46}"/>
    <cellStyle name="Normal 4 6 2 6 2 2" xfId="23236" xr:uid="{A462BEF3-1884-486F-8B0B-B2DB25F5C5EA}"/>
    <cellStyle name="Normal 4 6 2 6 2 2 2" xfId="48728" xr:uid="{67F26469-B642-4601-8932-BD9798C08AF9}"/>
    <cellStyle name="Normal 4 6 2 6 2 3" xfId="36137" xr:uid="{59080B27-C7C6-4880-B5DF-40D522F35EA9}"/>
    <cellStyle name="Normal 4 6 2 6 3" xfId="16958" xr:uid="{22B4F83D-15CB-407E-8DA2-580739F8F1CF}"/>
    <cellStyle name="Normal 4 6 2 6 3 2" xfId="42450" xr:uid="{1275382D-3C35-495F-921D-2F8D0FFB64BE}"/>
    <cellStyle name="Normal 4 6 2 6 4" xfId="29859" xr:uid="{5160744C-9440-4B46-BDC3-8230A7B8026F}"/>
    <cellStyle name="Normal 4 6 2 7" xfId="7415" xr:uid="{D989A301-EE86-48C5-B46E-44932DA67DC7}"/>
    <cellStyle name="Normal 4 6 2 7 2" xfId="20097" xr:uid="{3DE859A1-48CE-40A4-BE0A-B62297256BA9}"/>
    <cellStyle name="Normal 4 6 2 7 2 2" xfId="45589" xr:uid="{BD7CD496-969C-4FA6-8197-92BCADB1963A}"/>
    <cellStyle name="Normal 4 6 2 7 3" xfId="32998" xr:uid="{892BE0CF-910B-42E3-B520-223FDE9CF2BC}"/>
    <cellStyle name="Normal 4 6 2 8" xfId="13819" xr:uid="{D735CB0F-E0A1-426F-B63F-5D061327D4C4}"/>
    <cellStyle name="Normal 4 6 2 8 2" xfId="39311" xr:uid="{544549BC-DB65-4D79-9925-FF7D2D96E37D}"/>
    <cellStyle name="Normal 4 6 2 9" xfId="26720" xr:uid="{F6AD7EEB-50F7-49A2-A467-352241F6893B}"/>
    <cellStyle name="Normal 4 6 3" xfId="847" xr:uid="{5A3430F9-FB59-4B56-90FE-E7A177C12003}"/>
    <cellStyle name="Normal 4 6 3 2" xfId="2154" xr:uid="{40EB7C20-CCD8-430D-9B96-0136E5742A7C}"/>
    <cellStyle name="Normal 4 6 3 2 2" xfId="5308" xr:uid="{02E61736-E0E2-4216-AA05-BA541F3A0185}"/>
    <cellStyle name="Normal 4 6 3 2 2 2" xfId="11601" xr:uid="{1635177E-4FE1-49AF-B6B8-C85EEED6B10C}"/>
    <cellStyle name="Normal 4 6 3 2 2 2 2" xfId="24283" xr:uid="{21D08F90-14BC-4833-90B9-AA1952BC832F}"/>
    <cellStyle name="Normal 4 6 3 2 2 2 2 2" xfId="49775" xr:uid="{01A6CDDD-5E26-4977-B6D9-38DF8E05DCDB}"/>
    <cellStyle name="Normal 4 6 3 2 2 2 3" xfId="37184" xr:uid="{0EE40D39-8298-44CA-9304-3B286C0A92DD}"/>
    <cellStyle name="Normal 4 6 3 2 2 3" xfId="18005" xr:uid="{ACE9F492-502E-4ADB-9AC8-46B78BC4F114}"/>
    <cellStyle name="Normal 4 6 3 2 2 3 2" xfId="43497" xr:uid="{70203B22-9FA2-4E9D-B3DC-A3061767098A}"/>
    <cellStyle name="Normal 4 6 3 2 2 4" xfId="30906" xr:uid="{07980732-7FA4-431C-A4FE-42D974840DB6}"/>
    <cellStyle name="Normal 4 6 3 2 3" xfId="8462" xr:uid="{B57F3FAC-47A1-41F6-965B-AE93832E6951}"/>
    <cellStyle name="Normal 4 6 3 2 3 2" xfId="21144" xr:uid="{BE3077B6-5E41-43A2-A77E-B4F0CABFB0D7}"/>
    <cellStyle name="Normal 4 6 3 2 3 2 2" xfId="46636" xr:uid="{DE2B95AE-60BD-40EC-A834-F7BDD40C04B8}"/>
    <cellStyle name="Normal 4 6 3 2 3 3" xfId="34045" xr:uid="{144C1FCE-2C16-4F78-8243-1FB89BF79B6A}"/>
    <cellStyle name="Normal 4 6 3 2 4" xfId="14866" xr:uid="{DBAF1DBD-3CC4-4F72-9CC7-7EC664CDB547}"/>
    <cellStyle name="Normal 4 6 3 2 4 2" xfId="40358" xr:uid="{7F7DB9A4-1925-448C-8BCF-E1B7F19200B1}"/>
    <cellStyle name="Normal 4 6 3 2 5" xfId="27767" xr:uid="{CBFF69E1-CDEB-48B0-9F32-1D500CED198D}"/>
    <cellStyle name="Normal 4 6 3 3" xfId="4001" xr:uid="{1BB144A0-C3CB-458E-960F-186D05102B96}"/>
    <cellStyle name="Normal 4 6 3 3 2" xfId="10294" xr:uid="{8493F4A9-8090-4D5F-AE1F-03CA44E22EA7}"/>
    <cellStyle name="Normal 4 6 3 3 2 2" xfId="22976" xr:uid="{E9BDD0F9-7760-4BF9-8FA8-050E278A4035}"/>
    <cellStyle name="Normal 4 6 3 3 2 2 2" xfId="48468" xr:uid="{06D76606-98AC-4A34-B2D8-3CF11BB72213}"/>
    <cellStyle name="Normal 4 6 3 3 2 3" xfId="35877" xr:uid="{BC0E8F1C-50C1-4809-B218-27D102981333}"/>
    <cellStyle name="Normal 4 6 3 3 3" xfId="16698" xr:uid="{656ED2EB-51DF-4681-81E6-E6EB87DFFE80}"/>
    <cellStyle name="Normal 4 6 3 3 3 2" xfId="42190" xr:uid="{7918407D-8BAE-4BB7-9352-BE03F0F10BD1}"/>
    <cellStyle name="Normal 4 6 3 3 4" xfId="29599" xr:uid="{E7F159B3-914D-495B-AD17-C48B3E523601}"/>
    <cellStyle name="Normal 4 6 3 4" xfId="7155" xr:uid="{2C69F4F8-C0B3-4ED9-8A11-20E25D1D0E60}"/>
    <cellStyle name="Normal 4 6 3 4 2" xfId="19837" xr:uid="{C7DF9420-E888-49C1-A4C5-351F0DA8017B}"/>
    <cellStyle name="Normal 4 6 3 4 2 2" xfId="45329" xr:uid="{C5C229D6-4EED-490D-A894-CBC98262C35C}"/>
    <cellStyle name="Normal 4 6 3 4 3" xfId="32738" xr:uid="{4A49C3D6-AB56-4B3B-8EAA-D16A29956B26}"/>
    <cellStyle name="Normal 4 6 3 5" xfId="13559" xr:uid="{18E1E86E-96F1-4A9C-AAF8-5B73FE40A3BA}"/>
    <cellStyle name="Normal 4 6 3 5 2" xfId="39051" xr:uid="{209F0C9B-64FA-4FEF-88F2-1C70B1BC929B}"/>
    <cellStyle name="Normal 4 6 3 6" xfId="26460" xr:uid="{0E98125E-6FAC-4ABA-8510-A5DAFA91F2BE}"/>
    <cellStyle name="Normal 4 6 4" xfId="1892" xr:uid="{0B6ACDFB-65DE-4427-8787-A1FE5CEB743E}"/>
    <cellStyle name="Normal 4 6 4 2" xfId="5046" xr:uid="{93F375F9-18AF-4489-9595-256C26B09EAB}"/>
    <cellStyle name="Normal 4 6 4 2 2" xfId="11339" xr:uid="{F09336BB-B450-48A7-8B24-F2A2DA59B127}"/>
    <cellStyle name="Normal 4 6 4 2 2 2" xfId="24021" xr:uid="{004EB086-4F6A-4903-A59F-9BD7275EAAF4}"/>
    <cellStyle name="Normal 4 6 4 2 2 2 2" xfId="49513" xr:uid="{596DB923-A4D7-48B2-91F3-1F5B554800B6}"/>
    <cellStyle name="Normal 4 6 4 2 2 3" xfId="36922" xr:uid="{1721A3C5-FA30-4026-9723-62E6EA5B3881}"/>
    <cellStyle name="Normal 4 6 4 2 3" xfId="17743" xr:uid="{B1B883D3-98BE-480D-B596-DE001AD3DEA8}"/>
    <cellStyle name="Normal 4 6 4 2 3 2" xfId="43235" xr:uid="{E6449B7D-0129-481A-9630-538B601D3DE8}"/>
    <cellStyle name="Normal 4 6 4 2 4" xfId="30644" xr:uid="{B2D648A6-D531-4546-8ACE-D2A605712FB8}"/>
    <cellStyle name="Normal 4 6 4 3" xfId="8200" xr:uid="{4CB29CAB-F774-42F0-A12E-A2FD14B5DC43}"/>
    <cellStyle name="Normal 4 6 4 3 2" xfId="20882" xr:uid="{AD044EFA-7E6E-4983-AED3-C7F7D920D68C}"/>
    <cellStyle name="Normal 4 6 4 3 2 2" xfId="46374" xr:uid="{F1D71D59-231F-46A8-940F-FCE42FAE1D96}"/>
    <cellStyle name="Normal 4 6 4 3 3" xfId="33783" xr:uid="{65CC6CE9-FC92-4052-A4EA-6952C0D6F035}"/>
    <cellStyle name="Normal 4 6 4 4" xfId="14604" xr:uid="{6137C82B-768D-4638-B4ED-11AC12528C48}"/>
    <cellStyle name="Normal 4 6 4 4 2" xfId="40096" xr:uid="{FA1DF157-D963-4000-B45D-CB8707471027}"/>
    <cellStyle name="Normal 4 6 4 5" xfId="27505" xr:uid="{DA699F70-1BDF-4D7D-9F64-19AFC3CF6F56}"/>
    <cellStyle name="Normal 4 6 5" xfId="1370" xr:uid="{029FDA27-57F8-4636-95D8-DBCEFD22F165}"/>
    <cellStyle name="Normal 4 6 5 2" xfId="4524" xr:uid="{1A8BBFE6-EB5A-48BE-9342-3D0D7BFBB9D9}"/>
    <cellStyle name="Normal 4 6 5 2 2" xfId="10817" xr:uid="{960D9FC9-CE29-4647-B45B-C0B50F340F59}"/>
    <cellStyle name="Normal 4 6 5 2 2 2" xfId="23499" xr:uid="{DFB8D5B2-C2BF-4B7D-B110-275FDC2A4D21}"/>
    <cellStyle name="Normal 4 6 5 2 2 2 2" xfId="48991" xr:uid="{EE7902EB-1D4A-4B8A-95B8-594F2A62AEAE}"/>
    <cellStyle name="Normal 4 6 5 2 2 3" xfId="36400" xr:uid="{C971B1C5-B44D-4D4A-8FB0-6130173A7A27}"/>
    <cellStyle name="Normal 4 6 5 2 3" xfId="17221" xr:uid="{4A9D780D-6FC2-4436-942D-867C28AF1C51}"/>
    <cellStyle name="Normal 4 6 5 2 3 2" xfId="42713" xr:uid="{8F82E72D-B5F6-43CD-88AE-9BE0B531486E}"/>
    <cellStyle name="Normal 4 6 5 2 4" xfId="30122" xr:uid="{259C6FDD-5D74-4A63-9DA2-BE75E83FE643}"/>
    <cellStyle name="Normal 4 6 5 3" xfId="7678" xr:uid="{B5849611-ED72-42DE-86D5-6E6A82573B31}"/>
    <cellStyle name="Normal 4 6 5 3 2" xfId="20360" xr:uid="{FF8D711D-CF29-4B93-B61E-5338050DC29C}"/>
    <cellStyle name="Normal 4 6 5 3 2 2" xfId="45852" xr:uid="{870708AD-1535-4FD2-8287-0AE324C30B2B}"/>
    <cellStyle name="Normal 4 6 5 3 3" xfId="33261" xr:uid="{568AD262-1BE0-4E02-B7EC-B49A292621D4}"/>
    <cellStyle name="Normal 4 6 5 4" xfId="14082" xr:uid="{6FC8E73C-2417-4E75-A63B-1818E659E696}"/>
    <cellStyle name="Normal 4 6 5 4 2" xfId="39574" xr:uid="{FF84148B-EEE3-4456-97D6-B1C7EAA92B58}"/>
    <cellStyle name="Normal 4 6 5 5" xfId="26983" xr:uid="{C8C1F9DE-EA03-426F-8C4A-BDC4CE32F04A}"/>
    <cellStyle name="Normal 4 6 6" xfId="2677" xr:uid="{F2ADDE4F-431A-45A2-B99C-40D161A529CE}"/>
    <cellStyle name="Normal 4 6 6 2" xfId="5831" xr:uid="{869AC7A3-8F6C-4B5B-B461-0A4D68D36FC4}"/>
    <cellStyle name="Normal 4 6 6 2 2" xfId="12124" xr:uid="{473C97D3-4FC3-481A-96DA-0679AC34BEB4}"/>
    <cellStyle name="Normal 4 6 6 2 2 2" xfId="24806" xr:uid="{7B5E7443-7253-4A8E-A498-96B808AD0C27}"/>
    <cellStyle name="Normal 4 6 6 2 2 2 2" xfId="50298" xr:uid="{BE25513F-2D65-457D-B0E4-B68BC72C6A1F}"/>
    <cellStyle name="Normal 4 6 6 2 2 3" xfId="37707" xr:uid="{3EF523C2-F263-4ACF-8B9C-25ACF48CA511}"/>
    <cellStyle name="Normal 4 6 6 2 3" xfId="18528" xr:uid="{F230CA21-DF26-48E7-842C-6B387F00C380}"/>
    <cellStyle name="Normal 4 6 6 2 3 2" xfId="44020" xr:uid="{5A164A92-F275-427F-9E18-C5981549B5EF}"/>
    <cellStyle name="Normal 4 6 6 2 4" xfId="31429" xr:uid="{ACBF7AFF-A43C-4EC3-ACFE-BED7E24B5B12}"/>
    <cellStyle name="Normal 4 6 6 3" xfId="8985" xr:uid="{E1FB1A25-EE19-424E-A628-AAC225CFBB37}"/>
    <cellStyle name="Normal 4 6 6 3 2" xfId="21667" xr:uid="{9A68F12D-58D9-46EC-A3B3-418FAB689FCE}"/>
    <cellStyle name="Normal 4 6 6 3 2 2" xfId="47159" xr:uid="{F92701A1-0ABD-4D13-96BA-1065CC5E89A7}"/>
    <cellStyle name="Normal 4 6 6 3 3" xfId="34568" xr:uid="{C5BF9737-EA06-4D8F-BA6C-C3F5005D907B}"/>
    <cellStyle name="Normal 4 6 6 4" xfId="15389" xr:uid="{7179B904-FF20-4A76-8206-AF4EDAB78A95}"/>
    <cellStyle name="Normal 4 6 6 4 2" xfId="40881" xr:uid="{84F91FFD-A991-421C-B15C-BB4EBD78B416}"/>
    <cellStyle name="Normal 4 6 6 5" xfId="28290" xr:uid="{C0C2E9FA-7BEF-43F8-9F6E-C33BAE5F17FE}"/>
    <cellStyle name="Normal 4 6 7" xfId="3200" xr:uid="{542A43D8-E05C-4474-804A-B8E9603FAF28}"/>
    <cellStyle name="Normal 4 6 7 2" xfId="6354" xr:uid="{3BF6FBBB-6B24-4B41-9E6A-6FD1884CA61D}"/>
    <cellStyle name="Normal 4 6 7 2 2" xfId="12647" xr:uid="{0904C10A-BF6B-4321-84C6-E620BB290C42}"/>
    <cellStyle name="Normal 4 6 7 2 2 2" xfId="25329" xr:uid="{38BDDFB4-42DF-4C85-8D93-B080BF945DF4}"/>
    <cellStyle name="Normal 4 6 7 2 2 2 2" xfId="50821" xr:uid="{5CFF7BA8-A2C3-44BE-9435-B5C814CD9D5E}"/>
    <cellStyle name="Normal 4 6 7 2 2 3" xfId="38230" xr:uid="{6A8D0A72-14D6-4284-944A-F7484487ECF7}"/>
    <cellStyle name="Normal 4 6 7 2 3" xfId="19051" xr:uid="{3A534CDB-204D-4F37-AF8C-04439B3D8C53}"/>
    <cellStyle name="Normal 4 6 7 2 3 2" xfId="44543" xr:uid="{13DEF37D-05EE-4C07-B171-36E3EB4DADE7}"/>
    <cellStyle name="Normal 4 6 7 2 4" xfId="31952" xr:uid="{995AA8C0-56CD-4159-BF28-39C36A8914D1}"/>
    <cellStyle name="Normal 4 6 7 3" xfId="9508" xr:uid="{0F0DBF1C-D2F0-4CB5-B12D-006AB0D432C4}"/>
    <cellStyle name="Normal 4 6 7 3 2" xfId="22190" xr:uid="{0FED688A-D2C1-4B10-B653-F55873574058}"/>
    <cellStyle name="Normal 4 6 7 3 2 2" xfId="47682" xr:uid="{00A82788-A2DB-4519-A706-7F700BFAAED3}"/>
    <cellStyle name="Normal 4 6 7 3 3" xfId="35091" xr:uid="{D07A2EFB-3787-4998-99D0-3A28BC9B12E2}"/>
    <cellStyle name="Normal 4 6 7 4" xfId="15912" xr:uid="{E7E41EF6-D133-459A-87DA-6E3C7E542FE9}"/>
    <cellStyle name="Normal 4 6 7 4 2" xfId="41404" xr:uid="{C4BEA424-70F9-4E10-9995-F5EE54E8C5C9}"/>
    <cellStyle name="Normal 4 6 7 5" xfId="28813" xr:uid="{A1FB9BB7-589A-4476-A2AA-7A215D38CEE0}"/>
    <cellStyle name="Normal 4 6 8" xfId="3739" xr:uid="{56051E3C-E9E9-4C15-B155-E978F631D203}"/>
    <cellStyle name="Normal 4 6 8 2" xfId="10032" xr:uid="{F7D6C0F3-1AD8-4909-B3DB-41789EFCE630}"/>
    <cellStyle name="Normal 4 6 8 2 2" xfId="22714" xr:uid="{DC8A5682-BCDA-4DBB-8D53-0FC1FB219BD1}"/>
    <cellStyle name="Normal 4 6 8 2 2 2" xfId="48206" xr:uid="{E8EC7000-4467-47B6-91E5-B8A7D8AB0E4D}"/>
    <cellStyle name="Normal 4 6 8 2 3" xfId="35615" xr:uid="{04476452-4DEC-4844-8264-D49FFE2DAFCA}"/>
    <cellStyle name="Normal 4 6 8 3" xfId="16436" xr:uid="{E71D0712-DADD-47CC-A587-E24E2B3A3313}"/>
    <cellStyle name="Normal 4 6 8 3 2" xfId="41928" xr:uid="{403A3375-0F08-42D2-9DE7-1D2870662C26}"/>
    <cellStyle name="Normal 4 6 8 4" xfId="29337" xr:uid="{D05F6417-D8A6-41C3-BA96-483EC29A34BF}"/>
    <cellStyle name="Normal 4 6 9" xfId="6893" xr:uid="{67B0A00E-E93D-41C9-8A69-FFA90E1CF30B}"/>
    <cellStyle name="Normal 4 6 9 2" xfId="19575" xr:uid="{7940FCA1-D151-47A5-9592-CF8C468C9F19}"/>
    <cellStyle name="Normal 4 6 9 2 2" xfId="45067" xr:uid="{56DFD36D-5DA6-4A01-AA23-1238005B9C8D}"/>
    <cellStyle name="Normal 4 6 9 3" xfId="32476" xr:uid="{67AE53B3-A6F2-4481-87F8-9CE8C6EC8AF2}"/>
    <cellStyle name="Normal 4 7" xfId="512" xr:uid="{330B82E1-A2F6-447E-82B4-BFD4696ABFFF}"/>
    <cellStyle name="Normal 4 7 10" xfId="13239" xr:uid="{428B0BF1-72E9-4075-9BFB-D2F55015EEF8}"/>
    <cellStyle name="Normal 4 7 10 2" xfId="38731" xr:uid="{13738F3B-4805-4700-BDA2-FBD4E07C7108}"/>
    <cellStyle name="Normal 4 7 11" xfId="26140" xr:uid="{0A75D87D-11D4-48BA-8262-3B204C010BF9}"/>
    <cellStyle name="Normal 4 7 2" xfId="1049" xr:uid="{8804D9B9-4B1F-49F1-9C1C-D46E16FE27F1}"/>
    <cellStyle name="Normal 4 7 2 2" xfId="2356" xr:uid="{3E0D4C42-2E35-4AD6-887D-E1B607847182}"/>
    <cellStyle name="Normal 4 7 2 2 2" xfId="5510" xr:uid="{555D0FDC-AFC7-4A92-86FD-3C37F048088D}"/>
    <cellStyle name="Normal 4 7 2 2 2 2" xfId="11803" xr:uid="{334D0157-55C0-4856-9F26-D9D0BD82A614}"/>
    <cellStyle name="Normal 4 7 2 2 2 2 2" xfId="24485" xr:uid="{88BD85C3-6338-4205-A2C1-678136EA92AB}"/>
    <cellStyle name="Normal 4 7 2 2 2 2 2 2" xfId="49977" xr:uid="{EC1793EA-75C1-43B3-9B08-B717BEFA64E7}"/>
    <cellStyle name="Normal 4 7 2 2 2 2 3" xfId="37386" xr:uid="{F542325F-3A76-4B19-AE81-B3D0A3735FD5}"/>
    <cellStyle name="Normal 4 7 2 2 2 3" xfId="18207" xr:uid="{D95F6165-4164-457F-A447-141A7D056850}"/>
    <cellStyle name="Normal 4 7 2 2 2 3 2" xfId="43699" xr:uid="{08AA26F0-4CC0-4981-BBD1-34C84044FD3D}"/>
    <cellStyle name="Normal 4 7 2 2 2 4" xfId="31108" xr:uid="{EB4D8F05-9AF6-40BF-B495-BEEB3CE6D77E}"/>
    <cellStyle name="Normal 4 7 2 2 3" xfId="8664" xr:uid="{AE1A2269-0646-4D36-8F9B-F25A302281FC}"/>
    <cellStyle name="Normal 4 7 2 2 3 2" xfId="21346" xr:uid="{E5BCB3F4-7563-41FD-9D77-566F382F15E9}"/>
    <cellStyle name="Normal 4 7 2 2 3 2 2" xfId="46838" xr:uid="{509E43AA-945B-4296-AB69-DEE04A4714B1}"/>
    <cellStyle name="Normal 4 7 2 2 3 3" xfId="34247" xr:uid="{7121EEA9-298E-4D46-B63E-DB5665A94016}"/>
    <cellStyle name="Normal 4 7 2 2 4" xfId="15068" xr:uid="{13C0B131-2A21-473F-A5C0-CEA3C7CB322E}"/>
    <cellStyle name="Normal 4 7 2 2 4 2" xfId="40560" xr:uid="{90294515-7865-4159-A1B4-653046C34A8C}"/>
    <cellStyle name="Normal 4 7 2 2 5" xfId="27969" xr:uid="{9DC9F127-A639-4026-AF08-D559BBC5DF71}"/>
    <cellStyle name="Normal 4 7 2 3" xfId="1573" xr:uid="{38188918-1710-4288-AA6B-54F63B90EBFE}"/>
    <cellStyle name="Normal 4 7 2 3 2" xfId="4727" xr:uid="{F3727E48-D116-4125-966E-2320BB94A23C}"/>
    <cellStyle name="Normal 4 7 2 3 2 2" xfId="11020" xr:uid="{1C16D792-4A95-41D4-9397-ADC969E3EC20}"/>
    <cellStyle name="Normal 4 7 2 3 2 2 2" xfId="23702" xr:uid="{BD02794C-6B68-4349-A4BB-E30D9CE76D6E}"/>
    <cellStyle name="Normal 4 7 2 3 2 2 2 2" xfId="49194" xr:uid="{A2DEE0EC-A9F2-43B1-A141-6DBD029292E2}"/>
    <cellStyle name="Normal 4 7 2 3 2 2 3" xfId="36603" xr:uid="{9AC9A687-6145-44B3-9302-9C917655BC85}"/>
    <cellStyle name="Normal 4 7 2 3 2 3" xfId="17424" xr:uid="{ADF83B50-1AA7-4DDC-A4CD-DAC9156573F5}"/>
    <cellStyle name="Normal 4 7 2 3 2 3 2" xfId="42916" xr:uid="{E2F7633B-AF51-4A8E-9299-E07C03D2DB75}"/>
    <cellStyle name="Normal 4 7 2 3 2 4" xfId="30325" xr:uid="{0A50083D-903D-4BED-ADE0-E5ECB6A9DFFC}"/>
    <cellStyle name="Normal 4 7 2 3 3" xfId="7881" xr:uid="{C770455E-AB08-4E78-A736-7165DB55B8F4}"/>
    <cellStyle name="Normal 4 7 2 3 3 2" xfId="20563" xr:uid="{B84DF02F-80D7-4464-8CFD-EF539540151F}"/>
    <cellStyle name="Normal 4 7 2 3 3 2 2" xfId="46055" xr:uid="{0D56C346-32AA-4A25-B2AB-C9014BFEECE4}"/>
    <cellStyle name="Normal 4 7 2 3 3 3" xfId="33464" xr:uid="{8C549099-334D-4081-8D72-A78E237437E4}"/>
    <cellStyle name="Normal 4 7 2 3 4" xfId="14285" xr:uid="{701FC391-D0BD-483F-94D6-B5F0FA2AC3EA}"/>
    <cellStyle name="Normal 4 7 2 3 4 2" xfId="39777" xr:uid="{FC66DD5F-E39C-4B27-BBA9-8CDAF7E297A2}"/>
    <cellStyle name="Normal 4 7 2 3 5" xfId="27186" xr:uid="{43E71541-1322-4BA2-891B-E54B18870BD4}"/>
    <cellStyle name="Normal 4 7 2 4" xfId="2880" xr:uid="{0DD8CD87-C348-4E92-8D83-940773142032}"/>
    <cellStyle name="Normal 4 7 2 4 2" xfId="6034" xr:uid="{EBD40AB5-139C-45ED-A13A-19C7AFB3DA47}"/>
    <cellStyle name="Normal 4 7 2 4 2 2" xfId="12327" xr:uid="{BC943847-DBD6-4FD0-839A-054891B90CBC}"/>
    <cellStyle name="Normal 4 7 2 4 2 2 2" xfId="25009" xr:uid="{276A0D63-139F-47A9-A235-C46F91197DF6}"/>
    <cellStyle name="Normal 4 7 2 4 2 2 2 2" xfId="50501" xr:uid="{830066E7-7DAE-43BD-88E7-1F1E35745C00}"/>
    <cellStyle name="Normal 4 7 2 4 2 2 3" xfId="37910" xr:uid="{A964E310-91E4-4AE9-B3EF-574574271954}"/>
    <cellStyle name="Normal 4 7 2 4 2 3" xfId="18731" xr:uid="{B20E4A0C-26A8-4FF2-90D6-816AC8C4217A}"/>
    <cellStyle name="Normal 4 7 2 4 2 3 2" xfId="44223" xr:uid="{E33CE10C-45E1-4716-AD02-B2F4EA5F26F6}"/>
    <cellStyle name="Normal 4 7 2 4 2 4" xfId="31632" xr:uid="{FF0723EE-9D6D-405A-8B0E-C07943826ECF}"/>
    <cellStyle name="Normal 4 7 2 4 3" xfId="9188" xr:uid="{90ABA3E4-F92C-46E5-BE6C-054B2547FFD2}"/>
    <cellStyle name="Normal 4 7 2 4 3 2" xfId="21870" xr:uid="{1DF6FB4C-2355-41EA-B0A8-032EB3D442FD}"/>
    <cellStyle name="Normal 4 7 2 4 3 2 2" xfId="47362" xr:uid="{FA22CD35-CEC3-4B69-B21B-BCE5C40B1D06}"/>
    <cellStyle name="Normal 4 7 2 4 3 3" xfId="34771" xr:uid="{9DAAE508-D171-459D-8A9F-E944E750BA99}"/>
    <cellStyle name="Normal 4 7 2 4 4" xfId="15592" xr:uid="{2727CF10-6CAE-4211-919D-3521F7D19A23}"/>
    <cellStyle name="Normal 4 7 2 4 4 2" xfId="41084" xr:uid="{0B7F9BE2-3F85-444D-AE54-169923E1921D}"/>
    <cellStyle name="Normal 4 7 2 4 5" xfId="28493" xr:uid="{46C06EE5-042B-4783-B532-0C2CDC27EC94}"/>
    <cellStyle name="Normal 4 7 2 5" xfId="3403" xr:uid="{94BAC643-ADF3-4CA8-80C9-74CB3B02E195}"/>
    <cellStyle name="Normal 4 7 2 5 2" xfId="6557" xr:uid="{44EE3571-11CE-4D74-B18C-E09D4FE0DD7C}"/>
    <cellStyle name="Normal 4 7 2 5 2 2" xfId="12850" xr:uid="{0351201B-DEDC-4430-A3AF-10D6ADDFDDCD}"/>
    <cellStyle name="Normal 4 7 2 5 2 2 2" xfId="25532" xr:uid="{8D3F6532-4CD7-44ED-8C32-4BE0A278B0D5}"/>
    <cellStyle name="Normal 4 7 2 5 2 2 2 2" xfId="51024" xr:uid="{F6E8D195-95B5-4729-978F-0D1A5CF952DD}"/>
    <cellStyle name="Normal 4 7 2 5 2 2 3" xfId="38433" xr:uid="{3590DA0E-13C3-4C7F-84BF-F9024EBD65FB}"/>
    <cellStyle name="Normal 4 7 2 5 2 3" xfId="19254" xr:uid="{837DD93B-3D2E-4A6F-9632-0DAEFDBCA290}"/>
    <cellStyle name="Normal 4 7 2 5 2 3 2" xfId="44746" xr:uid="{7BA4A0A9-AA18-4B28-BBA0-00B7667F218E}"/>
    <cellStyle name="Normal 4 7 2 5 2 4" xfId="32155" xr:uid="{DB5CB6C4-E337-4FB8-91C8-61F91D5439A5}"/>
    <cellStyle name="Normal 4 7 2 5 3" xfId="9711" xr:uid="{63A32B12-EC0B-4D0D-BEEA-C46C2466BB5C}"/>
    <cellStyle name="Normal 4 7 2 5 3 2" xfId="22393" xr:uid="{1A39F00D-EF08-458F-8FCD-A5EB743827BA}"/>
    <cellStyle name="Normal 4 7 2 5 3 2 2" xfId="47885" xr:uid="{F452BF5E-27FE-489C-8342-FA8B2B505D85}"/>
    <cellStyle name="Normal 4 7 2 5 3 3" xfId="35294" xr:uid="{354C93A4-6792-4B53-94D6-17D28482C681}"/>
    <cellStyle name="Normal 4 7 2 5 4" xfId="16115" xr:uid="{5DD071E7-5891-45BD-BFDB-CB30E3250B7F}"/>
    <cellStyle name="Normal 4 7 2 5 4 2" xfId="41607" xr:uid="{DC707B1A-FCE4-4427-9AE0-22884DBD52E2}"/>
    <cellStyle name="Normal 4 7 2 5 5" xfId="29016" xr:uid="{A86C592B-2806-433B-B78B-053EE23D0FCF}"/>
    <cellStyle name="Normal 4 7 2 6" xfId="4203" xr:uid="{641E6FED-874B-491C-9C90-7DD8442E8CDB}"/>
    <cellStyle name="Normal 4 7 2 6 2" xfId="10496" xr:uid="{BEBF70C4-8116-4753-9986-F3209304D834}"/>
    <cellStyle name="Normal 4 7 2 6 2 2" xfId="23178" xr:uid="{E91CEF49-3397-4705-98E4-25562B6DD687}"/>
    <cellStyle name="Normal 4 7 2 6 2 2 2" xfId="48670" xr:uid="{7AF8BF26-0800-465F-AFBE-DE6016BA97EA}"/>
    <cellStyle name="Normal 4 7 2 6 2 3" xfId="36079" xr:uid="{393D530C-308E-404C-8A35-2B17A536D37C}"/>
    <cellStyle name="Normal 4 7 2 6 3" xfId="16900" xr:uid="{A3A24CBB-F595-49F9-844A-C397EDE5A44F}"/>
    <cellStyle name="Normal 4 7 2 6 3 2" xfId="42392" xr:uid="{C7CCF862-CCE8-4F40-BE8A-49D8A934DCD2}"/>
    <cellStyle name="Normal 4 7 2 6 4" xfId="29801" xr:uid="{C9F9EFD8-BF56-4104-9872-F0D2AE398EFF}"/>
    <cellStyle name="Normal 4 7 2 7" xfId="7357" xr:uid="{CED8E51E-C3EF-4107-BE1F-210B45BD0C41}"/>
    <cellStyle name="Normal 4 7 2 7 2" xfId="20039" xr:uid="{3C715230-56D4-443D-A23E-A5A48C2AF5AC}"/>
    <cellStyle name="Normal 4 7 2 7 2 2" xfId="45531" xr:uid="{090578C1-3BEE-47E7-BE26-CA2A6B9FE3D6}"/>
    <cellStyle name="Normal 4 7 2 7 3" xfId="32940" xr:uid="{2B5A3EDD-0987-4C6D-BC44-D3DA3B938DE7}"/>
    <cellStyle name="Normal 4 7 2 8" xfId="13761" xr:uid="{7108B182-AE39-402C-80EA-E2D4C0B6BAFC}"/>
    <cellStyle name="Normal 4 7 2 8 2" xfId="39253" xr:uid="{38647064-9866-44AA-BD7B-9E2DBB7F0530}"/>
    <cellStyle name="Normal 4 7 2 9" xfId="26662" xr:uid="{5185646B-7D42-432A-9FC6-E2425199A8FB}"/>
    <cellStyle name="Normal 4 7 3" xfId="789" xr:uid="{66808EF5-90AB-489F-8DB4-26331095C014}"/>
    <cellStyle name="Normal 4 7 3 2" xfId="2096" xr:uid="{9FD35596-9902-4AAD-A9C0-0AE111B5ABD6}"/>
    <cellStyle name="Normal 4 7 3 2 2" xfId="5250" xr:uid="{2D7E85F6-4290-4848-B0F2-14002D9EC4DF}"/>
    <cellStyle name="Normal 4 7 3 2 2 2" xfId="11543" xr:uid="{13C2EFAB-3BEE-46C8-869E-CCEC84A8980F}"/>
    <cellStyle name="Normal 4 7 3 2 2 2 2" xfId="24225" xr:uid="{8B6C31D8-3172-4086-A9AF-0197B075FA6A}"/>
    <cellStyle name="Normal 4 7 3 2 2 2 2 2" xfId="49717" xr:uid="{5BB59EE4-200C-4DE7-86F1-645EA06B5A15}"/>
    <cellStyle name="Normal 4 7 3 2 2 2 3" xfId="37126" xr:uid="{06FF4DF0-5299-4EF0-B099-9C93F80A5264}"/>
    <cellStyle name="Normal 4 7 3 2 2 3" xfId="17947" xr:uid="{379804E2-6561-49DB-872F-9EFA90C0C302}"/>
    <cellStyle name="Normal 4 7 3 2 2 3 2" xfId="43439" xr:uid="{F19E272F-EF58-4129-B360-5B8E711960C5}"/>
    <cellStyle name="Normal 4 7 3 2 2 4" xfId="30848" xr:uid="{A6A912E9-FE3C-464E-8CB9-9B1315185E5A}"/>
    <cellStyle name="Normal 4 7 3 2 3" xfId="8404" xr:uid="{9A748BB7-6529-40DF-8791-EAD337AFAAAC}"/>
    <cellStyle name="Normal 4 7 3 2 3 2" xfId="21086" xr:uid="{3FCEB63F-968F-4969-9718-6037479A63F2}"/>
    <cellStyle name="Normal 4 7 3 2 3 2 2" xfId="46578" xr:uid="{9D0A6786-41AA-49E1-A915-85121A14455D}"/>
    <cellStyle name="Normal 4 7 3 2 3 3" xfId="33987" xr:uid="{64CC9C96-1F30-45A1-A0C6-62EDC3364D44}"/>
    <cellStyle name="Normal 4 7 3 2 4" xfId="14808" xr:uid="{E4A44409-DB83-4147-A4FC-22717AD4B964}"/>
    <cellStyle name="Normal 4 7 3 2 4 2" xfId="40300" xr:uid="{B3D3A6EB-A87F-4048-982A-531C95D2D92F}"/>
    <cellStyle name="Normal 4 7 3 2 5" xfId="27709" xr:uid="{887A8ED0-22E4-4DFF-B739-A5DC822D1898}"/>
    <cellStyle name="Normal 4 7 3 3" xfId="3943" xr:uid="{DDCD673D-6FF5-4661-8A36-51FF58E66ED7}"/>
    <cellStyle name="Normal 4 7 3 3 2" xfId="10236" xr:uid="{3CB45925-3118-40BC-BBE0-42EE0FCE3F84}"/>
    <cellStyle name="Normal 4 7 3 3 2 2" xfId="22918" xr:uid="{CC74B2E2-8F34-409E-914A-F942561BA9CF}"/>
    <cellStyle name="Normal 4 7 3 3 2 2 2" xfId="48410" xr:uid="{98FEFEFB-AB6A-4A55-9E7B-89556E0A30C1}"/>
    <cellStyle name="Normal 4 7 3 3 2 3" xfId="35819" xr:uid="{F4C39A0E-D689-44AE-9C72-A4BE24C97F9B}"/>
    <cellStyle name="Normal 4 7 3 3 3" xfId="16640" xr:uid="{CA5811FA-252D-4AD6-8EA6-27FB509B041C}"/>
    <cellStyle name="Normal 4 7 3 3 3 2" xfId="42132" xr:uid="{339C149D-931F-41E1-9F46-A0AFC1B9EB5E}"/>
    <cellStyle name="Normal 4 7 3 3 4" xfId="29541" xr:uid="{149F882E-BDA6-431B-96D0-C5636AF69536}"/>
    <cellStyle name="Normal 4 7 3 4" xfId="7097" xr:uid="{909C75D5-B1CC-4E92-83FA-CECC9BF35DC8}"/>
    <cellStyle name="Normal 4 7 3 4 2" xfId="19779" xr:uid="{67F16216-9F69-42DD-96BD-D3AC560A1B94}"/>
    <cellStyle name="Normal 4 7 3 4 2 2" xfId="45271" xr:uid="{6CF63FD1-336F-4535-B93F-E7E48B36CD78}"/>
    <cellStyle name="Normal 4 7 3 4 3" xfId="32680" xr:uid="{35A4CACE-A86F-4017-AFCC-0AD7CB2E76C4}"/>
    <cellStyle name="Normal 4 7 3 5" xfId="13501" xr:uid="{754AD30E-8DE4-41FE-92B0-2A827600DCE4}"/>
    <cellStyle name="Normal 4 7 3 5 2" xfId="38993" xr:uid="{C445AA3D-524A-41DF-B0F3-BBDD06B7103E}"/>
    <cellStyle name="Normal 4 7 3 6" xfId="26402" xr:uid="{6C8BF8DD-033B-403A-83FE-04E6584BA423}"/>
    <cellStyle name="Normal 4 7 4" xfId="1834" xr:uid="{909E5D1C-711F-411F-83D4-5461F4D733CE}"/>
    <cellStyle name="Normal 4 7 4 2" xfId="4988" xr:uid="{EAC4D977-D57B-4C96-A0D8-A389BE806D79}"/>
    <cellStyle name="Normal 4 7 4 2 2" xfId="11281" xr:uid="{F6A84880-244B-4397-A345-B15CA6BD173C}"/>
    <cellStyle name="Normal 4 7 4 2 2 2" xfId="23963" xr:uid="{D7FC137C-9F58-4496-B373-17E8CF6D9314}"/>
    <cellStyle name="Normal 4 7 4 2 2 2 2" xfId="49455" xr:uid="{8AFD3C0E-A382-43FC-918A-F500AA8DA058}"/>
    <cellStyle name="Normal 4 7 4 2 2 3" xfId="36864" xr:uid="{8DD64039-A46C-4C7F-81A1-630FCB25E83E}"/>
    <cellStyle name="Normal 4 7 4 2 3" xfId="17685" xr:uid="{4E8359AE-3D62-491F-AC4B-FF2F05C2279D}"/>
    <cellStyle name="Normal 4 7 4 2 3 2" xfId="43177" xr:uid="{BBF14D8C-963C-43BF-9035-0AAEACF8305B}"/>
    <cellStyle name="Normal 4 7 4 2 4" xfId="30586" xr:uid="{C5BF3229-976B-4B31-A905-A2CE7EA8027B}"/>
    <cellStyle name="Normal 4 7 4 3" xfId="8142" xr:uid="{A466D13B-4A13-434B-ABAA-6E16FC94D685}"/>
    <cellStyle name="Normal 4 7 4 3 2" xfId="20824" xr:uid="{21B129A6-FF0B-47E7-8B71-D6BB1E237E06}"/>
    <cellStyle name="Normal 4 7 4 3 2 2" xfId="46316" xr:uid="{CB9F4D9E-95A9-4D81-99A5-0FF5B5B74552}"/>
    <cellStyle name="Normal 4 7 4 3 3" xfId="33725" xr:uid="{B29C5479-9F2A-4A40-823E-B807B2E21E2C}"/>
    <cellStyle name="Normal 4 7 4 4" xfId="14546" xr:uid="{4185C079-BDF6-48A6-B3F3-95B3465BCF84}"/>
    <cellStyle name="Normal 4 7 4 4 2" xfId="40038" xr:uid="{11809B37-67D0-4967-A2D9-28F84327696F}"/>
    <cellStyle name="Normal 4 7 4 5" xfId="27447" xr:uid="{510D56E7-0B6C-4EFE-819E-A8BEB079EEF1}"/>
    <cellStyle name="Normal 4 7 5" xfId="1312" xr:uid="{63499787-CAC1-41C5-91C7-7EA96A110516}"/>
    <cellStyle name="Normal 4 7 5 2" xfId="4466" xr:uid="{D52D6545-DA80-406D-B779-BAC86D79534B}"/>
    <cellStyle name="Normal 4 7 5 2 2" xfId="10759" xr:uid="{E4278EF9-3169-4FA5-A46E-A45F06ECCA84}"/>
    <cellStyle name="Normal 4 7 5 2 2 2" xfId="23441" xr:uid="{A23A62F0-BED3-44D6-A55C-D41BD127CDE1}"/>
    <cellStyle name="Normal 4 7 5 2 2 2 2" xfId="48933" xr:uid="{9DCE63E1-E268-4817-BEE3-2A36662110A8}"/>
    <cellStyle name="Normal 4 7 5 2 2 3" xfId="36342" xr:uid="{BB05ED1F-6FBD-4000-A538-23EB33D03268}"/>
    <cellStyle name="Normal 4 7 5 2 3" xfId="17163" xr:uid="{60D81DDD-C2B7-4BE8-8D5A-3C3D0775B75D}"/>
    <cellStyle name="Normal 4 7 5 2 3 2" xfId="42655" xr:uid="{EB7D7FAE-F6D4-4C0D-B2A0-844D02641BFD}"/>
    <cellStyle name="Normal 4 7 5 2 4" xfId="30064" xr:uid="{01592171-42D1-4D55-8009-9B841752D0B2}"/>
    <cellStyle name="Normal 4 7 5 3" xfId="7620" xr:uid="{745B98C1-74CF-4AB3-A2CB-42F11C61923E}"/>
    <cellStyle name="Normal 4 7 5 3 2" xfId="20302" xr:uid="{6C4834DA-B928-496A-AF5D-5F86D6DC9D69}"/>
    <cellStyle name="Normal 4 7 5 3 2 2" xfId="45794" xr:uid="{473BFFF3-17F0-4874-9F22-2BF8DF7A365E}"/>
    <cellStyle name="Normal 4 7 5 3 3" xfId="33203" xr:uid="{F64CA84B-65B9-4E59-A023-7D9FD6648830}"/>
    <cellStyle name="Normal 4 7 5 4" xfId="14024" xr:uid="{991FADCF-C239-4CD1-8F82-9E2B93F5FF44}"/>
    <cellStyle name="Normal 4 7 5 4 2" xfId="39516" xr:uid="{CA21DE0A-6DA9-4A75-8ECC-2BFCCA53190E}"/>
    <cellStyle name="Normal 4 7 5 5" xfId="26925" xr:uid="{D8D24EC3-616C-4164-B06D-1BE1FD093D93}"/>
    <cellStyle name="Normal 4 7 6" xfId="2619" xr:uid="{96F93AE4-A67E-4AAC-BCA0-B1EEC0F62B21}"/>
    <cellStyle name="Normal 4 7 6 2" xfId="5773" xr:uid="{2F8EBEAA-7225-46A7-BC67-A7990827DC47}"/>
    <cellStyle name="Normal 4 7 6 2 2" xfId="12066" xr:uid="{B699CC22-0C27-4C3E-98C2-E7BDA6B25EE9}"/>
    <cellStyle name="Normal 4 7 6 2 2 2" xfId="24748" xr:uid="{533CD785-DCCD-4DEE-9C92-1390CD8CE88F}"/>
    <cellStyle name="Normal 4 7 6 2 2 2 2" xfId="50240" xr:uid="{E66E56A1-FAE5-4166-8589-814AFC789145}"/>
    <cellStyle name="Normal 4 7 6 2 2 3" xfId="37649" xr:uid="{C9C3C8BC-A0E8-47BC-860D-DF9D20F1DBC2}"/>
    <cellStyle name="Normal 4 7 6 2 3" xfId="18470" xr:uid="{E1574918-DEBA-45F4-A1C3-C3BDFB141C8B}"/>
    <cellStyle name="Normal 4 7 6 2 3 2" xfId="43962" xr:uid="{737712F5-D83E-496E-AA90-DC1E0222AC34}"/>
    <cellStyle name="Normal 4 7 6 2 4" xfId="31371" xr:uid="{19E0C55C-CAC2-409A-A3A2-F7906E5B551A}"/>
    <cellStyle name="Normal 4 7 6 3" xfId="8927" xr:uid="{83D836A7-EC0F-4CC6-8D8D-69CE774221AF}"/>
    <cellStyle name="Normal 4 7 6 3 2" xfId="21609" xr:uid="{D426623F-4CC0-415A-A489-11227EECAD1A}"/>
    <cellStyle name="Normal 4 7 6 3 2 2" xfId="47101" xr:uid="{084E925C-4F85-4F79-8657-6449B77A49EB}"/>
    <cellStyle name="Normal 4 7 6 3 3" xfId="34510" xr:uid="{7B87AC94-EB09-43B9-9690-59DE95652ED7}"/>
    <cellStyle name="Normal 4 7 6 4" xfId="15331" xr:uid="{D9462810-3F22-42ED-A4C1-708207E79D15}"/>
    <cellStyle name="Normal 4 7 6 4 2" xfId="40823" xr:uid="{3359F75F-64D5-47B0-9901-3BBE12A01E3A}"/>
    <cellStyle name="Normal 4 7 6 5" xfId="28232" xr:uid="{445CBB0E-A160-4226-A289-57166DEBAF40}"/>
    <cellStyle name="Normal 4 7 7" xfId="3142" xr:uid="{16162220-0BB6-4E5A-BFD6-CDB3B7EA3A8E}"/>
    <cellStyle name="Normal 4 7 7 2" xfId="6296" xr:uid="{EEBF2153-9BB5-4723-915B-8F3B9B0DF8F9}"/>
    <cellStyle name="Normal 4 7 7 2 2" xfId="12589" xr:uid="{2EB7F7BE-B4AE-48FA-80E8-BF31B30F069F}"/>
    <cellStyle name="Normal 4 7 7 2 2 2" xfId="25271" xr:uid="{7A102FE5-3055-4BC4-9665-85B98B2F8E97}"/>
    <cellStyle name="Normal 4 7 7 2 2 2 2" xfId="50763" xr:uid="{EC473679-13B0-48F5-B080-EE8ABBF15A9C}"/>
    <cellStyle name="Normal 4 7 7 2 2 3" xfId="38172" xr:uid="{CF0A08E4-6095-4A90-85B4-64F3D9A1A208}"/>
    <cellStyle name="Normal 4 7 7 2 3" xfId="18993" xr:uid="{B5948BB2-56D3-4ADF-81E0-AE28058A57AD}"/>
    <cellStyle name="Normal 4 7 7 2 3 2" xfId="44485" xr:uid="{7DB34194-007E-4B0A-A4B0-C7FF4CB75696}"/>
    <cellStyle name="Normal 4 7 7 2 4" xfId="31894" xr:uid="{4B52CF8E-6992-4E9A-9BE6-BF84318830B9}"/>
    <cellStyle name="Normal 4 7 7 3" xfId="9450" xr:uid="{02BAED77-B914-4241-8BAB-A007C50CD769}"/>
    <cellStyle name="Normal 4 7 7 3 2" xfId="22132" xr:uid="{EAF8EB62-D641-4C19-89C1-49DFAF1753FC}"/>
    <cellStyle name="Normal 4 7 7 3 2 2" xfId="47624" xr:uid="{F5008DF2-7CCA-4BAF-9272-E51933EF8E36}"/>
    <cellStyle name="Normal 4 7 7 3 3" xfId="35033" xr:uid="{D00DC831-9711-4020-90A9-54B6486E662C}"/>
    <cellStyle name="Normal 4 7 7 4" xfId="15854" xr:uid="{91003BE1-BFC3-48E6-8243-1C24F64D40EF}"/>
    <cellStyle name="Normal 4 7 7 4 2" xfId="41346" xr:uid="{EE98A5D1-89DA-4C36-BC62-2A7C7E09DFBD}"/>
    <cellStyle name="Normal 4 7 7 5" xfId="28755" xr:uid="{6ED3798C-24D9-4682-94C9-228D89214CF3}"/>
    <cellStyle name="Normal 4 7 8" xfId="3681" xr:uid="{18440679-5E5B-4378-941C-5AA5A197D291}"/>
    <cellStyle name="Normal 4 7 8 2" xfId="9974" xr:uid="{A42345B8-72A7-416A-B778-C47A1F4DAD8C}"/>
    <cellStyle name="Normal 4 7 8 2 2" xfId="22656" xr:uid="{4F98E21D-9D5B-4FE9-8E9D-0BC42C53F60A}"/>
    <cellStyle name="Normal 4 7 8 2 2 2" xfId="48148" xr:uid="{EA08C04E-5A5A-44A6-BA40-D77501C3460A}"/>
    <cellStyle name="Normal 4 7 8 2 3" xfId="35557" xr:uid="{48F14A3B-FA4F-4F89-BF9F-2584DF7DCE40}"/>
    <cellStyle name="Normal 4 7 8 3" xfId="16378" xr:uid="{C06AC4F2-5DA1-4632-8ADC-A342884F22AE}"/>
    <cellStyle name="Normal 4 7 8 3 2" xfId="41870" xr:uid="{11666EA0-074B-412A-B6B7-4A19EFBADA90}"/>
    <cellStyle name="Normal 4 7 8 4" xfId="29279" xr:uid="{7675ABE4-53E0-4A78-840D-56C3D35C31B7}"/>
    <cellStyle name="Normal 4 7 9" xfId="6835" xr:uid="{CACE33EE-BEE4-4D97-B818-1C88AAF674A8}"/>
    <cellStyle name="Normal 4 7 9 2" xfId="19517" xr:uid="{344FDB99-972E-4102-BAF6-7EBCC65D19E1}"/>
    <cellStyle name="Normal 4 7 9 2 2" xfId="45009" xr:uid="{373B5666-B50D-4019-8348-651B9854F21E}"/>
    <cellStyle name="Normal 4 7 9 3" xfId="32418" xr:uid="{EFAC8733-621A-49D3-BE40-04DC3557963F}"/>
    <cellStyle name="Normal 4 8" xfId="948" xr:uid="{BCAD8AD7-54AD-4667-874D-6D1720BF7050}"/>
    <cellStyle name="Normal 4 8 2" xfId="2255" xr:uid="{32415154-49A3-4753-8A5B-E36AD6199358}"/>
    <cellStyle name="Normal 4 8 2 2" xfId="5409" xr:uid="{085181AC-5AEE-4678-93FC-2DAA41334BCC}"/>
    <cellStyle name="Normal 4 8 2 2 2" xfId="11702" xr:uid="{6F1CF858-6A86-4EE3-86BC-96997D527483}"/>
    <cellStyle name="Normal 4 8 2 2 2 2" xfId="24384" xr:uid="{A432E3D6-D98B-4496-B302-B8DBCBF9ECF5}"/>
    <cellStyle name="Normal 4 8 2 2 2 2 2" xfId="49876" xr:uid="{CC94EEE1-8157-4177-82E9-668EB0AD3595}"/>
    <cellStyle name="Normal 4 8 2 2 2 3" xfId="37285" xr:uid="{19F25903-9F30-4A15-99EC-4EAE478CA452}"/>
    <cellStyle name="Normal 4 8 2 2 3" xfId="18106" xr:uid="{53B811F5-238C-41DA-890D-77DAEC548A2D}"/>
    <cellStyle name="Normal 4 8 2 2 3 2" xfId="43598" xr:uid="{9CB0DC49-99B4-4736-B174-CB99D155D0EA}"/>
    <cellStyle name="Normal 4 8 2 2 4" xfId="31007" xr:uid="{B23DE314-3D7D-407C-937D-40925CE82260}"/>
    <cellStyle name="Normal 4 8 2 3" xfId="8563" xr:uid="{1DD6C8F3-DA7D-406D-BCF0-43B683B87C26}"/>
    <cellStyle name="Normal 4 8 2 3 2" xfId="21245" xr:uid="{394417A1-9A42-445B-82B8-DD697F98D432}"/>
    <cellStyle name="Normal 4 8 2 3 2 2" xfId="46737" xr:uid="{B6144F2F-CA30-4EB6-AF96-D4C20DF92916}"/>
    <cellStyle name="Normal 4 8 2 3 3" xfId="34146" xr:uid="{92421BF7-A89F-49FA-9453-009714E92547}"/>
    <cellStyle name="Normal 4 8 2 4" xfId="14967" xr:uid="{7BB0855C-A72E-48DC-AA5F-9FDF95D7F6F5}"/>
    <cellStyle name="Normal 4 8 2 4 2" xfId="40459" xr:uid="{55742BEC-2A3F-474B-9FBE-14C7EBF76027}"/>
    <cellStyle name="Normal 4 8 2 5" xfId="27868" xr:uid="{AF16924B-95C8-462B-A29F-A22BD7FBF473}"/>
    <cellStyle name="Normal 4 8 3" xfId="1472" xr:uid="{C2716A7E-EAA3-493F-A58D-1A0F8F86EB97}"/>
    <cellStyle name="Normal 4 8 3 2" xfId="4626" xr:uid="{0919ECD8-E5F6-419C-AFB0-192F37239926}"/>
    <cellStyle name="Normal 4 8 3 2 2" xfId="10919" xr:uid="{7AB73152-92FB-4046-9DB3-A5C5C811BC89}"/>
    <cellStyle name="Normal 4 8 3 2 2 2" xfId="23601" xr:uid="{AD4AF92F-A792-4EE3-8707-45AF901A7111}"/>
    <cellStyle name="Normal 4 8 3 2 2 2 2" xfId="49093" xr:uid="{F9B6B592-E7A0-4F0C-9E93-7ECC3AD3514C}"/>
    <cellStyle name="Normal 4 8 3 2 2 3" xfId="36502" xr:uid="{00A8EF56-52A2-4F8F-8F0C-2E4B7D5DE56F}"/>
    <cellStyle name="Normal 4 8 3 2 3" xfId="17323" xr:uid="{43605BB7-655F-4809-9EC9-FA9790E37B80}"/>
    <cellStyle name="Normal 4 8 3 2 3 2" xfId="42815" xr:uid="{4307ECB4-E401-4111-8235-C618DDC989C1}"/>
    <cellStyle name="Normal 4 8 3 2 4" xfId="30224" xr:uid="{E9A9AF22-A06C-4BBF-8D43-381CE16EC008}"/>
    <cellStyle name="Normal 4 8 3 3" xfId="7780" xr:uid="{A0CD98A4-B8DC-4649-9F73-C768A5C3CAFC}"/>
    <cellStyle name="Normal 4 8 3 3 2" xfId="20462" xr:uid="{6E529832-40A9-4C32-9626-E6B30AF8BFCA}"/>
    <cellStyle name="Normal 4 8 3 3 2 2" xfId="45954" xr:uid="{F802FAB9-4D06-47F6-82F7-2660C247AC9D}"/>
    <cellStyle name="Normal 4 8 3 3 3" xfId="33363" xr:uid="{EB09D070-FE8E-493F-A0E6-16280609D27F}"/>
    <cellStyle name="Normal 4 8 3 4" xfId="14184" xr:uid="{1E0D755F-B5A6-40FA-95CB-01F39E4A8CE7}"/>
    <cellStyle name="Normal 4 8 3 4 2" xfId="39676" xr:uid="{73719EA9-90BE-4997-9310-D286CD5DE280}"/>
    <cellStyle name="Normal 4 8 3 5" xfId="27085" xr:uid="{8BD5429A-89C4-4021-878A-DFC364B298F8}"/>
    <cellStyle name="Normal 4 8 4" xfId="2779" xr:uid="{217D62D1-0569-4A62-8403-ABFD861A0A17}"/>
    <cellStyle name="Normal 4 8 4 2" xfId="5933" xr:uid="{F741D72C-01A6-46DB-88CA-3B8C4C31407F}"/>
    <cellStyle name="Normal 4 8 4 2 2" xfId="12226" xr:uid="{88B79571-92E9-496D-B387-A41D675EC4B8}"/>
    <cellStyle name="Normal 4 8 4 2 2 2" xfId="24908" xr:uid="{9B992D8D-57B9-4C44-81F4-3371FD4DE80A}"/>
    <cellStyle name="Normal 4 8 4 2 2 2 2" xfId="50400" xr:uid="{1530AF8E-79B1-4A2B-A5F3-C83BD2AA567D}"/>
    <cellStyle name="Normal 4 8 4 2 2 3" xfId="37809" xr:uid="{514E9F50-76AC-4145-AE57-214C6ED68798}"/>
    <cellStyle name="Normal 4 8 4 2 3" xfId="18630" xr:uid="{D79D808D-0020-4988-88CB-CB4F6C227856}"/>
    <cellStyle name="Normal 4 8 4 2 3 2" xfId="44122" xr:uid="{61ADA082-7137-4C8C-8EAB-5A580C4A309C}"/>
    <cellStyle name="Normal 4 8 4 2 4" xfId="31531" xr:uid="{36D4B41D-CD1A-411C-990E-41C3FE6AACDA}"/>
    <cellStyle name="Normal 4 8 4 3" xfId="9087" xr:uid="{AFD9B7E4-2BBB-4EF1-891A-208BD0CE5520}"/>
    <cellStyle name="Normal 4 8 4 3 2" xfId="21769" xr:uid="{C95448DB-B85F-4881-AB6A-8108716BF827}"/>
    <cellStyle name="Normal 4 8 4 3 2 2" xfId="47261" xr:uid="{0AD30C67-4381-4D6D-88DE-8118AC96C799}"/>
    <cellStyle name="Normal 4 8 4 3 3" xfId="34670" xr:uid="{25D48144-B601-4832-8E92-B8C13F7A17C3}"/>
    <cellStyle name="Normal 4 8 4 4" xfId="15491" xr:uid="{A0D8A4B2-C77E-4286-A11A-4D9815E2183A}"/>
    <cellStyle name="Normal 4 8 4 4 2" xfId="40983" xr:uid="{57BA3D65-8411-4DDB-AA41-EB979E4BF466}"/>
    <cellStyle name="Normal 4 8 4 5" xfId="28392" xr:uid="{9DED1150-BD67-48EA-8DEA-5EB7FFD6543A}"/>
    <cellStyle name="Normal 4 8 5" xfId="3302" xr:uid="{FA80686E-DD62-4E2E-B789-FA7F63349786}"/>
    <cellStyle name="Normal 4 8 5 2" xfId="6456" xr:uid="{1F5571D7-8507-4E81-A711-5DC5B3D409E8}"/>
    <cellStyle name="Normal 4 8 5 2 2" xfId="12749" xr:uid="{ADB6AE98-C7AC-4ADE-905A-EE1FEE1DFB60}"/>
    <cellStyle name="Normal 4 8 5 2 2 2" xfId="25431" xr:uid="{761565C9-A081-49EC-9C29-6C5B24D3B26A}"/>
    <cellStyle name="Normal 4 8 5 2 2 2 2" xfId="50923" xr:uid="{53F1B195-6DB8-4F14-A5DE-92AE652A2544}"/>
    <cellStyle name="Normal 4 8 5 2 2 3" xfId="38332" xr:uid="{924E91E9-93C0-4309-9423-27F815EA7377}"/>
    <cellStyle name="Normal 4 8 5 2 3" xfId="19153" xr:uid="{F649A01F-BCC0-4D43-81A0-0193F94CD98A}"/>
    <cellStyle name="Normal 4 8 5 2 3 2" xfId="44645" xr:uid="{5AFBF6FE-23A6-4041-9FAF-2B3246B8471C}"/>
    <cellStyle name="Normal 4 8 5 2 4" xfId="32054" xr:uid="{3F1798D4-33E5-44A4-8E37-9DBB623D882B}"/>
    <cellStyle name="Normal 4 8 5 3" xfId="9610" xr:uid="{230FF2EE-DE2D-4BDF-A459-5A455F463FA5}"/>
    <cellStyle name="Normal 4 8 5 3 2" xfId="22292" xr:uid="{5B113FD3-77B7-4CD7-9BD2-DE6BD237C34C}"/>
    <cellStyle name="Normal 4 8 5 3 2 2" xfId="47784" xr:uid="{1F45D29D-BF67-4134-B6F8-36F264CB983B}"/>
    <cellStyle name="Normal 4 8 5 3 3" xfId="35193" xr:uid="{9D0C9542-AFE7-43AC-B84B-D56F8166C962}"/>
    <cellStyle name="Normal 4 8 5 4" xfId="16014" xr:uid="{0ABD7C38-DF7B-4524-842F-E26C67C2E649}"/>
    <cellStyle name="Normal 4 8 5 4 2" xfId="41506" xr:uid="{7BB76A1C-EB7E-435E-B092-C7CA761495BC}"/>
    <cellStyle name="Normal 4 8 5 5" xfId="28915" xr:uid="{D12B98F3-39F7-482E-B67A-76881E24B49C}"/>
    <cellStyle name="Normal 4 8 6" xfId="4102" xr:uid="{C061B580-6A5A-483F-A3F4-4732FA6EF60B}"/>
    <cellStyle name="Normal 4 8 6 2" xfId="10395" xr:uid="{804E2FE3-20EE-4141-B8B8-AB63D3D30C2E}"/>
    <cellStyle name="Normal 4 8 6 2 2" xfId="23077" xr:uid="{C04DD878-312C-402B-BC3F-C13336F5C3A4}"/>
    <cellStyle name="Normal 4 8 6 2 2 2" xfId="48569" xr:uid="{6B007D87-E328-4699-925C-71B4BA133949}"/>
    <cellStyle name="Normal 4 8 6 2 3" xfId="35978" xr:uid="{57F11463-ABC4-4B0C-9321-BD3EA8288684}"/>
    <cellStyle name="Normal 4 8 6 3" xfId="16799" xr:uid="{C61D97DC-BAB7-4513-8EBD-696CBD9A17AE}"/>
    <cellStyle name="Normal 4 8 6 3 2" xfId="42291" xr:uid="{BEC4482A-EF75-4001-875E-F056230EEB13}"/>
    <cellStyle name="Normal 4 8 6 4" xfId="29700" xr:uid="{9CF9442C-B804-47E2-B0B9-23B3604C5C67}"/>
    <cellStyle name="Normal 4 8 7" xfId="7256" xr:uid="{AE6A7404-9D39-48C6-9A42-76ED8E174B26}"/>
    <cellStyle name="Normal 4 8 7 2" xfId="19938" xr:uid="{0DF3FA91-4B3C-407E-A546-7BEBE3B8CF00}"/>
    <cellStyle name="Normal 4 8 7 2 2" xfId="45430" xr:uid="{573ADD1A-1431-47DA-BB68-AAAC2E1B13DD}"/>
    <cellStyle name="Normal 4 8 7 3" xfId="32839" xr:uid="{E1051F09-6EB2-4CB5-9ACC-080EA8323C44}"/>
    <cellStyle name="Normal 4 8 8" xfId="13660" xr:uid="{6B176FF8-6E43-4D68-B3A0-02676D669A11}"/>
    <cellStyle name="Normal 4 8 8 2" xfId="39152" xr:uid="{16B2005E-23A9-4CAF-9E38-C35B6A652837}"/>
    <cellStyle name="Normal 4 8 9" xfId="26561" xr:uid="{0519C68E-FE97-4C17-A94B-71BA34904166}"/>
    <cellStyle name="Normal 4 9" xfId="688" xr:uid="{7F29AA1F-B0C6-4ABF-977B-3CD1CECED15F}"/>
    <cellStyle name="Normal 4 9 2" xfId="1995" xr:uid="{4EB3A54C-3998-4397-B587-41687DF99E9B}"/>
    <cellStyle name="Normal 4 9 2 2" xfId="5149" xr:uid="{69CB7E5D-5548-4A83-9E52-328C57665288}"/>
    <cellStyle name="Normal 4 9 2 2 2" xfId="11442" xr:uid="{9657858D-5248-4BD5-A98F-E957E5C4A26F}"/>
    <cellStyle name="Normal 4 9 2 2 2 2" xfId="24124" xr:uid="{72BDE3E8-38FC-4DD0-9017-0C0530345BD5}"/>
    <cellStyle name="Normal 4 9 2 2 2 2 2" xfId="49616" xr:uid="{13416179-8302-44B9-82EA-E595257ED5E3}"/>
    <cellStyle name="Normal 4 9 2 2 2 3" xfId="37025" xr:uid="{DD7D6CE1-1BA2-49D2-9EBB-09C1ACCA084C}"/>
    <cellStyle name="Normal 4 9 2 2 3" xfId="17846" xr:uid="{08097172-6E51-44F4-A512-21BF444170AC}"/>
    <cellStyle name="Normal 4 9 2 2 3 2" xfId="43338" xr:uid="{1A8ACF7B-E528-41D5-A1FD-C4494E4117C8}"/>
    <cellStyle name="Normal 4 9 2 2 4" xfId="30747" xr:uid="{5A9EA458-903E-4DE6-9FB6-59F86A269F76}"/>
    <cellStyle name="Normal 4 9 2 3" xfId="8303" xr:uid="{04F6C799-28A7-4E8B-88D7-424F7FFE8D7F}"/>
    <cellStyle name="Normal 4 9 2 3 2" xfId="20985" xr:uid="{3EF0115C-609F-4C2A-A987-9213510ED4FC}"/>
    <cellStyle name="Normal 4 9 2 3 2 2" xfId="46477" xr:uid="{0E8696F1-042A-4174-BFB8-ECFB7DAF1176}"/>
    <cellStyle name="Normal 4 9 2 3 3" xfId="33886" xr:uid="{7730AECD-B7C9-4F45-8C6F-0AEC106A95D9}"/>
    <cellStyle name="Normal 4 9 2 4" xfId="14707" xr:uid="{DE33CB9A-183E-4811-9474-4DD4C6B2293C}"/>
    <cellStyle name="Normal 4 9 2 4 2" xfId="40199" xr:uid="{E69C4A8A-7DC4-4C78-894A-1A06FB9D9469}"/>
    <cellStyle name="Normal 4 9 2 5" xfId="27608" xr:uid="{8930C6DF-0EE9-41B5-9365-AE01671D77BA}"/>
    <cellStyle name="Normal 4 9 3" xfId="3842" xr:uid="{F756E689-71E0-411C-856F-A29649EBCEC5}"/>
    <cellStyle name="Normal 4 9 3 2" xfId="10135" xr:uid="{48DEA4D9-70EA-4C66-A588-B7B9F84E79CA}"/>
    <cellStyle name="Normal 4 9 3 2 2" xfId="22817" xr:uid="{85C444B8-1363-41D8-962D-C193191E2778}"/>
    <cellStyle name="Normal 4 9 3 2 2 2" xfId="48309" xr:uid="{DB56AAD6-B4B4-4718-9A45-0527A30DB246}"/>
    <cellStyle name="Normal 4 9 3 2 3" xfId="35718" xr:uid="{042FF019-F491-442F-B77A-30E303D694D7}"/>
    <cellStyle name="Normal 4 9 3 3" xfId="16539" xr:uid="{C39E76C0-C590-4A4E-B28D-CE90BD1602CC}"/>
    <cellStyle name="Normal 4 9 3 3 2" xfId="42031" xr:uid="{39F4CAC8-B133-4809-BFE1-156DBEE99F2B}"/>
    <cellStyle name="Normal 4 9 3 4" xfId="29440" xr:uid="{E81A9CBF-8802-42E5-9B61-A9712157C0D2}"/>
    <cellStyle name="Normal 4 9 4" xfId="6996" xr:uid="{145BD3F7-1E6C-42AE-9914-327DF5BBC4C6}"/>
    <cellStyle name="Normal 4 9 4 2" xfId="19678" xr:uid="{0355CAA6-81C7-41F6-ADBE-92A783B14BC5}"/>
    <cellStyle name="Normal 4 9 4 2 2" xfId="45170" xr:uid="{CA85785D-C9D6-4271-9C1A-5B4D1F8A67DC}"/>
    <cellStyle name="Normal 4 9 4 3" xfId="32579" xr:uid="{104F8794-AC5B-4609-B495-F3AAE577DC30}"/>
    <cellStyle name="Normal 4 9 5" xfId="13400" xr:uid="{C6CACEB8-801A-4B56-8259-B239A203A62D}"/>
    <cellStyle name="Normal 4 9 5 2" xfId="38892" xr:uid="{4E34416C-2F8E-48DA-B62E-7CB999085CE5}"/>
    <cellStyle name="Normal 4 9 6" xfId="26301" xr:uid="{A866E9F9-3479-4E7A-9449-C027C9B155CF}"/>
    <cellStyle name="Normal 40" xfId="51371" xr:uid="{8A1D35A2-D404-41C9-ADFD-105B13408209}"/>
    <cellStyle name="Normal 41" xfId="51373" xr:uid="{3B65962C-CACF-4169-ACF2-A8841047F1EF}"/>
    <cellStyle name="Normal 42" xfId="51374" xr:uid="{F77CBEBE-02CB-48DE-9D8B-3744DF07E55D}"/>
    <cellStyle name="Normal 43" xfId="51378" xr:uid="{E4260F1E-5305-4A44-A1EC-7A25522C4645}"/>
    <cellStyle name="Normal 44" xfId="51375" xr:uid="{FD308584-6800-4899-BA15-5020C2F4981C}"/>
    <cellStyle name="Normal 45" xfId="51379" xr:uid="{95D88592-EF97-4403-ABB5-B48485B7F373}"/>
    <cellStyle name="Normal 46" xfId="51381" xr:uid="{816A171F-CAF8-4733-BFC6-D2AF3D05541B}"/>
    <cellStyle name="Normal 47" xfId="51391" xr:uid="{8A04E837-32EA-496D-A472-A30D6F75C19D}"/>
    <cellStyle name="Normal 48" xfId="51393" xr:uid="{3AE6363C-0F69-4CC4-A159-AB19F90E63E6}"/>
    <cellStyle name="Normal 49" xfId="51395" xr:uid="{267F8D80-CEC7-4EA3-B9B4-37A96ADAC9C0}"/>
    <cellStyle name="Normal 5" xfId="98" xr:uid="{AEB0F4D1-F7B6-488F-9858-1EB7808EF88C}"/>
    <cellStyle name="Normal 5 10" xfId="1734" xr:uid="{F6BA6094-3B9F-4617-A3F3-3FB7D383DFA6}"/>
    <cellStyle name="Normal 5 10 2" xfId="4888" xr:uid="{E64C823A-4AD3-4198-A05C-D2B115E69F53}"/>
    <cellStyle name="Normal 5 10 2 2" xfId="11181" xr:uid="{DFB14F59-9B1E-40E6-AB34-96283C0B080A}"/>
    <cellStyle name="Normal 5 10 2 2 2" xfId="23863" xr:uid="{144565C4-5B55-4275-AF4F-2216647E0B81}"/>
    <cellStyle name="Normal 5 10 2 2 2 2" xfId="49355" xr:uid="{CEC10FA8-C8E0-4C57-9EF2-6B66CBA9F077}"/>
    <cellStyle name="Normal 5 10 2 2 3" xfId="36764" xr:uid="{F597A371-D5E4-45E0-AFFD-43A1DAF0A166}"/>
    <cellStyle name="Normal 5 10 2 3" xfId="17585" xr:uid="{34150B19-E3B5-46E6-A877-C04ACA3BDD47}"/>
    <cellStyle name="Normal 5 10 2 3 2" xfId="43077" xr:uid="{5B9C4862-82E9-415C-AAA3-82B9E92F7ED8}"/>
    <cellStyle name="Normal 5 10 2 4" xfId="30486" xr:uid="{F4A003F1-8653-4E6F-8249-1DD5B824DAB7}"/>
    <cellStyle name="Normal 5 10 3" xfId="8042" xr:uid="{47C27578-73FF-4D58-B7E6-EE6F59F13A7D}"/>
    <cellStyle name="Normal 5 10 3 2" xfId="20724" xr:uid="{3F6E154B-87CC-468F-803E-CC6C0EC9AF30}"/>
    <cellStyle name="Normal 5 10 3 2 2" xfId="46216" xr:uid="{475B3A66-CC3B-4477-B2DE-D96D9310A2DD}"/>
    <cellStyle name="Normal 5 10 3 3" xfId="33625" xr:uid="{345C9B61-5A4F-4CDF-AB50-D41E18F3ADEE}"/>
    <cellStyle name="Normal 5 10 4" xfId="14446" xr:uid="{46258C89-ABCB-4329-80E1-70467EF844B3}"/>
    <cellStyle name="Normal 5 10 4 2" xfId="39938" xr:uid="{33A35BB3-9F0B-434E-BF14-1016AA2AD501}"/>
    <cellStyle name="Normal 5 10 5" xfId="27347" xr:uid="{6BC42B2E-822F-40F9-B90A-34A6B8E6A73B}"/>
    <cellStyle name="Normal 5 11" xfId="1212" xr:uid="{490806B4-5E8A-451D-9C79-ED0B2760CDBC}"/>
    <cellStyle name="Normal 5 11 2" xfId="4366" xr:uid="{37531540-D40D-4099-9348-95915015EBC2}"/>
    <cellStyle name="Normal 5 11 2 2" xfId="10659" xr:uid="{99EF5975-BB28-4AB0-9738-0886452605EE}"/>
    <cellStyle name="Normal 5 11 2 2 2" xfId="23341" xr:uid="{F17CB807-0AB1-4AD1-AACB-E58EA8839855}"/>
    <cellStyle name="Normal 5 11 2 2 2 2" xfId="48833" xr:uid="{5BB21139-1AA7-4640-9120-FE02E8F9FA33}"/>
    <cellStyle name="Normal 5 11 2 2 3" xfId="36242" xr:uid="{977355C6-B3E7-47AB-9DD9-41F61F0CC14E}"/>
    <cellStyle name="Normal 5 11 2 3" xfId="17063" xr:uid="{319402AD-9885-439E-B14F-AAF994D79F2B}"/>
    <cellStyle name="Normal 5 11 2 3 2" xfId="42555" xr:uid="{69340BF3-9F99-4315-AB9F-829CFA1F0CC7}"/>
    <cellStyle name="Normal 5 11 2 4" xfId="29964" xr:uid="{E66FCD97-347C-41B2-8680-634BE15F7FC6}"/>
    <cellStyle name="Normal 5 11 3" xfId="7520" xr:uid="{EC2CC4FA-B5B8-4B6C-9F21-DA2611B4F275}"/>
    <cellStyle name="Normal 5 11 3 2" xfId="20202" xr:uid="{DA6CCBE5-16B9-4722-A796-4318F546EB8B}"/>
    <cellStyle name="Normal 5 11 3 2 2" xfId="45694" xr:uid="{101D2A42-BB97-499D-B3E3-8BCB255B827F}"/>
    <cellStyle name="Normal 5 11 3 3" xfId="33103" xr:uid="{C99A8CEB-8F13-4645-9CF6-39FA06B6007C}"/>
    <cellStyle name="Normal 5 11 4" xfId="13924" xr:uid="{57360602-1F67-4A51-ADA9-3E703BD3DAE4}"/>
    <cellStyle name="Normal 5 11 4 2" xfId="39416" xr:uid="{A22ABFFC-0E5B-47F9-84D0-07D925C7A3EB}"/>
    <cellStyle name="Normal 5 11 5" xfId="26825" xr:uid="{EEB3E682-34A8-4428-AD34-4AF8D4C7165B}"/>
    <cellStyle name="Normal 5 12" xfId="2519" xr:uid="{D79624AE-147C-4842-9D70-B6A268A58E29}"/>
    <cellStyle name="Normal 5 12 2" xfId="5673" xr:uid="{04D74E44-4BD7-4ADE-9D9D-C870F273EF00}"/>
    <cellStyle name="Normal 5 12 2 2" xfId="11966" xr:uid="{305478FE-A72F-48D3-A5BD-3C137159999A}"/>
    <cellStyle name="Normal 5 12 2 2 2" xfId="24648" xr:uid="{0E2FC01B-B517-48A5-8350-2541441A99CC}"/>
    <cellStyle name="Normal 5 12 2 2 2 2" xfId="50140" xr:uid="{BDEC6382-D27D-42B4-814F-C1DE159939DC}"/>
    <cellStyle name="Normal 5 12 2 2 3" xfId="37549" xr:uid="{1CBC6DFE-7C3D-49C7-BE5B-3EB4FB6174BB}"/>
    <cellStyle name="Normal 5 12 2 3" xfId="18370" xr:uid="{8DCDB5C3-A387-485A-836E-098913372BAD}"/>
    <cellStyle name="Normal 5 12 2 3 2" xfId="43862" xr:uid="{B2062C15-CFAD-4B71-A018-06D3E42C8342}"/>
    <cellStyle name="Normal 5 12 2 4" xfId="31271" xr:uid="{9264CFCD-380D-4F1F-ABA0-88EAFC01C4F7}"/>
    <cellStyle name="Normal 5 12 3" xfId="8827" xr:uid="{F56A3FD7-8385-4C28-81FE-EF28066804B7}"/>
    <cellStyle name="Normal 5 12 3 2" xfId="21509" xr:uid="{A205563E-D1C7-4346-AF21-1F7662C78FBF}"/>
    <cellStyle name="Normal 5 12 3 2 2" xfId="47001" xr:uid="{B2C36FC5-C5F1-47F8-870A-C5BCB1013CC7}"/>
    <cellStyle name="Normal 5 12 3 3" xfId="34410" xr:uid="{02BFC614-3072-4BCF-90E8-F7E23DE9AB96}"/>
    <cellStyle name="Normal 5 12 4" xfId="15231" xr:uid="{DE30CDC5-E6F4-4948-8C55-2C061E706BE2}"/>
    <cellStyle name="Normal 5 12 4 2" xfId="40723" xr:uid="{824012D3-8325-407C-9040-9D938FF1DC01}"/>
    <cellStyle name="Normal 5 12 5" xfId="28132" xr:uid="{58CEC1CC-57FE-4651-9001-091326A58FAD}"/>
    <cellStyle name="Normal 5 13" xfId="3042" xr:uid="{C59788FE-9E75-4905-85B9-28A7F6DCC9DA}"/>
    <cellStyle name="Normal 5 13 2" xfId="6196" xr:uid="{715A77F6-1CF6-4B54-AD57-2C7630E00BE6}"/>
    <cellStyle name="Normal 5 13 2 2" xfId="12489" xr:uid="{545A0819-9222-4EA2-AF60-920EFCD658AC}"/>
    <cellStyle name="Normal 5 13 2 2 2" xfId="25171" xr:uid="{F7550329-44A3-4E34-A89A-0F4A5E6978BE}"/>
    <cellStyle name="Normal 5 13 2 2 2 2" xfId="50663" xr:uid="{E65BB859-07C3-4BB6-9CA3-C72746749BCC}"/>
    <cellStyle name="Normal 5 13 2 2 3" xfId="38072" xr:uid="{F62CB789-AA78-4DDB-AAE7-039920CE6A60}"/>
    <cellStyle name="Normal 5 13 2 3" xfId="18893" xr:uid="{34B76495-2B32-4BB0-8960-82969A9076C2}"/>
    <cellStyle name="Normal 5 13 2 3 2" xfId="44385" xr:uid="{0D5DC0F8-B0DC-4FCF-944C-B01486898989}"/>
    <cellStyle name="Normal 5 13 2 4" xfId="31794" xr:uid="{3CD752BB-769F-4652-B444-2BA166515316}"/>
    <cellStyle name="Normal 5 13 3" xfId="9350" xr:uid="{71AD3EC4-E4C6-4E2D-8447-C158A4C9AB72}"/>
    <cellStyle name="Normal 5 13 3 2" xfId="22032" xr:uid="{357DC0C4-4FA4-4288-8B32-D2CB819E5DB8}"/>
    <cellStyle name="Normal 5 13 3 2 2" xfId="47524" xr:uid="{9CD7F2DA-60AF-49B7-8641-51DB5B2168E4}"/>
    <cellStyle name="Normal 5 13 3 3" xfId="34933" xr:uid="{2A377EE9-A871-4742-8DED-8C9F424A40F8}"/>
    <cellStyle name="Normal 5 13 4" xfId="15754" xr:uid="{2D546AD6-3470-444F-B7F5-3D9572F04759}"/>
    <cellStyle name="Normal 5 13 4 2" xfId="41246" xr:uid="{88DADD93-128A-4293-93F8-109BDDECBB1E}"/>
    <cellStyle name="Normal 5 13 5" xfId="28655" xr:uid="{DFC5647E-F4D9-4D64-B58E-1E084544BB0C}"/>
    <cellStyle name="Normal 5 14" xfId="3581" xr:uid="{427B3117-BEC3-4F02-864E-09A8558B05AD}"/>
    <cellStyle name="Normal 5 14 2" xfId="9874" xr:uid="{07D46FC9-4A66-47DF-9F23-E2CF178EAB2F}"/>
    <cellStyle name="Normal 5 14 2 2" xfId="22556" xr:uid="{B1F570E8-2686-4055-812D-E2EC17D8E528}"/>
    <cellStyle name="Normal 5 14 2 2 2" xfId="48048" xr:uid="{7DC10ED1-069F-4486-A3BF-90BF2B2D0525}"/>
    <cellStyle name="Normal 5 14 2 3" xfId="35457" xr:uid="{E3917A0D-B410-4CFC-99E0-C463E2A9960B}"/>
    <cellStyle name="Normal 5 14 3" xfId="16278" xr:uid="{CCC0AC30-9823-4A5C-83FA-D0545E471565}"/>
    <cellStyle name="Normal 5 14 3 2" xfId="41770" xr:uid="{9EAB9AA3-770B-48E6-92A6-AF494C723BAE}"/>
    <cellStyle name="Normal 5 14 4" xfId="29179" xr:uid="{0BA2EB25-EED1-4F79-A0D2-8B25BCACB4B6}"/>
    <cellStyle name="Normal 5 15" xfId="6735" xr:uid="{66A74B6D-08AF-44F0-B7C8-3A9C9328D472}"/>
    <cellStyle name="Normal 5 15 2" xfId="19417" xr:uid="{7B992403-DC89-44A0-9D06-2E89BAF39F63}"/>
    <cellStyle name="Normal 5 15 2 2" xfId="44909" xr:uid="{E995C76D-1ABE-4E80-BCD5-FC7D4D1AD1CD}"/>
    <cellStyle name="Normal 5 15 3" xfId="32318" xr:uid="{D7A5C977-13FE-4F15-B5F4-43124DBBC3BF}"/>
    <cellStyle name="Normal 5 16" xfId="13120" xr:uid="{4418FEFB-3B9D-4B50-B126-C7966D7C6621}"/>
    <cellStyle name="Normal 5 16 2" xfId="38629" xr:uid="{E4D34594-EC16-4C8F-BB13-80F1C438CC47}"/>
    <cellStyle name="Normal 5 17" xfId="13061" xr:uid="{177B96AC-7DCF-49B6-915C-3C45FA8BFAB2}"/>
    <cellStyle name="Normal 5 18" xfId="26023" xr:uid="{F518C0E6-1ABE-43AC-9B27-CA311EE67269}"/>
    <cellStyle name="Normal 5 19" xfId="368" xr:uid="{ACAA2162-76AC-4268-9C50-2849965B17A0}"/>
    <cellStyle name="Normal 5 2" xfId="131" xr:uid="{F4C295F0-7C8F-49FF-848A-014C217BC502}"/>
    <cellStyle name="Normal 5 2 10" xfId="1221" xr:uid="{29A17B07-95C8-4D95-9268-CC08934C6577}"/>
    <cellStyle name="Normal 5 2 10 2" xfId="4375" xr:uid="{8F8D023B-D1BC-4018-ABC1-3F8F2BC09F3F}"/>
    <cellStyle name="Normal 5 2 10 2 2" xfId="10668" xr:uid="{D035D5E7-E3D2-4FBD-9ACA-36735E05D6B8}"/>
    <cellStyle name="Normal 5 2 10 2 2 2" xfId="23350" xr:uid="{1AB49A80-9663-4985-8726-3373F6C8B226}"/>
    <cellStyle name="Normal 5 2 10 2 2 2 2" xfId="48842" xr:uid="{BC6A02A4-2A6F-4998-9DE0-E9C61A14074F}"/>
    <cellStyle name="Normal 5 2 10 2 2 3" xfId="36251" xr:uid="{EE1846EE-3D9D-4527-8035-03E0C61FBAD3}"/>
    <cellStyle name="Normal 5 2 10 2 3" xfId="17072" xr:uid="{083E48D5-97F2-4D34-BC09-E2646300DF19}"/>
    <cellStyle name="Normal 5 2 10 2 3 2" xfId="42564" xr:uid="{8DEC26C7-FEC2-48B7-A2A9-DF103462DCB6}"/>
    <cellStyle name="Normal 5 2 10 2 4" xfId="29973" xr:uid="{4C56658C-C936-4ADB-A380-12207F99D78E}"/>
    <cellStyle name="Normal 5 2 10 3" xfId="7529" xr:uid="{5BFDFC15-C9BA-48E6-A6C0-9F55A32E4EE8}"/>
    <cellStyle name="Normal 5 2 10 3 2" xfId="20211" xr:uid="{C3A06C10-7169-4C29-A78F-E88EA3D3A64E}"/>
    <cellStyle name="Normal 5 2 10 3 2 2" xfId="45703" xr:uid="{5E31A6DF-62CB-412C-BE61-CDF205C116E2}"/>
    <cellStyle name="Normal 5 2 10 3 3" xfId="33112" xr:uid="{D29253BC-D7D2-4268-ACA3-C2ADD1577DB0}"/>
    <cellStyle name="Normal 5 2 10 4" xfId="13933" xr:uid="{99543A54-CC18-43F1-9709-53AE4134BA66}"/>
    <cellStyle name="Normal 5 2 10 4 2" xfId="39425" xr:uid="{CC7871A1-F9CA-4C6C-9B43-D42E4540E251}"/>
    <cellStyle name="Normal 5 2 10 5" xfId="26834" xr:uid="{66FFEE5E-B34E-4489-8903-0451DA16983B}"/>
    <cellStyle name="Normal 5 2 11" xfId="2528" xr:uid="{4F6ECFD5-5371-4F82-8D66-FD59895B4271}"/>
    <cellStyle name="Normal 5 2 11 2" xfId="5682" xr:uid="{3526099F-D423-47C6-A7A8-D7AB08667004}"/>
    <cellStyle name="Normal 5 2 11 2 2" xfId="11975" xr:uid="{3149A08D-FBD7-4DC3-9C2B-9B3C81895D5B}"/>
    <cellStyle name="Normal 5 2 11 2 2 2" xfId="24657" xr:uid="{8E90DFB4-A20B-409B-820B-093537AACD73}"/>
    <cellStyle name="Normal 5 2 11 2 2 2 2" xfId="50149" xr:uid="{7E8899CA-00D4-4B80-B605-5777F4412BF0}"/>
    <cellStyle name="Normal 5 2 11 2 2 3" xfId="37558" xr:uid="{ABFE09C7-29A3-4996-B5B5-8D513C040EC4}"/>
    <cellStyle name="Normal 5 2 11 2 3" xfId="18379" xr:uid="{F896C4F5-8F84-4F35-98FA-6B5AC24C6143}"/>
    <cellStyle name="Normal 5 2 11 2 3 2" xfId="43871" xr:uid="{ACB7DDCB-E6DB-4638-BD71-7CB52FBD0F22}"/>
    <cellStyle name="Normal 5 2 11 2 4" xfId="31280" xr:uid="{DC9E12B7-656F-45F2-B6D1-7CFC4B1FF0D7}"/>
    <cellStyle name="Normal 5 2 11 3" xfId="8836" xr:uid="{17F8C1C0-C5AE-4522-AC21-CC38D01E6802}"/>
    <cellStyle name="Normal 5 2 11 3 2" xfId="21518" xr:uid="{9B4179ED-E4EE-4AC0-AF05-0E5F7C91FAED}"/>
    <cellStyle name="Normal 5 2 11 3 2 2" xfId="47010" xr:uid="{853EF4BD-9A37-4C1E-A1EF-E70EF98382B2}"/>
    <cellStyle name="Normal 5 2 11 3 3" xfId="34419" xr:uid="{6FF1EAA6-52AC-42C9-8B55-C242CC7C34A9}"/>
    <cellStyle name="Normal 5 2 11 4" xfId="15240" xr:uid="{C2638681-45F7-447D-838A-2D184BE46C01}"/>
    <cellStyle name="Normal 5 2 11 4 2" xfId="40732" xr:uid="{57F1D956-1A01-478E-8B0E-4E22B343BFB1}"/>
    <cellStyle name="Normal 5 2 11 5" xfId="28141" xr:uid="{02CA4BBB-7FE1-455A-A812-9B5CD1B4BA4F}"/>
    <cellStyle name="Normal 5 2 12" xfId="3051" xr:uid="{8E734493-3942-4A2B-8095-FA9E875F7A84}"/>
    <cellStyle name="Normal 5 2 12 2" xfId="6205" xr:uid="{32A280B7-CC92-47FE-AFF5-42D522B128ED}"/>
    <cellStyle name="Normal 5 2 12 2 2" xfId="12498" xr:uid="{644FA45A-976E-4260-A229-35C2151C66F8}"/>
    <cellStyle name="Normal 5 2 12 2 2 2" xfId="25180" xr:uid="{10755413-B9E9-42EB-A2D1-817952A3417D}"/>
    <cellStyle name="Normal 5 2 12 2 2 2 2" xfId="50672" xr:uid="{B9779606-6158-41C2-B66C-A776B4736233}"/>
    <cellStyle name="Normal 5 2 12 2 2 3" xfId="38081" xr:uid="{70CEDE6C-AFC2-4811-858E-3D1012EDDD7C}"/>
    <cellStyle name="Normal 5 2 12 2 3" xfId="18902" xr:uid="{29678797-D3FE-4F64-9F79-609B93D9F091}"/>
    <cellStyle name="Normal 5 2 12 2 3 2" xfId="44394" xr:uid="{16287127-D81F-4BF1-BF48-D84FBF5F5864}"/>
    <cellStyle name="Normal 5 2 12 2 4" xfId="31803" xr:uid="{C8DEF0EC-C7B7-436B-BC64-9A4D554C46BC}"/>
    <cellStyle name="Normal 5 2 12 3" xfId="9359" xr:uid="{E415DF96-20B2-4E0D-A21A-801797CAD880}"/>
    <cellStyle name="Normal 5 2 12 3 2" xfId="22041" xr:uid="{0154FF03-F68B-4418-AD75-487CC1709817}"/>
    <cellStyle name="Normal 5 2 12 3 2 2" xfId="47533" xr:uid="{191EAE14-C1A0-42A3-B8DD-B70638F53EA8}"/>
    <cellStyle name="Normal 5 2 12 3 3" xfId="34942" xr:uid="{596978F0-B94F-4E76-811E-FFAB29FE2DE9}"/>
    <cellStyle name="Normal 5 2 12 4" xfId="15763" xr:uid="{F5BCDEBD-887A-470C-9BE8-DC5A1EEE0A2F}"/>
    <cellStyle name="Normal 5 2 12 4 2" xfId="41255" xr:uid="{677D0040-515E-4076-81D7-0BEB140F1742}"/>
    <cellStyle name="Normal 5 2 12 5" xfId="28664" xr:uid="{BD21380F-1FB8-4706-8E2D-BA6B3F52E417}"/>
    <cellStyle name="Normal 5 2 13" xfId="3590" xr:uid="{E1398CF1-767A-4CAF-AFE3-70CABD6ED90B}"/>
    <cellStyle name="Normal 5 2 13 2" xfId="9883" xr:uid="{48708062-8173-44F4-AC44-76F4124B1E2B}"/>
    <cellStyle name="Normal 5 2 13 2 2" xfId="22565" xr:uid="{5B17C2E2-F7B6-4874-AA4F-4497D1BF5419}"/>
    <cellStyle name="Normal 5 2 13 2 2 2" xfId="48057" xr:uid="{7626BBC4-34AF-4785-8B04-52D796C1B9AE}"/>
    <cellStyle name="Normal 5 2 13 2 3" xfId="35466" xr:uid="{A4C57291-41A2-4743-BB89-2113E0DD152E}"/>
    <cellStyle name="Normal 5 2 13 3" xfId="16287" xr:uid="{1D28849D-D683-4E5D-AFA1-F1A79BA56AA4}"/>
    <cellStyle name="Normal 5 2 13 3 2" xfId="41779" xr:uid="{C25A5D04-4582-4586-A066-9EFCCBAAA3FD}"/>
    <cellStyle name="Normal 5 2 13 4" xfId="29188" xr:uid="{16C13BE2-B244-4E5D-9D60-C1014AEBC344}"/>
    <cellStyle name="Normal 5 2 14" xfId="6744" xr:uid="{9253FD3B-C932-419C-9694-FE9D60BBADEC}"/>
    <cellStyle name="Normal 5 2 14 2" xfId="19426" xr:uid="{7EF4EF56-D93E-4DA5-A41E-D6F207BE7788}"/>
    <cellStyle name="Normal 5 2 14 2 2" xfId="44918" xr:uid="{A9B40109-6F7D-4CE7-A01C-5209E45A63EC}"/>
    <cellStyle name="Normal 5 2 14 3" xfId="32327" xr:uid="{496BADE2-7149-4B7C-8EAB-FF8E7187FDE1}"/>
    <cellStyle name="Normal 5 2 15" xfId="13146" xr:uid="{AF536362-ABAB-4488-BE4A-A81592F8B6F4}"/>
    <cellStyle name="Normal 5 2 15 2" xfId="38639" xr:uid="{67506EFE-F3DC-4D68-BC8F-8F504014FD17}"/>
    <cellStyle name="Normal 5 2 16" xfId="26048" xr:uid="{7DBC4F4E-B173-4CB6-9CF2-0F578CBF031A}"/>
    <cellStyle name="Normal 5 2 17" xfId="406" xr:uid="{5142AA59-AB0D-40A6-8622-5421D284EF0C}"/>
    <cellStyle name="Normal 5 2 2" xfId="441" xr:uid="{1BB8A23C-661C-47F3-B941-1C8B3D7128A9}"/>
    <cellStyle name="Normal 5 2 2 10" xfId="3071" xr:uid="{CD1AC116-0E23-460D-BBC3-1B2DC4118989}"/>
    <cellStyle name="Normal 5 2 2 10 2" xfId="6225" xr:uid="{487E4550-9C44-4F8D-A565-BE7C5AA8813A}"/>
    <cellStyle name="Normal 5 2 2 10 2 2" xfId="12518" xr:uid="{4124BEFF-82BC-44BD-9EF5-6C7BBE84A16E}"/>
    <cellStyle name="Normal 5 2 2 10 2 2 2" xfId="25200" xr:uid="{B710D00E-E3A2-4451-888D-2A33C68078EF}"/>
    <cellStyle name="Normal 5 2 2 10 2 2 2 2" xfId="50692" xr:uid="{CCB9C77D-1E00-49A1-B84B-C0F4BA1AB609}"/>
    <cellStyle name="Normal 5 2 2 10 2 2 3" xfId="38101" xr:uid="{660C74C5-0139-4F87-AE70-753AEBB08CA5}"/>
    <cellStyle name="Normal 5 2 2 10 2 3" xfId="18922" xr:uid="{E6A81B6A-A905-44E7-B397-5F46137A6CE3}"/>
    <cellStyle name="Normal 5 2 2 10 2 3 2" xfId="44414" xr:uid="{75216F58-9C2E-4D68-AA42-453C8E8EEFC9}"/>
    <cellStyle name="Normal 5 2 2 10 2 4" xfId="31823" xr:uid="{75399722-91E9-489C-B534-D4B47334BA06}"/>
    <cellStyle name="Normal 5 2 2 10 3" xfId="9379" xr:uid="{D4EED3AE-177B-49B0-B295-0E0BE63FCAC9}"/>
    <cellStyle name="Normal 5 2 2 10 3 2" xfId="22061" xr:uid="{03C817F0-B893-44EF-BDA9-0A3DE17BF52C}"/>
    <cellStyle name="Normal 5 2 2 10 3 2 2" xfId="47553" xr:uid="{5AC0F1E0-1E0A-4170-9D46-A45EC5F071B9}"/>
    <cellStyle name="Normal 5 2 2 10 3 3" xfId="34962" xr:uid="{829F7975-4199-4F39-B606-569FCE4614E1}"/>
    <cellStyle name="Normal 5 2 2 10 4" xfId="15783" xr:uid="{C977A63E-A7BC-4535-A393-EE9CAE837E59}"/>
    <cellStyle name="Normal 5 2 2 10 4 2" xfId="41275" xr:uid="{D695C4C8-1F0D-4A47-BA7D-ED439F5F6FC3}"/>
    <cellStyle name="Normal 5 2 2 10 5" xfId="28684" xr:uid="{A649C587-BCF9-4206-A8F8-37803A358303}"/>
    <cellStyle name="Normal 5 2 2 11" xfId="3610" xr:uid="{9C281890-B9AC-4A0F-93A7-A0E3A3C24DCE}"/>
    <cellStyle name="Normal 5 2 2 11 2" xfId="9903" xr:uid="{60819ACE-5C94-4836-8F8C-CDB2B7C20041}"/>
    <cellStyle name="Normal 5 2 2 11 2 2" xfId="22585" xr:uid="{E0A9F59B-A4DE-4B78-A9EB-26464D1D8A5B}"/>
    <cellStyle name="Normal 5 2 2 11 2 2 2" xfId="48077" xr:uid="{56545AAF-4134-4AE4-96D9-2981BA127B4D}"/>
    <cellStyle name="Normal 5 2 2 11 2 3" xfId="35486" xr:uid="{4263A181-C591-402D-A87E-679BFE6409C1}"/>
    <cellStyle name="Normal 5 2 2 11 3" xfId="16307" xr:uid="{A7E4EC8F-DBE7-4755-A05F-E5A8E9E37691}"/>
    <cellStyle name="Normal 5 2 2 11 3 2" xfId="41799" xr:uid="{F82D1B63-BE96-4D16-87A9-3A8F465A8DF3}"/>
    <cellStyle name="Normal 5 2 2 11 4" xfId="29208" xr:uid="{8FFFCE99-7FA0-4D4B-9753-214FC718375D}"/>
    <cellStyle name="Normal 5 2 2 12" xfId="6764" xr:uid="{3563284B-96F3-4E6F-8A3D-C1C9E17DB258}"/>
    <cellStyle name="Normal 5 2 2 12 2" xfId="19446" xr:uid="{CE361925-5D7A-4960-A87B-544E0F9C8540}"/>
    <cellStyle name="Normal 5 2 2 12 2 2" xfId="44938" xr:uid="{D79F6A8F-76B2-4A5B-B75E-3EAED09DFB24}"/>
    <cellStyle name="Normal 5 2 2 12 3" xfId="32347" xr:uid="{BC088EA9-237F-47B5-B442-D7F29AE94E87}"/>
    <cellStyle name="Normal 5 2 2 13" xfId="13168" xr:uid="{26F93C60-638C-4CB1-A2D7-75AD4FB155A5}"/>
    <cellStyle name="Normal 5 2 2 13 2" xfId="38660" xr:uid="{075D3BD3-DF07-406F-8F6D-9ABC9027CC00}"/>
    <cellStyle name="Normal 5 2 2 14" xfId="26069" xr:uid="{C13F128B-F03D-4FA3-B39F-33690AFB4664}"/>
    <cellStyle name="Normal 5 2 2 2" xfId="502" xr:uid="{899185E6-E08D-4885-964A-6FA6B062993D}"/>
    <cellStyle name="Normal 5 2 2 2 10" xfId="6825" xr:uid="{12F703AB-9BE6-444A-940F-8B0B4670E9A9}"/>
    <cellStyle name="Normal 5 2 2 2 10 2" xfId="19507" xr:uid="{66814533-2C1C-4F0E-A6EC-ABB6443D918E}"/>
    <cellStyle name="Normal 5 2 2 2 10 2 2" xfId="44999" xr:uid="{68412244-68FB-46E8-83EA-B1610E44B7C4}"/>
    <cellStyle name="Normal 5 2 2 2 10 3" xfId="32408" xr:uid="{A5612257-E602-4FA7-A7E7-E11A470CA0E5}"/>
    <cellStyle name="Normal 5 2 2 2 11" xfId="13229" xr:uid="{9565ECA3-098A-4280-B8D1-E1E4079CF4CA}"/>
    <cellStyle name="Normal 5 2 2 2 11 2" xfId="38721" xr:uid="{F6996A23-6557-46E6-9496-A44EDDCBE8EC}"/>
    <cellStyle name="Normal 5 2 2 2 12" xfId="26130" xr:uid="{3A72E886-7820-47D2-BF2F-48F5411804E3}"/>
    <cellStyle name="Normal 5 2 2 2 2" xfId="661" xr:uid="{53C14A2A-846C-4D0C-B848-E65E28D1DD9D}"/>
    <cellStyle name="Normal 5 2 2 2 2 10" xfId="13388" xr:uid="{F83AD16F-E345-42C5-8343-131386D9B4F6}"/>
    <cellStyle name="Normal 5 2 2 2 2 10 2" xfId="38880" xr:uid="{27A53A60-3D02-49F8-A6D7-A65C916828EB}"/>
    <cellStyle name="Normal 5 2 2 2 2 11" xfId="26289" xr:uid="{AE50FC28-5351-4E13-B639-8A26C1DA93E0}"/>
    <cellStyle name="Normal 5 2 2 2 2 2" xfId="1198" xr:uid="{10A55DB4-20CA-4BA2-A8E2-A0FC30A0E35D}"/>
    <cellStyle name="Normal 5 2 2 2 2 2 2" xfId="2505" xr:uid="{DA3275C7-52C1-43E7-A887-698E8262AA85}"/>
    <cellStyle name="Normal 5 2 2 2 2 2 2 2" xfId="5659" xr:uid="{13D4061F-BE54-49C1-9119-4D39B1B06691}"/>
    <cellStyle name="Normal 5 2 2 2 2 2 2 2 2" xfId="11952" xr:uid="{FA944671-3E41-4B61-8232-1C0E2EBD2CB5}"/>
    <cellStyle name="Normal 5 2 2 2 2 2 2 2 2 2" xfId="24634" xr:uid="{C09748C8-BAC6-469C-BE33-CDEBEF9E23EA}"/>
    <cellStyle name="Normal 5 2 2 2 2 2 2 2 2 2 2" xfId="50126" xr:uid="{7926FC3E-60DA-4679-BEF6-2133DDA691EF}"/>
    <cellStyle name="Normal 5 2 2 2 2 2 2 2 2 3" xfId="37535" xr:uid="{D191A63A-7EA7-4B01-8B23-A8ACEC39EFF3}"/>
    <cellStyle name="Normal 5 2 2 2 2 2 2 2 3" xfId="18356" xr:uid="{94FAF3CA-96E8-460B-8E69-0AFAB9543BEC}"/>
    <cellStyle name="Normal 5 2 2 2 2 2 2 2 3 2" xfId="43848" xr:uid="{D02D197C-8658-4321-B7FF-C465B81E77C0}"/>
    <cellStyle name="Normal 5 2 2 2 2 2 2 2 4" xfId="31257" xr:uid="{94E49EA6-7E0C-4A40-ADCC-1933B3E65E53}"/>
    <cellStyle name="Normal 5 2 2 2 2 2 2 3" xfId="8813" xr:uid="{6EAD215F-446C-4A47-A8C5-967438312431}"/>
    <cellStyle name="Normal 5 2 2 2 2 2 2 3 2" xfId="21495" xr:uid="{75A4DA6B-4FA3-4F5F-9FF5-3C75D59CB55A}"/>
    <cellStyle name="Normal 5 2 2 2 2 2 2 3 2 2" xfId="46987" xr:uid="{92DFC26E-B57F-40F8-B229-30CCD7944477}"/>
    <cellStyle name="Normal 5 2 2 2 2 2 2 3 3" xfId="34396" xr:uid="{CC657CC2-BF79-4ECC-A83F-FFC04C655C02}"/>
    <cellStyle name="Normal 5 2 2 2 2 2 2 4" xfId="15217" xr:uid="{B9DF7747-2628-4B57-90D6-C2FC41CA0F7D}"/>
    <cellStyle name="Normal 5 2 2 2 2 2 2 4 2" xfId="40709" xr:uid="{7E01DCB4-F172-479E-8F19-52B28E3D5B80}"/>
    <cellStyle name="Normal 5 2 2 2 2 2 2 5" xfId="28118" xr:uid="{3B9D10C3-B646-4055-8785-F4F031D726F8}"/>
    <cellStyle name="Normal 5 2 2 2 2 2 3" xfId="1722" xr:uid="{7A9B8700-0C6F-403D-AC39-B96C51DF5562}"/>
    <cellStyle name="Normal 5 2 2 2 2 2 3 2" xfId="4876" xr:uid="{F35068E4-EA72-4106-933F-7F623B6B5878}"/>
    <cellStyle name="Normal 5 2 2 2 2 2 3 2 2" xfId="11169" xr:uid="{94B654C4-405F-4438-8862-25C7F693EF2E}"/>
    <cellStyle name="Normal 5 2 2 2 2 2 3 2 2 2" xfId="23851" xr:uid="{57733914-9BEC-4AF7-8391-8D098BC76B88}"/>
    <cellStyle name="Normal 5 2 2 2 2 2 3 2 2 2 2" xfId="49343" xr:uid="{DA9AB519-BCA8-4ADA-B766-E7351EE06410}"/>
    <cellStyle name="Normal 5 2 2 2 2 2 3 2 2 3" xfId="36752" xr:uid="{F8470675-6E3C-484B-86B0-01F533BF2827}"/>
    <cellStyle name="Normal 5 2 2 2 2 2 3 2 3" xfId="17573" xr:uid="{A3BD0A53-6B2B-4F22-8115-AFEE573EC0A4}"/>
    <cellStyle name="Normal 5 2 2 2 2 2 3 2 3 2" xfId="43065" xr:uid="{1B629F1B-1D78-4A9E-B6AF-CF17AF2ED6F2}"/>
    <cellStyle name="Normal 5 2 2 2 2 2 3 2 4" xfId="30474" xr:uid="{B6ADD99F-5D96-4567-B72D-D97326B744E9}"/>
    <cellStyle name="Normal 5 2 2 2 2 2 3 3" xfId="8030" xr:uid="{A959E603-E9B7-42C9-AA2C-5484FE7E1B46}"/>
    <cellStyle name="Normal 5 2 2 2 2 2 3 3 2" xfId="20712" xr:uid="{C5E29F5A-D472-41DC-96DA-7E3DDF897D45}"/>
    <cellStyle name="Normal 5 2 2 2 2 2 3 3 2 2" xfId="46204" xr:uid="{79CA4BB8-91A1-43BA-820D-B9CF83586CC8}"/>
    <cellStyle name="Normal 5 2 2 2 2 2 3 3 3" xfId="33613" xr:uid="{FFADEBA0-0E48-451B-8502-4988109A71D4}"/>
    <cellStyle name="Normal 5 2 2 2 2 2 3 4" xfId="14434" xr:uid="{0BD7EDF9-62DC-470E-AD31-2577802576D7}"/>
    <cellStyle name="Normal 5 2 2 2 2 2 3 4 2" xfId="39926" xr:uid="{F0BEE58B-591A-4A05-9364-AD1D03FC1C8C}"/>
    <cellStyle name="Normal 5 2 2 2 2 2 3 5" xfId="27335" xr:uid="{61D0F62B-4053-45DF-A09B-C5F91D143195}"/>
    <cellStyle name="Normal 5 2 2 2 2 2 4" xfId="3029" xr:uid="{23CD4E3A-E6AE-4A05-A284-EC7128D68C6B}"/>
    <cellStyle name="Normal 5 2 2 2 2 2 4 2" xfId="6183" xr:uid="{7E064934-88AE-4C2B-ABEE-47DE9A15F7AF}"/>
    <cellStyle name="Normal 5 2 2 2 2 2 4 2 2" xfId="12476" xr:uid="{7497AE68-0E6D-483C-822E-DEE5F1395410}"/>
    <cellStyle name="Normal 5 2 2 2 2 2 4 2 2 2" xfId="25158" xr:uid="{59E19AB8-BFEA-4C27-9263-80032DAA232F}"/>
    <cellStyle name="Normal 5 2 2 2 2 2 4 2 2 2 2" xfId="50650" xr:uid="{37E0EFAC-7734-4110-8EE7-0225ED5E05E1}"/>
    <cellStyle name="Normal 5 2 2 2 2 2 4 2 2 3" xfId="38059" xr:uid="{FBB63320-461F-4B61-AF18-42CAB81B9FE5}"/>
    <cellStyle name="Normal 5 2 2 2 2 2 4 2 3" xfId="18880" xr:uid="{B10386FB-F9FC-4F61-891F-7E28A9EDA445}"/>
    <cellStyle name="Normal 5 2 2 2 2 2 4 2 3 2" xfId="44372" xr:uid="{23DDD7BA-623A-41E5-80F2-B2AC4ABA78DA}"/>
    <cellStyle name="Normal 5 2 2 2 2 2 4 2 4" xfId="31781" xr:uid="{7092CBAB-DF7A-45A3-AB61-7E46BC994E71}"/>
    <cellStyle name="Normal 5 2 2 2 2 2 4 3" xfId="9337" xr:uid="{297549EA-A219-4680-BB0D-247131167EE6}"/>
    <cellStyle name="Normal 5 2 2 2 2 2 4 3 2" xfId="22019" xr:uid="{FA423247-12C2-431D-B46A-64E5C287C86A}"/>
    <cellStyle name="Normal 5 2 2 2 2 2 4 3 2 2" xfId="47511" xr:uid="{B1EC666A-085A-4498-8A80-D28EC3C02473}"/>
    <cellStyle name="Normal 5 2 2 2 2 2 4 3 3" xfId="34920" xr:uid="{DF39A2DC-3B0D-4BB6-A6D0-3311BB338571}"/>
    <cellStyle name="Normal 5 2 2 2 2 2 4 4" xfId="15741" xr:uid="{0572716F-3D28-47C8-9C75-1C35C5B37825}"/>
    <cellStyle name="Normal 5 2 2 2 2 2 4 4 2" xfId="41233" xr:uid="{69B06CBE-2B38-473A-B5D7-1869AC8D2E71}"/>
    <cellStyle name="Normal 5 2 2 2 2 2 4 5" xfId="28642" xr:uid="{10DB0607-DDE4-4F10-A070-71387C2D8D79}"/>
    <cellStyle name="Normal 5 2 2 2 2 2 5" xfId="3552" xr:uid="{D9F83BC0-0AF7-4A5A-93C2-7E307D3B0CEF}"/>
    <cellStyle name="Normal 5 2 2 2 2 2 5 2" xfId="6706" xr:uid="{CEE90301-0B18-49D3-8A73-C61D52B950B2}"/>
    <cellStyle name="Normal 5 2 2 2 2 2 5 2 2" xfId="12999" xr:uid="{9767D07F-032F-4A5B-ADC0-44BA82D85C4E}"/>
    <cellStyle name="Normal 5 2 2 2 2 2 5 2 2 2" xfId="25681" xr:uid="{9EA118A0-BEA4-4751-B449-F75FA64C381E}"/>
    <cellStyle name="Normal 5 2 2 2 2 2 5 2 2 2 2" xfId="51173" xr:uid="{AA46F3DB-68F9-447D-ACC9-63C11F5CDEF0}"/>
    <cellStyle name="Normal 5 2 2 2 2 2 5 2 2 3" xfId="38582" xr:uid="{650E0903-79DD-4F1D-ACCB-B775F187444E}"/>
    <cellStyle name="Normal 5 2 2 2 2 2 5 2 3" xfId="19403" xr:uid="{97161179-8FE7-4461-942F-2B103DFD2C04}"/>
    <cellStyle name="Normal 5 2 2 2 2 2 5 2 3 2" xfId="44895" xr:uid="{94382534-3675-471F-AD63-42FD48F7E56D}"/>
    <cellStyle name="Normal 5 2 2 2 2 2 5 2 4" xfId="32304" xr:uid="{CB47AA4D-2FEC-4A83-BE36-895171CFA7EF}"/>
    <cellStyle name="Normal 5 2 2 2 2 2 5 3" xfId="9860" xr:uid="{EF791343-F123-4DDC-9C4C-FE3EBE236C73}"/>
    <cellStyle name="Normal 5 2 2 2 2 2 5 3 2" xfId="22542" xr:uid="{E0732596-F050-4569-888B-8034B638CEBF}"/>
    <cellStyle name="Normal 5 2 2 2 2 2 5 3 2 2" xfId="48034" xr:uid="{A5176B49-A422-439C-9D2A-6A7C48548FCA}"/>
    <cellStyle name="Normal 5 2 2 2 2 2 5 3 3" xfId="35443" xr:uid="{0A294C10-95DA-45EB-A51B-6B6AB115B312}"/>
    <cellStyle name="Normal 5 2 2 2 2 2 5 4" xfId="16264" xr:uid="{942EAC17-3E8D-4A58-B422-72427A634CBB}"/>
    <cellStyle name="Normal 5 2 2 2 2 2 5 4 2" xfId="41756" xr:uid="{63C4E19C-21D3-4161-8E30-55B2EEC864DC}"/>
    <cellStyle name="Normal 5 2 2 2 2 2 5 5" xfId="29165" xr:uid="{3BFD5306-8B3E-468D-8AF1-60033DD9624D}"/>
    <cellStyle name="Normal 5 2 2 2 2 2 6" xfId="4352" xr:uid="{B6905CC9-4E32-4BAB-9AF6-0C950A5677F4}"/>
    <cellStyle name="Normal 5 2 2 2 2 2 6 2" xfId="10645" xr:uid="{62E2F3D6-4B3F-4EA1-B859-67CD01A0DAE1}"/>
    <cellStyle name="Normal 5 2 2 2 2 2 6 2 2" xfId="23327" xr:uid="{A1A50A00-B841-4CBC-AC90-CA7CC90979F3}"/>
    <cellStyle name="Normal 5 2 2 2 2 2 6 2 2 2" xfId="48819" xr:uid="{9124742E-ADB1-4F73-BC1F-BE43A4D9CC76}"/>
    <cellStyle name="Normal 5 2 2 2 2 2 6 2 3" xfId="36228" xr:uid="{5CFAB966-BCBE-42B6-9D52-6E7BB04215C1}"/>
    <cellStyle name="Normal 5 2 2 2 2 2 6 3" xfId="17049" xr:uid="{BA194F0F-E0A4-4FDB-AA36-AC5AAD650A37}"/>
    <cellStyle name="Normal 5 2 2 2 2 2 6 3 2" xfId="42541" xr:uid="{648B9926-0A94-47F0-A62A-B8446EC67B56}"/>
    <cellStyle name="Normal 5 2 2 2 2 2 6 4" xfId="29950" xr:uid="{6EFC0909-3FDC-4AFB-86CA-DCFF1617F146}"/>
    <cellStyle name="Normal 5 2 2 2 2 2 7" xfId="7506" xr:uid="{B45A24DF-F4DE-4B7E-AD12-F65C462684DD}"/>
    <cellStyle name="Normal 5 2 2 2 2 2 7 2" xfId="20188" xr:uid="{2217E02E-792E-4BD0-8CE7-DAD199C73675}"/>
    <cellStyle name="Normal 5 2 2 2 2 2 7 2 2" xfId="45680" xr:uid="{0BCEDC61-A3E9-4C72-9364-B975EF60B1A4}"/>
    <cellStyle name="Normal 5 2 2 2 2 2 7 3" xfId="33089" xr:uid="{8E421F91-8113-4440-A461-79DBF1D2E819}"/>
    <cellStyle name="Normal 5 2 2 2 2 2 8" xfId="13910" xr:uid="{0ED5E7A5-BCA4-4AFE-B8C6-76F4E0A54393}"/>
    <cellStyle name="Normal 5 2 2 2 2 2 8 2" xfId="39402" xr:uid="{6AD9EE7A-7953-40E5-B262-9A78A1444892}"/>
    <cellStyle name="Normal 5 2 2 2 2 2 9" xfId="26811" xr:uid="{64CECB5E-483B-4FC3-A277-59FF9951B1EF}"/>
    <cellStyle name="Normal 5 2 2 2 2 3" xfId="938" xr:uid="{A6F1CDBD-8E85-4250-A5B3-6CBC0ECD9560}"/>
    <cellStyle name="Normal 5 2 2 2 2 3 2" xfId="2245" xr:uid="{0D26EA33-75B5-4F0F-96F6-3AC5F5558C6B}"/>
    <cellStyle name="Normal 5 2 2 2 2 3 2 2" xfId="5399" xr:uid="{B7630993-F330-4B24-B442-7667EFF71EAB}"/>
    <cellStyle name="Normal 5 2 2 2 2 3 2 2 2" xfId="11692" xr:uid="{E35B1FAD-B91B-4357-B495-5FA4656D41E8}"/>
    <cellStyle name="Normal 5 2 2 2 2 3 2 2 2 2" xfId="24374" xr:uid="{BA49E203-35B7-45C0-9A33-A9C13C56BCE1}"/>
    <cellStyle name="Normal 5 2 2 2 2 3 2 2 2 2 2" xfId="49866" xr:uid="{60CCDA10-A9E9-4DBA-9716-77709C1F27C1}"/>
    <cellStyle name="Normal 5 2 2 2 2 3 2 2 2 3" xfId="37275" xr:uid="{F20B5F4E-18C5-40E4-BDD8-C91062FD2DA8}"/>
    <cellStyle name="Normal 5 2 2 2 2 3 2 2 3" xfId="18096" xr:uid="{D322025A-B8EE-4CCF-BD30-727C57249045}"/>
    <cellStyle name="Normal 5 2 2 2 2 3 2 2 3 2" xfId="43588" xr:uid="{07656056-99E3-438D-9D8E-953F53D7DE46}"/>
    <cellStyle name="Normal 5 2 2 2 2 3 2 2 4" xfId="30997" xr:uid="{90E1BC9E-0104-4205-8CF8-6261274ADF1C}"/>
    <cellStyle name="Normal 5 2 2 2 2 3 2 3" xfId="8553" xr:uid="{30A234EB-4E56-41AD-81D3-018DC91ADCD6}"/>
    <cellStyle name="Normal 5 2 2 2 2 3 2 3 2" xfId="21235" xr:uid="{549BB14F-09AA-48DB-825F-C5D54BDAE0F8}"/>
    <cellStyle name="Normal 5 2 2 2 2 3 2 3 2 2" xfId="46727" xr:uid="{15A0A214-6722-4E9F-8627-97CA33434A20}"/>
    <cellStyle name="Normal 5 2 2 2 2 3 2 3 3" xfId="34136" xr:uid="{CA7659DA-0D09-4D41-A08F-3CEC4A51B4E7}"/>
    <cellStyle name="Normal 5 2 2 2 2 3 2 4" xfId="14957" xr:uid="{04922B86-5CD8-42A8-91F5-4E2476851489}"/>
    <cellStyle name="Normal 5 2 2 2 2 3 2 4 2" xfId="40449" xr:uid="{7287D04F-02F9-4F96-AF29-BC6ECA3A0A2C}"/>
    <cellStyle name="Normal 5 2 2 2 2 3 2 5" xfId="27858" xr:uid="{161C5B93-45FD-4069-8DCC-AFBB25B041AC}"/>
    <cellStyle name="Normal 5 2 2 2 2 3 3" xfId="4092" xr:uid="{565CCD7F-1515-437F-8B14-C970C8748C74}"/>
    <cellStyle name="Normal 5 2 2 2 2 3 3 2" xfId="10385" xr:uid="{A6C92DB1-E5AF-4AD0-B9E6-FBC64E2203A9}"/>
    <cellStyle name="Normal 5 2 2 2 2 3 3 2 2" xfId="23067" xr:uid="{95590C07-8F68-43BF-A5B5-A09DD47A01A9}"/>
    <cellStyle name="Normal 5 2 2 2 2 3 3 2 2 2" xfId="48559" xr:uid="{22491F84-3A39-42D8-92EA-DDBF7EF50897}"/>
    <cellStyle name="Normal 5 2 2 2 2 3 3 2 3" xfId="35968" xr:uid="{C732E3C7-7F11-4004-A4C0-19CAB1EA3C95}"/>
    <cellStyle name="Normal 5 2 2 2 2 3 3 3" xfId="16789" xr:uid="{62238747-830D-4EEF-BF9B-5FA9FA6FB97C}"/>
    <cellStyle name="Normal 5 2 2 2 2 3 3 3 2" xfId="42281" xr:uid="{315D8D85-53C5-4FFB-9887-58209C884C4D}"/>
    <cellStyle name="Normal 5 2 2 2 2 3 3 4" xfId="29690" xr:uid="{4B4B2412-214F-4325-B6FE-D9A968B4438B}"/>
    <cellStyle name="Normal 5 2 2 2 2 3 4" xfId="7246" xr:uid="{1DD32B42-B454-48C5-A7B3-1318E6140113}"/>
    <cellStyle name="Normal 5 2 2 2 2 3 4 2" xfId="19928" xr:uid="{B27D7D3E-99FF-44A1-A7BD-9D6C78F1D217}"/>
    <cellStyle name="Normal 5 2 2 2 2 3 4 2 2" xfId="45420" xr:uid="{7058E27A-057D-451C-8F50-B26265304663}"/>
    <cellStyle name="Normal 5 2 2 2 2 3 4 3" xfId="32829" xr:uid="{66B14E76-4D99-401F-B654-C738428BE217}"/>
    <cellStyle name="Normal 5 2 2 2 2 3 5" xfId="13650" xr:uid="{08A9CCB3-5843-4585-AC25-3566F0EB3417}"/>
    <cellStyle name="Normal 5 2 2 2 2 3 5 2" xfId="39142" xr:uid="{2AAF6E04-6F25-49EC-A292-5A4163E3F37B}"/>
    <cellStyle name="Normal 5 2 2 2 2 3 6" xfId="26551" xr:uid="{771FD999-5463-4557-BE32-E4BF6F66A1D5}"/>
    <cellStyle name="Normal 5 2 2 2 2 4" xfId="1983" xr:uid="{92A80743-9EE0-47BF-9446-7549012000BB}"/>
    <cellStyle name="Normal 5 2 2 2 2 4 2" xfId="5137" xr:uid="{E74BFFCF-DB5C-4B20-806D-39397330C464}"/>
    <cellStyle name="Normal 5 2 2 2 2 4 2 2" xfId="11430" xr:uid="{38B2878B-0B44-4B21-884F-E543DCB3A7A9}"/>
    <cellStyle name="Normal 5 2 2 2 2 4 2 2 2" xfId="24112" xr:uid="{D0432D14-1A6A-4BC4-A595-189B97E889B6}"/>
    <cellStyle name="Normal 5 2 2 2 2 4 2 2 2 2" xfId="49604" xr:uid="{717F5858-EA2E-478B-9615-62116EE2AD0B}"/>
    <cellStyle name="Normal 5 2 2 2 2 4 2 2 3" xfId="37013" xr:uid="{00C0A1C1-75B8-4C24-BFAE-68AFCBAE1EEF}"/>
    <cellStyle name="Normal 5 2 2 2 2 4 2 3" xfId="17834" xr:uid="{73B2BA7F-A181-4CAE-9D3E-16E81846D4B7}"/>
    <cellStyle name="Normal 5 2 2 2 2 4 2 3 2" xfId="43326" xr:uid="{04365ED8-5A6E-48A9-8DB3-DAB4939C85D3}"/>
    <cellStyle name="Normal 5 2 2 2 2 4 2 4" xfId="30735" xr:uid="{B49DE796-1788-408E-81A6-B63D483FE3AB}"/>
    <cellStyle name="Normal 5 2 2 2 2 4 3" xfId="8291" xr:uid="{D8F3D61B-46E9-482A-922A-735A604946B5}"/>
    <cellStyle name="Normal 5 2 2 2 2 4 3 2" xfId="20973" xr:uid="{CA512510-B59E-47A5-88BB-7D74D5FDB377}"/>
    <cellStyle name="Normal 5 2 2 2 2 4 3 2 2" xfId="46465" xr:uid="{F14D744D-EA1A-40B3-92CB-57B3351AF67D}"/>
    <cellStyle name="Normal 5 2 2 2 2 4 3 3" xfId="33874" xr:uid="{C7D5362E-6A1A-416C-A007-5CD0F42527C4}"/>
    <cellStyle name="Normal 5 2 2 2 2 4 4" xfId="14695" xr:uid="{C60BCD11-84FC-468C-B18F-A48C707D7D63}"/>
    <cellStyle name="Normal 5 2 2 2 2 4 4 2" xfId="40187" xr:uid="{18658670-2F8B-4836-B22E-A72A4352CA35}"/>
    <cellStyle name="Normal 5 2 2 2 2 4 5" xfId="27596" xr:uid="{A35BA830-6040-4083-B12C-A4A2DF997FE8}"/>
    <cellStyle name="Normal 5 2 2 2 2 5" xfId="1461" xr:uid="{42B1A2A6-1BE1-4FA3-B044-6016EB971BD5}"/>
    <cellStyle name="Normal 5 2 2 2 2 5 2" xfId="4615" xr:uid="{D4C5BF45-3BD5-46EE-AE92-F8F55957A615}"/>
    <cellStyle name="Normal 5 2 2 2 2 5 2 2" xfId="10908" xr:uid="{49E2D272-CEA2-49AF-9076-81E077FB7D7F}"/>
    <cellStyle name="Normal 5 2 2 2 2 5 2 2 2" xfId="23590" xr:uid="{03CF14F6-DAE7-4C4D-A820-7A171538674E}"/>
    <cellStyle name="Normal 5 2 2 2 2 5 2 2 2 2" xfId="49082" xr:uid="{53B25D42-77E2-45AC-B803-441719F3E9F9}"/>
    <cellStyle name="Normal 5 2 2 2 2 5 2 2 3" xfId="36491" xr:uid="{2D0D1829-2109-4910-BAC0-CBA3A755977C}"/>
    <cellStyle name="Normal 5 2 2 2 2 5 2 3" xfId="17312" xr:uid="{B2E219EE-731C-4212-8997-64E8FE5ADD8E}"/>
    <cellStyle name="Normal 5 2 2 2 2 5 2 3 2" xfId="42804" xr:uid="{F30610D3-A379-472A-999F-5D2827C0DCDE}"/>
    <cellStyle name="Normal 5 2 2 2 2 5 2 4" xfId="30213" xr:uid="{C85CF754-CAF7-446D-9E76-FFECB76A9D7C}"/>
    <cellStyle name="Normal 5 2 2 2 2 5 3" xfId="7769" xr:uid="{5F09E378-822F-4367-A013-3EBAA8158CE9}"/>
    <cellStyle name="Normal 5 2 2 2 2 5 3 2" xfId="20451" xr:uid="{B3DDCD63-B7DF-4FBB-BEBC-21C73484BE16}"/>
    <cellStyle name="Normal 5 2 2 2 2 5 3 2 2" xfId="45943" xr:uid="{C2E61FF1-3DC7-43BF-80BB-047B6C207FF3}"/>
    <cellStyle name="Normal 5 2 2 2 2 5 3 3" xfId="33352" xr:uid="{AB178C93-A950-4082-AC9B-B3904EF0C1F2}"/>
    <cellStyle name="Normal 5 2 2 2 2 5 4" xfId="14173" xr:uid="{FB99177E-A406-4166-8BA1-A92953CC2F9C}"/>
    <cellStyle name="Normal 5 2 2 2 2 5 4 2" xfId="39665" xr:uid="{736DCFCE-5A40-4453-976F-76C4390AC5E6}"/>
    <cellStyle name="Normal 5 2 2 2 2 5 5" xfId="27074" xr:uid="{97D69143-651D-4533-9763-5DD992E3F7AD}"/>
    <cellStyle name="Normal 5 2 2 2 2 6" xfId="2768" xr:uid="{B5805BF8-60EF-44F2-A921-A30255FCF468}"/>
    <cellStyle name="Normal 5 2 2 2 2 6 2" xfId="5922" xr:uid="{DA3EB829-E95E-498D-B00C-92E8F0836125}"/>
    <cellStyle name="Normal 5 2 2 2 2 6 2 2" xfId="12215" xr:uid="{779D4AA4-C933-4438-A5AF-6809721B28E2}"/>
    <cellStyle name="Normal 5 2 2 2 2 6 2 2 2" xfId="24897" xr:uid="{3CFB802C-E213-4167-9430-FCA2BA1B2E12}"/>
    <cellStyle name="Normal 5 2 2 2 2 6 2 2 2 2" xfId="50389" xr:uid="{134606DE-F4DC-4075-BD11-C79A5DA67E8C}"/>
    <cellStyle name="Normal 5 2 2 2 2 6 2 2 3" xfId="37798" xr:uid="{162FADBE-1383-4727-8E9A-891EC52E41A5}"/>
    <cellStyle name="Normal 5 2 2 2 2 6 2 3" xfId="18619" xr:uid="{74E17B11-281E-4C82-8FB0-EBC3B816232F}"/>
    <cellStyle name="Normal 5 2 2 2 2 6 2 3 2" xfId="44111" xr:uid="{8A8B4694-424B-4D06-B1A5-BBF29957CBF5}"/>
    <cellStyle name="Normal 5 2 2 2 2 6 2 4" xfId="31520" xr:uid="{E7F8FA69-B4ED-44D8-9F0B-681700E5F836}"/>
    <cellStyle name="Normal 5 2 2 2 2 6 3" xfId="9076" xr:uid="{35C254AC-0852-403B-9871-384B81F08356}"/>
    <cellStyle name="Normal 5 2 2 2 2 6 3 2" xfId="21758" xr:uid="{5D618547-F484-4636-9D6B-A0BF9A1F66EB}"/>
    <cellStyle name="Normal 5 2 2 2 2 6 3 2 2" xfId="47250" xr:uid="{C808E72D-C222-47ED-BF35-B5482E4FF852}"/>
    <cellStyle name="Normal 5 2 2 2 2 6 3 3" xfId="34659" xr:uid="{CFB9BF02-E067-4E61-A1C6-4F9CCC6C9139}"/>
    <cellStyle name="Normal 5 2 2 2 2 6 4" xfId="15480" xr:uid="{13AA41AE-062D-406B-AC17-8AC7FCF737ED}"/>
    <cellStyle name="Normal 5 2 2 2 2 6 4 2" xfId="40972" xr:uid="{D5781FD8-ABA6-44F2-86B4-7B05C04FE173}"/>
    <cellStyle name="Normal 5 2 2 2 2 6 5" xfId="28381" xr:uid="{07C9521E-FDD0-4E74-99B2-9C17DFE7997B}"/>
    <cellStyle name="Normal 5 2 2 2 2 7" xfId="3291" xr:uid="{54C4984E-9450-4CC5-ACC9-3663AD4462D7}"/>
    <cellStyle name="Normal 5 2 2 2 2 7 2" xfId="6445" xr:uid="{53878151-9357-47C1-9E58-13C39F69538F}"/>
    <cellStyle name="Normal 5 2 2 2 2 7 2 2" xfId="12738" xr:uid="{A9A5E0A6-10B3-41C1-8DB8-8DD6EF8E3EE5}"/>
    <cellStyle name="Normal 5 2 2 2 2 7 2 2 2" xfId="25420" xr:uid="{9220B6BD-2CDB-4B8E-BABC-7852BD44453A}"/>
    <cellStyle name="Normal 5 2 2 2 2 7 2 2 2 2" xfId="50912" xr:uid="{0DD78C60-847B-4F2B-9206-D903264EFBE0}"/>
    <cellStyle name="Normal 5 2 2 2 2 7 2 2 3" xfId="38321" xr:uid="{3EA4511A-539F-4B68-8D8C-070ACFF57E51}"/>
    <cellStyle name="Normal 5 2 2 2 2 7 2 3" xfId="19142" xr:uid="{C9FED857-08BD-4C9D-B2CE-BBD94D9209A6}"/>
    <cellStyle name="Normal 5 2 2 2 2 7 2 3 2" xfId="44634" xr:uid="{F63F5F27-24A7-4D11-8001-20497B543979}"/>
    <cellStyle name="Normal 5 2 2 2 2 7 2 4" xfId="32043" xr:uid="{1C2F404E-28A4-47FB-84EE-2E1EDBA47BA3}"/>
    <cellStyle name="Normal 5 2 2 2 2 7 3" xfId="9599" xr:uid="{A46768FA-F17F-4D93-B532-9BA1510A08BD}"/>
    <cellStyle name="Normal 5 2 2 2 2 7 3 2" xfId="22281" xr:uid="{2BE17AE7-CDF4-4735-A025-184865F4978C}"/>
    <cellStyle name="Normal 5 2 2 2 2 7 3 2 2" xfId="47773" xr:uid="{8CAB56FA-FF1A-4A14-9968-B4A7B0AC7182}"/>
    <cellStyle name="Normal 5 2 2 2 2 7 3 3" xfId="35182" xr:uid="{6C93AF2E-01FE-4517-8218-3D366B15441D}"/>
    <cellStyle name="Normal 5 2 2 2 2 7 4" xfId="16003" xr:uid="{9EA9A322-62FF-4F41-B530-4B386FC9A438}"/>
    <cellStyle name="Normal 5 2 2 2 2 7 4 2" xfId="41495" xr:uid="{86433F6C-78AC-45FE-A342-1FFCDC5E8078}"/>
    <cellStyle name="Normal 5 2 2 2 2 7 5" xfId="28904" xr:uid="{8B20C972-17ED-4ACA-8CBF-A748B78EF665}"/>
    <cellStyle name="Normal 5 2 2 2 2 8" xfId="3830" xr:uid="{02F82F1A-7B11-4DA2-AAF7-2BE57E7BF199}"/>
    <cellStyle name="Normal 5 2 2 2 2 8 2" xfId="10123" xr:uid="{9D6A42DD-F9FB-41EC-9FA2-7FA551B12B09}"/>
    <cellStyle name="Normal 5 2 2 2 2 8 2 2" xfId="22805" xr:uid="{EDA5F16F-BEAB-40C8-9B20-6F288F2477B9}"/>
    <cellStyle name="Normal 5 2 2 2 2 8 2 2 2" xfId="48297" xr:uid="{A4F81242-CDF2-4F55-9DD1-FD4A3AD74155}"/>
    <cellStyle name="Normal 5 2 2 2 2 8 2 3" xfId="35706" xr:uid="{830F1AB5-8001-4144-9466-02DC5029EC9B}"/>
    <cellStyle name="Normal 5 2 2 2 2 8 3" xfId="16527" xr:uid="{7076B0DE-693D-4C95-A5AF-D1D6C5805006}"/>
    <cellStyle name="Normal 5 2 2 2 2 8 3 2" xfId="42019" xr:uid="{8CB7302B-9A03-4BE5-9896-86F1FDC1BFB2}"/>
    <cellStyle name="Normal 5 2 2 2 2 8 4" xfId="29428" xr:uid="{D45C0EB7-7EF5-491C-8779-F22AF563A5C9}"/>
    <cellStyle name="Normal 5 2 2 2 2 9" xfId="6984" xr:uid="{2AE869B4-A5A4-4467-815A-1A1213ACFF4D}"/>
    <cellStyle name="Normal 5 2 2 2 2 9 2" xfId="19666" xr:uid="{DD9C956F-AEFD-4C39-871F-6C317CC5C93A}"/>
    <cellStyle name="Normal 5 2 2 2 2 9 2 2" xfId="45158" xr:uid="{F73F2A50-DF4E-4D2F-BB5E-58E8E6D6BD59}"/>
    <cellStyle name="Normal 5 2 2 2 2 9 3" xfId="32567" xr:uid="{F5A68D80-1748-4D50-92C8-2E4355218D4B}"/>
    <cellStyle name="Normal 5 2 2 2 3" xfId="1039" xr:uid="{CDE4E11C-A7F4-4573-81B7-856E3C10D24C}"/>
    <cellStyle name="Normal 5 2 2 2 3 2" xfId="2346" xr:uid="{1D8B4901-F04E-4DF3-AAC9-197003F61A0E}"/>
    <cellStyle name="Normal 5 2 2 2 3 2 2" xfId="5500" xr:uid="{AA9EF1FA-79D2-4FFE-AD13-97D49882BE1F}"/>
    <cellStyle name="Normal 5 2 2 2 3 2 2 2" xfId="11793" xr:uid="{825B5DF7-2786-4603-9450-B32FB4076E80}"/>
    <cellStyle name="Normal 5 2 2 2 3 2 2 2 2" xfId="24475" xr:uid="{DC38CC8B-D143-46E5-BEF1-EBF7F3A51A3F}"/>
    <cellStyle name="Normal 5 2 2 2 3 2 2 2 2 2" xfId="49967" xr:uid="{1B0E896B-EE01-46FA-A771-F1B593616FB8}"/>
    <cellStyle name="Normal 5 2 2 2 3 2 2 2 3" xfId="37376" xr:uid="{D10D6B18-3085-4371-80F3-F08C0E58C493}"/>
    <cellStyle name="Normal 5 2 2 2 3 2 2 3" xfId="18197" xr:uid="{2DE3FD80-F117-43C7-BD8B-34D0BF2B95D9}"/>
    <cellStyle name="Normal 5 2 2 2 3 2 2 3 2" xfId="43689" xr:uid="{D2C612A6-4BBF-4D6D-8E12-78F76E21BB82}"/>
    <cellStyle name="Normal 5 2 2 2 3 2 2 4" xfId="31098" xr:uid="{B180A74D-533C-4BC3-BC0C-F886BBC4F4BD}"/>
    <cellStyle name="Normal 5 2 2 2 3 2 3" xfId="8654" xr:uid="{8056DB9E-A2ED-46F1-9094-FD7DE85164DC}"/>
    <cellStyle name="Normal 5 2 2 2 3 2 3 2" xfId="21336" xr:uid="{5385E9A4-1A56-43C0-9892-45C6DCD1C89F}"/>
    <cellStyle name="Normal 5 2 2 2 3 2 3 2 2" xfId="46828" xr:uid="{151BD66C-B8F9-438A-9F26-B1909687BE02}"/>
    <cellStyle name="Normal 5 2 2 2 3 2 3 3" xfId="34237" xr:uid="{5643CD98-C6AC-4E92-B2BD-931E30903F41}"/>
    <cellStyle name="Normal 5 2 2 2 3 2 4" xfId="15058" xr:uid="{D96CD3AD-52F8-4DF3-9EAF-1856A57E2CCF}"/>
    <cellStyle name="Normal 5 2 2 2 3 2 4 2" xfId="40550" xr:uid="{C2406745-2CB8-4143-977D-2DCB383D72EF}"/>
    <cellStyle name="Normal 5 2 2 2 3 2 5" xfId="27959" xr:uid="{A4C7B4C7-11A5-44BD-9F8D-72743FF3C953}"/>
    <cellStyle name="Normal 5 2 2 2 3 3" xfId="1563" xr:uid="{678B8747-5132-4090-B27B-F07EFEB0EC15}"/>
    <cellStyle name="Normal 5 2 2 2 3 3 2" xfId="4717" xr:uid="{B8306801-8C41-4C59-AACA-80AD02C61377}"/>
    <cellStyle name="Normal 5 2 2 2 3 3 2 2" xfId="11010" xr:uid="{C40F10FB-86D9-4A29-86BB-1526F5CCBD2C}"/>
    <cellStyle name="Normal 5 2 2 2 3 3 2 2 2" xfId="23692" xr:uid="{A60DB339-6516-43CD-A885-70B75ECBBB3A}"/>
    <cellStyle name="Normal 5 2 2 2 3 3 2 2 2 2" xfId="49184" xr:uid="{D593FD79-508C-431C-9D48-1EFCB4F92474}"/>
    <cellStyle name="Normal 5 2 2 2 3 3 2 2 3" xfId="36593" xr:uid="{51676CB5-FC0E-4A79-B71C-F2EDA5C901CC}"/>
    <cellStyle name="Normal 5 2 2 2 3 3 2 3" xfId="17414" xr:uid="{04684716-14C3-4E59-8800-54E7C4AD9932}"/>
    <cellStyle name="Normal 5 2 2 2 3 3 2 3 2" xfId="42906" xr:uid="{71DFE671-58C5-4DC7-9386-7DF13CFFD929}"/>
    <cellStyle name="Normal 5 2 2 2 3 3 2 4" xfId="30315" xr:uid="{36EDE1B7-391D-4CC4-B3E3-28B39F04F6C1}"/>
    <cellStyle name="Normal 5 2 2 2 3 3 3" xfId="7871" xr:uid="{F39C9661-577C-4A8B-86FA-90644C1EA371}"/>
    <cellStyle name="Normal 5 2 2 2 3 3 3 2" xfId="20553" xr:uid="{B42393F6-DFF3-4624-888E-D0D57BDEE272}"/>
    <cellStyle name="Normal 5 2 2 2 3 3 3 2 2" xfId="46045" xr:uid="{B891DB13-7D7B-4E5E-A544-5E4797182058}"/>
    <cellStyle name="Normal 5 2 2 2 3 3 3 3" xfId="33454" xr:uid="{BE17F59C-0710-49D3-BED7-C1EC6D09475A}"/>
    <cellStyle name="Normal 5 2 2 2 3 3 4" xfId="14275" xr:uid="{91E2608A-5FC7-4E52-BF12-229E79771802}"/>
    <cellStyle name="Normal 5 2 2 2 3 3 4 2" xfId="39767" xr:uid="{B30052A8-F3F7-4440-A148-B57137CE6C5C}"/>
    <cellStyle name="Normal 5 2 2 2 3 3 5" xfId="27176" xr:uid="{F9E976C0-1A6C-4458-A0EE-ABBB65352F8B}"/>
    <cellStyle name="Normal 5 2 2 2 3 4" xfId="2870" xr:uid="{57DDE784-5FE4-42D4-821A-52E691DBA7C7}"/>
    <cellStyle name="Normal 5 2 2 2 3 4 2" xfId="6024" xr:uid="{3D5A986B-60FD-40C6-A26E-8B9C50CB92FB}"/>
    <cellStyle name="Normal 5 2 2 2 3 4 2 2" xfId="12317" xr:uid="{C335FC0F-386B-435E-A5CC-DEA8472FEAFA}"/>
    <cellStyle name="Normal 5 2 2 2 3 4 2 2 2" xfId="24999" xr:uid="{E7E46E7B-6675-4815-AA64-E78B6BEEF7C1}"/>
    <cellStyle name="Normal 5 2 2 2 3 4 2 2 2 2" xfId="50491" xr:uid="{771D7D05-F7A1-43FF-A517-4B9A166E2268}"/>
    <cellStyle name="Normal 5 2 2 2 3 4 2 2 3" xfId="37900" xr:uid="{A131A69A-3631-418F-AB3D-B4DFB9F68295}"/>
    <cellStyle name="Normal 5 2 2 2 3 4 2 3" xfId="18721" xr:uid="{56BAB585-A7C9-4BF2-9916-895FF4180F4D}"/>
    <cellStyle name="Normal 5 2 2 2 3 4 2 3 2" xfId="44213" xr:uid="{0F1056D3-FB4B-4BA3-87A9-88BF793DD87D}"/>
    <cellStyle name="Normal 5 2 2 2 3 4 2 4" xfId="31622" xr:uid="{15401801-ED36-4CEF-AB9C-A5E0F9F52294}"/>
    <cellStyle name="Normal 5 2 2 2 3 4 3" xfId="9178" xr:uid="{7FC9B0A0-E27E-42EB-9472-0F90073B77BE}"/>
    <cellStyle name="Normal 5 2 2 2 3 4 3 2" xfId="21860" xr:uid="{54A8C23D-8FF2-447C-935E-19ED9B57BDF4}"/>
    <cellStyle name="Normal 5 2 2 2 3 4 3 2 2" xfId="47352" xr:uid="{FD8E0BEE-DE55-4180-A9EE-B3DC39F51C80}"/>
    <cellStyle name="Normal 5 2 2 2 3 4 3 3" xfId="34761" xr:uid="{9C581E5D-3B71-4973-BA14-E4BEEF5B7420}"/>
    <cellStyle name="Normal 5 2 2 2 3 4 4" xfId="15582" xr:uid="{1BB25A5C-C128-449B-A085-2398A88C332D}"/>
    <cellStyle name="Normal 5 2 2 2 3 4 4 2" xfId="41074" xr:uid="{A033A6F9-8B32-42E0-B430-477428C3EC96}"/>
    <cellStyle name="Normal 5 2 2 2 3 4 5" xfId="28483" xr:uid="{3BC079DB-E646-46C0-BF0F-A1970774F10F}"/>
    <cellStyle name="Normal 5 2 2 2 3 5" xfId="3393" xr:uid="{E502B302-A255-482E-A9E9-4CADCEA04CE9}"/>
    <cellStyle name="Normal 5 2 2 2 3 5 2" xfId="6547" xr:uid="{374936AC-3EBD-497E-B6F7-5241A2F5C7C3}"/>
    <cellStyle name="Normal 5 2 2 2 3 5 2 2" xfId="12840" xr:uid="{587FC1F1-C371-47E1-83A0-1B83AE1C50D4}"/>
    <cellStyle name="Normal 5 2 2 2 3 5 2 2 2" xfId="25522" xr:uid="{10823D74-6687-4524-BA79-17B1AADDFFC1}"/>
    <cellStyle name="Normal 5 2 2 2 3 5 2 2 2 2" xfId="51014" xr:uid="{9928FF8F-55ED-4864-B92D-E2C4CEADCFD7}"/>
    <cellStyle name="Normal 5 2 2 2 3 5 2 2 3" xfId="38423" xr:uid="{BF417BA8-1F35-4032-BA46-572ECA11B85B}"/>
    <cellStyle name="Normal 5 2 2 2 3 5 2 3" xfId="19244" xr:uid="{76546F9C-7229-4113-AD90-62CC3D279F24}"/>
    <cellStyle name="Normal 5 2 2 2 3 5 2 3 2" xfId="44736" xr:uid="{E8C84249-3B2C-485F-9A9E-04FE38EF8D16}"/>
    <cellStyle name="Normal 5 2 2 2 3 5 2 4" xfId="32145" xr:uid="{540E5917-C16E-4024-8787-4ED9A0EDAD0F}"/>
    <cellStyle name="Normal 5 2 2 2 3 5 3" xfId="9701" xr:uid="{D094ACD0-D225-40BC-9E38-E7BF3493791B}"/>
    <cellStyle name="Normal 5 2 2 2 3 5 3 2" xfId="22383" xr:uid="{C12D34F7-3A65-446E-81CB-F060EF6524A4}"/>
    <cellStyle name="Normal 5 2 2 2 3 5 3 2 2" xfId="47875" xr:uid="{A782692A-E007-4F35-A1F0-F0DDBF52D7F6}"/>
    <cellStyle name="Normal 5 2 2 2 3 5 3 3" xfId="35284" xr:uid="{8C258956-5B5C-4F07-8DC8-7F30BB85C5A4}"/>
    <cellStyle name="Normal 5 2 2 2 3 5 4" xfId="16105" xr:uid="{9B0241A0-E01A-4317-9CAD-0E1416134478}"/>
    <cellStyle name="Normal 5 2 2 2 3 5 4 2" xfId="41597" xr:uid="{6ED2CCC0-B5EC-4555-B46E-0C6AD60F2F8E}"/>
    <cellStyle name="Normal 5 2 2 2 3 5 5" xfId="29006" xr:uid="{9F50152A-EF1A-45F3-B0F3-D4171C62E975}"/>
    <cellStyle name="Normal 5 2 2 2 3 6" xfId="4193" xr:uid="{89184978-C6C3-41D8-94F5-C4BAE1F200B2}"/>
    <cellStyle name="Normal 5 2 2 2 3 6 2" xfId="10486" xr:uid="{C9F873BC-FBB8-4184-97C3-D2DCA86115F2}"/>
    <cellStyle name="Normal 5 2 2 2 3 6 2 2" xfId="23168" xr:uid="{CF89AA55-5376-4CB9-BBE6-56A2DD72873F}"/>
    <cellStyle name="Normal 5 2 2 2 3 6 2 2 2" xfId="48660" xr:uid="{F6DB948C-547C-47D3-835F-9B425F63462F}"/>
    <cellStyle name="Normal 5 2 2 2 3 6 2 3" xfId="36069" xr:uid="{BC7ABE49-417F-4A25-A75C-DFF60E59696F}"/>
    <cellStyle name="Normal 5 2 2 2 3 6 3" xfId="16890" xr:uid="{2DB386C1-CA86-4710-AD40-D1840E8ED334}"/>
    <cellStyle name="Normal 5 2 2 2 3 6 3 2" xfId="42382" xr:uid="{2D849E01-8AB4-423E-BC71-2018939C2D35}"/>
    <cellStyle name="Normal 5 2 2 2 3 6 4" xfId="29791" xr:uid="{8CD748A0-F486-431F-B24D-344D117C2F33}"/>
    <cellStyle name="Normal 5 2 2 2 3 7" xfId="7347" xr:uid="{7F6FB8E4-C4DE-4E81-B2D8-22366C89B8D8}"/>
    <cellStyle name="Normal 5 2 2 2 3 7 2" xfId="20029" xr:uid="{E1B3696B-FE67-4CF8-8F9E-BDA3FB1A55AE}"/>
    <cellStyle name="Normal 5 2 2 2 3 7 2 2" xfId="45521" xr:uid="{27AE46D9-EA61-41B2-9558-A1B9AE9FDEB9}"/>
    <cellStyle name="Normal 5 2 2 2 3 7 3" xfId="32930" xr:uid="{29955F7B-D2D2-4432-A08F-A043F3EDA509}"/>
    <cellStyle name="Normal 5 2 2 2 3 8" xfId="13751" xr:uid="{C0E6BEF4-6D38-48B0-8BB9-FAC628E269CC}"/>
    <cellStyle name="Normal 5 2 2 2 3 8 2" xfId="39243" xr:uid="{03A7AB91-3FE6-4B3F-ACF4-F32EFD3C9938}"/>
    <cellStyle name="Normal 5 2 2 2 3 9" xfId="26652" xr:uid="{9AE24C9B-2FF1-4A82-9312-9788FBAE767F}"/>
    <cellStyle name="Normal 5 2 2 2 4" xfId="779" xr:uid="{EDFEC414-5812-45C3-9654-7E52590F0C91}"/>
    <cellStyle name="Normal 5 2 2 2 4 2" xfId="2086" xr:uid="{F30F8564-928B-4162-8E54-2CBF5B14A8E7}"/>
    <cellStyle name="Normal 5 2 2 2 4 2 2" xfId="5240" xr:uid="{D51C5623-CD30-47F6-A6B6-5B4A9C8D077A}"/>
    <cellStyle name="Normal 5 2 2 2 4 2 2 2" xfId="11533" xr:uid="{05943D15-4F9C-4AA4-B332-D56FA5F95D23}"/>
    <cellStyle name="Normal 5 2 2 2 4 2 2 2 2" xfId="24215" xr:uid="{8FD36D1A-49CC-4A6B-8570-6DA3216F1FC6}"/>
    <cellStyle name="Normal 5 2 2 2 4 2 2 2 2 2" xfId="49707" xr:uid="{720F24AB-1B96-4090-8A5E-7A4E1D4D16F1}"/>
    <cellStyle name="Normal 5 2 2 2 4 2 2 2 3" xfId="37116" xr:uid="{FDB18770-FFA2-4F0C-8BF0-B23311C6DD5A}"/>
    <cellStyle name="Normal 5 2 2 2 4 2 2 3" xfId="17937" xr:uid="{AF72C237-1196-4514-9CC0-1D46E8B47E15}"/>
    <cellStyle name="Normal 5 2 2 2 4 2 2 3 2" xfId="43429" xr:uid="{C685C72F-E687-424C-A3CC-5EBF204BABBE}"/>
    <cellStyle name="Normal 5 2 2 2 4 2 2 4" xfId="30838" xr:uid="{3E72F57F-21DA-4EF7-AAD0-AF7D7C5B2B44}"/>
    <cellStyle name="Normal 5 2 2 2 4 2 3" xfId="8394" xr:uid="{CEF09139-4C2B-4192-BD45-00C120EE9F15}"/>
    <cellStyle name="Normal 5 2 2 2 4 2 3 2" xfId="21076" xr:uid="{1C815B7C-B7FE-4893-AED1-1B69481CAB62}"/>
    <cellStyle name="Normal 5 2 2 2 4 2 3 2 2" xfId="46568" xr:uid="{C9EA9B9B-0903-47B5-9E8B-F19D8285EFD6}"/>
    <cellStyle name="Normal 5 2 2 2 4 2 3 3" xfId="33977" xr:uid="{FC9B1F0E-5A69-4F8B-9753-E13825DA6EFE}"/>
    <cellStyle name="Normal 5 2 2 2 4 2 4" xfId="14798" xr:uid="{F5B1CF40-DE6E-4186-A457-9A383C557BA2}"/>
    <cellStyle name="Normal 5 2 2 2 4 2 4 2" xfId="40290" xr:uid="{0E8586A8-849F-400F-9EE2-F857A605E1DA}"/>
    <cellStyle name="Normal 5 2 2 2 4 2 5" xfId="27699" xr:uid="{EBDF19CF-F937-4392-992C-95368899B001}"/>
    <cellStyle name="Normal 5 2 2 2 4 3" xfId="3933" xr:uid="{E4B2ED16-1F9D-4F2C-B05D-10197E3C5202}"/>
    <cellStyle name="Normal 5 2 2 2 4 3 2" xfId="10226" xr:uid="{7F325331-D214-4ACF-B3B6-02C31F9B0A4A}"/>
    <cellStyle name="Normal 5 2 2 2 4 3 2 2" xfId="22908" xr:uid="{4EA5BBF8-2A7C-47AE-B013-2DC75F006079}"/>
    <cellStyle name="Normal 5 2 2 2 4 3 2 2 2" xfId="48400" xr:uid="{C0D84C28-7660-4DF7-BD72-40DF0D5DC82A}"/>
    <cellStyle name="Normal 5 2 2 2 4 3 2 3" xfId="35809" xr:uid="{1B70C30E-7830-4288-B49F-5F23CE50D6DD}"/>
    <cellStyle name="Normal 5 2 2 2 4 3 3" xfId="16630" xr:uid="{CAA6B219-00BB-4D3F-A92E-56B5C12A2B46}"/>
    <cellStyle name="Normal 5 2 2 2 4 3 3 2" xfId="42122" xr:uid="{6A3D9B7D-C474-4B8D-9879-3503DA79D687}"/>
    <cellStyle name="Normal 5 2 2 2 4 3 4" xfId="29531" xr:uid="{61CEA978-1332-4BD6-BCA9-A4F5DAB9AC8A}"/>
    <cellStyle name="Normal 5 2 2 2 4 4" xfId="7087" xr:uid="{76C2696E-C666-4EEB-AA25-06804C406FDF}"/>
    <cellStyle name="Normal 5 2 2 2 4 4 2" xfId="19769" xr:uid="{D76EDC7E-DF3B-45CC-BA7D-D914399CC4B6}"/>
    <cellStyle name="Normal 5 2 2 2 4 4 2 2" xfId="45261" xr:uid="{246DEDAE-1AF0-4C5B-B537-B1363CFFB2A0}"/>
    <cellStyle name="Normal 5 2 2 2 4 4 3" xfId="32670" xr:uid="{68A82837-7A33-4910-A8F3-E574BA9E938C}"/>
    <cellStyle name="Normal 5 2 2 2 4 5" xfId="13491" xr:uid="{43563855-0A1E-4815-87B2-763B6F697CAB}"/>
    <cellStyle name="Normal 5 2 2 2 4 5 2" xfId="38983" xr:uid="{2F6BA694-D99D-4706-9A29-73A79084F920}"/>
    <cellStyle name="Normal 5 2 2 2 4 6" xfId="26392" xr:uid="{DD3C348D-55E7-4A5F-92F8-B0B178011ABD}"/>
    <cellStyle name="Normal 5 2 2 2 5" xfId="1824" xr:uid="{A8E78806-8B1F-413D-A80C-590020265A9C}"/>
    <cellStyle name="Normal 5 2 2 2 5 2" xfId="4978" xr:uid="{9786F14E-2A2D-4F18-9EFC-DA2EFBFD36FF}"/>
    <cellStyle name="Normal 5 2 2 2 5 2 2" xfId="11271" xr:uid="{CABFD1D8-D7CB-4957-95C0-19177198F9F9}"/>
    <cellStyle name="Normal 5 2 2 2 5 2 2 2" xfId="23953" xr:uid="{CD1F88E4-6B6F-4BB3-896F-2965B115DF94}"/>
    <cellStyle name="Normal 5 2 2 2 5 2 2 2 2" xfId="49445" xr:uid="{25B5B300-0721-4EE9-B910-E61382D51A05}"/>
    <cellStyle name="Normal 5 2 2 2 5 2 2 3" xfId="36854" xr:uid="{7895B0C8-01B8-4BAF-8704-2330B50201AE}"/>
    <cellStyle name="Normal 5 2 2 2 5 2 3" xfId="17675" xr:uid="{A9BFDE2B-A331-464A-846A-8DA8ADA8FBF2}"/>
    <cellStyle name="Normal 5 2 2 2 5 2 3 2" xfId="43167" xr:uid="{C929E2DD-2F8A-4D85-B262-8643EA5145C0}"/>
    <cellStyle name="Normal 5 2 2 2 5 2 4" xfId="30576" xr:uid="{EBF683DC-C3BC-4EA3-82CF-C5E00DBF4F9A}"/>
    <cellStyle name="Normal 5 2 2 2 5 3" xfId="8132" xr:uid="{3D9A9816-FB0F-411F-A744-31F2AD2038D1}"/>
    <cellStyle name="Normal 5 2 2 2 5 3 2" xfId="20814" xr:uid="{56DD8B43-773C-489C-8BBA-F5CE8958B834}"/>
    <cellStyle name="Normal 5 2 2 2 5 3 2 2" xfId="46306" xr:uid="{FFF11674-4FFA-4144-8D04-0A6C14D0428C}"/>
    <cellStyle name="Normal 5 2 2 2 5 3 3" xfId="33715" xr:uid="{864182F4-4295-447E-BAA6-86E7209EEE51}"/>
    <cellStyle name="Normal 5 2 2 2 5 4" xfId="14536" xr:uid="{5664347B-5876-440F-8DCB-96AA0F730D7C}"/>
    <cellStyle name="Normal 5 2 2 2 5 4 2" xfId="40028" xr:uid="{7F41F54A-A4D0-4B00-BCE7-AC40E1BC3900}"/>
    <cellStyle name="Normal 5 2 2 2 5 5" xfId="27437" xr:uid="{4703A3E6-6AD2-4F3A-8B49-3BD58E23325C}"/>
    <cellStyle name="Normal 5 2 2 2 6" xfId="1302" xr:uid="{5775AE8C-EFBC-4C79-8584-A033519F55AA}"/>
    <cellStyle name="Normal 5 2 2 2 6 2" xfId="4456" xr:uid="{FA695C8B-C9F6-4F36-9633-0DAD861F57AE}"/>
    <cellStyle name="Normal 5 2 2 2 6 2 2" xfId="10749" xr:uid="{00D06F63-5605-46A7-8BF4-270B48953396}"/>
    <cellStyle name="Normal 5 2 2 2 6 2 2 2" xfId="23431" xr:uid="{7A3138A3-37DF-4CEE-BD38-FB6A4D868E94}"/>
    <cellStyle name="Normal 5 2 2 2 6 2 2 2 2" xfId="48923" xr:uid="{4A8A7048-B348-4AF4-B545-D025647B1322}"/>
    <cellStyle name="Normal 5 2 2 2 6 2 2 3" xfId="36332" xr:uid="{69E891A3-2A03-4523-B330-2376594E6C7C}"/>
    <cellStyle name="Normal 5 2 2 2 6 2 3" xfId="17153" xr:uid="{274C17FF-70B2-470D-BB06-99D62FC2AFF6}"/>
    <cellStyle name="Normal 5 2 2 2 6 2 3 2" xfId="42645" xr:uid="{E34D38F0-7688-4ADA-98AB-662420F95533}"/>
    <cellStyle name="Normal 5 2 2 2 6 2 4" xfId="30054" xr:uid="{4234F298-C87C-45F2-A7F0-A85B06E70846}"/>
    <cellStyle name="Normal 5 2 2 2 6 3" xfId="7610" xr:uid="{6A03DB3C-1793-43DD-98B8-FA954917F0D8}"/>
    <cellStyle name="Normal 5 2 2 2 6 3 2" xfId="20292" xr:uid="{5FF304FA-801F-4BB7-9DD4-D8D27CAB4AA2}"/>
    <cellStyle name="Normal 5 2 2 2 6 3 2 2" xfId="45784" xr:uid="{548A16E6-5B04-4A43-9560-B67FF3360FEA}"/>
    <cellStyle name="Normal 5 2 2 2 6 3 3" xfId="33193" xr:uid="{830AFCEF-0BB4-442D-BE41-A01ADC6E3667}"/>
    <cellStyle name="Normal 5 2 2 2 6 4" xfId="14014" xr:uid="{FACDCC42-E754-4264-BB35-ED04BD48C886}"/>
    <cellStyle name="Normal 5 2 2 2 6 4 2" xfId="39506" xr:uid="{DC6F48A6-C1D2-43DE-825C-C29E92D9955B}"/>
    <cellStyle name="Normal 5 2 2 2 6 5" xfId="26915" xr:uid="{DF6A25AC-17F7-41BA-B197-0DFA20E24193}"/>
    <cellStyle name="Normal 5 2 2 2 7" xfId="2609" xr:uid="{9F094FE7-7B1D-49BA-BDE0-8477FA73917F}"/>
    <cellStyle name="Normal 5 2 2 2 7 2" xfId="5763" xr:uid="{52338146-7A62-4392-AB41-FE340EB2232D}"/>
    <cellStyle name="Normal 5 2 2 2 7 2 2" xfId="12056" xr:uid="{394A86FC-0E3B-4F71-8015-E60173E5FFD3}"/>
    <cellStyle name="Normal 5 2 2 2 7 2 2 2" xfId="24738" xr:uid="{2B7A904E-D874-49CC-9285-0350FFA68AE8}"/>
    <cellStyle name="Normal 5 2 2 2 7 2 2 2 2" xfId="50230" xr:uid="{1CF3C8ED-BE4D-45AB-AAD2-541A314E91FA}"/>
    <cellStyle name="Normal 5 2 2 2 7 2 2 3" xfId="37639" xr:uid="{B560A636-4036-4F30-8BF2-31063956CF3F}"/>
    <cellStyle name="Normal 5 2 2 2 7 2 3" xfId="18460" xr:uid="{40FACB7F-8CAA-4959-BFC7-98410900CDB6}"/>
    <cellStyle name="Normal 5 2 2 2 7 2 3 2" xfId="43952" xr:uid="{EB9657E1-1C76-4921-AA40-E9225D636403}"/>
    <cellStyle name="Normal 5 2 2 2 7 2 4" xfId="31361" xr:uid="{914A8C7A-C19B-4E2A-A67C-F24C12C520C2}"/>
    <cellStyle name="Normal 5 2 2 2 7 3" xfId="8917" xr:uid="{FA784B3B-176A-4BBE-8362-09CDCF0162B6}"/>
    <cellStyle name="Normal 5 2 2 2 7 3 2" xfId="21599" xr:uid="{ED232A5D-CCD3-4C66-81CF-EFAF2B21E1DA}"/>
    <cellStyle name="Normal 5 2 2 2 7 3 2 2" xfId="47091" xr:uid="{7D71E401-30FA-4804-AAAC-743377B936DB}"/>
    <cellStyle name="Normal 5 2 2 2 7 3 3" xfId="34500" xr:uid="{2E00B47B-E9EF-4A0D-9795-BEA7D698F7DA}"/>
    <cellStyle name="Normal 5 2 2 2 7 4" xfId="15321" xr:uid="{BC20894D-0C69-4A78-ADBD-4CDD1238CD04}"/>
    <cellStyle name="Normal 5 2 2 2 7 4 2" xfId="40813" xr:uid="{EDA8F9C2-AF92-43F9-B007-C6227AFF49E7}"/>
    <cellStyle name="Normal 5 2 2 2 7 5" xfId="28222" xr:uid="{9DF8DD1B-E676-4063-8FE8-44E442C2D3A2}"/>
    <cellStyle name="Normal 5 2 2 2 8" xfId="3132" xr:uid="{D13F0177-E746-44D8-93DD-3D7DBFDAF30D}"/>
    <cellStyle name="Normal 5 2 2 2 8 2" xfId="6286" xr:uid="{16233448-6FD9-425C-AC93-725828F4B917}"/>
    <cellStyle name="Normal 5 2 2 2 8 2 2" xfId="12579" xr:uid="{2C72D1F8-5EED-4858-AD99-9FE365FA1587}"/>
    <cellStyle name="Normal 5 2 2 2 8 2 2 2" xfId="25261" xr:uid="{414DF9E2-C92E-4ED2-B1DE-9059A7A24B5E}"/>
    <cellStyle name="Normal 5 2 2 2 8 2 2 2 2" xfId="50753" xr:uid="{27AB2155-4F7F-4729-BEC0-26C5CC1233D3}"/>
    <cellStyle name="Normal 5 2 2 2 8 2 2 3" xfId="38162" xr:uid="{1938578F-E46E-4288-83DB-0FDCA63BCF91}"/>
    <cellStyle name="Normal 5 2 2 2 8 2 3" xfId="18983" xr:uid="{A4EBAEB5-398B-44F5-AFBF-A2A0D2B0D50F}"/>
    <cellStyle name="Normal 5 2 2 2 8 2 3 2" xfId="44475" xr:uid="{1FB40B90-07F8-485E-B95D-7584C3063F48}"/>
    <cellStyle name="Normal 5 2 2 2 8 2 4" xfId="31884" xr:uid="{CF347D26-C44F-432F-8FE1-564971131E6E}"/>
    <cellStyle name="Normal 5 2 2 2 8 3" xfId="9440" xr:uid="{F188F14A-A055-4634-B7A8-36ECDC981C87}"/>
    <cellStyle name="Normal 5 2 2 2 8 3 2" xfId="22122" xr:uid="{C22FE942-50E2-4457-B75A-7C6049B30A95}"/>
    <cellStyle name="Normal 5 2 2 2 8 3 2 2" xfId="47614" xr:uid="{91A0887D-6753-46F1-B3D7-113F44AF7244}"/>
    <cellStyle name="Normal 5 2 2 2 8 3 3" xfId="35023" xr:uid="{E72F563B-0173-40C4-B0C4-3F5596B667D6}"/>
    <cellStyle name="Normal 5 2 2 2 8 4" xfId="15844" xr:uid="{5717AF24-BE14-4759-BE3C-C526FC16AEBF}"/>
    <cellStyle name="Normal 5 2 2 2 8 4 2" xfId="41336" xr:uid="{CFF21784-1074-4066-8FC8-675D3234CDF7}"/>
    <cellStyle name="Normal 5 2 2 2 8 5" xfId="28745" xr:uid="{DD77AEC7-3464-4A47-8A1B-935BD63D9EAA}"/>
    <cellStyle name="Normal 5 2 2 2 9" xfId="3671" xr:uid="{82873720-FFC3-4C12-B9D0-0E53A2204F26}"/>
    <cellStyle name="Normal 5 2 2 2 9 2" xfId="9964" xr:uid="{59FF9D11-B9CF-42C5-AE57-F6412FEE0879}"/>
    <cellStyle name="Normal 5 2 2 2 9 2 2" xfId="22646" xr:uid="{3C1E4DAB-397E-4CFA-B3E6-CF702A5E0B47}"/>
    <cellStyle name="Normal 5 2 2 2 9 2 2 2" xfId="48138" xr:uid="{D1B2B8EB-C798-4AC3-9BFA-4CCF0B416FB4}"/>
    <cellStyle name="Normal 5 2 2 2 9 2 3" xfId="35547" xr:uid="{6ABF1D62-99AC-4BE7-A69E-B6EC8819CD0E}"/>
    <cellStyle name="Normal 5 2 2 2 9 3" xfId="16368" xr:uid="{F696D8D0-ECCC-4B94-BF45-A70D8784D223}"/>
    <cellStyle name="Normal 5 2 2 2 9 3 2" xfId="41860" xr:uid="{7F8E78AF-4EC6-4111-BC81-5C4F5252D0C1}"/>
    <cellStyle name="Normal 5 2 2 2 9 4" xfId="29269" xr:uid="{4D62DD2C-DEF5-4E35-B47A-09362927E4AB}"/>
    <cellStyle name="Normal 5 2 2 3" xfId="600" xr:uid="{7882062D-CE6E-43CC-A924-15302336DC98}"/>
    <cellStyle name="Normal 5 2 2 3 10" xfId="13327" xr:uid="{8EDB7E70-20B0-48B6-8D44-9CE27C7666A3}"/>
    <cellStyle name="Normal 5 2 2 3 10 2" xfId="38819" xr:uid="{503A6329-0A5C-4D5A-88CC-7D5A1F7E7E4E}"/>
    <cellStyle name="Normal 5 2 2 3 11" xfId="26228" xr:uid="{850AF3FF-4C15-4FF2-B2E0-A023E90696CD}"/>
    <cellStyle name="Normal 5 2 2 3 2" xfId="1137" xr:uid="{A6082C2A-8E16-4B38-AF9E-B33ACADB2184}"/>
    <cellStyle name="Normal 5 2 2 3 2 2" xfId="2444" xr:uid="{7B2225F9-1DB3-4A27-90F3-66102EDCE002}"/>
    <cellStyle name="Normal 5 2 2 3 2 2 2" xfId="5598" xr:uid="{72249304-0E3B-437C-9ECC-87864B118654}"/>
    <cellStyle name="Normal 5 2 2 3 2 2 2 2" xfId="11891" xr:uid="{1FA0BA06-7F5B-4148-8A9A-095D32B04114}"/>
    <cellStyle name="Normal 5 2 2 3 2 2 2 2 2" xfId="24573" xr:uid="{44D26A6B-AA35-471C-8EA9-DF5AB6752964}"/>
    <cellStyle name="Normal 5 2 2 3 2 2 2 2 2 2" xfId="50065" xr:uid="{35E6118B-AC8E-4EDA-9A4A-1777B2E18823}"/>
    <cellStyle name="Normal 5 2 2 3 2 2 2 2 3" xfId="37474" xr:uid="{D6B4A9CB-EFC0-431C-9C00-696A7687B7AC}"/>
    <cellStyle name="Normal 5 2 2 3 2 2 2 3" xfId="18295" xr:uid="{8CBCEE43-7E3D-42D2-BDB2-ADCB4EBFD142}"/>
    <cellStyle name="Normal 5 2 2 3 2 2 2 3 2" xfId="43787" xr:uid="{AD413301-C4EC-4C7C-8FA2-E14D39656F13}"/>
    <cellStyle name="Normal 5 2 2 3 2 2 2 4" xfId="31196" xr:uid="{7E9EE8CB-D9BB-48F7-9C17-0B7F2351EC72}"/>
    <cellStyle name="Normal 5 2 2 3 2 2 3" xfId="8752" xr:uid="{D467950E-A1F9-4FE3-85E0-079820D134C4}"/>
    <cellStyle name="Normal 5 2 2 3 2 2 3 2" xfId="21434" xr:uid="{5FC9C8C8-68DC-4651-8F73-14A68CB7D099}"/>
    <cellStyle name="Normal 5 2 2 3 2 2 3 2 2" xfId="46926" xr:uid="{060C177D-915E-4F66-80A2-1F1FC1E80625}"/>
    <cellStyle name="Normal 5 2 2 3 2 2 3 3" xfId="34335" xr:uid="{AFEC7865-2BB5-42C1-AEC1-7F1847B5D8F8}"/>
    <cellStyle name="Normal 5 2 2 3 2 2 4" xfId="15156" xr:uid="{059349CB-F5F7-4216-A2D5-94AB9C597EC5}"/>
    <cellStyle name="Normal 5 2 2 3 2 2 4 2" xfId="40648" xr:uid="{0B52992B-9038-4568-93BE-425F94A41574}"/>
    <cellStyle name="Normal 5 2 2 3 2 2 5" xfId="28057" xr:uid="{154C4942-130B-4E52-B642-C83983E9E100}"/>
    <cellStyle name="Normal 5 2 2 3 2 3" xfId="1661" xr:uid="{F5909401-D247-4268-A755-415BFDB62CDF}"/>
    <cellStyle name="Normal 5 2 2 3 2 3 2" xfId="4815" xr:uid="{21EA575C-30B9-418C-8D00-1932F7A3CA32}"/>
    <cellStyle name="Normal 5 2 2 3 2 3 2 2" xfId="11108" xr:uid="{9AF5A583-CF96-43E1-A59A-769B42CECAAD}"/>
    <cellStyle name="Normal 5 2 2 3 2 3 2 2 2" xfId="23790" xr:uid="{70236049-2F9F-4CBE-990D-9D2528A8CA73}"/>
    <cellStyle name="Normal 5 2 2 3 2 3 2 2 2 2" xfId="49282" xr:uid="{8D2484CF-2436-41AF-AD2C-E09D2800F22E}"/>
    <cellStyle name="Normal 5 2 2 3 2 3 2 2 3" xfId="36691" xr:uid="{886667F1-D8F2-43AE-AABD-22637C7616A8}"/>
    <cellStyle name="Normal 5 2 2 3 2 3 2 3" xfId="17512" xr:uid="{719A1CE8-89CA-41C6-9CF8-3D2A9010A8D5}"/>
    <cellStyle name="Normal 5 2 2 3 2 3 2 3 2" xfId="43004" xr:uid="{9DA5372F-5760-4C9C-826B-F0A7B2C4F93F}"/>
    <cellStyle name="Normal 5 2 2 3 2 3 2 4" xfId="30413" xr:uid="{A43ED803-DB36-43C7-A9AA-133FD569F2A4}"/>
    <cellStyle name="Normal 5 2 2 3 2 3 3" xfId="7969" xr:uid="{B668F1FF-1A28-4E50-B0BE-760C57A7F32D}"/>
    <cellStyle name="Normal 5 2 2 3 2 3 3 2" xfId="20651" xr:uid="{E18CCE2C-B6ED-47DF-80B9-BE47FD23F169}"/>
    <cellStyle name="Normal 5 2 2 3 2 3 3 2 2" xfId="46143" xr:uid="{2C5A161A-889D-43C2-BAE4-1BEC91D24A4A}"/>
    <cellStyle name="Normal 5 2 2 3 2 3 3 3" xfId="33552" xr:uid="{31E87040-B7E5-470C-8EB9-13F3CA9F7B87}"/>
    <cellStyle name="Normal 5 2 2 3 2 3 4" xfId="14373" xr:uid="{B601B64D-0714-4707-AE2A-D5F7D6DAFAFD}"/>
    <cellStyle name="Normal 5 2 2 3 2 3 4 2" xfId="39865" xr:uid="{338F533E-5407-4A12-86E8-21349B013B38}"/>
    <cellStyle name="Normal 5 2 2 3 2 3 5" xfId="27274" xr:uid="{60CFD9AD-FBB9-4D5A-AFA9-98E094BF9C6C}"/>
    <cellStyle name="Normal 5 2 2 3 2 4" xfId="2968" xr:uid="{DD7DF297-0DDC-4D79-8AEC-F025CDDCEF64}"/>
    <cellStyle name="Normal 5 2 2 3 2 4 2" xfId="6122" xr:uid="{C67A55BD-D38F-4C22-88BB-EF28D260BD1F}"/>
    <cellStyle name="Normal 5 2 2 3 2 4 2 2" xfId="12415" xr:uid="{34884070-F650-4AC8-86E2-92CB4275E7E2}"/>
    <cellStyle name="Normal 5 2 2 3 2 4 2 2 2" xfId="25097" xr:uid="{2D7C11FD-230A-4F2F-B962-A57FCB3FC71A}"/>
    <cellStyle name="Normal 5 2 2 3 2 4 2 2 2 2" xfId="50589" xr:uid="{1F1169BA-D4DF-48A1-B93B-869D6103249A}"/>
    <cellStyle name="Normal 5 2 2 3 2 4 2 2 3" xfId="37998" xr:uid="{995B1BEA-1BC9-4626-B3DE-CDEEF60E5B40}"/>
    <cellStyle name="Normal 5 2 2 3 2 4 2 3" xfId="18819" xr:uid="{52D9A32A-3F3F-469D-80C7-F67B20A3F582}"/>
    <cellStyle name="Normal 5 2 2 3 2 4 2 3 2" xfId="44311" xr:uid="{1535CC55-6E00-497D-92FB-32912DB8D244}"/>
    <cellStyle name="Normal 5 2 2 3 2 4 2 4" xfId="31720" xr:uid="{8E55F532-979E-412F-A8B7-2D21F5508108}"/>
    <cellStyle name="Normal 5 2 2 3 2 4 3" xfId="9276" xr:uid="{1721EB05-0B3E-494D-B5D7-8FEB01F20312}"/>
    <cellStyle name="Normal 5 2 2 3 2 4 3 2" xfId="21958" xr:uid="{ECEFF1ED-13F7-4F45-A1CD-01869AC97A47}"/>
    <cellStyle name="Normal 5 2 2 3 2 4 3 2 2" xfId="47450" xr:uid="{5F7BFC52-3B9B-4729-BC19-20B18A7E58F1}"/>
    <cellStyle name="Normal 5 2 2 3 2 4 3 3" xfId="34859" xr:uid="{F8D6EF84-6F00-4B60-8612-1EF779631CCA}"/>
    <cellStyle name="Normal 5 2 2 3 2 4 4" xfId="15680" xr:uid="{608BAED5-6164-4A4A-A5B0-D8A54009BFD7}"/>
    <cellStyle name="Normal 5 2 2 3 2 4 4 2" xfId="41172" xr:uid="{660CA1BB-14C2-4825-8874-D2C321B384E5}"/>
    <cellStyle name="Normal 5 2 2 3 2 4 5" xfId="28581" xr:uid="{9071C3E7-BFFF-4FDD-B895-3EA69BBEA87F}"/>
    <cellStyle name="Normal 5 2 2 3 2 5" xfId="3491" xr:uid="{44DAFFB0-4047-4BB9-AEA5-A0D035D00728}"/>
    <cellStyle name="Normal 5 2 2 3 2 5 2" xfId="6645" xr:uid="{A75C7A9D-70FF-41D6-8F32-153421A27601}"/>
    <cellStyle name="Normal 5 2 2 3 2 5 2 2" xfId="12938" xr:uid="{D3603EE9-EFD7-48C8-84F8-EAAE6E1B8B45}"/>
    <cellStyle name="Normal 5 2 2 3 2 5 2 2 2" xfId="25620" xr:uid="{72AB616E-90D7-48EA-A360-655DB08E20A3}"/>
    <cellStyle name="Normal 5 2 2 3 2 5 2 2 2 2" xfId="51112" xr:uid="{B8FCC0FD-9FEE-434C-80D8-5CB53A8AC042}"/>
    <cellStyle name="Normal 5 2 2 3 2 5 2 2 3" xfId="38521" xr:uid="{ACFA431B-CA8D-4018-A3C1-95896E94E4C8}"/>
    <cellStyle name="Normal 5 2 2 3 2 5 2 3" xfId="19342" xr:uid="{7300D518-D64A-4347-9F16-5803747DF858}"/>
    <cellStyle name="Normal 5 2 2 3 2 5 2 3 2" xfId="44834" xr:uid="{3ADF07F7-3BA4-4FA8-BBCF-9AF6FB848537}"/>
    <cellStyle name="Normal 5 2 2 3 2 5 2 4" xfId="32243" xr:uid="{93E0F82E-C3B6-42FB-9B39-E99160958DD4}"/>
    <cellStyle name="Normal 5 2 2 3 2 5 3" xfId="9799" xr:uid="{8A474C32-9197-49B5-9647-5D25D95A2740}"/>
    <cellStyle name="Normal 5 2 2 3 2 5 3 2" xfId="22481" xr:uid="{5A56673E-E515-4D7D-83EF-90A127A01E0D}"/>
    <cellStyle name="Normal 5 2 2 3 2 5 3 2 2" xfId="47973" xr:uid="{4ED03081-D0E4-48F6-9275-CB1BEED5479F}"/>
    <cellStyle name="Normal 5 2 2 3 2 5 3 3" xfId="35382" xr:uid="{866CB77A-D8DE-4B76-B6E3-FAB2ADE6BC4B}"/>
    <cellStyle name="Normal 5 2 2 3 2 5 4" xfId="16203" xr:uid="{2FC4F0BA-E688-4872-8AE9-A7ED575405C9}"/>
    <cellStyle name="Normal 5 2 2 3 2 5 4 2" xfId="41695" xr:uid="{9CB7CAE2-93F7-442A-A9B9-F0A8B5E38D60}"/>
    <cellStyle name="Normal 5 2 2 3 2 5 5" xfId="29104" xr:uid="{A78451C2-C125-4795-9E19-D1B18268B447}"/>
    <cellStyle name="Normal 5 2 2 3 2 6" xfId="4291" xr:uid="{E81ECF59-CBEA-4304-9DB9-133A0972B382}"/>
    <cellStyle name="Normal 5 2 2 3 2 6 2" xfId="10584" xr:uid="{FA967733-F782-4179-A859-A3512992376A}"/>
    <cellStyle name="Normal 5 2 2 3 2 6 2 2" xfId="23266" xr:uid="{763BF672-60AB-4617-B729-4EB2EF39264C}"/>
    <cellStyle name="Normal 5 2 2 3 2 6 2 2 2" xfId="48758" xr:uid="{9D0836CF-111A-4B3A-B189-991ABAA2CDB3}"/>
    <cellStyle name="Normal 5 2 2 3 2 6 2 3" xfId="36167" xr:uid="{F1280936-0183-4B7F-9D54-47E1C74F8A9C}"/>
    <cellStyle name="Normal 5 2 2 3 2 6 3" xfId="16988" xr:uid="{E1D8ACD8-6B9E-4E65-804D-1541492F2E87}"/>
    <cellStyle name="Normal 5 2 2 3 2 6 3 2" xfId="42480" xr:uid="{D8AE0876-BBA4-42C1-ADAE-60E0638883EE}"/>
    <cellStyle name="Normal 5 2 2 3 2 6 4" xfId="29889" xr:uid="{E3FA0E24-736A-49F8-AE40-8C516BB5E1FA}"/>
    <cellStyle name="Normal 5 2 2 3 2 7" xfId="7445" xr:uid="{9C67564F-7AFC-44E3-8B62-4E21D9D3070D}"/>
    <cellStyle name="Normal 5 2 2 3 2 7 2" xfId="20127" xr:uid="{0E1774EC-8C17-4668-9248-3D4B76113202}"/>
    <cellStyle name="Normal 5 2 2 3 2 7 2 2" xfId="45619" xr:uid="{E7FF77B6-66BB-4453-B49E-35A0ED0C5C7B}"/>
    <cellStyle name="Normal 5 2 2 3 2 7 3" xfId="33028" xr:uid="{66712956-EA0E-4196-8C7C-A274107F77FB}"/>
    <cellStyle name="Normal 5 2 2 3 2 8" xfId="13849" xr:uid="{AF2705F9-BE88-400A-8285-55D4A4DECAF2}"/>
    <cellStyle name="Normal 5 2 2 3 2 8 2" xfId="39341" xr:uid="{E30E64AC-8979-40FA-9B55-6024747C8421}"/>
    <cellStyle name="Normal 5 2 2 3 2 9" xfId="26750" xr:uid="{400B029B-B662-497F-BB6D-C4054198CBD1}"/>
    <cellStyle name="Normal 5 2 2 3 3" xfId="877" xr:uid="{DBAD5210-099A-4960-9318-B351354FA57C}"/>
    <cellStyle name="Normal 5 2 2 3 3 2" xfId="2184" xr:uid="{DC90430F-1D96-4892-9E44-71FFCDA365EE}"/>
    <cellStyle name="Normal 5 2 2 3 3 2 2" xfId="5338" xr:uid="{B5B1AA69-E721-4824-A9D5-326B7511014D}"/>
    <cellStyle name="Normal 5 2 2 3 3 2 2 2" xfId="11631" xr:uid="{EDA044A8-5B7F-4A2C-8994-65CB27A21F46}"/>
    <cellStyle name="Normal 5 2 2 3 3 2 2 2 2" xfId="24313" xr:uid="{5B434C34-B622-4168-8B0C-C1098CE63C36}"/>
    <cellStyle name="Normal 5 2 2 3 3 2 2 2 2 2" xfId="49805" xr:uid="{28BADCC4-9B93-4FFA-80C2-7E82C768D4C9}"/>
    <cellStyle name="Normal 5 2 2 3 3 2 2 2 3" xfId="37214" xr:uid="{4B4980F5-A615-43FA-8DCF-C70AD6852A39}"/>
    <cellStyle name="Normal 5 2 2 3 3 2 2 3" xfId="18035" xr:uid="{59A03CE0-9395-4622-9D66-75CEAEA94AD7}"/>
    <cellStyle name="Normal 5 2 2 3 3 2 2 3 2" xfId="43527" xr:uid="{577350BD-15CC-41BE-BE95-291B6027AF26}"/>
    <cellStyle name="Normal 5 2 2 3 3 2 2 4" xfId="30936" xr:uid="{AA58A182-AF96-4C63-96A8-0D9AF6A8BEBD}"/>
    <cellStyle name="Normal 5 2 2 3 3 2 3" xfId="8492" xr:uid="{57DD3518-B12A-4645-9289-7299C0BB9C97}"/>
    <cellStyle name="Normal 5 2 2 3 3 2 3 2" xfId="21174" xr:uid="{C1CF4915-4FB8-463C-817D-8D0D1FA8E888}"/>
    <cellStyle name="Normal 5 2 2 3 3 2 3 2 2" xfId="46666" xr:uid="{022FCA99-FE0C-4B90-AF7B-AFF3D9B7102A}"/>
    <cellStyle name="Normal 5 2 2 3 3 2 3 3" xfId="34075" xr:uid="{77BA0877-4226-4B4F-9B71-AF9686BE5F1C}"/>
    <cellStyle name="Normal 5 2 2 3 3 2 4" xfId="14896" xr:uid="{326FE696-6010-4472-8552-1174CDB9D7C8}"/>
    <cellStyle name="Normal 5 2 2 3 3 2 4 2" xfId="40388" xr:uid="{3CB51D3B-DCB3-4155-AFD4-28FABDFE6E3A}"/>
    <cellStyle name="Normal 5 2 2 3 3 2 5" xfId="27797" xr:uid="{93C16F5C-CB04-4A9B-A40F-18C0F6370ABD}"/>
    <cellStyle name="Normal 5 2 2 3 3 3" xfId="4031" xr:uid="{70AD491F-9410-4C84-85A9-6CAD27410271}"/>
    <cellStyle name="Normal 5 2 2 3 3 3 2" xfId="10324" xr:uid="{B132AE54-B58D-4E9C-9EC2-1E963419953C}"/>
    <cellStyle name="Normal 5 2 2 3 3 3 2 2" xfId="23006" xr:uid="{4C5B5EA3-FBFB-4D53-B152-26108FF2AD38}"/>
    <cellStyle name="Normal 5 2 2 3 3 3 2 2 2" xfId="48498" xr:uid="{0ADD7B5D-6CD7-4C12-AB74-8656ACB96B39}"/>
    <cellStyle name="Normal 5 2 2 3 3 3 2 3" xfId="35907" xr:uid="{A6575C0F-5D2B-4877-8095-57DC90015FBD}"/>
    <cellStyle name="Normal 5 2 2 3 3 3 3" xfId="16728" xr:uid="{5DBBC338-E2E3-4012-B07E-05F9A556619B}"/>
    <cellStyle name="Normal 5 2 2 3 3 3 3 2" xfId="42220" xr:uid="{3DAB71F8-9227-421D-B709-81F9DF73E9D4}"/>
    <cellStyle name="Normal 5 2 2 3 3 3 4" xfId="29629" xr:uid="{900AB660-9FB9-4BE7-BF86-D5A0CE19AA96}"/>
    <cellStyle name="Normal 5 2 2 3 3 4" xfId="7185" xr:uid="{12F7BBA6-E152-4DBD-B953-3FF0CE7F91E8}"/>
    <cellStyle name="Normal 5 2 2 3 3 4 2" xfId="19867" xr:uid="{702C4BC6-81CB-4305-86F9-DBA07AD10D0F}"/>
    <cellStyle name="Normal 5 2 2 3 3 4 2 2" xfId="45359" xr:uid="{F7FFC1AE-46C6-450E-BE4A-30EA1A07C552}"/>
    <cellStyle name="Normal 5 2 2 3 3 4 3" xfId="32768" xr:uid="{85B14FF9-6B40-4631-AE8D-3D72634947EA}"/>
    <cellStyle name="Normal 5 2 2 3 3 5" xfId="13589" xr:uid="{3168DC29-4C60-42AB-9498-C8732DF12B89}"/>
    <cellStyle name="Normal 5 2 2 3 3 5 2" xfId="39081" xr:uid="{92AD8660-E686-47EB-B70E-A5E9BE8B389F}"/>
    <cellStyle name="Normal 5 2 2 3 3 6" xfId="26490" xr:uid="{1BF18BFA-506E-49C5-8515-EB2DA6AC6A32}"/>
    <cellStyle name="Normal 5 2 2 3 4" xfId="1922" xr:uid="{701553DF-C6E0-4263-B0B7-8699773E31DE}"/>
    <cellStyle name="Normal 5 2 2 3 4 2" xfId="5076" xr:uid="{458DE8E9-F5D6-49B5-8CA6-12C2B7FBE0E4}"/>
    <cellStyle name="Normal 5 2 2 3 4 2 2" xfId="11369" xr:uid="{E9E5340F-AF5D-458F-9AE7-A8B05E333221}"/>
    <cellStyle name="Normal 5 2 2 3 4 2 2 2" xfId="24051" xr:uid="{DB08DF2F-9637-449F-A17E-8059FD3E98D3}"/>
    <cellStyle name="Normal 5 2 2 3 4 2 2 2 2" xfId="49543" xr:uid="{C00E9498-1386-4E9E-B61C-6732AE16739A}"/>
    <cellStyle name="Normal 5 2 2 3 4 2 2 3" xfId="36952" xr:uid="{195FA3F1-650E-4F4C-828C-4A3AE609A75B}"/>
    <cellStyle name="Normal 5 2 2 3 4 2 3" xfId="17773" xr:uid="{C2EEE8B1-9FCF-43BF-80E3-5EAA914FB315}"/>
    <cellStyle name="Normal 5 2 2 3 4 2 3 2" xfId="43265" xr:uid="{5387D5D5-D105-4819-BA51-0F4C5CF6FADE}"/>
    <cellStyle name="Normal 5 2 2 3 4 2 4" xfId="30674" xr:uid="{1E195BBF-E1CB-4190-A68E-26A8D4DD3BCE}"/>
    <cellStyle name="Normal 5 2 2 3 4 3" xfId="8230" xr:uid="{E52A2629-EB8A-48A7-90C8-9B28A359C808}"/>
    <cellStyle name="Normal 5 2 2 3 4 3 2" xfId="20912" xr:uid="{82A40BA0-1E70-4AF9-8DD9-1959373BAF9A}"/>
    <cellStyle name="Normal 5 2 2 3 4 3 2 2" xfId="46404" xr:uid="{07236F12-59AC-4333-98CA-394AC1CB0E54}"/>
    <cellStyle name="Normal 5 2 2 3 4 3 3" xfId="33813" xr:uid="{0394371F-25F3-413D-8EDB-73CB4980B4B2}"/>
    <cellStyle name="Normal 5 2 2 3 4 4" xfId="14634" xr:uid="{4E8C7282-D8F4-44B5-9971-836ED6227808}"/>
    <cellStyle name="Normal 5 2 2 3 4 4 2" xfId="40126" xr:uid="{ED2CB0F1-C662-481C-AE62-DE11E720CBF6}"/>
    <cellStyle name="Normal 5 2 2 3 4 5" xfId="27535" xr:uid="{7DBFA561-3995-4FC2-A023-B82801B0794D}"/>
    <cellStyle name="Normal 5 2 2 3 5" xfId="1400" xr:uid="{84F5F319-23EE-46DB-86EF-20667E2D0C17}"/>
    <cellStyle name="Normal 5 2 2 3 5 2" xfId="4554" xr:uid="{07762ADC-523D-4C5F-ABAB-BD44B4273A8E}"/>
    <cellStyle name="Normal 5 2 2 3 5 2 2" xfId="10847" xr:uid="{7C5D3DAF-D954-4A86-9CD8-80741C43337E}"/>
    <cellStyle name="Normal 5 2 2 3 5 2 2 2" xfId="23529" xr:uid="{F20A4998-7CE9-4DB6-BC48-F9145E7615C7}"/>
    <cellStyle name="Normal 5 2 2 3 5 2 2 2 2" xfId="49021" xr:uid="{A480D34D-512D-40D7-8362-468E51F8582B}"/>
    <cellStyle name="Normal 5 2 2 3 5 2 2 3" xfId="36430" xr:uid="{4CF039E1-3017-4CEB-A229-1D64F4EBA170}"/>
    <cellStyle name="Normal 5 2 2 3 5 2 3" xfId="17251" xr:uid="{03D03B98-E21C-42B1-BA1B-96819FBBFDDF}"/>
    <cellStyle name="Normal 5 2 2 3 5 2 3 2" xfId="42743" xr:uid="{0A550579-0955-427C-B2D1-F51F0BB664D0}"/>
    <cellStyle name="Normal 5 2 2 3 5 2 4" xfId="30152" xr:uid="{54E6EF00-2430-4186-BEB7-89FB3CEFB9CE}"/>
    <cellStyle name="Normal 5 2 2 3 5 3" xfId="7708" xr:uid="{F0D948CB-7CF0-4221-ABAE-49CBFF976B5D}"/>
    <cellStyle name="Normal 5 2 2 3 5 3 2" xfId="20390" xr:uid="{BEEA8B2B-DB16-47E1-AE43-AC31D0DA2D88}"/>
    <cellStyle name="Normal 5 2 2 3 5 3 2 2" xfId="45882" xr:uid="{9B7B998B-B3DC-4F6F-8126-69ED45219804}"/>
    <cellStyle name="Normal 5 2 2 3 5 3 3" xfId="33291" xr:uid="{49DA9E8E-A404-426F-B255-CA54F2E4F087}"/>
    <cellStyle name="Normal 5 2 2 3 5 4" xfId="14112" xr:uid="{30957860-EB2D-4F20-8D73-6EB15399BBD7}"/>
    <cellStyle name="Normal 5 2 2 3 5 4 2" xfId="39604" xr:uid="{57FAC5CD-0623-4409-B450-4DA19BF2AA58}"/>
    <cellStyle name="Normal 5 2 2 3 5 5" xfId="27013" xr:uid="{F8405D77-2291-446B-A89B-5385BB676917}"/>
    <cellStyle name="Normal 5 2 2 3 6" xfId="2707" xr:uid="{A45558F0-19CC-4ABD-BA54-174FD1048439}"/>
    <cellStyle name="Normal 5 2 2 3 6 2" xfId="5861" xr:uid="{F5E17812-C86B-4687-B559-EF0CA576FEFB}"/>
    <cellStyle name="Normal 5 2 2 3 6 2 2" xfId="12154" xr:uid="{16F172D3-2C05-4AC7-B95F-F75D31094018}"/>
    <cellStyle name="Normal 5 2 2 3 6 2 2 2" xfId="24836" xr:uid="{26878DFF-18D0-4A92-BFDF-7087A7922491}"/>
    <cellStyle name="Normal 5 2 2 3 6 2 2 2 2" xfId="50328" xr:uid="{06490CAD-F9AF-4E6F-B747-8AF2CA1E28A9}"/>
    <cellStyle name="Normal 5 2 2 3 6 2 2 3" xfId="37737" xr:uid="{EADA914D-99B4-4484-8728-5A2F387EE170}"/>
    <cellStyle name="Normal 5 2 2 3 6 2 3" xfId="18558" xr:uid="{BF37EA0E-0A63-41E2-8003-B6103FE04C55}"/>
    <cellStyle name="Normal 5 2 2 3 6 2 3 2" xfId="44050" xr:uid="{B508ACE5-769F-4F18-8176-17EA2D2801A8}"/>
    <cellStyle name="Normal 5 2 2 3 6 2 4" xfId="31459" xr:uid="{4F0E66C7-A451-4960-AB67-45EA059C9D94}"/>
    <cellStyle name="Normal 5 2 2 3 6 3" xfId="9015" xr:uid="{A5859365-EFCE-4F02-9D4D-A4102C03C305}"/>
    <cellStyle name="Normal 5 2 2 3 6 3 2" xfId="21697" xr:uid="{1F8653C3-D86C-4EBA-8459-47F9C0DC496B}"/>
    <cellStyle name="Normal 5 2 2 3 6 3 2 2" xfId="47189" xr:uid="{87DF63B6-DF67-40A5-AC68-A57D1C8D2215}"/>
    <cellStyle name="Normal 5 2 2 3 6 3 3" xfId="34598" xr:uid="{654BA79C-0585-4F36-B634-9F6EAFD32CA1}"/>
    <cellStyle name="Normal 5 2 2 3 6 4" xfId="15419" xr:uid="{A2A59C8E-9FF8-425C-8E12-C5EB7EEDADBA}"/>
    <cellStyle name="Normal 5 2 2 3 6 4 2" xfId="40911" xr:uid="{60278375-C5B5-47FA-91BC-2DB4E747B4B3}"/>
    <cellStyle name="Normal 5 2 2 3 6 5" xfId="28320" xr:uid="{0AD64F5A-7422-4F3A-BFD0-38523217A30B}"/>
    <cellStyle name="Normal 5 2 2 3 7" xfId="3230" xr:uid="{3B4A3760-6E0C-47DF-A920-873917EC25DD}"/>
    <cellStyle name="Normal 5 2 2 3 7 2" xfId="6384" xr:uid="{94B724BA-18EC-48DE-A63C-3A33046A7DBA}"/>
    <cellStyle name="Normal 5 2 2 3 7 2 2" xfId="12677" xr:uid="{FA731D00-207B-4476-9856-F47E23B9B034}"/>
    <cellStyle name="Normal 5 2 2 3 7 2 2 2" xfId="25359" xr:uid="{E4662337-562A-46E0-813A-F9489779FB06}"/>
    <cellStyle name="Normal 5 2 2 3 7 2 2 2 2" xfId="50851" xr:uid="{532B9FFA-3109-4B72-9426-F096FED03BE7}"/>
    <cellStyle name="Normal 5 2 2 3 7 2 2 3" xfId="38260" xr:uid="{DD75FCEE-264F-4830-A94D-0B5A58C00E4A}"/>
    <cellStyle name="Normal 5 2 2 3 7 2 3" xfId="19081" xr:uid="{9FC4204C-0B53-4B36-B0C7-4A2ADDA701A0}"/>
    <cellStyle name="Normal 5 2 2 3 7 2 3 2" xfId="44573" xr:uid="{F976029F-901A-461B-9BF4-2FA2C8513D6D}"/>
    <cellStyle name="Normal 5 2 2 3 7 2 4" xfId="31982" xr:uid="{32AA3E09-0E41-43A0-9913-F6794E387664}"/>
    <cellStyle name="Normal 5 2 2 3 7 3" xfId="9538" xr:uid="{DC98B33E-7B1B-407E-9F33-463BE575BB51}"/>
    <cellStyle name="Normal 5 2 2 3 7 3 2" xfId="22220" xr:uid="{E93040C8-13CA-4E43-9BFF-B2E0ADD10258}"/>
    <cellStyle name="Normal 5 2 2 3 7 3 2 2" xfId="47712" xr:uid="{7091D178-28E1-43AA-B2F0-E4F63874AE1E}"/>
    <cellStyle name="Normal 5 2 2 3 7 3 3" xfId="35121" xr:uid="{1362448F-2BB9-4B21-97A6-22FBB70301F5}"/>
    <cellStyle name="Normal 5 2 2 3 7 4" xfId="15942" xr:uid="{CDAFE936-3B37-4D1E-AB2B-1E74EE90DF31}"/>
    <cellStyle name="Normal 5 2 2 3 7 4 2" xfId="41434" xr:uid="{3D4E5996-1030-4927-AF92-AE029A4B9171}"/>
    <cellStyle name="Normal 5 2 2 3 7 5" xfId="28843" xr:uid="{A269D811-8854-4DD7-9C36-7CBFF160AAC4}"/>
    <cellStyle name="Normal 5 2 2 3 8" xfId="3769" xr:uid="{DA82D1C2-3E74-436E-B719-FAAF7D0213BC}"/>
    <cellStyle name="Normal 5 2 2 3 8 2" xfId="10062" xr:uid="{2F275595-9604-47CD-9EC9-2D2B7C1CC7A7}"/>
    <cellStyle name="Normal 5 2 2 3 8 2 2" xfId="22744" xr:uid="{8B9F4E65-2552-4612-ABFB-CCB2EA187FB5}"/>
    <cellStyle name="Normal 5 2 2 3 8 2 2 2" xfId="48236" xr:uid="{12D45CFD-4A43-4E82-8EA9-737EFF6E354D}"/>
    <cellStyle name="Normal 5 2 2 3 8 2 3" xfId="35645" xr:uid="{26259D5A-5394-4C22-8094-408C1A9AEC1A}"/>
    <cellStyle name="Normal 5 2 2 3 8 3" xfId="16466" xr:uid="{784023B9-7705-4930-B64E-0A60AA6DA145}"/>
    <cellStyle name="Normal 5 2 2 3 8 3 2" xfId="41958" xr:uid="{F2F07107-439B-49E4-8CF7-61C2C814B6DC}"/>
    <cellStyle name="Normal 5 2 2 3 8 4" xfId="29367" xr:uid="{0684EC7D-D4DD-48B6-8640-3558B296B3E9}"/>
    <cellStyle name="Normal 5 2 2 3 9" xfId="6923" xr:uid="{0B229B30-40F9-45CA-9DCE-6E2E7352ECCA}"/>
    <cellStyle name="Normal 5 2 2 3 9 2" xfId="19605" xr:uid="{069F3FAD-3191-402B-BB14-93FE943F6CC9}"/>
    <cellStyle name="Normal 5 2 2 3 9 2 2" xfId="45097" xr:uid="{BF7F53E2-C2DD-4D22-8DDF-334E04531820}"/>
    <cellStyle name="Normal 5 2 2 3 9 3" xfId="32506" xr:uid="{18353C2D-FC20-461E-94B5-F975D4CEC45D}"/>
    <cellStyle name="Normal 5 2 2 4" xfId="561" xr:uid="{4DD6CC56-3C53-4C8C-9D4B-37E1B03425A9}"/>
    <cellStyle name="Normal 5 2 2 4 10" xfId="13288" xr:uid="{0CCCEE2F-31D2-476C-8A9F-D883EEE48429}"/>
    <cellStyle name="Normal 5 2 2 4 10 2" xfId="38780" xr:uid="{6FE6E8D5-CE24-4744-BF7B-14C106DDE6CC}"/>
    <cellStyle name="Normal 5 2 2 4 11" xfId="26189" xr:uid="{1731A896-A178-4CB1-97A9-69129C4F2AE0}"/>
    <cellStyle name="Normal 5 2 2 4 2" xfId="1098" xr:uid="{95D0B333-97A2-4ED0-AE73-793E970C47D7}"/>
    <cellStyle name="Normal 5 2 2 4 2 2" xfId="2405" xr:uid="{3D8DCCC1-5CDB-41E0-82FE-C0121ED306CA}"/>
    <cellStyle name="Normal 5 2 2 4 2 2 2" xfId="5559" xr:uid="{F4B68B74-B29A-42C1-A7B7-4DE7DE1CF9D5}"/>
    <cellStyle name="Normal 5 2 2 4 2 2 2 2" xfId="11852" xr:uid="{82E6453B-F5C9-471F-B104-4E948C8B003C}"/>
    <cellStyle name="Normal 5 2 2 4 2 2 2 2 2" xfId="24534" xr:uid="{7B060E14-2529-4E1D-8B55-FEDA31AE04C1}"/>
    <cellStyle name="Normal 5 2 2 4 2 2 2 2 2 2" xfId="50026" xr:uid="{AAC66830-A126-4E97-BEFB-27BC94AB3C0E}"/>
    <cellStyle name="Normal 5 2 2 4 2 2 2 2 3" xfId="37435" xr:uid="{B7E7CC9E-1AE5-4359-94DA-0F0E7C452649}"/>
    <cellStyle name="Normal 5 2 2 4 2 2 2 3" xfId="18256" xr:uid="{D2B6AAD9-6022-4D4A-8898-C75FDE1BE17D}"/>
    <cellStyle name="Normal 5 2 2 4 2 2 2 3 2" xfId="43748" xr:uid="{958A27E6-BEBB-4649-9207-4B0D3EC73E14}"/>
    <cellStyle name="Normal 5 2 2 4 2 2 2 4" xfId="31157" xr:uid="{BBE27B71-01AD-4027-9FE5-27BEDE8EFE6F}"/>
    <cellStyle name="Normal 5 2 2 4 2 2 3" xfId="8713" xr:uid="{1C26E496-73EA-4605-BCF0-21DDD000781B}"/>
    <cellStyle name="Normal 5 2 2 4 2 2 3 2" xfId="21395" xr:uid="{5BA693FC-22F7-46B7-82A8-36DDDB9AAA0E}"/>
    <cellStyle name="Normal 5 2 2 4 2 2 3 2 2" xfId="46887" xr:uid="{22715346-DB63-48AB-90CB-A2FF201F33B9}"/>
    <cellStyle name="Normal 5 2 2 4 2 2 3 3" xfId="34296" xr:uid="{90BE9F36-FEB7-4CDF-BBB3-03FD495C7EC5}"/>
    <cellStyle name="Normal 5 2 2 4 2 2 4" xfId="15117" xr:uid="{0E70331F-0EAC-4E74-B948-FFD1C969CAE3}"/>
    <cellStyle name="Normal 5 2 2 4 2 2 4 2" xfId="40609" xr:uid="{F3353E0B-FAD6-45E6-9D8D-DE7E22D45A95}"/>
    <cellStyle name="Normal 5 2 2 4 2 2 5" xfId="28018" xr:uid="{9C7E680A-62DE-4E8E-B685-B59315FFF19A}"/>
    <cellStyle name="Normal 5 2 2 4 2 3" xfId="1622" xr:uid="{9F06F359-8059-4369-AFE0-CB5C90ECE287}"/>
    <cellStyle name="Normal 5 2 2 4 2 3 2" xfId="4776" xr:uid="{C803AE41-3C9A-4B26-A7D8-45ADB069981B}"/>
    <cellStyle name="Normal 5 2 2 4 2 3 2 2" xfId="11069" xr:uid="{5A394FDE-38F5-44E1-A918-36AC4EBA03CE}"/>
    <cellStyle name="Normal 5 2 2 4 2 3 2 2 2" xfId="23751" xr:uid="{E6A429B9-83EF-4EE0-A57A-E2BC7203F8B8}"/>
    <cellStyle name="Normal 5 2 2 4 2 3 2 2 2 2" xfId="49243" xr:uid="{DCDEEAB8-EE24-41C8-AF35-FB8777F033E2}"/>
    <cellStyle name="Normal 5 2 2 4 2 3 2 2 3" xfId="36652" xr:uid="{804E64C6-2E66-42E6-9C27-E80EA1DCA523}"/>
    <cellStyle name="Normal 5 2 2 4 2 3 2 3" xfId="17473" xr:uid="{ABEB0489-77C9-46D1-AF2A-B1331DE83DDB}"/>
    <cellStyle name="Normal 5 2 2 4 2 3 2 3 2" xfId="42965" xr:uid="{14AAEC5B-660F-4AA0-A603-56BBD9740FE8}"/>
    <cellStyle name="Normal 5 2 2 4 2 3 2 4" xfId="30374" xr:uid="{BCE99B73-F1E0-448C-A5AB-D8CAC802F16D}"/>
    <cellStyle name="Normal 5 2 2 4 2 3 3" xfId="7930" xr:uid="{AB06BCEA-3A68-4500-B36F-AEE18F8C8B4F}"/>
    <cellStyle name="Normal 5 2 2 4 2 3 3 2" xfId="20612" xr:uid="{AEC92FF2-B42F-4C06-95D3-BBA6B9CBD51F}"/>
    <cellStyle name="Normal 5 2 2 4 2 3 3 2 2" xfId="46104" xr:uid="{CDA10BC7-5260-4A09-9CB7-1E01D6E12FB4}"/>
    <cellStyle name="Normal 5 2 2 4 2 3 3 3" xfId="33513" xr:uid="{C14785F6-0919-49D3-B1DB-9F575959C429}"/>
    <cellStyle name="Normal 5 2 2 4 2 3 4" xfId="14334" xr:uid="{A3502FC6-9F75-4A52-91B3-317F75BA710E}"/>
    <cellStyle name="Normal 5 2 2 4 2 3 4 2" xfId="39826" xr:uid="{4722D0A8-C31A-49EA-ACEA-84D991FD29F0}"/>
    <cellStyle name="Normal 5 2 2 4 2 3 5" xfId="27235" xr:uid="{6769BF8A-B7A0-4019-BDEE-54171B0F653F}"/>
    <cellStyle name="Normal 5 2 2 4 2 4" xfId="2929" xr:uid="{856928D1-7D33-4A0E-9F38-6FAA259AB4F4}"/>
    <cellStyle name="Normal 5 2 2 4 2 4 2" xfId="6083" xr:uid="{F364DB28-9D6B-44E5-858B-CE19366F6761}"/>
    <cellStyle name="Normal 5 2 2 4 2 4 2 2" xfId="12376" xr:uid="{59F4F0DC-0361-4DC0-BC92-613A3203A82C}"/>
    <cellStyle name="Normal 5 2 2 4 2 4 2 2 2" xfId="25058" xr:uid="{BE5E69DE-A88C-43F7-97D1-2B6A4D565D2F}"/>
    <cellStyle name="Normal 5 2 2 4 2 4 2 2 2 2" xfId="50550" xr:uid="{C0892D9B-7E8C-4C45-8691-2DE69968174D}"/>
    <cellStyle name="Normal 5 2 2 4 2 4 2 2 3" xfId="37959" xr:uid="{474B5510-AD06-4E9A-99FA-A29072F3F6F4}"/>
    <cellStyle name="Normal 5 2 2 4 2 4 2 3" xfId="18780" xr:uid="{7A7CB889-EADB-4AEF-B88D-BA2E3A2DB9A3}"/>
    <cellStyle name="Normal 5 2 2 4 2 4 2 3 2" xfId="44272" xr:uid="{E05447EA-346B-4EA9-8C67-62FB4EAA83F1}"/>
    <cellStyle name="Normal 5 2 2 4 2 4 2 4" xfId="31681" xr:uid="{9F27426F-FAEF-4E58-938A-B1C7DA9152EA}"/>
    <cellStyle name="Normal 5 2 2 4 2 4 3" xfId="9237" xr:uid="{1E540222-A080-4134-803D-53AA6DD87EDF}"/>
    <cellStyle name="Normal 5 2 2 4 2 4 3 2" xfId="21919" xr:uid="{CE9B3277-267B-43EA-B092-3FEAC287B5B8}"/>
    <cellStyle name="Normal 5 2 2 4 2 4 3 2 2" xfId="47411" xr:uid="{043901EA-1F1C-4DB6-B957-CA63AFF06EE7}"/>
    <cellStyle name="Normal 5 2 2 4 2 4 3 3" xfId="34820" xr:uid="{9B66FCB8-9B05-409F-85CC-B944C5023608}"/>
    <cellStyle name="Normal 5 2 2 4 2 4 4" xfId="15641" xr:uid="{DCD910D8-44BB-465C-8A16-35C2DB9CE9AA}"/>
    <cellStyle name="Normal 5 2 2 4 2 4 4 2" xfId="41133" xr:uid="{30B54D7E-7A14-45BE-8663-3645BFDD9566}"/>
    <cellStyle name="Normal 5 2 2 4 2 4 5" xfId="28542" xr:uid="{53A8690D-F6D5-4384-ACF4-55E00BACCC68}"/>
    <cellStyle name="Normal 5 2 2 4 2 5" xfId="3452" xr:uid="{BE98C6AD-807C-462E-8909-B3326EB0E80F}"/>
    <cellStyle name="Normal 5 2 2 4 2 5 2" xfId="6606" xr:uid="{4D4571F9-CA0D-4755-8A55-44B9662946F5}"/>
    <cellStyle name="Normal 5 2 2 4 2 5 2 2" xfId="12899" xr:uid="{E04F8BBF-2A96-44C3-8FDF-0D6555F5A5E9}"/>
    <cellStyle name="Normal 5 2 2 4 2 5 2 2 2" xfId="25581" xr:uid="{381BE58A-605C-4E85-BE61-88FACBCBB31A}"/>
    <cellStyle name="Normal 5 2 2 4 2 5 2 2 2 2" xfId="51073" xr:uid="{9B4A3144-43E9-4595-B869-96D875CA387B}"/>
    <cellStyle name="Normal 5 2 2 4 2 5 2 2 3" xfId="38482" xr:uid="{EA24D5A6-1B78-49A4-B0B7-A3C7D6FBF341}"/>
    <cellStyle name="Normal 5 2 2 4 2 5 2 3" xfId="19303" xr:uid="{755D329F-DD01-4B40-A54B-A3C7F70DF645}"/>
    <cellStyle name="Normal 5 2 2 4 2 5 2 3 2" xfId="44795" xr:uid="{C76747AE-6443-4D60-AE87-98BBAA3B17EC}"/>
    <cellStyle name="Normal 5 2 2 4 2 5 2 4" xfId="32204" xr:uid="{196FA08B-9351-419B-BC49-527CE8FD96DD}"/>
    <cellStyle name="Normal 5 2 2 4 2 5 3" xfId="9760" xr:uid="{C5775CED-EF7B-4CC4-9A5C-4A2F19134E58}"/>
    <cellStyle name="Normal 5 2 2 4 2 5 3 2" xfId="22442" xr:uid="{C1B64397-6393-42FC-90B8-9B102E802721}"/>
    <cellStyle name="Normal 5 2 2 4 2 5 3 2 2" xfId="47934" xr:uid="{0EFC16F5-413D-4897-9D4C-54560DAB9E94}"/>
    <cellStyle name="Normal 5 2 2 4 2 5 3 3" xfId="35343" xr:uid="{2A395CD5-698D-4261-9E25-6A9DB4A45424}"/>
    <cellStyle name="Normal 5 2 2 4 2 5 4" xfId="16164" xr:uid="{5AD74580-E0FB-47A1-B7D6-195DCFAF9420}"/>
    <cellStyle name="Normal 5 2 2 4 2 5 4 2" xfId="41656" xr:uid="{96C172EA-0BDF-4940-AA32-E197423E3F32}"/>
    <cellStyle name="Normal 5 2 2 4 2 5 5" xfId="29065" xr:uid="{3ADB942B-7B51-4807-B147-F9CBE9B421D0}"/>
    <cellStyle name="Normal 5 2 2 4 2 6" xfId="4252" xr:uid="{3C1908CD-2559-4CA6-8FCC-76DB0C50B6A3}"/>
    <cellStyle name="Normal 5 2 2 4 2 6 2" xfId="10545" xr:uid="{AE8880A5-49D6-4A79-8E34-6923281A7CB3}"/>
    <cellStyle name="Normal 5 2 2 4 2 6 2 2" xfId="23227" xr:uid="{CBBC4FB3-6639-401D-AE0A-2DF7951182CC}"/>
    <cellStyle name="Normal 5 2 2 4 2 6 2 2 2" xfId="48719" xr:uid="{466A59DF-DD93-4EC2-9137-5DE1E4991B7A}"/>
    <cellStyle name="Normal 5 2 2 4 2 6 2 3" xfId="36128" xr:uid="{EBD0C6F8-58BA-4085-A1DC-7F71D6FD9C93}"/>
    <cellStyle name="Normal 5 2 2 4 2 6 3" xfId="16949" xr:uid="{3BFABA8D-942F-43F4-B6E1-733B4F004379}"/>
    <cellStyle name="Normal 5 2 2 4 2 6 3 2" xfId="42441" xr:uid="{B4B18CB9-26E2-46C6-A213-8D271B019E02}"/>
    <cellStyle name="Normal 5 2 2 4 2 6 4" xfId="29850" xr:uid="{BF585FE9-AAD5-47A4-9504-75544D6CE535}"/>
    <cellStyle name="Normal 5 2 2 4 2 7" xfId="7406" xr:uid="{2495FAA9-E24E-4E49-8348-C1CA24C6900D}"/>
    <cellStyle name="Normal 5 2 2 4 2 7 2" xfId="20088" xr:uid="{56DBDE8E-BC97-4A5D-B72E-CB6F1DE08902}"/>
    <cellStyle name="Normal 5 2 2 4 2 7 2 2" xfId="45580" xr:uid="{FF8FD355-F507-418B-8539-9807A9DB8267}"/>
    <cellStyle name="Normal 5 2 2 4 2 7 3" xfId="32989" xr:uid="{8B7B76AE-2F81-4DC3-94CA-D509BD46276C}"/>
    <cellStyle name="Normal 5 2 2 4 2 8" xfId="13810" xr:uid="{F35576FF-8644-4487-B3FF-064A6246687F}"/>
    <cellStyle name="Normal 5 2 2 4 2 8 2" xfId="39302" xr:uid="{E3140CE9-9A12-4656-9223-0A579AD05426}"/>
    <cellStyle name="Normal 5 2 2 4 2 9" xfId="26711" xr:uid="{559638DC-DAB0-40E0-8B73-4B12425A2141}"/>
    <cellStyle name="Normal 5 2 2 4 3" xfId="838" xr:uid="{A2E9901B-1765-4899-8009-9FE0121BF2BE}"/>
    <cellStyle name="Normal 5 2 2 4 3 2" xfId="2145" xr:uid="{49B93F08-BFB2-4B72-A053-4B34C135F1F5}"/>
    <cellStyle name="Normal 5 2 2 4 3 2 2" xfId="5299" xr:uid="{327F5857-5442-4BD6-96E9-E078843559C1}"/>
    <cellStyle name="Normal 5 2 2 4 3 2 2 2" xfId="11592" xr:uid="{1080961C-4F52-43E8-A745-C751AB6866B9}"/>
    <cellStyle name="Normal 5 2 2 4 3 2 2 2 2" xfId="24274" xr:uid="{B93FCCE1-A37A-43D7-AEBD-E5CD8E06EE8F}"/>
    <cellStyle name="Normal 5 2 2 4 3 2 2 2 2 2" xfId="49766" xr:uid="{5BBC7F0F-0E24-4CA3-9907-340243269612}"/>
    <cellStyle name="Normal 5 2 2 4 3 2 2 2 3" xfId="37175" xr:uid="{B49951F3-0CA6-48F4-9EE4-E8116FDB2461}"/>
    <cellStyle name="Normal 5 2 2 4 3 2 2 3" xfId="17996" xr:uid="{CAE9F5C5-A479-4C2E-867E-D7EB553C66D8}"/>
    <cellStyle name="Normal 5 2 2 4 3 2 2 3 2" xfId="43488" xr:uid="{ED110117-B69D-41DF-B25B-C5E4576D1237}"/>
    <cellStyle name="Normal 5 2 2 4 3 2 2 4" xfId="30897" xr:uid="{F19311E8-2A65-4DC8-AF68-2E9673B3CAD2}"/>
    <cellStyle name="Normal 5 2 2 4 3 2 3" xfId="8453" xr:uid="{7C9B7DCC-9957-463E-BCCC-5F06C1C532D0}"/>
    <cellStyle name="Normal 5 2 2 4 3 2 3 2" xfId="21135" xr:uid="{5CBB4598-67F5-43B3-8177-95663A843B67}"/>
    <cellStyle name="Normal 5 2 2 4 3 2 3 2 2" xfId="46627" xr:uid="{11F64DD4-0BA8-4A53-B941-160C3BBF8451}"/>
    <cellStyle name="Normal 5 2 2 4 3 2 3 3" xfId="34036" xr:uid="{4046441A-AA3B-4317-8B1B-4E6E0260245F}"/>
    <cellStyle name="Normal 5 2 2 4 3 2 4" xfId="14857" xr:uid="{8ADE4C22-5BEA-413A-85FA-6A1A7FFAA68F}"/>
    <cellStyle name="Normal 5 2 2 4 3 2 4 2" xfId="40349" xr:uid="{EDE8F7AB-E8F0-40FA-B3AC-38416D3E0424}"/>
    <cellStyle name="Normal 5 2 2 4 3 2 5" xfId="27758" xr:uid="{718914F0-EFA8-43BE-8D85-E31D32A76E8F}"/>
    <cellStyle name="Normal 5 2 2 4 3 3" xfId="3992" xr:uid="{566A2192-62B0-49AC-9E64-AE9B9AADF11F}"/>
    <cellStyle name="Normal 5 2 2 4 3 3 2" xfId="10285" xr:uid="{36CB1881-A0AE-4959-8577-D6913C2AA4BB}"/>
    <cellStyle name="Normal 5 2 2 4 3 3 2 2" xfId="22967" xr:uid="{59F00EA0-7B8B-47D1-92A8-65AC506767C3}"/>
    <cellStyle name="Normal 5 2 2 4 3 3 2 2 2" xfId="48459" xr:uid="{85D2B283-68E9-4552-90C3-ABCE024EE1C4}"/>
    <cellStyle name="Normal 5 2 2 4 3 3 2 3" xfId="35868" xr:uid="{36D65123-7B0A-46B6-807A-E21E1F8ABF7B}"/>
    <cellStyle name="Normal 5 2 2 4 3 3 3" xfId="16689" xr:uid="{7D502206-3E03-4FE5-999B-34A3618C9CE2}"/>
    <cellStyle name="Normal 5 2 2 4 3 3 3 2" xfId="42181" xr:uid="{200BAF2C-17E8-44DE-89F7-09DF7770D5EE}"/>
    <cellStyle name="Normal 5 2 2 4 3 3 4" xfId="29590" xr:uid="{804782DB-20C9-40C5-9522-F08AB8B35090}"/>
    <cellStyle name="Normal 5 2 2 4 3 4" xfId="7146" xr:uid="{D4258850-22AC-4CA2-BB1E-FAA256EAB145}"/>
    <cellStyle name="Normal 5 2 2 4 3 4 2" xfId="19828" xr:uid="{DC78C57A-0898-4B74-B9FB-5AAB0B316AF3}"/>
    <cellStyle name="Normal 5 2 2 4 3 4 2 2" xfId="45320" xr:uid="{4C9F99D9-80B6-4B47-AD1B-C75005431540}"/>
    <cellStyle name="Normal 5 2 2 4 3 4 3" xfId="32729" xr:uid="{837B4F13-6E03-482A-8026-F507D8DE95F5}"/>
    <cellStyle name="Normal 5 2 2 4 3 5" xfId="13550" xr:uid="{65A41BD5-3011-49C0-8032-E07E281BF0DF}"/>
    <cellStyle name="Normal 5 2 2 4 3 5 2" xfId="39042" xr:uid="{6B2A1AD2-EB28-431E-8136-BEF41066319A}"/>
    <cellStyle name="Normal 5 2 2 4 3 6" xfId="26451" xr:uid="{859E636B-F365-4B5E-A1A9-1A01FAAE96C4}"/>
    <cellStyle name="Normal 5 2 2 4 4" xfId="1883" xr:uid="{5497BB09-E812-49DB-987D-284F602411C7}"/>
    <cellStyle name="Normal 5 2 2 4 4 2" xfId="5037" xr:uid="{1B3C8B98-1FCA-42F9-997E-E82574B2D608}"/>
    <cellStyle name="Normal 5 2 2 4 4 2 2" xfId="11330" xr:uid="{9ADC17EF-C409-472E-9529-10AE54113C7F}"/>
    <cellStyle name="Normal 5 2 2 4 4 2 2 2" xfId="24012" xr:uid="{E8E0C477-C5FB-49FC-8BB0-0533E81E9DA6}"/>
    <cellStyle name="Normal 5 2 2 4 4 2 2 2 2" xfId="49504" xr:uid="{0545FF4F-1001-4C13-A9C9-32D876149A91}"/>
    <cellStyle name="Normal 5 2 2 4 4 2 2 3" xfId="36913" xr:uid="{2A5989AB-D89B-4946-8CAF-D070143557BD}"/>
    <cellStyle name="Normal 5 2 2 4 4 2 3" xfId="17734" xr:uid="{8C3FCD0A-CD9E-4C64-9F62-C5124ACD486B}"/>
    <cellStyle name="Normal 5 2 2 4 4 2 3 2" xfId="43226" xr:uid="{ED7CACBD-94D8-4794-9D48-393CA8F42328}"/>
    <cellStyle name="Normal 5 2 2 4 4 2 4" xfId="30635" xr:uid="{E47173F7-15FD-4751-8DBF-BDFB12EEBC0C}"/>
    <cellStyle name="Normal 5 2 2 4 4 3" xfId="8191" xr:uid="{DDE344B1-E518-44AA-8218-6A7A190846A9}"/>
    <cellStyle name="Normal 5 2 2 4 4 3 2" xfId="20873" xr:uid="{1E1D1D5C-D80F-4783-92E2-155910D85467}"/>
    <cellStyle name="Normal 5 2 2 4 4 3 2 2" xfId="46365" xr:uid="{D2BC56CE-4F9F-4D41-8146-725F574FAAEF}"/>
    <cellStyle name="Normal 5 2 2 4 4 3 3" xfId="33774" xr:uid="{A5DB4264-2534-440C-84CD-562443D7F425}"/>
    <cellStyle name="Normal 5 2 2 4 4 4" xfId="14595" xr:uid="{8195AB23-5BA4-44A9-9A21-864D14665BD8}"/>
    <cellStyle name="Normal 5 2 2 4 4 4 2" xfId="40087" xr:uid="{71C34F9D-EF1C-4BFF-9E78-39FAF529FD0F}"/>
    <cellStyle name="Normal 5 2 2 4 4 5" xfId="27496" xr:uid="{C67ACFD8-1E91-4652-B462-2970E8E31992}"/>
    <cellStyle name="Normal 5 2 2 4 5" xfId="1361" xr:uid="{DB8FB840-2D6D-47A3-80AF-27B2386091C4}"/>
    <cellStyle name="Normal 5 2 2 4 5 2" xfId="4515" xr:uid="{F0C69BE6-615A-46FE-B714-24EDD4E8A84F}"/>
    <cellStyle name="Normal 5 2 2 4 5 2 2" xfId="10808" xr:uid="{0496433E-FBD9-43BA-834A-CFE53726B5FC}"/>
    <cellStyle name="Normal 5 2 2 4 5 2 2 2" xfId="23490" xr:uid="{1DB27E47-A38D-4A8B-9CEE-E65F55582E1F}"/>
    <cellStyle name="Normal 5 2 2 4 5 2 2 2 2" xfId="48982" xr:uid="{79D6B15B-9289-4DB3-A25A-DBDD2EC55EE0}"/>
    <cellStyle name="Normal 5 2 2 4 5 2 2 3" xfId="36391" xr:uid="{431CFCF6-E916-4353-988F-BB5C34F60992}"/>
    <cellStyle name="Normal 5 2 2 4 5 2 3" xfId="17212" xr:uid="{67BC5596-8068-45C2-9A6D-E6C8BD3C897E}"/>
    <cellStyle name="Normal 5 2 2 4 5 2 3 2" xfId="42704" xr:uid="{AAFE5D72-D50E-4890-B0D1-D2A6473B4C9A}"/>
    <cellStyle name="Normal 5 2 2 4 5 2 4" xfId="30113" xr:uid="{F68CCCCB-4AE4-470F-A0BD-866E14F3A450}"/>
    <cellStyle name="Normal 5 2 2 4 5 3" xfId="7669" xr:uid="{112173CE-9F2B-4305-90C5-4F4699725A34}"/>
    <cellStyle name="Normal 5 2 2 4 5 3 2" xfId="20351" xr:uid="{92A3FB95-B441-4FF1-9DF1-F0D165B642B3}"/>
    <cellStyle name="Normal 5 2 2 4 5 3 2 2" xfId="45843" xr:uid="{06D69386-DB7E-4CB6-9D2B-3F77B69790B8}"/>
    <cellStyle name="Normal 5 2 2 4 5 3 3" xfId="33252" xr:uid="{BFF7A627-4920-4F4C-8678-CC60736767C1}"/>
    <cellStyle name="Normal 5 2 2 4 5 4" xfId="14073" xr:uid="{DAE60A3E-C32C-430F-A421-329C3FA339F1}"/>
    <cellStyle name="Normal 5 2 2 4 5 4 2" xfId="39565" xr:uid="{21FE6070-1CDE-45F0-BDB9-02405AFD07C7}"/>
    <cellStyle name="Normal 5 2 2 4 5 5" xfId="26974" xr:uid="{53979FAB-6265-4D4D-9BD2-05A4AB7088F7}"/>
    <cellStyle name="Normal 5 2 2 4 6" xfId="2668" xr:uid="{995D7AD0-B265-4E64-885F-D711970071C0}"/>
    <cellStyle name="Normal 5 2 2 4 6 2" xfId="5822" xr:uid="{E452168F-18B3-434E-9BFA-09F6A768EE83}"/>
    <cellStyle name="Normal 5 2 2 4 6 2 2" xfId="12115" xr:uid="{F8B3A442-D3E7-4E62-9259-7347C5E4C79A}"/>
    <cellStyle name="Normal 5 2 2 4 6 2 2 2" xfId="24797" xr:uid="{A2AD1F02-1405-44C1-9995-6FEA6310516A}"/>
    <cellStyle name="Normal 5 2 2 4 6 2 2 2 2" xfId="50289" xr:uid="{F5A17032-DBD0-4B0C-9E5C-17288FD1F941}"/>
    <cellStyle name="Normal 5 2 2 4 6 2 2 3" xfId="37698" xr:uid="{3B3912AE-F736-45CF-A72A-68CCFE9C2021}"/>
    <cellStyle name="Normal 5 2 2 4 6 2 3" xfId="18519" xr:uid="{EF018E29-CF4B-42A5-B70D-EC0530439A53}"/>
    <cellStyle name="Normal 5 2 2 4 6 2 3 2" xfId="44011" xr:uid="{3AEC1112-CCB1-4CE7-84B3-04A41859B778}"/>
    <cellStyle name="Normal 5 2 2 4 6 2 4" xfId="31420" xr:uid="{768D40FD-C7B8-4782-941A-35C4B5AE29C5}"/>
    <cellStyle name="Normal 5 2 2 4 6 3" xfId="8976" xr:uid="{D2F9DFFB-2329-4084-89EF-0F9502C89B6A}"/>
    <cellStyle name="Normal 5 2 2 4 6 3 2" xfId="21658" xr:uid="{BCA562F6-EAF5-4E72-8B61-EE253B254E76}"/>
    <cellStyle name="Normal 5 2 2 4 6 3 2 2" xfId="47150" xr:uid="{6ECD3771-5AAA-4E5B-A63E-777D842E73A0}"/>
    <cellStyle name="Normal 5 2 2 4 6 3 3" xfId="34559" xr:uid="{AC7026E8-4031-46BE-A76E-B7371D6FF900}"/>
    <cellStyle name="Normal 5 2 2 4 6 4" xfId="15380" xr:uid="{2C51F23C-1EF3-4B48-9357-51EA17294398}"/>
    <cellStyle name="Normal 5 2 2 4 6 4 2" xfId="40872" xr:uid="{023DBE45-512D-4CEE-BC5A-6A7E25E41BC0}"/>
    <cellStyle name="Normal 5 2 2 4 6 5" xfId="28281" xr:uid="{F73375B9-82CE-423C-88FE-48960A6D7F54}"/>
    <cellStyle name="Normal 5 2 2 4 7" xfId="3191" xr:uid="{2A328F9D-01A9-4280-8623-670E9B21527C}"/>
    <cellStyle name="Normal 5 2 2 4 7 2" xfId="6345" xr:uid="{2AF40565-7662-44AE-8AE1-ADB3E41CE86E}"/>
    <cellStyle name="Normal 5 2 2 4 7 2 2" xfId="12638" xr:uid="{D59E4975-10B1-4FB6-81D6-42DC32320EF3}"/>
    <cellStyle name="Normal 5 2 2 4 7 2 2 2" xfId="25320" xr:uid="{DA212E67-099C-48B9-ACD8-00E759F4C494}"/>
    <cellStyle name="Normal 5 2 2 4 7 2 2 2 2" xfId="50812" xr:uid="{02E3BB2A-D32D-430B-B758-FD3730738367}"/>
    <cellStyle name="Normal 5 2 2 4 7 2 2 3" xfId="38221" xr:uid="{33CA8D4D-C960-4149-A61B-D34019EABE88}"/>
    <cellStyle name="Normal 5 2 2 4 7 2 3" xfId="19042" xr:uid="{D623687F-2171-4870-BAB9-FB9624C903BB}"/>
    <cellStyle name="Normal 5 2 2 4 7 2 3 2" xfId="44534" xr:uid="{29282AE2-3F46-40F2-95EF-51244E413E95}"/>
    <cellStyle name="Normal 5 2 2 4 7 2 4" xfId="31943" xr:uid="{D6F67D14-8CB4-494D-B1E2-51FD5585A9C9}"/>
    <cellStyle name="Normal 5 2 2 4 7 3" xfId="9499" xr:uid="{E92F9504-B08A-4CC7-AC6A-A0B747567B52}"/>
    <cellStyle name="Normal 5 2 2 4 7 3 2" xfId="22181" xr:uid="{125AC7C2-815A-44F3-91C3-FCFD9466E827}"/>
    <cellStyle name="Normal 5 2 2 4 7 3 2 2" xfId="47673" xr:uid="{A3733C75-7D2F-45B4-A3E9-7AAB75C5C987}"/>
    <cellStyle name="Normal 5 2 2 4 7 3 3" xfId="35082" xr:uid="{144C2EF9-DD81-4D23-93CF-F1C232C466F1}"/>
    <cellStyle name="Normal 5 2 2 4 7 4" xfId="15903" xr:uid="{60231644-A3C9-4EDA-9D8B-216FD1778C25}"/>
    <cellStyle name="Normal 5 2 2 4 7 4 2" xfId="41395" xr:uid="{89F4D4B4-20AC-4F52-A68B-E39B14C907A9}"/>
    <cellStyle name="Normal 5 2 2 4 7 5" xfId="28804" xr:uid="{677C2FE7-5E5E-49DC-B4F7-15929890BAFE}"/>
    <cellStyle name="Normal 5 2 2 4 8" xfId="3730" xr:uid="{409E98BB-BC59-4FAE-9FE2-AF65DDD3D13E}"/>
    <cellStyle name="Normal 5 2 2 4 8 2" xfId="10023" xr:uid="{B8B4B23D-6227-416D-9EAD-840040187811}"/>
    <cellStyle name="Normal 5 2 2 4 8 2 2" xfId="22705" xr:uid="{00221CA0-32BB-487C-91C0-F5F6FAA28572}"/>
    <cellStyle name="Normal 5 2 2 4 8 2 2 2" xfId="48197" xr:uid="{405AAF17-5BAA-4226-ADDD-4E5891FB2567}"/>
    <cellStyle name="Normal 5 2 2 4 8 2 3" xfId="35606" xr:uid="{5E451D4C-62E7-4E7F-9C1D-159E8221F1C5}"/>
    <cellStyle name="Normal 5 2 2 4 8 3" xfId="16427" xr:uid="{10CD0030-B89B-4032-8F94-7A7654E7EAEE}"/>
    <cellStyle name="Normal 5 2 2 4 8 3 2" xfId="41919" xr:uid="{1A6BD985-9CA4-4A92-AB68-259A10422188}"/>
    <cellStyle name="Normal 5 2 2 4 8 4" xfId="29328" xr:uid="{B8C63741-C6E2-446C-A940-42FB9AD33982}"/>
    <cellStyle name="Normal 5 2 2 4 9" xfId="6884" xr:uid="{CC8FCAF4-9190-4C81-9AD7-E1CCB42A2C7D}"/>
    <cellStyle name="Normal 5 2 2 4 9 2" xfId="19566" xr:uid="{DC8FFD9A-1494-432A-94C7-29D74388AF13}"/>
    <cellStyle name="Normal 5 2 2 4 9 2 2" xfId="45058" xr:uid="{E35F9357-D7DB-4C84-9B42-B2E693609973}"/>
    <cellStyle name="Normal 5 2 2 4 9 3" xfId="32467" xr:uid="{C0B70C07-F9CB-43A7-ADB8-3B0A356C5489}"/>
    <cellStyle name="Normal 5 2 2 5" xfId="978" xr:uid="{1628C260-BE38-4755-8E1D-640BB7A85857}"/>
    <cellStyle name="Normal 5 2 2 5 2" xfId="2285" xr:uid="{42E114CE-6CA7-4DD5-9B2D-777D4DA8C8F2}"/>
    <cellStyle name="Normal 5 2 2 5 2 2" xfId="5439" xr:uid="{08052B8A-AFD1-4248-B182-ADB363133CC1}"/>
    <cellStyle name="Normal 5 2 2 5 2 2 2" xfId="11732" xr:uid="{4B4073F8-7CB4-46A9-AB9D-B67158B782AB}"/>
    <cellStyle name="Normal 5 2 2 5 2 2 2 2" xfId="24414" xr:uid="{3F950781-ACA2-4DB3-A67D-8F801852F25E}"/>
    <cellStyle name="Normal 5 2 2 5 2 2 2 2 2" xfId="49906" xr:uid="{9B812646-CDD6-4C25-A758-62DE874FD41B}"/>
    <cellStyle name="Normal 5 2 2 5 2 2 2 3" xfId="37315" xr:uid="{F9E66806-C61E-4119-A9AD-95D30A978612}"/>
    <cellStyle name="Normal 5 2 2 5 2 2 3" xfId="18136" xr:uid="{C0ACE1DB-E3DE-4556-9D8B-705626C8EFA0}"/>
    <cellStyle name="Normal 5 2 2 5 2 2 3 2" xfId="43628" xr:uid="{4D78C7D1-8DB0-4576-BF0C-490CEBCDB657}"/>
    <cellStyle name="Normal 5 2 2 5 2 2 4" xfId="31037" xr:uid="{55690E49-C3A4-40AC-BA82-89BDC4F9B541}"/>
    <cellStyle name="Normal 5 2 2 5 2 3" xfId="8593" xr:uid="{9913C68A-09B9-401B-AB6F-DB733BB88DE7}"/>
    <cellStyle name="Normal 5 2 2 5 2 3 2" xfId="21275" xr:uid="{F448C25B-C8BF-433B-9417-7ACC60419FF5}"/>
    <cellStyle name="Normal 5 2 2 5 2 3 2 2" xfId="46767" xr:uid="{F07EDED7-5A50-4F51-B900-F3EF0B36B682}"/>
    <cellStyle name="Normal 5 2 2 5 2 3 3" xfId="34176" xr:uid="{48C12FD9-1586-4002-B076-273C7CAD99D9}"/>
    <cellStyle name="Normal 5 2 2 5 2 4" xfId="14997" xr:uid="{DF5D1B0C-1765-427E-BAF3-10ACCB5EDF64}"/>
    <cellStyle name="Normal 5 2 2 5 2 4 2" xfId="40489" xr:uid="{FE7EF06D-0D03-422A-BC79-73D6E3E58E0B}"/>
    <cellStyle name="Normal 5 2 2 5 2 5" xfId="27898" xr:uid="{A80D0886-7AB7-4736-8865-EE4FC4B17D3C}"/>
    <cellStyle name="Normal 5 2 2 5 3" xfId="1502" xr:uid="{40268855-1163-4CD8-81E5-A3FE60683FF8}"/>
    <cellStyle name="Normal 5 2 2 5 3 2" xfId="4656" xr:uid="{FE5F987C-6F69-4FAB-9C25-586F56911F03}"/>
    <cellStyle name="Normal 5 2 2 5 3 2 2" xfId="10949" xr:uid="{2E59AE38-452E-4C1C-A18A-16D803158C9C}"/>
    <cellStyle name="Normal 5 2 2 5 3 2 2 2" xfId="23631" xr:uid="{BB83DC02-2CDA-42C5-8BCD-C361A940BE5E}"/>
    <cellStyle name="Normal 5 2 2 5 3 2 2 2 2" xfId="49123" xr:uid="{F5050F84-BCA1-462B-838F-5856D57F8B43}"/>
    <cellStyle name="Normal 5 2 2 5 3 2 2 3" xfId="36532" xr:uid="{74B68EFD-8284-4DA0-85C3-17EC2488EA54}"/>
    <cellStyle name="Normal 5 2 2 5 3 2 3" xfId="17353" xr:uid="{EE7DE167-C20A-4F9B-A230-6A789B3495F6}"/>
    <cellStyle name="Normal 5 2 2 5 3 2 3 2" xfId="42845" xr:uid="{CDD5D247-C86D-49AB-983C-C51C5E26F0B4}"/>
    <cellStyle name="Normal 5 2 2 5 3 2 4" xfId="30254" xr:uid="{9DE1E0CF-019A-473B-B946-4993F06BDC86}"/>
    <cellStyle name="Normal 5 2 2 5 3 3" xfId="7810" xr:uid="{D8EF636B-37DD-42DC-AF91-16413894011B}"/>
    <cellStyle name="Normal 5 2 2 5 3 3 2" xfId="20492" xr:uid="{D3924180-2D1B-4B0A-837B-DA5DB036BD1A}"/>
    <cellStyle name="Normal 5 2 2 5 3 3 2 2" xfId="45984" xr:uid="{B5DE6A51-E98A-4FEE-A58F-FA43888FED53}"/>
    <cellStyle name="Normal 5 2 2 5 3 3 3" xfId="33393" xr:uid="{B0A7FC6E-EB2E-40B4-9135-D4B30B96BA9B}"/>
    <cellStyle name="Normal 5 2 2 5 3 4" xfId="14214" xr:uid="{BD13FC78-804F-4586-9EE4-7F55D7F8687A}"/>
    <cellStyle name="Normal 5 2 2 5 3 4 2" xfId="39706" xr:uid="{5129E6D5-7E5B-492F-A31A-8E1604622DBF}"/>
    <cellStyle name="Normal 5 2 2 5 3 5" xfId="27115" xr:uid="{BAEB150A-9DE8-4CF7-AFF8-0BF3A58BBDD8}"/>
    <cellStyle name="Normal 5 2 2 5 4" xfId="2809" xr:uid="{99DDDA0D-8FBA-407C-8F85-5AF3E1FD7FCC}"/>
    <cellStyle name="Normal 5 2 2 5 4 2" xfId="5963" xr:uid="{AD262097-C9CA-4E3A-AF33-EFA3A4B8DAD4}"/>
    <cellStyle name="Normal 5 2 2 5 4 2 2" xfId="12256" xr:uid="{26160C52-5DAF-455E-AF62-2092F46BEC49}"/>
    <cellStyle name="Normal 5 2 2 5 4 2 2 2" xfId="24938" xr:uid="{5B12204E-D76E-4344-8B26-00406B082756}"/>
    <cellStyle name="Normal 5 2 2 5 4 2 2 2 2" xfId="50430" xr:uid="{85A67FFA-C989-4652-B5A5-FA89D51F5E85}"/>
    <cellStyle name="Normal 5 2 2 5 4 2 2 3" xfId="37839" xr:uid="{72C8493F-17AB-4860-8C49-0BCA55501654}"/>
    <cellStyle name="Normal 5 2 2 5 4 2 3" xfId="18660" xr:uid="{9EA11D78-1A73-4B10-AE46-2AA6B5F7177F}"/>
    <cellStyle name="Normal 5 2 2 5 4 2 3 2" xfId="44152" xr:uid="{6025DF59-2D4D-4708-94C6-75E5EC285B5F}"/>
    <cellStyle name="Normal 5 2 2 5 4 2 4" xfId="31561" xr:uid="{C2B23E00-3818-4B7C-8E15-E00A7884363E}"/>
    <cellStyle name="Normal 5 2 2 5 4 3" xfId="9117" xr:uid="{147899AF-6D0F-4DE9-8B3E-C9A6A73B60C2}"/>
    <cellStyle name="Normal 5 2 2 5 4 3 2" xfId="21799" xr:uid="{ED328038-4BBA-4D18-9F8C-201836E888F5}"/>
    <cellStyle name="Normal 5 2 2 5 4 3 2 2" xfId="47291" xr:uid="{C4E969EF-BFE1-491D-858B-233E7718EDF3}"/>
    <cellStyle name="Normal 5 2 2 5 4 3 3" xfId="34700" xr:uid="{44106697-8653-4708-8B28-05EC20FAC207}"/>
    <cellStyle name="Normal 5 2 2 5 4 4" xfId="15521" xr:uid="{B61A9CD8-079C-44CD-9E96-A37554901A8D}"/>
    <cellStyle name="Normal 5 2 2 5 4 4 2" xfId="41013" xr:uid="{97D410FA-4E45-4119-B982-74AFEE3502D3}"/>
    <cellStyle name="Normal 5 2 2 5 4 5" xfId="28422" xr:uid="{8813FA28-C255-4552-AC73-53D045587307}"/>
    <cellStyle name="Normal 5 2 2 5 5" xfId="3332" xr:uid="{C329E12C-1934-40A1-8D9C-4E0676D9D4A0}"/>
    <cellStyle name="Normal 5 2 2 5 5 2" xfId="6486" xr:uid="{7A83C434-D5BC-481F-BD88-687C62844EC5}"/>
    <cellStyle name="Normal 5 2 2 5 5 2 2" xfId="12779" xr:uid="{742FD34A-5BAB-4711-9DFF-A4CE9ECA5B2C}"/>
    <cellStyle name="Normal 5 2 2 5 5 2 2 2" xfId="25461" xr:uid="{87067F53-3898-4C38-A16D-607F51A6E91F}"/>
    <cellStyle name="Normal 5 2 2 5 5 2 2 2 2" xfId="50953" xr:uid="{C6E642C4-B277-4E22-B553-B9C17735AA2A}"/>
    <cellStyle name="Normal 5 2 2 5 5 2 2 3" xfId="38362" xr:uid="{763E4388-C1E3-4093-AB37-E7F1EA0F6616}"/>
    <cellStyle name="Normal 5 2 2 5 5 2 3" xfId="19183" xr:uid="{62646713-75D6-462C-BB0F-26188C7962AB}"/>
    <cellStyle name="Normal 5 2 2 5 5 2 3 2" xfId="44675" xr:uid="{F309A9E9-0A9B-437C-BBB6-3D96707D120E}"/>
    <cellStyle name="Normal 5 2 2 5 5 2 4" xfId="32084" xr:uid="{0D9D0142-78D2-49B6-B779-EDB33C618593}"/>
    <cellStyle name="Normal 5 2 2 5 5 3" xfId="9640" xr:uid="{B5158C56-1B19-4CD0-82ED-140E9CE42B7E}"/>
    <cellStyle name="Normal 5 2 2 5 5 3 2" xfId="22322" xr:uid="{F0D9E576-21B8-4B94-BD1A-4D70E4342F35}"/>
    <cellStyle name="Normal 5 2 2 5 5 3 2 2" xfId="47814" xr:uid="{09EEB70D-E13D-4D02-9BB9-C7D5DC02803E}"/>
    <cellStyle name="Normal 5 2 2 5 5 3 3" xfId="35223" xr:uid="{91BB5E0B-3EA7-4D66-88F2-D6F092172177}"/>
    <cellStyle name="Normal 5 2 2 5 5 4" xfId="16044" xr:uid="{BBE4F5E8-2156-4B65-BAD5-BB30FB29575E}"/>
    <cellStyle name="Normal 5 2 2 5 5 4 2" xfId="41536" xr:uid="{D52C3412-6713-45AF-86EB-F4153A5B5A48}"/>
    <cellStyle name="Normal 5 2 2 5 5 5" xfId="28945" xr:uid="{33E667E6-4E31-4EDC-AB93-F395776717AA}"/>
    <cellStyle name="Normal 5 2 2 5 6" xfId="4132" xr:uid="{08D11299-0249-4584-A697-54B0DCA2F0E6}"/>
    <cellStyle name="Normal 5 2 2 5 6 2" xfId="10425" xr:uid="{829A8BC2-9C37-4704-A4CF-3B3508BE8EF8}"/>
    <cellStyle name="Normal 5 2 2 5 6 2 2" xfId="23107" xr:uid="{E70E476A-6173-4647-A67A-0D3DB87EF68E}"/>
    <cellStyle name="Normal 5 2 2 5 6 2 2 2" xfId="48599" xr:uid="{F2413A15-6B5F-40CB-AC18-0FA17426E23F}"/>
    <cellStyle name="Normal 5 2 2 5 6 2 3" xfId="36008" xr:uid="{040E87D1-886E-4805-B4DD-9F1BEBA8A307}"/>
    <cellStyle name="Normal 5 2 2 5 6 3" xfId="16829" xr:uid="{ABA9585B-2576-4DAB-815B-E55AFFC9501A}"/>
    <cellStyle name="Normal 5 2 2 5 6 3 2" xfId="42321" xr:uid="{4C8C5B0C-14BE-4215-91DD-DFA15E7A1386}"/>
    <cellStyle name="Normal 5 2 2 5 6 4" xfId="29730" xr:uid="{C1E55E36-34A0-4DF1-AC38-A5463386B26E}"/>
    <cellStyle name="Normal 5 2 2 5 7" xfId="7286" xr:uid="{0D433638-F155-445A-8CAC-46A3BBB2E23B}"/>
    <cellStyle name="Normal 5 2 2 5 7 2" xfId="19968" xr:uid="{0DB7DD97-FFA2-48A2-9CCD-46059F7CF2BE}"/>
    <cellStyle name="Normal 5 2 2 5 7 2 2" xfId="45460" xr:uid="{093BDCB3-4205-4D07-B391-E061380037B9}"/>
    <cellStyle name="Normal 5 2 2 5 7 3" xfId="32869" xr:uid="{E5ACF5F0-29CE-41FC-BBE8-760AC5250BCB}"/>
    <cellStyle name="Normal 5 2 2 5 8" xfId="13690" xr:uid="{0ECCAACD-5C8F-415A-8E0A-650C77CD107D}"/>
    <cellStyle name="Normal 5 2 2 5 8 2" xfId="39182" xr:uid="{65EE64F5-6139-411C-AE8D-18060B6AD9CD}"/>
    <cellStyle name="Normal 5 2 2 5 9" xfId="26591" xr:uid="{8204ABAD-20C4-4CCD-83FD-DE8262ECFE35}"/>
    <cellStyle name="Normal 5 2 2 6" xfId="718" xr:uid="{93ECFDFB-57E7-4509-9B0D-F58448FF1C61}"/>
    <cellStyle name="Normal 5 2 2 6 2" xfId="2025" xr:uid="{0A6DE551-6228-4ABF-B0B0-B124AF2A4C6B}"/>
    <cellStyle name="Normal 5 2 2 6 2 2" xfId="5179" xr:uid="{13E22C1F-827E-46C6-8B3D-91F4696319BF}"/>
    <cellStyle name="Normal 5 2 2 6 2 2 2" xfId="11472" xr:uid="{E93288E6-32B7-4E5C-8626-88F441DC9C13}"/>
    <cellStyle name="Normal 5 2 2 6 2 2 2 2" xfId="24154" xr:uid="{5C9B7BD0-FFE2-445D-87A3-B122AE65A010}"/>
    <cellStyle name="Normal 5 2 2 6 2 2 2 2 2" xfId="49646" xr:uid="{5F066282-6805-4253-9AF9-415AB4151FD1}"/>
    <cellStyle name="Normal 5 2 2 6 2 2 2 3" xfId="37055" xr:uid="{B9EDFFB7-1C57-48A6-B6E5-202382C46AAD}"/>
    <cellStyle name="Normal 5 2 2 6 2 2 3" xfId="17876" xr:uid="{A6F19B7B-E0D0-4703-99AB-6CDAA5700B22}"/>
    <cellStyle name="Normal 5 2 2 6 2 2 3 2" xfId="43368" xr:uid="{1FB787D7-7307-4A2B-B6CF-171627C3696F}"/>
    <cellStyle name="Normal 5 2 2 6 2 2 4" xfId="30777" xr:uid="{4905D546-CDD6-4921-9140-B3EA5965D7D1}"/>
    <cellStyle name="Normal 5 2 2 6 2 3" xfId="8333" xr:uid="{28F4D0B5-DD21-46BF-A768-2E894D6407A4}"/>
    <cellStyle name="Normal 5 2 2 6 2 3 2" xfId="21015" xr:uid="{A9D14FBA-C92C-4FF4-A0A7-E054D7A6E15D}"/>
    <cellStyle name="Normal 5 2 2 6 2 3 2 2" xfId="46507" xr:uid="{CD27CE23-9D5D-43B6-8A44-EFBE58C58D19}"/>
    <cellStyle name="Normal 5 2 2 6 2 3 3" xfId="33916" xr:uid="{5775161F-6EE0-416A-932F-CBD2675935B3}"/>
    <cellStyle name="Normal 5 2 2 6 2 4" xfId="14737" xr:uid="{70F433CD-16B6-432B-B6B7-D2CAC123D451}"/>
    <cellStyle name="Normal 5 2 2 6 2 4 2" xfId="40229" xr:uid="{8AF48BB2-92F4-4131-A635-542402A1E909}"/>
    <cellStyle name="Normal 5 2 2 6 2 5" xfId="27638" xr:uid="{CE74921D-12C4-481C-84CF-B1DCDBA307AD}"/>
    <cellStyle name="Normal 5 2 2 6 3" xfId="3872" xr:uid="{FAFFE8C6-EB55-4601-9CBB-8BF4ED5FD879}"/>
    <cellStyle name="Normal 5 2 2 6 3 2" xfId="10165" xr:uid="{1EA9CE1F-64A8-4DC3-9AE6-60125EB7AF8C}"/>
    <cellStyle name="Normal 5 2 2 6 3 2 2" xfId="22847" xr:uid="{1AA8D297-631A-4870-8AC3-AC83E65675A8}"/>
    <cellStyle name="Normal 5 2 2 6 3 2 2 2" xfId="48339" xr:uid="{9E6BE41A-32CA-41FE-BE0A-98F4218BE0A3}"/>
    <cellStyle name="Normal 5 2 2 6 3 2 3" xfId="35748" xr:uid="{D406AF74-CC3C-4E1A-909F-08C371A77A4C}"/>
    <cellStyle name="Normal 5 2 2 6 3 3" xfId="16569" xr:uid="{9E1CFDE2-A558-47AF-B686-E973FA1E89A0}"/>
    <cellStyle name="Normal 5 2 2 6 3 3 2" xfId="42061" xr:uid="{1052C5DA-7F54-4EBA-B8DE-DB8F49D1B3EB}"/>
    <cellStyle name="Normal 5 2 2 6 3 4" xfId="29470" xr:uid="{FA764DD8-EAC3-4AB8-8947-E3686E7AF269}"/>
    <cellStyle name="Normal 5 2 2 6 4" xfId="7026" xr:uid="{4E13F8CF-8202-4DE4-82D2-8A221BFDD748}"/>
    <cellStyle name="Normal 5 2 2 6 4 2" xfId="19708" xr:uid="{AB171D4E-990C-4B74-89C9-6B1232808536}"/>
    <cellStyle name="Normal 5 2 2 6 4 2 2" xfId="45200" xr:uid="{22F7DDED-3246-41E3-AFB3-F9B5CD7F1FD2}"/>
    <cellStyle name="Normal 5 2 2 6 4 3" xfId="32609" xr:uid="{B1E2BE8B-0981-47BB-8C79-7F2DF2A07376}"/>
    <cellStyle name="Normal 5 2 2 6 5" xfId="13430" xr:uid="{ABD90EBD-8917-4776-8A3E-FEAF6A79F78D}"/>
    <cellStyle name="Normal 5 2 2 6 5 2" xfId="38922" xr:uid="{BBB711F5-31D9-459B-A95A-594C2E8367BF}"/>
    <cellStyle name="Normal 5 2 2 6 6" xfId="26331" xr:uid="{9A36D08B-8E26-48C2-9549-7E77E18405E4}"/>
    <cellStyle name="Normal 5 2 2 7" xfId="1763" xr:uid="{72A631A4-9D1D-44CB-8D34-D740E1FC4600}"/>
    <cellStyle name="Normal 5 2 2 7 2" xfId="4917" xr:uid="{900A3D30-436B-4C4A-A7BB-4BDAB03737ED}"/>
    <cellStyle name="Normal 5 2 2 7 2 2" xfId="11210" xr:uid="{303F4E69-0864-4C72-BDCD-3F2206B565D1}"/>
    <cellStyle name="Normal 5 2 2 7 2 2 2" xfId="23892" xr:uid="{6210E178-D32C-484E-B78E-B7C41218FD35}"/>
    <cellStyle name="Normal 5 2 2 7 2 2 2 2" xfId="49384" xr:uid="{5480AAFF-442C-420B-9A46-BBF0F33A43D3}"/>
    <cellStyle name="Normal 5 2 2 7 2 2 3" xfId="36793" xr:uid="{F6A92A8D-3383-46A7-BFBF-12566A81F8E3}"/>
    <cellStyle name="Normal 5 2 2 7 2 3" xfId="17614" xr:uid="{1861D7AA-74D6-4BBF-8DA0-75B66D9DFFCA}"/>
    <cellStyle name="Normal 5 2 2 7 2 3 2" xfId="43106" xr:uid="{7680B0F1-B245-43D3-9158-D5582AC18023}"/>
    <cellStyle name="Normal 5 2 2 7 2 4" xfId="30515" xr:uid="{8E789BC7-03E3-48C2-8319-585834428C6A}"/>
    <cellStyle name="Normal 5 2 2 7 3" xfId="8071" xr:uid="{10C8A0FB-AB91-4CBA-B5DE-4FE07984C30F}"/>
    <cellStyle name="Normal 5 2 2 7 3 2" xfId="20753" xr:uid="{70EB2725-16C9-4B88-A19A-26312041DE18}"/>
    <cellStyle name="Normal 5 2 2 7 3 2 2" xfId="46245" xr:uid="{B62EFA85-C8CC-47C6-A284-B37A17F97C3C}"/>
    <cellStyle name="Normal 5 2 2 7 3 3" xfId="33654" xr:uid="{C5BFB1DB-CD93-4C41-B0E7-53B6AE0C3826}"/>
    <cellStyle name="Normal 5 2 2 7 4" xfId="14475" xr:uid="{CBBED4FE-B38A-42FB-B9C5-DEDB59E15798}"/>
    <cellStyle name="Normal 5 2 2 7 4 2" xfId="39967" xr:uid="{B52B23E4-C66F-427C-A772-10642315558D}"/>
    <cellStyle name="Normal 5 2 2 7 5" xfId="27376" xr:uid="{93ED8FD7-8813-44B3-BE65-539B8DADEED3}"/>
    <cellStyle name="Normal 5 2 2 8" xfId="1241" xr:uid="{628F3191-D6E0-4C48-8020-1EAD2E200430}"/>
    <cellStyle name="Normal 5 2 2 8 2" xfId="4395" xr:uid="{95BB8E9A-DAF1-4521-A5A4-E84159D99A79}"/>
    <cellStyle name="Normal 5 2 2 8 2 2" xfId="10688" xr:uid="{A31478B9-0A4E-4485-ACC7-77A89B4B547E}"/>
    <cellStyle name="Normal 5 2 2 8 2 2 2" xfId="23370" xr:uid="{A0887E76-2559-4009-8D46-BF6A26BFF85F}"/>
    <cellStyle name="Normal 5 2 2 8 2 2 2 2" xfId="48862" xr:uid="{E7553EDB-3035-467A-8AC0-A19A6CDFA757}"/>
    <cellStyle name="Normal 5 2 2 8 2 2 3" xfId="36271" xr:uid="{EE7D53FD-EA43-4DD6-A4F5-14599DE9E941}"/>
    <cellStyle name="Normal 5 2 2 8 2 3" xfId="17092" xr:uid="{528D10AB-6C49-468E-8803-68036FFF6A36}"/>
    <cellStyle name="Normal 5 2 2 8 2 3 2" xfId="42584" xr:uid="{C1C1E900-6BEE-463E-AD70-66AC568DCA01}"/>
    <cellStyle name="Normal 5 2 2 8 2 4" xfId="29993" xr:uid="{22FE4DDD-953F-4F47-B68C-27F8FCB5E3CB}"/>
    <cellStyle name="Normal 5 2 2 8 3" xfId="7549" xr:uid="{4DC0B89C-B73A-43DF-8E65-654B8AB2F36C}"/>
    <cellStyle name="Normal 5 2 2 8 3 2" xfId="20231" xr:uid="{E1AD8079-E971-4102-A0D0-48EB37AD2F4D}"/>
    <cellStyle name="Normal 5 2 2 8 3 2 2" xfId="45723" xr:uid="{BF305186-41B3-4379-99BB-5E02E2B0F9FA}"/>
    <cellStyle name="Normal 5 2 2 8 3 3" xfId="33132" xr:uid="{3ABD0CDE-530E-4F9B-A187-94D4642C9F28}"/>
    <cellStyle name="Normal 5 2 2 8 4" xfId="13953" xr:uid="{B21CAFFA-19AF-47A8-BBF9-4C83EE4AC051}"/>
    <cellStyle name="Normal 5 2 2 8 4 2" xfId="39445" xr:uid="{72571B1B-ECBD-48B8-B298-1E24F3D7EC38}"/>
    <cellStyle name="Normal 5 2 2 8 5" xfId="26854" xr:uid="{3A8A5F1D-7DFD-40FA-A169-B479FBDA5BFC}"/>
    <cellStyle name="Normal 5 2 2 9" xfId="2548" xr:uid="{734B15AC-31B4-43C3-AA8C-2B2CB3A2C8C4}"/>
    <cellStyle name="Normal 5 2 2 9 2" xfId="5702" xr:uid="{E51529F1-E40E-4D88-8340-B9910D2B2765}"/>
    <cellStyle name="Normal 5 2 2 9 2 2" xfId="11995" xr:uid="{C74E2BFE-3587-4DF1-826F-E7B531C5A825}"/>
    <cellStyle name="Normal 5 2 2 9 2 2 2" xfId="24677" xr:uid="{B3927C80-46EA-4CD8-8F16-4DA607C749D7}"/>
    <cellStyle name="Normal 5 2 2 9 2 2 2 2" xfId="50169" xr:uid="{64182A91-B96F-4473-AF93-7E9B7F84C381}"/>
    <cellStyle name="Normal 5 2 2 9 2 2 3" xfId="37578" xr:uid="{D741E3D7-A17F-4B50-96BB-392664B4D649}"/>
    <cellStyle name="Normal 5 2 2 9 2 3" xfId="18399" xr:uid="{187FC367-7FC5-4987-8A16-10864FD2F6FA}"/>
    <cellStyle name="Normal 5 2 2 9 2 3 2" xfId="43891" xr:uid="{27C9FEB7-557D-4046-8801-BEC15E8D2C1B}"/>
    <cellStyle name="Normal 5 2 2 9 2 4" xfId="31300" xr:uid="{467F461D-11FF-4049-995D-CB45C62D3094}"/>
    <cellStyle name="Normal 5 2 2 9 3" xfId="8856" xr:uid="{21E33C10-B059-48D0-AA38-16D47FFDA621}"/>
    <cellStyle name="Normal 5 2 2 9 3 2" xfId="21538" xr:uid="{9690A20E-6DB3-461D-9DBB-B61C6B982485}"/>
    <cellStyle name="Normal 5 2 2 9 3 2 2" xfId="47030" xr:uid="{839036F3-41E1-41F0-B6EE-66AFEBBDB9EB}"/>
    <cellStyle name="Normal 5 2 2 9 3 3" xfId="34439" xr:uid="{5BE42FF1-E2BA-4666-800C-19481DDDD377}"/>
    <cellStyle name="Normal 5 2 2 9 4" xfId="15260" xr:uid="{D82EE052-93B4-4FE0-A9A7-0AFA99262BDF}"/>
    <cellStyle name="Normal 5 2 2 9 4 2" xfId="40752" xr:uid="{E5E11E54-35BC-4FB7-9936-3FCEE792F086}"/>
    <cellStyle name="Normal 5 2 2 9 5" xfId="28161" xr:uid="{15B94899-6B1C-48BA-AEF2-0805F612A0B8}"/>
    <cellStyle name="Normal 5 2 3" xfId="482" xr:uid="{DF10DD8B-57FD-4A4B-BA4E-F21D4F7FD38E}"/>
    <cellStyle name="Normal 5 2 3 10" xfId="3651" xr:uid="{B8634065-049C-4636-A5A9-961381912C4A}"/>
    <cellStyle name="Normal 5 2 3 10 2" xfId="9944" xr:uid="{837D47C6-8CE7-4687-B3F8-265DA060F149}"/>
    <cellStyle name="Normal 5 2 3 10 2 2" xfId="22626" xr:uid="{E188D59F-0B46-410F-8116-AF72B383AF38}"/>
    <cellStyle name="Normal 5 2 3 10 2 2 2" xfId="48118" xr:uid="{BB16CC47-BB63-4747-9AF7-9944B067B6EF}"/>
    <cellStyle name="Normal 5 2 3 10 2 3" xfId="35527" xr:uid="{6805BD0C-F580-4769-ADB6-B9508A1FEA68}"/>
    <cellStyle name="Normal 5 2 3 10 3" xfId="16348" xr:uid="{AEE7B78B-197D-406E-8FC1-4C645CEFEC08}"/>
    <cellStyle name="Normal 5 2 3 10 3 2" xfId="41840" xr:uid="{069121C1-FE80-407D-B43A-167E996CFE69}"/>
    <cellStyle name="Normal 5 2 3 10 4" xfId="29249" xr:uid="{6C5C3B2B-54CE-4F46-8DB1-03372D8B3C4C}"/>
    <cellStyle name="Normal 5 2 3 11" xfId="6805" xr:uid="{AAB1A08D-A8B5-47D4-B0DF-C218451EE6F4}"/>
    <cellStyle name="Normal 5 2 3 11 2" xfId="19487" xr:uid="{BD14408C-3E97-418A-952B-50767665B32D}"/>
    <cellStyle name="Normal 5 2 3 11 2 2" xfId="44979" xr:uid="{C3C8CF3E-BD95-4967-A9B0-3B5CA82D374B}"/>
    <cellStyle name="Normal 5 2 3 11 3" xfId="32388" xr:uid="{78898615-AFA5-489F-8FAB-1F363254C20D}"/>
    <cellStyle name="Normal 5 2 3 12" xfId="13209" xr:uid="{1D73AA8A-CD30-4550-919D-C7E261EF1357}"/>
    <cellStyle name="Normal 5 2 3 12 2" xfId="38701" xr:uid="{23337AC8-EBCE-4F33-BAA3-89058F110D8E}"/>
    <cellStyle name="Normal 5 2 3 13" xfId="26110" xr:uid="{5C1CEFB0-BA3F-469F-96C5-136B59F5A56E}"/>
    <cellStyle name="Normal 5 2 3 2" xfId="641" xr:uid="{8A7FF8A9-7D69-42A9-BEF9-B0394714B0DB}"/>
    <cellStyle name="Normal 5 2 3 2 10" xfId="13368" xr:uid="{E0B7BD03-B9F6-4FE2-B260-CF654B59AFD4}"/>
    <cellStyle name="Normal 5 2 3 2 10 2" xfId="38860" xr:uid="{3F9FC947-F3D7-4BEE-854E-F14F64FB73AF}"/>
    <cellStyle name="Normal 5 2 3 2 11" xfId="26269" xr:uid="{BAB83102-E4AE-4403-9B28-1E2E0767ACC9}"/>
    <cellStyle name="Normal 5 2 3 2 2" xfId="1178" xr:uid="{EBB7496F-58AB-4AF0-ABB2-94533181478A}"/>
    <cellStyle name="Normal 5 2 3 2 2 2" xfId="2485" xr:uid="{7FE649A2-71C5-474D-9715-59C75098243C}"/>
    <cellStyle name="Normal 5 2 3 2 2 2 2" xfId="5639" xr:uid="{9F2B7AF4-A7E2-4363-BD69-98FBFAB967C2}"/>
    <cellStyle name="Normal 5 2 3 2 2 2 2 2" xfId="11932" xr:uid="{D47C6B28-08A3-4622-9F46-0C9A46DF2189}"/>
    <cellStyle name="Normal 5 2 3 2 2 2 2 2 2" xfId="24614" xr:uid="{028DCA00-717B-4CAE-A4F3-4DBE7137B7EF}"/>
    <cellStyle name="Normal 5 2 3 2 2 2 2 2 2 2" xfId="50106" xr:uid="{59F0BF4F-DDF7-40F7-9A36-4621456508C7}"/>
    <cellStyle name="Normal 5 2 3 2 2 2 2 2 3" xfId="37515" xr:uid="{FF90F4F9-38C5-4D3E-8887-915234842C13}"/>
    <cellStyle name="Normal 5 2 3 2 2 2 2 3" xfId="18336" xr:uid="{E7765869-DD16-40D3-BD9F-19F90C992543}"/>
    <cellStyle name="Normal 5 2 3 2 2 2 2 3 2" xfId="43828" xr:uid="{B616EC4D-F534-4233-A5C8-398CA4F7766B}"/>
    <cellStyle name="Normal 5 2 3 2 2 2 2 4" xfId="31237" xr:uid="{5137E941-1080-438E-9DBF-F837C05097D9}"/>
    <cellStyle name="Normal 5 2 3 2 2 2 3" xfId="8793" xr:uid="{2347BDD9-D044-4252-AA51-CF3D76FAC6F9}"/>
    <cellStyle name="Normal 5 2 3 2 2 2 3 2" xfId="21475" xr:uid="{55DC4578-00CE-4238-A716-20ADB1C6D4D0}"/>
    <cellStyle name="Normal 5 2 3 2 2 2 3 2 2" xfId="46967" xr:uid="{B2B851EA-E16B-4A3F-9ACE-3827E142BFCA}"/>
    <cellStyle name="Normal 5 2 3 2 2 2 3 3" xfId="34376" xr:uid="{838B7FF0-F3B7-480C-BDEF-EBA0AC1206D5}"/>
    <cellStyle name="Normal 5 2 3 2 2 2 4" xfId="15197" xr:uid="{8E91D9D1-2E2B-4A93-8A98-A3A34143A903}"/>
    <cellStyle name="Normal 5 2 3 2 2 2 4 2" xfId="40689" xr:uid="{D1571558-B0CD-4A1B-9A98-D76A8B93639C}"/>
    <cellStyle name="Normal 5 2 3 2 2 2 5" xfId="28098" xr:uid="{8BBDB1AD-7B2C-4C89-B9DF-040C58AE9D44}"/>
    <cellStyle name="Normal 5 2 3 2 2 3" xfId="1702" xr:uid="{CCC5087F-546F-4D2F-9CDF-391CC685ABFE}"/>
    <cellStyle name="Normal 5 2 3 2 2 3 2" xfId="4856" xr:uid="{403E5867-9F7A-479E-AEFA-000F3315AB1B}"/>
    <cellStyle name="Normal 5 2 3 2 2 3 2 2" xfId="11149" xr:uid="{C2B272D8-1617-4AA5-A5A1-52DEEEF47EC9}"/>
    <cellStyle name="Normal 5 2 3 2 2 3 2 2 2" xfId="23831" xr:uid="{06990374-7029-4208-80AA-0541E643E931}"/>
    <cellStyle name="Normal 5 2 3 2 2 3 2 2 2 2" xfId="49323" xr:uid="{C35B06DC-9AA9-4796-8171-C440B41BB345}"/>
    <cellStyle name="Normal 5 2 3 2 2 3 2 2 3" xfId="36732" xr:uid="{79C9D176-01B3-48EE-B461-53BDF6CC3992}"/>
    <cellStyle name="Normal 5 2 3 2 2 3 2 3" xfId="17553" xr:uid="{D203B821-8C3C-45D8-A174-1AC0352C3FFA}"/>
    <cellStyle name="Normal 5 2 3 2 2 3 2 3 2" xfId="43045" xr:uid="{FD20829C-97B2-4BA6-8E0A-8D67AC71C36B}"/>
    <cellStyle name="Normal 5 2 3 2 2 3 2 4" xfId="30454" xr:uid="{8D0FD918-153D-48DC-8838-4E237E3F0801}"/>
    <cellStyle name="Normal 5 2 3 2 2 3 3" xfId="8010" xr:uid="{26C59D7A-DCF4-40CE-BA42-D07E2070A1B4}"/>
    <cellStyle name="Normal 5 2 3 2 2 3 3 2" xfId="20692" xr:uid="{9DD3CEDD-9707-4ED2-B183-B42EEC743D63}"/>
    <cellStyle name="Normal 5 2 3 2 2 3 3 2 2" xfId="46184" xr:uid="{EB364B23-DF7F-4F27-92C1-030B1832FD63}"/>
    <cellStyle name="Normal 5 2 3 2 2 3 3 3" xfId="33593" xr:uid="{5D429C66-28EF-4E96-876F-EACF48E1F6B0}"/>
    <cellStyle name="Normal 5 2 3 2 2 3 4" xfId="14414" xr:uid="{1A34F390-D824-429D-BBB6-0A2C08B44BBC}"/>
    <cellStyle name="Normal 5 2 3 2 2 3 4 2" xfId="39906" xr:uid="{B0FD24DE-F538-434E-BE89-2DCE44AD4BF7}"/>
    <cellStyle name="Normal 5 2 3 2 2 3 5" xfId="27315" xr:uid="{41FEE0A4-884E-4F7D-86F1-0DD1C1D7F090}"/>
    <cellStyle name="Normal 5 2 3 2 2 4" xfId="3009" xr:uid="{5E9BA39E-F36A-4AE2-BB74-E983AEF04E7B}"/>
    <cellStyle name="Normal 5 2 3 2 2 4 2" xfId="6163" xr:uid="{19A4BE5A-F2E6-44A9-BD07-67B8BAACEE68}"/>
    <cellStyle name="Normal 5 2 3 2 2 4 2 2" xfId="12456" xr:uid="{7C94DE90-255F-42A2-B4F9-B8BD21E1DAAE}"/>
    <cellStyle name="Normal 5 2 3 2 2 4 2 2 2" xfId="25138" xr:uid="{E5D60807-96D2-430F-8173-A20B0BE08649}"/>
    <cellStyle name="Normal 5 2 3 2 2 4 2 2 2 2" xfId="50630" xr:uid="{57A04CFF-73BE-44F1-963A-90401D4B06C0}"/>
    <cellStyle name="Normal 5 2 3 2 2 4 2 2 3" xfId="38039" xr:uid="{5479EBB8-2735-4467-ACF9-16D9A400DF8B}"/>
    <cellStyle name="Normal 5 2 3 2 2 4 2 3" xfId="18860" xr:uid="{DEC98AD7-AB41-46BB-95E2-A7D8B353D6F3}"/>
    <cellStyle name="Normal 5 2 3 2 2 4 2 3 2" xfId="44352" xr:uid="{76159EAD-DCCB-41C5-988A-614327B5FE67}"/>
    <cellStyle name="Normal 5 2 3 2 2 4 2 4" xfId="31761" xr:uid="{4DAD8E49-8809-4E18-BC10-352AA4D79F03}"/>
    <cellStyle name="Normal 5 2 3 2 2 4 3" xfId="9317" xr:uid="{A7C93DA4-71A8-4785-AE5E-985EB0AF5A34}"/>
    <cellStyle name="Normal 5 2 3 2 2 4 3 2" xfId="21999" xr:uid="{CE0C7498-C95D-4108-AB7E-75EB075884F3}"/>
    <cellStyle name="Normal 5 2 3 2 2 4 3 2 2" xfId="47491" xr:uid="{7DFEB0D1-57EA-4E08-81CD-C002BDAAEF48}"/>
    <cellStyle name="Normal 5 2 3 2 2 4 3 3" xfId="34900" xr:uid="{9F84AA46-DEB5-4FF9-8C33-048C757A3834}"/>
    <cellStyle name="Normal 5 2 3 2 2 4 4" xfId="15721" xr:uid="{3CC09253-D633-4F2B-A7A2-6D4BC16F3B00}"/>
    <cellStyle name="Normal 5 2 3 2 2 4 4 2" xfId="41213" xr:uid="{D098A035-F701-4C3A-A378-DA98C7F34E71}"/>
    <cellStyle name="Normal 5 2 3 2 2 4 5" xfId="28622" xr:uid="{FCF91479-3C67-4DC9-8036-B457092AEC04}"/>
    <cellStyle name="Normal 5 2 3 2 2 5" xfId="3532" xr:uid="{899C9F59-6D85-43F4-9F79-53156B1E57A4}"/>
    <cellStyle name="Normal 5 2 3 2 2 5 2" xfId="6686" xr:uid="{1FC95EDE-1796-499E-9F20-28B9A5CC62F4}"/>
    <cellStyle name="Normal 5 2 3 2 2 5 2 2" xfId="12979" xr:uid="{6E1EEE81-EB3E-4B77-8022-3975A3F71A85}"/>
    <cellStyle name="Normal 5 2 3 2 2 5 2 2 2" xfId="25661" xr:uid="{DFE94F7B-E511-42EB-80C2-937C4EBD6B56}"/>
    <cellStyle name="Normal 5 2 3 2 2 5 2 2 2 2" xfId="51153" xr:uid="{A485AED3-FCA5-4EED-86E5-51E32A4521DD}"/>
    <cellStyle name="Normal 5 2 3 2 2 5 2 2 3" xfId="38562" xr:uid="{D3CADD1D-68BA-4AC4-AB8F-1989A56AD584}"/>
    <cellStyle name="Normal 5 2 3 2 2 5 2 3" xfId="19383" xr:uid="{BA0B2687-DC85-45A9-9072-8979ABEADB63}"/>
    <cellStyle name="Normal 5 2 3 2 2 5 2 3 2" xfId="44875" xr:uid="{9EF53615-FF87-4A33-9F8F-810A6825CF27}"/>
    <cellStyle name="Normal 5 2 3 2 2 5 2 4" xfId="32284" xr:uid="{0FC65261-3526-4745-9E34-D3D5CB0BB91C}"/>
    <cellStyle name="Normal 5 2 3 2 2 5 3" xfId="9840" xr:uid="{8630EA41-E2DE-4512-A180-C092B1EF0752}"/>
    <cellStyle name="Normal 5 2 3 2 2 5 3 2" xfId="22522" xr:uid="{C91BC53B-140A-41ED-B6D3-A7747099D66B}"/>
    <cellStyle name="Normal 5 2 3 2 2 5 3 2 2" xfId="48014" xr:uid="{8C9AD573-A2C8-49F0-8B36-4BECE75CA6B9}"/>
    <cellStyle name="Normal 5 2 3 2 2 5 3 3" xfId="35423" xr:uid="{C2785F7A-42BE-49CF-AF1D-6E5AFD698CDA}"/>
    <cellStyle name="Normal 5 2 3 2 2 5 4" xfId="16244" xr:uid="{42CBE398-CB68-456D-ADDC-1F90BB2F21C7}"/>
    <cellStyle name="Normal 5 2 3 2 2 5 4 2" xfId="41736" xr:uid="{36DFAF4B-29BE-4F21-A490-F0DC93A7AD6D}"/>
    <cellStyle name="Normal 5 2 3 2 2 5 5" xfId="29145" xr:uid="{BAF4EA76-C7CC-4E83-AF99-D42C35E49F2A}"/>
    <cellStyle name="Normal 5 2 3 2 2 6" xfId="4332" xr:uid="{31E162D1-8144-473D-B4E1-326BA7D1DB1D}"/>
    <cellStyle name="Normal 5 2 3 2 2 6 2" xfId="10625" xr:uid="{DD8873A6-BF93-435E-B815-1186A90B8C71}"/>
    <cellStyle name="Normal 5 2 3 2 2 6 2 2" xfId="23307" xr:uid="{1C7C4FF0-A773-42D1-8EFE-B726D0723A61}"/>
    <cellStyle name="Normal 5 2 3 2 2 6 2 2 2" xfId="48799" xr:uid="{CD29D4AA-FC77-4EA6-B812-1D2200E0EF41}"/>
    <cellStyle name="Normal 5 2 3 2 2 6 2 3" xfId="36208" xr:uid="{D7287820-D4CD-4E0B-8BBD-998268C70812}"/>
    <cellStyle name="Normal 5 2 3 2 2 6 3" xfId="17029" xr:uid="{18BDECC3-6145-4559-9EED-717FDCDB98F5}"/>
    <cellStyle name="Normal 5 2 3 2 2 6 3 2" xfId="42521" xr:uid="{5828FCE8-05A1-4E5A-A6CC-593E305C8166}"/>
    <cellStyle name="Normal 5 2 3 2 2 6 4" xfId="29930" xr:uid="{1A41E265-13D5-4621-9A80-DA4A8E38C33A}"/>
    <cellStyle name="Normal 5 2 3 2 2 7" xfId="7486" xr:uid="{6FC30009-F23C-4A4B-BBB7-D49C51D29E3F}"/>
    <cellStyle name="Normal 5 2 3 2 2 7 2" xfId="20168" xr:uid="{A7D52405-98F2-4CCB-BB24-AA29E2769EB4}"/>
    <cellStyle name="Normal 5 2 3 2 2 7 2 2" xfId="45660" xr:uid="{E1FB0C04-4474-4CA6-8F23-48B3328BA862}"/>
    <cellStyle name="Normal 5 2 3 2 2 7 3" xfId="33069" xr:uid="{86ED0206-2C91-4D57-9F16-36D12D836E90}"/>
    <cellStyle name="Normal 5 2 3 2 2 8" xfId="13890" xr:uid="{B9472A5B-6C3F-4992-AA04-DF72396B5744}"/>
    <cellStyle name="Normal 5 2 3 2 2 8 2" xfId="39382" xr:uid="{314A38BF-C542-453E-8D61-00ABD0A7A913}"/>
    <cellStyle name="Normal 5 2 3 2 2 9" xfId="26791" xr:uid="{483F36A6-2E2E-44D8-B996-1967E3BCE0EE}"/>
    <cellStyle name="Normal 5 2 3 2 3" xfId="918" xr:uid="{B35C362E-5468-4A9D-81C1-86502FC06B76}"/>
    <cellStyle name="Normal 5 2 3 2 3 2" xfId="2225" xr:uid="{59E272E1-9976-4F8B-AA13-2CA8C859F5F0}"/>
    <cellStyle name="Normal 5 2 3 2 3 2 2" xfId="5379" xr:uid="{94D5D8BD-2534-41B4-9165-AF4BFB28AA0D}"/>
    <cellStyle name="Normal 5 2 3 2 3 2 2 2" xfId="11672" xr:uid="{E2A87B3F-6194-4191-ABC9-7F805499898B}"/>
    <cellStyle name="Normal 5 2 3 2 3 2 2 2 2" xfId="24354" xr:uid="{5BE7C01B-FE61-4044-9C9E-617D4A41BB4A}"/>
    <cellStyle name="Normal 5 2 3 2 3 2 2 2 2 2" xfId="49846" xr:uid="{74641DC2-69A0-4C33-BE0A-777B401E261E}"/>
    <cellStyle name="Normal 5 2 3 2 3 2 2 2 3" xfId="37255" xr:uid="{F3FE0269-68E7-4EF9-AD1F-5E19E85536BD}"/>
    <cellStyle name="Normal 5 2 3 2 3 2 2 3" xfId="18076" xr:uid="{BF2FA217-AC91-4889-83A0-224287EAA785}"/>
    <cellStyle name="Normal 5 2 3 2 3 2 2 3 2" xfId="43568" xr:uid="{4A78FE10-16E7-48F2-8C66-B86143A95B75}"/>
    <cellStyle name="Normal 5 2 3 2 3 2 2 4" xfId="30977" xr:uid="{88538AB8-7AD7-4F0B-9E27-78E2065B84A3}"/>
    <cellStyle name="Normal 5 2 3 2 3 2 3" xfId="8533" xr:uid="{9A806D89-B6B8-482A-B603-729B4F8843B1}"/>
    <cellStyle name="Normal 5 2 3 2 3 2 3 2" xfId="21215" xr:uid="{2FBD7AE7-42C0-4397-8B80-2028CF327694}"/>
    <cellStyle name="Normal 5 2 3 2 3 2 3 2 2" xfId="46707" xr:uid="{AED12DF8-8D3F-41B4-BCBD-AA407243AC0C}"/>
    <cellStyle name="Normal 5 2 3 2 3 2 3 3" xfId="34116" xr:uid="{19AA8855-9BE5-4F41-ACF4-226A27C09FBA}"/>
    <cellStyle name="Normal 5 2 3 2 3 2 4" xfId="14937" xr:uid="{3DE7A18D-4B3E-4CCD-BEA9-70717709B574}"/>
    <cellStyle name="Normal 5 2 3 2 3 2 4 2" xfId="40429" xr:uid="{8B611516-D6D9-421A-A145-535C086C9CFC}"/>
    <cellStyle name="Normal 5 2 3 2 3 2 5" xfId="27838" xr:uid="{E9D50F2C-4363-4CA3-8C2D-8F07C3BC70F0}"/>
    <cellStyle name="Normal 5 2 3 2 3 3" xfId="4072" xr:uid="{ED0F5719-072E-4077-9F3A-5BEA9F852BEA}"/>
    <cellStyle name="Normal 5 2 3 2 3 3 2" xfId="10365" xr:uid="{406766C1-602C-494D-B45D-D445C75E0144}"/>
    <cellStyle name="Normal 5 2 3 2 3 3 2 2" xfId="23047" xr:uid="{149FDA22-37CF-4DD8-B063-145D373BA707}"/>
    <cellStyle name="Normal 5 2 3 2 3 3 2 2 2" xfId="48539" xr:uid="{7576D3F7-311E-49D8-B49F-8E63C46AA4D1}"/>
    <cellStyle name="Normal 5 2 3 2 3 3 2 3" xfId="35948" xr:uid="{F1B10439-4CAF-41F2-956D-215FD5E2058E}"/>
    <cellStyle name="Normal 5 2 3 2 3 3 3" xfId="16769" xr:uid="{B86519DE-C0E0-4065-8A97-7B614EEF921A}"/>
    <cellStyle name="Normal 5 2 3 2 3 3 3 2" xfId="42261" xr:uid="{89CE51D0-A108-4898-A663-8D9C8865B82C}"/>
    <cellStyle name="Normal 5 2 3 2 3 3 4" xfId="29670" xr:uid="{627849BF-A109-469F-9357-9A927B67918C}"/>
    <cellStyle name="Normal 5 2 3 2 3 4" xfId="7226" xr:uid="{B89DBC60-6BC4-4C79-A7A4-4C8331CCD8C5}"/>
    <cellStyle name="Normal 5 2 3 2 3 4 2" xfId="19908" xr:uid="{5ED5239E-5AF2-4275-A83C-2C10C4B513CE}"/>
    <cellStyle name="Normal 5 2 3 2 3 4 2 2" xfId="45400" xr:uid="{A2B55EDC-5951-4D60-A419-311545A437BF}"/>
    <cellStyle name="Normal 5 2 3 2 3 4 3" xfId="32809" xr:uid="{28008B01-8F30-461F-B9B1-10D3843D1186}"/>
    <cellStyle name="Normal 5 2 3 2 3 5" xfId="13630" xr:uid="{943889D5-D4E5-46CC-8912-F8D06166D333}"/>
    <cellStyle name="Normal 5 2 3 2 3 5 2" xfId="39122" xr:uid="{51A66C35-98A7-45A5-A241-5CA3FB0922A2}"/>
    <cellStyle name="Normal 5 2 3 2 3 6" xfId="26531" xr:uid="{63644376-29BD-4AC4-8592-55721F2D98D9}"/>
    <cellStyle name="Normal 5 2 3 2 4" xfId="1963" xr:uid="{D64C4281-2E8C-458B-A537-F5F85D087CB4}"/>
    <cellStyle name="Normal 5 2 3 2 4 2" xfId="5117" xr:uid="{858C82E7-3F34-429B-9643-7465B4941D25}"/>
    <cellStyle name="Normal 5 2 3 2 4 2 2" xfId="11410" xr:uid="{5C96FD5C-B138-4E8F-B7EB-7282F4F377AB}"/>
    <cellStyle name="Normal 5 2 3 2 4 2 2 2" xfId="24092" xr:uid="{C0FBD0CE-323F-4A43-8C28-D5DB3E008C29}"/>
    <cellStyle name="Normal 5 2 3 2 4 2 2 2 2" xfId="49584" xr:uid="{E9C8166B-2243-4323-A978-4AA871D5F4E3}"/>
    <cellStyle name="Normal 5 2 3 2 4 2 2 3" xfId="36993" xr:uid="{E376FC98-B3FB-42B2-8EB9-6D03714B4DC9}"/>
    <cellStyle name="Normal 5 2 3 2 4 2 3" xfId="17814" xr:uid="{B37130F6-EB06-4789-802C-6E46BA2239ED}"/>
    <cellStyle name="Normal 5 2 3 2 4 2 3 2" xfId="43306" xr:uid="{CA0429EF-27A8-4D39-8C3C-F8D9362E9807}"/>
    <cellStyle name="Normal 5 2 3 2 4 2 4" xfId="30715" xr:uid="{DCE611BD-B84D-462C-95F9-E44BEA0CC63B}"/>
    <cellStyle name="Normal 5 2 3 2 4 3" xfId="8271" xr:uid="{EF520F9A-AE8C-402B-9861-FF595A68600B}"/>
    <cellStyle name="Normal 5 2 3 2 4 3 2" xfId="20953" xr:uid="{AB3396CC-50CE-45E0-B5ED-CB7F0C976152}"/>
    <cellStyle name="Normal 5 2 3 2 4 3 2 2" xfId="46445" xr:uid="{69B41D48-CE9A-44F6-8D20-2A75F8633E6F}"/>
    <cellStyle name="Normal 5 2 3 2 4 3 3" xfId="33854" xr:uid="{732FA1FD-DF03-40DE-BD27-4722530CCA09}"/>
    <cellStyle name="Normal 5 2 3 2 4 4" xfId="14675" xr:uid="{21767727-1366-4CD4-B37A-A37ABCCD2E35}"/>
    <cellStyle name="Normal 5 2 3 2 4 4 2" xfId="40167" xr:uid="{06ADA9D9-00C6-499B-833E-ECAE0C8329C3}"/>
    <cellStyle name="Normal 5 2 3 2 4 5" xfId="27576" xr:uid="{2EEFB76F-83EC-47B4-984F-6995E1F8B87A}"/>
    <cellStyle name="Normal 5 2 3 2 5" xfId="1441" xr:uid="{9F4D630E-BB5D-4FC0-BA40-4ED58678A275}"/>
    <cellStyle name="Normal 5 2 3 2 5 2" xfId="4595" xr:uid="{23F0DC87-5A19-44E3-A00A-C824CEE4F579}"/>
    <cellStyle name="Normal 5 2 3 2 5 2 2" xfId="10888" xr:uid="{EC1F74AF-3550-4D2B-8EB6-02FFA40972E6}"/>
    <cellStyle name="Normal 5 2 3 2 5 2 2 2" xfId="23570" xr:uid="{A698BF79-C0D2-4469-B4AE-B651386C8682}"/>
    <cellStyle name="Normal 5 2 3 2 5 2 2 2 2" xfId="49062" xr:uid="{907F6627-43F2-4177-AAF4-820BE41C5D14}"/>
    <cellStyle name="Normal 5 2 3 2 5 2 2 3" xfId="36471" xr:uid="{8C1F3ECE-F875-43B9-9E56-ACD972CF0D25}"/>
    <cellStyle name="Normal 5 2 3 2 5 2 3" xfId="17292" xr:uid="{5D589419-AC97-43D3-80DF-5ADDF542FAE2}"/>
    <cellStyle name="Normal 5 2 3 2 5 2 3 2" xfId="42784" xr:uid="{6FD3D07B-9521-49D2-AB08-4C6B401E8806}"/>
    <cellStyle name="Normal 5 2 3 2 5 2 4" xfId="30193" xr:uid="{DEE357AC-ECC0-47E8-92F6-4B352B6C23EC}"/>
    <cellStyle name="Normal 5 2 3 2 5 3" xfId="7749" xr:uid="{E5264906-2383-446E-9C8F-FF259DDD9E79}"/>
    <cellStyle name="Normal 5 2 3 2 5 3 2" xfId="20431" xr:uid="{972BBA17-C78F-4B16-8517-2A9121C244B3}"/>
    <cellStyle name="Normal 5 2 3 2 5 3 2 2" xfId="45923" xr:uid="{5551E24F-AA24-444E-9A2B-B538BC0FDC4E}"/>
    <cellStyle name="Normal 5 2 3 2 5 3 3" xfId="33332" xr:uid="{39D2A0C4-8FEE-44EA-AF17-58EF48385A8F}"/>
    <cellStyle name="Normal 5 2 3 2 5 4" xfId="14153" xr:uid="{76D21719-91CC-4C4E-90E3-3BAE0D92EB75}"/>
    <cellStyle name="Normal 5 2 3 2 5 4 2" xfId="39645" xr:uid="{C71C74C2-2C5A-412E-8629-F13D27231FB8}"/>
    <cellStyle name="Normal 5 2 3 2 5 5" xfId="27054" xr:uid="{8EC7EDEA-2BA4-4D35-9183-ADF8BD79FAB6}"/>
    <cellStyle name="Normal 5 2 3 2 6" xfId="2748" xr:uid="{2DEC3E22-0353-420F-A742-4F2619021480}"/>
    <cellStyle name="Normal 5 2 3 2 6 2" xfId="5902" xr:uid="{30CD726A-9B15-4B87-A413-9E76D8A18B49}"/>
    <cellStyle name="Normal 5 2 3 2 6 2 2" xfId="12195" xr:uid="{3F70905A-B6B3-4D09-874E-9E396B5A89ED}"/>
    <cellStyle name="Normal 5 2 3 2 6 2 2 2" xfId="24877" xr:uid="{574154B1-C8C5-4A9B-8BE3-D3C34A69B793}"/>
    <cellStyle name="Normal 5 2 3 2 6 2 2 2 2" xfId="50369" xr:uid="{31ED0CCA-C9D9-432F-BAFC-E567C7A3A0B6}"/>
    <cellStyle name="Normal 5 2 3 2 6 2 2 3" xfId="37778" xr:uid="{B49D7ABD-B0A2-4455-B275-8CC95B167803}"/>
    <cellStyle name="Normal 5 2 3 2 6 2 3" xfId="18599" xr:uid="{6F6DFD2D-CCE1-4413-A5B8-3C3A801669EF}"/>
    <cellStyle name="Normal 5 2 3 2 6 2 3 2" xfId="44091" xr:uid="{ADE081A9-68B2-4C3F-AAFC-FECEB5DFAD01}"/>
    <cellStyle name="Normal 5 2 3 2 6 2 4" xfId="31500" xr:uid="{DBF3A619-4716-4ECE-B20B-1669F9D00E94}"/>
    <cellStyle name="Normal 5 2 3 2 6 3" xfId="9056" xr:uid="{F1E52320-E68B-47E6-A9F9-70707415D67F}"/>
    <cellStyle name="Normal 5 2 3 2 6 3 2" xfId="21738" xr:uid="{3E10CA7D-B149-4A65-9AB7-054801AD8A76}"/>
    <cellStyle name="Normal 5 2 3 2 6 3 2 2" xfId="47230" xr:uid="{92661F5C-EC6A-4F0B-8507-86B77B94BD49}"/>
    <cellStyle name="Normal 5 2 3 2 6 3 3" xfId="34639" xr:uid="{AF7E7516-B6E6-41A2-A0B8-ED8CC164E166}"/>
    <cellStyle name="Normal 5 2 3 2 6 4" xfId="15460" xr:uid="{66EE20E1-ADD6-4A2B-A4CA-C9DBECAABCF1}"/>
    <cellStyle name="Normal 5 2 3 2 6 4 2" xfId="40952" xr:uid="{9415296D-FE7A-4EB2-AFE6-ED5CA8CC414C}"/>
    <cellStyle name="Normal 5 2 3 2 6 5" xfId="28361" xr:uid="{BDA8C48F-ECDF-46B0-A967-96E780024876}"/>
    <cellStyle name="Normal 5 2 3 2 7" xfId="3271" xr:uid="{747F04C4-85DA-446F-B6C3-FD3856A12587}"/>
    <cellStyle name="Normal 5 2 3 2 7 2" xfId="6425" xr:uid="{2FC56B21-FDB6-411D-894C-53B4C403A523}"/>
    <cellStyle name="Normal 5 2 3 2 7 2 2" xfId="12718" xr:uid="{36AB6B5F-E13C-4640-AE8B-5621E6ADF772}"/>
    <cellStyle name="Normal 5 2 3 2 7 2 2 2" xfId="25400" xr:uid="{692D20CB-5A36-479C-BF37-AC783407FD90}"/>
    <cellStyle name="Normal 5 2 3 2 7 2 2 2 2" xfId="50892" xr:uid="{38797A84-F472-452E-9005-5C958193EC12}"/>
    <cellStyle name="Normal 5 2 3 2 7 2 2 3" xfId="38301" xr:uid="{0D404C5A-6A50-4728-96E7-1EFA4BD7A6DF}"/>
    <cellStyle name="Normal 5 2 3 2 7 2 3" xfId="19122" xr:uid="{36294063-BDB1-457A-B653-B7BB852A9980}"/>
    <cellStyle name="Normal 5 2 3 2 7 2 3 2" xfId="44614" xr:uid="{B80CEFB7-7C35-42F9-94B0-97F8886E89E8}"/>
    <cellStyle name="Normal 5 2 3 2 7 2 4" xfId="32023" xr:uid="{C641F45A-9502-4333-8217-486172917734}"/>
    <cellStyle name="Normal 5 2 3 2 7 3" xfId="9579" xr:uid="{5436371B-B74A-4F48-9937-21A27F5004B3}"/>
    <cellStyle name="Normal 5 2 3 2 7 3 2" xfId="22261" xr:uid="{8032C126-1FE3-4AC5-98F4-7344E1E085F3}"/>
    <cellStyle name="Normal 5 2 3 2 7 3 2 2" xfId="47753" xr:uid="{EA7AE8C4-8E3C-424F-A8F9-7BB5C56A96CA}"/>
    <cellStyle name="Normal 5 2 3 2 7 3 3" xfId="35162" xr:uid="{B629F1CC-2992-443F-A0FC-7AAD2725511A}"/>
    <cellStyle name="Normal 5 2 3 2 7 4" xfId="15983" xr:uid="{16C33608-4ACC-4C3D-8E98-CCDFAB6DB7CB}"/>
    <cellStyle name="Normal 5 2 3 2 7 4 2" xfId="41475" xr:uid="{4E127A33-4DDF-4730-AD5A-8AB516188230}"/>
    <cellStyle name="Normal 5 2 3 2 7 5" xfId="28884" xr:uid="{2DB67487-9B2B-4F3F-B967-52BCC058993A}"/>
    <cellStyle name="Normal 5 2 3 2 8" xfId="3810" xr:uid="{E2C9B66F-9198-4DAC-8262-8FB222FC4C9F}"/>
    <cellStyle name="Normal 5 2 3 2 8 2" xfId="10103" xr:uid="{64BE1315-310C-4E15-BDCD-48F846688758}"/>
    <cellStyle name="Normal 5 2 3 2 8 2 2" xfId="22785" xr:uid="{3CA79C64-5775-49C9-9DB0-66BA2C45B4E8}"/>
    <cellStyle name="Normal 5 2 3 2 8 2 2 2" xfId="48277" xr:uid="{79A713E1-01AB-4D5B-BAD7-FB33A1FB2A2F}"/>
    <cellStyle name="Normal 5 2 3 2 8 2 3" xfId="35686" xr:uid="{965E2F45-E3EC-492E-9907-811374742D75}"/>
    <cellStyle name="Normal 5 2 3 2 8 3" xfId="16507" xr:uid="{2D00F51D-4FFE-4652-9731-2E19810C80E2}"/>
    <cellStyle name="Normal 5 2 3 2 8 3 2" xfId="41999" xr:uid="{9C0865A6-C91E-4BB6-AE43-CCA7E9E1FF3E}"/>
    <cellStyle name="Normal 5 2 3 2 8 4" xfId="29408" xr:uid="{1C96DDA1-DBE5-4BE6-A592-CA79AF639728}"/>
    <cellStyle name="Normal 5 2 3 2 9" xfId="6964" xr:uid="{68C91634-E588-4A19-A779-E74C02C1A47D}"/>
    <cellStyle name="Normal 5 2 3 2 9 2" xfId="19646" xr:uid="{5EE04F39-3377-4A63-8952-6B608618D250}"/>
    <cellStyle name="Normal 5 2 3 2 9 2 2" xfId="45138" xr:uid="{B5BF5D70-C1CF-4111-B896-36FD811D9173}"/>
    <cellStyle name="Normal 5 2 3 2 9 3" xfId="32547" xr:uid="{246D9C82-C3F8-4048-928F-53E4B92F99E4}"/>
    <cellStyle name="Normal 5 2 3 3" xfId="541" xr:uid="{DDCAD031-B62E-45F8-957B-52AFB4C4E3D7}"/>
    <cellStyle name="Normal 5 2 3 3 10" xfId="13268" xr:uid="{29A127DD-B77F-4D94-A127-581EA7A74336}"/>
    <cellStyle name="Normal 5 2 3 3 10 2" xfId="38760" xr:uid="{8586721A-73C9-42ED-BB42-865F013C855D}"/>
    <cellStyle name="Normal 5 2 3 3 11" xfId="26169" xr:uid="{59EE17C7-4748-4D49-95A2-E3F92DC96669}"/>
    <cellStyle name="Normal 5 2 3 3 2" xfId="1078" xr:uid="{2B8702F9-C360-4745-9142-6F7BEE5B6D68}"/>
    <cellStyle name="Normal 5 2 3 3 2 2" xfId="2385" xr:uid="{4A60D7B3-EA63-411F-A272-3610E56C1511}"/>
    <cellStyle name="Normal 5 2 3 3 2 2 2" xfId="5539" xr:uid="{C01B1895-EA3F-4C04-8EE8-1653871332A9}"/>
    <cellStyle name="Normal 5 2 3 3 2 2 2 2" xfId="11832" xr:uid="{A1CFE9FF-9FE0-40F4-A57D-BE463FAC714E}"/>
    <cellStyle name="Normal 5 2 3 3 2 2 2 2 2" xfId="24514" xr:uid="{67FFE4A7-370C-432F-A8BE-CD1001AE08CC}"/>
    <cellStyle name="Normal 5 2 3 3 2 2 2 2 2 2" xfId="50006" xr:uid="{F0BAEA31-6468-4DA7-8EB2-0453161B431C}"/>
    <cellStyle name="Normal 5 2 3 3 2 2 2 2 3" xfId="37415" xr:uid="{EB22CD7C-B187-4C62-976F-C8E21479C1D3}"/>
    <cellStyle name="Normal 5 2 3 3 2 2 2 3" xfId="18236" xr:uid="{7CF87299-D7F4-40EF-845F-B8998D5F5C1C}"/>
    <cellStyle name="Normal 5 2 3 3 2 2 2 3 2" xfId="43728" xr:uid="{CDABDFD2-9A17-4F3F-BB12-2C7FD6E2B5DE}"/>
    <cellStyle name="Normal 5 2 3 3 2 2 2 4" xfId="31137" xr:uid="{8C95C9D6-A226-4279-BB19-FD3040C98BE0}"/>
    <cellStyle name="Normal 5 2 3 3 2 2 3" xfId="8693" xr:uid="{AC9615CD-8312-4F41-8CEB-896745B3901C}"/>
    <cellStyle name="Normal 5 2 3 3 2 2 3 2" xfId="21375" xr:uid="{5D13344E-92DF-40DB-9119-F162453373E8}"/>
    <cellStyle name="Normal 5 2 3 3 2 2 3 2 2" xfId="46867" xr:uid="{2AB4806C-F258-4FC7-82C2-5A8CB7F22815}"/>
    <cellStyle name="Normal 5 2 3 3 2 2 3 3" xfId="34276" xr:uid="{A7C376D4-6687-44EC-8949-C1AB21DB59A7}"/>
    <cellStyle name="Normal 5 2 3 3 2 2 4" xfId="15097" xr:uid="{4AE54B5E-3851-4D64-9137-F5C781638623}"/>
    <cellStyle name="Normal 5 2 3 3 2 2 4 2" xfId="40589" xr:uid="{218DEA29-F180-4AD1-A2EF-5996816D1766}"/>
    <cellStyle name="Normal 5 2 3 3 2 2 5" xfId="27998" xr:uid="{F8D90956-8C6C-471F-9662-DFF0AD471534}"/>
    <cellStyle name="Normal 5 2 3 3 2 3" xfId="1602" xr:uid="{A377340C-8095-4C4E-B8FF-51D2502B2AF2}"/>
    <cellStyle name="Normal 5 2 3 3 2 3 2" xfId="4756" xr:uid="{34E79087-AAFB-4743-AEF4-3F6C953A0170}"/>
    <cellStyle name="Normal 5 2 3 3 2 3 2 2" xfId="11049" xr:uid="{6AD67F8A-4734-4B83-9CB0-25D32AD5CE3F}"/>
    <cellStyle name="Normal 5 2 3 3 2 3 2 2 2" xfId="23731" xr:uid="{24087843-5554-4D60-A57C-62157160377B}"/>
    <cellStyle name="Normal 5 2 3 3 2 3 2 2 2 2" xfId="49223" xr:uid="{480836B2-A0E7-4F00-B00A-3933A7847FB0}"/>
    <cellStyle name="Normal 5 2 3 3 2 3 2 2 3" xfId="36632" xr:uid="{D42A7AD1-E6A5-4972-9B72-2AB7BE3C59C6}"/>
    <cellStyle name="Normal 5 2 3 3 2 3 2 3" xfId="17453" xr:uid="{5CCB9F66-D297-4400-88C0-2E16AC1FC8D3}"/>
    <cellStyle name="Normal 5 2 3 3 2 3 2 3 2" xfId="42945" xr:uid="{83DE5F91-DB97-4945-814A-8CC5B420A373}"/>
    <cellStyle name="Normal 5 2 3 3 2 3 2 4" xfId="30354" xr:uid="{6448EF4C-6318-4B4A-AB60-EE170A6BCE1F}"/>
    <cellStyle name="Normal 5 2 3 3 2 3 3" xfId="7910" xr:uid="{F50128B2-4607-458A-BC38-ABDC8C680A53}"/>
    <cellStyle name="Normal 5 2 3 3 2 3 3 2" xfId="20592" xr:uid="{FF9D84C4-A5AB-4F4E-9843-CCB73AEB4F7F}"/>
    <cellStyle name="Normal 5 2 3 3 2 3 3 2 2" xfId="46084" xr:uid="{892DDD71-4BED-4C14-8D86-53917DD0FE12}"/>
    <cellStyle name="Normal 5 2 3 3 2 3 3 3" xfId="33493" xr:uid="{407CAA84-85A2-4FEB-A367-897C366C4774}"/>
    <cellStyle name="Normal 5 2 3 3 2 3 4" xfId="14314" xr:uid="{841B50B5-399D-4CD2-A073-5C9784E8AA37}"/>
    <cellStyle name="Normal 5 2 3 3 2 3 4 2" xfId="39806" xr:uid="{369B7420-1C14-40BD-984F-A8327CFB43A3}"/>
    <cellStyle name="Normal 5 2 3 3 2 3 5" xfId="27215" xr:uid="{A03BCC18-CA7D-414E-B22D-0A41048A765B}"/>
    <cellStyle name="Normal 5 2 3 3 2 4" xfId="2909" xr:uid="{D94F2730-766F-4258-9625-8C1F997E0026}"/>
    <cellStyle name="Normal 5 2 3 3 2 4 2" xfId="6063" xr:uid="{E3E680C1-6D66-4C39-8F7F-E4204F69A138}"/>
    <cellStyle name="Normal 5 2 3 3 2 4 2 2" xfId="12356" xr:uid="{DBF61341-D34F-4828-A096-EF9A0B8BDC82}"/>
    <cellStyle name="Normal 5 2 3 3 2 4 2 2 2" xfId="25038" xr:uid="{7A1ADB8F-CF42-4B67-958C-876AB8573C5B}"/>
    <cellStyle name="Normal 5 2 3 3 2 4 2 2 2 2" xfId="50530" xr:uid="{30C0D0C9-163F-4FFB-9347-290BA012B49D}"/>
    <cellStyle name="Normal 5 2 3 3 2 4 2 2 3" xfId="37939" xr:uid="{24B3700A-F283-43D2-984B-4A79B6880D44}"/>
    <cellStyle name="Normal 5 2 3 3 2 4 2 3" xfId="18760" xr:uid="{B07E7159-F314-477C-B157-31037EEE8743}"/>
    <cellStyle name="Normal 5 2 3 3 2 4 2 3 2" xfId="44252" xr:uid="{E59ADD1E-FA4B-426B-BC75-EA5292117A6B}"/>
    <cellStyle name="Normal 5 2 3 3 2 4 2 4" xfId="31661" xr:uid="{3E2ED519-10A7-4A39-85AB-6CED32642AD4}"/>
    <cellStyle name="Normal 5 2 3 3 2 4 3" xfId="9217" xr:uid="{F034EC85-B154-48E0-8F31-9E3C3BF5A110}"/>
    <cellStyle name="Normal 5 2 3 3 2 4 3 2" xfId="21899" xr:uid="{220DA3B8-77C7-457F-A68B-BC1D0FC115A9}"/>
    <cellStyle name="Normal 5 2 3 3 2 4 3 2 2" xfId="47391" xr:uid="{86904FED-CF70-4FBE-9297-11C038CF1F5E}"/>
    <cellStyle name="Normal 5 2 3 3 2 4 3 3" xfId="34800" xr:uid="{107034D5-F973-46B6-8606-8B6ECBC3B7EC}"/>
    <cellStyle name="Normal 5 2 3 3 2 4 4" xfId="15621" xr:uid="{8BAB113C-FBAB-468C-ADC1-F5D822A2DFBD}"/>
    <cellStyle name="Normal 5 2 3 3 2 4 4 2" xfId="41113" xr:uid="{EA2A5E25-22A2-42C6-84CF-A9C157578BE0}"/>
    <cellStyle name="Normal 5 2 3 3 2 4 5" xfId="28522" xr:uid="{F7EFA8D9-19B1-4C10-99DC-B1994D27B965}"/>
    <cellStyle name="Normal 5 2 3 3 2 5" xfId="3432" xr:uid="{A1BE5A53-C3BF-4914-AA69-1DF44FCA1A68}"/>
    <cellStyle name="Normal 5 2 3 3 2 5 2" xfId="6586" xr:uid="{A0006A13-5AD4-45C0-B3D6-4B10A27FB7C1}"/>
    <cellStyle name="Normal 5 2 3 3 2 5 2 2" xfId="12879" xr:uid="{4E200019-B71F-4A84-BAF3-BD21A3963B36}"/>
    <cellStyle name="Normal 5 2 3 3 2 5 2 2 2" xfId="25561" xr:uid="{77424EF8-3189-4B8E-AF72-4648395FA5D5}"/>
    <cellStyle name="Normal 5 2 3 3 2 5 2 2 2 2" xfId="51053" xr:uid="{661764B0-CB56-4F40-92AE-E27ABD018366}"/>
    <cellStyle name="Normal 5 2 3 3 2 5 2 2 3" xfId="38462" xr:uid="{C7B8189C-258B-4A64-8EB7-2285BBC34E5D}"/>
    <cellStyle name="Normal 5 2 3 3 2 5 2 3" xfId="19283" xr:uid="{178DC389-8221-4295-BE88-287E77C893A6}"/>
    <cellStyle name="Normal 5 2 3 3 2 5 2 3 2" xfId="44775" xr:uid="{B8A3E647-61A4-459A-8457-1791D2651106}"/>
    <cellStyle name="Normal 5 2 3 3 2 5 2 4" xfId="32184" xr:uid="{8DA30EB6-2811-4CC3-BF08-C176C1C71D29}"/>
    <cellStyle name="Normal 5 2 3 3 2 5 3" xfId="9740" xr:uid="{FBA0AC1A-B437-4ACD-A647-5C7DA97EE969}"/>
    <cellStyle name="Normal 5 2 3 3 2 5 3 2" xfId="22422" xr:uid="{4A714660-9449-4B14-9BA3-7090ECE2711F}"/>
    <cellStyle name="Normal 5 2 3 3 2 5 3 2 2" xfId="47914" xr:uid="{EFD8CE7D-150C-4DAF-9613-DEB59AC6650B}"/>
    <cellStyle name="Normal 5 2 3 3 2 5 3 3" xfId="35323" xr:uid="{3202055D-3677-4C9C-A0A9-474998BA9D0F}"/>
    <cellStyle name="Normal 5 2 3 3 2 5 4" xfId="16144" xr:uid="{21C26E58-4B6C-4385-A4F7-95C5CF9AF506}"/>
    <cellStyle name="Normal 5 2 3 3 2 5 4 2" xfId="41636" xr:uid="{F579EB74-EE1F-4163-8990-145F1B5E16A6}"/>
    <cellStyle name="Normal 5 2 3 3 2 5 5" xfId="29045" xr:uid="{30C535B7-9032-4CA0-BEFD-3A8774BBA0D1}"/>
    <cellStyle name="Normal 5 2 3 3 2 6" xfId="4232" xr:uid="{50BF53D4-D430-4793-8D70-A2A24E4C142A}"/>
    <cellStyle name="Normal 5 2 3 3 2 6 2" xfId="10525" xr:uid="{FAEEC942-9A80-47CE-A83C-1788AC11CBDA}"/>
    <cellStyle name="Normal 5 2 3 3 2 6 2 2" xfId="23207" xr:uid="{64ECDB14-257C-4E9E-8E5C-895CBDF6D17C}"/>
    <cellStyle name="Normal 5 2 3 3 2 6 2 2 2" xfId="48699" xr:uid="{66E81659-EAB0-4F3A-8862-1141379741FF}"/>
    <cellStyle name="Normal 5 2 3 3 2 6 2 3" xfId="36108" xr:uid="{A02FAB30-6F32-49A2-839D-40BCD8AA7F67}"/>
    <cellStyle name="Normal 5 2 3 3 2 6 3" xfId="16929" xr:uid="{A956D510-2480-412F-89BE-69F0A527A9BC}"/>
    <cellStyle name="Normal 5 2 3 3 2 6 3 2" xfId="42421" xr:uid="{5C4B9097-E137-49F9-B633-DF846412EC6F}"/>
    <cellStyle name="Normal 5 2 3 3 2 6 4" xfId="29830" xr:uid="{4D6A57EF-D479-495A-815C-336B24DEC0FC}"/>
    <cellStyle name="Normal 5 2 3 3 2 7" xfId="7386" xr:uid="{F4B4D95A-994F-4F8D-A69A-B0C7672383F1}"/>
    <cellStyle name="Normal 5 2 3 3 2 7 2" xfId="20068" xr:uid="{AC35ABE4-9706-47AF-BA3F-5888552EF632}"/>
    <cellStyle name="Normal 5 2 3 3 2 7 2 2" xfId="45560" xr:uid="{85FE5176-ACF1-440F-A931-94DB27BFA373}"/>
    <cellStyle name="Normal 5 2 3 3 2 7 3" xfId="32969" xr:uid="{9C1F50B5-8E33-4916-9C9D-7027E11F2841}"/>
    <cellStyle name="Normal 5 2 3 3 2 8" xfId="13790" xr:uid="{D75C7885-A2F2-43E0-B13C-8D664318F7BD}"/>
    <cellStyle name="Normal 5 2 3 3 2 8 2" xfId="39282" xr:uid="{791CEE81-AF00-4DED-950E-CF29A28D843A}"/>
    <cellStyle name="Normal 5 2 3 3 2 9" xfId="26691" xr:uid="{293AE374-D4DB-4AEA-8285-23A035145CE7}"/>
    <cellStyle name="Normal 5 2 3 3 3" xfId="818" xr:uid="{10B740E1-01B1-4C53-863E-7493477D880D}"/>
    <cellStyle name="Normal 5 2 3 3 3 2" xfId="2125" xr:uid="{FEA7419B-CECF-4F1D-B789-5BB0A9288194}"/>
    <cellStyle name="Normal 5 2 3 3 3 2 2" xfId="5279" xr:uid="{C273CC6A-9AE1-414D-862A-E5A5C5B51201}"/>
    <cellStyle name="Normal 5 2 3 3 3 2 2 2" xfId="11572" xr:uid="{B8A71FF2-5BD5-4313-B8CE-ECE97DF403F6}"/>
    <cellStyle name="Normal 5 2 3 3 3 2 2 2 2" xfId="24254" xr:uid="{8D14D904-9F75-4746-99D1-5D0CF1DF75F7}"/>
    <cellStyle name="Normal 5 2 3 3 3 2 2 2 2 2" xfId="49746" xr:uid="{8CF12C50-93F2-4D00-9C02-B4A70E3BEB4F}"/>
    <cellStyle name="Normal 5 2 3 3 3 2 2 2 3" xfId="37155" xr:uid="{7077C7F3-D4AE-4FB3-84BF-4AAB56004CB9}"/>
    <cellStyle name="Normal 5 2 3 3 3 2 2 3" xfId="17976" xr:uid="{3DD12868-7218-4E23-BD6D-FE02EA2E4C39}"/>
    <cellStyle name="Normal 5 2 3 3 3 2 2 3 2" xfId="43468" xr:uid="{59084D1F-C87F-4E36-A897-FC127798CB37}"/>
    <cellStyle name="Normal 5 2 3 3 3 2 2 4" xfId="30877" xr:uid="{6A28466D-91E5-4987-9204-7B375A20E92F}"/>
    <cellStyle name="Normal 5 2 3 3 3 2 3" xfId="8433" xr:uid="{05ADC9DF-0E05-4842-90AC-544F9B1F1315}"/>
    <cellStyle name="Normal 5 2 3 3 3 2 3 2" xfId="21115" xr:uid="{56E32DA5-B742-4DD7-84A3-8235A54253BF}"/>
    <cellStyle name="Normal 5 2 3 3 3 2 3 2 2" xfId="46607" xr:uid="{BF822F68-C93D-4C44-A7D8-288ADEB1E31C}"/>
    <cellStyle name="Normal 5 2 3 3 3 2 3 3" xfId="34016" xr:uid="{981C8007-8E00-49DD-BBDB-99D67C7181B4}"/>
    <cellStyle name="Normal 5 2 3 3 3 2 4" xfId="14837" xr:uid="{13C839C8-4C72-4A87-A12B-CCD5AFB526B5}"/>
    <cellStyle name="Normal 5 2 3 3 3 2 4 2" xfId="40329" xr:uid="{B6205EA8-FF73-4EF9-AB00-F60F77AEF64A}"/>
    <cellStyle name="Normal 5 2 3 3 3 2 5" xfId="27738" xr:uid="{E4E9B24B-95E0-470F-9D55-4C80A11EF927}"/>
    <cellStyle name="Normal 5 2 3 3 3 3" xfId="3972" xr:uid="{DBDEB04D-8C9E-422A-A1BB-8A9D0CBE0CBB}"/>
    <cellStyle name="Normal 5 2 3 3 3 3 2" xfId="10265" xr:uid="{539970CE-1C52-455B-8E01-905FE9289481}"/>
    <cellStyle name="Normal 5 2 3 3 3 3 2 2" xfId="22947" xr:uid="{33F28AB5-5999-4801-B592-26A38E3B4201}"/>
    <cellStyle name="Normal 5 2 3 3 3 3 2 2 2" xfId="48439" xr:uid="{7B15F8DF-98E5-4350-9564-16EE3B2FBF60}"/>
    <cellStyle name="Normal 5 2 3 3 3 3 2 3" xfId="35848" xr:uid="{F4121EAF-5807-4E28-9980-17B0954F947E}"/>
    <cellStyle name="Normal 5 2 3 3 3 3 3" xfId="16669" xr:uid="{66A4693E-2463-4136-8882-DC27C1F9682C}"/>
    <cellStyle name="Normal 5 2 3 3 3 3 3 2" xfId="42161" xr:uid="{1EBE6E77-7459-4FFC-9008-7A2FEE0025BB}"/>
    <cellStyle name="Normal 5 2 3 3 3 3 4" xfId="29570" xr:uid="{912A10A0-6753-4A71-856D-9E9CA5350B86}"/>
    <cellStyle name="Normal 5 2 3 3 3 4" xfId="7126" xr:uid="{9702CB8D-EB93-42AF-B69F-A269AB735C38}"/>
    <cellStyle name="Normal 5 2 3 3 3 4 2" xfId="19808" xr:uid="{AA711B01-92C5-42CD-8C34-BAEFC900ACB3}"/>
    <cellStyle name="Normal 5 2 3 3 3 4 2 2" xfId="45300" xr:uid="{CEFD595F-F2C3-43BD-828A-0DBA1A8D1776}"/>
    <cellStyle name="Normal 5 2 3 3 3 4 3" xfId="32709" xr:uid="{F53C543F-1E92-4103-82FF-FE1C0B2EAD6D}"/>
    <cellStyle name="Normal 5 2 3 3 3 5" xfId="13530" xr:uid="{51ECF552-0FBE-4E0A-917F-D59E0EE79189}"/>
    <cellStyle name="Normal 5 2 3 3 3 5 2" xfId="39022" xr:uid="{E2995D93-0540-410D-9C3C-B970ADE53CCD}"/>
    <cellStyle name="Normal 5 2 3 3 3 6" xfId="26431" xr:uid="{3953BCD1-7C14-4AF5-ACA5-4961BCFA5B46}"/>
    <cellStyle name="Normal 5 2 3 3 4" xfId="1863" xr:uid="{7BC42F66-F4BB-4E3F-AAD0-164B81276858}"/>
    <cellStyle name="Normal 5 2 3 3 4 2" xfId="5017" xr:uid="{98D0A3EE-1606-44A1-BFB7-BA9C3802200D}"/>
    <cellStyle name="Normal 5 2 3 3 4 2 2" xfId="11310" xr:uid="{E2396A4A-C888-4324-93DE-C672E0646C45}"/>
    <cellStyle name="Normal 5 2 3 3 4 2 2 2" xfId="23992" xr:uid="{56637A04-678B-4911-97C8-C4150C885B33}"/>
    <cellStyle name="Normal 5 2 3 3 4 2 2 2 2" xfId="49484" xr:uid="{C0920E3A-144A-494E-B02C-08D7041BC5B3}"/>
    <cellStyle name="Normal 5 2 3 3 4 2 2 3" xfId="36893" xr:uid="{F22CDEC2-699E-41C5-B3B6-AF7CEDF52AD8}"/>
    <cellStyle name="Normal 5 2 3 3 4 2 3" xfId="17714" xr:uid="{C325D4F3-606A-4C41-9141-8F2637CA9FCE}"/>
    <cellStyle name="Normal 5 2 3 3 4 2 3 2" xfId="43206" xr:uid="{5FBE6DA5-57D8-4B12-AB92-20187772C12D}"/>
    <cellStyle name="Normal 5 2 3 3 4 2 4" xfId="30615" xr:uid="{48E05AF9-6940-48C0-8C02-C990FB610D4C}"/>
    <cellStyle name="Normal 5 2 3 3 4 3" xfId="8171" xr:uid="{EB70F4CE-833C-4E92-838F-6AB048B203BF}"/>
    <cellStyle name="Normal 5 2 3 3 4 3 2" xfId="20853" xr:uid="{989C724C-CEB6-4731-8917-2D128552EDE6}"/>
    <cellStyle name="Normal 5 2 3 3 4 3 2 2" xfId="46345" xr:uid="{18C94AE8-B745-4802-9762-37087A554AAB}"/>
    <cellStyle name="Normal 5 2 3 3 4 3 3" xfId="33754" xr:uid="{2A827BD4-A907-4946-A5BD-A5992AB79860}"/>
    <cellStyle name="Normal 5 2 3 3 4 4" xfId="14575" xr:uid="{C54A8CBA-4374-4C76-9D27-D6CAFFCB9FE9}"/>
    <cellStyle name="Normal 5 2 3 3 4 4 2" xfId="40067" xr:uid="{5C0AD592-62E9-49D7-88F2-276965192562}"/>
    <cellStyle name="Normal 5 2 3 3 4 5" xfId="27476" xr:uid="{105976F2-C744-4FC2-A647-64A117E73300}"/>
    <cellStyle name="Normal 5 2 3 3 5" xfId="1341" xr:uid="{985E0597-639C-4F41-B666-FBAC02ABE7F0}"/>
    <cellStyle name="Normal 5 2 3 3 5 2" xfId="4495" xr:uid="{BA149CC0-463E-4931-AF4A-BB16C7DF988B}"/>
    <cellStyle name="Normal 5 2 3 3 5 2 2" xfId="10788" xr:uid="{14586EAB-F470-47ED-986D-25EC30FF1B99}"/>
    <cellStyle name="Normal 5 2 3 3 5 2 2 2" xfId="23470" xr:uid="{A653B099-AA35-4DD5-B940-6AD05C645E18}"/>
    <cellStyle name="Normal 5 2 3 3 5 2 2 2 2" xfId="48962" xr:uid="{951C5337-6392-47F4-A98C-BDC81AE7E98A}"/>
    <cellStyle name="Normal 5 2 3 3 5 2 2 3" xfId="36371" xr:uid="{D4B57A06-2415-4EB4-B8EC-C645FBD8E75F}"/>
    <cellStyle name="Normal 5 2 3 3 5 2 3" xfId="17192" xr:uid="{1621B3F7-771D-4E34-9C0A-B73A1038720A}"/>
    <cellStyle name="Normal 5 2 3 3 5 2 3 2" xfId="42684" xr:uid="{4C6F1AC5-1EE6-4285-B326-A1F2FDD0F464}"/>
    <cellStyle name="Normal 5 2 3 3 5 2 4" xfId="30093" xr:uid="{D0AC6C7E-DFD1-4DF6-B6F5-EB57BEC3C935}"/>
    <cellStyle name="Normal 5 2 3 3 5 3" xfId="7649" xr:uid="{7BE7C509-81F4-4FF2-B452-102258119CF1}"/>
    <cellStyle name="Normal 5 2 3 3 5 3 2" xfId="20331" xr:uid="{DB415783-553D-4724-82CF-C2383092550C}"/>
    <cellStyle name="Normal 5 2 3 3 5 3 2 2" xfId="45823" xr:uid="{53B23505-8A65-4778-B105-BE4C85D3119A}"/>
    <cellStyle name="Normal 5 2 3 3 5 3 3" xfId="33232" xr:uid="{4B52A6E4-0DFA-4A90-9376-16125459904B}"/>
    <cellStyle name="Normal 5 2 3 3 5 4" xfId="14053" xr:uid="{B4B90A9E-3832-473B-A404-04F363B2A25D}"/>
    <cellStyle name="Normal 5 2 3 3 5 4 2" xfId="39545" xr:uid="{FF2437F7-5A3A-482D-9AD8-B1E580F20ACD}"/>
    <cellStyle name="Normal 5 2 3 3 5 5" xfId="26954" xr:uid="{163F93EC-F0F9-42D7-9165-D44B0694A9C0}"/>
    <cellStyle name="Normal 5 2 3 3 6" xfId="2648" xr:uid="{AB1E8692-8F9D-46B8-BA79-8A6923247082}"/>
    <cellStyle name="Normal 5 2 3 3 6 2" xfId="5802" xr:uid="{25009015-8B2F-4948-9691-1B957BA914FD}"/>
    <cellStyle name="Normal 5 2 3 3 6 2 2" xfId="12095" xr:uid="{8A9D1083-B55B-4BBF-B981-8ABC6A5E04D3}"/>
    <cellStyle name="Normal 5 2 3 3 6 2 2 2" xfId="24777" xr:uid="{24FC5AB3-6E26-4D8D-87BE-0624F2A60A11}"/>
    <cellStyle name="Normal 5 2 3 3 6 2 2 2 2" xfId="50269" xr:uid="{06E7D24C-D436-45C1-B0FB-BA06012564B0}"/>
    <cellStyle name="Normal 5 2 3 3 6 2 2 3" xfId="37678" xr:uid="{F0FB7AB0-CD61-470A-930C-8AF5AA8A2323}"/>
    <cellStyle name="Normal 5 2 3 3 6 2 3" xfId="18499" xr:uid="{8795D3B5-D2F9-4E00-AE50-DD0DC97C468A}"/>
    <cellStyle name="Normal 5 2 3 3 6 2 3 2" xfId="43991" xr:uid="{3903BAAE-E7B9-4C56-953E-D4013B051C12}"/>
    <cellStyle name="Normal 5 2 3 3 6 2 4" xfId="31400" xr:uid="{E494EA0E-3F8A-40D4-B6F3-4BB2A15AFFBD}"/>
    <cellStyle name="Normal 5 2 3 3 6 3" xfId="8956" xr:uid="{1CDAFA65-15C2-476D-AF87-C51D8C3576E5}"/>
    <cellStyle name="Normal 5 2 3 3 6 3 2" xfId="21638" xr:uid="{ADBED990-38EB-4511-8E90-E0734310B106}"/>
    <cellStyle name="Normal 5 2 3 3 6 3 2 2" xfId="47130" xr:uid="{C509FDBB-A84A-4763-AE34-BAC2AB489327}"/>
    <cellStyle name="Normal 5 2 3 3 6 3 3" xfId="34539" xr:uid="{A6F526C3-A284-4FAE-A812-AC00CAF23757}"/>
    <cellStyle name="Normal 5 2 3 3 6 4" xfId="15360" xr:uid="{9AC22B5B-3AA4-4EDC-B939-CFECAA2EA961}"/>
    <cellStyle name="Normal 5 2 3 3 6 4 2" xfId="40852" xr:uid="{5F95B9D2-6EB6-451A-8465-002A5FB6406A}"/>
    <cellStyle name="Normal 5 2 3 3 6 5" xfId="28261" xr:uid="{ACB8AE78-008F-40EE-B71A-5BF03650801F}"/>
    <cellStyle name="Normal 5 2 3 3 7" xfId="3171" xr:uid="{3F5595AA-52DA-475C-A900-BCE8318C5341}"/>
    <cellStyle name="Normal 5 2 3 3 7 2" xfId="6325" xr:uid="{65313ED5-607D-428B-BFEC-CEDC63F40E58}"/>
    <cellStyle name="Normal 5 2 3 3 7 2 2" xfId="12618" xr:uid="{4441B55A-8FE3-44EB-8D1B-E4F1A06CC7CD}"/>
    <cellStyle name="Normal 5 2 3 3 7 2 2 2" xfId="25300" xr:uid="{1E9B670E-1DBB-411E-99B2-5E462B0C5808}"/>
    <cellStyle name="Normal 5 2 3 3 7 2 2 2 2" xfId="50792" xr:uid="{E442F4D4-CA4B-4621-8C64-AEB5BF65C50E}"/>
    <cellStyle name="Normal 5 2 3 3 7 2 2 3" xfId="38201" xr:uid="{AB911D69-04F2-4A8E-B27F-CC3948685F2D}"/>
    <cellStyle name="Normal 5 2 3 3 7 2 3" xfId="19022" xr:uid="{B03BF907-0E33-4629-9835-799840B52249}"/>
    <cellStyle name="Normal 5 2 3 3 7 2 3 2" xfId="44514" xr:uid="{FE56E3EF-1554-46BE-8474-7BB711E24C2D}"/>
    <cellStyle name="Normal 5 2 3 3 7 2 4" xfId="31923" xr:uid="{0089B6B2-671A-4528-8F7A-78C7F72F30AF}"/>
    <cellStyle name="Normal 5 2 3 3 7 3" xfId="9479" xr:uid="{404A274B-3AAA-41D4-9594-E2D5C2296A76}"/>
    <cellStyle name="Normal 5 2 3 3 7 3 2" xfId="22161" xr:uid="{D00DE2DA-B148-4B39-8BE6-FC809CD9A50D}"/>
    <cellStyle name="Normal 5 2 3 3 7 3 2 2" xfId="47653" xr:uid="{180920CD-2981-485F-AB6D-8AFA00822528}"/>
    <cellStyle name="Normal 5 2 3 3 7 3 3" xfId="35062" xr:uid="{76AD8529-7DC4-4CC4-9BE2-4AD83646C482}"/>
    <cellStyle name="Normal 5 2 3 3 7 4" xfId="15883" xr:uid="{3EBE4524-848D-459E-8860-EC00B93731D0}"/>
    <cellStyle name="Normal 5 2 3 3 7 4 2" xfId="41375" xr:uid="{B50DC9B8-D45A-4C0F-B117-F08896C087B6}"/>
    <cellStyle name="Normal 5 2 3 3 7 5" xfId="28784" xr:uid="{45C0B5AE-503C-40B8-A226-C0F00EC12126}"/>
    <cellStyle name="Normal 5 2 3 3 8" xfId="3710" xr:uid="{EA3DA055-252D-4876-9C7E-8451DAECE807}"/>
    <cellStyle name="Normal 5 2 3 3 8 2" xfId="10003" xr:uid="{E93EC65C-8F7B-46E1-8E50-10C8EC545410}"/>
    <cellStyle name="Normal 5 2 3 3 8 2 2" xfId="22685" xr:uid="{26C79E38-7500-4A81-ADA9-E01BA276FC8A}"/>
    <cellStyle name="Normal 5 2 3 3 8 2 2 2" xfId="48177" xr:uid="{262B526C-EF98-4E7E-AB81-DBE8ED690C29}"/>
    <cellStyle name="Normal 5 2 3 3 8 2 3" xfId="35586" xr:uid="{D434DDC7-8867-43F1-96E6-F3BF09238540}"/>
    <cellStyle name="Normal 5 2 3 3 8 3" xfId="16407" xr:uid="{59E8C16C-B77F-4C86-B618-26358CF1FFE7}"/>
    <cellStyle name="Normal 5 2 3 3 8 3 2" xfId="41899" xr:uid="{DE6464B8-339F-4A49-8062-6847B5F67DF7}"/>
    <cellStyle name="Normal 5 2 3 3 8 4" xfId="29308" xr:uid="{D1554CF8-A219-47CC-B26E-B64A6BDB9E1F}"/>
    <cellStyle name="Normal 5 2 3 3 9" xfId="6864" xr:uid="{A1A68725-6B0C-4B99-8749-EE65ACA608F7}"/>
    <cellStyle name="Normal 5 2 3 3 9 2" xfId="19546" xr:uid="{734E397E-C669-45B3-B731-DC63C268FC81}"/>
    <cellStyle name="Normal 5 2 3 3 9 2 2" xfId="45038" xr:uid="{AFCFA461-2CAA-43A3-BD0E-4AD7CE9F21D8}"/>
    <cellStyle name="Normal 5 2 3 3 9 3" xfId="32447" xr:uid="{7B9F1C81-F38D-46B8-8541-E0F96AEF75E0}"/>
    <cellStyle name="Normal 5 2 3 4" xfId="1019" xr:uid="{E1CCBBAB-4580-4F5D-8E9F-1CC30CCE401C}"/>
    <cellStyle name="Normal 5 2 3 4 2" xfId="2326" xr:uid="{FC899ACF-FD78-4A8B-9C38-05FE446364C6}"/>
    <cellStyle name="Normal 5 2 3 4 2 2" xfId="5480" xr:uid="{19708803-DCF4-485B-B914-C12BFF75658A}"/>
    <cellStyle name="Normal 5 2 3 4 2 2 2" xfId="11773" xr:uid="{EE652A2A-B338-414B-9100-52A4B20E0ED3}"/>
    <cellStyle name="Normal 5 2 3 4 2 2 2 2" xfId="24455" xr:uid="{C79FCF34-B286-4AD0-A84C-6680A1F32EA7}"/>
    <cellStyle name="Normal 5 2 3 4 2 2 2 2 2" xfId="49947" xr:uid="{2EA45579-8828-4286-8092-52283D459949}"/>
    <cellStyle name="Normal 5 2 3 4 2 2 2 3" xfId="37356" xr:uid="{169633EB-F189-4B2F-A786-6818985767D2}"/>
    <cellStyle name="Normal 5 2 3 4 2 2 3" xfId="18177" xr:uid="{AA805F63-E48E-42D5-977F-7D70A5643248}"/>
    <cellStyle name="Normal 5 2 3 4 2 2 3 2" xfId="43669" xr:uid="{2B0D815A-2E39-4DF3-8E0A-A5FBA21B6F30}"/>
    <cellStyle name="Normal 5 2 3 4 2 2 4" xfId="31078" xr:uid="{4166FD96-15DA-4FE2-B745-F8173C7CA141}"/>
    <cellStyle name="Normal 5 2 3 4 2 3" xfId="8634" xr:uid="{233C8649-DBAD-4533-B492-107EF629A612}"/>
    <cellStyle name="Normal 5 2 3 4 2 3 2" xfId="21316" xr:uid="{7AA33388-AE76-4993-830F-7778E9FD308D}"/>
    <cellStyle name="Normal 5 2 3 4 2 3 2 2" xfId="46808" xr:uid="{47EF8867-50EE-437B-828C-4356E3E80BDF}"/>
    <cellStyle name="Normal 5 2 3 4 2 3 3" xfId="34217" xr:uid="{B7C30798-5601-42D4-A0AE-939D2FB36F67}"/>
    <cellStyle name="Normal 5 2 3 4 2 4" xfId="15038" xr:uid="{1E3A887C-FD6F-4306-9D6E-F5C44C7CCE95}"/>
    <cellStyle name="Normal 5 2 3 4 2 4 2" xfId="40530" xr:uid="{C40FB4E2-9209-477E-9972-F15BCE5F7045}"/>
    <cellStyle name="Normal 5 2 3 4 2 5" xfId="27939" xr:uid="{C9C179E6-B918-4CD0-8663-79D4F9683D81}"/>
    <cellStyle name="Normal 5 2 3 4 3" xfId="1543" xr:uid="{6DEDCE0C-6D7A-41EA-8EAA-161AC25581B1}"/>
    <cellStyle name="Normal 5 2 3 4 3 2" xfId="4697" xr:uid="{DA1E5A29-21F3-4ECA-A53C-D90EC79CE806}"/>
    <cellStyle name="Normal 5 2 3 4 3 2 2" xfId="10990" xr:uid="{1BDEF2FA-1455-4409-9B95-5C1578E7B10B}"/>
    <cellStyle name="Normal 5 2 3 4 3 2 2 2" xfId="23672" xr:uid="{C90F1827-E451-42D1-A77A-44626CDB07A3}"/>
    <cellStyle name="Normal 5 2 3 4 3 2 2 2 2" xfId="49164" xr:uid="{D1701F4B-4935-4D10-BB74-77DB51613981}"/>
    <cellStyle name="Normal 5 2 3 4 3 2 2 3" xfId="36573" xr:uid="{75C5EFCA-40F8-4829-AD46-B8929AD8FC78}"/>
    <cellStyle name="Normal 5 2 3 4 3 2 3" xfId="17394" xr:uid="{50058991-59D8-44A6-861C-D1015A9A00A3}"/>
    <cellStyle name="Normal 5 2 3 4 3 2 3 2" xfId="42886" xr:uid="{59BDE5BE-AFF1-4FAE-8E35-D27D464B12F8}"/>
    <cellStyle name="Normal 5 2 3 4 3 2 4" xfId="30295" xr:uid="{72E71869-6F41-4B8A-8723-0298F87F44ED}"/>
    <cellStyle name="Normal 5 2 3 4 3 3" xfId="7851" xr:uid="{E1FB755B-C319-47A4-B687-B93E6D244A16}"/>
    <cellStyle name="Normal 5 2 3 4 3 3 2" xfId="20533" xr:uid="{A275F983-8CE2-4803-9BAB-7334C349B24E}"/>
    <cellStyle name="Normal 5 2 3 4 3 3 2 2" xfId="46025" xr:uid="{8497A06A-A612-4A22-9B26-00099365F763}"/>
    <cellStyle name="Normal 5 2 3 4 3 3 3" xfId="33434" xr:uid="{8EE9EABB-5025-4DF5-8D13-FD6AFB790FB8}"/>
    <cellStyle name="Normal 5 2 3 4 3 4" xfId="14255" xr:uid="{72331848-AAF0-463C-BB56-A32EE6828BDF}"/>
    <cellStyle name="Normal 5 2 3 4 3 4 2" xfId="39747" xr:uid="{7F2339A5-C7FC-4B7F-98AB-5465BBA751F7}"/>
    <cellStyle name="Normal 5 2 3 4 3 5" xfId="27156" xr:uid="{258AA0C6-3FB2-4868-B074-DEA2AD0771DE}"/>
    <cellStyle name="Normal 5 2 3 4 4" xfId="2850" xr:uid="{9D0770CE-FB30-4111-A234-9CCDB8365B17}"/>
    <cellStyle name="Normal 5 2 3 4 4 2" xfId="6004" xr:uid="{BD2768CB-77EC-45A0-9FD4-D38FD30A878B}"/>
    <cellStyle name="Normal 5 2 3 4 4 2 2" xfId="12297" xr:uid="{E2A7E503-EE53-49AF-B684-C7D5866183FD}"/>
    <cellStyle name="Normal 5 2 3 4 4 2 2 2" xfId="24979" xr:uid="{8CC4D9BB-A8B6-4FC2-93FD-E6060B501AF2}"/>
    <cellStyle name="Normal 5 2 3 4 4 2 2 2 2" xfId="50471" xr:uid="{49058999-1C74-43AA-A343-42781FA569AC}"/>
    <cellStyle name="Normal 5 2 3 4 4 2 2 3" xfId="37880" xr:uid="{1764CE49-5723-413C-9E89-3F8D786262DA}"/>
    <cellStyle name="Normal 5 2 3 4 4 2 3" xfId="18701" xr:uid="{6B5F42B4-61CC-4448-8555-8005E639F30B}"/>
    <cellStyle name="Normal 5 2 3 4 4 2 3 2" xfId="44193" xr:uid="{DDE5BD6D-DBD6-4EA6-93D0-167BE16D9AF7}"/>
    <cellStyle name="Normal 5 2 3 4 4 2 4" xfId="31602" xr:uid="{1AE3424F-F186-4303-BECB-EC081465ADC6}"/>
    <cellStyle name="Normal 5 2 3 4 4 3" xfId="9158" xr:uid="{5EBB5A00-3C28-4963-BD0B-DFE3855AC06C}"/>
    <cellStyle name="Normal 5 2 3 4 4 3 2" xfId="21840" xr:uid="{2176160A-B895-42AD-A9A1-435485A3FAC6}"/>
    <cellStyle name="Normal 5 2 3 4 4 3 2 2" xfId="47332" xr:uid="{93D3AC34-E98C-4F34-8AD6-7D92DE9339EC}"/>
    <cellStyle name="Normal 5 2 3 4 4 3 3" xfId="34741" xr:uid="{2EA40B14-04F2-4B94-9C44-7AA544912ED3}"/>
    <cellStyle name="Normal 5 2 3 4 4 4" xfId="15562" xr:uid="{D368EA70-81AA-4B14-A86F-30C538CD4779}"/>
    <cellStyle name="Normal 5 2 3 4 4 4 2" xfId="41054" xr:uid="{44518BF3-4DCC-4DEF-9FDB-DEC1E18A895C}"/>
    <cellStyle name="Normal 5 2 3 4 4 5" xfId="28463" xr:uid="{67DA8085-8EB1-48C8-9CDD-DE5329B676A0}"/>
    <cellStyle name="Normal 5 2 3 4 5" xfId="3373" xr:uid="{A7023292-926E-496A-AF9F-6F47F0977992}"/>
    <cellStyle name="Normal 5 2 3 4 5 2" xfId="6527" xr:uid="{6D4C02A5-D17D-4176-837E-55C3204B14C2}"/>
    <cellStyle name="Normal 5 2 3 4 5 2 2" xfId="12820" xr:uid="{81E96E2A-45A9-498B-B0C1-B53763CD7914}"/>
    <cellStyle name="Normal 5 2 3 4 5 2 2 2" xfId="25502" xr:uid="{80A72714-3354-4CC3-9B2C-514B4D40589B}"/>
    <cellStyle name="Normal 5 2 3 4 5 2 2 2 2" xfId="50994" xr:uid="{0A33D7FB-52D3-43EF-8A82-E0F5C8F92CF9}"/>
    <cellStyle name="Normal 5 2 3 4 5 2 2 3" xfId="38403" xr:uid="{2673A834-6711-46DD-96C3-35C43E89570C}"/>
    <cellStyle name="Normal 5 2 3 4 5 2 3" xfId="19224" xr:uid="{2E666B73-D1DE-4ECA-A3CF-CA86796C1E38}"/>
    <cellStyle name="Normal 5 2 3 4 5 2 3 2" xfId="44716" xr:uid="{8D697E73-A02A-41C6-87DA-1C1ECB73CE10}"/>
    <cellStyle name="Normal 5 2 3 4 5 2 4" xfId="32125" xr:uid="{9633222B-C2EF-419F-960E-365A622AC26E}"/>
    <cellStyle name="Normal 5 2 3 4 5 3" xfId="9681" xr:uid="{70E4313F-B681-4117-A2F6-68EC5D11A2F7}"/>
    <cellStyle name="Normal 5 2 3 4 5 3 2" xfId="22363" xr:uid="{E475E6D8-F126-496C-92EB-4718E83A61A6}"/>
    <cellStyle name="Normal 5 2 3 4 5 3 2 2" xfId="47855" xr:uid="{6DCD1DF1-3AC4-41A3-8EB9-9AB1D66DC97E}"/>
    <cellStyle name="Normal 5 2 3 4 5 3 3" xfId="35264" xr:uid="{B6942791-2676-40A2-8616-00B4374C7469}"/>
    <cellStyle name="Normal 5 2 3 4 5 4" xfId="16085" xr:uid="{450AA718-9208-4785-94BD-FC60E2F6462B}"/>
    <cellStyle name="Normal 5 2 3 4 5 4 2" xfId="41577" xr:uid="{48B0479B-0929-4432-8E11-BC0A9F191830}"/>
    <cellStyle name="Normal 5 2 3 4 5 5" xfId="28986" xr:uid="{10AB9A7A-E799-40DB-8111-812BEDB8BFDF}"/>
    <cellStyle name="Normal 5 2 3 4 6" xfId="4173" xr:uid="{0126D2A6-AE83-414E-9406-BBECCDF8ED45}"/>
    <cellStyle name="Normal 5 2 3 4 6 2" xfId="10466" xr:uid="{64EAAEF4-94B0-43CF-A2E0-B246BA33D50A}"/>
    <cellStyle name="Normal 5 2 3 4 6 2 2" xfId="23148" xr:uid="{9D33DD96-B6DC-48B0-AB3F-7588E605BD6F}"/>
    <cellStyle name="Normal 5 2 3 4 6 2 2 2" xfId="48640" xr:uid="{1814DE1E-F453-430A-935E-870E15528ACD}"/>
    <cellStyle name="Normal 5 2 3 4 6 2 3" xfId="36049" xr:uid="{F47AD45F-9A5A-41EC-9B69-B4CD1C4B3B5C}"/>
    <cellStyle name="Normal 5 2 3 4 6 3" xfId="16870" xr:uid="{18E9069A-E226-43EA-9853-DCA6EA75D0CA}"/>
    <cellStyle name="Normal 5 2 3 4 6 3 2" xfId="42362" xr:uid="{F2127432-4007-4D9E-B445-6B1999704AF5}"/>
    <cellStyle name="Normal 5 2 3 4 6 4" xfId="29771" xr:uid="{356D6AE1-28CE-4DF3-BE38-1AD9DD04BB41}"/>
    <cellStyle name="Normal 5 2 3 4 7" xfId="7327" xr:uid="{223E606E-A97D-42A8-95C9-544E06F15EFC}"/>
    <cellStyle name="Normal 5 2 3 4 7 2" xfId="20009" xr:uid="{08F7E966-73D1-4DED-A9FE-E68BD9D11643}"/>
    <cellStyle name="Normal 5 2 3 4 7 2 2" xfId="45501" xr:uid="{235613A7-5981-4C55-8317-6FE4CD43F085}"/>
    <cellStyle name="Normal 5 2 3 4 7 3" xfId="32910" xr:uid="{576F4BFB-AF4C-4AA4-BBF4-BA066345F778}"/>
    <cellStyle name="Normal 5 2 3 4 8" xfId="13731" xr:uid="{4875B2FC-76BD-43B3-B4FA-1B1C18BFAD4E}"/>
    <cellStyle name="Normal 5 2 3 4 8 2" xfId="39223" xr:uid="{88F575CB-D9D0-4001-B904-AFDE539346B2}"/>
    <cellStyle name="Normal 5 2 3 4 9" xfId="26632" xr:uid="{1F283B84-21FA-4567-B005-8E9DB617FE14}"/>
    <cellStyle name="Normal 5 2 3 5" xfId="759" xr:uid="{39B7C58A-6E7D-4129-94BC-2ECA6DE98061}"/>
    <cellStyle name="Normal 5 2 3 5 2" xfId="2066" xr:uid="{458E2641-79B4-4C5E-9770-F10FD1984318}"/>
    <cellStyle name="Normal 5 2 3 5 2 2" xfId="5220" xr:uid="{A624B19C-D9D8-43C5-9FA5-29450A79C0BC}"/>
    <cellStyle name="Normal 5 2 3 5 2 2 2" xfId="11513" xr:uid="{54C775B9-21A3-4EB2-B95D-2927DF3A5992}"/>
    <cellStyle name="Normal 5 2 3 5 2 2 2 2" xfId="24195" xr:uid="{B143E6B6-7266-4F52-9BDA-02753125BEC7}"/>
    <cellStyle name="Normal 5 2 3 5 2 2 2 2 2" xfId="49687" xr:uid="{228A4A77-8CAB-4209-A44A-B722C6EC4A55}"/>
    <cellStyle name="Normal 5 2 3 5 2 2 2 3" xfId="37096" xr:uid="{D7A871A2-B6FE-42DB-B6B9-41995EB7CDE5}"/>
    <cellStyle name="Normal 5 2 3 5 2 2 3" xfId="17917" xr:uid="{3F3746AF-32C5-4879-9EB3-ED249123AF73}"/>
    <cellStyle name="Normal 5 2 3 5 2 2 3 2" xfId="43409" xr:uid="{3663E683-58ED-4FB6-B619-F09C8033CB81}"/>
    <cellStyle name="Normal 5 2 3 5 2 2 4" xfId="30818" xr:uid="{B316397B-CFCF-41F5-9705-6E403C9644A6}"/>
    <cellStyle name="Normal 5 2 3 5 2 3" xfId="8374" xr:uid="{50EDCF4F-70A9-474A-BE82-4319ED7B6844}"/>
    <cellStyle name="Normal 5 2 3 5 2 3 2" xfId="21056" xr:uid="{6D2443FB-543D-4BF6-96B2-324A5C637F16}"/>
    <cellStyle name="Normal 5 2 3 5 2 3 2 2" xfId="46548" xr:uid="{62DB056D-2C9E-42D3-9A78-7DE339F1D834}"/>
    <cellStyle name="Normal 5 2 3 5 2 3 3" xfId="33957" xr:uid="{8228767C-FCF3-4759-88D8-6C19ACA7288D}"/>
    <cellStyle name="Normal 5 2 3 5 2 4" xfId="14778" xr:uid="{BA021103-5B10-4819-825A-218587261E96}"/>
    <cellStyle name="Normal 5 2 3 5 2 4 2" xfId="40270" xr:uid="{8D1B0EC7-F63C-4C6C-A0C3-49C8FC8BCB4C}"/>
    <cellStyle name="Normal 5 2 3 5 2 5" xfId="27679" xr:uid="{01B8D7DF-5B34-410B-A44C-3B1EACBA6A9D}"/>
    <cellStyle name="Normal 5 2 3 5 3" xfId="3913" xr:uid="{8CDED514-6D0F-4B5B-9A7B-0249C5C1EE15}"/>
    <cellStyle name="Normal 5 2 3 5 3 2" xfId="10206" xr:uid="{DCD51989-BD38-408F-B3CF-ED0F359D44F4}"/>
    <cellStyle name="Normal 5 2 3 5 3 2 2" xfId="22888" xr:uid="{AC855959-4679-45C1-BA56-F6C7DD231C71}"/>
    <cellStyle name="Normal 5 2 3 5 3 2 2 2" xfId="48380" xr:uid="{3C245040-6771-4500-8A69-71369D41C998}"/>
    <cellStyle name="Normal 5 2 3 5 3 2 3" xfId="35789" xr:uid="{26C629C3-BC5E-4891-9E1E-C775E558F92F}"/>
    <cellStyle name="Normal 5 2 3 5 3 3" xfId="16610" xr:uid="{DACFBD96-184B-46E7-A4B2-69FC6BC1D3CF}"/>
    <cellStyle name="Normal 5 2 3 5 3 3 2" xfId="42102" xr:uid="{9A943A78-A1DB-4262-B5F7-6861A104EDB7}"/>
    <cellStyle name="Normal 5 2 3 5 3 4" xfId="29511" xr:uid="{A68962B0-976E-4C4C-BBE0-1F98D7DC2161}"/>
    <cellStyle name="Normal 5 2 3 5 4" xfId="7067" xr:uid="{B84A6F67-1218-4386-B6FD-368FA12BF4F6}"/>
    <cellStyle name="Normal 5 2 3 5 4 2" xfId="19749" xr:uid="{BDAA86E9-BE15-4EE1-8152-19162D7CCA16}"/>
    <cellStyle name="Normal 5 2 3 5 4 2 2" xfId="45241" xr:uid="{2F396A45-6696-45C0-A961-78244783C4D9}"/>
    <cellStyle name="Normal 5 2 3 5 4 3" xfId="32650" xr:uid="{3637BF4E-946B-4FCD-8E05-3557AAF0EFA5}"/>
    <cellStyle name="Normal 5 2 3 5 5" xfId="13471" xr:uid="{7F0C97CB-E7F9-4FE8-A666-7B3147D0C8BA}"/>
    <cellStyle name="Normal 5 2 3 5 5 2" xfId="38963" xr:uid="{39488645-D124-450E-A896-4DBE2D25715D}"/>
    <cellStyle name="Normal 5 2 3 5 6" xfId="26372" xr:uid="{74D9799E-2EF4-4A99-9E23-1143B8639251}"/>
    <cellStyle name="Normal 5 2 3 6" xfId="1804" xr:uid="{293C63E1-4875-4036-889C-5308EEFAF2BA}"/>
    <cellStyle name="Normal 5 2 3 6 2" xfId="4958" xr:uid="{63F694F1-E8D2-4DA0-AA32-A56E36EAC73F}"/>
    <cellStyle name="Normal 5 2 3 6 2 2" xfId="11251" xr:uid="{BEE949D9-89E2-4FF6-96CF-10A90CD14AD9}"/>
    <cellStyle name="Normal 5 2 3 6 2 2 2" xfId="23933" xr:uid="{4A08F4E9-268F-464E-88CF-CB8A33B98095}"/>
    <cellStyle name="Normal 5 2 3 6 2 2 2 2" xfId="49425" xr:uid="{8079EEC4-A77E-4F3F-A1DC-98A66D0D5506}"/>
    <cellStyle name="Normal 5 2 3 6 2 2 3" xfId="36834" xr:uid="{0077667C-AE63-4F24-B68D-2C6CD1172ECD}"/>
    <cellStyle name="Normal 5 2 3 6 2 3" xfId="17655" xr:uid="{A5D3D657-A0DC-4297-B6D3-5063E5CD0803}"/>
    <cellStyle name="Normal 5 2 3 6 2 3 2" xfId="43147" xr:uid="{4876742D-F989-4A13-B430-430026E13161}"/>
    <cellStyle name="Normal 5 2 3 6 2 4" xfId="30556" xr:uid="{41872BB6-2AE5-4F7E-B342-A25CE6583E6C}"/>
    <cellStyle name="Normal 5 2 3 6 3" xfId="8112" xr:uid="{FCAB8360-07FA-420A-AF4D-8D932A8030C9}"/>
    <cellStyle name="Normal 5 2 3 6 3 2" xfId="20794" xr:uid="{2E33F6E1-B61E-41F9-8111-10B5B8C7E1FF}"/>
    <cellStyle name="Normal 5 2 3 6 3 2 2" xfId="46286" xr:uid="{36FD41F9-DF36-434A-A597-71BE38E5DC31}"/>
    <cellStyle name="Normal 5 2 3 6 3 3" xfId="33695" xr:uid="{5B1EFA2B-D45E-4FDB-9914-84D67B670846}"/>
    <cellStyle name="Normal 5 2 3 6 4" xfId="14516" xr:uid="{09EF19AB-D466-41BD-AEC6-301E896A28DC}"/>
    <cellStyle name="Normal 5 2 3 6 4 2" xfId="40008" xr:uid="{D59F43DE-02EA-40D8-9192-B305CFCEE0AB}"/>
    <cellStyle name="Normal 5 2 3 6 5" xfId="27417" xr:uid="{F00607E1-74D0-44FE-8BEE-BFBA5FBB169E}"/>
    <cellStyle name="Normal 5 2 3 7" xfId="1282" xr:uid="{27062DFC-6DE3-4176-A070-6FFC179A85B1}"/>
    <cellStyle name="Normal 5 2 3 7 2" xfId="4436" xr:uid="{1329039D-AA5A-47A4-AFAF-DE7497A5D8D5}"/>
    <cellStyle name="Normal 5 2 3 7 2 2" xfId="10729" xr:uid="{51D085D4-FD35-4C0E-986C-8BFA629F3D15}"/>
    <cellStyle name="Normal 5 2 3 7 2 2 2" xfId="23411" xr:uid="{4B011060-8DCB-4D76-86CD-D2A20AB93751}"/>
    <cellStyle name="Normal 5 2 3 7 2 2 2 2" xfId="48903" xr:uid="{628A91A7-1713-4916-BE9E-C87C439D139B}"/>
    <cellStyle name="Normal 5 2 3 7 2 2 3" xfId="36312" xr:uid="{19533D9F-9F1A-4131-93A3-FB90C919FBAF}"/>
    <cellStyle name="Normal 5 2 3 7 2 3" xfId="17133" xr:uid="{FF402481-6674-466C-B30A-14B7CB56AE3A}"/>
    <cellStyle name="Normal 5 2 3 7 2 3 2" xfId="42625" xr:uid="{6457C348-0E68-4426-A016-3CCDFD73CB70}"/>
    <cellStyle name="Normal 5 2 3 7 2 4" xfId="30034" xr:uid="{FBDEA065-7942-4475-8838-CBD65FBD09D1}"/>
    <cellStyle name="Normal 5 2 3 7 3" xfId="7590" xr:uid="{BB15EEBC-B49B-4823-9DA8-9F77618A513D}"/>
    <cellStyle name="Normal 5 2 3 7 3 2" xfId="20272" xr:uid="{49305898-EDBC-4377-930E-F95298B23DCB}"/>
    <cellStyle name="Normal 5 2 3 7 3 2 2" xfId="45764" xr:uid="{34C41956-1359-422C-B76E-5945C1E43695}"/>
    <cellStyle name="Normal 5 2 3 7 3 3" xfId="33173" xr:uid="{CB9427C0-A102-4F83-8B85-671DF240E3CD}"/>
    <cellStyle name="Normal 5 2 3 7 4" xfId="13994" xr:uid="{68A2A86C-3FC0-4662-8EAD-625649312A7F}"/>
    <cellStyle name="Normal 5 2 3 7 4 2" xfId="39486" xr:uid="{24E70A16-59DD-4B97-865A-17C9E6BB97F2}"/>
    <cellStyle name="Normal 5 2 3 7 5" xfId="26895" xr:uid="{2762C92E-5050-4244-841B-5C394A4693F7}"/>
    <cellStyle name="Normal 5 2 3 8" xfId="2589" xr:uid="{D6E7CF57-7E6D-4D06-BCE6-D8C4970BDF79}"/>
    <cellStyle name="Normal 5 2 3 8 2" xfId="5743" xr:uid="{B2D435E8-B040-428D-8D8E-1697D3F87438}"/>
    <cellStyle name="Normal 5 2 3 8 2 2" xfId="12036" xr:uid="{B0E26D1D-82FA-4A22-A7A1-A37F885F2D19}"/>
    <cellStyle name="Normal 5 2 3 8 2 2 2" xfId="24718" xr:uid="{2C1C215B-0F56-4420-97C8-511C6C7AD8AB}"/>
    <cellStyle name="Normal 5 2 3 8 2 2 2 2" xfId="50210" xr:uid="{7F79AF3D-32F3-4F37-83BF-DCF3B0D2960B}"/>
    <cellStyle name="Normal 5 2 3 8 2 2 3" xfId="37619" xr:uid="{180776E2-7F06-48B8-9BD3-91E4343CFA09}"/>
    <cellStyle name="Normal 5 2 3 8 2 3" xfId="18440" xr:uid="{0C227CC0-61BD-470C-B139-5D6B0A9F4175}"/>
    <cellStyle name="Normal 5 2 3 8 2 3 2" xfId="43932" xr:uid="{F3EEA8F7-CBEC-4225-922E-167D378617F8}"/>
    <cellStyle name="Normal 5 2 3 8 2 4" xfId="31341" xr:uid="{381ECB68-E69C-4D6D-89C9-5753869423A6}"/>
    <cellStyle name="Normal 5 2 3 8 3" xfId="8897" xr:uid="{6A0919ED-8DC1-4835-900C-A06ABD6E2808}"/>
    <cellStyle name="Normal 5 2 3 8 3 2" xfId="21579" xr:uid="{608B2E5A-368D-4A16-B38F-B151B8BAF5BE}"/>
    <cellStyle name="Normal 5 2 3 8 3 2 2" xfId="47071" xr:uid="{1BBA18CA-92A0-4454-A62C-81CACB83C4F8}"/>
    <cellStyle name="Normal 5 2 3 8 3 3" xfId="34480" xr:uid="{4EBF69C6-9C53-452B-8C6D-561291EFAC82}"/>
    <cellStyle name="Normal 5 2 3 8 4" xfId="15301" xr:uid="{1C8D4E6E-5DDA-47AF-A168-3CE0AC28BFD5}"/>
    <cellStyle name="Normal 5 2 3 8 4 2" xfId="40793" xr:uid="{86012C6E-C85A-4449-B12F-2FC35875A3EF}"/>
    <cellStyle name="Normal 5 2 3 8 5" xfId="28202" xr:uid="{72A52075-F150-4BB0-BB3D-450D966D299D}"/>
    <cellStyle name="Normal 5 2 3 9" xfId="3112" xr:uid="{64F20BBF-5254-4E04-8ECE-B49FBA5AB613}"/>
    <cellStyle name="Normal 5 2 3 9 2" xfId="6266" xr:uid="{D815147D-C25A-473B-961A-DCFFA8DEB57A}"/>
    <cellStyle name="Normal 5 2 3 9 2 2" xfId="12559" xr:uid="{FE15A2E2-2C25-4C3A-AF23-342963195B27}"/>
    <cellStyle name="Normal 5 2 3 9 2 2 2" xfId="25241" xr:uid="{3407605D-5D4D-4F98-A111-9C4F32448EC6}"/>
    <cellStyle name="Normal 5 2 3 9 2 2 2 2" xfId="50733" xr:uid="{58322004-047F-4153-A123-B762F2902A2B}"/>
    <cellStyle name="Normal 5 2 3 9 2 2 3" xfId="38142" xr:uid="{AC6A6A95-A0E7-40E8-89CA-3A3D2A349CDA}"/>
    <cellStyle name="Normal 5 2 3 9 2 3" xfId="18963" xr:uid="{3334A80D-5914-41E6-BC8E-FC1F4F9B70E0}"/>
    <cellStyle name="Normal 5 2 3 9 2 3 2" xfId="44455" xr:uid="{474766A6-23B0-44A2-9C51-A62444F97D2C}"/>
    <cellStyle name="Normal 5 2 3 9 2 4" xfId="31864" xr:uid="{76BCBF80-80C9-46C6-9AA0-4705D1E398CD}"/>
    <cellStyle name="Normal 5 2 3 9 3" xfId="9420" xr:uid="{C8B3253B-CBF1-4E55-B984-DE7CB7BE28BB}"/>
    <cellStyle name="Normal 5 2 3 9 3 2" xfId="22102" xr:uid="{A18F948A-5A34-464C-923A-B5D2347A188C}"/>
    <cellStyle name="Normal 5 2 3 9 3 2 2" xfId="47594" xr:uid="{0E869AD7-5286-44D3-AA8B-8A27A70BD89C}"/>
    <cellStyle name="Normal 5 2 3 9 3 3" xfId="35003" xr:uid="{F1F0D856-A845-4065-A6A9-A831447602C9}"/>
    <cellStyle name="Normal 5 2 3 9 4" xfId="15824" xr:uid="{FD832890-41AC-4356-B2B4-24C7F9728497}"/>
    <cellStyle name="Normal 5 2 3 9 4 2" xfId="41316" xr:uid="{C559D816-536B-44FB-BEE5-A77C4747B00C}"/>
    <cellStyle name="Normal 5 2 3 9 5" xfId="28725" xr:uid="{95FE9BA2-C122-4C30-980D-C40C099639D7}"/>
    <cellStyle name="Normal 5 2 4" xfId="463" xr:uid="{7AAD7EC5-FEB2-4154-A90D-143C52014540}"/>
    <cellStyle name="Normal 5 2 4 10" xfId="6786" xr:uid="{B1F4EC66-80A1-492F-B83A-6F96A2C9B721}"/>
    <cellStyle name="Normal 5 2 4 10 2" xfId="19468" xr:uid="{40C8BBCE-6B06-4AC4-8BBB-DA1CD52A8767}"/>
    <cellStyle name="Normal 5 2 4 10 2 2" xfId="44960" xr:uid="{C7FEF67E-93B6-40F7-AF10-C006B6814569}"/>
    <cellStyle name="Normal 5 2 4 10 3" xfId="32369" xr:uid="{0C3A37A8-4C5C-4D00-BC7A-F9DCE32182D5}"/>
    <cellStyle name="Normal 5 2 4 11" xfId="13190" xr:uid="{C66E2177-EDCC-4DA1-8CBB-A5986A325230}"/>
    <cellStyle name="Normal 5 2 4 11 2" xfId="38682" xr:uid="{1F61C06F-5779-4D61-B124-9244636508C4}"/>
    <cellStyle name="Normal 5 2 4 12" xfId="26091" xr:uid="{E210B3C8-234F-4DD2-9E77-7A4725CC9A62}"/>
    <cellStyle name="Normal 5 2 4 2" xfId="622" xr:uid="{E0895E2B-B796-4224-B7FB-9060E43DFA23}"/>
    <cellStyle name="Normal 5 2 4 2 10" xfId="13349" xr:uid="{8D0AAC15-5CF5-47BC-A39E-A84D698B2EB8}"/>
    <cellStyle name="Normal 5 2 4 2 10 2" xfId="38841" xr:uid="{6A42EDE6-DAAB-479F-9794-1A82620B9DE1}"/>
    <cellStyle name="Normal 5 2 4 2 11" xfId="26250" xr:uid="{85EF348B-7802-4B4B-B221-0DDD26EDAB16}"/>
    <cellStyle name="Normal 5 2 4 2 2" xfId="1159" xr:uid="{F833CF69-7ACC-4B06-A3D7-750F91C2F48F}"/>
    <cellStyle name="Normal 5 2 4 2 2 2" xfId="2466" xr:uid="{1052401D-F911-4AB1-AB88-78E1B2E85470}"/>
    <cellStyle name="Normal 5 2 4 2 2 2 2" xfId="5620" xr:uid="{5417DC37-F3C7-4C20-8A88-D5CD52972DF5}"/>
    <cellStyle name="Normal 5 2 4 2 2 2 2 2" xfId="11913" xr:uid="{A65B513C-FA67-45C5-BF18-AF903F5D1C6A}"/>
    <cellStyle name="Normal 5 2 4 2 2 2 2 2 2" xfId="24595" xr:uid="{D2F23638-2793-4C82-AF91-9E0D9C526B63}"/>
    <cellStyle name="Normal 5 2 4 2 2 2 2 2 2 2" xfId="50087" xr:uid="{7F071FC9-00EA-40F4-9C5D-1BF683B87309}"/>
    <cellStyle name="Normal 5 2 4 2 2 2 2 2 3" xfId="37496" xr:uid="{61EC1D46-0393-4D6C-AE29-CBA295042B57}"/>
    <cellStyle name="Normal 5 2 4 2 2 2 2 3" xfId="18317" xr:uid="{F9F22FA2-7768-4860-B827-22FEBCEC57FF}"/>
    <cellStyle name="Normal 5 2 4 2 2 2 2 3 2" xfId="43809" xr:uid="{354C9045-B9C3-4415-B46B-27A157582A04}"/>
    <cellStyle name="Normal 5 2 4 2 2 2 2 4" xfId="31218" xr:uid="{FA690697-8EC9-4236-8D08-018BE80FEC62}"/>
    <cellStyle name="Normal 5 2 4 2 2 2 3" xfId="8774" xr:uid="{89C39739-EF92-4865-A32C-99BF184728A2}"/>
    <cellStyle name="Normal 5 2 4 2 2 2 3 2" xfId="21456" xr:uid="{96DE9886-9191-4178-898D-BD8F9D119BDD}"/>
    <cellStyle name="Normal 5 2 4 2 2 2 3 2 2" xfId="46948" xr:uid="{717128E2-A170-4D81-ADA4-76DE5C791E34}"/>
    <cellStyle name="Normal 5 2 4 2 2 2 3 3" xfId="34357" xr:uid="{F2963524-33E8-4B85-9A12-DBC4CE3F7C6D}"/>
    <cellStyle name="Normal 5 2 4 2 2 2 4" xfId="15178" xr:uid="{342A856F-24D4-463B-AE19-FD3FAE08CABA}"/>
    <cellStyle name="Normal 5 2 4 2 2 2 4 2" xfId="40670" xr:uid="{E509D291-BEB1-4BFF-9C94-4829BEB4B206}"/>
    <cellStyle name="Normal 5 2 4 2 2 2 5" xfId="28079" xr:uid="{514FC420-2229-4DD3-8351-1F6D15174030}"/>
    <cellStyle name="Normal 5 2 4 2 2 3" xfId="1683" xr:uid="{2A989CC9-83E1-48B1-92E8-1AEE46D73FF4}"/>
    <cellStyle name="Normal 5 2 4 2 2 3 2" xfId="4837" xr:uid="{7B3A6935-EC86-4A09-9204-7967F519DE3D}"/>
    <cellStyle name="Normal 5 2 4 2 2 3 2 2" xfId="11130" xr:uid="{D5B8F98A-BBED-4B56-AEAE-41C86304D006}"/>
    <cellStyle name="Normal 5 2 4 2 2 3 2 2 2" xfId="23812" xr:uid="{546151E8-F6A7-4CEA-AC71-E2FF26C11C7E}"/>
    <cellStyle name="Normal 5 2 4 2 2 3 2 2 2 2" xfId="49304" xr:uid="{877B8EAA-2D8A-4214-BAEE-A2C7A0BE1002}"/>
    <cellStyle name="Normal 5 2 4 2 2 3 2 2 3" xfId="36713" xr:uid="{78CBCA20-FB74-4750-BDDB-95BD7E728B09}"/>
    <cellStyle name="Normal 5 2 4 2 2 3 2 3" xfId="17534" xr:uid="{593D52BC-2C0C-40BD-8D8D-B0953EB6880B}"/>
    <cellStyle name="Normal 5 2 4 2 2 3 2 3 2" xfId="43026" xr:uid="{6C0557E2-F137-4C4F-8534-1B5442DEE914}"/>
    <cellStyle name="Normal 5 2 4 2 2 3 2 4" xfId="30435" xr:uid="{FBDE971C-ACDE-484F-804B-F09851970A12}"/>
    <cellStyle name="Normal 5 2 4 2 2 3 3" xfId="7991" xr:uid="{9DFA2891-2DA8-4895-85BE-8F9849547304}"/>
    <cellStyle name="Normal 5 2 4 2 2 3 3 2" xfId="20673" xr:uid="{E91821D4-5B49-47BB-ADE1-B1E20B424DC3}"/>
    <cellStyle name="Normal 5 2 4 2 2 3 3 2 2" xfId="46165" xr:uid="{5ECD25F1-2342-4A1F-88E2-7376D6F31C2D}"/>
    <cellStyle name="Normal 5 2 4 2 2 3 3 3" xfId="33574" xr:uid="{CB41E5FB-CCE3-4D8A-AB8A-31435104A865}"/>
    <cellStyle name="Normal 5 2 4 2 2 3 4" xfId="14395" xr:uid="{9F7A9A19-9EE6-4B8F-B203-B1506937FF77}"/>
    <cellStyle name="Normal 5 2 4 2 2 3 4 2" xfId="39887" xr:uid="{64384238-B0E2-4A7B-81D5-34F74B904299}"/>
    <cellStyle name="Normal 5 2 4 2 2 3 5" xfId="27296" xr:uid="{9940430E-7B5C-4BD5-A301-9A02474EDEEE}"/>
    <cellStyle name="Normal 5 2 4 2 2 4" xfId="2990" xr:uid="{D2FDD62E-57A7-4ABA-9332-4CCF24AF6ACB}"/>
    <cellStyle name="Normal 5 2 4 2 2 4 2" xfId="6144" xr:uid="{847E8531-D799-41E0-8AC5-8C67206966D0}"/>
    <cellStyle name="Normal 5 2 4 2 2 4 2 2" xfId="12437" xr:uid="{BA95CE0A-7F3D-497F-9F54-19018C9979B0}"/>
    <cellStyle name="Normal 5 2 4 2 2 4 2 2 2" xfId="25119" xr:uid="{D85D8343-E6C0-4115-B104-DA0BD655D983}"/>
    <cellStyle name="Normal 5 2 4 2 2 4 2 2 2 2" xfId="50611" xr:uid="{204F2A14-E3CA-41DC-8272-A27D6834D7E1}"/>
    <cellStyle name="Normal 5 2 4 2 2 4 2 2 3" xfId="38020" xr:uid="{83F5423B-FEA0-42CF-B39D-BA356AD20EFE}"/>
    <cellStyle name="Normal 5 2 4 2 2 4 2 3" xfId="18841" xr:uid="{ADE917A6-9624-46F4-9A4C-26B19ACC3DAC}"/>
    <cellStyle name="Normal 5 2 4 2 2 4 2 3 2" xfId="44333" xr:uid="{F3397B78-55E5-44D4-A11E-E873E6E3BD50}"/>
    <cellStyle name="Normal 5 2 4 2 2 4 2 4" xfId="31742" xr:uid="{9C40C26E-1B61-4CFE-82B9-D47632C64EF7}"/>
    <cellStyle name="Normal 5 2 4 2 2 4 3" xfId="9298" xr:uid="{F23D2BFB-1E34-4451-B6DB-F6493C4AB996}"/>
    <cellStyle name="Normal 5 2 4 2 2 4 3 2" xfId="21980" xr:uid="{C0651350-EB8F-4C7A-98E0-58E9FADED373}"/>
    <cellStyle name="Normal 5 2 4 2 2 4 3 2 2" xfId="47472" xr:uid="{2AAB7F83-4E5B-4B61-B0E1-25789BF80DC5}"/>
    <cellStyle name="Normal 5 2 4 2 2 4 3 3" xfId="34881" xr:uid="{EBECC27B-4C5B-4E9F-82F2-BA896B9E1F0B}"/>
    <cellStyle name="Normal 5 2 4 2 2 4 4" xfId="15702" xr:uid="{3ECA5BAE-F27B-4D74-AA75-0F30483D0BD3}"/>
    <cellStyle name="Normal 5 2 4 2 2 4 4 2" xfId="41194" xr:uid="{1FD6527D-5C3C-4E82-8489-D99852735F5A}"/>
    <cellStyle name="Normal 5 2 4 2 2 4 5" xfId="28603" xr:uid="{1519C8F3-C856-49EB-A30B-6BF62216C903}"/>
    <cellStyle name="Normal 5 2 4 2 2 5" xfId="3513" xr:uid="{9375B716-CBD1-4C55-B9DB-D7CD0CB4FA5A}"/>
    <cellStyle name="Normal 5 2 4 2 2 5 2" xfId="6667" xr:uid="{ABAC9FC0-2A46-49B7-A1DC-50D674186FCA}"/>
    <cellStyle name="Normal 5 2 4 2 2 5 2 2" xfId="12960" xr:uid="{18ED6B29-AF4B-4269-A5F6-07B9C9870B7B}"/>
    <cellStyle name="Normal 5 2 4 2 2 5 2 2 2" xfId="25642" xr:uid="{74131B37-47B5-42CA-A504-BE964C85FDB2}"/>
    <cellStyle name="Normal 5 2 4 2 2 5 2 2 2 2" xfId="51134" xr:uid="{D39CE6D6-45D8-4158-8DC7-DA46C67CD0E9}"/>
    <cellStyle name="Normal 5 2 4 2 2 5 2 2 3" xfId="38543" xr:uid="{16F130D3-B4CD-49F0-8C4F-F5D6ECB86067}"/>
    <cellStyle name="Normal 5 2 4 2 2 5 2 3" xfId="19364" xr:uid="{DA7E3701-D32C-4B95-BD00-04D19BD641CE}"/>
    <cellStyle name="Normal 5 2 4 2 2 5 2 3 2" xfId="44856" xr:uid="{D66D246E-668E-4B21-9551-30AB5895BE7E}"/>
    <cellStyle name="Normal 5 2 4 2 2 5 2 4" xfId="32265" xr:uid="{93974E3B-EE60-48B0-9F34-D5A06D269D28}"/>
    <cellStyle name="Normal 5 2 4 2 2 5 3" xfId="9821" xr:uid="{D6341E93-1BF7-4817-A290-C5EABC571B01}"/>
    <cellStyle name="Normal 5 2 4 2 2 5 3 2" xfId="22503" xr:uid="{FF6758AB-874D-4FC5-A36A-751E66D68496}"/>
    <cellStyle name="Normal 5 2 4 2 2 5 3 2 2" xfId="47995" xr:uid="{17A4E4E0-86BA-46A0-B957-79CD4C6E9EB2}"/>
    <cellStyle name="Normal 5 2 4 2 2 5 3 3" xfId="35404" xr:uid="{026D248E-57E3-42F2-8308-3A7B34885C75}"/>
    <cellStyle name="Normal 5 2 4 2 2 5 4" xfId="16225" xr:uid="{6A72BC65-8730-43C8-8E59-8EDD06DEBCC3}"/>
    <cellStyle name="Normal 5 2 4 2 2 5 4 2" xfId="41717" xr:uid="{18F9FBAD-27F9-4216-9353-C24FCB4BF30E}"/>
    <cellStyle name="Normal 5 2 4 2 2 5 5" xfId="29126" xr:uid="{23AEEC98-B3D1-4A76-B0C2-EC09D0C1F3E9}"/>
    <cellStyle name="Normal 5 2 4 2 2 6" xfId="4313" xr:uid="{5D00D942-85F4-4AA0-90C8-6ABB1C10CC3E}"/>
    <cellStyle name="Normal 5 2 4 2 2 6 2" xfId="10606" xr:uid="{809AC183-8D47-4A5D-BD1C-36075C99DC33}"/>
    <cellStyle name="Normal 5 2 4 2 2 6 2 2" xfId="23288" xr:uid="{D4BB9F6F-68B6-4EDA-8EA5-432CFB4A22ED}"/>
    <cellStyle name="Normal 5 2 4 2 2 6 2 2 2" xfId="48780" xr:uid="{69C9E5CC-A694-45EB-8382-9CECF155ABE8}"/>
    <cellStyle name="Normal 5 2 4 2 2 6 2 3" xfId="36189" xr:uid="{9A4FB843-9D8A-4AEA-AD12-D6A4716E81C8}"/>
    <cellStyle name="Normal 5 2 4 2 2 6 3" xfId="17010" xr:uid="{914986B9-D45E-4543-A17E-0B66BDFD2DE4}"/>
    <cellStyle name="Normal 5 2 4 2 2 6 3 2" xfId="42502" xr:uid="{125A6990-C963-4BD0-BA65-D80B1AE15FA0}"/>
    <cellStyle name="Normal 5 2 4 2 2 6 4" xfId="29911" xr:uid="{1542E7E4-D471-4335-A535-78C636AFB01B}"/>
    <cellStyle name="Normal 5 2 4 2 2 7" xfId="7467" xr:uid="{E853360B-99AB-4FEA-ABE7-7CC1CE327B8E}"/>
    <cellStyle name="Normal 5 2 4 2 2 7 2" xfId="20149" xr:uid="{982BA0D7-8957-4BE7-BCC6-E8DE45E9C5AD}"/>
    <cellStyle name="Normal 5 2 4 2 2 7 2 2" xfId="45641" xr:uid="{93E90F1D-564D-4970-A610-1A37B67369E0}"/>
    <cellStyle name="Normal 5 2 4 2 2 7 3" xfId="33050" xr:uid="{B338A4F1-BA11-4ADD-9EFC-6298B9654F4D}"/>
    <cellStyle name="Normal 5 2 4 2 2 8" xfId="13871" xr:uid="{F96F9406-FFF1-4E17-ADE6-F45438F9B4E0}"/>
    <cellStyle name="Normal 5 2 4 2 2 8 2" xfId="39363" xr:uid="{A4F4EAEC-5162-4C8F-82DF-AF9E600E2FEC}"/>
    <cellStyle name="Normal 5 2 4 2 2 9" xfId="26772" xr:uid="{604341F2-0007-467C-845E-03E7399AC786}"/>
    <cellStyle name="Normal 5 2 4 2 3" xfId="899" xr:uid="{765A0462-4980-44C9-9A7A-047B60847604}"/>
    <cellStyle name="Normal 5 2 4 2 3 2" xfId="2206" xr:uid="{A99A37A7-93D2-4D42-B568-DFC862ACA7C6}"/>
    <cellStyle name="Normal 5 2 4 2 3 2 2" xfId="5360" xr:uid="{49F67B9E-F744-412A-8001-824931F507D6}"/>
    <cellStyle name="Normal 5 2 4 2 3 2 2 2" xfId="11653" xr:uid="{F5877684-0CAA-4B9F-B6A2-0B9D5939F21D}"/>
    <cellStyle name="Normal 5 2 4 2 3 2 2 2 2" xfId="24335" xr:uid="{7AA9C66F-3C93-4B99-B1A3-8189C2D9A011}"/>
    <cellStyle name="Normal 5 2 4 2 3 2 2 2 2 2" xfId="49827" xr:uid="{71DD88F4-07F9-4490-B786-AEDE56D01DC4}"/>
    <cellStyle name="Normal 5 2 4 2 3 2 2 2 3" xfId="37236" xr:uid="{D76D833F-8DF3-4888-9B8C-DCEF8DC6E12A}"/>
    <cellStyle name="Normal 5 2 4 2 3 2 2 3" xfId="18057" xr:uid="{029C13CA-89F2-4040-A587-9613F9843593}"/>
    <cellStyle name="Normal 5 2 4 2 3 2 2 3 2" xfId="43549" xr:uid="{F4D9CF5E-BAD5-44C1-A966-DF1E6EBBE5A7}"/>
    <cellStyle name="Normal 5 2 4 2 3 2 2 4" xfId="30958" xr:uid="{25CDF297-9AB5-44C8-952A-32EBDD377A6C}"/>
    <cellStyle name="Normal 5 2 4 2 3 2 3" xfId="8514" xr:uid="{1F059586-F1F7-4670-9F05-56AF53F12EF1}"/>
    <cellStyle name="Normal 5 2 4 2 3 2 3 2" xfId="21196" xr:uid="{9BD0D31C-59C7-48EE-AA61-0524B5B63B9C}"/>
    <cellStyle name="Normal 5 2 4 2 3 2 3 2 2" xfId="46688" xr:uid="{379F02E6-EB98-4945-B4B4-BE4D859021EF}"/>
    <cellStyle name="Normal 5 2 4 2 3 2 3 3" xfId="34097" xr:uid="{4EA6B28A-000B-47FD-88EE-9BE84D2C6983}"/>
    <cellStyle name="Normal 5 2 4 2 3 2 4" xfId="14918" xr:uid="{F50C8474-23DB-4844-A224-0965A0F709CD}"/>
    <cellStyle name="Normal 5 2 4 2 3 2 4 2" xfId="40410" xr:uid="{7FF690EB-BE01-4E05-9413-F992E13B2C1E}"/>
    <cellStyle name="Normal 5 2 4 2 3 2 5" xfId="27819" xr:uid="{E4A37AEA-702C-4877-8006-B95A33CCC7C5}"/>
    <cellStyle name="Normal 5 2 4 2 3 3" xfId="4053" xr:uid="{A3957AE0-C5AD-41F0-8F26-044E49F0D01C}"/>
    <cellStyle name="Normal 5 2 4 2 3 3 2" xfId="10346" xr:uid="{C0FCF6C9-3033-4625-8351-5BD8E0E9731E}"/>
    <cellStyle name="Normal 5 2 4 2 3 3 2 2" xfId="23028" xr:uid="{50FAAA04-3148-428D-90B1-F6E262635BA9}"/>
    <cellStyle name="Normal 5 2 4 2 3 3 2 2 2" xfId="48520" xr:uid="{6B0B3631-9274-4770-8B64-F0B70C247AD7}"/>
    <cellStyle name="Normal 5 2 4 2 3 3 2 3" xfId="35929" xr:uid="{DE940165-D488-41CA-BD1F-00230F8650A2}"/>
    <cellStyle name="Normal 5 2 4 2 3 3 3" xfId="16750" xr:uid="{292BC9C5-469E-4984-80EF-9E6E554FA9E5}"/>
    <cellStyle name="Normal 5 2 4 2 3 3 3 2" xfId="42242" xr:uid="{B9C04EED-84B2-4FA5-B28A-28BDC712324F}"/>
    <cellStyle name="Normal 5 2 4 2 3 3 4" xfId="29651" xr:uid="{0D83F418-C242-4EB7-BADE-EFA207BF0959}"/>
    <cellStyle name="Normal 5 2 4 2 3 4" xfId="7207" xr:uid="{1F8FF3F9-EF02-464F-B133-71A48496A99B}"/>
    <cellStyle name="Normal 5 2 4 2 3 4 2" xfId="19889" xr:uid="{9AC83CD3-4647-4330-B0A3-D77FD0DAED83}"/>
    <cellStyle name="Normal 5 2 4 2 3 4 2 2" xfId="45381" xr:uid="{F7BB922C-67AF-4ED7-82FF-8BE2C97EB022}"/>
    <cellStyle name="Normal 5 2 4 2 3 4 3" xfId="32790" xr:uid="{81D6FF38-EB8C-4D39-9A78-6971423B880A}"/>
    <cellStyle name="Normal 5 2 4 2 3 5" xfId="13611" xr:uid="{9D894270-8CD3-4B3F-911B-54FFD54C0C18}"/>
    <cellStyle name="Normal 5 2 4 2 3 5 2" xfId="39103" xr:uid="{1FE38C0C-404D-4843-9691-D4065AA4D7D2}"/>
    <cellStyle name="Normal 5 2 4 2 3 6" xfId="26512" xr:uid="{92C0FE6D-9B58-4AF7-A192-C58493E9D602}"/>
    <cellStyle name="Normal 5 2 4 2 4" xfId="1944" xr:uid="{8F182BB0-D2D4-46A2-93E5-F31E8957FDB6}"/>
    <cellStyle name="Normal 5 2 4 2 4 2" xfId="5098" xr:uid="{4F0D9126-4E73-49C8-BC2E-7622A60BE8E9}"/>
    <cellStyle name="Normal 5 2 4 2 4 2 2" xfId="11391" xr:uid="{139C889F-ACB4-4200-9415-323BA89975FE}"/>
    <cellStyle name="Normal 5 2 4 2 4 2 2 2" xfId="24073" xr:uid="{1B8B0343-50D9-4BC3-A3B8-D1829C1B4F2C}"/>
    <cellStyle name="Normal 5 2 4 2 4 2 2 2 2" xfId="49565" xr:uid="{E25F8CB5-8F42-40ED-BBFE-31350AF5570A}"/>
    <cellStyle name="Normal 5 2 4 2 4 2 2 3" xfId="36974" xr:uid="{876CC3D8-FCB9-48F9-8672-1ADA6E5D5EDA}"/>
    <cellStyle name="Normal 5 2 4 2 4 2 3" xfId="17795" xr:uid="{D1C57354-A122-48FA-897E-6F5D8F343AA8}"/>
    <cellStyle name="Normal 5 2 4 2 4 2 3 2" xfId="43287" xr:uid="{0C6EE188-1177-4423-B8F5-64885F64C071}"/>
    <cellStyle name="Normal 5 2 4 2 4 2 4" xfId="30696" xr:uid="{5F6D2E85-6842-4C0B-9BE7-3BEF95DBB614}"/>
    <cellStyle name="Normal 5 2 4 2 4 3" xfId="8252" xr:uid="{C949BCAF-760B-4B40-AC1C-E456DBDAD9FC}"/>
    <cellStyle name="Normal 5 2 4 2 4 3 2" xfId="20934" xr:uid="{BD105333-AE20-4959-8FE8-9DB86DD75BDD}"/>
    <cellStyle name="Normal 5 2 4 2 4 3 2 2" xfId="46426" xr:uid="{9A48FB6C-F2F2-4790-AB4F-845717988642}"/>
    <cellStyle name="Normal 5 2 4 2 4 3 3" xfId="33835" xr:uid="{07ECC320-1FC0-47D8-9A0D-8AB98258B65D}"/>
    <cellStyle name="Normal 5 2 4 2 4 4" xfId="14656" xr:uid="{D6E17F39-DD26-4A02-AE37-CDF21F6F595A}"/>
    <cellStyle name="Normal 5 2 4 2 4 4 2" xfId="40148" xr:uid="{88956D59-5B3B-4989-8613-6DBC8D1D4128}"/>
    <cellStyle name="Normal 5 2 4 2 4 5" xfId="27557" xr:uid="{078E8342-1983-4286-9643-FE88F1DA522B}"/>
    <cellStyle name="Normal 5 2 4 2 5" xfId="1422" xr:uid="{0891167A-E930-4030-A2CA-D60FC5BDA62C}"/>
    <cellStyle name="Normal 5 2 4 2 5 2" xfId="4576" xr:uid="{A34705C0-6904-4E54-8EE0-5BB59775850F}"/>
    <cellStyle name="Normal 5 2 4 2 5 2 2" xfId="10869" xr:uid="{26B67613-B162-4838-AE0F-20AD6496E171}"/>
    <cellStyle name="Normal 5 2 4 2 5 2 2 2" xfId="23551" xr:uid="{507ECAA9-9244-450E-A6FF-BE9C39EFC4B5}"/>
    <cellStyle name="Normal 5 2 4 2 5 2 2 2 2" xfId="49043" xr:uid="{832EDBC4-B3E2-4410-A336-8FA5F9AB848B}"/>
    <cellStyle name="Normal 5 2 4 2 5 2 2 3" xfId="36452" xr:uid="{F0DD4848-C149-4D16-9BD6-7F5FC5B5A10C}"/>
    <cellStyle name="Normal 5 2 4 2 5 2 3" xfId="17273" xr:uid="{E3A3E79E-F1CB-43BC-BFCF-5E364F11A18D}"/>
    <cellStyle name="Normal 5 2 4 2 5 2 3 2" xfId="42765" xr:uid="{6D53FA99-1147-451C-8B4B-A305C1F45367}"/>
    <cellStyle name="Normal 5 2 4 2 5 2 4" xfId="30174" xr:uid="{D2204FA5-545B-43F3-84C5-62A3D7E50BC5}"/>
    <cellStyle name="Normal 5 2 4 2 5 3" xfId="7730" xr:uid="{2C3C60C3-9456-4041-AA77-37867E225416}"/>
    <cellStyle name="Normal 5 2 4 2 5 3 2" xfId="20412" xr:uid="{77D82149-47D8-4FAC-BA7E-A4EEABCB551C}"/>
    <cellStyle name="Normal 5 2 4 2 5 3 2 2" xfId="45904" xr:uid="{23444107-3495-4A9A-8BDF-E68CDC23593F}"/>
    <cellStyle name="Normal 5 2 4 2 5 3 3" xfId="33313" xr:uid="{74F80F9C-4757-4EF6-A164-356BCFF87308}"/>
    <cellStyle name="Normal 5 2 4 2 5 4" xfId="14134" xr:uid="{DAA9ED1D-3F59-4746-BD7E-2DF9DC205544}"/>
    <cellStyle name="Normal 5 2 4 2 5 4 2" xfId="39626" xr:uid="{586B928B-3074-4483-A5D6-766169BA4A1E}"/>
    <cellStyle name="Normal 5 2 4 2 5 5" xfId="27035" xr:uid="{BAB0BF99-4538-4D39-82BB-540677495DF0}"/>
    <cellStyle name="Normal 5 2 4 2 6" xfId="2729" xr:uid="{D19061AC-F136-46C3-BC86-202444C11F98}"/>
    <cellStyle name="Normal 5 2 4 2 6 2" xfId="5883" xr:uid="{8385E7FA-262E-452D-9D14-6E7F43DB50FD}"/>
    <cellStyle name="Normal 5 2 4 2 6 2 2" xfId="12176" xr:uid="{FFDDAD33-5437-48F5-BC35-58C04076EEC8}"/>
    <cellStyle name="Normal 5 2 4 2 6 2 2 2" xfId="24858" xr:uid="{D32281A3-B27E-4A07-814B-F019700B2F7A}"/>
    <cellStyle name="Normal 5 2 4 2 6 2 2 2 2" xfId="50350" xr:uid="{239FE190-2C31-4AFC-BE7B-E07AC1FB6591}"/>
    <cellStyle name="Normal 5 2 4 2 6 2 2 3" xfId="37759" xr:uid="{A84F831B-E954-406F-B9A5-3B7C250CB172}"/>
    <cellStyle name="Normal 5 2 4 2 6 2 3" xfId="18580" xr:uid="{1F94405E-4567-44B7-B7D4-F317E50B096D}"/>
    <cellStyle name="Normal 5 2 4 2 6 2 3 2" xfId="44072" xr:uid="{01363798-1FE7-4CAE-A0E8-37CB683709C1}"/>
    <cellStyle name="Normal 5 2 4 2 6 2 4" xfId="31481" xr:uid="{C96E2D71-2F5B-46AA-91B1-377CC901394A}"/>
    <cellStyle name="Normal 5 2 4 2 6 3" xfId="9037" xr:uid="{E82600E3-E81F-413D-BFEB-1909CFBA76FB}"/>
    <cellStyle name="Normal 5 2 4 2 6 3 2" xfId="21719" xr:uid="{AE04F16C-5532-48F5-A69A-1335AFC0CF3F}"/>
    <cellStyle name="Normal 5 2 4 2 6 3 2 2" xfId="47211" xr:uid="{54C34752-8217-4423-ACB2-0171FF3784B1}"/>
    <cellStyle name="Normal 5 2 4 2 6 3 3" xfId="34620" xr:uid="{93424748-5CB1-4836-AC50-1C831DE7D678}"/>
    <cellStyle name="Normal 5 2 4 2 6 4" xfId="15441" xr:uid="{D715AB34-2D08-474B-8D89-E433785C5806}"/>
    <cellStyle name="Normal 5 2 4 2 6 4 2" xfId="40933" xr:uid="{F5DE3713-4B34-4DA4-8294-5D51656A6D22}"/>
    <cellStyle name="Normal 5 2 4 2 6 5" xfId="28342" xr:uid="{46109460-D008-4B59-A9D7-F50125A5561F}"/>
    <cellStyle name="Normal 5 2 4 2 7" xfId="3252" xr:uid="{1B95FEAD-2E0E-4CAB-9303-4E3CC2C09AD1}"/>
    <cellStyle name="Normal 5 2 4 2 7 2" xfId="6406" xr:uid="{5D6D3549-729C-469D-8696-770B8B608262}"/>
    <cellStyle name="Normal 5 2 4 2 7 2 2" xfId="12699" xr:uid="{C755300A-3042-48D9-8FDA-553FBB377F24}"/>
    <cellStyle name="Normal 5 2 4 2 7 2 2 2" xfId="25381" xr:uid="{5FC03C90-846C-4B66-BA53-03226E5D02FF}"/>
    <cellStyle name="Normal 5 2 4 2 7 2 2 2 2" xfId="50873" xr:uid="{52FD1A1F-9558-4267-89F6-0CD88515B470}"/>
    <cellStyle name="Normal 5 2 4 2 7 2 2 3" xfId="38282" xr:uid="{4A98E93B-BEEE-49F3-B8AF-1B30A0A5F8E3}"/>
    <cellStyle name="Normal 5 2 4 2 7 2 3" xfId="19103" xr:uid="{896A10AB-106F-4FDA-9D39-2637A27D805A}"/>
    <cellStyle name="Normal 5 2 4 2 7 2 3 2" xfId="44595" xr:uid="{F6EFE262-754E-4CEA-BCE3-162CF2686CB4}"/>
    <cellStyle name="Normal 5 2 4 2 7 2 4" xfId="32004" xr:uid="{5DB49B67-97DE-4E0B-8BEF-AC00333B698A}"/>
    <cellStyle name="Normal 5 2 4 2 7 3" xfId="9560" xr:uid="{7CB11733-3B47-4B54-B2A3-6C2DBC663746}"/>
    <cellStyle name="Normal 5 2 4 2 7 3 2" xfId="22242" xr:uid="{E34A1295-E19C-4A6D-A5AF-BE2FE66E104D}"/>
    <cellStyle name="Normal 5 2 4 2 7 3 2 2" xfId="47734" xr:uid="{B4EE714E-D5CB-4121-8EA5-E41222BAF3E9}"/>
    <cellStyle name="Normal 5 2 4 2 7 3 3" xfId="35143" xr:uid="{7713C8B6-B8FE-44FF-8F34-83FEAE68D384}"/>
    <cellStyle name="Normal 5 2 4 2 7 4" xfId="15964" xr:uid="{C00C20E2-BFA6-4BA6-A8FD-7E19E2B58CDC}"/>
    <cellStyle name="Normal 5 2 4 2 7 4 2" xfId="41456" xr:uid="{FFE5C0C9-09B5-4C07-A103-DE81E2861F56}"/>
    <cellStyle name="Normal 5 2 4 2 7 5" xfId="28865" xr:uid="{966C53AC-B711-4A2F-ADCA-5EF1B44F4532}"/>
    <cellStyle name="Normal 5 2 4 2 8" xfId="3791" xr:uid="{02B935FA-8869-4CDA-8360-A31D71B26A14}"/>
    <cellStyle name="Normal 5 2 4 2 8 2" xfId="10084" xr:uid="{F9EA0EB8-6A82-44A9-A889-CA9CB5AED807}"/>
    <cellStyle name="Normal 5 2 4 2 8 2 2" xfId="22766" xr:uid="{2C3C3127-3C79-435F-9101-1923887E19CC}"/>
    <cellStyle name="Normal 5 2 4 2 8 2 2 2" xfId="48258" xr:uid="{D10ADC25-6682-4DBE-AA83-20C66882E771}"/>
    <cellStyle name="Normal 5 2 4 2 8 2 3" xfId="35667" xr:uid="{AAEFD5A2-489B-4B14-BAB3-58B0B3BED0B4}"/>
    <cellStyle name="Normal 5 2 4 2 8 3" xfId="16488" xr:uid="{EE7CEED2-CEA2-4879-AEF9-5420C4842171}"/>
    <cellStyle name="Normal 5 2 4 2 8 3 2" xfId="41980" xr:uid="{5707B299-EE06-4580-B992-96BB3EDDA91A}"/>
    <cellStyle name="Normal 5 2 4 2 8 4" xfId="29389" xr:uid="{0C72382C-04B1-47BD-82A7-38552A7A4EE5}"/>
    <cellStyle name="Normal 5 2 4 2 9" xfId="6945" xr:uid="{1C65F2A4-0B5E-4AC3-9F1E-B7AF34CA2CA8}"/>
    <cellStyle name="Normal 5 2 4 2 9 2" xfId="19627" xr:uid="{C0BFE00F-481A-431B-A208-D95F6B56B54F}"/>
    <cellStyle name="Normal 5 2 4 2 9 2 2" xfId="45119" xr:uid="{0EE5C81E-37FC-4B69-B6A0-EFCE710A4A62}"/>
    <cellStyle name="Normal 5 2 4 2 9 3" xfId="32528" xr:uid="{2AB3339D-1C11-426B-A216-3D2C8549F76C}"/>
    <cellStyle name="Normal 5 2 4 3" xfId="1000" xr:uid="{3CFBCF36-5954-417B-9422-165497413DBE}"/>
    <cellStyle name="Normal 5 2 4 3 2" xfId="2307" xr:uid="{8D84BD4E-3AA7-46DF-8600-172D7D7071A6}"/>
    <cellStyle name="Normal 5 2 4 3 2 2" xfId="5461" xr:uid="{36AC1AC3-D66F-41FC-ADB9-3E216EF59913}"/>
    <cellStyle name="Normal 5 2 4 3 2 2 2" xfId="11754" xr:uid="{12A7E193-CF61-408C-A155-A668647BA72A}"/>
    <cellStyle name="Normal 5 2 4 3 2 2 2 2" xfId="24436" xr:uid="{1FDF61B0-AEFF-451A-B17D-40787CCF91C1}"/>
    <cellStyle name="Normal 5 2 4 3 2 2 2 2 2" xfId="49928" xr:uid="{1685191C-22E7-4468-844F-C43BB7BDDB50}"/>
    <cellStyle name="Normal 5 2 4 3 2 2 2 3" xfId="37337" xr:uid="{3A07E9EE-410F-4267-A163-136E23445DD9}"/>
    <cellStyle name="Normal 5 2 4 3 2 2 3" xfId="18158" xr:uid="{7B246C28-34F0-43F7-9105-2574890FF820}"/>
    <cellStyle name="Normal 5 2 4 3 2 2 3 2" xfId="43650" xr:uid="{B5BBC0F6-7171-48B1-BEC1-4C5036FDB053}"/>
    <cellStyle name="Normal 5 2 4 3 2 2 4" xfId="31059" xr:uid="{FA5B0961-4C2F-414E-B310-894743014501}"/>
    <cellStyle name="Normal 5 2 4 3 2 3" xfId="8615" xr:uid="{789A9BD8-A3C3-497D-8992-BBB551D70993}"/>
    <cellStyle name="Normal 5 2 4 3 2 3 2" xfId="21297" xr:uid="{2893ADA3-D9CB-4E66-8439-F2B66A987573}"/>
    <cellStyle name="Normal 5 2 4 3 2 3 2 2" xfId="46789" xr:uid="{5AB2B751-6007-49D8-9C4F-489B0D27AEFC}"/>
    <cellStyle name="Normal 5 2 4 3 2 3 3" xfId="34198" xr:uid="{E1CABFD2-9884-4FF6-AABC-FEDAF855E9FB}"/>
    <cellStyle name="Normal 5 2 4 3 2 4" xfId="15019" xr:uid="{FB15CF6A-C4B1-41DE-BF31-7BC4CAD7BA96}"/>
    <cellStyle name="Normal 5 2 4 3 2 4 2" xfId="40511" xr:uid="{F13B6E90-68B1-49CE-8B97-3EAB30DA84DE}"/>
    <cellStyle name="Normal 5 2 4 3 2 5" xfId="27920" xr:uid="{17A57BF7-53ED-455D-A13A-5281AB8807FB}"/>
    <cellStyle name="Normal 5 2 4 3 3" xfId="1524" xr:uid="{424717D2-7AEC-47F5-8E26-9CA1026A27F9}"/>
    <cellStyle name="Normal 5 2 4 3 3 2" xfId="4678" xr:uid="{9F2E4523-A6B6-4C48-8660-77CB50EFB6D8}"/>
    <cellStyle name="Normal 5 2 4 3 3 2 2" xfId="10971" xr:uid="{F14C4287-131B-48B0-BC6E-457D17FA42D4}"/>
    <cellStyle name="Normal 5 2 4 3 3 2 2 2" xfId="23653" xr:uid="{4D553387-F468-4633-8A83-55DC05F317E6}"/>
    <cellStyle name="Normal 5 2 4 3 3 2 2 2 2" xfId="49145" xr:uid="{65BB4296-3C71-4D99-B842-64BC7F05199F}"/>
    <cellStyle name="Normal 5 2 4 3 3 2 2 3" xfId="36554" xr:uid="{5114F5A9-E149-4112-90E6-75DDF514514D}"/>
    <cellStyle name="Normal 5 2 4 3 3 2 3" xfId="17375" xr:uid="{00D52F1F-2F05-4A12-8C9B-DD40EEC8F058}"/>
    <cellStyle name="Normal 5 2 4 3 3 2 3 2" xfId="42867" xr:uid="{DC5B34C1-976C-4942-B444-8AE3F32F578D}"/>
    <cellStyle name="Normal 5 2 4 3 3 2 4" xfId="30276" xr:uid="{1F5F8248-4D3D-4147-A549-3C002684ED43}"/>
    <cellStyle name="Normal 5 2 4 3 3 3" xfId="7832" xr:uid="{C01700A4-55B5-4679-8BB0-B298103CD00B}"/>
    <cellStyle name="Normal 5 2 4 3 3 3 2" xfId="20514" xr:uid="{B2758488-A2AC-47DC-96C7-540BD8D5743B}"/>
    <cellStyle name="Normal 5 2 4 3 3 3 2 2" xfId="46006" xr:uid="{733ABB8D-2DF2-4B12-AEFB-C59EB71A0B0D}"/>
    <cellStyle name="Normal 5 2 4 3 3 3 3" xfId="33415" xr:uid="{78F79C46-90E3-4FDA-B7F4-73EE4ABA9050}"/>
    <cellStyle name="Normal 5 2 4 3 3 4" xfId="14236" xr:uid="{7E7245DA-0DBC-4485-ACDB-0DADCDA65047}"/>
    <cellStyle name="Normal 5 2 4 3 3 4 2" xfId="39728" xr:uid="{B9CE5520-4C25-40F0-9BA4-5CE4A6580160}"/>
    <cellStyle name="Normal 5 2 4 3 3 5" xfId="27137" xr:uid="{16F26030-B284-493C-9FB1-CB01EF761F0F}"/>
    <cellStyle name="Normal 5 2 4 3 4" xfId="2831" xr:uid="{DDCD7347-12B5-457C-B510-A818139FEF06}"/>
    <cellStyle name="Normal 5 2 4 3 4 2" xfId="5985" xr:uid="{9AD00082-11ED-4D32-83E4-83763BF49912}"/>
    <cellStyle name="Normal 5 2 4 3 4 2 2" xfId="12278" xr:uid="{86BC37BB-3565-430D-A55D-78CD5A4C9D9A}"/>
    <cellStyle name="Normal 5 2 4 3 4 2 2 2" xfId="24960" xr:uid="{F586529F-8810-4070-983B-819D0800F83E}"/>
    <cellStyle name="Normal 5 2 4 3 4 2 2 2 2" xfId="50452" xr:uid="{CA8F1960-DED5-49E5-9FCA-01DCDC008488}"/>
    <cellStyle name="Normal 5 2 4 3 4 2 2 3" xfId="37861" xr:uid="{263E8950-3B9E-49C4-ADA7-BBD0B801A04E}"/>
    <cellStyle name="Normal 5 2 4 3 4 2 3" xfId="18682" xr:uid="{71418C03-C642-4B74-9900-0DCA2131E816}"/>
    <cellStyle name="Normal 5 2 4 3 4 2 3 2" xfId="44174" xr:uid="{56041E18-08E1-45B7-8B05-0CA499B8807A}"/>
    <cellStyle name="Normal 5 2 4 3 4 2 4" xfId="31583" xr:uid="{E60A5B5A-FC86-4953-AD0C-03211D2C403D}"/>
    <cellStyle name="Normal 5 2 4 3 4 3" xfId="9139" xr:uid="{DB9D90B6-126D-43DB-BA6A-46361F721E71}"/>
    <cellStyle name="Normal 5 2 4 3 4 3 2" xfId="21821" xr:uid="{AFA44603-C52A-401A-B663-BEA3B67FB215}"/>
    <cellStyle name="Normal 5 2 4 3 4 3 2 2" xfId="47313" xr:uid="{BE0F6164-60ED-485A-86F5-8D3C78CCBACD}"/>
    <cellStyle name="Normal 5 2 4 3 4 3 3" xfId="34722" xr:uid="{197B2934-692E-42BD-8C8D-C5C20768CB72}"/>
    <cellStyle name="Normal 5 2 4 3 4 4" xfId="15543" xr:uid="{733EDBEB-AFF0-4112-80A6-9660007948CB}"/>
    <cellStyle name="Normal 5 2 4 3 4 4 2" xfId="41035" xr:uid="{58C3D61D-2B60-46BD-BE60-A03D40DC553A}"/>
    <cellStyle name="Normal 5 2 4 3 4 5" xfId="28444" xr:uid="{CAAC5919-6D3E-4DCB-8591-602367BEF986}"/>
    <cellStyle name="Normal 5 2 4 3 5" xfId="3354" xr:uid="{FF4E7EA2-4AED-4F05-97CC-66DC6223D209}"/>
    <cellStyle name="Normal 5 2 4 3 5 2" xfId="6508" xr:uid="{CE7A6057-1784-40B9-964D-EC9E597A9BEF}"/>
    <cellStyle name="Normal 5 2 4 3 5 2 2" xfId="12801" xr:uid="{CAD1D1A2-7684-4E5B-852D-50833805469E}"/>
    <cellStyle name="Normal 5 2 4 3 5 2 2 2" xfId="25483" xr:uid="{140239C4-462B-421E-AEB8-4C05EFE2C39E}"/>
    <cellStyle name="Normal 5 2 4 3 5 2 2 2 2" xfId="50975" xr:uid="{48CE4A42-B6A9-4147-B362-8F4D232FF859}"/>
    <cellStyle name="Normal 5 2 4 3 5 2 2 3" xfId="38384" xr:uid="{262201FD-C68D-4A98-8667-8BFB746597A6}"/>
    <cellStyle name="Normal 5 2 4 3 5 2 3" xfId="19205" xr:uid="{7DCE8025-2428-441A-845C-BE576E787409}"/>
    <cellStyle name="Normal 5 2 4 3 5 2 3 2" xfId="44697" xr:uid="{A7E2DD06-927D-4C05-81D0-23C973924D5B}"/>
    <cellStyle name="Normal 5 2 4 3 5 2 4" xfId="32106" xr:uid="{56DBF7CB-32E3-4782-B3B3-254D58AEE90B}"/>
    <cellStyle name="Normal 5 2 4 3 5 3" xfId="9662" xr:uid="{41D407F9-A14D-4433-83DE-5AF143039CDD}"/>
    <cellStyle name="Normal 5 2 4 3 5 3 2" xfId="22344" xr:uid="{9C7870D4-FBBC-4C44-A44D-5E1DB40C4EFF}"/>
    <cellStyle name="Normal 5 2 4 3 5 3 2 2" xfId="47836" xr:uid="{C3F02711-2C61-4E07-9FF1-B3862288D008}"/>
    <cellStyle name="Normal 5 2 4 3 5 3 3" xfId="35245" xr:uid="{979B105D-C6C9-484F-9E35-592EDE3A183C}"/>
    <cellStyle name="Normal 5 2 4 3 5 4" xfId="16066" xr:uid="{17B3AC19-3B21-4193-A0EE-8ADA455271B5}"/>
    <cellStyle name="Normal 5 2 4 3 5 4 2" xfId="41558" xr:uid="{4F655983-B50F-4CA1-BEE3-963F316AC4D5}"/>
    <cellStyle name="Normal 5 2 4 3 5 5" xfId="28967" xr:uid="{1BCAC947-65EC-4F3F-A9A4-13B12EDBADD1}"/>
    <cellStyle name="Normal 5 2 4 3 6" xfId="4154" xr:uid="{BA00B606-F9C2-46BC-B926-BA6B724E6856}"/>
    <cellStyle name="Normal 5 2 4 3 6 2" xfId="10447" xr:uid="{40CF027B-7614-46F8-B474-D6167EDE98C5}"/>
    <cellStyle name="Normal 5 2 4 3 6 2 2" xfId="23129" xr:uid="{2AE52C13-D9DA-4D12-9915-8A84D2F004BA}"/>
    <cellStyle name="Normal 5 2 4 3 6 2 2 2" xfId="48621" xr:uid="{2448ABCB-A5B2-4DB7-948F-E213FA898DC0}"/>
    <cellStyle name="Normal 5 2 4 3 6 2 3" xfId="36030" xr:uid="{1854FC27-A5C3-4B79-968F-C04220448C63}"/>
    <cellStyle name="Normal 5 2 4 3 6 3" xfId="16851" xr:uid="{C71C972F-AEA4-4A87-85FB-123BAB8D59E1}"/>
    <cellStyle name="Normal 5 2 4 3 6 3 2" xfId="42343" xr:uid="{0B14FC2A-AECE-424A-AD82-4040BF9F4BD3}"/>
    <cellStyle name="Normal 5 2 4 3 6 4" xfId="29752" xr:uid="{A35B29AC-CBAB-44D7-877D-F5A737B2F72E}"/>
    <cellStyle name="Normal 5 2 4 3 7" xfId="7308" xr:uid="{A7BADC81-F75F-402D-9E62-09A553AC247C}"/>
    <cellStyle name="Normal 5 2 4 3 7 2" xfId="19990" xr:uid="{E6FFD32A-1E9B-4615-B5E0-35D843C0C8FE}"/>
    <cellStyle name="Normal 5 2 4 3 7 2 2" xfId="45482" xr:uid="{5D9FB598-D7D2-4FDA-B220-CB0E21BCE90C}"/>
    <cellStyle name="Normal 5 2 4 3 7 3" xfId="32891" xr:uid="{2BC880A5-4748-432C-AFD5-2D5CCB8BFCC7}"/>
    <cellStyle name="Normal 5 2 4 3 8" xfId="13712" xr:uid="{923EFC26-7859-49D6-A9A6-388DED777526}"/>
    <cellStyle name="Normal 5 2 4 3 8 2" xfId="39204" xr:uid="{FD862F6A-E930-4DB6-AB61-0629CD845B4B}"/>
    <cellStyle name="Normal 5 2 4 3 9" xfId="26613" xr:uid="{2F10C470-2082-4904-8D1F-24EA0476BA2E}"/>
    <cellStyle name="Normal 5 2 4 4" xfId="740" xr:uid="{8D090A83-3657-4AED-9A0B-4D801BBE5090}"/>
    <cellStyle name="Normal 5 2 4 4 2" xfId="2047" xr:uid="{A0FC4ED9-D1DF-482F-B3E4-A29459F50B05}"/>
    <cellStyle name="Normal 5 2 4 4 2 2" xfId="5201" xr:uid="{7561797B-2E9B-41E9-AC3D-8D4396B13518}"/>
    <cellStyle name="Normal 5 2 4 4 2 2 2" xfId="11494" xr:uid="{3D6DBE34-5C9B-4A63-86DB-9E1E4A663D7C}"/>
    <cellStyle name="Normal 5 2 4 4 2 2 2 2" xfId="24176" xr:uid="{C54FC3A0-3EF4-44E3-B234-32308DF25D18}"/>
    <cellStyle name="Normal 5 2 4 4 2 2 2 2 2" xfId="49668" xr:uid="{806AEF15-5BCA-4AA2-8B8E-4808C37F95ED}"/>
    <cellStyle name="Normal 5 2 4 4 2 2 2 3" xfId="37077" xr:uid="{1D93E6C7-4A78-46D8-B066-F8D8C3A7BF6D}"/>
    <cellStyle name="Normal 5 2 4 4 2 2 3" xfId="17898" xr:uid="{86991931-2570-4426-9B83-1F8220D6ABCB}"/>
    <cellStyle name="Normal 5 2 4 4 2 2 3 2" xfId="43390" xr:uid="{73261B04-53DE-41D3-B36E-FE775D18EF15}"/>
    <cellStyle name="Normal 5 2 4 4 2 2 4" xfId="30799" xr:uid="{9D4B7E2E-0AD8-4D41-86DA-8C8D1C7F0D3E}"/>
    <cellStyle name="Normal 5 2 4 4 2 3" xfId="8355" xr:uid="{8C4AB2C4-E407-49F5-AB01-25422A2CCDB4}"/>
    <cellStyle name="Normal 5 2 4 4 2 3 2" xfId="21037" xr:uid="{660C2177-FDFC-4B3B-8394-D6E4DB523AF1}"/>
    <cellStyle name="Normal 5 2 4 4 2 3 2 2" xfId="46529" xr:uid="{D6D3AAF9-A1B1-4DA5-8929-009E19D33803}"/>
    <cellStyle name="Normal 5 2 4 4 2 3 3" xfId="33938" xr:uid="{8EF612B1-32DB-4FCC-A601-3A16C0D15DE9}"/>
    <cellStyle name="Normal 5 2 4 4 2 4" xfId="14759" xr:uid="{8E35EF00-43CE-40DB-8650-814A0FF66D99}"/>
    <cellStyle name="Normal 5 2 4 4 2 4 2" xfId="40251" xr:uid="{43FE77EF-6C00-4634-9020-7A835867A071}"/>
    <cellStyle name="Normal 5 2 4 4 2 5" xfId="27660" xr:uid="{D732A230-C43C-4AF2-ACBE-2923B6C78A49}"/>
    <cellStyle name="Normal 5 2 4 4 3" xfId="3894" xr:uid="{D029B9F0-BE5E-4949-A30C-CCA01D004CFC}"/>
    <cellStyle name="Normal 5 2 4 4 3 2" xfId="10187" xr:uid="{80F4C211-BDC9-4829-B38B-F1CE7F647DB8}"/>
    <cellStyle name="Normal 5 2 4 4 3 2 2" xfId="22869" xr:uid="{15A00E0F-4690-41D7-803B-46E6DDA7A7DD}"/>
    <cellStyle name="Normal 5 2 4 4 3 2 2 2" xfId="48361" xr:uid="{E0D2641B-67C2-465A-9019-B9B6B292EC69}"/>
    <cellStyle name="Normal 5 2 4 4 3 2 3" xfId="35770" xr:uid="{F2F7F686-5DB8-4226-8204-8C6BA405BEB4}"/>
    <cellStyle name="Normal 5 2 4 4 3 3" xfId="16591" xr:uid="{E3015167-5C45-4D98-A54C-E0534E0BF3F9}"/>
    <cellStyle name="Normal 5 2 4 4 3 3 2" xfId="42083" xr:uid="{D8211E68-3E71-4775-87EA-D7AA92BE85F3}"/>
    <cellStyle name="Normal 5 2 4 4 3 4" xfId="29492" xr:uid="{F82804E4-6E01-424A-B0E6-83850489AB38}"/>
    <cellStyle name="Normal 5 2 4 4 4" xfId="7048" xr:uid="{8655D5D2-CEE9-4CDB-80F7-590CFF4CE0B1}"/>
    <cellStyle name="Normal 5 2 4 4 4 2" xfId="19730" xr:uid="{08A009EF-955D-411E-992C-46B988977448}"/>
    <cellStyle name="Normal 5 2 4 4 4 2 2" xfId="45222" xr:uid="{53B47163-1EC0-4DB8-9F88-AAB0CE0510FE}"/>
    <cellStyle name="Normal 5 2 4 4 4 3" xfId="32631" xr:uid="{3908F799-5744-4542-BF3C-F6C2A7056D8F}"/>
    <cellStyle name="Normal 5 2 4 4 5" xfId="13452" xr:uid="{622C2540-C0C0-45E5-93E0-AABCFCED7C24}"/>
    <cellStyle name="Normal 5 2 4 4 5 2" xfId="38944" xr:uid="{5D55CC95-79A3-44AF-AC32-D5D78C0BA2EE}"/>
    <cellStyle name="Normal 5 2 4 4 6" xfId="26353" xr:uid="{E08CA3F4-6D20-4190-ABA7-0D5CF7F2068A}"/>
    <cellStyle name="Normal 5 2 4 5" xfId="1785" xr:uid="{5223C573-90AB-4CD1-9F86-865A0B3C4BEE}"/>
    <cellStyle name="Normal 5 2 4 5 2" xfId="4939" xr:uid="{C34E2C3E-DA9E-4C34-93F0-CF3FB41545D6}"/>
    <cellStyle name="Normal 5 2 4 5 2 2" xfId="11232" xr:uid="{5760F504-93D0-46A0-A1A5-5F03D175BB8E}"/>
    <cellStyle name="Normal 5 2 4 5 2 2 2" xfId="23914" xr:uid="{A3FE413A-4D10-4E42-A4BA-FA5E23C8CE14}"/>
    <cellStyle name="Normal 5 2 4 5 2 2 2 2" xfId="49406" xr:uid="{6C4C1471-35A5-4537-B9BD-7D9E01C8D316}"/>
    <cellStyle name="Normal 5 2 4 5 2 2 3" xfId="36815" xr:uid="{65066C3C-15DE-416A-8847-CC9B66DA313C}"/>
    <cellStyle name="Normal 5 2 4 5 2 3" xfId="17636" xr:uid="{D160633A-44B0-4A37-BFBE-A3FB379C3E7B}"/>
    <cellStyle name="Normal 5 2 4 5 2 3 2" xfId="43128" xr:uid="{EDD17ADA-BF77-4F5F-ABEA-C2D9364EF569}"/>
    <cellStyle name="Normal 5 2 4 5 2 4" xfId="30537" xr:uid="{E12EF972-358B-4815-BC74-79D279FAF8E2}"/>
    <cellStyle name="Normal 5 2 4 5 3" xfId="8093" xr:uid="{9DC2EF68-0DA0-4696-9D7A-431C83BF8406}"/>
    <cellStyle name="Normal 5 2 4 5 3 2" xfId="20775" xr:uid="{F56F092E-C226-49EE-954C-F1760EF2719B}"/>
    <cellStyle name="Normal 5 2 4 5 3 2 2" xfId="46267" xr:uid="{469F4310-03E0-4728-BA8F-90A7A9008708}"/>
    <cellStyle name="Normal 5 2 4 5 3 3" xfId="33676" xr:uid="{3EBC07C1-67E3-42B2-B5FC-5ACA848F1BEF}"/>
    <cellStyle name="Normal 5 2 4 5 4" xfId="14497" xr:uid="{6E4B0D86-0889-473C-8E1A-B955969E10E0}"/>
    <cellStyle name="Normal 5 2 4 5 4 2" xfId="39989" xr:uid="{E1FF24DF-3774-4DF6-90E9-4FC248985C67}"/>
    <cellStyle name="Normal 5 2 4 5 5" xfId="27398" xr:uid="{5B6121CA-AB85-496F-8540-EF02AFA72082}"/>
    <cellStyle name="Normal 5 2 4 6" xfId="1263" xr:uid="{900CDA28-759A-4AE0-9BA0-B01C89106C7C}"/>
    <cellStyle name="Normal 5 2 4 6 2" xfId="4417" xr:uid="{B8ADE190-92F7-4630-A5B8-EEBB8CCEE3A8}"/>
    <cellStyle name="Normal 5 2 4 6 2 2" xfId="10710" xr:uid="{9E4FBD89-AFEE-4F1A-92B8-714913F93314}"/>
    <cellStyle name="Normal 5 2 4 6 2 2 2" xfId="23392" xr:uid="{FD345921-005D-4765-8FDC-85A65FCD46C6}"/>
    <cellStyle name="Normal 5 2 4 6 2 2 2 2" xfId="48884" xr:uid="{BEF11EB4-55F6-46A7-A1F3-22785AD69DEB}"/>
    <cellStyle name="Normal 5 2 4 6 2 2 3" xfId="36293" xr:uid="{281A2619-48FF-4DC1-B31E-D9FBF85993C8}"/>
    <cellStyle name="Normal 5 2 4 6 2 3" xfId="17114" xr:uid="{6C4C7C7C-5BC9-48B0-9767-7481ABD60D8D}"/>
    <cellStyle name="Normal 5 2 4 6 2 3 2" xfId="42606" xr:uid="{CE88E992-1B86-461C-8CCB-0AC00BCA4DEC}"/>
    <cellStyle name="Normal 5 2 4 6 2 4" xfId="30015" xr:uid="{920BC90C-F952-416C-B38E-C44241484FFE}"/>
    <cellStyle name="Normal 5 2 4 6 3" xfId="7571" xr:uid="{DB2214FC-DB46-4DE9-8629-D3B6CA2AC423}"/>
    <cellStyle name="Normal 5 2 4 6 3 2" xfId="20253" xr:uid="{D4774725-B2A0-4580-900A-DEB7CC093382}"/>
    <cellStyle name="Normal 5 2 4 6 3 2 2" xfId="45745" xr:uid="{A3677D73-53D3-4E75-9783-4F738AC03897}"/>
    <cellStyle name="Normal 5 2 4 6 3 3" xfId="33154" xr:uid="{5D003736-38FE-4425-A279-093197065A56}"/>
    <cellStyle name="Normal 5 2 4 6 4" xfId="13975" xr:uid="{C491B39B-7E40-42D2-B051-17B4F6F84343}"/>
    <cellStyle name="Normal 5 2 4 6 4 2" xfId="39467" xr:uid="{D65AD820-90A0-4D5E-A34E-549C47D56AA2}"/>
    <cellStyle name="Normal 5 2 4 6 5" xfId="26876" xr:uid="{2F550FD7-5B3D-486F-AD57-54ACA02D6257}"/>
    <cellStyle name="Normal 5 2 4 7" xfId="2570" xr:uid="{F44F1CFB-C45D-4387-8480-B112970A1419}"/>
    <cellStyle name="Normal 5 2 4 7 2" xfId="5724" xr:uid="{04697064-DBF0-4E6F-88CD-38E155DD8E4A}"/>
    <cellStyle name="Normal 5 2 4 7 2 2" xfId="12017" xr:uid="{DE475E54-874A-4E51-B853-F25D70035897}"/>
    <cellStyle name="Normal 5 2 4 7 2 2 2" xfId="24699" xr:uid="{01C72AA3-6A15-434F-9EC9-1182E2D888EC}"/>
    <cellStyle name="Normal 5 2 4 7 2 2 2 2" xfId="50191" xr:uid="{5DEA74D8-9D15-4755-AC8E-3AE8892456ED}"/>
    <cellStyle name="Normal 5 2 4 7 2 2 3" xfId="37600" xr:uid="{DA45D53F-C8D3-4487-B312-8B931D673A6A}"/>
    <cellStyle name="Normal 5 2 4 7 2 3" xfId="18421" xr:uid="{146351A0-85CB-4415-A0BC-86E74E32F050}"/>
    <cellStyle name="Normal 5 2 4 7 2 3 2" xfId="43913" xr:uid="{A69900D7-952D-45F1-80A6-66E12099B125}"/>
    <cellStyle name="Normal 5 2 4 7 2 4" xfId="31322" xr:uid="{39819397-8223-4410-95AA-1A4A686F6203}"/>
    <cellStyle name="Normal 5 2 4 7 3" xfId="8878" xr:uid="{B6EC5012-89DC-4057-86E3-11BE9D59046E}"/>
    <cellStyle name="Normal 5 2 4 7 3 2" xfId="21560" xr:uid="{483F09C8-2F94-4E21-BBFB-06992370FDDC}"/>
    <cellStyle name="Normal 5 2 4 7 3 2 2" xfId="47052" xr:uid="{24D2303E-3E4A-4827-B519-AB8DE6076957}"/>
    <cellStyle name="Normal 5 2 4 7 3 3" xfId="34461" xr:uid="{3CEC3134-5542-4219-B15D-565FB0F2C49E}"/>
    <cellStyle name="Normal 5 2 4 7 4" xfId="15282" xr:uid="{57BEF5DA-1EB5-457F-AEAB-683A748A05F6}"/>
    <cellStyle name="Normal 5 2 4 7 4 2" xfId="40774" xr:uid="{4538BE07-1791-4A92-B8F6-1D5F9E4A5DC1}"/>
    <cellStyle name="Normal 5 2 4 7 5" xfId="28183" xr:uid="{88E03E45-5995-4C42-BFF5-94B0690A44F2}"/>
    <cellStyle name="Normal 5 2 4 8" xfId="3093" xr:uid="{4F8F6A2E-1662-4390-89CA-542D8D9CA825}"/>
    <cellStyle name="Normal 5 2 4 8 2" xfId="6247" xr:uid="{71C09171-8691-461A-B9B4-C127FD3AE161}"/>
    <cellStyle name="Normal 5 2 4 8 2 2" xfId="12540" xr:uid="{26D4A143-9807-4DC9-BBFB-D82AB0FF7170}"/>
    <cellStyle name="Normal 5 2 4 8 2 2 2" xfId="25222" xr:uid="{19C5E6F4-2D24-4ACB-97B6-D33F5B783D19}"/>
    <cellStyle name="Normal 5 2 4 8 2 2 2 2" xfId="50714" xr:uid="{92F7DE7F-7F58-444D-9B4A-7E794369FF6B}"/>
    <cellStyle name="Normal 5 2 4 8 2 2 3" xfId="38123" xr:uid="{C11E6081-6014-44CB-9703-506351987441}"/>
    <cellStyle name="Normal 5 2 4 8 2 3" xfId="18944" xr:uid="{7ECC8CA6-BC00-4794-9C1F-43411DA88039}"/>
    <cellStyle name="Normal 5 2 4 8 2 3 2" xfId="44436" xr:uid="{86A4AB36-4652-459D-80B9-25A7B588F7F6}"/>
    <cellStyle name="Normal 5 2 4 8 2 4" xfId="31845" xr:uid="{7510FCA1-83F1-4C09-976D-8485800CAB6C}"/>
    <cellStyle name="Normal 5 2 4 8 3" xfId="9401" xr:uid="{7DC136AA-D093-406B-A245-796E4C5C0938}"/>
    <cellStyle name="Normal 5 2 4 8 3 2" xfId="22083" xr:uid="{1FB51B22-D511-47EA-8AD2-3740D8B77574}"/>
    <cellStyle name="Normal 5 2 4 8 3 2 2" xfId="47575" xr:uid="{E320E8B5-42F1-4AD4-8BF2-01B3D12A2CC6}"/>
    <cellStyle name="Normal 5 2 4 8 3 3" xfId="34984" xr:uid="{41948CDD-560C-4DA2-AACD-E10A4BC82B0D}"/>
    <cellStyle name="Normal 5 2 4 8 4" xfId="15805" xr:uid="{A69866DF-40D7-4B0F-A96B-E7721AE0D5CF}"/>
    <cellStyle name="Normal 5 2 4 8 4 2" xfId="41297" xr:uid="{98D2D87B-10A6-4019-B772-A3AD7CD317AD}"/>
    <cellStyle name="Normal 5 2 4 8 5" xfId="28706" xr:uid="{B6926294-852B-45CC-BFEE-00AE16CD898D}"/>
    <cellStyle name="Normal 5 2 4 9" xfId="3632" xr:uid="{8D0FE2FE-5C1B-420D-9D8E-5F191B65E4B2}"/>
    <cellStyle name="Normal 5 2 4 9 2" xfId="9925" xr:uid="{1D5A43E6-360E-40F2-AA71-679D3B0F1F79}"/>
    <cellStyle name="Normal 5 2 4 9 2 2" xfId="22607" xr:uid="{F3C0C6BD-B122-4A0D-9FE3-E4808D6AE8D5}"/>
    <cellStyle name="Normal 5 2 4 9 2 2 2" xfId="48099" xr:uid="{7AE42C70-295E-48B7-B307-C2FF60C478E8}"/>
    <cellStyle name="Normal 5 2 4 9 2 3" xfId="35508" xr:uid="{680A8B70-DACB-468D-B8B3-9689F0919623}"/>
    <cellStyle name="Normal 5 2 4 9 3" xfId="16329" xr:uid="{F87882A6-9872-42C2-91CE-B389CC1BA356}"/>
    <cellStyle name="Normal 5 2 4 9 3 2" xfId="41821" xr:uid="{F0EF6DD8-0D90-443D-8BD4-E08023B0DD28}"/>
    <cellStyle name="Normal 5 2 4 9 4" xfId="29230" xr:uid="{D4E0CA63-3027-4F5D-8A72-51C734AD9EB6}"/>
    <cellStyle name="Normal 5 2 5" xfId="580" xr:uid="{73AA197B-3125-45D7-A147-ED5186C13FF2}"/>
    <cellStyle name="Normal 5 2 5 10" xfId="13307" xr:uid="{CB1A8A39-169E-44B6-BD09-5FA549E52120}"/>
    <cellStyle name="Normal 5 2 5 10 2" xfId="38799" xr:uid="{E585FC54-6883-48EF-950A-825D0A793894}"/>
    <cellStyle name="Normal 5 2 5 11" xfId="26208" xr:uid="{BBD8F08B-4CAE-4F0D-B46A-19A8A6C5B845}"/>
    <cellStyle name="Normal 5 2 5 2" xfId="1117" xr:uid="{033D6D44-D9B0-4301-8C51-EC84311B977A}"/>
    <cellStyle name="Normal 5 2 5 2 2" xfId="2424" xr:uid="{926634B6-95FB-40E1-AEB8-D7DBD14981B4}"/>
    <cellStyle name="Normal 5 2 5 2 2 2" xfId="5578" xr:uid="{7EE63F66-055B-43DC-A7EF-90DAD7845758}"/>
    <cellStyle name="Normal 5 2 5 2 2 2 2" xfId="11871" xr:uid="{0CA84BE7-BEF7-4A37-90FF-DF7FD16F4D76}"/>
    <cellStyle name="Normal 5 2 5 2 2 2 2 2" xfId="24553" xr:uid="{A8F3A837-1D7F-4595-9AC9-DD1589FD35DA}"/>
    <cellStyle name="Normal 5 2 5 2 2 2 2 2 2" xfId="50045" xr:uid="{8155E69F-2B79-4183-9C9C-7EE9A1B985F7}"/>
    <cellStyle name="Normal 5 2 5 2 2 2 2 3" xfId="37454" xr:uid="{4B976A08-54B6-41A3-9029-6AD2D92C3946}"/>
    <cellStyle name="Normal 5 2 5 2 2 2 3" xfId="18275" xr:uid="{92ED9E3A-2C5F-4AB3-A333-E8DE3F54EE5B}"/>
    <cellStyle name="Normal 5 2 5 2 2 2 3 2" xfId="43767" xr:uid="{3CDFCFD6-0F4F-43D0-98F8-7D83E2436427}"/>
    <cellStyle name="Normal 5 2 5 2 2 2 4" xfId="31176" xr:uid="{C85DB5BB-98E5-4489-956A-2ADD53F96A89}"/>
    <cellStyle name="Normal 5 2 5 2 2 3" xfId="8732" xr:uid="{F5F6DB4B-10C3-4886-A889-2DB57253CEF0}"/>
    <cellStyle name="Normal 5 2 5 2 2 3 2" xfId="21414" xr:uid="{C65BC5E6-2AA6-42FD-80B1-25508BF723C8}"/>
    <cellStyle name="Normal 5 2 5 2 2 3 2 2" xfId="46906" xr:uid="{616CD92C-C08D-4BD9-8570-17C1E22E4799}"/>
    <cellStyle name="Normal 5 2 5 2 2 3 3" xfId="34315" xr:uid="{8885194C-51F4-485A-B213-F89D1338331F}"/>
    <cellStyle name="Normal 5 2 5 2 2 4" xfId="15136" xr:uid="{D86412A5-9B26-4812-8094-3770D9025266}"/>
    <cellStyle name="Normal 5 2 5 2 2 4 2" xfId="40628" xr:uid="{1907F5FC-AD85-4BC3-9941-95941376DF94}"/>
    <cellStyle name="Normal 5 2 5 2 2 5" xfId="28037" xr:uid="{3D92CB47-4385-4FA1-84B2-B9959033230F}"/>
    <cellStyle name="Normal 5 2 5 2 3" xfId="1641" xr:uid="{BD424871-1AEC-4272-A35C-93C5C57F32C8}"/>
    <cellStyle name="Normal 5 2 5 2 3 2" xfId="4795" xr:uid="{473CE6FA-33D3-4E97-976A-114D7170FFA5}"/>
    <cellStyle name="Normal 5 2 5 2 3 2 2" xfId="11088" xr:uid="{3CC67FFF-E018-4549-ADAE-418137A2A187}"/>
    <cellStyle name="Normal 5 2 5 2 3 2 2 2" xfId="23770" xr:uid="{86ADC6E6-4EFC-4B49-932A-6B8DBB9070E3}"/>
    <cellStyle name="Normal 5 2 5 2 3 2 2 2 2" xfId="49262" xr:uid="{5D85368B-7BC7-45CF-9224-3FC5C4602F89}"/>
    <cellStyle name="Normal 5 2 5 2 3 2 2 3" xfId="36671" xr:uid="{3B73DAEC-BD1D-4DE1-B145-22D9D990F10F}"/>
    <cellStyle name="Normal 5 2 5 2 3 2 3" xfId="17492" xr:uid="{68C6EF39-EA48-4F97-937D-FEE5A7685E2B}"/>
    <cellStyle name="Normal 5 2 5 2 3 2 3 2" xfId="42984" xr:uid="{255995C1-386C-4EE1-987B-588A9C45DC55}"/>
    <cellStyle name="Normal 5 2 5 2 3 2 4" xfId="30393" xr:uid="{E2E033F6-0B0A-4305-B3D9-4D722CFF6490}"/>
    <cellStyle name="Normal 5 2 5 2 3 3" xfId="7949" xr:uid="{DD421FA9-1155-49F0-8B19-158780C78B25}"/>
    <cellStyle name="Normal 5 2 5 2 3 3 2" xfId="20631" xr:uid="{885642CC-F1CD-4FFB-853D-00351B522E78}"/>
    <cellStyle name="Normal 5 2 5 2 3 3 2 2" xfId="46123" xr:uid="{77229DED-3A0A-484E-A198-4B5F046E7DB2}"/>
    <cellStyle name="Normal 5 2 5 2 3 3 3" xfId="33532" xr:uid="{E4679486-9B46-49D5-9066-3D9E84913F82}"/>
    <cellStyle name="Normal 5 2 5 2 3 4" xfId="14353" xr:uid="{76D8889F-4876-4F93-897B-D8A6A4624491}"/>
    <cellStyle name="Normal 5 2 5 2 3 4 2" xfId="39845" xr:uid="{0D0481C6-6E16-48BD-B1B8-1147151BD3D1}"/>
    <cellStyle name="Normal 5 2 5 2 3 5" xfId="27254" xr:uid="{5523A385-4E85-4ACB-9562-76F5CBA3E62D}"/>
    <cellStyle name="Normal 5 2 5 2 4" xfId="2948" xr:uid="{024AD766-6ED0-4F58-84EF-F5116530DFBA}"/>
    <cellStyle name="Normal 5 2 5 2 4 2" xfId="6102" xr:uid="{0E0BFC44-AD87-4E74-BDBE-155EA830CAD7}"/>
    <cellStyle name="Normal 5 2 5 2 4 2 2" xfId="12395" xr:uid="{FE7614D5-1808-4EB7-B5AE-42C9E223975B}"/>
    <cellStyle name="Normal 5 2 5 2 4 2 2 2" xfId="25077" xr:uid="{7F6EB79D-2A20-4A27-B2C2-C2CD11755EE4}"/>
    <cellStyle name="Normal 5 2 5 2 4 2 2 2 2" xfId="50569" xr:uid="{F5CF5C3B-7C84-407E-A97C-C8F5A18D26EC}"/>
    <cellStyle name="Normal 5 2 5 2 4 2 2 3" xfId="37978" xr:uid="{76CCC1C1-F27F-4E67-84AD-0DFDB75AA792}"/>
    <cellStyle name="Normal 5 2 5 2 4 2 3" xfId="18799" xr:uid="{6A994500-8F8A-4F83-BD5B-1E8B1B7F9FD7}"/>
    <cellStyle name="Normal 5 2 5 2 4 2 3 2" xfId="44291" xr:uid="{35D90D52-F51E-4F3F-8C25-86EBCE271E2B}"/>
    <cellStyle name="Normal 5 2 5 2 4 2 4" xfId="31700" xr:uid="{39B156B7-C6F5-428C-A358-EF3FDFE5509F}"/>
    <cellStyle name="Normal 5 2 5 2 4 3" xfId="9256" xr:uid="{49FF222C-55A0-4C20-96F0-1E8278EFB55A}"/>
    <cellStyle name="Normal 5 2 5 2 4 3 2" xfId="21938" xr:uid="{81C28CCA-81E1-49B6-89EF-B121DDF3B66F}"/>
    <cellStyle name="Normal 5 2 5 2 4 3 2 2" xfId="47430" xr:uid="{046EF595-EAA9-4B5F-AEF9-7F2777365189}"/>
    <cellStyle name="Normal 5 2 5 2 4 3 3" xfId="34839" xr:uid="{916A28B2-848A-436B-A708-0FF56C628297}"/>
    <cellStyle name="Normal 5 2 5 2 4 4" xfId="15660" xr:uid="{65CDD268-5E0D-42A4-8569-9450608F23E8}"/>
    <cellStyle name="Normal 5 2 5 2 4 4 2" xfId="41152" xr:uid="{1CA21814-E2D4-464D-8A2C-A4B6BF7D461E}"/>
    <cellStyle name="Normal 5 2 5 2 4 5" xfId="28561" xr:uid="{377C716F-4B9A-4C1D-B6D3-CB521C3CDAE7}"/>
    <cellStyle name="Normal 5 2 5 2 5" xfId="3471" xr:uid="{D8E0E3DC-6917-415E-91CC-45703BE6F095}"/>
    <cellStyle name="Normal 5 2 5 2 5 2" xfId="6625" xr:uid="{E92D1BBE-38C2-403F-BAA9-644FA81EDE76}"/>
    <cellStyle name="Normal 5 2 5 2 5 2 2" xfId="12918" xr:uid="{D42664EF-CEC7-4352-9030-59BE25B2ABF4}"/>
    <cellStyle name="Normal 5 2 5 2 5 2 2 2" xfId="25600" xr:uid="{E56917A3-2E06-4504-8970-21D70C9C4EAC}"/>
    <cellStyle name="Normal 5 2 5 2 5 2 2 2 2" xfId="51092" xr:uid="{6148B623-D6B9-4877-9ED1-234E0337F791}"/>
    <cellStyle name="Normal 5 2 5 2 5 2 2 3" xfId="38501" xr:uid="{4E2A4551-8A23-4A1C-9311-A26C50EABCF9}"/>
    <cellStyle name="Normal 5 2 5 2 5 2 3" xfId="19322" xr:uid="{26A09833-BFCC-4C95-AB5A-0F4E576CDFD7}"/>
    <cellStyle name="Normal 5 2 5 2 5 2 3 2" xfId="44814" xr:uid="{B561C197-782C-4F09-9B24-45A899E3B633}"/>
    <cellStyle name="Normal 5 2 5 2 5 2 4" xfId="32223" xr:uid="{73738DDF-BFCB-45A3-ADC2-6C1C3FDC2A37}"/>
    <cellStyle name="Normal 5 2 5 2 5 3" xfId="9779" xr:uid="{BBA644C9-1D73-426E-ADE3-E1908D13C0C0}"/>
    <cellStyle name="Normal 5 2 5 2 5 3 2" xfId="22461" xr:uid="{4E8C1F0B-05D6-43DA-828B-EABA70C6A463}"/>
    <cellStyle name="Normal 5 2 5 2 5 3 2 2" xfId="47953" xr:uid="{763BFA5E-C084-4598-8DF5-27CA7036BB7F}"/>
    <cellStyle name="Normal 5 2 5 2 5 3 3" xfId="35362" xr:uid="{FDAEB5FC-5470-47AC-9704-C25535C87C7C}"/>
    <cellStyle name="Normal 5 2 5 2 5 4" xfId="16183" xr:uid="{1BF76D79-07D2-4F2C-A99A-376C09A2C612}"/>
    <cellStyle name="Normal 5 2 5 2 5 4 2" xfId="41675" xr:uid="{03EA6210-B12D-4255-868A-33812818ED04}"/>
    <cellStyle name="Normal 5 2 5 2 5 5" xfId="29084" xr:uid="{7271B529-C1BA-4A4B-B642-3B93A4D26D1C}"/>
    <cellStyle name="Normal 5 2 5 2 6" xfId="4271" xr:uid="{A0611532-4AE0-4131-9585-021012E5BFAE}"/>
    <cellStyle name="Normal 5 2 5 2 6 2" xfId="10564" xr:uid="{BADD14CF-F6FB-4BAD-B6A2-8C6DFD69DB19}"/>
    <cellStyle name="Normal 5 2 5 2 6 2 2" xfId="23246" xr:uid="{044C03BE-EAFA-471B-8613-B274FC54B22E}"/>
    <cellStyle name="Normal 5 2 5 2 6 2 2 2" xfId="48738" xr:uid="{35A980A1-2856-444D-A996-4D0341FF6FBD}"/>
    <cellStyle name="Normal 5 2 5 2 6 2 3" xfId="36147" xr:uid="{4000B4BE-563F-4517-9A7A-A38993D323E0}"/>
    <cellStyle name="Normal 5 2 5 2 6 3" xfId="16968" xr:uid="{A2C3E8D2-D8A3-46AC-B5B0-0233CF785E44}"/>
    <cellStyle name="Normal 5 2 5 2 6 3 2" xfId="42460" xr:uid="{2F013927-6B70-4661-B4D1-81A62471CDAB}"/>
    <cellStyle name="Normal 5 2 5 2 6 4" xfId="29869" xr:uid="{D921031B-BCD4-471C-9E29-B3B52DCA8C5A}"/>
    <cellStyle name="Normal 5 2 5 2 7" xfId="7425" xr:uid="{295022E5-3B9D-442B-8BAD-B1375F619840}"/>
    <cellStyle name="Normal 5 2 5 2 7 2" xfId="20107" xr:uid="{DDC315E7-988A-4EC6-9CED-BEF0322588CE}"/>
    <cellStyle name="Normal 5 2 5 2 7 2 2" xfId="45599" xr:uid="{8905246F-0FE3-4C87-AE3B-8CD4CFF53BB4}"/>
    <cellStyle name="Normal 5 2 5 2 7 3" xfId="33008" xr:uid="{66502562-7C92-4A40-8311-BF1D5C2F0918}"/>
    <cellStyle name="Normal 5 2 5 2 8" xfId="13829" xr:uid="{63150B5B-FE2B-46FE-9DB6-4A5B6A08A1CA}"/>
    <cellStyle name="Normal 5 2 5 2 8 2" xfId="39321" xr:uid="{4F43C679-31E0-43F6-9110-71C18013A8DF}"/>
    <cellStyle name="Normal 5 2 5 2 9" xfId="26730" xr:uid="{48538DFD-BAF8-4B42-94F0-CEE5C3D8D07B}"/>
    <cellStyle name="Normal 5 2 5 3" xfId="857" xr:uid="{294ABAB1-C925-47EC-B7A6-4CCB7ABB3856}"/>
    <cellStyle name="Normal 5 2 5 3 2" xfId="2164" xr:uid="{454C0C86-8C5B-46EB-857D-D7E881B0A661}"/>
    <cellStyle name="Normal 5 2 5 3 2 2" xfId="5318" xr:uid="{AEDE77E1-7D28-4924-8558-718267AD343D}"/>
    <cellStyle name="Normal 5 2 5 3 2 2 2" xfId="11611" xr:uid="{AFF9D7AC-DF5D-4B71-9B96-672731D7E069}"/>
    <cellStyle name="Normal 5 2 5 3 2 2 2 2" xfId="24293" xr:uid="{44C449EC-F1A2-4869-90EE-AF9DD6DC9337}"/>
    <cellStyle name="Normal 5 2 5 3 2 2 2 2 2" xfId="49785" xr:uid="{B85482D9-A55A-4528-9F1C-25D0B0B3CF66}"/>
    <cellStyle name="Normal 5 2 5 3 2 2 2 3" xfId="37194" xr:uid="{5D9F4847-526F-466E-B100-2BE2A9CC8813}"/>
    <cellStyle name="Normal 5 2 5 3 2 2 3" xfId="18015" xr:uid="{45033148-57E8-425B-936D-F13E685BF99F}"/>
    <cellStyle name="Normal 5 2 5 3 2 2 3 2" xfId="43507" xr:uid="{6A757154-5675-40A9-816A-2787C599F971}"/>
    <cellStyle name="Normal 5 2 5 3 2 2 4" xfId="30916" xr:uid="{06DF5EE3-B8D9-4E44-88DA-55073CAA5C96}"/>
    <cellStyle name="Normal 5 2 5 3 2 3" xfId="8472" xr:uid="{E6FF50F0-7DFE-482D-98E4-E873A4371ABD}"/>
    <cellStyle name="Normal 5 2 5 3 2 3 2" xfId="21154" xr:uid="{EFB6D157-3D02-4313-A462-304A20EB7237}"/>
    <cellStyle name="Normal 5 2 5 3 2 3 2 2" xfId="46646" xr:uid="{797E1153-EF01-4450-81E3-16CEE4DA5E0B}"/>
    <cellStyle name="Normal 5 2 5 3 2 3 3" xfId="34055" xr:uid="{DA8D90DB-2FA2-483E-B57A-7B82B3EBFC98}"/>
    <cellStyle name="Normal 5 2 5 3 2 4" xfId="14876" xr:uid="{06766B16-E59F-459B-A5D8-F7CCDD68ABCD}"/>
    <cellStyle name="Normal 5 2 5 3 2 4 2" xfId="40368" xr:uid="{A9D25B79-CD35-4A4E-A235-FA299FA2279B}"/>
    <cellStyle name="Normal 5 2 5 3 2 5" xfId="27777" xr:uid="{5471794C-4BBB-4546-8B3B-B4DEAB53F113}"/>
    <cellStyle name="Normal 5 2 5 3 3" xfId="4011" xr:uid="{96C50585-F3C0-4761-8739-ED0D804E3F35}"/>
    <cellStyle name="Normal 5 2 5 3 3 2" xfId="10304" xr:uid="{FB889409-812E-4D84-B9D7-F7E66EA96608}"/>
    <cellStyle name="Normal 5 2 5 3 3 2 2" xfId="22986" xr:uid="{BF269B1F-5256-4301-905E-67C5CCA0BD07}"/>
    <cellStyle name="Normal 5 2 5 3 3 2 2 2" xfId="48478" xr:uid="{5B69DCB1-3D35-4AAF-84FC-42C688DCD125}"/>
    <cellStyle name="Normal 5 2 5 3 3 2 3" xfId="35887" xr:uid="{D6BAE6CB-61AF-4578-8EE2-E4273C743594}"/>
    <cellStyle name="Normal 5 2 5 3 3 3" xfId="16708" xr:uid="{E45A56F7-5C40-46AF-9241-C12F16D5B638}"/>
    <cellStyle name="Normal 5 2 5 3 3 3 2" xfId="42200" xr:uid="{8BB6D0D7-34E4-42C3-BB78-ED66A5776C5E}"/>
    <cellStyle name="Normal 5 2 5 3 3 4" xfId="29609" xr:uid="{F93FC23D-4F8B-46AC-9CF9-93499B46D48F}"/>
    <cellStyle name="Normal 5 2 5 3 4" xfId="7165" xr:uid="{48944CF5-EB00-47B7-A9F9-37FF4A6FC082}"/>
    <cellStyle name="Normal 5 2 5 3 4 2" xfId="19847" xr:uid="{3873B321-CC95-4B3D-B122-463481C2A854}"/>
    <cellStyle name="Normal 5 2 5 3 4 2 2" xfId="45339" xr:uid="{E09E8901-43A2-4649-A2B7-4B959C413801}"/>
    <cellStyle name="Normal 5 2 5 3 4 3" xfId="32748" xr:uid="{C6A3BE17-FEA7-403C-A2E8-BA6EF1149019}"/>
    <cellStyle name="Normal 5 2 5 3 5" xfId="13569" xr:uid="{A490E6B6-2821-405D-B1FB-13839422C317}"/>
    <cellStyle name="Normal 5 2 5 3 5 2" xfId="39061" xr:uid="{DCBF1AE5-2C60-4FD7-8171-1F9259FA5A81}"/>
    <cellStyle name="Normal 5 2 5 3 6" xfId="26470" xr:uid="{554BD880-F853-4694-A71E-45DBD2B1D8A7}"/>
    <cellStyle name="Normal 5 2 5 4" xfId="1902" xr:uid="{4715348F-527D-42D7-B8A0-63EFDE81C754}"/>
    <cellStyle name="Normal 5 2 5 4 2" xfId="5056" xr:uid="{FFFE334D-79DF-44E1-A653-B3D30BB07F45}"/>
    <cellStyle name="Normal 5 2 5 4 2 2" xfId="11349" xr:uid="{E3653A75-3994-427C-B815-3C5B390B90DF}"/>
    <cellStyle name="Normal 5 2 5 4 2 2 2" xfId="24031" xr:uid="{1303A6FA-558D-43E4-B074-8F71C4938FB4}"/>
    <cellStyle name="Normal 5 2 5 4 2 2 2 2" xfId="49523" xr:uid="{17DFEC0D-B5EB-4D22-A06A-776EB9637643}"/>
    <cellStyle name="Normal 5 2 5 4 2 2 3" xfId="36932" xr:uid="{9646EA36-165F-4213-963A-1E08397CDAA9}"/>
    <cellStyle name="Normal 5 2 5 4 2 3" xfId="17753" xr:uid="{AD8297ED-4887-4807-B05D-0C9F22532D07}"/>
    <cellStyle name="Normal 5 2 5 4 2 3 2" xfId="43245" xr:uid="{6E425B1F-AA80-4BBB-83C9-C942660EC32E}"/>
    <cellStyle name="Normal 5 2 5 4 2 4" xfId="30654" xr:uid="{9AC54BB9-C62E-47F0-B00B-B406AA1BDEFE}"/>
    <cellStyle name="Normal 5 2 5 4 3" xfId="8210" xr:uid="{4A9A7AFE-62A2-4F5F-8BF0-A7C7B96FC0C7}"/>
    <cellStyle name="Normal 5 2 5 4 3 2" xfId="20892" xr:uid="{C313DFD3-69E7-4CF6-B72C-7EE93A79A1B6}"/>
    <cellStyle name="Normal 5 2 5 4 3 2 2" xfId="46384" xr:uid="{555C374D-FDBA-4E8B-AAB3-052A61B2F205}"/>
    <cellStyle name="Normal 5 2 5 4 3 3" xfId="33793" xr:uid="{05A93B10-B076-46BB-A206-B82B1FA1C904}"/>
    <cellStyle name="Normal 5 2 5 4 4" xfId="14614" xr:uid="{628C119E-8BEC-483F-9D0F-E98579D95395}"/>
    <cellStyle name="Normal 5 2 5 4 4 2" xfId="40106" xr:uid="{B70B92FC-A7DF-4E3B-B97F-E728FBE56B70}"/>
    <cellStyle name="Normal 5 2 5 4 5" xfId="27515" xr:uid="{5ADD6144-5E7B-4550-AA46-B9D223E07A3B}"/>
    <cellStyle name="Normal 5 2 5 5" xfId="1380" xr:uid="{C720EDBB-F10A-41E8-B4F3-1A7ED231CC73}"/>
    <cellStyle name="Normal 5 2 5 5 2" xfId="4534" xr:uid="{C48045FC-1EEE-4EE5-AA60-6E65667DCB8D}"/>
    <cellStyle name="Normal 5 2 5 5 2 2" xfId="10827" xr:uid="{7B38B6D7-3E5A-4D0D-A647-CD25EAF49E0F}"/>
    <cellStyle name="Normal 5 2 5 5 2 2 2" xfId="23509" xr:uid="{23370F66-6864-4A35-8125-4ED75DB06A3B}"/>
    <cellStyle name="Normal 5 2 5 5 2 2 2 2" xfId="49001" xr:uid="{80B04AED-EECD-4CD1-8BFF-2C76B9FAB85E}"/>
    <cellStyle name="Normal 5 2 5 5 2 2 3" xfId="36410" xr:uid="{D260D42B-45EF-479E-906E-D6506B4CA6DF}"/>
    <cellStyle name="Normal 5 2 5 5 2 3" xfId="17231" xr:uid="{268FA288-7502-4070-9137-702BB5E1DB2A}"/>
    <cellStyle name="Normal 5 2 5 5 2 3 2" xfId="42723" xr:uid="{2337F329-33FE-4CA6-8B5C-68FF63B9AF86}"/>
    <cellStyle name="Normal 5 2 5 5 2 4" xfId="30132" xr:uid="{EE0161A4-A5B4-4CF5-8C3C-2CDA706C4225}"/>
    <cellStyle name="Normal 5 2 5 5 3" xfId="7688" xr:uid="{BCE7EA9C-F2EE-4A87-912D-8392F07D8420}"/>
    <cellStyle name="Normal 5 2 5 5 3 2" xfId="20370" xr:uid="{0E4F86D6-3F3F-46E3-A458-0031A7947B2B}"/>
    <cellStyle name="Normal 5 2 5 5 3 2 2" xfId="45862" xr:uid="{2637EFB7-DF55-4075-965A-1C15D61362D0}"/>
    <cellStyle name="Normal 5 2 5 5 3 3" xfId="33271" xr:uid="{20A9A871-7BF9-4C60-9A3C-5E42A09335E9}"/>
    <cellStyle name="Normal 5 2 5 5 4" xfId="14092" xr:uid="{5D1C1B12-9B9E-4BD0-93AF-0C1D02943D8B}"/>
    <cellStyle name="Normal 5 2 5 5 4 2" xfId="39584" xr:uid="{D026160E-9093-4C67-AF93-B8C61A5D3A49}"/>
    <cellStyle name="Normal 5 2 5 5 5" xfId="26993" xr:uid="{A2C9DAA1-748D-4760-96BB-914781198BDC}"/>
    <cellStyle name="Normal 5 2 5 6" xfId="2687" xr:uid="{69EC0CDD-B41A-45A5-A2A4-BCE6BA5E8A9F}"/>
    <cellStyle name="Normal 5 2 5 6 2" xfId="5841" xr:uid="{662BE4CC-5348-4522-B4A8-8C1C8C9BD5D4}"/>
    <cellStyle name="Normal 5 2 5 6 2 2" xfId="12134" xr:uid="{6F0D2A7D-97EE-4FCD-92DC-C128B30BAE97}"/>
    <cellStyle name="Normal 5 2 5 6 2 2 2" xfId="24816" xr:uid="{326C4FCC-CE3B-4BB2-A1C7-B03E71AE2B47}"/>
    <cellStyle name="Normal 5 2 5 6 2 2 2 2" xfId="50308" xr:uid="{B4ADE0EA-9D93-4656-99C5-9329BE4AD7CF}"/>
    <cellStyle name="Normal 5 2 5 6 2 2 3" xfId="37717" xr:uid="{2BB5C230-9DE8-4580-B499-33BD64FD0E3E}"/>
    <cellStyle name="Normal 5 2 5 6 2 3" xfId="18538" xr:uid="{54B68F0E-39B0-4C3C-817B-8CB7EDD2259C}"/>
    <cellStyle name="Normal 5 2 5 6 2 3 2" xfId="44030" xr:uid="{7AA3F304-3E33-4A14-9929-CF850EF006EA}"/>
    <cellStyle name="Normal 5 2 5 6 2 4" xfId="31439" xr:uid="{8DAA0EEE-BCAF-4479-B036-42D9EB664D22}"/>
    <cellStyle name="Normal 5 2 5 6 3" xfId="8995" xr:uid="{722B8D14-9805-4F1C-B716-43958E9D22E9}"/>
    <cellStyle name="Normal 5 2 5 6 3 2" xfId="21677" xr:uid="{7EE80B54-0E12-4ED4-B856-0958BC14E385}"/>
    <cellStyle name="Normal 5 2 5 6 3 2 2" xfId="47169" xr:uid="{4A6C6346-3AC9-4680-93A8-887B8E08DFEB}"/>
    <cellStyle name="Normal 5 2 5 6 3 3" xfId="34578" xr:uid="{7CDC5250-4FD8-46AB-A2F4-12226561B2FF}"/>
    <cellStyle name="Normal 5 2 5 6 4" xfId="15399" xr:uid="{30AFD781-B137-45CC-8F62-96B571C55B55}"/>
    <cellStyle name="Normal 5 2 5 6 4 2" xfId="40891" xr:uid="{D6332940-D1E7-46E5-B540-37C2218E8295}"/>
    <cellStyle name="Normal 5 2 5 6 5" xfId="28300" xr:uid="{B0E4D057-C8EA-4065-83A5-9E3C27A7B5CD}"/>
    <cellStyle name="Normal 5 2 5 7" xfId="3210" xr:uid="{C9D35F98-EDB5-4953-93F7-19BDB8170CD9}"/>
    <cellStyle name="Normal 5 2 5 7 2" xfId="6364" xr:uid="{D43E4039-542E-4275-8139-F459C0074E6C}"/>
    <cellStyle name="Normal 5 2 5 7 2 2" xfId="12657" xr:uid="{6335FC40-6F8D-46BB-BDBF-A7515B4DA699}"/>
    <cellStyle name="Normal 5 2 5 7 2 2 2" xfId="25339" xr:uid="{D14E1FBB-A536-4842-BDA8-84DF9302FD24}"/>
    <cellStyle name="Normal 5 2 5 7 2 2 2 2" xfId="50831" xr:uid="{B1D366EA-3F9B-4712-8860-CA1DF5ADA1EF}"/>
    <cellStyle name="Normal 5 2 5 7 2 2 3" xfId="38240" xr:uid="{833F088F-A4ED-47FE-8949-9EF04A08FB4A}"/>
    <cellStyle name="Normal 5 2 5 7 2 3" xfId="19061" xr:uid="{97B0707E-42A7-45DA-B8DF-CA4AB29A68CE}"/>
    <cellStyle name="Normal 5 2 5 7 2 3 2" xfId="44553" xr:uid="{08D46C3C-3E8B-44D4-A9F7-0E199AAB11BF}"/>
    <cellStyle name="Normal 5 2 5 7 2 4" xfId="31962" xr:uid="{407A4DA6-B437-4C1D-92F0-3AF899D6D4F9}"/>
    <cellStyle name="Normal 5 2 5 7 3" xfId="9518" xr:uid="{4B035B8A-6465-4F5A-A703-43FF888B5389}"/>
    <cellStyle name="Normal 5 2 5 7 3 2" xfId="22200" xr:uid="{4BA79A20-60B7-4E10-B969-9653ECAA6105}"/>
    <cellStyle name="Normal 5 2 5 7 3 2 2" xfId="47692" xr:uid="{B41A502A-7DBF-4F63-BB90-0458B55B003A}"/>
    <cellStyle name="Normal 5 2 5 7 3 3" xfId="35101" xr:uid="{151525E3-7087-470C-B44E-3D7512C2A70C}"/>
    <cellStyle name="Normal 5 2 5 7 4" xfId="15922" xr:uid="{C38343B5-1A0A-4A24-AE0D-F7637D17879B}"/>
    <cellStyle name="Normal 5 2 5 7 4 2" xfId="41414" xr:uid="{51A5B421-CABD-4E45-9D8F-F58273804BDF}"/>
    <cellStyle name="Normal 5 2 5 7 5" xfId="28823" xr:uid="{89144279-34B7-4BFF-834A-4651397E38FB}"/>
    <cellStyle name="Normal 5 2 5 8" xfId="3749" xr:uid="{EEC24C6C-C839-42A4-9E90-76B7E5BC9178}"/>
    <cellStyle name="Normal 5 2 5 8 2" xfId="10042" xr:uid="{3A56881B-10BB-4DDE-88EA-D6DF014C69CA}"/>
    <cellStyle name="Normal 5 2 5 8 2 2" xfId="22724" xr:uid="{DF1A4287-4EEC-4012-AAA0-309C4C4797D1}"/>
    <cellStyle name="Normal 5 2 5 8 2 2 2" xfId="48216" xr:uid="{8878B6C9-ADB2-4FB2-B46B-B54B084D234F}"/>
    <cellStyle name="Normal 5 2 5 8 2 3" xfId="35625" xr:uid="{F1005887-B2FC-4C09-BCA0-C9B349246A06}"/>
    <cellStyle name="Normal 5 2 5 8 3" xfId="16446" xr:uid="{1F64EA04-1E67-40BB-8F57-780E66C82FE3}"/>
    <cellStyle name="Normal 5 2 5 8 3 2" xfId="41938" xr:uid="{6F6CE6AD-9B14-44D2-8BD2-677C18DDECA9}"/>
    <cellStyle name="Normal 5 2 5 8 4" xfId="29347" xr:uid="{414A7B96-CBCF-4334-99D1-58B70557EB16}"/>
    <cellStyle name="Normal 5 2 5 9" xfId="6903" xr:uid="{A3AAB92A-8B0B-4F35-892E-E241B9647D7E}"/>
    <cellStyle name="Normal 5 2 5 9 2" xfId="19585" xr:uid="{5F36D94E-6652-4C8C-B553-90E3546B2F41}"/>
    <cellStyle name="Normal 5 2 5 9 2 2" xfId="45077" xr:uid="{B22874B2-0441-4743-91A1-8EBA4F8C62C9}"/>
    <cellStyle name="Normal 5 2 5 9 3" xfId="32486" xr:uid="{8D1BE3EA-7CCA-4F78-B785-2539C39C04D6}"/>
    <cellStyle name="Normal 5 2 6" xfId="522" xr:uid="{8B22DC4F-60B8-4223-99FE-0F4876CA9B5F}"/>
    <cellStyle name="Normal 5 2 6 10" xfId="13249" xr:uid="{24E75ADD-E988-4609-B564-6D33514B1B8A}"/>
    <cellStyle name="Normal 5 2 6 10 2" xfId="38741" xr:uid="{00330038-D835-45BB-8D5B-225E3F7364A4}"/>
    <cellStyle name="Normal 5 2 6 11" xfId="26150" xr:uid="{4DB1B10E-62BE-4182-817C-11AFBEDF7292}"/>
    <cellStyle name="Normal 5 2 6 2" xfId="1059" xr:uid="{4166FE3D-3C72-4977-AD61-DE1FAD5C8EEA}"/>
    <cellStyle name="Normal 5 2 6 2 2" xfId="2366" xr:uid="{5A121665-53DA-44ED-A6A4-844A1CDA1A5C}"/>
    <cellStyle name="Normal 5 2 6 2 2 2" xfId="5520" xr:uid="{FF4A11E6-EA58-46CC-BC7D-CB1A5B7E2FB4}"/>
    <cellStyle name="Normal 5 2 6 2 2 2 2" xfId="11813" xr:uid="{8C1E431E-C143-45CA-B683-BF31C757AB91}"/>
    <cellStyle name="Normal 5 2 6 2 2 2 2 2" xfId="24495" xr:uid="{796DBEAA-4A5F-4F73-8946-51A8C82BD8BF}"/>
    <cellStyle name="Normal 5 2 6 2 2 2 2 2 2" xfId="49987" xr:uid="{AA748C67-9B8D-4CEC-BCD3-DD6AFC8E8D49}"/>
    <cellStyle name="Normal 5 2 6 2 2 2 2 3" xfId="37396" xr:uid="{8BB98DC1-4353-4506-B462-F2B27C85774B}"/>
    <cellStyle name="Normal 5 2 6 2 2 2 3" xfId="18217" xr:uid="{BB00C2B7-48D0-4F0C-99C1-EC37CB69EE1D}"/>
    <cellStyle name="Normal 5 2 6 2 2 2 3 2" xfId="43709" xr:uid="{2C209EEE-0DBE-4C51-B4CC-C75B8A173097}"/>
    <cellStyle name="Normal 5 2 6 2 2 2 4" xfId="31118" xr:uid="{77CCB0D5-7B70-4DFC-AAE5-F1ECC142702D}"/>
    <cellStyle name="Normal 5 2 6 2 2 3" xfId="8674" xr:uid="{F2AE91A1-FB51-477B-AC1C-FB1CFD9EAC04}"/>
    <cellStyle name="Normal 5 2 6 2 2 3 2" xfId="21356" xr:uid="{9A083530-63E4-4001-B539-4DDB063882C8}"/>
    <cellStyle name="Normal 5 2 6 2 2 3 2 2" xfId="46848" xr:uid="{5DAFC296-8EBB-4920-AFC2-145CD614583B}"/>
    <cellStyle name="Normal 5 2 6 2 2 3 3" xfId="34257" xr:uid="{6963F72A-6790-4D2A-BEFD-20FF3B37AADD}"/>
    <cellStyle name="Normal 5 2 6 2 2 4" xfId="15078" xr:uid="{E7CB1276-4F52-4657-8866-5C57283E579E}"/>
    <cellStyle name="Normal 5 2 6 2 2 4 2" xfId="40570" xr:uid="{96F01CE6-A550-4E65-B98A-FAB417879EDE}"/>
    <cellStyle name="Normal 5 2 6 2 2 5" xfId="27979" xr:uid="{39D93EA9-498E-447E-9CB8-A17F9BF6E1EF}"/>
    <cellStyle name="Normal 5 2 6 2 3" xfId="1583" xr:uid="{1E5B32B7-F9C3-4A92-810B-4E91D6947B34}"/>
    <cellStyle name="Normal 5 2 6 2 3 2" xfId="4737" xr:uid="{0734CD8E-1FC1-4359-87A5-03B6A99306A9}"/>
    <cellStyle name="Normal 5 2 6 2 3 2 2" xfId="11030" xr:uid="{0801C266-350A-4604-B13F-DDD441AE69C7}"/>
    <cellStyle name="Normal 5 2 6 2 3 2 2 2" xfId="23712" xr:uid="{123439F3-187E-413B-A553-633E43074DFC}"/>
    <cellStyle name="Normal 5 2 6 2 3 2 2 2 2" xfId="49204" xr:uid="{9E55957A-C0E9-4292-B33D-401269175422}"/>
    <cellStyle name="Normal 5 2 6 2 3 2 2 3" xfId="36613" xr:uid="{32D1892C-C2C9-49AC-ABDD-684FB9A3CA05}"/>
    <cellStyle name="Normal 5 2 6 2 3 2 3" xfId="17434" xr:uid="{AC1CB3C3-592C-489A-98B8-5AB2E6A0A528}"/>
    <cellStyle name="Normal 5 2 6 2 3 2 3 2" xfId="42926" xr:uid="{719E8614-E462-4F2C-8EAC-782CBE76552A}"/>
    <cellStyle name="Normal 5 2 6 2 3 2 4" xfId="30335" xr:uid="{CBD5706F-BCA0-45F9-825E-C469C670D9AD}"/>
    <cellStyle name="Normal 5 2 6 2 3 3" xfId="7891" xr:uid="{64894913-AF3B-4421-9706-C76A0EE84A14}"/>
    <cellStyle name="Normal 5 2 6 2 3 3 2" xfId="20573" xr:uid="{4032DCC5-E975-41AF-857D-F5FA6FAAF4BA}"/>
    <cellStyle name="Normal 5 2 6 2 3 3 2 2" xfId="46065" xr:uid="{B72DEE29-1F7F-4F98-A518-409A7EDF3888}"/>
    <cellStyle name="Normal 5 2 6 2 3 3 3" xfId="33474" xr:uid="{3EB8365F-2118-423B-96F0-2D5FD55AF5AE}"/>
    <cellStyle name="Normal 5 2 6 2 3 4" xfId="14295" xr:uid="{CAE7ACCE-08D7-4DB5-B3C1-895FF09A5181}"/>
    <cellStyle name="Normal 5 2 6 2 3 4 2" xfId="39787" xr:uid="{1B8B3486-66AC-4CBB-9CDB-B13038BB79DD}"/>
    <cellStyle name="Normal 5 2 6 2 3 5" xfId="27196" xr:uid="{6273B436-42A3-40EC-89D0-67EDE670F91F}"/>
    <cellStyle name="Normal 5 2 6 2 4" xfId="2890" xr:uid="{B0D31FCE-5F35-4679-B624-F5B4AE3D75CA}"/>
    <cellStyle name="Normal 5 2 6 2 4 2" xfId="6044" xr:uid="{A01F3046-A8D4-4EA8-887E-6CE4946B32B7}"/>
    <cellStyle name="Normal 5 2 6 2 4 2 2" xfId="12337" xr:uid="{C5E2A8C9-B954-4BD7-B821-1FA4327DB70C}"/>
    <cellStyle name="Normal 5 2 6 2 4 2 2 2" xfId="25019" xr:uid="{D13B9AF8-6BC2-46C7-8BF1-C84C19A5AD28}"/>
    <cellStyle name="Normal 5 2 6 2 4 2 2 2 2" xfId="50511" xr:uid="{90CF892A-1F63-4B7B-943E-2FA225DAFB3D}"/>
    <cellStyle name="Normal 5 2 6 2 4 2 2 3" xfId="37920" xr:uid="{A5B51D51-D434-4A74-A8AC-9AA8DEDAC06F}"/>
    <cellStyle name="Normal 5 2 6 2 4 2 3" xfId="18741" xr:uid="{9717FA16-2877-4C6E-B21C-D2C39DB1799A}"/>
    <cellStyle name="Normal 5 2 6 2 4 2 3 2" xfId="44233" xr:uid="{1E360B51-C61C-4082-A3FE-AE56D4D889A6}"/>
    <cellStyle name="Normal 5 2 6 2 4 2 4" xfId="31642" xr:uid="{023F5E6B-D613-404B-901B-840F388B5AA7}"/>
    <cellStyle name="Normal 5 2 6 2 4 3" xfId="9198" xr:uid="{F1D3F7AF-F6DD-4786-A96F-4A0FEE50129F}"/>
    <cellStyle name="Normal 5 2 6 2 4 3 2" xfId="21880" xr:uid="{39618CE0-8C8D-435C-8D62-43F70057100B}"/>
    <cellStyle name="Normal 5 2 6 2 4 3 2 2" xfId="47372" xr:uid="{D97CA77F-C464-485F-9D60-205AF3A322F2}"/>
    <cellStyle name="Normal 5 2 6 2 4 3 3" xfId="34781" xr:uid="{980ACEA6-EEB4-40C9-AC60-F9CA0C14810F}"/>
    <cellStyle name="Normal 5 2 6 2 4 4" xfId="15602" xr:uid="{FE750155-5819-46E1-9CCF-FC4D96CBFE01}"/>
    <cellStyle name="Normal 5 2 6 2 4 4 2" xfId="41094" xr:uid="{65ABC3BB-6AA5-4BBE-AB9A-38EFD5E54DA7}"/>
    <cellStyle name="Normal 5 2 6 2 4 5" xfId="28503" xr:uid="{D9F56681-102F-4685-B7AA-222056E0E744}"/>
    <cellStyle name="Normal 5 2 6 2 5" xfId="3413" xr:uid="{981D0377-3E51-4971-901D-3F5C5BE4190D}"/>
    <cellStyle name="Normal 5 2 6 2 5 2" xfId="6567" xr:uid="{757D86D0-F401-4201-8A6B-D352723A17C5}"/>
    <cellStyle name="Normal 5 2 6 2 5 2 2" xfId="12860" xr:uid="{579A62BD-C657-4006-AD22-3C2F4E2DB554}"/>
    <cellStyle name="Normal 5 2 6 2 5 2 2 2" xfId="25542" xr:uid="{97E84CD2-C8E0-4B55-BF49-5ABE8BA45207}"/>
    <cellStyle name="Normal 5 2 6 2 5 2 2 2 2" xfId="51034" xr:uid="{9B07B546-6A7A-4E5F-BC7A-B1F6F47C5C6F}"/>
    <cellStyle name="Normal 5 2 6 2 5 2 2 3" xfId="38443" xr:uid="{71A56D14-8704-497D-B4AB-F0F0C7C0B829}"/>
    <cellStyle name="Normal 5 2 6 2 5 2 3" xfId="19264" xr:uid="{3B910533-0181-4CDC-A8CF-44566A83BA80}"/>
    <cellStyle name="Normal 5 2 6 2 5 2 3 2" xfId="44756" xr:uid="{C59FCD0A-3E1F-4F33-B028-0395629750EF}"/>
    <cellStyle name="Normal 5 2 6 2 5 2 4" xfId="32165" xr:uid="{AB3EBC86-A0B3-47CA-BF1E-696426632FFC}"/>
    <cellStyle name="Normal 5 2 6 2 5 3" xfId="9721" xr:uid="{4E947045-E63D-45B0-B41A-6AFE81446FDD}"/>
    <cellStyle name="Normal 5 2 6 2 5 3 2" xfId="22403" xr:uid="{1A082F80-B7D1-436D-8ECE-D9A7E2713EA5}"/>
    <cellStyle name="Normal 5 2 6 2 5 3 2 2" xfId="47895" xr:uid="{9A4EA95C-20C9-4A5D-8411-52FC5E1D233C}"/>
    <cellStyle name="Normal 5 2 6 2 5 3 3" xfId="35304" xr:uid="{A2041FDA-343B-44D0-9815-274B2328DDD2}"/>
    <cellStyle name="Normal 5 2 6 2 5 4" xfId="16125" xr:uid="{A2B4B117-A624-4E01-9009-6EC337A75C51}"/>
    <cellStyle name="Normal 5 2 6 2 5 4 2" xfId="41617" xr:uid="{3B7D2B59-AFB3-4525-97C3-64EEB754ED1F}"/>
    <cellStyle name="Normal 5 2 6 2 5 5" xfId="29026" xr:uid="{A70663C0-8950-4196-AB27-3984CF42C29E}"/>
    <cellStyle name="Normal 5 2 6 2 6" xfId="4213" xr:uid="{2DE6CA29-4CD7-4C46-913B-817F4EBB86BF}"/>
    <cellStyle name="Normal 5 2 6 2 6 2" xfId="10506" xr:uid="{04718D40-C820-4761-A240-E390436A64B5}"/>
    <cellStyle name="Normal 5 2 6 2 6 2 2" xfId="23188" xr:uid="{FAB3F00B-7887-428D-A23E-9E02ECE53D2B}"/>
    <cellStyle name="Normal 5 2 6 2 6 2 2 2" xfId="48680" xr:uid="{317D95B0-BC07-47F0-92DA-7FF45C043AA1}"/>
    <cellStyle name="Normal 5 2 6 2 6 2 3" xfId="36089" xr:uid="{00A4CD16-1855-4698-9A02-30684EFEA213}"/>
    <cellStyle name="Normal 5 2 6 2 6 3" xfId="16910" xr:uid="{DF457DBC-5471-440B-9D6C-E34E1D75168B}"/>
    <cellStyle name="Normal 5 2 6 2 6 3 2" xfId="42402" xr:uid="{EB1E523E-154C-4C68-8BFD-F3B982600989}"/>
    <cellStyle name="Normal 5 2 6 2 6 4" xfId="29811" xr:uid="{C59A0333-A03F-4AE3-B2E9-DA5679B028ED}"/>
    <cellStyle name="Normal 5 2 6 2 7" xfId="7367" xr:uid="{DA7B208E-BF0F-4E2B-AF57-205C1575305E}"/>
    <cellStyle name="Normal 5 2 6 2 7 2" xfId="20049" xr:uid="{33200E16-E992-4C48-B894-2F96A4F8EB70}"/>
    <cellStyle name="Normal 5 2 6 2 7 2 2" xfId="45541" xr:uid="{1FCDED8F-F1EF-4C42-9F0F-CCE1E9DB1CBD}"/>
    <cellStyle name="Normal 5 2 6 2 7 3" xfId="32950" xr:uid="{A7768F22-693C-4B36-BF22-3F0E51B2BADE}"/>
    <cellStyle name="Normal 5 2 6 2 8" xfId="13771" xr:uid="{DAA9DA03-9DF9-448A-B6D8-1846ABF1AA3D}"/>
    <cellStyle name="Normal 5 2 6 2 8 2" xfId="39263" xr:uid="{5FFFDBD8-18C5-41AA-851D-E6A8E7085BAF}"/>
    <cellStyle name="Normal 5 2 6 2 9" xfId="26672" xr:uid="{715D3A58-4195-460B-BDDC-70F676D956C4}"/>
    <cellStyle name="Normal 5 2 6 3" xfId="799" xr:uid="{4F94734E-7FCD-4ABD-A074-817F7D99A265}"/>
    <cellStyle name="Normal 5 2 6 3 2" xfId="2106" xr:uid="{9B8B7CC5-938D-4C9B-B0B5-2B1A9B2B8A58}"/>
    <cellStyle name="Normal 5 2 6 3 2 2" xfId="5260" xr:uid="{38DAE5D8-C985-431E-B084-9C9A11201596}"/>
    <cellStyle name="Normal 5 2 6 3 2 2 2" xfId="11553" xr:uid="{77DCD223-90B8-4873-A2F2-59AE64D0C09A}"/>
    <cellStyle name="Normal 5 2 6 3 2 2 2 2" xfId="24235" xr:uid="{49B7298C-9698-4AA4-BD8A-58069F6EA665}"/>
    <cellStyle name="Normal 5 2 6 3 2 2 2 2 2" xfId="49727" xr:uid="{78FBC542-E70D-4146-84EB-E222D9F10E27}"/>
    <cellStyle name="Normal 5 2 6 3 2 2 2 3" xfId="37136" xr:uid="{788F586D-3559-47A5-A404-2827DCBA0328}"/>
    <cellStyle name="Normal 5 2 6 3 2 2 3" xfId="17957" xr:uid="{F523795B-B71B-4DBB-B910-608CD50FD2D1}"/>
    <cellStyle name="Normal 5 2 6 3 2 2 3 2" xfId="43449" xr:uid="{F4183E33-2BE2-4856-B870-BC7C013D5B4B}"/>
    <cellStyle name="Normal 5 2 6 3 2 2 4" xfId="30858" xr:uid="{244EB25E-9946-42D0-AEF1-65A09B3F34F7}"/>
    <cellStyle name="Normal 5 2 6 3 2 3" xfId="8414" xr:uid="{42511064-9B8E-4218-825F-5026158CE625}"/>
    <cellStyle name="Normal 5 2 6 3 2 3 2" xfId="21096" xr:uid="{3B3C4B5A-180E-4564-B701-ED2E43F5BD2A}"/>
    <cellStyle name="Normal 5 2 6 3 2 3 2 2" xfId="46588" xr:uid="{A066D4B5-DDBE-4E40-A79C-E3434BE5035D}"/>
    <cellStyle name="Normal 5 2 6 3 2 3 3" xfId="33997" xr:uid="{2973AB0D-2D40-4512-8E28-95CBF805E465}"/>
    <cellStyle name="Normal 5 2 6 3 2 4" xfId="14818" xr:uid="{46B68D5F-E8D1-4A7F-9A80-81BACC67C0AD}"/>
    <cellStyle name="Normal 5 2 6 3 2 4 2" xfId="40310" xr:uid="{8CD4BC58-38CC-4ED5-ACF7-A8A571E60777}"/>
    <cellStyle name="Normal 5 2 6 3 2 5" xfId="27719" xr:uid="{584DA3AD-E645-4026-AE3F-0E9582D6B48E}"/>
    <cellStyle name="Normal 5 2 6 3 3" xfId="3953" xr:uid="{5172E769-CFB0-4EAD-A08B-D9E288F2ED9A}"/>
    <cellStyle name="Normal 5 2 6 3 3 2" xfId="10246" xr:uid="{C5BEB822-55D0-454D-887A-0D9B38F659E5}"/>
    <cellStyle name="Normal 5 2 6 3 3 2 2" xfId="22928" xr:uid="{CF782C7A-7D4D-4D99-8AA8-07EFBB547D5E}"/>
    <cellStyle name="Normal 5 2 6 3 3 2 2 2" xfId="48420" xr:uid="{53395FBE-55C2-4FEC-BDE7-4D998C8E953A}"/>
    <cellStyle name="Normal 5 2 6 3 3 2 3" xfId="35829" xr:uid="{6B865FB8-0558-4006-A0F8-BE5C97572165}"/>
    <cellStyle name="Normal 5 2 6 3 3 3" xfId="16650" xr:uid="{EDB1EDEF-5B7F-4053-9F34-416DF979D43A}"/>
    <cellStyle name="Normal 5 2 6 3 3 3 2" xfId="42142" xr:uid="{40F11D44-3E04-485D-8B6A-7F76B9131F48}"/>
    <cellStyle name="Normal 5 2 6 3 3 4" xfId="29551" xr:uid="{D04D5CF0-3745-4AD6-8A3E-A6EDA49E9B92}"/>
    <cellStyle name="Normal 5 2 6 3 4" xfId="7107" xr:uid="{BE586E20-D8D2-4384-8F2E-46F76806CCED}"/>
    <cellStyle name="Normal 5 2 6 3 4 2" xfId="19789" xr:uid="{ADB2169C-CAF7-4E7B-8C5A-D990E197BDEE}"/>
    <cellStyle name="Normal 5 2 6 3 4 2 2" xfId="45281" xr:uid="{28AC21FC-ED33-403B-B549-214AE31F75EB}"/>
    <cellStyle name="Normal 5 2 6 3 4 3" xfId="32690" xr:uid="{4AAFDF48-1339-402F-BD28-C25F3187C1DC}"/>
    <cellStyle name="Normal 5 2 6 3 5" xfId="13511" xr:uid="{55F1C04C-04F1-4E52-98EA-3C905291CE83}"/>
    <cellStyle name="Normal 5 2 6 3 5 2" xfId="39003" xr:uid="{A5D26F41-5271-4456-9988-40D3FF6ACD10}"/>
    <cellStyle name="Normal 5 2 6 3 6" xfId="26412" xr:uid="{6F7FDA22-C413-48B6-A637-C0EDA6C78940}"/>
    <cellStyle name="Normal 5 2 6 4" xfId="1844" xr:uid="{CDBDCA9D-D035-464C-B4D5-6FA732E98257}"/>
    <cellStyle name="Normal 5 2 6 4 2" xfId="4998" xr:uid="{CFACE369-612C-429F-B8BE-DA8111506B09}"/>
    <cellStyle name="Normal 5 2 6 4 2 2" xfId="11291" xr:uid="{8AE94CCD-BFD2-46FA-8452-FEB9F8BD0A3B}"/>
    <cellStyle name="Normal 5 2 6 4 2 2 2" xfId="23973" xr:uid="{F8E1749E-B3F5-4998-BC17-47BA5C82296B}"/>
    <cellStyle name="Normal 5 2 6 4 2 2 2 2" xfId="49465" xr:uid="{5F067FAD-211F-405F-960B-6C370A9BE97C}"/>
    <cellStyle name="Normal 5 2 6 4 2 2 3" xfId="36874" xr:uid="{B45000F9-7EE7-4F06-B95F-6C02274A918F}"/>
    <cellStyle name="Normal 5 2 6 4 2 3" xfId="17695" xr:uid="{86DB9100-2FC4-4F40-A620-921C615DE723}"/>
    <cellStyle name="Normal 5 2 6 4 2 3 2" xfId="43187" xr:uid="{A570AFF8-DB9E-48FD-9CEB-6F35D15C3B53}"/>
    <cellStyle name="Normal 5 2 6 4 2 4" xfId="30596" xr:uid="{33DBBDF9-AA77-458A-BA12-D4114F5B83DE}"/>
    <cellStyle name="Normal 5 2 6 4 3" xfId="8152" xr:uid="{5C263A0B-7446-4492-89F6-8B0FEAC4F900}"/>
    <cellStyle name="Normal 5 2 6 4 3 2" xfId="20834" xr:uid="{B5F56272-1ECC-4212-AB8D-404199C38EE5}"/>
    <cellStyle name="Normal 5 2 6 4 3 2 2" xfId="46326" xr:uid="{DDF7F548-852F-42B5-BBA0-4CA9A934AB87}"/>
    <cellStyle name="Normal 5 2 6 4 3 3" xfId="33735" xr:uid="{1B27B9BF-1CBF-4FC9-8ED4-0487AE61DAE4}"/>
    <cellStyle name="Normal 5 2 6 4 4" xfId="14556" xr:uid="{5ED38802-636D-4068-B6F8-CDAD830268D7}"/>
    <cellStyle name="Normal 5 2 6 4 4 2" xfId="40048" xr:uid="{5E0016F8-6ADB-435B-928B-02F267ECD3F8}"/>
    <cellStyle name="Normal 5 2 6 4 5" xfId="27457" xr:uid="{B688215D-6CD7-4C1D-847C-244DCE3EB2E7}"/>
    <cellStyle name="Normal 5 2 6 5" xfId="1322" xr:uid="{84C755E4-A96B-425E-8C7B-AA73AE2AD8B1}"/>
    <cellStyle name="Normal 5 2 6 5 2" xfId="4476" xr:uid="{0A72D7D4-441A-4E72-A35B-5095A46E2CF8}"/>
    <cellStyle name="Normal 5 2 6 5 2 2" xfId="10769" xr:uid="{BE63BD9A-95A4-4362-8DA4-FEE5640A8CFC}"/>
    <cellStyle name="Normal 5 2 6 5 2 2 2" xfId="23451" xr:uid="{00D49552-BAC1-447F-B623-34E91DE9CBDA}"/>
    <cellStyle name="Normal 5 2 6 5 2 2 2 2" xfId="48943" xr:uid="{04D72514-885C-4886-AA61-951C846189E9}"/>
    <cellStyle name="Normal 5 2 6 5 2 2 3" xfId="36352" xr:uid="{F24D1020-32E8-4A70-B51C-4D7DD8454A82}"/>
    <cellStyle name="Normal 5 2 6 5 2 3" xfId="17173" xr:uid="{88AB1BFE-96D9-49F6-B924-F605C7284A92}"/>
    <cellStyle name="Normal 5 2 6 5 2 3 2" xfId="42665" xr:uid="{C48E7FB2-266A-492B-A4A2-F9A0D103E22A}"/>
    <cellStyle name="Normal 5 2 6 5 2 4" xfId="30074" xr:uid="{0101C0FA-2909-47E6-A1CC-04FAA10D2E51}"/>
    <cellStyle name="Normal 5 2 6 5 3" xfId="7630" xr:uid="{12FD7959-AC01-48C8-AC21-B86BC6CEC5F7}"/>
    <cellStyle name="Normal 5 2 6 5 3 2" xfId="20312" xr:uid="{5EEB28AB-381E-4E9E-93E6-0804D084E59F}"/>
    <cellStyle name="Normal 5 2 6 5 3 2 2" xfId="45804" xr:uid="{DBB0002F-8A1A-4D1B-B6C4-4A1910AB0F1D}"/>
    <cellStyle name="Normal 5 2 6 5 3 3" xfId="33213" xr:uid="{91313FA2-DB7E-4CEA-8DF0-512145CDF97D}"/>
    <cellStyle name="Normal 5 2 6 5 4" xfId="14034" xr:uid="{23840036-3600-4897-A0E5-E9F70E8C5760}"/>
    <cellStyle name="Normal 5 2 6 5 4 2" xfId="39526" xr:uid="{691258A6-B561-442F-90FC-56ADF202DD60}"/>
    <cellStyle name="Normal 5 2 6 5 5" xfId="26935" xr:uid="{DAE517B4-2CF1-45D0-9BFF-24B9C86320CC}"/>
    <cellStyle name="Normal 5 2 6 6" xfId="2629" xr:uid="{C9575A06-AC5F-4696-AB92-8047CA25DBCD}"/>
    <cellStyle name="Normal 5 2 6 6 2" xfId="5783" xr:uid="{3D83FB8F-CAF5-4D57-BC71-45F25AA786CF}"/>
    <cellStyle name="Normal 5 2 6 6 2 2" xfId="12076" xr:uid="{04296DD1-AD26-4257-BFE1-78754048D4FB}"/>
    <cellStyle name="Normal 5 2 6 6 2 2 2" xfId="24758" xr:uid="{81263C3F-9E0C-4F1B-A995-F83DD613C7D7}"/>
    <cellStyle name="Normal 5 2 6 6 2 2 2 2" xfId="50250" xr:uid="{CF78B204-01EB-4FFC-9961-C628A013D883}"/>
    <cellStyle name="Normal 5 2 6 6 2 2 3" xfId="37659" xr:uid="{CE704E6C-B860-4C5D-A69B-73C78D4EF9FC}"/>
    <cellStyle name="Normal 5 2 6 6 2 3" xfId="18480" xr:uid="{EC306215-8B43-4710-872B-20821F9D486E}"/>
    <cellStyle name="Normal 5 2 6 6 2 3 2" xfId="43972" xr:uid="{FA9D5557-B4B7-4C45-B47C-7721AECA5B58}"/>
    <cellStyle name="Normal 5 2 6 6 2 4" xfId="31381" xr:uid="{2813199B-418D-4F29-B7FA-77CFA94C6E1F}"/>
    <cellStyle name="Normal 5 2 6 6 3" xfId="8937" xr:uid="{5540F34F-309F-4239-B918-AE1253C55A53}"/>
    <cellStyle name="Normal 5 2 6 6 3 2" xfId="21619" xr:uid="{5A4F7893-90F1-405E-89CB-7BDC0C41DFE1}"/>
    <cellStyle name="Normal 5 2 6 6 3 2 2" xfId="47111" xr:uid="{01C582BF-1950-422E-8E46-3BE5C7AA4519}"/>
    <cellStyle name="Normal 5 2 6 6 3 3" xfId="34520" xr:uid="{7CDC0FE6-263A-4F25-9821-EA6651D3C688}"/>
    <cellStyle name="Normal 5 2 6 6 4" xfId="15341" xr:uid="{2B2BDAA4-8FD1-413D-A0D8-B5421B484EB8}"/>
    <cellStyle name="Normal 5 2 6 6 4 2" xfId="40833" xr:uid="{6A7812C0-B800-420F-86E6-F3B6E96765E1}"/>
    <cellStyle name="Normal 5 2 6 6 5" xfId="28242" xr:uid="{FFF6EBEC-E5DE-4319-BC8F-6800904D666B}"/>
    <cellStyle name="Normal 5 2 6 7" xfId="3152" xr:uid="{B3A37BA5-1D85-4FDB-BE5A-0509244D9FCF}"/>
    <cellStyle name="Normal 5 2 6 7 2" xfId="6306" xr:uid="{610FAEAE-1E62-4EEC-8967-460A6D255428}"/>
    <cellStyle name="Normal 5 2 6 7 2 2" xfId="12599" xr:uid="{04193826-4649-4AE1-9E82-4A8692B45C16}"/>
    <cellStyle name="Normal 5 2 6 7 2 2 2" xfId="25281" xr:uid="{961F964E-B0BC-4E00-8CC7-0F2CF6031252}"/>
    <cellStyle name="Normal 5 2 6 7 2 2 2 2" xfId="50773" xr:uid="{E23F3661-B64E-4B4A-BBAC-EF9829F141E6}"/>
    <cellStyle name="Normal 5 2 6 7 2 2 3" xfId="38182" xr:uid="{C06D6D7D-7CB1-439E-94A3-4CBABBD4A5FF}"/>
    <cellStyle name="Normal 5 2 6 7 2 3" xfId="19003" xr:uid="{3684180B-DFA1-4C0B-BE4E-8C34FFB37EC3}"/>
    <cellStyle name="Normal 5 2 6 7 2 3 2" xfId="44495" xr:uid="{DE77F486-AB58-4206-9C27-EC94051726F5}"/>
    <cellStyle name="Normal 5 2 6 7 2 4" xfId="31904" xr:uid="{85543FA6-119B-47BC-A6DF-8AB8953051C1}"/>
    <cellStyle name="Normal 5 2 6 7 3" xfId="9460" xr:uid="{1C40A98F-FFD5-4F31-BBC9-E904F0098F38}"/>
    <cellStyle name="Normal 5 2 6 7 3 2" xfId="22142" xr:uid="{2E494D25-BAB3-438D-86FF-A26A36EFEF9B}"/>
    <cellStyle name="Normal 5 2 6 7 3 2 2" xfId="47634" xr:uid="{CBEC0BC2-0FDC-4353-916E-8C9421679600}"/>
    <cellStyle name="Normal 5 2 6 7 3 3" xfId="35043" xr:uid="{4DCF0983-A5C0-462B-9A68-DD541995CCE0}"/>
    <cellStyle name="Normal 5 2 6 7 4" xfId="15864" xr:uid="{119F9F54-E8CC-4566-9886-448431E36CCB}"/>
    <cellStyle name="Normal 5 2 6 7 4 2" xfId="41356" xr:uid="{855A4542-6483-4905-A3A7-C2CA398BB756}"/>
    <cellStyle name="Normal 5 2 6 7 5" xfId="28765" xr:uid="{D34B200F-D2E7-4486-ADE0-679C86CA804A}"/>
    <cellStyle name="Normal 5 2 6 8" xfId="3691" xr:uid="{1A982F53-7AED-41EF-A113-9A5510CB1A01}"/>
    <cellStyle name="Normal 5 2 6 8 2" xfId="9984" xr:uid="{0F02DA46-4260-4189-B514-8DD39F92C843}"/>
    <cellStyle name="Normal 5 2 6 8 2 2" xfId="22666" xr:uid="{21A88344-AACC-4F5C-BE54-ACCA7812793D}"/>
    <cellStyle name="Normal 5 2 6 8 2 2 2" xfId="48158" xr:uid="{AD2B4A2C-B834-45F2-9EDF-C30A5E17DEE7}"/>
    <cellStyle name="Normal 5 2 6 8 2 3" xfId="35567" xr:uid="{FD7E3B8C-53EA-4508-8EB0-ADD3D2D4D8FA}"/>
    <cellStyle name="Normal 5 2 6 8 3" xfId="16388" xr:uid="{16AC52DF-6A24-4BA3-86F3-EB09E378EE52}"/>
    <cellStyle name="Normal 5 2 6 8 3 2" xfId="41880" xr:uid="{1E7C80C3-5220-48DA-B185-EBC8C5AC0CB2}"/>
    <cellStyle name="Normal 5 2 6 8 4" xfId="29289" xr:uid="{DC523787-1756-4626-8235-13B018E265B3}"/>
    <cellStyle name="Normal 5 2 6 9" xfId="6845" xr:uid="{26719CA8-42FD-4050-823E-0FB63C45FF7E}"/>
    <cellStyle name="Normal 5 2 6 9 2" xfId="19527" xr:uid="{715FDBA2-48D2-4581-B7A3-870EF9172FFD}"/>
    <cellStyle name="Normal 5 2 6 9 2 2" xfId="45019" xr:uid="{6CC7B6C2-A9E4-426D-A481-579C56D1C9A9}"/>
    <cellStyle name="Normal 5 2 6 9 3" xfId="32428" xr:uid="{46959B64-78BC-4108-9151-AC7B1D44F8E8}"/>
    <cellStyle name="Normal 5 2 7" xfId="958" xr:uid="{7176128B-E23F-4FB2-8E5B-B6DBCC1D0685}"/>
    <cellStyle name="Normal 5 2 7 2" xfId="2265" xr:uid="{F5C9CDE3-E0E7-4393-A195-32D54D658ACC}"/>
    <cellStyle name="Normal 5 2 7 2 2" xfId="5419" xr:uid="{F4579A2D-9F68-4C7C-9D46-2707F4D608AB}"/>
    <cellStyle name="Normal 5 2 7 2 2 2" xfId="11712" xr:uid="{66A0A5B8-93BB-44EF-BB48-63CA662CD444}"/>
    <cellStyle name="Normal 5 2 7 2 2 2 2" xfId="24394" xr:uid="{95BC9246-A4A8-4A39-A2D9-1DEE50D3C3A8}"/>
    <cellStyle name="Normal 5 2 7 2 2 2 2 2" xfId="49886" xr:uid="{76D553C9-0FD2-4F19-A518-D30597501ED7}"/>
    <cellStyle name="Normal 5 2 7 2 2 2 3" xfId="37295" xr:uid="{13BE1977-2464-4E23-AF40-5FDF5AD90490}"/>
    <cellStyle name="Normal 5 2 7 2 2 3" xfId="18116" xr:uid="{10FD804D-A036-4ECC-AC7F-138372F6D63E}"/>
    <cellStyle name="Normal 5 2 7 2 2 3 2" xfId="43608" xr:uid="{65DEB68A-461F-4ADB-912A-B4A31D461A6B}"/>
    <cellStyle name="Normal 5 2 7 2 2 4" xfId="31017" xr:uid="{97108556-2F86-4393-B9E4-B287CB644B1B}"/>
    <cellStyle name="Normal 5 2 7 2 3" xfId="8573" xr:uid="{F5EB1579-D0BA-4F49-B9A1-DDE4B7634D8F}"/>
    <cellStyle name="Normal 5 2 7 2 3 2" xfId="21255" xr:uid="{02AF2218-DAE8-4F14-A45D-C34600C78AA9}"/>
    <cellStyle name="Normal 5 2 7 2 3 2 2" xfId="46747" xr:uid="{6AB48930-13B2-406F-9909-D1F7DE517188}"/>
    <cellStyle name="Normal 5 2 7 2 3 3" xfId="34156" xr:uid="{054BC8F9-634D-452A-ABA5-13D77F253C19}"/>
    <cellStyle name="Normal 5 2 7 2 4" xfId="14977" xr:uid="{5EE134E0-9144-49F6-A0DF-E49DC5B76FF6}"/>
    <cellStyle name="Normal 5 2 7 2 4 2" xfId="40469" xr:uid="{B116B72B-F12E-4CF3-B9C0-9EFE7A5640F0}"/>
    <cellStyle name="Normal 5 2 7 2 5" xfId="27878" xr:uid="{C1ED341C-2B41-4BD0-891F-9C0DA4E8C2C1}"/>
    <cellStyle name="Normal 5 2 7 3" xfId="1482" xr:uid="{76449896-9AD1-4FD4-811D-0354CA5F40E2}"/>
    <cellStyle name="Normal 5 2 7 3 2" xfId="4636" xr:uid="{E8C18EB4-FE5D-4850-AA76-C61AF77B3D4C}"/>
    <cellStyle name="Normal 5 2 7 3 2 2" xfId="10929" xr:uid="{9EDE3729-865D-4171-8754-D5E4812EF8DE}"/>
    <cellStyle name="Normal 5 2 7 3 2 2 2" xfId="23611" xr:uid="{CB68AE5B-B937-4403-BBFE-5CCC460E0FFB}"/>
    <cellStyle name="Normal 5 2 7 3 2 2 2 2" xfId="49103" xr:uid="{EC025434-0F4A-4DAC-9E9E-410AD58F96C3}"/>
    <cellStyle name="Normal 5 2 7 3 2 2 3" xfId="36512" xr:uid="{387592AC-5233-4524-9C29-74058AFF3685}"/>
    <cellStyle name="Normal 5 2 7 3 2 3" xfId="17333" xr:uid="{762B4D98-4C6E-44C3-8B90-361C59A62D3C}"/>
    <cellStyle name="Normal 5 2 7 3 2 3 2" xfId="42825" xr:uid="{3677346F-2E3B-44E9-AE82-EF3EC1FF9C42}"/>
    <cellStyle name="Normal 5 2 7 3 2 4" xfId="30234" xr:uid="{6F7369AE-62B4-4F08-9DEF-CD7B59BEF861}"/>
    <cellStyle name="Normal 5 2 7 3 3" xfId="7790" xr:uid="{12CC7AD3-B81D-431F-AFEA-366164D3B430}"/>
    <cellStyle name="Normal 5 2 7 3 3 2" xfId="20472" xr:uid="{B9B677E1-F0D5-46DD-B58F-D309EBCAF1A0}"/>
    <cellStyle name="Normal 5 2 7 3 3 2 2" xfId="45964" xr:uid="{F118DC2B-18D0-45A8-970A-B6D21BA7E91F}"/>
    <cellStyle name="Normal 5 2 7 3 3 3" xfId="33373" xr:uid="{0909535B-EAD6-4144-B7C9-35DC8CC6A506}"/>
    <cellStyle name="Normal 5 2 7 3 4" xfId="14194" xr:uid="{447D8EC1-0A30-49A4-91DF-43D8DEB17C64}"/>
    <cellStyle name="Normal 5 2 7 3 4 2" xfId="39686" xr:uid="{FB144FA2-EC5F-4331-AC43-510C59CED7F7}"/>
    <cellStyle name="Normal 5 2 7 3 5" xfId="27095" xr:uid="{99ABFAF6-C379-4F4C-90ED-AF28ED79AD79}"/>
    <cellStyle name="Normal 5 2 7 4" xfId="2789" xr:uid="{78056F3C-1CFD-401B-A552-5F813DDFD6BD}"/>
    <cellStyle name="Normal 5 2 7 4 2" xfId="5943" xr:uid="{0EC7266D-0877-4E7D-828C-BBCFE65E3B09}"/>
    <cellStyle name="Normal 5 2 7 4 2 2" xfId="12236" xr:uid="{32A5AAC0-8CA6-439B-9E19-B9EB800AC8BF}"/>
    <cellStyle name="Normal 5 2 7 4 2 2 2" xfId="24918" xr:uid="{B4068EAA-040E-46A2-9C49-A0AC613F1541}"/>
    <cellStyle name="Normal 5 2 7 4 2 2 2 2" xfId="50410" xr:uid="{F12F258D-B412-4260-8C22-43992A0FA52B}"/>
    <cellStyle name="Normal 5 2 7 4 2 2 3" xfId="37819" xr:uid="{3E855B2F-0DEF-41A5-B10B-A05BDC7134B7}"/>
    <cellStyle name="Normal 5 2 7 4 2 3" xfId="18640" xr:uid="{8F2D8AB3-EDD2-4666-8FF3-AFAA967CA9D6}"/>
    <cellStyle name="Normal 5 2 7 4 2 3 2" xfId="44132" xr:uid="{D67F9077-9723-4C38-95A6-ED3B63208B7C}"/>
    <cellStyle name="Normal 5 2 7 4 2 4" xfId="31541" xr:uid="{583F3005-B95F-4A96-9690-0B1C121CD3C6}"/>
    <cellStyle name="Normal 5 2 7 4 3" xfId="9097" xr:uid="{E020E0A1-4B91-43CB-94C8-24010CAC5553}"/>
    <cellStyle name="Normal 5 2 7 4 3 2" xfId="21779" xr:uid="{5B49E05B-0FCF-4C1E-A7E4-5EC50D15C386}"/>
    <cellStyle name="Normal 5 2 7 4 3 2 2" xfId="47271" xr:uid="{5AC86411-B62E-462F-9123-6C085106EEDF}"/>
    <cellStyle name="Normal 5 2 7 4 3 3" xfId="34680" xr:uid="{D5E2B71D-0F7F-49CE-93AF-7EA4A950B8BE}"/>
    <cellStyle name="Normal 5 2 7 4 4" xfId="15501" xr:uid="{63C8793E-8DB2-4D22-ACA2-4FDFAE66E12D}"/>
    <cellStyle name="Normal 5 2 7 4 4 2" xfId="40993" xr:uid="{C6A1CA32-019D-4ECE-9492-AF913C038EF4}"/>
    <cellStyle name="Normal 5 2 7 4 5" xfId="28402" xr:uid="{A3A93DAD-65AA-470C-B3AE-175E458C464F}"/>
    <cellStyle name="Normal 5 2 7 5" xfId="3312" xr:uid="{DC288D59-C214-4D26-BA58-48731D0C88F1}"/>
    <cellStyle name="Normal 5 2 7 5 2" xfId="6466" xr:uid="{6FF75ADD-1EF5-4C89-A475-BC2BADBC4822}"/>
    <cellStyle name="Normal 5 2 7 5 2 2" xfId="12759" xr:uid="{E38C8535-9F81-4934-BB6D-46B14B71DD1B}"/>
    <cellStyle name="Normal 5 2 7 5 2 2 2" xfId="25441" xr:uid="{23E22085-69BB-412B-A4D6-F2FF4369EBA6}"/>
    <cellStyle name="Normal 5 2 7 5 2 2 2 2" xfId="50933" xr:uid="{8B4D0EC2-7F2C-4D2D-91CF-4C475B937CAA}"/>
    <cellStyle name="Normal 5 2 7 5 2 2 3" xfId="38342" xr:uid="{0D89D70B-8652-426C-B805-BEE0A21C911C}"/>
    <cellStyle name="Normal 5 2 7 5 2 3" xfId="19163" xr:uid="{1725A59E-016E-4EB8-9C2C-A7133B79D5F7}"/>
    <cellStyle name="Normal 5 2 7 5 2 3 2" xfId="44655" xr:uid="{7A5B3D91-72AA-4E32-B285-E80036AD1068}"/>
    <cellStyle name="Normal 5 2 7 5 2 4" xfId="32064" xr:uid="{4E9FCA47-711B-422B-91CA-A7132F2E869E}"/>
    <cellStyle name="Normal 5 2 7 5 3" xfId="9620" xr:uid="{9A563091-8521-455B-AF76-3E89F845373A}"/>
    <cellStyle name="Normal 5 2 7 5 3 2" xfId="22302" xr:uid="{0A5A0586-AC13-4D96-99A3-AC151CC3DBFE}"/>
    <cellStyle name="Normal 5 2 7 5 3 2 2" xfId="47794" xr:uid="{50E5BBAE-C635-4A74-A55E-6A7EBF0C5078}"/>
    <cellStyle name="Normal 5 2 7 5 3 3" xfId="35203" xr:uid="{068C92EA-D07E-4321-AA7A-CD4C1C8D26DB}"/>
    <cellStyle name="Normal 5 2 7 5 4" xfId="16024" xr:uid="{F28BFD1F-10A2-4D0A-933E-F6A493DED7C3}"/>
    <cellStyle name="Normal 5 2 7 5 4 2" xfId="41516" xr:uid="{6C3C35D0-590B-4808-819F-CDBE158010CB}"/>
    <cellStyle name="Normal 5 2 7 5 5" xfId="28925" xr:uid="{BEBEC912-4AFD-49F0-B333-0CEF7237F3E4}"/>
    <cellStyle name="Normal 5 2 7 6" xfId="4112" xr:uid="{45322D23-E2CF-4412-9163-1AB4D08CD988}"/>
    <cellStyle name="Normal 5 2 7 6 2" xfId="10405" xr:uid="{33FB3ADC-3F3E-42DC-A28A-59FF310A3F9D}"/>
    <cellStyle name="Normal 5 2 7 6 2 2" xfId="23087" xr:uid="{BCF60B69-0D21-4AB7-B5B9-5BC641D0B991}"/>
    <cellStyle name="Normal 5 2 7 6 2 2 2" xfId="48579" xr:uid="{467523C5-261D-489D-8C1A-5F649018F230}"/>
    <cellStyle name="Normal 5 2 7 6 2 3" xfId="35988" xr:uid="{047432E3-C85B-4EB0-A027-1A6096F3CF59}"/>
    <cellStyle name="Normal 5 2 7 6 3" xfId="16809" xr:uid="{BB307BD6-969A-4DC9-932A-E1E5482725DC}"/>
    <cellStyle name="Normal 5 2 7 6 3 2" xfId="42301" xr:uid="{15283FB7-C997-4B06-A999-E861D32A7DDC}"/>
    <cellStyle name="Normal 5 2 7 6 4" xfId="29710" xr:uid="{48A5B25C-F460-4D62-91A5-2AE2308D279E}"/>
    <cellStyle name="Normal 5 2 7 7" xfId="7266" xr:uid="{2BCAE97A-A10E-4A65-937E-6B49AB88A2C0}"/>
    <cellStyle name="Normal 5 2 7 7 2" xfId="19948" xr:uid="{5B79C64C-D730-45A2-90BB-733C8EC913DF}"/>
    <cellStyle name="Normal 5 2 7 7 2 2" xfId="45440" xr:uid="{ED71DA51-75D7-4982-8DF5-28484814F80A}"/>
    <cellStyle name="Normal 5 2 7 7 3" xfId="32849" xr:uid="{DC7CEF53-E37A-4270-ACB4-5082B9E792E9}"/>
    <cellStyle name="Normal 5 2 7 8" xfId="13670" xr:uid="{AAC3FB93-0362-47CB-B42A-36F25B7B1B5C}"/>
    <cellStyle name="Normal 5 2 7 8 2" xfId="39162" xr:uid="{E98A5F08-008D-4B71-B743-BC85513AD669}"/>
    <cellStyle name="Normal 5 2 7 9" xfId="26571" xr:uid="{9802F6F3-C96D-46F6-972A-A9C32C6CB4A9}"/>
    <cellStyle name="Normal 5 2 8" xfId="698" xr:uid="{7DF2DFDE-3C7E-4B57-8053-6226281E7508}"/>
    <cellStyle name="Normal 5 2 8 2" xfId="2005" xr:uid="{1C28E165-685A-4F4D-8E45-0A480AFEB345}"/>
    <cellStyle name="Normal 5 2 8 2 2" xfId="5159" xr:uid="{7D9AE15C-B23B-4454-898D-9F98209EC2E6}"/>
    <cellStyle name="Normal 5 2 8 2 2 2" xfId="11452" xr:uid="{76EBDBA6-3F76-4B57-B409-0ABA177028CF}"/>
    <cellStyle name="Normal 5 2 8 2 2 2 2" xfId="24134" xr:uid="{17A888E1-3299-4E1B-B5F4-F9820352B342}"/>
    <cellStyle name="Normal 5 2 8 2 2 2 2 2" xfId="49626" xr:uid="{C537EAD2-1840-46D7-8356-745FC60401FD}"/>
    <cellStyle name="Normal 5 2 8 2 2 2 3" xfId="37035" xr:uid="{CB79B3BB-D541-4588-9D1E-325F2F6086C8}"/>
    <cellStyle name="Normal 5 2 8 2 2 3" xfId="17856" xr:uid="{8911F144-38E4-4E72-B59A-B430F475AF21}"/>
    <cellStyle name="Normal 5 2 8 2 2 3 2" xfId="43348" xr:uid="{250A81F6-1181-448B-A3C5-72A63F70C803}"/>
    <cellStyle name="Normal 5 2 8 2 2 4" xfId="30757" xr:uid="{6C224297-2E68-4A0E-AA18-D6D465901108}"/>
    <cellStyle name="Normal 5 2 8 2 3" xfId="8313" xr:uid="{D25C7C29-09AB-42E3-892F-7C491B568412}"/>
    <cellStyle name="Normal 5 2 8 2 3 2" xfId="20995" xr:uid="{6F033389-516A-46D6-9181-275C6D17474F}"/>
    <cellStyle name="Normal 5 2 8 2 3 2 2" xfId="46487" xr:uid="{3D299959-B7E0-4533-9150-85304EAAC1C0}"/>
    <cellStyle name="Normal 5 2 8 2 3 3" xfId="33896" xr:uid="{E54A2018-20DB-47D0-933C-FC547767CE93}"/>
    <cellStyle name="Normal 5 2 8 2 4" xfId="14717" xr:uid="{83919895-26C5-4A0D-9CB0-1A39591A3EA0}"/>
    <cellStyle name="Normal 5 2 8 2 4 2" xfId="40209" xr:uid="{725C1961-857A-4252-B191-53D10328E8C2}"/>
    <cellStyle name="Normal 5 2 8 2 5" xfId="27618" xr:uid="{ED4F447F-E183-4388-80E1-64369E61DFB0}"/>
    <cellStyle name="Normal 5 2 8 3" xfId="3852" xr:uid="{EBFC2AD5-1282-41AA-8E76-3F3C93CBC66D}"/>
    <cellStyle name="Normal 5 2 8 3 2" xfId="10145" xr:uid="{AA8CACD9-9DCF-41DA-8AD9-91A449562D32}"/>
    <cellStyle name="Normal 5 2 8 3 2 2" xfId="22827" xr:uid="{9D0910B8-7052-4AFF-AD91-A266C3C0D48A}"/>
    <cellStyle name="Normal 5 2 8 3 2 2 2" xfId="48319" xr:uid="{39207E21-5AB5-47F7-B8F0-FF8EB8C76C1D}"/>
    <cellStyle name="Normal 5 2 8 3 2 3" xfId="35728" xr:uid="{BBCAEB6D-28FF-4A56-8EBE-01F4093B2674}"/>
    <cellStyle name="Normal 5 2 8 3 3" xfId="16549" xr:uid="{5A6F138F-2295-49EC-9501-4D0D5D080CB8}"/>
    <cellStyle name="Normal 5 2 8 3 3 2" xfId="42041" xr:uid="{04C14517-2953-4CFD-B57A-E056F41B3020}"/>
    <cellStyle name="Normal 5 2 8 3 4" xfId="29450" xr:uid="{55808D8F-A862-40CC-953D-6AE5D3C97B21}"/>
    <cellStyle name="Normal 5 2 8 4" xfId="7006" xr:uid="{FECA8024-594A-49FD-92BD-44E6C222E489}"/>
    <cellStyle name="Normal 5 2 8 4 2" xfId="19688" xr:uid="{644E2B75-4E67-4BA6-8A05-8187E2EB5AE7}"/>
    <cellStyle name="Normal 5 2 8 4 2 2" xfId="45180" xr:uid="{AC90D54B-50BC-4716-8EAE-490965D4FAF0}"/>
    <cellStyle name="Normal 5 2 8 4 3" xfId="32589" xr:uid="{01841E7A-DADF-4FC4-8DA9-397B1D55C943}"/>
    <cellStyle name="Normal 5 2 8 5" xfId="13410" xr:uid="{77C40C9A-5E7A-4415-9C41-BD1A87214A13}"/>
    <cellStyle name="Normal 5 2 8 5 2" xfId="38902" xr:uid="{97684379-B6BE-419C-A806-05577FBE7F91}"/>
    <cellStyle name="Normal 5 2 8 6" xfId="26311" xr:uid="{A799AF4D-CF52-41CB-8DB6-B04360ED4B0A}"/>
    <cellStyle name="Normal 5 2 9" xfId="1743" xr:uid="{6DE19B26-2BEB-4916-BAC6-08D76FFA5EB0}"/>
    <cellStyle name="Normal 5 2 9 2" xfId="4897" xr:uid="{FFA03019-2E85-4450-AB12-F105010FF680}"/>
    <cellStyle name="Normal 5 2 9 2 2" xfId="11190" xr:uid="{59E055BA-182E-45B5-9556-F0804FEBE566}"/>
    <cellStyle name="Normal 5 2 9 2 2 2" xfId="23872" xr:uid="{09F10493-5952-46B9-AE6F-529867A0B081}"/>
    <cellStyle name="Normal 5 2 9 2 2 2 2" xfId="49364" xr:uid="{A53ECABC-D3DF-4CB6-8779-F57010B207AB}"/>
    <cellStyle name="Normal 5 2 9 2 2 3" xfId="36773" xr:uid="{0438140B-E7CD-437C-8671-89341C130ECD}"/>
    <cellStyle name="Normal 5 2 9 2 3" xfId="17594" xr:uid="{A9316B0F-B362-4B6C-ABCF-EDCEE69A76FD}"/>
    <cellStyle name="Normal 5 2 9 2 3 2" xfId="43086" xr:uid="{C9CC6A80-5A11-48AD-AA90-47A599DA0A76}"/>
    <cellStyle name="Normal 5 2 9 2 4" xfId="30495" xr:uid="{159C99C5-4FC9-4634-A259-C4CF1A34E089}"/>
    <cellStyle name="Normal 5 2 9 3" xfId="8051" xr:uid="{F4BAB424-1BB9-404D-AA8C-51947661A2B4}"/>
    <cellStyle name="Normal 5 2 9 3 2" xfId="20733" xr:uid="{F5966434-5DD5-4D75-A27E-83D7AC7B1557}"/>
    <cellStyle name="Normal 5 2 9 3 2 2" xfId="46225" xr:uid="{3564EE5D-95DD-4572-98B4-D72061D09588}"/>
    <cellStyle name="Normal 5 2 9 3 3" xfId="33634" xr:uid="{5692D680-8EFB-49DA-88AD-2F97B3608300}"/>
    <cellStyle name="Normal 5 2 9 4" xfId="14455" xr:uid="{E16396CC-F375-4437-8718-33544957AEB6}"/>
    <cellStyle name="Normal 5 2 9 4 2" xfId="39947" xr:uid="{6FDD345B-0728-4ECA-8CE7-721D9154063B}"/>
    <cellStyle name="Normal 5 2 9 5" xfId="27356" xr:uid="{6593644C-D869-4263-B0DB-2988435B2D51}"/>
    <cellStyle name="Normal 5 20" xfId="222" xr:uid="{8B933874-C01E-49C1-8A01-C34CD60988E4}"/>
    <cellStyle name="Normal 5 3" xfId="432" xr:uid="{966C0660-4131-4DFB-A464-C9F1C4247D90}"/>
    <cellStyle name="Normal 5 3 10" xfId="3062" xr:uid="{EB9DD868-9059-42D3-8697-BC04EC71EC3D}"/>
    <cellStyle name="Normal 5 3 10 2" xfId="6216" xr:uid="{3ECF0474-50D1-4184-812A-BDA8F7365EEB}"/>
    <cellStyle name="Normal 5 3 10 2 2" xfId="12509" xr:uid="{2C92110C-91F7-423B-AD79-AF11174EA293}"/>
    <cellStyle name="Normal 5 3 10 2 2 2" xfId="25191" xr:uid="{E5901F13-BA87-4B7A-A451-E3A2D0BEBCF6}"/>
    <cellStyle name="Normal 5 3 10 2 2 2 2" xfId="50683" xr:uid="{159E6592-0731-488A-A637-E1AAC4E55E7B}"/>
    <cellStyle name="Normal 5 3 10 2 2 3" xfId="38092" xr:uid="{381A5940-EAE0-4021-8CC1-5EC3C7014184}"/>
    <cellStyle name="Normal 5 3 10 2 3" xfId="18913" xr:uid="{866FC15D-158D-439E-A572-72B70D3F7BE9}"/>
    <cellStyle name="Normal 5 3 10 2 3 2" xfId="44405" xr:uid="{F22E7928-73C0-49F8-B9EE-529CA2DEA0FD}"/>
    <cellStyle name="Normal 5 3 10 2 4" xfId="31814" xr:uid="{D6B6E0EC-D176-4808-A1D9-4CB442E2E9E7}"/>
    <cellStyle name="Normal 5 3 10 3" xfId="9370" xr:uid="{57471841-D7DD-4BA7-A663-46865A6F9743}"/>
    <cellStyle name="Normal 5 3 10 3 2" xfId="22052" xr:uid="{A6C320E1-3387-43C5-89B2-B5DD5588BC14}"/>
    <cellStyle name="Normal 5 3 10 3 2 2" xfId="47544" xr:uid="{15B25FEE-DCC4-49B1-A9B5-5F581A4D61E9}"/>
    <cellStyle name="Normal 5 3 10 3 3" xfId="34953" xr:uid="{F1C1FBD3-60C9-4037-8A91-87626A34CDD9}"/>
    <cellStyle name="Normal 5 3 10 4" xfId="15774" xr:uid="{4D867782-1F4D-4F2A-8324-27B5BE1A3E5B}"/>
    <cellStyle name="Normal 5 3 10 4 2" xfId="41266" xr:uid="{54E633E2-E106-4CE9-8F68-3417F45BE8D8}"/>
    <cellStyle name="Normal 5 3 10 5" xfId="28675" xr:uid="{20D7A8A7-7E23-4569-97F9-A3F8A6A09B11}"/>
    <cellStyle name="Normal 5 3 11" xfId="3601" xr:uid="{BAA138F4-8EC2-40E5-9356-B1CD57E6F989}"/>
    <cellStyle name="Normal 5 3 11 2" xfId="9894" xr:uid="{18CA1003-92E5-43E4-BB78-7495655D8016}"/>
    <cellStyle name="Normal 5 3 11 2 2" xfId="22576" xr:uid="{32ED2033-81E0-4318-BCE5-98374ABCA9DF}"/>
    <cellStyle name="Normal 5 3 11 2 2 2" xfId="48068" xr:uid="{C4EB0DEF-C1EC-4598-886D-094BCDD25B10}"/>
    <cellStyle name="Normal 5 3 11 2 3" xfId="35477" xr:uid="{3DD2E597-91DF-4835-B5F3-66C3791E7561}"/>
    <cellStyle name="Normal 5 3 11 3" xfId="16298" xr:uid="{36FD2C83-7510-4403-9278-2343272B7B5E}"/>
    <cellStyle name="Normal 5 3 11 3 2" xfId="41790" xr:uid="{04C82EDD-9FF2-44F3-99E2-6B80A573C3D8}"/>
    <cellStyle name="Normal 5 3 11 4" xfId="29199" xr:uid="{2EAEC461-8671-4B16-8B81-7D1EFB8F2075}"/>
    <cellStyle name="Normal 5 3 12" xfId="6755" xr:uid="{8A3AFA14-97D2-4602-ABD2-A568800171AB}"/>
    <cellStyle name="Normal 5 3 12 2" xfId="19437" xr:uid="{7F88FC95-D03C-4B5C-A570-FCE724E2CD0B}"/>
    <cellStyle name="Normal 5 3 12 2 2" xfId="44929" xr:uid="{A803568B-9F43-44E4-97A8-F4C7E36D08B5}"/>
    <cellStyle name="Normal 5 3 12 3" xfId="32338" xr:uid="{D4E3C954-02D9-41F2-8DEA-8F0AC7767196}"/>
    <cellStyle name="Normal 5 3 13" xfId="13159" xr:uid="{A0332859-F291-4882-88B1-90707FAFF322}"/>
    <cellStyle name="Normal 5 3 13 2" xfId="38651" xr:uid="{6805F550-6ED6-400B-99DE-AE1939CBC32E}"/>
    <cellStyle name="Normal 5 3 14" xfId="26060" xr:uid="{8A32202D-EF12-4019-8747-EAD9E9E5BD6B}"/>
    <cellStyle name="Normal 5 3 2" xfId="493" xr:uid="{10F70D41-562F-462A-ADFE-AF413816C95F}"/>
    <cellStyle name="Normal 5 3 2 10" xfId="6816" xr:uid="{F17EA550-B6ED-4262-AF48-A40067BF6ED7}"/>
    <cellStyle name="Normal 5 3 2 10 2" xfId="19498" xr:uid="{B5964886-1D5C-454B-8808-D8CE582E81F3}"/>
    <cellStyle name="Normal 5 3 2 10 2 2" xfId="44990" xr:uid="{A0DAFA1E-81C7-48A6-AD22-D617184C4C04}"/>
    <cellStyle name="Normal 5 3 2 10 3" xfId="32399" xr:uid="{FD066936-436E-435A-A419-DD38F4E27751}"/>
    <cellStyle name="Normal 5 3 2 11" xfId="13220" xr:uid="{F904592D-3AEB-4E9C-8CCB-96BD7BBB345C}"/>
    <cellStyle name="Normal 5 3 2 11 2" xfId="38712" xr:uid="{7AF0AEFA-8978-4FCE-91FC-3B3D872BB0F6}"/>
    <cellStyle name="Normal 5 3 2 12" xfId="26121" xr:uid="{01EAB286-B063-43DD-AB31-46314762EB11}"/>
    <cellStyle name="Normal 5 3 2 2" xfId="652" xr:uid="{E9973C72-F973-4E9C-B15D-54142F48232A}"/>
    <cellStyle name="Normal 5 3 2 2 10" xfId="13379" xr:uid="{688976C5-6152-47A2-8109-9A8DE439F8EA}"/>
    <cellStyle name="Normal 5 3 2 2 10 2" xfId="38871" xr:uid="{79F8E28A-2FF2-40C3-BFE9-B66A6DE0B42C}"/>
    <cellStyle name="Normal 5 3 2 2 11" xfId="26280" xr:uid="{5084ECAA-B4D1-4623-B982-153975CBA39C}"/>
    <cellStyle name="Normal 5 3 2 2 2" xfId="1189" xr:uid="{92E6BED9-DC86-454A-A285-B01E1FAA1C05}"/>
    <cellStyle name="Normal 5 3 2 2 2 2" xfId="2496" xr:uid="{CDD59565-DC25-4F00-A461-A79F22F859CD}"/>
    <cellStyle name="Normal 5 3 2 2 2 2 2" xfId="5650" xr:uid="{35538738-B2FF-4593-98B0-56261D5622DE}"/>
    <cellStyle name="Normal 5 3 2 2 2 2 2 2" xfId="11943" xr:uid="{1D97FEB6-203C-4D2E-8152-2B5A55CD7A3A}"/>
    <cellStyle name="Normal 5 3 2 2 2 2 2 2 2" xfId="24625" xr:uid="{4065B8BC-526D-4ED8-A622-F9D918AD53A8}"/>
    <cellStyle name="Normal 5 3 2 2 2 2 2 2 2 2" xfId="50117" xr:uid="{700C69B8-9E02-4443-8D72-3B3387B5E23A}"/>
    <cellStyle name="Normal 5 3 2 2 2 2 2 2 3" xfId="37526" xr:uid="{89BFC1E5-01FE-4843-BE9A-20EEAB27854E}"/>
    <cellStyle name="Normal 5 3 2 2 2 2 2 3" xfId="18347" xr:uid="{46934476-8D0C-4F62-B236-D7A6C40D88A2}"/>
    <cellStyle name="Normal 5 3 2 2 2 2 2 3 2" xfId="43839" xr:uid="{579E248D-2A63-4A6A-B5BD-56560E58E984}"/>
    <cellStyle name="Normal 5 3 2 2 2 2 2 4" xfId="31248" xr:uid="{B7EEB3A1-49F8-419A-BEF0-32E8B6F69DFB}"/>
    <cellStyle name="Normal 5 3 2 2 2 2 3" xfId="8804" xr:uid="{A0D41E81-1EAB-4F60-99A1-953B4C4DACF7}"/>
    <cellStyle name="Normal 5 3 2 2 2 2 3 2" xfId="21486" xr:uid="{D3D26148-D6AE-44A2-8880-324FA2E8DC69}"/>
    <cellStyle name="Normal 5 3 2 2 2 2 3 2 2" xfId="46978" xr:uid="{4DF70521-C9DB-4842-A0B6-C3F2ED184E40}"/>
    <cellStyle name="Normal 5 3 2 2 2 2 3 3" xfId="34387" xr:uid="{40DC940B-842B-4098-A634-D9664A3D2674}"/>
    <cellStyle name="Normal 5 3 2 2 2 2 4" xfId="15208" xr:uid="{61432E25-ADCB-41D0-971E-1E241498EEEB}"/>
    <cellStyle name="Normal 5 3 2 2 2 2 4 2" xfId="40700" xr:uid="{434F21B1-28C3-4FD5-9D7B-C7D8F10B03FC}"/>
    <cellStyle name="Normal 5 3 2 2 2 2 5" xfId="28109" xr:uid="{5841196D-DC05-472D-9A2A-0CC8FE9D7584}"/>
    <cellStyle name="Normal 5 3 2 2 2 3" xfId="1713" xr:uid="{90DCA60F-F1C7-4900-8FF1-55081992F78F}"/>
    <cellStyle name="Normal 5 3 2 2 2 3 2" xfId="4867" xr:uid="{4E78EC73-2839-416F-BB83-1C77825440CC}"/>
    <cellStyle name="Normal 5 3 2 2 2 3 2 2" xfId="11160" xr:uid="{5BE69A55-6134-42B0-9D79-D60ED1BB5CDE}"/>
    <cellStyle name="Normal 5 3 2 2 2 3 2 2 2" xfId="23842" xr:uid="{6D335092-8E5F-48AE-A080-1260524FF31D}"/>
    <cellStyle name="Normal 5 3 2 2 2 3 2 2 2 2" xfId="49334" xr:uid="{B4244028-FA64-428F-9BF3-1D1776BA654A}"/>
    <cellStyle name="Normal 5 3 2 2 2 3 2 2 3" xfId="36743" xr:uid="{F6878515-FF55-4252-802B-5FAFD419312F}"/>
    <cellStyle name="Normal 5 3 2 2 2 3 2 3" xfId="17564" xr:uid="{349BCF27-4EB2-4D46-AAF6-75014085604D}"/>
    <cellStyle name="Normal 5 3 2 2 2 3 2 3 2" xfId="43056" xr:uid="{EFE0D4CD-E950-4D21-846D-67FA5BDC732A}"/>
    <cellStyle name="Normal 5 3 2 2 2 3 2 4" xfId="30465" xr:uid="{3A7BEB12-C54B-47CB-B98B-726DD68AB6DE}"/>
    <cellStyle name="Normal 5 3 2 2 2 3 3" xfId="8021" xr:uid="{21ED1D86-BFFB-491C-8C46-2BA5E0BA53B8}"/>
    <cellStyle name="Normal 5 3 2 2 2 3 3 2" xfId="20703" xr:uid="{4D9FCEF4-611E-4C08-A10B-5879634A4A65}"/>
    <cellStyle name="Normal 5 3 2 2 2 3 3 2 2" xfId="46195" xr:uid="{F32C8CB7-7254-492C-863B-7A890B151447}"/>
    <cellStyle name="Normal 5 3 2 2 2 3 3 3" xfId="33604" xr:uid="{C8814457-B6CA-42B1-936A-3E1FBC83E633}"/>
    <cellStyle name="Normal 5 3 2 2 2 3 4" xfId="14425" xr:uid="{1801531E-01FB-4379-B965-57F8E0A9A4B8}"/>
    <cellStyle name="Normal 5 3 2 2 2 3 4 2" xfId="39917" xr:uid="{D5295844-A543-4FA9-BB8A-8D06F9E2CEC2}"/>
    <cellStyle name="Normal 5 3 2 2 2 3 5" xfId="27326" xr:uid="{FBB4FE72-23C4-451C-806A-5379D7F791E4}"/>
    <cellStyle name="Normal 5 3 2 2 2 4" xfId="3020" xr:uid="{6619A844-6831-4911-B418-A6B10CFABC52}"/>
    <cellStyle name="Normal 5 3 2 2 2 4 2" xfId="6174" xr:uid="{92E1E0E6-7638-479B-B118-7CC036063C63}"/>
    <cellStyle name="Normal 5 3 2 2 2 4 2 2" xfId="12467" xr:uid="{D74E2913-653F-48A1-9705-AD2AC0F0D1D1}"/>
    <cellStyle name="Normal 5 3 2 2 2 4 2 2 2" xfId="25149" xr:uid="{4557FD01-D302-4AC2-9E5B-15964850CC89}"/>
    <cellStyle name="Normal 5 3 2 2 2 4 2 2 2 2" xfId="50641" xr:uid="{6720EDF7-2124-4031-9FB6-8E3542C7344C}"/>
    <cellStyle name="Normal 5 3 2 2 2 4 2 2 3" xfId="38050" xr:uid="{E6B3FA0B-877B-4631-B221-01770182C848}"/>
    <cellStyle name="Normal 5 3 2 2 2 4 2 3" xfId="18871" xr:uid="{F5B85D12-7A1D-4E7C-8744-9CD00C26E22D}"/>
    <cellStyle name="Normal 5 3 2 2 2 4 2 3 2" xfId="44363" xr:uid="{B76896E6-5B7B-4BAA-8669-9599666C84F1}"/>
    <cellStyle name="Normal 5 3 2 2 2 4 2 4" xfId="31772" xr:uid="{A69CC952-9221-4985-9BB5-C0154E29E1F6}"/>
    <cellStyle name="Normal 5 3 2 2 2 4 3" xfId="9328" xr:uid="{9EC696AB-5E54-4520-B25B-DB202D2A7AD2}"/>
    <cellStyle name="Normal 5 3 2 2 2 4 3 2" xfId="22010" xr:uid="{29B20F4C-855D-448E-9801-C09A8F39C89A}"/>
    <cellStyle name="Normal 5 3 2 2 2 4 3 2 2" xfId="47502" xr:uid="{07624AB3-F7AF-42C6-BD18-7A61F682EF29}"/>
    <cellStyle name="Normal 5 3 2 2 2 4 3 3" xfId="34911" xr:uid="{5812A171-2945-490E-A501-30640ACD90E9}"/>
    <cellStyle name="Normal 5 3 2 2 2 4 4" xfId="15732" xr:uid="{FFA04CBA-C5B5-48C0-BDA3-89D63E06BB50}"/>
    <cellStyle name="Normal 5 3 2 2 2 4 4 2" xfId="41224" xr:uid="{29DB883C-99C4-4E16-8583-6201C11CCCDF}"/>
    <cellStyle name="Normal 5 3 2 2 2 4 5" xfId="28633" xr:uid="{A9BA8062-8938-4765-B36A-F37EC04E1627}"/>
    <cellStyle name="Normal 5 3 2 2 2 5" xfId="3543" xr:uid="{A9D0A499-6134-4C9A-9A0B-613712016A4D}"/>
    <cellStyle name="Normal 5 3 2 2 2 5 2" xfId="6697" xr:uid="{7C186DE6-06E9-4E04-9F81-938FFD707B8E}"/>
    <cellStyle name="Normal 5 3 2 2 2 5 2 2" xfId="12990" xr:uid="{F245B26D-6D0C-4D2B-BD95-7583304B7F11}"/>
    <cellStyle name="Normal 5 3 2 2 2 5 2 2 2" xfId="25672" xr:uid="{94C7FDDD-1611-46CE-A22F-274BC3D3E37E}"/>
    <cellStyle name="Normal 5 3 2 2 2 5 2 2 2 2" xfId="51164" xr:uid="{62B8AA08-C2BD-4215-A3B9-5007054FFB5E}"/>
    <cellStyle name="Normal 5 3 2 2 2 5 2 2 3" xfId="38573" xr:uid="{F6554763-7206-4EC5-B0E5-950EA5C63919}"/>
    <cellStyle name="Normal 5 3 2 2 2 5 2 3" xfId="19394" xr:uid="{3D5D5FB9-45F6-4A39-AD77-D7786C04B867}"/>
    <cellStyle name="Normal 5 3 2 2 2 5 2 3 2" xfId="44886" xr:uid="{ABDC39C0-9D89-41C3-8AB3-3E6FBD245FCF}"/>
    <cellStyle name="Normal 5 3 2 2 2 5 2 4" xfId="32295" xr:uid="{14EF1CF1-F20B-4EBC-A237-BABE92B8D9FE}"/>
    <cellStyle name="Normal 5 3 2 2 2 5 3" xfId="9851" xr:uid="{4514BF6F-EFEB-43DB-A2DA-2D939206DD43}"/>
    <cellStyle name="Normal 5 3 2 2 2 5 3 2" xfId="22533" xr:uid="{C8C1E48F-23EA-4DD6-BAB4-DFFC46C8CA17}"/>
    <cellStyle name="Normal 5 3 2 2 2 5 3 2 2" xfId="48025" xr:uid="{BBD0A1ED-E671-41A5-906B-1DAF3FDFA0BF}"/>
    <cellStyle name="Normal 5 3 2 2 2 5 3 3" xfId="35434" xr:uid="{01690E30-0EDC-4EAF-B2C0-914523EAE116}"/>
    <cellStyle name="Normal 5 3 2 2 2 5 4" xfId="16255" xr:uid="{36FC90C5-9486-4D9C-8AA5-C1522AAB30B7}"/>
    <cellStyle name="Normal 5 3 2 2 2 5 4 2" xfId="41747" xr:uid="{170F0423-0365-4E0C-844D-08F9FA76D220}"/>
    <cellStyle name="Normal 5 3 2 2 2 5 5" xfId="29156" xr:uid="{6FDFB571-39D2-4003-8E1C-0FF26264232C}"/>
    <cellStyle name="Normal 5 3 2 2 2 6" xfId="4343" xr:uid="{BDB7A002-BA55-4E35-B54D-D6ED4D646051}"/>
    <cellStyle name="Normal 5 3 2 2 2 6 2" xfId="10636" xr:uid="{C53C8EC1-D97E-4E54-B8E7-BD57F1755CCD}"/>
    <cellStyle name="Normal 5 3 2 2 2 6 2 2" xfId="23318" xr:uid="{273DC8D9-6865-4DB5-ADE9-831577863EB5}"/>
    <cellStyle name="Normal 5 3 2 2 2 6 2 2 2" xfId="48810" xr:uid="{37431A5B-50FE-4471-8A5D-76AACBF63442}"/>
    <cellStyle name="Normal 5 3 2 2 2 6 2 3" xfId="36219" xr:uid="{1F10108C-648C-4AFA-B9C0-7DBAF93639A2}"/>
    <cellStyle name="Normal 5 3 2 2 2 6 3" xfId="17040" xr:uid="{8121E2F9-A0DD-4828-881B-1AB62BCB3790}"/>
    <cellStyle name="Normal 5 3 2 2 2 6 3 2" xfId="42532" xr:uid="{83AC019E-C850-4772-89D2-CE9B6C586C45}"/>
    <cellStyle name="Normal 5 3 2 2 2 6 4" xfId="29941" xr:uid="{F3DEA68C-9CF3-4157-B9FA-E238C91823E3}"/>
    <cellStyle name="Normal 5 3 2 2 2 7" xfId="7497" xr:uid="{F6FDF6E7-A647-4E43-BEFB-284B6B94380D}"/>
    <cellStyle name="Normal 5 3 2 2 2 7 2" xfId="20179" xr:uid="{7D474540-9C59-4956-9A3A-50E8518D7EBA}"/>
    <cellStyle name="Normal 5 3 2 2 2 7 2 2" xfId="45671" xr:uid="{2373C771-2353-461F-92C8-12B0610AC9C8}"/>
    <cellStyle name="Normal 5 3 2 2 2 7 3" xfId="33080" xr:uid="{3E5522E0-D953-4FDD-8A87-53EEB9432015}"/>
    <cellStyle name="Normal 5 3 2 2 2 8" xfId="13901" xr:uid="{1EED4196-05AF-4C42-A926-D139249CACF1}"/>
    <cellStyle name="Normal 5 3 2 2 2 8 2" xfId="39393" xr:uid="{27C9DFB5-1807-4697-881F-12AFEB56723B}"/>
    <cellStyle name="Normal 5 3 2 2 2 9" xfId="26802" xr:uid="{0F905E4C-DC2D-4BE9-BC08-84F1AFE3C7E3}"/>
    <cellStyle name="Normal 5 3 2 2 3" xfId="929" xr:uid="{F258CF6D-5ACE-4400-B80C-12D838E4FF8B}"/>
    <cellStyle name="Normal 5 3 2 2 3 2" xfId="2236" xr:uid="{FB50C94E-3527-441B-A78E-3040A3D284DD}"/>
    <cellStyle name="Normal 5 3 2 2 3 2 2" xfId="5390" xr:uid="{1D60EA4F-31CE-4061-BAF7-28215D519430}"/>
    <cellStyle name="Normal 5 3 2 2 3 2 2 2" xfId="11683" xr:uid="{986838AE-74AB-48F5-8351-6012A783A458}"/>
    <cellStyle name="Normal 5 3 2 2 3 2 2 2 2" xfId="24365" xr:uid="{1BC078EB-9035-4FFF-A77A-B4913B7DB5A4}"/>
    <cellStyle name="Normal 5 3 2 2 3 2 2 2 2 2" xfId="49857" xr:uid="{F4B1F40B-27D1-4561-83C2-AFA27C58C8C7}"/>
    <cellStyle name="Normal 5 3 2 2 3 2 2 2 3" xfId="37266" xr:uid="{35AA1615-0FAA-4179-96F4-13D936EE05E7}"/>
    <cellStyle name="Normal 5 3 2 2 3 2 2 3" xfId="18087" xr:uid="{66E9B43C-E143-4859-8E69-CD284375AA11}"/>
    <cellStyle name="Normal 5 3 2 2 3 2 2 3 2" xfId="43579" xr:uid="{54C10507-21E6-4496-BF3B-8E2C30F9ABDB}"/>
    <cellStyle name="Normal 5 3 2 2 3 2 2 4" xfId="30988" xr:uid="{898995C3-5E00-4C46-A060-AB8FD653066F}"/>
    <cellStyle name="Normal 5 3 2 2 3 2 3" xfId="8544" xr:uid="{283D6C86-2EA6-42B8-BCEB-80C2716C1719}"/>
    <cellStyle name="Normal 5 3 2 2 3 2 3 2" xfId="21226" xr:uid="{89333BF5-7358-4B7B-8B4B-87120201F209}"/>
    <cellStyle name="Normal 5 3 2 2 3 2 3 2 2" xfId="46718" xr:uid="{FFA7FEA6-E9BB-45D0-94E1-CD5CD97BE917}"/>
    <cellStyle name="Normal 5 3 2 2 3 2 3 3" xfId="34127" xr:uid="{6FD0395A-1ADF-4BDF-B93F-4816AD237C5E}"/>
    <cellStyle name="Normal 5 3 2 2 3 2 4" xfId="14948" xr:uid="{B07964EF-9ED7-4567-A023-BC6B264EF730}"/>
    <cellStyle name="Normal 5 3 2 2 3 2 4 2" xfId="40440" xr:uid="{D7CE3717-1751-4594-9C7D-42265929CADD}"/>
    <cellStyle name="Normal 5 3 2 2 3 2 5" xfId="27849" xr:uid="{40565974-C7B1-466D-AFE8-36719A72125C}"/>
    <cellStyle name="Normal 5 3 2 2 3 3" xfId="4083" xr:uid="{909D244E-253A-476C-A719-6DE76692D5E2}"/>
    <cellStyle name="Normal 5 3 2 2 3 3 2" xfId="10376" xr:uid="{195F51A5-3116-41A1-BD37-F827E29E2B1B}"/>
    <cellStyle name="Normal 5 3 2 2 3 3 2 2" xfId="23058" xr:uid="{2B8E58B7-3C44-4252-813C-03C73BD3581B}"/>
    <cellStyle name="Normal 5 3 2 2 3 3 2 2 2" xfId="48550" xr:uid="{80088790-AE8C-46C6-B72F-2FC5FC6127C0}"/>
    <cellStyle name="Normal 5 3 2 2 3 3 2 3" xfId="35959" xr:uid="{1BA41493-D4CE-4175-81B9-6954EC8EF556}"/>
    <cellStyle name="Normal 5 3 2 2 3 3 3" xfId="16780" xr:uid="{88F1FA78-6ADD-4792-B30A-91002CB1839E}"/>
    <cellStyle name="Normal 5 3 2 2 3 3 3 2" xfId="42272" xr:uid="{ADB6DF4C-01CE-4825-844C-417F94CE29D5}"/>
    <cellStyle name="Normal 5 3 2 2 3 3 4" xfId="29681" xr:uid="{C7DFE35C-A44E-4084-8BE1-CA9113A27971}"/>
    <cellStyle name="Normal 5 3 2 2 3 4" xfId="7237" xr:uid="{56E5090B-A9C3-4846-8955-C6B4756F5F16}"/>
    <cellStyle name="Normal 5 3 2 2 3 4 2" xfId="19919" xr:uid="{41A9343C-BF6A-4F61-B960-B951C659ABF7}"/>
    <cellStyle name="Normal 5 3 2 2 3 4 2 2" xfId="45411" xr:uid="{118175EB-AB04-4373-8185-5888258DE3CB}"/>
    <cellStyle name="Normal 5 3 2 2 3 4 3" xfId="32820" xr:uid="{9334A9EB-BDAF-4755-88DF-6E3F49CC9A9D}"/>
    <cellStyle name="Normal 5 3 2 2 3 5" xfId="13641" xr:uid="{F8346FA8-D6EF-4D00-9A9F-A2F8F1F2F049}"/>
    <cellStyle name="Normal 5 3 2 2 3 5 2" xfId="39133" xr:uid="{82FECFA5-4D7C-4785-8CE5-E3BD3562551B}"/>
    <cellStyle name="Normal 5 3 2 2 3 6" xfId="26542" xr:uid="{5EF5A684-A6F1-4FA1-9C72-9527760AA503}"/>
    <cellStyle name="Normal 5 3 2 2 4" xfId="1974" xr:uid="{F9F789B6-78C5-47B5-BB02-47587697D313}"/>
    <cellStyle name="Normal 5 3 2 2 4 2" xfId="5128" xr:uid="{19EDF349-0F30-4EB9-866F-937475F6DB58}"/>
    <cellStyle name="Normal 5 3 2 2 4 2 2" xfId="11421" xr:uid="{99C98946-9598-4B0B-A103-58D50858B63F}"/>
    <cellStyle name="Normal 5 3 2 2 4 2 2 2" xfId="24103" xr:uid="{CE1A6931-60EE-4FEE-B3B4-67EC52E926E3}"/>
    <cellStyle name="Normal 5 3 2 2 4 2 2 2 2" xfId="49595" xr:uid="{1B6635F8-5E8D-4A7D-AC8E-51E2507E5B92}"/>
    <cellStyle name="Normal 5 3 2 2 4 2 2 3" xfId="37004" xr:uid="{3798068D-48B4-4409-8223-E16E49A294D5}"/>
    <cellStyle name="Normal 5 3 2 2 4 2 3" xfId="17825" xr:uid="{6B5C132A-652E-48D9-9BAB-19581BE3ED40}"/>
    <cellStyle name="Normal 5 3 2 2 4 2 3 2" xfId="43317" xr:uid="{889375DC-AE86-4915-AF0C-00D2CC5D6579}"/>
    <cellStyle name="Normal 5 3 2 2 4 2 4" xfId="30726" xr:uid="{27245AE3-033D-433A-9059-EDD19CCD40B8}"/>
    <cellStyle name="Normal 5 3 2 2 4 3" xfId="8282" xr:uid="{2D40AB01-3FDF-4897-9932-5C374D925FBF}"/>
    <cellStyle name="Normal 5 3 2 2 4 3 2" xfId="20964" xr:uid="{21CBECC1-EAFE-4D25-B460-D0815ED1B350}"/>
    <cellStyle name="Normal 5 3 2 2 4 3 2 2" xfId="46456" xr:uid="{EBCFA5F7-CF42-439E-B31F-554BB5243F31}"/>
    <cellStyle name="Normal 5 3 2 2 4 3 3" xfId="33865" xr:uid="{B396EEA1-DB63-4106-BC2F-4551248E11B9}"/>
    <cellStyle name="Normal 5 3 2 2 4 4" xfId="14686" xr:uid="{218C6042-0DD7-4097-820C-49AE8148D777}"/>
    <cellStyle name="Normal 5 3 2 2 4 4 2" xfId="40178" xr:uid="{174EEB71-A4D1-48B2-9E6D-67FDD75F44B6}"/>
    <cellStyle name="Normal 5 3 2 2 4 5" xfId="27587" xr:uid="{CF4D8685-5821-4C87-AA13-339CF6823499}"/>
    <cellStyle name="Normal 5 3 2 2 5" xfId="1452" xr:uid="{1324BC3F-4E23-4DF9-9C65-2D9B6280D79F}"/>
    <cellStyle name="Normal 5 3 2 2 5 2" xfId="4606" xr:uid="{F875885B-1280-484F-90F6-CA8BBD10BAA4}"/>
    <cellStyle name="Normal 5 3 2 2 5 2 2" xfId="10899" xr:uid="{7B2927D8-B17C-4FEC-AD74-642D0AF30363}"/>
    <cellStyle name="Normal 5 3 2 2 5 2 2 2" xfId="23581" xr:uid="{92EB1271-9FB5-4951-8591-F40F39D6E87D}"/>
    <cellStyle name="Normal 5 3 2 2 5 2 2 2 2" xfId="49073" xr:uid="{6F8B5AA5-07BA-40E8-8720-E7C675ED4581}"/>
    <cellStyle name="Normal 5 3 2 2 5 2 2 3" xfId="36482" xr:uid="{81C67990-C47E-4F34-930F-9FF6EA3D142C}"/>
    <cellStyle name="Normal 5 3 2 2 5 2 3" xfId="17303" xr:uid="{9AB5F3C5-D057-40F9-A942-43B2034FC2E2}"/>
    <cellStyle name="Normal 5 3 2 2 5 2 3 2" xfId="42795" xr:uid="{D4D9FFCA-D885-4A4D-8702-105BB418CA56}"/>
    <cellStyle name="Normal 5 3 2 2 5 2 4" xfId="30204" xr:uid="{0A018E53-83E4-4B17-9C7C-3F26FEAA6271}"/>
    <cellStyle name="Normal 5 3 2 2 5 3" xfId="7760" xr:uid="{019FC002-945F-46DF-83AE-4CBA66A02BB6}"/>
    <cellStyle name="Normal 5 3 2 2 5 3 2" xfId="20442" xr:uid="{19401FEF-78C0-4D58-A33B-D4D0BD34B22B}"/>
    <cellStyle name="Normal 5 3 2 2 5 3 2 2" xfId="45934" xr:uid="{E67D0B1B-436B-464A-8247-97667D0D0230}"/>
    <cellStyle name="Normal 5 3 2 2 5 3 3" xfId="33343" xr:uid="{01716DDB-AAD8-4C76-B43B-894F8C90D1FE}"/>
    <cellStyle name="Normal 5 3 2 2 5 4" xfId="14164" xr:uid="{CF7258C8-248A-4F6F-BC49-9E8292C09128}"/>
    <cellStyle name="Normal 5 3 2 2 5 4 2" xfId="39656" xr:uid="{A3CEB9F0-A40F-4765-8E8B-D53A08BE32F7}"/>
    <cellStyle name="Normal 5 3 2 2 5 5" xfId="27065" xr:uid="{86400E10-372B-490B-834B-A98534592766}"/>
    <cellStyle name="Normal 5 3 2 2 6" xfId="2759" xr:uid="{FF7B75C5-C4E8-427F-99E4-C17E95DD8078}"/>
    <cellStyle name="Normal 5 3 2 2 6 2" xfId="5913" xr:uid="{D0E95EA2-26EC-4DF5-922E-9CDCDA29A464}"/>
    <cellStyle name="Normal 5 3 2 2 6 2 2" xfId="12206" xr:uid="{2479B99B-84EC-49B5-BBF0-878C2C05C061}"/>
    <cellStyle name="Normal 5 3 2 2 6 2 2 2" xfId="24888" xr:uid="{5E7AE964-3202-41AD-AC56-F5C28B0EC56F}"/>
    <cellStyle name="Normal 5 3 2 2 6 2 2 2 2" xfId="50380" xr:uid="{FE409220-471C-4527-BD68-8A25242D1F9F}"/>
    <cellStyle name="Normal 5 3 2 2 6 2 2 3" xfId="37789" xr:uid="{986BD236-2683-4013-A694-64ED1640778A}"/>
    <cellStyle name="Normal 5 3 2 2 6 2 3" xfId="18610" xr:uid="{86CCA581-115C-4C98-854E-9186CB7D757D}"/>
    <cellStyle name="Normal 5 3 2 2 6 2 3 2" xfId="44102" xr:uid="{81118E1D-B367-411B-931D-AB70F573B2DC}"/>
    <cellStyle name="Normal 5 3 2 2 6 2 4" xfId="31511" xr:uid="{5178770A-9359-494B-802F-9D95567CF264}"/>
    <cellStyle name="Normal 5 3 2 2 6 3" xfId="9067" xr:uid="{5C616645-7A7D-49F0-BA13-F8B8CD160380}"/>
    <cellStyle name="Normal 5 3 2 2 6 3 2" xfId="21749" xr:uid="{B42189F5-B1A6-4CE6-8258-99F88A0B1CF0}"/>
    <cellStyle name="Normal 5 3 2 2 6 3 2 2" xfId="47241" xr:uid="{B2F8990B-03F3-4B6C-927C-801150AF55B5}"/>
    <cellStyle name="Normal 5 3 2 2 6 3 3" xfId="34650" xr:uid="{70312A1C-572D-49C8-BFBB-89396CDC62BE}"/>
    <cellStyle name="Normal 5 3 2 2 6 4" xfId="15471" xr:uid="{70BBB7CE-8B82-4C63-B4E2-788C09432385}"/>
    <cellStyle name="Normal 5 3 2 2 6 4 2" xfId="40963" xr:uid="{9C12AA52-3B64-40B5-A032-E6A4EED35730}"/>
    <cellStyle name="Normal 5 3 2 2 6 5" xfId="28372" xr:uid="{9F358567-99D7-46D0-9C05-DDE37E71C1B7}"/>
    <cellStyle name="Normal 5 3 2 2 7" xfId="3282" xr:uid="{1612C28D-56B5-41A6-8BF9-EFA72020F91B}"/>
    <cellStyle name="Normal 5 3 2 2 7 2" xfId="6436" xr:uid="{427D369B-2579-4258-AB7E-109854895367}"/>
    <cellStyle name="Normal 5 3 2 2 7 2 2" xfId="12729" xr:uid="{21094B57-8A97-4651-9121-123FAB8596A7}"/>
    <cellStyle name="Normal 5 3 2 2 7 2 2 2" xfId="25411" xr:uid="{E2B15619-2FC8-4CFD-8E9B-D049EE505F5F}"/>
    <cellStyle name="Normal 5 3 2 2 7 2 2 2 2" xfId="50903" xr:uid="{CCE4EC00-1CA7-436C-B2A8-E32BC7FD7D4E}"/>
    <cellStyle name="Normal 5 3 2 2 7 2 2 3" xfId="38312" xr:uid="{D3571F38-E876-4798-A4D8-9F6960A72CF0}"/>
    <cellStyle name="Normal 5 3 2 2 7 2 3" xfId="19133" xr:uid="{D6B23194-9229-430C-A8E3-5BB3E93F0E74}"/>
    <cellStyle name="Normal 5 3 2 2 7 2 3 2" xfId="44625" xr:uid="{63307D96-359F-48A1-B306-B174D96B6AF2}"/>
    <cellStyle name="Normal 5 3 2 2 7 2 4" xfId="32034" xr:uid="{0389EA99-E974-4E90-96AD-A34178BB0E2D}"/>
    <cellStyle name="Normal 5 3 2 2 7 3" xfId="9590" xr:uid="{29A6D212-B036-468A-91EC-1F22A3FB8258}"/>
    <cellStyle name="Normal 5 3 2 2 7 3 2" xfId="22272" xr:uid="{A45FC564-6266-438D-8A8B-15A5FF8D209D}"/>
    <cellStyle name="Normal 5 3 2 2 7 3 2 2" xfId="47764" xr:uid="{83CE54FB-5A91-4A98-AAB7-E883A5552647}"/>
    <cellStyle name="Normal 5 3 2 2 7 3 3" xfId="35173" xr:uid="{90C7CBF8-B848-45AC-AAC4-31E49DE649FB}"/>
    <cellStyle name="Normal 5 3 2 2 7 4" xfId="15994" xr:uid="{06C16460-C8D1-4D5D-BE1C-199AC2BCF10F}"/>
    <cellStyle name="Normal 5 3 2 2 7 4 2" xfId="41486" xr:uid="{2499F1FC-774B-4322-82D1-D70892A00F96}"/>
    <cellStyle name="Normal 5 3 2 2 7 5" xfId="28895" xr:uid="{0ABC5EA0-1A8E-4ACA-BFB9-EC307EF1E04C}"/>
    <cellStyle name="Normal 5 3 2 2 8" xfId="3821" xr:uid="{CEBDFD3C-4D40-4711-83B1-6F8B1AF00D10}"/>
    <cellStyle name="Normal 5 3 2 2 8 2" xfId="10114" xr:uid="{9D11917D-4D2D-404C-A3D2-02D022271914}"/>
    <cellStyle name="Normal 5 3 2 2 8 2 2" xfId="22796" xr:uid="{70F870D3-CE84-4FAC-8FB3-268137442106}"/>
    <cellStyle name="Normal 5 3 2 2 8 2 2 2" xfId="48288" xr:uid="{AB6BA132-5833-40BC-B8CA-69DD9DFB0643}"/>
    <cellStyle name="Normal 5 3 2 2 8 2 3" xfId="35697" xr:uid="{5DF13E1B-F19B-4B7E-8DC5-501C0F5E72CC}"/>
    <cellStyle name="Normal 5 3 2 2 8 3" xfId="16518" xr:uid="{5CBFE562-43D1-4C04-9C20-CE935599A2CB}"/>
    <cellStyle name="Normal 5 3 2 2 8 3 2" xfId="42010" xr:uid="{6C1F5FF2-4E7B-4134-9677-ACFA08109738}"/>
    <cellStyle name="Normal 5 3 2 2 8 4" xfId="29419" xr:uid="{FEC6C98E-330B-4433-8EB5-EE8A1C9E330A}"/>
    <cellStyle name="Normal 5 3 2 2 9" xfId="6975" xr:uid="{A3065049-7398-4DB5-B3EA-EA498B382A7B}"/>
    <cellStyle name="Normal 5 3 2 2 9 2" xfId="19657" xr:uid="{8A129E3F-4F35-47C5-93F4-7DF57FC2127C}"/>
    <cellStyle name="Normal 5 3 2 2 9 2 2" xfId="45149" xr:uid="{5A55A34B-F47E-411B-A80D-F0793BD7E802}"/>
    <cellStyle name="Normal 5 3 2 2 9 3" xfId="32558" xr:uid="{8392AD45-8FC2-4C38-BB6E-7872BC5862A1}"/>
    <cellStyle name="Normal 5 3 2 3" xfId="1030" xr:uid="{D9B79E2C-E134-4762-9CA4-78C155D034C7}"/>
    <cellStyle name="Normal 5 3 2 3 2" xfId="2337" xr:uid="{A5D292CE-0D5A-4DD8-8755-0FCBBB6FFDDF}"/>
    <cellStyle name="Normal 5 3 2 3 2 2" xfId="5491" xr:uid="{C2929C2C-20AA-48CF-84D6-C3B93523F3A9}"/>
    <cellStyle name="Normal 5 3 2 3 2 2 2" xfId="11784" xr:uid="{646C51F1-328F-462A-AA2C-B80534BA8F1D}"/>
    <cellStyle name="Normal 5 3 2 3 2 2 2 2" xfId="24466" xr:uid="{FA7B95DE-9C7D-4227-AB0A-437A5148ADEF}"/>
    <cellStyle name="Normal 5 3 2 3 2 2 2 2 2" xfId="49958" xr:uid="{92D7CF47-428F-4E8F-891F-42D5EB95EEA1}"/>
    <cellStyle name="Normal 5 3 2 3 2 2 2 3" xfId="37367" xr:uid="{204E2D76-8132-43C9-8C71-8639E5956076}"/>
    <cellStyle name="Normal 5 3 2 3 2 2 3" xfId="18188" xr:uid="{244F74D5-053F-45E5-94AD-CACAA6DE50B1}"/>
    <cellStyle name="Normal 5 3 2 3 2 2 3 2" xfId="43680" xr:uid="{28C7BAC3-6E85-4091-8EDD-261C8775D2D5}"/>
    <cellStyle name="Normal 5 3 2 3 2 2 4" xfId="31089" xr:uid="{6C82681B-0347-4197-8621-143825D29583}"/>
    <cellStyle name="Normal 5 3 2 3 2 3" xfId="8645" xr:uid="{73665085-31B0-4F61-B409-8E87CE5EC95D}"/>
    <cellStyle name="Normal 5 3 2 3 2 3 2" xfId="21327" xr:uid="{952C83BE-D3C0-4F68-9F3C-54E025A5917D}"/>
    <cellStyle name="Normal 5 3 2 3 2 3 2 2" xfId="46819" xr:uid="{395358DE-F51B-4901-B424-1513753049BC}"/>
    <cellStyle name="Normal 5 3 2 3 2 3 3" xfId="34228" xr:uid="{8FCC440C-2085-4D2C-8EC3-54B6B5051CE2}"/>
    <cellStyle name="Normal 5 3 2 3 2 4" xfId="15049" xr:uid="{F2FB33A7-FD21-4CF2-B122-17E44382ADD8}"/>
    <cellStyle name="Normal 5 3 2 3 2 4 2" xfId="40541" xr:uid="{3FB1922E-8BF0-48D3-84D4-E82F0EC4DBF9}"/>
    <cellStyle name="Normal 5 3 2 3 2 5" xfId="27950" xr:uid="{94795960-B82F-44E1-9989-3592399D51D4}"/>
    <cellStyle name="Normal 5 3 2 3 3" xfId="1554" xr:uid="{4A6774C2-CC0D-4C2A-BE25-7C74DF114A54}"/>
    <cellStyle name="Normal 5 3 2 3 3 2" xfId="4708" xr:uid="{D7BA83BF-FFF7-48A1-AC20-E2B930230EEE}"/>
    <cellStyle name="Normal 5 3 2 3 3 2 2" xfId="11001" xr:uid="{B7DFBF81-9699-4FA6-8A6C-9415981A077C}"/>
    <cellStyle name="Normal 5 3 2 3 3 2 2 2" xfId="23683" xr:uid="{6304C1C9-65E7-4645-ADBE-40F91F31E31D}"/>
    <cellStyle name="Normal 5 3 2 3 3 2 2 2 2" xfId="49175" xr:uid="{BDE18485-CB51-4B0F-AF06-66F627CC5333}"/>
    <cellStyle name="Normal 5 3 2 3 3 2 2 3" xfId="36584" xr:uid="{4C42D53D-58D5-42DD-8718-AE1B6DCD3BEE}"/>
    <cellStyle name="Normal 5 3 2 3 3 2 3" xfId="17405" xr:uid="{4FA07F09-372B-43BC-B2FA-2BE040067D2E}"/>
    <cellStyle name="Normal 5 3 2 3 3 2 3 2" xfId="42897" xr:uid="{DDFCBA60-F90B-4EF4-9553-B07D9029AFA5}"/>
    <cellStyle name="Normal 5 3 2 3 3 2 4" xfId="30306" xr:uid="{ED2D188C-25BF-484F-B541-0459E94A0D63}"/>
    <cellStyle name="Normal 5 3 2 3 3 3" xfId="7862" xr:uid="{57B6DDCD-1FC1-47C8-9ACA-E1B4E586A1D4}"/>
    <cellStyle name="Normal 5 3 2 3 3 3 2" xfId="20544" xr:uid="{CC5061E8-A3BC-49A4-8596-08492A3B364F}"/>
    <cellStyle name="Normal 5 3 2 3 3 3 2 2" xfId="46036" xr:uid="{AC72F407-6725-4341-813B-24D266F4982E}"/>
    <cellStyle name="Normal 5 3 2 3 3 3 3" xfId="33445" xr:uid="{F5972495-802F-4B4F-A30E-B2631E44B5B7}"/>
    <cellStyle name="Normal 5 3 2 3 3 4" xfId="14266" xr:uid="{19A86582-BF71-476A-9639-0F25FFDC76F5}"/>
    <cellStyle name="Normal 5 3 2 3 3 4 2" xfId="39758" xr:uid="{7C4CB905-C25B-425B-9861-E3605B25F5AF}"/>
    <cellStyle name="Normal 5 3 2 3 3 5" xfId="27167" xr:uid="{EFBC28FD-ADB0-4B0E-9E64-2C9F05F1EBDA}"/>
    <cellStyle name="Normal 5 3 2 3 4" xfId="2861" xr:uid="{1E0EAF0F-9373-46F1-8449-8B1F0073726A}"/>
    <cellStyle name="Normal 5 3 2 3 4 2" xfId="6015" xr:uid="{1A8C626D-F25D-453E-9BF4-014C48C954B8}"/>
    <cellStyle name="Normal 5 3 2 3 4 2 2" xfId="12308" xr:uid="{6DB63FAE-1B1C-4E41-AF1E-BFC6FAD606D4}"/>
    <cellStyle name="Normal 5 3 2 3 4 2 2 2" xfId="24990" xr:uid="{2B252936-FC5B-47CF-A8BA-8CBFE621BD5B}"/>
    <cellStyle name="Normal 5 3 2 3 4 2 2 2 2" xfId="50482" xr:uid="{CEFEEE0D-3E31-4FBF-B0D0-457D636B9BEC}"/>
    <cellStyle name="Normal 5 3 2 3 4 2 2 3" xfId="37891" xr:uid="{482FA735-CB59-4621-B14E-D2923B8BDDC2}"/>
    <cellStyle name="Normal 5 3 2 3 4 2 3" xfId="18712" xr:uid="{C26618D1-005B-4D6F-AF03-072D9AEF7006}"/>
    <cellStyle name="Normal 5 3 2 3 4 2 3 2" xfId="44204" xr:uid="{F2FBCBD8-F6EE-4829-B944-A6234A3ABF7C}"/>
    <cellStyle name="Normal 5 3 2 3 4 2 4" xfId="31613" xr:uid="{06A12784-408B-47E7-ACAC-902CAD96622D}"/>
    <cellStyle name="Normal 5 3 2 3 4 3" xfId="9169" xr:uid="{CFEA88D9-CEB9-4309-9C71-BE90F4C8FBBD}"/>
    <cellStyle name="Normal 5 3 2 3 4 3 2" xfId="21851" xr:uid="{6D8B69AB-8BD4-4EA4-8C31-E9CF8BFE465F}"/>
    <cellStyle name="Normal 5 3 2 3 4 3 2 2" xfId="47343" xr:uid="{63F42F86-D1C4-4834-9DA6-E88507B90901}"/>
    <cellStyle name="Normal 5 3 2 3 4 3 3" xfId="34752" xr:uid="{2B1A1B80-C9C6-47CE-87AF-6DD36E3B0596}"/>
    <cellStyle name="Normal 5 3 2 3 4 4" xfId="15573" xr:uid="{69BF1B45-E1F4-406B-A191-613D5BB3C959}"/>
    <cellStyle name="Normal 5 3 2 3 4 4 2" xfId="41065" xr:uid="{8C639139-213B-477A-B233-ADBB5B9DEAEC}"/>
    <cellStyle name="Normal 5 3 2 3 4 5" xfId="28474" xr:uid="{8C17359B-4757-48DC-AE25-E69CD857D520}"/>
    <cellStyle name="Normal 5 3 2 3 5" xfId="3384" xr:uid="{A114A5B8-D154-49F5-B1E9-D71F8C993203}"/>
    <cellStyle name="Normal 5 3 2 3 5 2" xfId="6538" xr:uid="{CEE38DE2-1EE5-4875-BE10-8A6939CDA34B}"/>
    <cellStyle name="Normal 5 3 2 3 5 2 2" xfId="12831" xr:uid="{DC50CBD0-C4D1-4FF9-9D6F-684A774EAE5A}"/>
    <cellStyle name="Normal 5 3 2 3 5 2 2 2" xfId="25513" xr:uid="{96C9F289-B31B-41D5-9EDB-9D63841C5284}"/>
    <cellStyle name="Normal 5 3 2 3 5 2 2 2 2" xfId="51005" xr:uid="{3890000C-5D00-49E1-82CF-A05ECE31A002}"/>
    <cellStyle name="Normal 5 3 2 3 5 2 2 3" xfId="38414" xr:uid="{E5699C77-7846-440A-A232-163DACF2CD2D}"/>
    <cellStyle name="Normal 5 3 2 3 5 2 3" xfId="19235" xr:uid="{53C52376-14D5-4A60-BC0E-4B8F13B6FBA1}"/>
    <cellStyle name="Normal 5 3 2 3 5 2 3 2" xfId="44727" xr:uid="{D4ABB1A2-5708-438C-991E-3252DF33C332}"/>
    <cellStyle name="Normal 5 3 2 3 5 2 4" xfId="32136" xr:uid="{18AE80C4-0244-49C8-98E9-46873FDB9461}"/>
    <cellStyle name="Normal 5 3 2 3 5 3" xfId="9692" xr:uid="{120A5281-65D6-4936-A3AE-9221A374EE8E}"/>
    <cellStyle name="Normal 5 3 2 3 5 3 2" xfId="22374" xr:uid="{2F06DA1B-60EF-4D23-849F-C0E591E268CA}"/>
    <cellStyle name="Normal 5 3 2 3 5 3 2 2" xfId="47866" xr:uid="{49CC4DE1-F2A5-4F1E-93A1-7E6768D45BAD}"/>
    <cellStyle name="Normal 5 3 2 3 5 3 3" xfId="35275" xr:uid="{F923770B-CACE-42B1-A496-BC0B47A9C842}"/>
    <cellStyle name="Normal 5 3 2 3 5 4" xfId="16096" xr:uid="{9B0817E1-842C-43FC-85EB-EAAEEF86D66C}"/>
    <cellStyle name="Normal 5 3 2 3 5 4 2" xfId="41588" xr:uid="{2FBCC424-46F4-4872-A356-77EBABD2A3BF}"/>
    <cellStyle name="Normal 5 3 2 3 5 5" xfId="28997" xr:uid="{68CEC51E-5D3E-46D2-B052-96DF9D9017C5}"/>
    <cellStyle name="Normal 5 3 2 3 6" xfId="4184" xr:uid="{74751137-CB79-4285-9D1A-6CAD99FFD67A}"/>
    <cellStyle name="Normal 5 3 2 3 6 2" xfId="10477" xr:uid="{95691B23-96D1-4AC3-9C3F-AAAD980D6863}"/>
    <cellStyle name="Normal 5 3 2 3 6 2 2" xfId="23159" xr:uid="{12EFEDB4-2839-4605-8EFA-D8DE0EF3CABD}"/>
    <cellStyle name="Normal 5 3 2 3 6 2 2 2" xfId="48651" xr:uid="{E6CAC502-A95A-4BB5-AAB8-4EFF4D7C4B60}"/>
    <cellStyle name="Normal 5 3 2 3 6 2 3" xfId="36060" xr:uid="{AF4693BB-C705-42C2-B0FF-B84B85F4A58F}"/>
    <cellStyle name="Normal 5 3 2 3 6 3" xfId="16881" xr:uid="{5125CEC4-5340-4327-9C3A-2BFCA8558415}"/>
    <cellStyle name="Normal 5 3 2 3 6 3 2" xfId="42373" xr:uid="{D5F1300B-364C-4CCF-B312-2E3622004E50}"/>
    <cellStyle name="Normal 5 3 2 3 6 4" xfId="29782" xr:uid="{C0D0011E-CA34-4C8C-9E91-4C566CB15FCE}"/>
    <cellStyle name="Normal 5 3 2 3 7" xfId="7338" xr:uid="{6ED36241-6853-486A-A833-B897F6BAF826}"/>
    <cellStyle name="Normal 5 3 2 3 7 2" xfId="20020" xr:uid="{C2EC9C02-1FC9-4F60-BC32-27482ADC75E5}"/>
    <cellStyle name="Normal 5 3 2 3 7 2 2" xfId="45512" xr:uid="{336DA942-27EE-4836-BD2F-B0810228DC34}"/>
    <cellStyle name="Normal 5 3 2 3 7 3" xfId="32921" xr:uid="{8416B7F9-87CC-46C5-AE26-1A2A01F07C34}"/>
    <cellStyle name="Normal 5 3 2 3 8" xfId="13742" xr:uid="{B3D3C683-C993-4F06-A9F7-421CDB495ADC}"/>
    <cellStyle name="Normal 5 3 2 3 8 2" xfId="39234" xr:uid="{AEBC6855-0DDD-4D91-9B21-5F11C60280C7}"/>
    <cellStyle name="Normal 5 3 2 3 9" xfId="26643" xr:uid="{BB576436-8A06-4F16-BCF0-1FF235D893E2}"/>
    <cellStyle name="Normal 5 3 2 4" xfId="770" xr:uid="{2AAA03CB-3097-43A0-8338-B53FA5EA0FD2}"/>
    <cellStyle name="Normal 5 3 2 4 2" xfId="2077" xr:uid="{36DC350E-4A90-427B-8A56-531B928EF892}"/>
    <cellStyle name="Normal 5 3 2 4 2 2" xfId="5231" xr:uid="{AC38DA9F-3F6F-4E77-89A1-DA67103029B2}"/>
    <cellStyle name="Normal 5 3 2 4 2 2 2" xfId="11524" xr:uid="{1E58BAC2-293C-43C0-9884-4A45C4433651}"/>
    <cellStyle name="Normal 5 3 2 4 2 2 2 2" xfId="24206" xr:uid="{0BA19D71-7E8D-4985-ACBB-91741E8649A5}"/>
    <cellStyle name="Normal 5 3 2 4 2 2 2 2 2" xfId="49698" xr:uid="{0360039A-F4D4-4D0D-B646-BB85F2EC8F00}"/>
    <cellStyle name="Normal 5 3 2 4 2 2 2 3" xfId="37107" xr:uid="{204C68CE-688E-4C1F-AFC0-F403EFD5BF95}"/>
    <cellStyle name="Normal 5 3 2 4 2 2 3" xfId="17928" xr:uid="{D1008761-0142-4FB0-A656-DD2DA0771D59}"/>
    <cellStyle name="Normal 5 3 2 4 2 2 3 2" xfId="43420" xr:uid="{893930FE-14D1-4BC6-9EE1-F7FEF391E6D4}"/>
    <cellStyle name="Normal 5 3 2 4 2 2 4" xfId="30829" xr:uid="{07C117B8-1842-4568-83D4-F10E4999875B}"/>
    <cellStyle name="Normal 5 3 2 4 2 3" xfId="8385" xr:uid="{9C573FE3-5BF1-4223-8068-C6B60262539F}"/>
    <cellStyle name="Normal 5 3 2 4 2 3 2" xfId="21067" xr:uid="{4AACDC3E-C551-4AFE-8D81-B90FC5620F5C}"/>
    <cellStyle name="Normal 5 3 2 4 2 3 2 2" xfId="46559" xr:uid="{128EA418-57CF-41DF-93F0-6C53E7FAE2D6}"/>
    <cellStyle name="Normal 5 3 2 4 2 3 3" xfId="33968" xr:uid="{6F039DFD-AB53-4848-BB61-BECF6E115BBD}"/>
    <cellStyle name="Normal 5 3 2 4 2 4" xfId="14789" xr:uid="{A6EEC550-29B4-44E0-A37A-FD0C4B3E577B}"/>
    <cellStyle name="Normal 5 3 2 4 2 4 2" xfId="40281" xr:uid="{414B3BFA-9DA1-4FD5-B5D2-BF57681AB0EB}"/>
    <cellStyle name="Normal 5 3 2 4 2 5" xfId="27690" xr:uid="{3A0AEC81-B88A-4356-893C-15A2AF33AD7F}"/>
    <cellStyle name="Normal 5 3 2 4 3" xfId="3924" xr:uid="{88AB9515-EE72-4F14-A1CD-E886253BC742}"/>
    <cellStyle name="Normal 5 3 2 4 3 2" xfId="10217" xr:uid="{06E72C3F-7482-478E-BD3D-CAF46E44235C}"/>
    <cellStyle name="Normal 5 3 2 4 3 2 2" xfId="22899" xr:uid="{5DFF19D8-E9E2-4AAC-9FBA-993CD0F11DBA}"/>
    <cellStyle name="Normal 5 3 2 4 3 2 2 2" xfId="48391" xr:uid="{31C925BD-3559-4A60-972B-513FC3014E1B}"/>
    <cellStyle name="Normal 5 3 2 4 3 2 3" xfId="35800" xr:uid="{4490D595-98BE-4FE6-BF89-C857D589D6FC}"/>
    <cellStyle name="Normal 5 3 2 4 3 3" xfId="16621" xr:uid="{5DA309D8-D057-464D-885F-0D030148E006}"/>
    <cellStyle name="Normal 5 3 2 4 3 3 2" xfId="42113" xr:uid="{EADC8539-30C9-4774-A325-31F3ADB36570}"/>
    <cellStyle name="Normal 5 3 2 4 3 4" xfId="29522" xr:uid="{09FCB3D8-B350-410E-82A4-6CF625A43718}"/>
    <cellStyle name="Normal 5 3 2 4 4" xfId="7078" xr:uid="{716EC1E6-5787-4099-AB4E-1BC9B3B55189}"/>
    <cellStyle name="Normal 5 3 2 4 4 2" xfId="19760" xr:uid="{B6FF606F-B1E3-4CF5-BF0A-B362F7CDF6AD}"/>
    <cellStyle name="Normal 5 3 2 4 4 2 2" xfId="45252" xr:uid="{9F060767-B2AD-4052-9899-DA0AF3D6635F}"/>
    <cellStyle name="Normal 5 3 2 4 4 3" xfId="32661" xr:uid="{E0344347-8349-4553-A5B5-40A9BC6A982E}"/>
    <cellStyle name="Normal 5 3 2 4 5" xfId="13482" xr:uid="{87BEF49E-3D7A-44BC-8E40-6A13A13150F8}"/>
    <cellStyle name="Normal 5 3 2 4 5 2" xfId="38974" xr:uid="{42313878-BE11-4B5D-BF17-F0F064677EBD}"/>
    <cellStyle name="Normal 5 3 2 4 6" xfId="26383" xr:uid="{1829E8B5-D996-4510-AF71-32BD2C8C567C}"/>
    <cellStyle name="Normal 5 3 2 5" xfId="1815" xr:uid="{F87F493D-46D8-486A-98B3-8631A5B1BA8B}"/>
    <cellStyle name="Normal 5 3 2 5 2" xfId="4969" xr:uid="{CD0D56EE-B2EC-4723-A9E9-E5959DCCC6E2}"/>
    <cellStyle name="Normal 5 3 2 5 2 2" xfId="11262" xr:uid="{48FF5906-915F-4B79-9B4B-877D10E8FAB5}"/>
    <cellStyle name="Normal 5 3 2 5 2 2 2" xfId="23944" xr:uid="{EA7FB172-A3BA-43CD-A812-7D99AA3800AC}"/>
    <cellStyle name="Normal 5 3 2 5 2 2 2 2" xfId="49436" xr:uid="{F2767E19-801D-489C-A9F6-8FA0ED26EC36}"/>
    <cellStyle name="Normal 5 3 2 5 2 2 3" xfId="36845" xr:uid="{0C0B381D-2145-4CCD-B5ED-3A0E6D4637C6}"/>
    <cellStyle name="Normal 5 3 2 5 2 3" xfId="17666" xr:uid="{2EB5354E-4119-4D71-B1BA-609568158623}"/>
    <cellStyle name="Normal 5 3 2 5 2 3 2" xfId="43158" xr:uid="{52A08762-4BA1-4B0B-9872-6DA04C73AEFC}"/>
    <cellStyle name="Normal 5 3 2 5 2 4" xfId="30567" xr:uid="{D4E8FDD3-AC2F-4EF0-A471-43B939F99A36}"/>
    <cellStyle name="Normal 5 3 2 5 3" xfId="8123" xr:uid="{A6FC8C4C-D8A3-4989-8E4E-3E3AD29DE56E}"/>
    <cellStyle name="Normal 5 3 2 5 3 2" xfId="20805" xr:uid="{D203F229-3657-46A9-98B9-5F5D223E517D}"/>
    <cellStyle name="Normal 5 3 2 5 3 2 2" xfId="46297" xr:uid="{514E2A4B-7635-4310-94C8-1A72D98B6F6A}"/>
    <cellStyle name="Normal 5 3 2 5 3 3" xfId="33706" xr:uid="{2099D49C-8CC8-4FCA-A203-44A6588ACE4C}"/>
    <cellStyle name="Normal 5 3 2 5 4" xfId="14527" xr:uid="{BF0A1F05-0200-41CE-B687-8BCB5F3429D5}"/>
    <cellStyle name="Normal 5 3 2 5 4 2" xfId="40019" xr:uid="{AEA2F766-8DB2-4835-A5A8-B8081C4DCB71}"/>
    <cellStyle name="Normal 5 3 2 5 5" xfId="27428" xr:uid="{6DF4763D-E181-47A8-A816-E97A1B114205}"/>
    <cellStyle name="Normal 5 3 2 6" xfId="1293" xr:uid="{F526EF5B-AD80-405C-8B98-F3CDFD5BF807}"/>
    <cellStyle name="Normal 5 3 2 6 2" xfId="4447" xr:uid="{95B3DB8D-5B86-4B72-8103-A8E6C9C1250A}"/>
    <cellStyle name="Normal 5 3 2 6 2 2" xfId="10740" xr:uid="{0E799534-567C-42C4-BD58-8F153AC76F2F}"/>
    <cellStyle name="Normal 5 3 2 6 2 2 2" xfId="23422" xr:uid="{A7F21881-4AD5-4A26-83A6-2A050BF4AD22}"/>
    <cellStyle name="Normal 5 3 2 6 2 2 2 2" xfId="48914" xr:uid="{9CC4E6BE-06CE-4022-947D-D568F3303071}"/>
    <cellStyle name="Normal 5 3 2 6 2 2 3" xfId="36323" xr:uid="{174BC44A-58E1-4772-B808-2785B7CCD271}"/>
    <cellStyle name="Normal 5 3 2 6 2 3" xfId="17144" xr:uid="{2054ACEA-B199-40E7-AD73-C76E0D76906F}"/>
    <cellStyle name="Normal 5 3 2 6 2 3 2" xfId="42636" xr:uid="{111B5C5F-990D-45B4-AD52-69DABA5AB1FE}"/>
    <cellStyle name="Normal 5 3 2 6 2 4" xfId="30045" xr:uid="{F6FE9583-AF52-424B-9A3E-6E3CA132F83A}"/>
    <cellStyle name="Normal 5 3 2 6 3" xfId="7601" xr:uid="{9C8D7E42-C2F5-4980-9DF3-78D79320112F}"/>
    <cellStyle name="Normal 5 3 2 6 3 2" xfId="20283" xr:uid="{A1BAAF59-10FA-427B-BFEE-908C6A8EDBEE}"/>
    <cellStyle name="Normal 5 3 2 6 3 2 2" xfId="45775" xr:uid="{36FC82DA-8E28-42FD-A2AA-2D11919A7D87}"/>
    <cellStyle name="Normal 5 3 2 6 3 3" xfId="33184" xr:uid="{C74E9E07-029A-4326-A8DC-4058C623335C}"/>
    <cellStyle name="Normal 5 3 2 6 4" xfId="14005" xr:uid="{C82C1663-0C53-49E7-8435-34C3BCE4D6B6}"/>
    <cellStyle name="Normal 5 3 2 6 4 2" xfId="39497" xr:uid="{D37E09F3-5B6E-4332-B278-DE7E55A20913}"/>
    <cellStyle name="Normal 5 3 2 6 5" xfId="26906" xr:uid="{A937D809-6C7B-48C9-AAD2-090D424680C4}"/>
    <cellStyle name="Normal 5 3 2 7" xfId="2600" xr:uid="{45758812-17EE-4206-ADBA-E316F7D8FB33}"/>
    <cellStyle name="Normal 5 3 2 7 2" xfId="5754" xr:uid="{E357D999-D856-4869-8431-812D1DB04F62}"/>
    <cellStyle name="Normal 5 3 2 7 2 2" xfId="12047" xr:uid="{BC4256E0-15ED-456F-996D-435B7E090E95}"/>
    <cellStyle name="Normal 5 3 2 7 2 2 2" xfId="24729" xr:uid="{6CE0D9C3-4C3A-45DB-93D1-8A1D69042AF5}"/>
    <cellStyle name="Normal 5 3 2 7 2 2 2 2" xfId="50221" xr:uid="{B1D12DAD-6566-461C-9E9F-51379ADD1002}"/>
    <cellStyle name="Normal 5 3 2 7 2 2 3" xfId="37630" xr:uid="{07F1F4B0-30B0-45A3-A6D7-0D275ACAB250}"/>
    <cellStyle name="Normal 5 3 2 7 2 3" xfId="18451" xr:uid="{458F96B7-3E83-43FF-902C-1FB2BCC94C45}"/>
    <cellStyle name="Normal 5 3 2 7 2 3 2" xfId="43943" xr:uid="{A6F4BCAD-5DE1-45C9-B55D-383E2D3146A1}"/>
    <cellStyle name="Normal 5 3 2 7 2 4" xfId="31352" xr:uid="{70289421-A024-4790-93A2-5D320F6EB527}"/>
    <cellStyle name="Normal 5 3 2 7 3" xfId="8908" xr:uid="{E85ECEFE-12ED-49DC-B1CA-7C5C54A1BA03}"/>
    <cellStyle name="Normal 5 3 2 7 3 2" xfId="21590" xr:uid="{7DD70AEC-975D-4355-893C-68F053F2321B}"/>
    <cellStyle name="Normal 5 3 2 7 3 2 2" xfId="47082" xr:uid="{ACAF2684-5DEE-4B67-9E2C-5CF8643E65E5}"/>
    <cellStyle name="Normal 5 3 2 7 3 3" xfId="34491" xr:uid="{51FECE94-2DC5-4E74-8DEE-EB527CD2F880}"/>
    <cellStyle name="Normal 5 3 2 7 4" xfId="15312" xr:uid="{B7AC2739-D49A-4527-BCC2-8725147E939E}"/>
    <cellStyle name="Normal 5 3 2 7 4 2" xfId="40804" xr:uid="{E41236A1-02B0-4BBF-AE14-C320F6EC713B}"/>
    <cellStyle name="Normal 5 3 2 7 5" xfId="28213" xr:uid="{01E32D6F-9BFC-4C8B-A98B-BB2596E64897}"/>
    <cellStyle name="Normal 5 3 2 8" xfId="3123" xr:uid="{C60A3EC5-5920-4AEE-9C79-1DE5CED68069}"/>
    <cellStyle name="Normal 5 3 2 8 2" xfId="6277" xr:uid="{9302FA89-B2D3-4D6E-B128-E310C576E9E4}"/>
    <cellStyle name="Normal 5 3 2 8 2 2" xfId="12570" xr:uid="{6553F94A-21C7-4FA7-93ED-6A11B28EF1CA}"/>
    <cellStyle name="Normal 5 3 2 8 2 2 2" xfId="25252" xr:uid="{D1B0C848-0F9A-4F1A-A59C-E1F1BFC73216}"/>
    <cellStyle name="Normal 5 3 2 8 2 2 2 2" xfId="50744" xr:uid="{9C14C276-DC63-44A8-AF92-54DF7F78F3A0}"/>
    <cellStyle name="Normal 5 3 2 8 2 2 3" xfId="38153" xr:uid="{DB035CFE-878F-4C31-B15E-004A66CA0A4B}"/>
    <cellStyle name="Normal 5 3 2 8 2 3" xfId="18974" xr:uid="{B4B130F3-2AF5-4BB2-B22D-306BFA7DFC98}"/>
    <cellStyle name="Normal 5 3 2 8 2 3 2" xfId="44466" xr:uid="{6BC4561B-B091-4AA4-A656-B06BCD6628C1}"/>
    <cellStyle name="Normal 5 3 2 8 2 4" xfId="31875" xr:uid="{96FEE439-77EB-49CE-9A8E-991A10DCF22F}"/>
    <cellStyle name="Normal 5 3 2 8 3" xfId="9431" xr:uid="{C010A4C0-3BDA-4B97-9E11-66CD0DD32399}"/>
    <cellStyle name="Normal 5 3 2 8 3 2" xfId="22113" xr:uid="{33FC1AC3-ED16-4791-8CE9-527E1368D90C}"/>
    <cellStyle name="Normal 5 3 2 8 3 2 2" xfId="47605" xr:uid="{3927F823-F78A-424C-B852-FC0714A6CBB4}"/>
    <cellStyle name="Normal 5 3 2 8 3 3" xfId="35014" xr:uid="{F6588960-480E-430E-9B22-1AA858BFC7F7}"/>
    <cellStyle name="Normal 5 3 2 8 4" xfId="15835" xr:uid="{B16D673C-0B30-42D8-A1CF-9AC759B6B17A}"/>
    <cellStyle name="Normal 5 3 2 8 4 2" xfId="41327" xr:uid="{3D196876-0BAE-4C07-941E-5D1E4D7A9FE4}"/>
    <cellStyle name="Normal 5 3 2 8 5" xfId="28736" xr:uid="{C29169D3-0E28-4EA3-A1FF-B81CE6DA45F9}"/>
    <cellStyle name="Normal 5 3 2 9" xfId="3662" xr:uid="{9F30708A-DAFA-4BDE-9279-FDCC4F2520B6}"/>
    <cellStyle name="Normal 5 3 2 9 2" xfId="9955" xr:uid="{08F4D26E-0749-4B9A-B028-28EE2EBBBBC0}"/>
    <cellStyle name="Normal 5 3 2 9 2 2" xfId="22637" xr:uid="{20413F00-CB3F-41E8-A94A-BF17385A1B44}"/>
    <cellStyle name="Normal 5 3 2 9 2 2 2" xfId="48129" xr:uid="{FF7CF065-57F4-4B40-9E8F-281D5C2738AD}"/>
    <cellStyle name="Normal 5 3 2 9 2 3" xfId="35538" xr:uid="{212F5013-C1B2-4909-AD80-E37EAE6BDCA7}"/>
    <cellStyle name="Normal 5 3 2 9 3" xfId="16359" xr:uid="{5466AD46-2142-46DF-97DE-8D58E06B4CC8}"/>
    <cellStyle name="Normal 5 3 2 9 3 2" xfId="41851" xr:uid="{3186F1CD-32FF-4447-8828-9B95212DD838}"/>
    <cellStyle name="Normal 5 3 2 9 4" xfId="29260" xr:uid="{41DD3FDA-5DBB-4E3E-9331-F8FC9664313E}"/>
    <cellStyle name="Normal 5 3 3" xfId="591" xr:uid="{42EECBFB-8E29-484D-A046-B4A70245FAAE}"/>
    <cellStyle name="Normal 5 3 3 10" xfId="13318" xr:uid="{7ECF5756-62B8-4A96-B42D-F8A9273367EE}"/>
    <cellStyle name="Normal 5 3 3 10 2" xfId="38810" xr:uid="{6CCDC4AA-4C9D-4E0F-9ABF-63E2C7CFDC9B}"/>
    <cellStyle name="Normal 5 3 3 11" xfId="26219" xr:uid="{B1F03FF3-C769-4EE0-8484-5D34E870F589}"/>
    <cellStyle name="Normal 5 3 3 2" xfId="1128" xr:uid="{52804E5B-0FAA-4717-826D-1EE681BE6F9E}"/>
    <cellStyle name="Normal 5 3 3 2 2" xfId="2435" xr:uid="{BB81728A-8F85-4C88-8F0C-DC72907C548F}"/>
    <cellStyle name="Normal 5 3 3 2 2 2" xfId="5589" xr:uid="{9FDA91BE-5077-4EDD-A40A-8CD56F17DCF8}"/>
    <cellStyle name="Normal 5 3 3 2 2 2 2" xfId="11882" xr:uid="{A5B17147-BF6B-4E07-8D4B-F51F01D354E8}"/>
    <cellStyle name="Normal 5 3 3 2 2 2 2 2" xfId="24564" xr:uid="{4160E669-C7CF-45C4-92C6-C6B74EE4CCFF}"/>
    <cellStyle name="Normal 5 3 3 2 2 2 2 2 2" xfId="50056" xr:uid="{8A349D40-85C7-4522-8D5C-D313AA031F23}"/>
    <cellStyle name="Normal 5 3 3 2 2 2 2 3" xfId="37465" xr:uid="{83F6BAEA-B03B-4C46-86A9-1DC4A59512A2}"/>
    <cellStyle name="Normal 5 3 3 2 2 2 3" xfId="18286" xr:uid="{4EFE95DA-79DD-457C-B105-043576546071}"/>
    <cellStyle name="Normal 5 3 3 2 2 2 3 2" xfId="43778" xr:uid="{2CD0ED13-D0D5-4911-A78A-FACFC6718E55}"/>
    <cellStyle name="Normal 5 3 3 2 2 2 4" xfId="31187" xr:uid="{ECD9B98D-156F-4647-8715-2E88B50BB2BD}"/>
    <cellStyle name="Normal 5 3 3 2 2 3" xfId="8743" xr:uid="{22CA7425-5ACE-4A24-A890-D4AC7C0C6D3E}"/>
    <cellStyle name="Normal 5 3 3 2 2 3 2" xfId="21425" xr:uid="{F367B95B-55AF-4A23-A8AF-5A488B78F032}"/>
    <cellStyle name="Normal 5 3 3 2 2 3 2 2" xfId="46917" xr:uid="{188147B8-9CFC-4F70-8DB8-25219D999C08}"/>
    <cellStyle name="Normal 5 3 3 2 2 3 3" xfId="34326" xr:uid="{C03615A6-7D12-4995-BA65-9049592E1755}"/>
    <cellStyle name="Normal 5 3 3 2 2 4" xfId="15147" xr:uid="{AADAC699-09DD-45B8-A1DE-D9CCA0D4701C}"/>
    <cellStyle name="Normal 5 3 3 2 2 4 2" xfId="40639" xr:uid="{F6DE2D6D-73F8-4D88-BF48-BA9799260EF8}"/>
    <cellStyle name="Normal 5 3 3 2 2 5" xfId="28048" xr:uid="{74D7F9FD-01CC-4318-B258-1D1008E0EF23}"/>
    <cellStyle name="Normal 5 3 3 2 3" xfId="1652" xr:uid="{2B8590EC-905F-4ED3-9770-69703501D037}"/>
    <cellStyle name="Normal 5 3 3 2 3 2" xfId="4806" xr:uid="{03B27271-543B-4743-9CFE-8D8B36B62EFA}"/>
    <cellStyle name="Normal 5 3 3 2 3 2 2" xfId="11099" xr:uid="{4A221449-E822-478E-9D80-BAB40C7D91EF}"/>
    <cellStyle name="Normal 5 3 3 2 3 2 2 2" xfId="23781" xr:uid="{3C5ED2D1-C4F0-4417-8FAB-F432C0A1FEB4}"/>
    <cellStyle name="Normal 5 3 3 2 3 2 2 2 2" xfId="49273" xr:uid="{D81BEC23-09A3-453C-BB22-D856E0B5372A}"/>
    <cellStyle name="Normal 5 3 3 2 3 2 2 3" xfId="36682" xr:uid="{86C5BC1B-8EF8-402A-8807-880ED8B27372}"/>
    <cellStyle name="Normal 5 3 3 2 3 2 3" xfId="17503" xr:uid="{B63AC89E-FEAC-4222-B6B8-1EB4C0700926}"/>
    <cellStyle name="Normal 5 3 3 2 3 2 3 2" xfId="42995" xr:uid="{C0C974F9-581D-45D7-9DBE-FD0DAD710351}"/>
    <cellStyle name="Normal 5 3 3 2 3 2 4" xfId="30404" xr:uid="{1DA96F5B-DA44-421D-AFEB-CC6EF561694F}"/>
    <cellStyle name="Normal 5 3 3 2 3 3" xfId="7960" xr:uid="{AFA47862-38E1-4B33-8876-257D10C5DE8F}"/>
    <cellStyle name="Normal 5 3 3 2 3 3 2" xfId="20642" xr:uid="{4A462A3D-888B-4E43-8C00-2AB93EE21D0E}"/>
    <cellStyle name="Normal 5 3 3 2 3 3 2 2" xfId="46134" xr:uid="{D8C0784C-6329-4442-B4AE-1B7123CE296D}"/>
    <cellStyle name="Normal 5 3 3 2 3 3 3" xfId="33543" xr:uid="{41C866D1-4AF0-447D-86E0-136D1A08DA64}"/>
    <cellStyle name="Normal 5 3 3 2 3 4" xfId="14364" xr:uid="{28E1A92A-AA5F-4EDF-9B8F-B9556BEC7F30}"/>
    <cellStyle name="Normal 5 3 3 2 3 4 2" xfId="39856" xr:uid="{276DBE0B-C719-4938-A4CA-922508AF93CA}"/>
    <cellStyle name="Normal 5 3 3 2 3 5" xfId="27265" xr:uid="{CD2E0F4B-DB85-4FB4-A2B3-191E44CBBD15}"/>
    <cellStyle name="Normal 5 3 3 2 4" xfId="2959" xr:uid="{BC2661B7-B650-4A3C-8F7D-27D2BE9FE24E}"/>
    <cellStyle name="Normal 5 3 3 2 4 2" xfId="6113" xr:uid="{5A011B4E-5AE2-4662-A98A-48470398DCF3}"/>
    <cellStyle name="Normal 5 3 3 2 4 2 2" xfId="12406" xr:uid="{ACED8159-ED0F-4EB5-908C-CEC72026DB13}"/>
    <cellStyle name="Normal 5 3 3 2 4 2 2 2" xfId="25088" xr:uid="{1F76D3CD-846F-4097-ADA2-168F85578B28}"/>
    <cellStyle name="Normal 5 3 3 2 4 2 2 2 2" xfId="50580" xr:uid="{B4DE02E4-F7CD-4F59-A92B-7CFEDD4430A4}"/>
    <cellStyle name="Normal 5 3 3 2 4 2 2 3" xfId="37989" xr:uid="{66F272B2-15C8-4A98-B98A-1D3414E98E06}"/>
    <cellStyle name="Normal 5 3 3 2 4 2 3" xfId="18810" xr:uid="{2202D00B-59FD-44A1-B952-D8D21F624F74}"/>
    <cellStyle name="Normal 5 3 3 2 4 2 3 2" xfId="44302" xr:uid="{64D01AA6-E954-4C07-BE1E-AED572F8662D}"/>
    <cellStyle name="Normal 5 3 3 2 4 2 4" xfId="31711" xr:uid="{8122E65B-2BDB-4BA5-8929-700C6FCC04EF}"/>
    <cellStyle name="Normal 5 3 3 2 4 3" xfId="9267" xr:uid="{D3AD4859-B32F-4BBC-95E6-D0449FF71AE7}"/>
    <cellStyle name="Normal 5 3 3 2 4 3 2" xfId="21949" xr:uid="{858C1EB0-109B-4172-9E4E-53023C6C4BB9}"/>
    <cellStyle name="Normal 5 3 3 2 4 3 2 2" xfId="47441" xr:uid="{34EFE0E7-5A2D-4C14-BAD0-15DEB02CB9A1}"/>
    <cellStyle name="Normal 5 3 3 2 4 3 3" xfId="34850" xr:uid="{8A2D14C6-7AB5-4D40-A71C-636BA59BC38A}"/>
    <cellStyle name="Normal 5 3 3 2 4 4" xfId="15671" xr:uid="{20380024-07C4-485E-8FA6-77278A652336}"/>
    <cellStyle name="Normal 5 3 3 2 4 4 2" xfId="41163" xr:uid="{F3F1DD10-8547-403D-ADE5-FA04D444743B}"/>
    <cellStyle name="Normal 5 3 3 2 4 5" xfId="28572" xr:uid="{91F050D2-3E40-46F3-A8A2-2F70CE6BFA95}"/>
    <cellStyle name="Normal 5 3 3 2 5" xfId="3482" xr:uid="{D0180112-0DD6-4257-8586-D6EBB1D76DDB}"/>
    <cellStyle name="Normal 5 3 3 2 5 2" xfId="6636" xr:uid="{8591807A-4D63-44BE-ACB6-270C6DBFC44C}"/>
    <cellStyle name="Normal 5 3 3 2 5 2 2" xfId="12929" xr:uid="{3175141A-F696-4B4E-991C-E2C8EEAC1926}"/>
    <cellStyle name="Normal 5 3 3 2 5 2 2 2" xfId="25611" xr:uid="{BD79243E-5A92-47FC-9FEC-454314C198AD}"/>
    <cellStyle name="Normal 5 3 3 2 5 2 2 2 2" xfId="51103" xr:uid="{A1D0AB2E-5518-4B38-88A4-B1A22F84A21F}"/>
    <cellStyle name="Normal 5 3 3 2 5 2 2 3" xfId="38512" xr:uid="{81DBE190-2692-4BCF-B541-236C00AEA873}"/>
    <cellStyle name="Normal 5 3 3 2 5 2 3" xfId="19333" xr:uid="{B7B84AA2-0D41-4906-9637-FC0C8762F0C0}"/>
    <cellStyle name="Normal 5 3 3 2 5 2 3 2" xfId="44825" xr:uid="{FDAAF5EB-BBBB-4AD6-BD1E-3A81471CE09D}"/>
    <cellStyle name="Normal 5 3 3 2 5 2 4" xfId="32234" xr:uid="{D3E2737F-5CB2-4434-BB93-9C185C2AFB1F}"/>
    <cellStyle name="Normal 5 3 3 2 5 3" xfId="9790" xr:uid="{11D14A0C-5387-4155-9598-78EDF9FA6ACC}"/>
    <cellStyle name="Normal 5 3 3 2 5 3 2" xfId="22472" xr:uid="{D6954F20-1D1B-40B2-8284-13B8CFF5FF82}"/>
    <cellStyle name="Normal 5 3 3 2 5 3 2 2" xfId="47964" xr:uid="{8D8330DE-26DA-4361-9C57-E5D308AB6044}"/>
    <cellStyle name="Normal 5 3 3 2 5 3 3" xfId="35373" xr:uid="{0551D7CA-A791-4390-8447-135757944F72}"/>
    <cellStyle name="Normal 5 3 3 2 5 4" xfId="16194" xr:uid="{2BAA1D68-227C-4C26-870A-85B424DE811F}"/>
    <cellStyle name="Normal 5 3 3 2 5 4 2" xfId="41686" xr:uid="{59C51F59-D870-4A27-9A9D-F3BD8D88D22E}"/>
    <cellStyle name="Normal 5 3 3 2 5 5" xfId="29095" xr:uid="{B9CFA16C-95E3-46D9-91F8-1193D3D16700}"/>
    <cellStyle name="Normal 5 3 3 2 6" xfId="4282" xr:uid="{C3DDC103-1D85-49AA-A362-A24ABE976B6B}"/>
    <cellStyle name="Normal 5 3 3 2 6 2" xfId="10575" xr:uid="{F960AB09-DC1E-4C95-90DB-D070B3A4518E}"/>
    <cellStyle name="Normal 5 3 3 2 6 2 2" xfId="23257" xr:uid="{0064B623-AF90-4E89-ADD3-DF0655F47799}"/>
    <cellStyle name="Normal 5 3 3 2 6 2 2 2" xfId="48749" xr:uid="{4E445CF0-D0C9-4FBA-AF8F-AC13B7F7C9B4}"/>
    <cellStyle name="Normal 5 3 3 2 6 2 3" xfId="36158" xr:uid="{1EF81636-79C3-4B76-A5E5-17425A391C4A}"/>
    <cellStyle name="Normal 5 3 3 2 6 3" xfId="16979" xr:uid="{A2A68CF5-1A31-4116-8B50-7E685F1ACBF6}"/>
    <cellStyle name="Normal 5 3 3 2 6 3 2" xfId="42471" xr:uid="{1BFAA5D8-E5DA-4848-95B5-FA6709715FBA}"/>
    <cellStyle name="Normal 5 3 3 2 6 4" xfId="29880" xr:uid="{3D61F1A5-C2CB-4E9B-B4EF-B939336977B9}"/>
    <cellStyle name="Normal 5 3 3 2 7" xfId="7436" xr:uid="{BAF3A907-00D8-4AB2-A01C-07E265EE4E44}"/>
    <cellStyle name="Normal 5 3 3 2 7 2" xfId="20118" xr:uid="{24D0986A-08FF-4E97-8274-5B43ADDA34CE}"/>
    <cellStyle name="Normal 5 3 3 2 7 2 2" xfId="45610" xr:uid="{EE93C2D9-0A1A-4DD0-A260-F926B26F1BE2}"/>
    <cellStyle name="Normal 5 3 3 2 7 3" xfId="33019" xr:uid="{90857C25-5718-44A9-8C4F-8574DD2A7F95}"/>
    <cellStyle name="Normal 5 3 3 2 8" xfId="13840" xr:uid="{CF43A884-DD0E-4235-8D44-DAAD51062049}"/>
    <cellStyle name="Normal 5 3 3 2 8 2" xfId="39332" xr:uid="{5043D1D3-480E-4A27-8C45-BCAFBE75CEA0}"/>
    <cellStyle name="Normal 5 3 3 2 9" xfId="26741" xr:uid="{BE95D919-8403-490B-AD57-D29CD310637E}"/>
    <cellStyle name="Normal 5 3 3 3" xfId="868" xr:uid="{1C6E2F8F-19D8-424B-91E1-953A92001E3D}"/>
    <cellStyle name="Normal 5 3 3 3 2" xfId="2175" xr:uid="{9A496CD8-773F-4894-841A-70D205CB39BC}"/>
    <cellStyle name="Normal 5 3 3 3 2 2" xfId="5329" xr:uid="{785B93F4-2ED1-4643-9151-05BD5AC6AA82}"/>
    <cellStyle name="Normal 5 3 3 3 2 2 2" xfId="11622" xr:uid="{5CD4177E-96F9-4988-B1BA-2B7AE7331A42}"/>
    <cellStyle name="Normal 5 3 3 3 2 2 2 2" xfId="24304" xr:uid="{2CD8A220-1803-4AC0-9731-96D1BEBC07CD}"/>
    <cellStyle name="Normal 5 3 3 3 2 2 2 2 2" xfId="49796" xr:uid="{A2A8DB74-861E-4273-BC3D-75937C06E908}"/>
    <cellStyle name="Normal 5 3 3 3 2 2 2 3" xfId="37205" xr:uid="{738002C1-BF7E-4ED6-81A5-E7709F57E938}"/>
    <cellStyle name="Normal 5 3 3 3 2 2 3" xfId="18026" xr:uid="{2D45E6BF-9C01-40E2-9C94-6D82B97B8D0D}"/>
    <cellStyle name="Normal 5 3 3 3 2 2 3 2" xfId="43518" xr:uid="{78568F4B-887F-49A5-8DF9-5E81421ECC37}"/>
    <cellStyle name="Normal 5 3 3 3 2 2 4" xfId="30927" xr:uid="{B9C65BA9-BE1C-451F-BB80-6BD805273D8E}"/>
    <cellStyle name="Normal 5 3 3 3 2 3" xfId="8483" xr:uid="{D66A2F14-E413-4397-B2A0-588B758C6399}"/>
    <cellStyle name="Normal 5 3 3 3 2 3 2" xfId="21165" xr:uid="{A2875BEE-B8F4-4FF5-B531-DDE502D89523}"/>
    <cellStyle name="Normal 5 3 3 3 2 3 2 2" xfId="46657" xr:uid="{803712BC-0DDD-4D37-AD5C-A7B9BE3B7FFC}"/>
    <cellStyle name="Normal 5 3 3 3 2 3 3" xfId="34066" xr:uid="{8E35B235-446F-40A4-AD10-757193C9C32F}"/>
    <cellStyle name="Normal 5 3 3 3 2 4" xfId="14887" xr:uid="{3A612DED-3932-440A-AE81-9DDF493F6A13}"/>
    <cellStyle name="Normal 5 3 3 3 2 4 2" xfId="40379" xr:uid="{B308EF4C-57F2-4836-B816-8C9AE7E28079}"/>
    <cellStyle name="Normal 5 3 3 3 2 5" xfId="27788" xr:uid="{72B31D24-9974-463D-A701-E7204F6E0F39}"/>
    <cellStyle name="Normal 5 3 3 3 3" xfId="4022" xr:uid="{1B537043-B00F-4A28-A387-968D44E7B279}"/>
    <cellStyle name="Normal 5 3 3 3 3 2" xfId="10315" xr:uid="{9F3F7A02-27D1-46E9-916B-3E6271991071}"/>
    <cellStyle name="Normal 5 3 3 3 3 2 2" xfId="22997" xr:uid="{22617651-7D36-4BA3-A8E9-C2B68507375B}"/>
    <cellStyle name="Normal 5 3 3 3 3 2 2 2" xfId="48489" xr:uid="{0E788DB2-C680-4C03-AE79-91B559158BCF}"/>
    <cellStyle name="Normal 5 3 3 3 3 2 3" xfId="35898" xr:uid="{ABED811A-D946-4496-A48F-516F074E6044}"/>
    <cellStyle name="Normal 5 3 3 3 3 3" xfId="16719" xr:uid="{B10E414B-8CC1-4C90-8E88-DF5CCC0EAC26}"/>
    <cellStyle name="Normal 5 3 3 3 3 3 2" xfId="42211" xr:uid="{C993E1EB-6B6A-4024-BD7F-9D096DADBDB6}"/>
    <cellStyle name="Normal 5 3 3 3 3 4" xfId="29620" xr:uid="{0273F070-F2DD-466F-84AB-2B3DCB6F58B6}"/>
    <cellStyle name="Normal 5 3 3 3 4" xfId="7176" xr:uid="{0134A387-A33B-45E8-8EDE-7B486150F87C}"/>
    <cellStyle name="Normal 5 3 3 3 4 2" xfId="19858" xr:uid="{C06FD414-01FE-4CA7-9936-7B638B6AD3E2}"/>
    <cellStyle name="Normal 5 3 3 3 4 2 2" xfId="45350" xr:uid="{0DBC92AE-96B2-4C9B-9D46-A07B0B5E25D8}"/>
    <cellStyle name="Normal 5 3 3 3 4 3" xfId="32759" xr:uid="{53F031C3-D780-4E73-962A-20A2815923BB}"/>
    <cellStyle name="Normal 5 3 3 3 5" xfId="13580" xr:uid="{001C2216-0F2F-4D77-ADB0-4988A5E8B85F}"/>
    <cellStyle name="Normal 5 3 3 3 5 2" xfId="39072" xr:uid="{4F0649FC-CC66-400E-BFC0-D69A2AC83953}"/>
    <cellStyle name="Normal 5 3 3 3 6" xfId="26481" xr:uid="{486CD9C1-5CD3-45F7-9E19-E299AAF00639}"/>
    <cellStyle name="Normal 5 3 3 4" xfId="1913" xr:uid="{62E589D3-B8D0-4CF4-BC50-18B8BC4D0B53}"/>
    <cellStyle name="Normal 5 3 3 4 2" xfId="5067" xr:uid="{FBEB9412-4120-44AD-999A-7B7CCFCE0AB1}"/>
    <cellStyle name="Normal 5 3 3 4 2 2" xfId="11360" xr:uid="{CD514FAB-F699-4561-8956-D8E81F350F84}"/>
    <cellStyle name="Normal 5 3 3 4 2 2 2" xfId="24042" xr:uid="{422C61EB-5AD0-4A10-9165-8750AF0343D3}"/>
    <cellStyle name="Normal 5 3 3 4 2 2 2 2" xfId="49534" xr:uid="{4893C81C-9704-4161-8CEE-4D2BF56795B5}"/>
    <cellStyle name="Normal 5 3 3 4 2 2 3" xfId="36943" xr:uid="{162803A4-BB7C-4914-A482-45821700901F}"/>
    <cellStyle name="Normal 5 3 3 4 2 3" xfId="17764" xr:uid="{EB77FCCB-C01B-4ABF-8080-76FEDAFEBCB2}"/>
    <cellStyle name="Normal 5 3 3 4 2 3 2" xfId="43256" xr:uid="{42C076ED-3404-4C2E-8A50-6F7E524D0F70}"/>
    <cellStyle name="Normal 5 3 3 4 2 4" xfId="30665" xr:uid="{8F7E776B-C8D4-4782-8168-08C0E2121C4B}"/>
    <cellStyle name="Normal 5 3 3 4 3" xfId="8221" xr:uid="{FA64249F-BDEF-4338-8621-E386F60CE00E}"/>
    <cellStyle name="Normal 5 3 3 4 3 2" xfId="20903" xr:uid="{335F87B2-C6A3-4CBF-957C-02425286E6D5}"/>
    <cellStyle name="Normal 5 3 3 4 3 2 2" xfId="46395" xr:uid="{68AE2603-341E-4133-A145-7BAB23B6CE84}"/>
    <cellStyle name="Normal 5 3 3 4 3 3" xfId="33804" xr:uid="{B1DCD7F0-1DC3-4179-8A0B-49C0A2EF26B0}"/>
    <cellStyle name="Normal 5 3 3 4 4" xfId="14625" xr:uid="{00F85773-ABB2-41B3-9945-D15359705872}"/>
    <cellStyle name="Normal 5 3 3 4 4 2" xfId="40117" xr:uid="{3CBF79E1-778C-4BAE-A267-EF93E2040A54}"/>
    <cellStyle name="Normal 5 3 3 4 5" xfId="27526" xr:uid="{C9A6CAB8-3856-4E33-A76A-8CCB84F737A1}"/>
    <cellStyle name="Normal 5 3 3 5" xfId="1391" xr:uid="{5EA042E0-0AA9-4978-80F4-5336042D01A7}"/>
    <cellStyle name="Normal 5 3 3 5 2" xfId="4545" xr:uid="{33FADD3E-9137-44DC-B100-78454E745BE5}"/>
    <cellStyle name="Normal 5 3 3 5 2 2" xfId="10838" xr:uid="{A335ACD5-B7FC-4F62-B806-C9D3FC393477}"/>
    <cellStyle name="Normal 5 3 3 5 2 2 2" xfId="23520" xr:uid="{01F3EBDA-2FAC-4304-BD9D-8C802D6FBFE5}"/>
    <cellStyle name="Normal 5 3 3 5 2 2 2 2" xfId="49012" xr:uid="{6CD0990B-6C51-4926-AD49-CC4F385E1912}"/>
    <cellStyle name="Normal 5 3 3 5 2 2 3" xfId="36421" xr:uid="{E21098B7-40CA-4965-B975-C8A59BB240BE}"/>
    <cellStyle name="Normal 5 3 3 5 2 3" xfId="17242" xr:uid="{058111B4-986E-49DE-9E55-2A161135DA24}"/>
    <cellStyle name="Normal 5 3 3 5 2 3 2" xfId="42734" xr:uid="{857351B0-0A21-4D15-8331-8A43E687FC24}"/>
    <cellStyle name="Normal 5 3 3 5 2 4" xfId="30143" xr:uid="{C5420DFB-33ED-4851-B407-B0C3502FB204}"/>
    <cellStyle name="Normal 5 3 3 5 3" xfId="7699" xr:uid="{A70CD8C9-4F50-4FEE-82DA-37801CE21759}"/>
    <cellStyle name="Normal 5 3 3 5 3 2" xfId="20381" xr:uid="{0A6861FA-ED67-4484-921C-8486350B5D1C}"/>
    <cellStyle name="Normal 5 3 3 5 3 2 2" xfId="45873" xr:uid="{A1CCC204-D35B-4441-B92D-D3E6E5AA3BE6}"/>
    <cellStyle name="Normal 5 3 3 5 3 3" xfId="33282" xr:uid="{3D75CF19-7481-40CD-958F-7030896A8E1D}"/>
    <cellStyle name="Normal 5 3 3 5 4" xfId="14103" xr:uid="{7AAFC745-9117-48D7-B876-96175E3CECFD}"/>
    <cellStyle name="Normal 5 3 3 5 4 2" xfId="39595" xr:uid="{ACCD911D-C87D-4B9A-B694-3B995370B6D9}"/>
    <cellStyle name="Normal 5 3 3 5 5" xfId="27004" xr:uid="{81D1843D-9FA3-4383-8B28-94E08CE626FC}"/>
    <cellStyle name="Normal 5 3 3 6" xfId="2698" xr:uid="{D7EC2D42-CC01-4506-BC05-9B24CA264817}"/>
    <cellStyle name="Normal 5 3 3 6 2" xfId="5852" xr:uid="{FC038892-8D23-4E10-A8E0-AEF699A8F94A}"/>
    <cellStyle name="Normal 5 3 3 6 2 2" xfId="12145" xr:uid="{D7C6DF7C-E22C-4813-AD4C-FB43833F8552}"/>
    <cellStyle name="Normal 5 3 3 6 2 2 2" xfId="24827" xr:uid="{8E0E5448-4383-4406-AEA5-26F8FD2074E4}"/>
    <cellStyle name="Normal 5 3 3 6 2 2 2 2" xfId="50319" xr:uid="{46C6815B-B4D0-4FB8-8030-EB9B79D7E6C6}"/>
    <cellStyle name="Normal 5 3 3 6 2 2 3" xfId="37728" xr:uid="{68EE2052-DF8D-49EA-A8D5-74E9054438BF}"/>
    <cellStyle name="Normal 5 3 3 6 2 3" xfId="18549" xr:uid="{992B329D-8C42-483C-9EE7-C250BF6CA4DD}"/>
    <cellStyle name="Normal 5 3 3 6 2 3 2" xfId="44041" xr:uid="{4599D96C-8503-4313-932C-91632789399B}"/>
    <cellStyle name="Normal 5 3 3 6 2 4" xfId="31450" xr:uid="{095951F0-4A72-4671-931E-C65E3C3EEC39}"/>
    <cellStyle name="Normal 5 3 3 6 3" xfId="9006" xr:uid="{FEB4862C-72AD-4113-AAA1-9DF2BF778AD2}"/>
    <cellStyle name="Normal 5 3 3 6 3 2" xfId="21688" xr:uid="{F2D4B407-A217-4A1C-9B4A-2076AB533552}"/>
    <cellStyle name="Normal 5 3 3 6 3 2 2" xfId="47180" xr:uid="{9C4F7F6C-75F4-455B-B417-62F36F08CFB4}"/>
    <cellStyle name="Normal 5 3 3 6 3 3" xfId="34589" xr:uid="{497D66CF-BAA4-4EF8-8C20-1E82BE539466}"/>
    <cellStyle name="Normal 5 3 3 6 4" xfId="15410" xr:uid="{82F64DCA-86C8-44CE-93CD-4E5AC0FDAB0D}"/>
    <cellStyle name="Normal 5 3 3 6 4 2" xfId="40902" xr:uid="{3A5A6AB8-7A93-403C-B452-076D13C2736B}"/>
    <cellStyle name="Normal 5 3 3 6 5" xfId="28311" xr:uid="{15B7BCD0-A47A-45C0-B7B0-D4AD7EC58BF1}"/>
    <cellStyle name="Normal 5 3 3 7" xfId="3221" xr:uid="{9342ABF4-CECF-4AC9-B531-7F0F73973CDF}"/>
    <cellStyle name="Normal 5 3 3 7 2" xfId="6375" xr:uid="{8665D728-0B10-495E-95DB-DD088DBCC8EB}"/>
    <cellStyle name="Normal 5 3 3 7 2 2" xfId="12668" xr:uid="{D17D4D3D-D88E-4A16-B48B-9205E7007CAB}"/>
    <cellStyle name="Normal 5 3 3 7 2 2 2" xfId="25350" xr:uid="{A099C2DB-735C-4263-B008-75A7651F3CA7}"/>
    <cellStyle name="Normal 5 3 3 7 2 2 2 2" xfId="50842" xr:uid="{CEF85AD2-F9A8-473A-ADDC-D5028FA9730E}"/>
    <cellStyle name="Normal 5 3 3 7 2 2 3" xfId="38251" xr:uid="{180B23EB-905E-45F4-8BF4-246A091B6C6F}"/>
    <cellStyle name="Normal 5 3 3 7 2 3" xfId="19072" xr:uid="{162623DF-991F-436A-98FC-19E102C56F53}"/>
    <cellStyle name="Normal 5 3 3 7 2 3 2" xfId="44564" xr:uid="{CEC7B645-48F3-4C0D-87D3-76774342EECC}"/>
    <cellStyle name="Normal 5 3 3 7 2 4" xfId="31973" xr:uid="{9CEEB013-1824-4E5F-8F0A-910EBA574409}"/>
    <cellStyle name="Normal 5 3 3 7 3" xfId="9529" xr:uid="{9B076CC2-F0F0-4732-9E70-5CF5A426266C}"/>
    <cellStyle name="Normal 5 3 3 7 3 2" xfId="22211" xr:uid="{56838B1E-FD58-4F0E-B6B2-78D52C51C29A}"/>
    <cellStyle name="Normal 5 3 3 7 3 2 2" xfId="47703" xr:uid="{A0B7D8BA-ECB4-4936-9970-651EDC413A2F}"/>
    <cellStyle name="Normal 5 3 3 7 3 3" xfId="35112" xr:uid="{FE45A818-3BA3-41FC-8044-3F8039B54507}"/>
    <cellStyle name="Normal 5 3 3 7 4" xfId="15933" xr:uid="{885D8BCA-2BE7-44CC-849C-D08A82C900F0}"/>
    <cellStyle name="Normal 5 3 3 7 4 2" xfId="41425" xr:uid="{B501EF6E-9B62-440A-8BCB-AAB95B470275}"/>
    <cellStyle name="Normal 5 3 3 7 5" xfId="28834" xr:uid="{879CA085-76C4-47EA-B2F6-2CB4A94282CD}"/>
    <cellStyle name="Normal 5 3 3 8" xfId="3760" xr:uid="{362D1A9E-891B-4940-8170-0A88EC03B5EB}"/>
    <cellStyle name="Normal 5 3 3 8 2" xfId="10053" xr:uid="{CA7DC086-EA19-4E96-992C-94A892199E77}"/>
    <cellStyle name="Normal 5 3 3 8 2 2" xfId="22735" xr:uid="{442C3985-B9D5-4C6F-8843-53C4CADC4330}"/>
    <cellStyle name="Normal 5 3 3 8 2 2 2" xfId="48227" xr:uid="{85C25C62-E707-421E-8C0E-3EE90758ED87}"/>
    <cellStyle name="Normal 5 3 3 8 2 3" xfId="35636" xr:uid="{76E081A7-0163-4999-804E-7FB971844A6C}"/>
    <cellStyle name="Normal 5 3 3 8 3" xfId="16457" xr:uid="{464E74BD-E0ED-41D6-91F7-A87B9D829010}"/>
    <cellStyle name="Normal 5 3 3 8 3 2" xfId="41949" xr:uid="{FA5F1862-46A9-418B-9178-378FC77FD229}"/>
    <cellStyle name="Normal 5 3 3 8 4" xfId="29358" xr:uid="{9C06EC32-0F41-4A2B-8E9A-DB50B4B797E2}"/>
    <cellStyle name="Normal 5 3 3 9" xfId="6914" xr:uid="{3888D7B3-2F04-462B-8D2B-203584FCA8AE}"/>
    <cellStyle name="Normal 5 3 3 9 2" xfId="19596" xr:uid="{FF12EF9F-B1D8-4DC3-886C-B12DC1A2E38E}"/>
    <cellStyle name="Normal 5 3 3 9 2 2" xfId="45088" xr:uid="{DF5315F9-11A3-4B0E-A069-DEEF005C544E}"/>
    <cellStyle name="Normal 5 3 3 9 3" xfId="32497" xr:uid="{12EB263F-EAD8-4EA8-9168-32A8C5E1D794}"/>
    <cellStyle name="Normal 5 3 4" xfId="552" xr:uid="{77F1FEB9-3242-4445-90BE-3D5AEC53D3F7}"/>
    <cellStyle name="Normal 5 3 4 10" xfId="13279" xr:uid="{5B07D487-C62F-407A-BDEE-D071F0AA1EBC}"/>
    <cellStyle name="Normal 5 3 4 10 2" xfId="38771" xr:uid="{C74545FE-39D3-4372-9EDF-547EBD197D84}"/>
    <cellStyle name="Normal 5 3 4 11" xfId="26180" xr:uid="{072636C6-9CCB-4909-998A-86FA7DF0C560}"/>
    <cellStyle name="Normal 5 3 4 2" xfId="1089" xr:uid="{685277E6-67A2-4A0A-854B-01AC6227BBD8}"/>
    <cellStyle name="Normal 5 3 4 2 2" xfId="2396" xr:uid="{5B6CF357-AFCA-4423-B785-B3D9E5B3AC1C}"/>
    <cellStyle name="Normal 5 3 4 2 2 2" xfId="5550" xr:uid="{18579434-7D6F-4C49-ABCA-B94FD1525CE0}"/>
    <cellStyle name="Normal 5 3 4 2 2 2 2" xfId="11843" xr:uid="{6810F4D2-838F-47C2-B45E-F5594B12BA19}"/>
    <cellStyle name="Normal 5 3 4 2 2 2 2 2" xfId="24525" xr:uid="{FA5F94B9-5DA0-4497-A2D5-192BD02C3033}"/>
    <cellStyle name="Normal 5 3 4 2 2 2 2 2 2" xfId="50017" xr:uid="{0D090AC8-A504-4447-90EC-4C4AAB53889C}"/>
    <cellStyle name="Normal 5 3 4 2 2 2 2 3" xfId="37426" xr:uid="{3B3AEB90-A942-41F1-9782-318D86C5F978}"/>
    <cellStyle name="Normal 5 3 4 2 2 2 3" xfId="18247" xr:uid="{FA919DAA-65CE-404A-971F-EDEE47895416}"/>
    <cellStyle name="Normal 5 3 4 2 2 2 3 2" xfId="43739" xr:uid="{8B3F4028-4531-4CA9-81A1-451573A7F9C9}"/>
    <cellStyle name="Normal 5 3 4 2 2 2 4" xfId="31148" xr:uid="{920DC991-3A21-4B1E-9000-BAD2AD761571}"/>
    <cellStyle name="Normal 5 3 4 2 2 3" xfId="8704" xr:uid="{3D1E49D2-A0D0-43A6-9123-3CFDB8ED54BB}"/>
    <cellStyle name="Normal 5 3 4 2 2 3 2" xfId="21386" xr:uid="{09E57CA7-C135-418E-BE23-456185473963}"/>
    <cellStyle name="Normal 5 3 4 2 2 3 2 2" xfId="46878" xr:uid="{C39B6CBC-1150-40AA-9AD5-3BFB89695C03}"/>
    <cellStyle name="Normal 5 3 4 2 2 3 3" xfId="34287" xr:uid="{2D083420-38A0-433B-A067-2095709738D6}"/>
    <cellStyle name="Normal 5 3 4 2 2 4" xfId="15108" xr:uid="{8F06A01A-BCE5-484F-A6B7-701DD1A640E9}"/>
    <cellStyle name="Normal 5 3 4 2 2 4 2" xfId="40600" xr:uid="{5CF80B89-88BD-460B-9361-7841FBFC7094}"/>
    <cellStyle name="Normal 5 3 4 2 2 5" xfId="28009" xr:uid="{FE78A4AA-C2D7-430E-AE89-F5646F630861}"/>
    <cellStyle name="Normal 5 3 4 2 3" xfId="1613" xr:uid="{F5FA458E-7F2E-462B-ABE4-A7D1F742DA6A}"/>
    <cellStyle name="Normal 5 3 4 2 3 2" xfId="4767" xr:uid="{E7AF7846-B701-490D-9A0C-02FB57DD7272}"/>
    <cellStyle name="Normal 5 3 4 2 3 2 2" xfId="11060" xr:uid="{0A7BB4E8-7C91-409D-8B82-E3EDE7121A92}"/>
    <cellStyle name="Normal 5 3 4 2 3 2 2 2" xfId="23742" xr:uid="{60327703-4BDD-4360-8DFA-DB0D251B3AFA}"/>
    <cellStyle name="Normal 5 3 4 2 3 2 2 2 2" xfId="49234" xr:uid="{76878B8A-331A-401C-BF90-DD32E4091E3D}"/>
    <cellStyle name="Normal 5 3 4 2 3 2 2 3" xfId="36643" xr:uid="{8BDF40FA-DC34-46EA-8205-DB60E7BF8894}"/>
    <cellStyle name="Normal 5 3 4 2 3 2 3" xfId="17464" xr:uid="{6F761785-B0D5-412A-909E-967559CA6D0C}"/>
    <cellStyle name="Normal 5 3 4 2 3 2 3 2" xfId="42956" xr:uid="{AE77DF99-C6A3-4549-B260-F151BA53A0CD}"/>
    <cellStyle name="Normal 5 3 4 2 3 2 4" xfId="30365" xr:uid="{5442478A-2E0D-4055-AF78-864E9C4D3273}"/>
    <cellStyle name="Normal 5 3 4 2 3 3" xfId="7921" xr:uid="{FFD160B4-7350-4514-9F78-B1602CC55D26}"/>
    <cellStyle name="Normal 5 3 4 2 3 3 2" xfId="20603" xr:uid="{47FCEBE1-75D0-490C-BD52-FAD69F18672C}"/>
    <cellStyle name="Normal 5 3 4 2 3 3 2 2" xfId="46095" xr:uid="{2D298339-4C72-4B73-B75E-14858D5A36D0}"/>
    <cellStyle name="Normal 5 3 4 2 3 3 3" xfId="33504" xr:uid="{AEB998A5-242E-4C1A-930C-B87593004D0D}"/>
    <cellStyle name="Normal 5 3 4 2 3 4" xfId="14325" xr:uid="{ACADCD9C-5553-4D0E-97C2-DE56E9A271D4}"/>
    <cellStyle name="Normal 5 3 4 2 3 4 2" xfId="39817" xr:uid="{CC4A1A6D-914A-4D38-A660-3683B2F48104}"/>
    <cellStyle name="Normal 5 3 4 2 3 5" xfId="27226" xr:uid="{2F998DD3-1CD6-4EBE-B66A-66E25C39F052}"/>
    <cellStyle name="Normal 5 3 4 2 4" xfId="2920" xr:uid="{98DAD4A5-98FF-4FDC-9FB4-53C29B07F43E}"/>
    <cellStyle name="Normal 5 3 4 2 4 2" xfId="6074" xr:uid="{CBF3B113-02BB-4E5B-B9FE-E6CD18CB8BC4}"/>
    <cellStyle name="Normal 5 3 4 2 4 2 2" xfId="12367" xr:uid="{5D631D82-6402-461D-91BA-505E324DDA8B}"/>
    <cellStyle name="Normal 5 3 4 2 4 2 2 2" xfId="25049" xr:uid="{451D4553-0CA2-4E0F-941A-C86B04E8D01E}"/>
    <cellStyle name="Normal 5 3 4 2 4 2 2 2 2" xfId="50541" xr:uid="{156BE575-F3C5-4415-B5AD-27791B94326A}"/>
    <cellStyle name="Normal 5 3 4 2 4 2 2 3" xfId="37950" xr:uid="{3E66D745-96FB-4573-B351-B4D55E6A0560}"/>
    <cellStyle name="Normal 5 3 4 2 4 2 3" xfId="18771" xr:uid="{B4C7989F-3D1F-42E8-8716-BF0C0E1A4ED5}"/>
    <cellStyle name="Normal 5 3 4 2 4 2 3 2" xfId="44263" xr:uid="{23544B88-6A84-4995-9AE3-E12316197771}"/>
    <cellStyle name="Normal 5 3 4 2 4 2 4" xfId="31672" xr:uid="{8B018AB1-4D83-4CDD-AA95-738ADAAE2F0A}"/>
    <cellStyle name="Normal 5 3 4 2 4 3" xfId="9228" xr:uid="{19E0B74E-1E41-4EA5-9A52-7B616AFABBC5}"/>
    <cellStyle name="Normal 5 3 4 2 4 3 2" xfId="21910" xr:uid="{7A35D430-FD9F-43D9-B6BF-D149431F6EE9}"/>
    <cellStyle name="Normal 5 3 4 2 4 3 2 2" xfId="47402" xr:uid="{9096A61C-AB0A-496D-8B48-CF6D6B8F05CE}"/>
    <cellStyle name="Normal 5 3 4 2 4 3 3" xfId="34811" xr:uid="{A2802609-3C49-4A4A-9560-349A18D0E0AB}"/>
    <cellStyle name="Normal 5 3 4 2 4 4" xfId="15632" xr:uid="{2CB99D84-5F80-44BA-BB68-2C1F72833BA6}"/>
    <cellStyle name="Normal 5 3 4 2 4 4 2" xfId="41124" xr:uid="{AED66EAE-8A0D-4E22-84BE-43EE5A7FEBB0}"/>
    <cellStyle name="Normal 5 3 4 2 4 5" xfId="28533" xr:uid="{84AA6C8E-3A59-48DB-A2BB-ED3E5A035180}"/>
    <cellStyle name="Normal 5 3 4 2 5" xfId="3443" xr:uid="{A26A0E38-22E5-4B29-8EA6-E798AF45CD36}"/>
    <cellStyle name="Normal 5 3 4 2 5 2" xfId="6597" xr:uid="{931A1C52-0033-4231-9CBA-83EBAA16951F}"/>
    <cellStyle name="Normal 5 3 4 2 5 2 2" xfId="12890" xr:uid="{D4018D2E-71B7-4EBC-A52A-249C34CDF200}"/>
    <cellStyle name="Normal 5 3 4 2 5 2 2 2" xfId="25572" xr:uid="{0A01D827-660D-4C63-8482-AA973782AD56}"/>
    <cellStyle name="Normal 5 3 4 2 5 2 2 2 2" xfId="51064" xr:uid="{349708E9-996E-47EF-B730-9E9D3EFC6938}"/>
    <cellStyle name="Normal 5 3 4 2 5 2 2 3" xfId="38473" xr:uid="{80883C7D-62CF-4488-BCE6-4306A2F7F318}"/>
    <cellStyle name="Normal 5 3 4 2 5 2 3" xfId="19294" xr:uid="{37387821-66B4-479D-B65D-9DD7B309C9AB}"/>
    <cellStyle name="Normal 5 3 4 2 5 2 3 2" xfId="44786" xr:uid="{EE28FE88-0448-41C4-90EE-B9FAD540CDF0}"/>
    <cellStyle name="Normal 5 3 4 2 5 2 4" xfId="32195" xr:uid="{9FFC2BF6-0A33-43D5-8484-5E7FE7F58197}"/>
    <cellStyle name="Normal 5 3 4 2 5 3" xfId="9751" xr:uid="{93EB0444-3A2B-4C13-9243-C3B7662646C2}"/>
    <cellStyle name="Normal 5 3 4 2 5 3 2" xfId="22433" xr:uid="{660E1EA4-08AE-4F2B-9552-B1E67346A4FD}"/>
    <cellStyle name="Normal 5 3 4 2 5 3 2 2" xfId="47925" xr:uid="{8778E088-9ECE-4210-96FD-F386123B3C79}"/>
    <cellStyle name="Normal 5 3 4 2 5 3 3" xfId="35334" xr:uid="{B00FCA83-D188-4220-B3CA-BE4460200383}"/>
    <cellStyle name="Normal 5 3 4 2 5 4" xfId="16155" xr:uid="{8EBDDF36-4210-4941-A06E-D1C2D32BFBAE}"/>
    <cellStyle name="Normal 5 3 4 2 5 4 2" xfId="41647" xr:uid="{FFD2CA63-6B04-4523-BF1B-B0C4255A64FE}"/>
    <cellStyle name="Normal 5 3 4 2 5 5" xfId="29056" xr:uid="{23176D54-9E26-42BE-861F-32980CE6080C}"/>
    <cellStyle name="Normal 5 3 4 2 6" xfId="4243" xr:uid="{06364668-64F8-4147-81FF-A73526827AD2}"/>
    <cellStyle name="Normal 5 3 4 2 6 2" xfId="10536" xr:uid="{0EC8E930-C164-4A36-BAC9-7CCFEE4729E6}"/>
    <cellStyle name="Normal 5 3 4 2 6 2 2" xfId="23218" xr:uid="{E398FA2C-FA72-41D3-9BEB-AAF8F50DA34E}"/>
    <cellStyle name="Normal 5 3 4 2 6 2 2 2" xfId="48710" xr:uid="{FA84F3F6-B208-4CD0-A63A-2550DB2BD985}"/>
    <cellStyle name="Normal 5 3 4 2 6 2 3" xfId="36119" xr:uid="{BEC4E563-2338-42F5-B61F-05A0B034017B}"/>
    <cellStyle name="Normal 5 3 4 2 6 3" xfId="16940" xr:uid="{7B04D960-CB7B-4CFC-839A-5D62E6B30631}"/>
    <cellStyle name="Normal 5 3 4 2 6 3 2" xfId="42432" xr:uid="{C357B806-B9EB-4524-9E26-A52E5F684C13}"/>
    <cellStyle name="Normal 5 3 4 2 6 4" xfId="29841" xr:uid="{868F046C-9629-46F4-B77C-1B460460303A}"/>
    <cellStyle name="Normal 5 3 4 2 7" xfId="7397" xr:uid="{29D22D19-BB5B-4150-A01F-331F461D1BFD}"/>
    <cellStyle name="Normal 5 3 4 2 7 2" xfId="20079" xr:uid="{6200EE54-7A1E-4BB1-8393-01C115065AA8}"/>
    <cellStyle name="Normal 5 3 4 2 7 2 2" xfId="45571" xr:uid="{6A00AF5B-BB5E-4A58-9D3C-B4CC4988CFE4}"/>
    <cellStyle name="Normal 5 3 4 2 7 3" xfId="32980" xr:uid="{6C0B988D-706D-43AE-AA9C-FA85738A7F66}"/>
    <cellStyle name="Normal 5 3 4 2 8" xfId="13801" xr:uid="{52493D1C-EB54-4C7F-B2B5-48FA049575FC}"/>
    <cellStyle name="Normal 5 3 4 2 8 2" xfId="39293" xr:uid="{4037BFD4-15CA-4438-BE93-E2C09963EE0F}"/>
    <cellStyle name="Normal 5 3 4 2 9" xfId="26702" xr:uid="{918C5621-C1B2-4081-BAA5-C75E79326AE8}"/>
    <cellStyle name="Normal 5 3 4 3" xfId="829" xr:uid="{B7DB489B-DDFF-485E-92BC-8228619DDDD4}"/>
    <cellStyle name="Normal 5 3 4 3 2" xfId="2136" xr:uid="{53D9F58A-3C4D-4FCB-8745-DFB574E78855}"/>
    <cellStyle name="Normal 5 3 4 3 2 2" xfId="5290" xr:uid="{9A152F7E-19FF-4546-8C81-9CBA622292E0}"/>
    <cellStyle name="Normal 5 3 4 3 2 2 2" xfId="11583" xr:uid="{0C07146A-152C-4FEB-989B-3C50C6A710E1}"/>
    <cellStyle name="Normal 5 3 4 3 2 2 2 2" xfId="24265" xr:uid="{21721DFD-0838-4733-BD52-3FE13AE9CF09}"/>
    <cellStyle name="Normal 5 3 4 3 2 2 2 2 2" xfId="49757" xr:uid="{3D021821-C7E4-491F-AEA3-8D08CBF74626}"/>
    <cellStyle name="Normal 5 3 4 3 2 2 2 3" xfId="37166" xr:uid="{8D428609-3AF2-48A9-9F10-59E2269AB9EA}"/>
    <cellStyle name="Normal 5 3 4 3 2 2 3" xfId="17987" xr:uid="{A12D1B50-CB6C-4DFA-B91A-5D4412A456C4}"/>
    <cellStyle name="Normal 5 3 4 3 2 2 3 2" xfId="43479" xr:uid="{046A0AD6-55F5-4D14-A3D5-A9D6B431CB00}"/>
    <cellStyle name="Normal 5 3 4 3 2 2 4" xfId="30888" xr:uid="{C82092F0-BAD6-414E-9204-D3258B0EA850}"/>
    <cellStyle name="Normal 5 3 4 3 2 3" xfId="8444" xr:uid="{5C63DF9D-62E7-4324-9837-A180D1C6580B}"/>
    <cellStyle name="Normal 5 3 4 3 2 3 2" xfId="21126" xr:uid="{4A721668-BCC4-4C9E-9D45-6FF5B0790AD5}"/>
    <cellStyle name="Normal 5 3 4 3 2 3 2 2" xfId="46618" xr:uid="{4FBF0AAD-213F-4FF4-8C39-E28123FD99CB}"/>
    <cellStyle name="Normal 5 3 4 3 2 3 3" xfId="34027" xr:uid="{146369BC-FA34-418D-92A7-EAF415AE8763}"/>
    <cellStyle name="Normal 5 3 4 3 2 4" xfId="14848" xr:uid="{BA2F1952-F620-48F5-B8EF-4DEFF1971522}"/>
    <cellStyle name="Normal 5 3 4 3 2 4 2" xfId="40340" xr:uid="{AC3FC7B4-3789-40D1-A94E-5C0EFA5C047F}"/>
    <cellStyle name="Normal 5 3 4 3 2 5" xfId="27749" xr:uid="{DB8E5ECA-AE98-4EC3-A86D-D609FD84CEDC}"/>
    <cellStyle name="Normal 5 3 4 3 3" xfId="3983" xr:uid="{B7F5B272-431F-4797-B12D-B71F5E50CE0B}"/>
    <cellStyle name="Normal 5 3 4 3 3 2" xfId="10276" xr:uid="{831B3635-9C59-4774-80C4-CFC6F7DF736D}"/>
    <cellStyle name="Normal 5 3 4 3 3 2 2" xfId="22958" xr:uid="{746BEE66-D88B-47BF-86B9-93E8C91FCB43}"/>
    <cellStyle name="Normal 5 3 4 3 3 2 2 2" xfId="48450" xr:uid="{457C9592-F911-481C-BAC9-240D95094C6B}"/>
    <cellStyle name="Normal 5 3 4 3 3 2 3" xfId="35859" xr:uid="{2B0E6FDC-E62A-47E7-B805-6F8350E51F3F}"/>
    <cellStyle name="Normal 5 3 4 3 3 3" xfId="16680" xr:uid="{3FEFC0DF-3832-4A14-B288-38EA2EADB252}"/>
    <cellStyle name="Normal 5 3 4 3 3 3 2" xfId="42172" xr:uid="{D38A9BA0-AB99-4D8D-8E90-CF6A12880F6A}"/>
    <cellStyle name="Normal 5 3 4 3 3 4" xfId="29581" xr:uid="{948076D9-9D87-4489-9EE6-DA3E01EFB5E8}"/>
    <cellStyle name="Normal 5 3 4 3 4" xfId="7137" xr:uid="{276A8E6F-C7B4-4D21-854C-B0B5AB8AF3E2}"/>
    <cellStyle name="Normal 5 3 4 3 4 2" xfId="19819" xr:uid="{77246880-C347-453D-B8BF-C4D89F7FDC90}"/>
    <cellStyle name="Normal 5 3 4 3 4 2 2" xfId="45311" xr:uid="{3CC3F6D5-A92C-4D16-AB8A-BC2A63556F96}"/>
    <cellStyle name="Normal 5 3 4 3 4 3" xfId="32720" xr:uid="{55695CCC-980A-4E75-ADE2-E15958804956}"/>
    <cellStyle name="Normal 5 3 4 3 5" xfId="13541" xr:uid="{44E18503-6554-41EC-A2C7-E753588DFEF3}"/>
    <cellStyle name="Normal 5 3 4 3 5 2" xfId="39033" xr:uid="{11482154-E4E7-4896-9BA7-7FE346F5CCA0}"/>
    <cellStyle name="Normal 5 3 4 3 6" xfId="26442" xr:uid="{3EF868DD-94BB-4A22-BF99-457E81E4912E}"/>
    <cellStyle name="Normal 5 3 4 4" xfId="1874" xr:uid="{2EA2DFB7-A719-496D-8611-75832965B51C}"/>
    <cellStyle name="Normal 5 3 4 4 2" xfId="5028" xr:uid="{2E288BE0-C0C6-4049-9DF7-8B0334E1790D}"/>
    <cellStyle name="Normal 5 3 4 4 2 2" xfId="11321" xr:uid="{C5233785-EF18-45B7-8030-6B55CADD9072}"/>
    <cellStyle name="Normal 5 3 4 4 2 2 2" xfId="24003" xr:uid="{F3A128A6-0542-42AD-BFDD-A41A9E713E52}"/>
    <cellStyle name="Normal 5 3 4 4 2 2 2 2" xfId="49495" xr:uid="{F841AF95-2E69-40EE-815C-89B53A0DFAB8}"/>
    <cellStyle name="Normal 5 3 4 4 2 2 3" xfId="36904" xr:uid="{3AF0A08F-E16C-476D-BE13-A089D801CAB2}"/>
    <cellStyle name="Normal 5 3 4 4 2 3" xfId="17725" xr:uid="{67C658DB-6EC3-4094-97BE-CADCFBAFA56F}"/>
    <cellStyle name="Normal 5 3 4 4 2 3 2" xfId="43217" xr:uid="{8FE3CC06-1EBA-41D7-A586-7468ECBDA393}"/>
    <cellStyle name="Normal 5 3 4 4 2 4" xfId="30626" xr:uid="{682E1E18-4D57-4251-9148-1B5A82BF7599}"/>
    <cellStyle name="Normal 5 3 4 4 3" xfId="8182" xr:uid="{4BC74D56-94D9-446B-A099-A9F9D09B2847}"/>
    <cellStyle name="Normal 5 3 4 4 3 2" xfId="20864" xr:uid="{324A4A11-EC41-4242-9064-B1CF5DF08DA8}"/>
    <cellStyle name="Normal 5 3 4 4 3 2 2" xfId="46356" xr:uid="{4DE3E27E-A136-4593-A867-C0BD857A075C}"/>
    <cellStyle name="Normal 5 3 4 4 3 3" xfId="33765" xr:uid="{7E6A03B3-49D0-453D-B6FE-04EE1BBC34EB}"/>
    <cellStyle name="Normal 5 3 4 4 4" xfId="14586" xr:uid="{6625D95F-7A99-4F1D-8572-3F5AEC477E15}"/>
    <cellStyle name="Normal 5 3 4 4 4 2" xfId="40078" xr:uid="{F6AC6405-07B7-421E-855E-445228283C90}"/>
    <cellStyle name="Normal 5 3 4 4 5" xfId="27487" xr:uid="{0681AFBE-614B-4815-8E8D-72EF56369D71}"/>
    <cellStyle name="Normal 5 3 4 5" xfId="1352" xr:uid="{3AAE4DD6-467B-4203-BC9F-7F40560B6BFC}"/>
    <cellStyle name="Normal 5 3 4 5 2" xfId="4506" xr:uid="{467CC040-DEFF-4448-A159-A0AA5D4C5889}"/>
    <cellStyle name="Normal 5 3 4 5 2 2" xfId="10799" xr:uid="{8DB01493-F998-451E-9C3A-CF8383AD58B2}"/>
    <cellStyle name="Normal 5 3 4 5 2 2 2" xfId="23481" xr:uid="{A891801D-295D-4A88-983E-89D32B196339}"/>
    <cellStyle name="Normal 5 3 4 5 2 2 2 2" xfId="48973" xr:uid="{7D3BE4D8-1AAE-4669-A906-08705E5E9749}"/>
    <cellStyle name="Normal 5 3 4 5 2 2 3" xfId="36382" xr:uid="{FE443BE6-61B8-4863-98AD-2EE168134553}"/>
    <cellStyle name="Normal 5 3 4 5 2 3" xfId="17203" xr:uid="{D7CE979B-9195-4296-80E6-D39AC4E2F738}"/>
    <cellStyle name="Normal 5 3 4 5 2 3 2" xfId="42695" xr:uid="{24FE7E90-2896-4388-804F-7A72F289BFB2}"/>
    <cellStyle name="Normal 5 3 4 5 2 4" xfId="30104" xr:uid="{E19D4FA6-985E-4A05-B0A1-01821780B0F8}"/>
    <cellStyle name="Normal 5 3 4 5 3" xfId="7660" xr:uid="{A18B7758-68DB-4F5D-9B02-EAA15BD4CB45}"/>
    <cellStyle name="Normal 5 3 4 5 3 2" xfId="20342" xr:uid="{17BC4953-D764-4362-A6AB-C58A5FB5F618}"/>
    <cellStyle name="Normal 5 3 4 5 3 2 2" xfId="45834" xr:uid="{7B9D9434-917D-4608-A430-B20760C51023}"/>
    <cellStyle name="Normal 5 3 4 5 3 3" xfId="33243" xr:uid="{7C402363-8934-4B61-8841-CB538A347D3A}"/>
    <cellStyle name="Normal 5 3 4 5 4" xfId="14064" xr:uid="{2078485D-2EC4-4497-B311-C24B9D7ADD8D}"/>
    <cellStyle name="Normal 5 3 4 5 4 2" xfId="39556" xr:uid="{A2EBAAD6-A47E-4B1B-BE59-EAD0BDA8739A}"/>
    <cellStyle name="Normal 5 3 4 5 5" xfId="26965" xr:uid="{85E5118A-851C-48D7-B772-203536813326}"/>
    <cellStyle name="Normal 5 3 4 6" xfId="2659" xr:uid="{0F1F9121-AC08-4DF3-89A7-5F1A26020E8A}"/>
    <cellStyle name="Normal 5 3 4 6 2" xfId="5813" xr:uid="{9818117C-51CF-477C-A70C-CECDF488EB9B}"/>
    <cellStyle name="Normal 5 3 4 6 2 2" xfId="12106" xr:uid="{B431BCF9-6F53-4387-B94D-33E74E56A134}"/>
    <cellStyle name="Normal 5 3 4 6 2 2 2" xfId="24788" xr:uid="{EC8D57AC-0E24-4E45-9AE3-53A6AF90197C}"/>
    <cellStyle name="Normal 5 3 4 6 2 2 2 2" xfId="50280" xr:uid="{01C78EA6-3381-4BEE-96A7-F90A26EC4C90}"/>
    <cellStyle name="Normal 5 3 4 6 2 2 3" xfId="37689" xr:uid="{C7B8995A-D189-494F-A809-65DD9489381C}"/>
    <cellStyle name="Normal 5 3 4 6 2 3" xfId="18510" xr:uid="{493E7796-DA76-4515-AEE9-6D76CE95F68E}"/>
    <cellStyle name="Normal 5 3 4 6 2 3 2" xfId="44002" xr:uid="{592E75B8-AA25-4544-9CCA-1104101C1077}"/>
    <cellStyle name="Normal 5 3 4 6 2 4" xfId="31411" xr:uid="{5712FE12-EDAB-43FD-B072-4713BB19874D}"/>
    <cellStyle name="Normal 5 3 4 6 3" xfId="8967" xr:uid="{7ACA448A-F184-4D0F-A235-E48230096C0D}"/>
    <cellStyle name="Normal 5 3 4 6 3 2" xfId="21649" xr:uid="{680C056D-CAB9-46BA-A289-71106F85C93E}"/>
    <cellStyle name="Normal 5 3 4 6 3 2 2" xfId="47141" xr:uid="{CB872FE4-DC7F-4D47-9301-AA4D4DE86820}"/>
    <cellStyle name="Normal 5 3 4 6 3 3" xfId="34550" xr:uid="{58C2E56C-92B7-4865-8D95-6414769739B2}"/>
    <cellStyle name="Normal 5 3 4 6 4" xfId="15371" xr:uid="{7E543B7D-FD65-4DF5-B6E5-4179D0D1B658}"/>
    <cellStyle name="Normal 5 3 4 6 4 2" xfId="40863" xr:uid="{34023202-D83F-4DA9-872D-40AB80C3E63D}"/>
    <cellStyle name="Normal 5 3 4 6 5" xfId="28272" xr:uid="{4A453438-4950-460D-9C4F-713CA9F99224}"/>
    <cellStyle name="Normal 5 3 4 7" xfId="3182" xr:uid="{DDD75A22-4305-4446-A340-0EF9015578A2}"/>
    <cellStyle name="Normal 5 3 4 7 2" xfId="6336" xr:uid="{A6CBCA6A-5460-4C96-81CA-10B0300B3D8B}"/>
    <cellStyle name="Normal 5 3 4 7 2 2" xfId="12629" xr:uid="{86739BD6-D369-48B9-84E4-62A85792BDE8}"/>
    <cellStyle name="Normal 5 3 4 7 2 2 2" xfId="25311" xr:uid="{D054C317-1650-428A-A945-6089846485A4}"/>
    <cellStyle name="Normal 5 3 4 7 2 2 2 2" xfId="50803" xr:uid="{807546E2-E5CF-4103-B576-40560A41EFF0}"/>
    <cellStyle name="Normal 5 3 4 7 2 2 3" xfId="38212" xr:uid="{1B8D3B9B-E078-49DE-9194-A9296CB89E84}"/>
    <cellStyle name="Normal 5 3 4 7 2 3" xfId="19033" xr:uid="{C3251A99-5C6B-4776-9FCD-1E0C535A465C}"/>
    <cellStyle name="Normal 5 3 4 7 2 3 2" xfId="44525" xr:uid="{AE1B89EA-CB19-4A21-86F4-9D9D6A4A10C8}"/>
    <cellStyle name="Normal 5 3 4 7 2 4" xfId="31934" xr:uid="{48A0F8CA-F5C7-4D74-A7CB-3B3BB8BDB71F}"/>
    <cellStyle name="Normal 5 3 4 7 3" xfId="9490" xr:uid="{0A94BB08-E5CC-451D-A62B-3132DAAB202C}"/>
    <cellStyle name="Normal 5 3 4 7 3 2" xfId="22172" xr:uid="{FFD91B77-9D82-4172-8356-E027BCC68F5D}"/>
    <cellStyle name="Normal 5 3 4 7 3 2 2" xfId="47664" xr:uid="{C4317200-448B-4A5E-A7FA-CC682B4B0AB0}"/>
    <cellStyle name="Normal 5 3 4 7 3 3" xfId="35073" xr:uid="{DF6D7048-CA26-4E0F-B564-FD4D7105D7C0}"/>
    <cellStyle name="Normal 5 3 4 7 4" xfId="15894" xr:uid="{FE0102ED-68F0-4AAB-A45E-EB1365F78B0A}"/>
    <cellStyle name="Normal 5 3 4 7 4 2" xfId="41386" xr:uid="{C1798B45-1A15-49C2-9073-7E36FE16A023}"/>
    <cellStyle name="Normal 5 3 4 7 5" xfId="28795" xr:uid="{AA940DAB-24B0-4507-B9C9-946C8A6ECBD7}"/>
    <cellStyle name="Normal 5 3 4 8" xfId="3721" xr:uid="{6ABF16C7-7098-4B34-8487-A658CF488F6C}"/>
    <cellStyle name="Normal 5 3 4 8 2" xfId="10014" xr:uid="{EA5F3367-9C3F-4298-8187-B5508EFC87CA}"/>
    <cellStyle name="Normal 5 3 4 8 2 2" xfId="22696" xr:uid="{28789B1F-DB76-4CC9-8ECC-EE22E768EB94}"/>
    <cellStyle name="Normal 5 3 4 8 2 2 2" xfId="48188" xr:uid="{D1E334D3-54F2-4372-9BFB-87C510A7FEDE}"/>
    <cellStyle name="Normal 5 3 4 8 2 3" xfId="35597" xr:uid="{D9B8B1F7-7A16-49D5-9553-B3ADE99F115E}"/>
    <cellStyle name="Normal 5 3 4 8 3" xfId="16418" xr:uid="{8C99F527-028A-4A9C-9BDA-19458E48D124}"/>
    <cellStyle name="Normal 5 3 4 8 3 2" xfId="41910" xr:uid="{0E4F3DBE-D2E0-4D2A-B24B-C20DAD054D16}"/>
    <cellStyle name="Normal 5 3 4 8 4" xfId="29319" xr:uid="{F8AF7EF6-91A4-4605-8ACA-381DCE4C730C}"/>
    <cellStyle name="Normal 5 3 4 9" xfId="6875" xr:uid="{5B90FC26-8527-4CAE-95F4-91EAC3DB1EAE}"/>
    <cellStyle name="Normal 5 3 4 9 2" xfId="19557" xr:uid="{EE6F5C6E-F6D3-45C4-86F9-F7FAFBE08B67}"/>
    <cellStyle name="Normal 5 3 4 9 2 2" xfId="45049" xr:uid="{F308DCD2-BE48-46F2-95CD-1B2BE3669566}"/>
    <cellStyle name="Normal 5 3 4 9 3" xfId="32458" xr:uid="{59F44A3D-E24A-4B98-9678-FA9D8885395E}"/>
    <cellStyle name="Normal 5 3 5" xfId="969" xr:uid="{C886713C-DCDF-45F1-B908-AAF9477DF37D}"/>
    <cellStyle name="Normal 5 3 5 2" xfId="2276" xr:uid="{C783ED59-48F6-4507-B7E5-C7DFA9E87D98}"/>
    <cellStyle name="Normal 5 3 5 2 2" xfId="5430" xr:uid="{096556DF-DBF2-4995-B275-1F5D60E49E36}"/>
    <cellStyle name="Normal 5 3 5 2 2 2" xfId="11723" xr:uid="{E38249F8-219F-4A5A-B799-3058D4990DB4}"/>
    <cellStyle name="Normal 5 3 5 2 2 2 2" xfId="24405" xr:uid="{CC45F176-ACAC-4FDC-8CB4-B5D6E5CFB9A4}"/>
    <cellStyle name="Normal 5 3 5 2 2 2 2 2" xfId="49897" xr:uid="{92D69C34-B451-460B-8D0D-475B8352EA8D}"/>
    <cellStyle name="Normal 5 3 5 2 2 2 3" xfId="37306" xr:uid="{86D4AB9B-FD96-4F92-B343-77B7EE73492D}"/>
    <cellStyle name="Normal 5 3 5 2 2 3" xfId="18127" xr:uid="{0DDB2D90-09DD-482B-A63F-4DE2D35E75AD}"/>
    <cellStyle name="Normal 5 3 5 2 2 3 2" xfId="43619" xr:uid="{D5B93B39-DAAA-456B-B270-61C0AF6CF09F}"/>
    <cellStyle name="Normal 5 3 5 2 2 4" xfId="31028" xr:uid="{D5B58BFA-715D-417D-B0F2-D429BC2951E1}"/>
    <cellStyle name="Normal 5 3 5 2 3" xfId="8584" xr:uid="{52CC8BB0-2C1E-48EB-B9F4-A0554A158278}"/>
    <cellStyle name="Normal 5 3 5 2 3 2" xfId="21266" xr:uid="{70DACC8E-FD18-4A82-AFCB-D2C2CFAEAD09}"/>
    <cellStyle name="Normal 5 3 5 2 3 2 2" xfId="46758" xr:uid="{F4D11A62-A5E8-4AC4-8C83-6CDA8C16037E}"/>
    <cellStyle name="Normal 5 3 5 2 3 3" xfId="34167" xr:uid="{9AE95B96-4431-47BD-A4FF-49B4AA89B09B}"/>
    <cellStyle name="Normal 5 3 5 2 4" xfId="14988" xr:uid="{DE77257E-BB9A-42EE-B109-2F71D2FABAEB}"/>
    <cellStyle name="Normal 5 3 5 2 4 2" xfId="40480" xr:uid="{8591E07D-0923-4E3B-B96A-DEBB00F45BC9}"/>
    <cellStyle name="Normal 5 3 5 2 5" xfId="27889" xr:uid="{0AA06391-DE87-4B29-B8C3-971C4FE8C43A}"/>
    <cellStyle name="Normal 5 3 5 3" xfId="1493" xr:uid="{EFDC708F-831B-44A3-8225-4C8AF6A478E4}"/>
    <cellStyle name="Normal 5 3 5 3 2" xfId="4647" xr:uid="{51D57FF7-7C5A-4BD9-9FE1-1BB37ECBBC99}"/>
    <cellStyle name="Normal 5 3 5 3 2 2" xfId="10940" xr:uid="{59F0AAF0-23AC-46F8-83FC-F059280A8E65}"/>
    <cellStyle name="Normal 5 3 5 3 2 2 2" xfId="23622" xr:uid="{C9B7D12C-193B-4FFB-ADD5-9061084B3CD4}"/>
    <cellStyle name="Normal 5 3 5 3 2 2 2 2" xfId="49114" xr:uid="{6215016F-963C-424B-955A-B1926FDFFC5D}"/>
    <cellStyle name="Normal 5 3 5 3 2 2 3" xfId="36523" xr:uid="{067E4E7C-01B1-483E-A063-AA316AE1A7DA}"/>
    <cellStyle name="Normal 5 3 5 3 2 3" xfId="17344" xr:uid="{695D32E6-1CC7-452A-8F56-47BCD0D1B7DB}"/>
    <cellStyle name="Normal 5 3 5 3 2 3 2" xfId="42836" xr:uid="{07810A4D-A9DD-40F8-B558-6049F95DB342}"/>
    <cellStyle name="Normal 5 3 5 3 2 4" xfId="30245" xr:uid="{F67D9A26-DADC-415B-AA2C-083DB566AB5A}"/>
    <cellStyle name="Normal 5 3 5 3 3" xfId="7801" xr:uid="{B0F5B2D2-D933-4872-A746-D8694F5BE9FC}"/>
    <cellStyle name="Normal 5 3 5 3 3 2" xfId="20483" xr:uid="{792B870E-8A81-44EA-BE71-6E50D5D21D7D}"/>
    <cellStyle name="Normal 5 3 5 3 3 2 2" xfId="45975" xr:uid="{30948257-10BC-4944-9EFA-B6A30D4BA158}"/>
    <cellStyle name="Normal 5 3 5 3 3 3" xfId="33384" xr:uid="{7B42C10C-01A5-497F-AE1C-4F515F881942}"/>
    <cellStyle name="Normal 5 3 5 3 4" xfId="14205" xr:uid="{597A6738-92CB-444B-AE0A-7176D24D70C9}"/>
    <cellStyle name="Normal 5 3 5 3 4 2" xfId="39697" xr:uid="{3E17D69E-4838-4107-86A9-F8DA5FE0AC04}"/>
    <cellStyle name="Normal 5 3 5 3 5" xfId="27106" xr:uid="{64EAEC07-E27B-4A4E-B88F-CEBC2DC780EF}"/>
    <cellStyle name="Normal 5 3 5 4" xfId="2800" xr:uid="{FBB08809-6427-43AF-A04C-FB9B28A343D0}"/>
    <cellStyle name="Normal 5 3 5 4 2" xfId="5954" xr:uid="{6508B1BB-8658-4BEE-B225-58F8A028616E}"/>
    <cellStyle name="Normal 5 3 5 4 2 2" xfId="12247" xr:uid="{D14EBDCA-063C-488B-A811-63E3C765E557}"/>
    <cellStyle name="Normal 5 3 5 4 2 2 2" xfId="24929" xr:uid="{8131DD6C-3C73-42FB-8CA2-979F6A6D0300}"/>
    <cellStyle name="Normal 5 3 5 4 2 2 2 2" xfId="50421" xr:uid="{257A32E2-41CF-49E8-B074-29D16006C283}"/>
    <cellStyle name="Normal 5 3 5 4 2 2 3" xfId="37830" xr:uid="{89DDC019-6671-4262-96B8-0B2AEECF0B1A}"/>
    <cellStyle name="Normal 5 3 5 4 2 3" xfId="18651" xr:uid="{454291BC-3719-48F5-8095-9647B404E57D}"/>
    <cellStyle name="Normal 5 3 5 4 2 3 2" xfId="44143" xr:uid="{F6C8ADB6-4682-4CD5-BD32-A7EACBC8C40D}"/>
    <cellStyle name="Normal 5 3 5 4 2 4" xfId="31552" xr:uid="{03C5C579-AB0F-4448-88B6-19EE6CBCCFCC}"/>
    <cellStyle name="Normal 5 3 5 4 3" xfId="9108" xr:uid="{B8A0333A-464A-4900-B5ED-A1AC9A8F1115}"/>
    <cellStyle name="Normal 5 3 5 4 3 2" xfId="21790" xr:uid="{8E81AD36-2E15-4C56-87F0-678C0F8E9DD5}"/>
    <cellStyle name="Normal 5 3 5 4 3 2 2" xfId="47282" xr:uid="{3E855563-EDA6-4569-9FB1-B708B5065F2D}"/>
    <cellStyle name="Normal 5 3 5 4 3 3" xfId="34691" xr:uid="{825879AD-B534-4AA8-A17A-D8AD4C45B936}"/>
    <cellStyle name="Normal 5 3 5 4 4" xfId="15512" xr:uid="{591A8BC2-1A80-4600-9657-78C4AACBBE2B}"/>
    <cellStyle name="Normal 5 3 5 4 4 2" xfId="41004" xr:uid="{AAF649DC-891B-451E-9089-9A6A3232E524}"/>
    <cellStyle name="Normal 5 3 5 4 5" xfId="28413" xr:uid="{73ACED23-98C5-4A10-B89D-FF24F07AA1B1}"/>
    <cellStyle name="Normal 5 3 5 5" xfId="3323" xr:uid="{B77DDE3F-35E6-4961-9403-B883582B66B6}"/>
    <cellStyle name="Normal 5 3 5 5 2" xfId="6477" xr:uid="{DEFC4D99-0ED0-450E-902A-4F73748AC3AC}"/>
    <cellStyle name="Normal 5 3 5 5 2 2" xfId="12770" xr:uid="{D44104C6-6C36-4B6A-89F3-9FEDF7B14321}"/>
    <cellStyle name="Normal 5 3 5 5 2 2 2" xfId="25452" xr:uid="{FAD7ED4A-437C-49A3-97C9-5D53F3B25089}"/>
    <cellStyle name="Normal 5 3 5 5 2 2 2 2" xfId="50944" xr:uid="{B9CFE6BD-6790-413B-B3EE-452E8D664F0D}"/>
    <cellStyle name="Normal 5 3 5 5 2 2 3" xfId="38353" xr:uid="{4CB84FB0-D88D-4270-A2B1-C1FE1E3DCDAB}"/>
    <cellStyle name="Normal 5 3 5 5 2 3" xfId="19174" xr:uid="{6BE6DE84-EF08-4538-9EEA-C985E231DF59}"/>
    <cellStyle name="Normal 5 3 5 5 2 3 2" xfId="44666" xr:uid="{00E5B100-3DF5-468D-B7B7-00971B9EA4BA}"/>
    <cellStyle name="Normal 5 3 5 5 2 4" xfId="32075" xr:uid="{751AD70E-C3F1-4B54-B779-86EF8A67AF33}"/>
    <cellStyle name="Normal 5 3 5 5 3" xfId="9631" xr:uid="{5B413A4B-A1C2-4AF4-AEDD-93DB090E5FD8}"/>
    <cellStyle name="Normal 5 3 5 5 3 2" xfId="22313" xr:uid="{FE804790-19F3-4CF0-804A-5A1FBA81D4ED}"/>
    <cellStyle name="Normal 5 3 5 5 3 2 2" xfId="47805" xr:uid="{68169BF0-7526-4C9D-B946-44018616142A}"/>
    <cellStyle name="Normal 5 3 5 5 3 3" xfId="35214" xr:uid="{EC3E3F36-A05D-4A92-A15D-2A40B6558E7F}"/>
    <cellStyle name="Normal 5 3 5 5 4" xfId="16035" xr:uid="{14D2A534-2358-4B0C-B137-A67C66B09788}"/>
    <cellStyle name="Normal 5 3 5 5 4 2" xfId="41527" xr:uid="{A4D10C7A-CAB1-424E-929A-4E01654F6D73}"/>
    <cellStyle name="Normal 5 3 5 5 5" xfId="28936" xr:uid="{2AD0B280-0920-4FCA-9352-2A5AE598EF77}"/>
    <cellStyle name="Normal 5 3 5 6" xfId="4123" xr:uid="{531358B3-6B57-4CD1-9F79-CBFDBCFC6551}"/>
    <cellStyle name="Normal 5 3 5 6 2" xfId="10416" xr:uid="{E19F159B-633B-42A0-822D-C8518F89AFFF}"/>
    <cellStyle name="Normal 5 3 5 6 2 2" xfId="23098" xr:uid="{62405117-9986-4AAF-97CB-EAF489F1DA9E}"/>
    <cellStyle name="Normal 5 3 5 6 2 2 2" xfId="48590" xr:uid="{67934B78-8B71-4D44-AE4B-C9C51DB767C3}"/>
    <cellStyle name="Normal 5 3 5 6 2 3" xfId="35999" xr:uid="{96834F20-3A3A-4615-934A-1FD26DF0584E}"/>
    <cellStyle name="Normal 5 3 5 6 3" xfId="16820" xr:uid="{E1E1917D-B0B8-4BF8-8490-8FF89F077984}"/>
    <cellStyle name="Normal 5 3 5 6 3 2" xfId="42312" xr:uid="{304E3D58-3DF3-4C59-9531-24D8F9AF61CA}"/>
    <cellStyle name="Normal 5 3 5 6 4" xfId="29721" xr:uid="{73A49332-1B91-461A-A31C-2813087EDCA3}"/>
    <cellStyle name="Normal 5 3 5 7" xfId="7277" xr:uid="{58AF9403-EC9C-4A52-8990-0103D6995A79}"/>
    <cellStyle name="Normal 5 3 5 7 2" xfId="19959" xr:uid="{5B7AAB05-4F85-4CDB-BE9C-58CAAF84DADF}"/>
    <cellStyle name="Normal 5 3 5 7 2 2" xfId="45451" xr:uid="{F1289984-0632-4CAD-91D9-CB008EE59372}"/>
    <cellStyle name="Normal 5 3 5 7 3" xfId="32860" xr:uid="{99D0C6DD-1B79-4B2E-9F41-5D442ACC26E3}"/>
    <cellStyle name="Normal 5 3 5 8" xfId="13681" xr:uid="{EAE4EEA0-9C08-4B2A-9A05-68CB286C1551}"/>
    <cellStyle name="Normal 5 3 5 8 2" xfId="39173" xr:uid="{E548ABC7-5A63-4B65-A383-D297DC7EE405}"/>
    <cellStyle name="Normal 5 3 5 9" xfId="26582" xr:uid="{5C224521-C405-40CA-B392-2F7EED428A43}"/>
    <cellStyle name="Normal 5 3 6" xfId="709" xr:uid="{AD5F20C5-1046-4746-A6B9-A3CE51D2823E}"/>
    <cellStyle name="Normal 5 3 6 2" xfId="2016" xr:uid="{A2861E26-3326-4349-94E4-43E09CF854B3}"/>
    <cellStyle name="Normal 5 3 6 2 2" xfId="5170" xr:uid="{FAD60370-5C34-4CCA-B543-D2E27AA16C41}"/>
    <cellStyle name="Normal 5 3 6 2 2 2" xfId="11463" xr:uid="{8404F7D4-D26D-4039-8FE2-DCB6EB650D11}"/>
    <cellStyle name="Normal 5 3 6 2 2 2 2" xfId="24145" xr:uid="{4163B579-E4F6-4A84-9866-B90938C6E997}"/>
    <cellStyle name="Normal 5 3 6 2 2 2 2 2" xfId="49637" xr:uid="{640B7408-2CC6-4A2D-A7BA-7714DFA88D2B}"/>
    <cellStyle name="Normal 5 3 6 2 2 2 3" xfId="37046" xr:uid="{AC1E02F2-C544-45C2-BB75-0275DEFE95B7}"/>
    <cellStyle name="Normal 5 3 6 2 2 3" xfId="17867" xr:uid="{21203B4B-5068-495E-AD16-97BC633513A2}"/>
    <cellStyle name="Normal 5 3 6 2 2 3 2" xfId="43359" xr:uid="{033DEFF9-7B18-4533-95B0-913AADE40B43}"/>
    <cellStyle name="Normal 5 3 6 2 2 4" xfId="30768" xr:uid="{79CAB56F-3605-4735-9E70-9CA379B4021B}"/>
    <cellStyle name="Normal 5 3 6 2 3" xfId="8324" xr:uid="{CA83AD99-C488-4033-BB21-D61A06B4CD85}"/>
    <cellStyle name="Normal 5 3 6 2 3 2" xfId="21006" xr:uid="{1EB004FD-150A-4CB7-B42D-5D77BE3875AA}"/>
    <cellStyle name="Normal 5 3 6 2 3 2 2" xfId="46498" xr:uid="{EC24C3B4-A2D1-44DF-84B3-5F6C82E5A3E5}"/>
    <cellStyle name="Normal 5 3 6 2 3 3" xfId="33907" xr:uid="{72F04154-E2AB-4A14-A4B0-EC136C107DDB}"/>
    <cellStyle name="Normal 5 3 6 2 4" xfId="14728" xr:uid="{E1F4C430-D084-4800-A716-6DC64E22E40A}"/>
    <cellStyle name="Normal 5 3 6 2 4 2" xfId="40220" xr:uid="{192B9167-0B0A-48CE-864D-CC3C79F9DDE4}"/>
    <cellStyle name="Normal 5 3 6 2 5" xfId="27629" xr:uid="{8BC9E1BF-150D-459F-8E63-EA3AC5CE9E9E}"/>
    <cellStyle name="Normal 5 3 6 3" xfId="3863" xr:uid="{36600336-BB15-49B7-A236-56D08ECE9C99}"/>
    <cellStyle name="Normal 5 3 6 3 2" xfId="10156" xr:uid="{424878E1-A2EE-44F9-914F-BDE0C228EB47}"/>
    <cellStyle name="Normal 5 3 6 3 2 2" xfId="22838" xr:uid="{3A9D51EB-EF20-4174-85C3-C67529114759}"/>
    <cellStyle name="Normal 5 3 6 3 2 2 2" xfId="48330" xr:uid="{4177E4C5-A3D9-4F89-8FAB-60DF53AAA2DC}"/>
    <cellStyle name="Normal 5 3 6 3 2 3" xfId="35739" xr:uid="{7AFCC5ED-CDE6-4CD6-8F7B-EBFB5CB97E8A}"/>
    <cellStyle name="Normal 5 3 6 3 3" xfId="16560" xr:uid="{1AF19051-A192-4522-B456-63645DDFF3BE}"/>
    <cellStyle name="Normal 5 3 6 3 3 2" xfId="42052" xr:uid="{2A50636E-109E-436A-9666-75A20D50B248}"/>
    <cellStyle name="Normal 5 3 6 3 4" xfId="29461" xr:uid="{54940CB3-D4FE-41F0-9B99-78E3F9AB9112}"/>
    <cellStyle name="Normal 5 3 6 4" xfId="7017" xr:uid="{0EB18D74-3CC0-4FC2-83BA-B6768FE879EE}"/>
    <cellStyle name="Normal 5 3 6 4 2" xfId="19699" xr:uid="{D7255DE8-A932-482C-AA29-3CA001F12BA0}"/>
    <cellStyle name="Normal 5 3 6 4 2 2" xfId="45191" xr:uid="{97A3D570-EA9A-4E3D-92EC-9DA143511015}"/>
    <cellStyle name="Normal 5 3 6 4 3" xfId="32600" xr:uid="{60535831-509E-498A-92C7-ECEB78985146}"/>
    <cellStyle name="Normal 5 3 6 5" xfId="13421" xr:uid="{309B165E-BF13-445D-9BE7-D386CF0AB491}"/>
    <cellStyle name="Normal 5 3 6 5 2" xfId="38913" xr:uid="{2118E519-2F96-4143-9859-22E59CC3441E}"/>
    <cellStyle name="Normal 5 3 6 6" xfId="26322" xr:uid="{B9C252FB-C281-4693-B306-D6B15DCFB013}"/>
    <cellStyle name="Normal 5 3 7" xfId="1754" xr:uid="{C1552588-9CE1-4474-9A06-5FD319AE0E88}"/>
    <cellStyle name="Normal 5 3 7 2" xfId="4908" xr:uid="{75298707-84EB-48C9-B33C-BC76BD28E5A9}"/>
    <cellStyle name="Normal 5 3 7 2 2" xfId="11201" xr:uid="{E6396C0D-017B-468C-92A0-2E95690D49FD}"/>
    <cellStyle name="Normal 5 3 7 2 2 2" xfId="23883" xr:uid="{EC611C34-2250-4D52-956F-DB3BC7425741}"/>
    <cellStyle name="Normal 5 3 7 2 2 2 2" xfId="49375" xr:uid="{33551FDD-8863-43AF-964C-33D1CA90F39B}"/>
    <cellStyle name="Normal 5 3 7 2 2 3" xfId="36784" xr:uid="{A2E88348-7C35-4E39-BCD8-CBA21A45929F}"/>
    <cellStyle name="Normal 5 3 7 2 3" xfId="17605" xr:uid="{737E8DAF-B9E3-4BFE-8CDF-D93FE752F995}"/>
    <cellStyle name="Normal 5 3 7 2 3 2" xfId="43097" xr:uid="{746A60AB-3E91-47D3-9EDB-E4430060EA2C}"/>
    <cellStyle name="Normal 5 3 7 2 4" xfId="30506" xr:uid="{8B899743-100F-4AC5-BC1E-4EE1D10ECD68}"/>
    <cellStyle name="Normal 5 3 7 3" xfId="8062" xr:uid="{1933E058-0260-4375-871D-13380B5E3934}"/>
    <cellStyle name="Normal 5 3 7 3 2" xfId="20744" xr:uid="{9F937EE2-9084-469B-B854-B08E3604CBD4}"/>
    <cellStyle name="Normal 5 3 7 3 2 2" xfId="46236" xr:uid="{8E9F2DF8-B296-4B9A-98C7-68D5A1FF2029}"/>
    <cellStyle name="Normal 5 3 7 3 3" xfId="33645" xr:uid="{EBE33D9D-30AE-4B77-9F17-6427CCACFDC7}"/>
    <cellStyle name="Normal 5 3 7 4" xfId="14466" xr:uid="{D55673B9-82EF-411E-85F1-2A9B7C4DF3D1}"/>
    <cellStyle name="Normal 5 3 7 4 2" xfId="39958" xr:uid="{D7204FD3-E2B5-4B2A-A4B8-BD8EAE6DDD88}"/>
    <cellStyle name="Normal 5 3 7 5" xfId="27367" xr:uid="{B2F9EA1C-A9DA-4FDE-8C69-632F1BD9BF67}"/>
    <cellStyle name="Normal 5 3 8" xfId="1232" xr:uid="{89DB6F8C-C002-4AC8-84A4-6D336D00AC86}"/>
    <cellStyle name="Normal 5 3 8 2" xfId="4386" xr:uid="{C6308942-49FF-45DA-88E4-FE2C1CA9358D}"/>
    <cellStyle name="Normal 5 3 8 2 2" xfId="10679" xr:uid="{D134A7DE-F79D-4EA8-A65F-78C08EB469FA}"/>
    <cellStyle name="Normal 5 3 8 2 2 2" xfId="23361" xr:uid="{B4463500-D615-4C54-8E98-6EEF8C7B5711}"/>
    <cellStyle name="Normal 5 3 8 2 2 2 2" xfId="48853" xr:uid="{DFB6CD64-DF1E-4286-8564-7AF833EFFCF3}"/>
    <cellStyle name="Normal 5 3 8 2 2 3" xfId="36262" xr:uid="{93894005-4E1B-456B-AA22-992ABDAE76B6}"/>
    <cellStyle name="Normal 5 3 8 2 3" xfId="17083" xr:uid="{82DD22AE-4169-4930-A8C8-747C462F08C9}"/>
    <cellStyle name="Normal 5 3 8 2 3 2" xfId="42575" xr:uid="{F2C2A763-AA50-4D89-9B1B-DC5CF7BCC532}"/>
    <cellStyle name="Normal 5 3 8 2 4" xfId="29984" xr:uid="{4BE71256-E96B-4778-93FC-06841D5329FD}"/>
    <cellStyle name="Normal 5 3 8 3" xfId="7540" xr:uid="{48DA9379-E90E-4094-BD40-F9A05A2F8FD9}"/>
    <cellStyle name="Normal 5 3 8 3 2" xfId="20222" xr:uid="{8F0216C1-4898-4C70-887B-5009E246191E}"/>
    <cellStyle name="Normal 5 3 8 3 2 2" xfId="45714" xr:uid="{38CFE949-58ED-4778-9DC8-BA9E84A41561}"/>
    <cellStyle name="Normal 5 3 8 3 3" xfId="33123" xr:uid="{38313724-5D3F-41FC-9098-C7C40C70A764}"/>
    <cellStyle name="Normal 5 3 8 4" xfId="13944" xr:uid="{9A5C37BB-E9C9-4665-915D-9AE5CF9CD9D0}"/>
    <cellStyle name="Normal 5 3 8 4 2" xfId="39436" xr:uid="{A4B56C72-EA25-4D84-AB67-146FFF7BF3B6}"/>
    <cellStyle name="Normal 5 3 8 5" xfId="26845" xr:uid="{691D4B0F-4827-44E2-9997-8DEE4B632CD6}"/>
    <cellStyle name="Normal 5 3 9" xfId="2539" xr:uid="{89E034D4-A72C-4DCA-862F-BC149B3C9763}"/>
    <cellStyle name="Normal 5 3 9 2" xfId="5693" xr:uid="{7AB5BB60-A052-4453-87A0-40F4A0F97DB6}"/>
    <cellStyle name="Normal 5 3 9 2 2" xfId="11986" xr:uid="{4D992D3D-5B42-4AF7-AD89-E8323C4FD9FE}"/>
    <cellStyle name="Normal 5 3 9 2 2 2" xfId="24668" xr:uid="{4FBBB311-CBF3-45BB-8A8C-41E959EB1A8A}"/>
    <cellStyle name="Normal 5 3 9 2 2 2 2" xfId="50160" xr:uid="{87F89748-4CDC-42DC-BDEF-899B81A374CF}"/>
    <cellStyle name="Normal 5 3 9 2 2 3" xfId="37569" xr:uid="{27D69902-7C5A-4CB3-894F-296183CC2880}"/>
    <cellStyle name="Normal 5 3 9 2 3" xfId="18390" xr:uid="{73A4191F-D5B1-47C0-96CA-08D2541C7293}"/>
    <cellStyle name="Normal 5 3 9 2 3 2" xfId="43882" xr:uid="{6A7B6EF8-8AFA-4EB7-ACC4-1F465F8B332E}"/>
    <cellStyle name="Normal 5 3 9 2 4" xfId="31291" xr:uid="{D0F3E68F-F9D6-48FC-8241-16C8C4915134}"/>
    <cellStyle name="Normal 5 3 9 3" xfId="8847" xr:uid="{A47E6E4B-C2D7-4EC7-B4B8-BE728935A5DF}"/>
    <cellStyle name="Normal 5 3 9 3 2" xfId="21529" xr:uid="{2111736B-5EBB-4081-A728-400F347BB763}"/>
    <cellStyle name="Normal 5 3 9 3 2 2" xfId="47021" xr:uid="{736E31FB-2FDF-4EF0-8F28-CA1B14FE8C04}"/>
    <cellStyle name="Normal 5 3 9 3 3" xfId="34430" xr:uid="{B548C792-C1D2-46CA-ACBB-4E3BF3149D6B}"/>
    <cellStyle name="Normal 5 3 9 4" xfId="15251" xr:uid="{951CE567-4D0A-4BC2-8F64-BFCF2760D6E0}"/>
    <cellStyle name="Normal 5 3 9 4 2" xfId="40743" xr:uid="{5C0ECC66-8F90-4CDE-932F-E1C14422B26D}"/>
    <cellStyle name="Normal 5 3 9 5" xfId="28152" xr:uid="{B36C8A7C-1A78-4187-9088-B99AD8EFF6C5}"/>
    <cellStyle name="Normal 5 4" xfId="473" xr:uid="{A9FA1452-0FA4-44B9-B6CC-7325D57A3DFC}"/>
    <cellStyle name="Normal 5 4 10" xfId="3642" xr:uid="{93F196B5-1B69-45BA-AB4A-1BFEC7F0119D}"/>
    <cellStyle name="Normal 5 4 10 2" xfId="9935" xr:uid="{1CD026EA-6C28-4792-83F1-BAB7BCCF1D3B}"/>
    <cellStyle name="Normal 5 4 10 2 2" xfId="22617" xr:uid="{04C333E6-0466-4B1D-8DDB-CB0FC00CFB73}"/>
    <cellStyle name="Normal 5 4 10 2 2 2" xfId="48109" xr:uid="{DB4D98F6-FF13-4213-ABFD-8571086FE788}"/>
    <cellStyle name="Normal 5 4 10 2 3" xfId="35518" xr:uid="{BCB664B0-EFA3-4403-BB5D-A6DE7783BE85}"/>
    <cellStyle name="Normal 5 4 10 3" xfId="16339" xr:uid="{D6B7E649-2540-4FCA-9E51-F89FBE4B292C}"/>
    <cellStyle name="Normal 5 4 10 3 2" xfId="41831" xr:uid="{09AF6377-8103-4F59-ADE3-0B28699F8C57}"/>
    <cellStyle name="Normal 5 4 10 4" xfId="29240" xr:uid="{0FEF86CC-1CDC-47D2-BCCD-02C969350897}"/>
    <cellStyle name="Normal 5 4 11" xfId="6796" xr:uid="{49C4D632-85A2-44E9-8362-F1ECFD173751}"/>
    <cellStyle name="Normal 5 4 11 2" xfId="19478" xr:uid="{C46523FC-508F-4F7A-9ACA-96ECE3BEE3DA}"/>
    <cellStyle name="Normal 5 4 11 2 2" xfId="44970" xr:uid="{A2AF795C-B762-4D8F-8D9F-71736E588729}"/>
    <cellStyle name="Normal 5 4 11 3" xfId="32379" xr:uid="{820B93CA-77F1-4885-87C6-3DF267172C94}"/>
    <cellStyle name="Normal 5 4 12" xfId="13200" xr:uid="{C51599F3-C365-4214-BF8B-72791CFBA861}"/>
    <cellStyle name="Normal 5 4 12 2" xfId="38692" xr:uid="{64958C79-847D-43E4-9052-73DFB1A5357E}"/>
    <cellStyle name="Normal 5 4 13" xfId="26101" xr:uid="{736C7FC0-7B4E-4A3C-97BD-1DA4B60F4077}"/>
    <cellStyle name="Normal 5 4 2" xfId="632" xr:uid="{8C3E2D0A-BF86-413C-A731-9DCF1C6659B7}"/>
    <cellStyle name="Normal 5 4 2 10" xfId="13359" xr:uid="{2591F325-40F4-46C6-B955-04DB008D5B1A}"/>
    <cellStyle name="Normal 5 4 2 10 2" xfId="38851" xr:uid="{A08A9F4E-647F-445A-B3C1-59AFB602F6E0}"/>
    <cellStyle name="Normal 5 4 2 11" xfId="26260" xr:uid="{5736C870-DEA7-48C1-AA2A-2A167A7EBDAB}"/>
    <cellStyle name="Normal 5 4 2 2" xfId="1169" xr:uid="{341BFAC3-BFFC-4931-9F6A-78AADC212F47}"/>
    <cellStyle name="Normal 5 4 2 2 2" xfId="2476" xr:uid="{75B468AF-B928-4C9B-A4B1-4FF22A12EC62}"/>
    <cellStyle name="Normal 5 4 2 2 2 2" xfId="5630" xr:uid="{34EABA32-3FD8-4C08-89FD-9D178C491C6A}"/>
    <cellStyle name="Normal 5 4 2 2 2 2 2" xfId="11923" xr:uid="{5A75DF62-7496-4567-8944-DDF554FAE830}"/>
    <cellStyle name="Normal 5 4 2 2 2 2 2 2" xfId="24605" xr:uid="{98406992-C24D-4057-8FB0-59188C1B71C4}"/>
    <cellStyle name="Normal 5 4 2 2 2 2 2 2 2" xfId="50097" xr:uid="{D44937CA-F9E8-4E2C-B6BD-6C3A36460A85}"/>
    <cellStyle name="Normal 5 4 2 2 2 2 2 3" xfId="37506" xr:uid="{225D0D57-6C98-4BB9-B1E0-C6A6245F3390}"/>
    <cellStyle name="Normal 5 4 2 2 2 2 3" xfId="18327" xr:uid="{7E077A18-5055-4BDF-A9BA-DCA73A663883}"/>
    <cellStyle name="Normal 5 4 2 2 2 2 3 2" xfId="43819" xr:uid="{994A5E38-EAA0-456C-80CD-2018EA7A9A77}"/>
    <cellStyle name="Normal 5 4 2 2 2 2 4" xfId="31228" xr:uid="{7ABF599D-80A8-4053-A1CB-8F577C832508}"/>
    <cellStyle name="Normal 5 4 2 2 2 3" xfId="8784" xr:uid="{032AD2F4-F849-4867-A48B-98239637ECA1}"/>
    <cellStyle name="Normal 5 4 2 2 2 3 2" xfId="21466" xr:uid="{140F8B1E-C070-4550-A911-42CE1E051432}"/>
    <cellStyle name="Normal 5 4 2 2 2 3 2 2" xfId="46958" xr:uid="{A0D09936-BDC7-4BB3-9160-B9E5B44C7FF2}"/>
    <cellStyle name="Normal 5 4 2 2 2 3 3" xfId="34367" xr:uid="{0A921B40-163E-4176-8583-C6AADA865E0A}"/>
    <cellStyle name="Normal 5 4 2 2 2 4" xfId="15188" xr:uid="{2EE865B1-3066-4BFB-8068-203E11196E03}"/>
    <cellStyle name="Normal 5 4 2 2 2 4 2" xfId="40680" xr:uid="{0FE14008-7C0D-4ABB-B752-B2E8F5262254}"/>
    <cellStyle name="Normal 5 4 2 2 2 5" xfId="28089" xr:uid="{F177CCA1-2BF5-4CE7-983C-69D7C2A103B5}"/>
    <cellStyle name="Normal 5 4 2 2 3" xfId="1693" xr:uid="{1A3E59DD-E05E-4718-A61E-3D71C085C856}"/>
    <cellStyle name="Normal 5 4 2 2 3 2" xfId="4847" xr:uid="{435699BE-50EB-4A5C-8636-4580E717D428}"/>
    <cellStyle name="Normal 5 4 2 2 3 2 2" xfId="11140" xr:uid="{605847B4-C1F1-49BF-908E-DE5593EB9F78}"/>
    <cellStyle name="Normal 5 4 2 2 3 2 2 2" xfId="23822" xr:uid="{BC5A26FB-DB59-4215-A5B6-A8197E512762}"/>
    <cellStyle name="Normal 5 4 2 2 3 2 2 2 2" xfId="49314" xr:uid="{C68860FA-456D-40E1-8DE1-BD347321016A}"/>
    <cellStyle name="Normal 5 4 2 2 3 2 2 3" xfId="36723" xr:uid="{7E8042F5-FDB3-4DB8-9417-0B7D79B95231}"/>
    <cellStyle name="Normal 5 4 2 2 3 2 3" xfId="17544" xr:uid="{CD23AFE2-969E-4917-8ABF-599E3E78723A}"/>
    <cellStyle name="Normal 5 4 2 2 3 2 3 2" xfId="43036" xr:uid="{E21C4639-07B2-4F09-8BE2-C467740AB811}"/>
    <cellStyle name="Normal 5 4 2 2 3 2 4" xfId="30445" xr:uid="{CC7F67B3-7E9E-4DAE-B7CC-0276DCFCC79C}"/>
    <cellStyle name="Normal 5 4 2 2 3 3" xfId="8001" xr:uid="{27523497-AA4A-49F6-ADEB-8DD95B24C614}"/>
    <cellStyle name="Normal 5 4 2 2 3 3 2" xfId="20683" xr:uid="{7BC485BB-65E1-43DD-B6A4-AA41749CB448}"/>
    <cellStyle name="Normal 5 4 2 2 3 3 2 2" xfId="46175" xr:uid="{41658BD8-81B6-4902-95A3-CEB4DDC87CBF}"/>
    <cellStyle name="Normal 5 4 2 2 3 3 3" xfId="33584" xr:uid="{EE33F022-6163-4736-B805-0D4E2BDE99E8}"/>
    <cellStyle name="Normal 5 4 2 2 3 4" xfId="14405" xr:uid="{A9AB4DCD-6751-4C4D-9773-8A9D636D1B6B}"/>
    <cellStyle name="Normal 5 4 2 2 3 4 2" xfId="39897" xr:uid="{A37EA9E6-E47A-4D75-BCBB-FF8288E95CB9}"/>
    <cellStyle name="Normal 5 4 2 2 3 5" xfId="27306" xr:uid="{06EA9510-0FD2-42B5-9D10-661106DE7C3B}"/>
    <cellStyle name="Normal 5 4 2 2 4" xfId="3000" xr:uid="{7272A63F-2B3E-4D53-BC7D-F6812195446E}"/>
    <cellStyle name="Normal 5 4 2 2 4 2" xfId="6154" xr:uid="{61D1B8C2-D4CD-4294-A6B3-93939192116F}"/>
    <cellStyle name="Normal 5 4 2 2 4 2 2" xfId="12447" xr:uid="{BF33D46C-836A-4D34-B21B-AD44359D42F3}"/>
    <cellStyle name="Normal 5 4 2 2 4 2 2 2" xfId="25129" xr:uid="{145379F2-4728-4205-B3DC-E33AA4EEAFFC}"/>
    <cellStyle name="Normal 5 4 2 2 4 2 2 2 2" xfId="50621" xr:uid="{73FD8BAE-DE29-4021-A2E1-115BFEA820FE}"/>
    <cellStyle name="Normal 5 4 2 2 4 2 2 3" xfId="38030" xr:uid="{D6E288E0-9E18-4D22-81D8-864FAC0C02DD}"/>
    <cellStyle name="Normal 5 4 2 2 4 2 3" xfId="18851" xr:uid="{0F7FD46F-17A3-4A74-B462-D702A93A2A99}"/>
    <cellStyle name="Normal 5 4 2 2 4 2 3 2" xfId="44343" xr:uid="{7E39E399-6BFE-4230-ABAA-0B59DBCA3E95}"/>
    <cellStyle name="Normal 5 4 2 2 4 2 4" xfId="31752" xr:uid="{943F05A8-E037-495D-B193-ED65D148EC6E}"/>
    <cellStyle name="Normal 5 4 2 2 4 3" xfId="9308" xr:uid="{EF3FD7B2-8592-461B-AFA7-B235A4E57928}"/>
    <cellStyle name="Normal 5 4 2 2 4 3 2" xfId="21990" xr:uid="{D591CEBA-9E5F-49E1-B029-9AE4BE78CD49}"/>
    <cellStyle name="Normal 5 4 2 2 4 3 2 2" xfId="47482" xr:uid="{BB9E38F8-4AA2-441A-8ED9-855832398B29}"/>
    <cellStyle name="Normal 5 4 2 2 4 3 3" xfId="34891" xr:uid="{354CF369-7087-42F0-8AE5-1097A71AB765}"/>
    <cellStyle name="Normal 5 4 2 2 4 4" xfId="15712" xr:uid="{B02E60CA-6F2F-47F6-98E8-AF50546119D7}"/>
    <cellStyle name="Normal 5 4 2 2 4 4 2" xfId="41204" xr:uid="{F6AC6F31-7778-4CBE-8788-906DB730A3B4}"/>
    <cellStyle name="Normal 5 4 2 2 4 5" xfId="28613" xr:uid="{CAF19507-874F-4E19-BADE-5086B9DFFC5C}"/>
    <cellStyle name="Normal 5 4 2 2 5" xfId="3523" xr:uid="{E27EA92E-11C7-4FC8-BC98-A36724DA4A04}"/>
    <cellStyle name="Normal 5 4 2 2 5 2" xfId="6677" xr:uid="{C35B3B99-5861-4272-9B3B-361084E8E312}"/>
    <cellStyle name="Normal 5 4 2 2 5 2 2" xfId="12970" xr:uid="{35F2FB76-12D1-462F-8DE2-E1271825D01B}"/>
    <cellStyle name="Normal 5 4 2 2 5 2 2 2" xfId="25652" xr:uid="{FFF306E7-E336-498D-A98B-FB201B96068E}"/>
    <cellStyle name="Normal 5 4 2 2 5 2 2 2 2" xfId="51144" xr:uid="{6EC7A5DC-BA95-460F-A338-ABCC83963929}"/>
    <cellStyle name="Normal 5 4 2 2 5 2 2 3" xfId="38553" xr:uid="{9231D68B-30AE-48E5-83CF-24DD2FCF51E3}"/>
    <cellStyle name="Normal 5 4 2 2 5 2 3" xfId="19374" xr:uid="{0D02CB0A-0C5D-4F69-8A6B-D31EFE0AFE2A}"/>
    <cellStyle name="Normal 5 4 2 2 5 2 3 2" xfId="44866" xr:uid="{63E2C689-4278-4CFA-A43D-AE365699CE3F}"/>
    <cellStyle name="Normal 5 4 2 2 5 2 4" xfId="32275" xr:uid="{73178D23-C501-48E5-8690-6055FD1D12FF}"/>
    <cellStyle name="Normal 5 4 2 2 5 3" xfId="9831" xr:uid="{96334E44-7243-44E2-BEF0-6FFE7874CEF1}"/>
    <cellStyle name="Normal 5 4 2 2 5 3 2" xfId="22513" xr:uid="{1FB0D98D-0442-4C1E-9058-EA6AAFE15627}"/>
    <cellStyle name="Normal 5 4 2 2 5 3 2 2" xfId="48005" xr:uid="{D19E4132-5E46-412F-BA19-161865EF7208}"/>
    <cellStyle name="Normal 5 4 2 2 5 3 3" xfId="35414" xr:uid="{035FC590-BCD3-4880-B8C0-DC0514ACDCC0}"/>
    <cellStyle name="Normal 5 4 2 2 5 4" xfId="16235" xr:uid="{D2A7DD8D-6C88-4890-90A8-D96739BB542F}"/>
    <cellStyle name="Normal 5 4 2 2 5 4 2" xfId="41727" xr:uid="{FEE2C12F-00FB-4A11-A7F0-A931BACA6E1E}"/>
    <cellStyle name="Normal 5 4 2 2 5 5" xfId="29136" xr:uid="{6EE17B8D-A2F5-49A9-83B9-96BF9859520A}"/>
    <cellStyle name="Normal 5 4 2 2 6" xfId="4323" xr:uid="{DFAF4038-4E11-4F6E-BE03-830A996D61A5}"/>
    <cellStyle name="Normal 5 4 2 2 6 2" xfId="10616" xr:uid="{1188BB89-C9AC-4707-9122-A9060FBADDC8}"/>
    <cellStyle name="Normal 5 4 2 2 6 2 2" xfId="23298" xr:uid="{0BEE68EC-2FB3-40FE-A93A-363A168B2722}"/>
    <cellStyle name="Normal 5 4 2 2 6 2 2 2" xfId="48790" xr:uid="{13D36BE2-5C48-4A0C-A08D-54ABCE0F64EE}"/>
    <cellStyle name="Normal 5 4 2 2 6 2 3" xfId="36199" xr:uid="{385DB979-83F3-4910-9FC2-C6648F8EBAC0}"/>
    <cellStyle name="Normal 5 4 2 2 6 3" xfId="17020" xr:uid="{8FCFC29A-A252-44DF-BC40-05234CDC7C29}"/>
    <cellStyle name="Normal 5 4 2 2 6 3 2" xfId="42512" xr:uid="{4351E304-2F6E-4B70-88B8-EB6AADC45B1A}"/>
    <cellStyle name="Normal 5 4 2 2 6 4" xfId="29921" xr:uid="{ECF247D8-4291-49E2-882B-FC33A7D77900}"/>
    <cellStyle name="Normal 5 4 2 2 7" xfId="7477" xr:uid="{E0BA5421-3B7A-47A3-A261-9A4E118CB5CD}"/>
    <cellStyle name="Normal 5 4 2 2 7 2" xfId="20159" xr:uid="{EF22EBE6-5568-41E4-BC9E-F8C0D8D7B0BC}"/>
    <cellStyle name="Normal 5 4 2 2 7 2 2" xfId="45651" xr:uid="{9DF914CA-D2C3-4600-ACC0-85AFFA200BE9}"/>
    <cellStyle name="Normal 5 4 2 2 7 3" xfId="33060" xr:uid="{C08D1ED6-4FEF-4251-8AA6-9CA8B54C9CB9}"/>
    <cellStyle name="Normal 5 4 2 2 8" xfId="13881" xr:uid="{9D653F4A-5607-4D3A-9883-625676CE885A}"/>
    <cellStyle name="Normal 5 4 2 2 8 2" xfId="39373" xr:uid="{2873ABEA-C7A5-4794-B92A-6D0743A9AFE2}"/>
    <cellStyle name="Normal 5 4 2 2 9" xfId="26782" xr:uid="{E04FA0FF-0AE9-434E-ACAF-6CFDABC69EB8}"/>
    <cellStyle name="Normal 5 4 2 3" xfId="909" xr:uid="{F71F5837-1A8F-4B3B-B8D5-1CF921C5582C}"/>
    <cellStyle name="Normal 5 4 2 3 2" xfId="2216" xr:uid="{FA2BC5AE-14AD-407F-8849-AEA99A868C5A}"/>
    <cellStyle name="Normal 5 4 2 3 2 2" xfId="5370" xr:uid="{E555A324-3723-452F-8893-383D21489CFC}"/>
    <cellStyle name="Normal 5 4 2 3 2 2 2" xfId="11663" xr:uid="{257CEACA-E4EF-4F29-9E18-933F7EECA45F}"/>
    <cellStyle name="Normal 5 4 2 3 2 2 2 2" xfId="24345" xr:uid="{062CC304-67B4-49B7-AE49-03696093E5F6}"/>
    <cellStyle name="Normal 5 4 2 3 2 2 2 2 2" xfId="49837" xr:uid="{FC0BE70F-BCED-435D-8FAC-C47ECE8FEE42}"/>
    <cellStyle name="Normal 5 4 2 3 2 2 2 3" xfId="37246" xr:uid="{A5034D86-DD2C-42A6-9564-696B51F67351}"/>
    <cellStyle name="Normal 5 4 2 3 2 2 3" xfId="18067" xr:uid="{6CFDA840-E206-4786-A7F5-158D2BFCEFBC}"/>
    <cellStyle name="Normal 5 4 2 3 2 2 3 2" xfId="43559" xr:uid="{52A3B3CD-6E09-4BC0-80B4-6B23C62D1DDF}"/>
    <cellStyle name="Normal 5 4 2 3 2 2 4" xfId="30968" xr:uid="{F576B4D6-9E6E-4F67-8B6C-0A7C81762126}"/>
    <cellStyle name="Normal 5 4 2 3 2 3" xfId="8524" xr:uid="{C6DC4FC0-2348-40BD-8462-D327C6BC6AB4}"/>
    <cellStyle name="Normal 5 4 2 3 2 3 2" xfId="21206" xr:uid="{43FA4CC4-06AD-4B05-B20A-BF78F5E6832F}"/>
    <cellStyle name="Normal 5 4 2 3 2 3 2 2" xfId="46698" xr:uid="{042630C4-DA70-4A3C-951A-DE12D3F159D4}"/>
    <cellStyle name="Normal 5 4 2 3 2 3 3" xfId="34107" xr:uid="{E72438A7-F6D6-4432-9381-EA5757666E3B}"/>
    <cellStyle name="Normal 5 4 2 3 2 4" xfId="14928" xr:uid="{83071A3A-68BC-4AA5-9FE0-AB37CB840081}"/>
    <cellStyle name="Normal 5 4 2 3 2 4 2" xfId="40420" xr:uid="{3D6BEAA0-E7E7-4A90-8713-0E26E8C68D78}"/>
    <cellStyle name="Normal 5 4 2 3 2 5" xfId="27829" xr:uid="{31A6FA07-36A3-4A8F-8C77-FF2715A01984}"/>
    <cellStyle name="Normal 5 4 2 3 3" xfId="4063" xr:uid="{104FE1F7-9E41-43BA-A53C-9DFC1D3EA598}"/>
    <cellStyle name="Normal 5 4 2 3 3 2" xfId="10356" xr:uid="{2B449B8F-10AC-4A87-A368-31203787D18E}"/>
    <cellStyle name="Normal 5 4 2 3 3 2 2" xfId="23038" xr:uid="{DA4A16AD-6C84-46C8-9E0C-EC9893D26ABD}"/>
    <cellStyle name="Normal 5 4 2 3 3 2 2 2" xfId="48530" xr:uid="{91305AF0-C55A-42D7-8A70-5EA2397840EE}"/>
    <cellStyle name="Normal 5 4 2 3 3 2 3" xfId="35939" xr:uid="{E0FDA34F-B419-4D30-A687-D179B4185A98}"/>
    <cellStyle name="Normal 5 4 2 3 3 3" xfId="16760" xr:uid="{FF11A809-C938-4170-91F5-E0D9AF58EFC7}"/>
    <cellStyle name="Normal 5 4 2 3 3 3 2" xfId="42252" xr:uid="{626C5693-4D54-4A2C-AC7E-D991D8FCDB8E}"/>
    <cellStyle name="Normal 5 4 2 3 3 4" xfId="29661" xr:uid="{60F5EB54-9B29-4E7B-92CC-A3645B75E99C}"/>
    <cellStyle name="Normal 5 4 2 3 4" xfId="7217" xr:uid="{F0EDBF26-BB94-467F-BF4A-239526F58542}"/>
    <cellStyle name="Normal 5 4 2 3 4 2" xfId="19899" xr:uid="{0BAD53E3-3B12-41BC-9866-490FD4EC34BE}"/>
    <cellStyle name="Normal 5 4 2 3 4 2 2" xfId="45391" xr:uid="{CF412044-8C05-4DD1-BECB-BF5694CA436F}"/>
    <cellStyle name="Normal 5 4 2 3 4 3" xfId="32800" xr:uid="{F583CB55-AA06-45E6-9E50-3146D721086A}"/>
    <cellStyle name="Normal 5 4 2 3 5" xfId="13621" xr:uid="{EEFBF96D-55C0-4AA2-ADA5-1C9C1FA58FC7}"/>
    <cellStyle name="Normal 5 4 2 3 5 2" xfId="39113" xr:uid="{D922E3A1-9B5F-4812-94E7-3776F7499D7C}"/>
    <cellStyle name="Normal 5 4 2 3 6" xfId="26522" xr:uid="{88C818EB-2A30-426C-A438-9BD68E4CA4BC}"/>
    <cellStyle name="Normal 5 4 2 4" xfId="1954" xr:uid="{AA690B21-30FE-4A9E-A4AA-3A4BA937C4CD}"/>
    <cellStyle name="Normal 5 4 2 4 2" xfId="5108" xr:uid="{269D76BC-7950-4F65-8533-E4D9BA3F718B}"/>
    <cellStyle name="Normal 5 4 2 4 2 2" xfId="11401" xr:uid="{0453C130-1B19-44F7-809B-EC46B12F2C5A}"/>
    <cellStyle name="Normal 5 4 2 4 2 2 2" xfId="24083" xr:uid="{CB87F263-2906-42B4-B45B-A0C1FFE13900}"/>
    <cellStyle name="Normal 5 4 2 4 2 2 2 2" xfId="49575" xr:uid="{B6E9376A-DA1D-48E0-804A-0770AC9020FC}"/>
    <cellStyle name="Normal 5 4 2 4 2 2 3" xfId="36984" xr:uid="{939D767C-EF51-4090-8E1B-1A8B2547410C}"/>
    <cellStyle name="Normal 5 4 2 4 2 3" xfId="17805" xr:uid="{FAE76D99-A7C2-415B-850E-4170593940E6}"/>
    <cellStyle name="Normal 5 4 2 4 2 3 2" xfId="43297" xr:uid="{B0DED855-6E14-478D-B4D6-E5B3712F99B7}"/>
    <cellStyle name="Normal 5 4 2 4 2 4" xfId="30706" xr:uid="{A0BB1CC6-4994-46FE-80AA-B29AF3053C9B}"/>
    <cellStyle name="Normal 5 4 2 4 3" xfId="8262" xr:uid="{14D860BF-40FD-46FF-91F4-F127D6C56311}"/>
    <cellStyle name="Normal 5 4 2 4 3 2" xfId="20944" xr:uid="{524B12B9-01FA-4162-B4E1-7B175DBBBE75}"/>
    <cellStyle name="Normal 5 4 2 4 3 2 2" xfId="46436" xr:uid="{E3271181-C86F-40CD-9600-23ABAFDEF01A}"/>
    <cellStyle name="Normal 5 4 2 4 3 3" xfId="33845" xr:uid="{3E775FB8-9A74-4DF0-97C8-C56BD80D51FD}"/>
    <cellStyle name="Normal 5 4 2 4 4" xfId="14666" xr:uid="{45EE05BF-3959-4C4D-B89F-D190116EC001}"/>
    <cellStyle name="Normal 5 4 2 4 4 2" xfId="40158" xr:uid="{288BE765-9127-4BA3-9739-0D89BC22C495}"/>
    <cellStyle name="Normal 5 4 2 4 5" xfId="27567" xr:uid="{DEBDDD75-D117-460F-9B0C-D9AEB61E0A58}"/>
    <cellStyle name="Normal 5 4 2 5" xfId="1432" xr:uid="{8D32507E-EBB4-4F04-9E3C-1C98CA77B332}"/>
    <cellStyle name="Normal 5 4 2 5 2" xfId="4586" xr:uid="{6A3D6865-75DB-4572-85D1-425B321B174B}"/>
    <cellStyle name="Normal 5 4 2 5 2 2" xfId="10879" xr:uid="{59382438-2458-43C5-BBC0-416F41AE1FA5}"/>
    <cellStyle name="Normal 5 4 2 5 2 2 2" xfId="23561" xr:uid="{E51D400B-62D0-441F-A2F1-125F5F0AF3A7}"/>
    <cellStyle name="Normal 5 4 2 5 2 2 2 2" xfId="49053" xr:uid="{75A67331-E221-48B7-A558-B38AB97C91D8}"/>
    <cellStyle name="Normal 5 4 2 5 2 2 3" xfId="36462" xr:uid="{0CFB52A7-B71A-484E-8322-9C746189207F}"/>
    <cellStyle name="Normal 5 4 2 5 2 3" xfId="17283" xr:uid="{F5BD8B28-8941-4717-B08E-11A9E51A185D}"/>
    <cellStyle name="Normal 5 4 2 5 2 3 2" xfId="42775" xr:uid="{B2A6A8FB-5FA9-48F6-A3A0-A2BF75DD47C5}"/>
    <cellStyle name="Normal 5 4 2 5 2 4" xfId="30184" xr:uid="{25E715E8-27EF-41FF-AD80-56BC169EE4F7}"/>
    <cellStyle name="Normal 5 4 2 5 3" xfId="7740" xr:uid="{5A13FA85-67E2-4038-9CD3-9BE3C387F6BD}"/>
    <cellStyle name="Normal 5 4 2 5 3 2" xfId="20422" xr:uid="{204ACB59-5974-4218-9730-70E59214517B}"/>
    <cellStyle name="Normal 5 4 2 5 3 2 2" xfId="45914" xr:uid="{3A534021-2E07-414E-8921-B8C36776E0A4}"/>
    <cellStyle name="Normal 5 4 2 5 3 3" xfId="33323" xr:uid="{647F696E-BC40-4895-A87D-8F14B144517A}"/>
    <cellStyle name="Normal 5 4 2 5 4" xfId="14144" xr:uid="{DB1E1BCD-FBC9-4671-97F5-2E84528CDFAB}"/>
    <cellStyle name="Normal 5 4 2 5 4 2" xfId="39636" xr:uid="{6C5970A2-4952-4535-A88D-920F9E4B555B}"/>
    <cellStyle name="Normal 5 4 2 5 5" xfId="27045" xr:uid="{642263B7-41F0-4F74-A01B-0247A6CCAAFD}"/>
    <cellStyle name="Normal 5 4 2 6" xfId="2739" xr:uid="{9D17D239-943E-4398-A483-6ABA8B62D71C}"/>
    <cellStyle name="Normal 5 4 2 6 2" xfId="5893" xr:uid="{97D43A74-906D-44AF-8CA8-B7D01ACEB5DB}"/>
    <cellStyle name="Normal 5 4 2 6 2 2" xfId="12186" xr:uid="{1257FF5D-EC55-455E-BF29-0B0479257D8C}"/>
    <cellStyle name="Normal 5 4 2 6 2 2 2" xfId="24868" xr:uid="{45BA26F8-74D2-49F5-A325-4DD19195C7B5}"/>
    <cellStyle name="Normal 5 4 2 6 2 2 2 2" xfId="50360" xr:uid="{17E63636-9059-471C-8150-FD514FE5DEAD}"/>
    <cellStyle name="Normal 5 4 2 6 2 2 3" xfId="37769" xr:uid="{816E7817-8527-4EB3-A096-AEA07B0F96C4}"/>
    <cellStyle name="Normal 5 4 2 6 2 3" xfId="18590" xr:uid="{5D323909-A38B-45E5-828A-5B663753B985}"/>
    <cellStyle name="Normal 5 4 2 6 2 3 2" xfId="44082" xr:uid="{C1701B97-F901-48D5-BA80-BDC674091ECE}"/>
    <cellStyle name="Normal 5 4 2 6 2 4" xfId="31491" xr:uid="{E9C76719-5DD7-4A2F-ACEC-6E7349A5D82E}"/>
    <cellStyle name="Normal 5 4 2 6 3" xfId="9047" xr:uid="{E52DC46C-D187-4091-AE60-74819CE008F7}"/>
    <cellStyle name="Normal 5 4 2 6 3 2" xfId="21729" xr:uid="{B3AA7C54-7B73-451B-86B1-245A1FBDED1E}"/>
    <cellStyle name="Normal 5 4 2 6 3 2 2" xfId="47221" xr:uid="{A9BB6550-D0A0-4489-BDD0-BD77D5FAFF15}"/>
    <cellStyle name="Normal 5 4 2 6 3 3" xfId="34630" xr:uid="{3E03EC6C-905A-4F14-B10A-F0807C028944}"/>
    <cellStyle name="Normal 5 4 2 6 4" xfId="15451" xr:uid="{AF7CB750-365B-4132-98EA-CCAC9081B602}"/>
    <cellStyle name="Normal 5 4 2 6 4 2" xfId="40943" xr:uid="{F26F0DAB-CFC3-4CDF-87FC-B94C37E2D96E}"/>
    <cellStyle name="Normal 5 4 2 6 5" xfId="28352" xr:uid="{D0116E1F-C541-4822-B049-D3BA0950150B}"/>
    <cellStyle name="Normal 5 4 2 7" xfId="3262" xr:uid="{A9B800FA-736D-4304-A30D-6655EF185941}"/>
    <cellStyle name="Normal 5 4 2 7 2" xfId="6416" xr:uid="{748D03C9-8597-43CA-A914-6CF71D02B001}"/>
    <cellStyle name="Normal 5 4 2 7 2 2" xfId="12709" xr:uid="{D36FC4AA-A2C1-4675-989B-64F1877090DE}"/>
    <cellStyle name="Normal 5 4 2 7 2 2 2" xfId="25391" xr:uid="{D11E8328-16E6-459B-8E4B-246DC74254F5}"/>
    <cellStyle name="Normal 5 4 2 7 2 2 2 2" xfId="50883" xr:uid="{0A5A4C8C-1850-4D1D-A086-89C06B560EDD}"/>
    <cellStyle name="Normal 5 4 2 7 2 2 3" xfId="38292" xr:uid="{8B8B373B-E393-47EB-91C5-8F96C97DF844}"/>
    <cellStyle name="Normal 5 4 2 7 2 3" xfId="19113" xr:uid="{C1957A02-33D9-4569-BE7D-3CEACF21D07B}"/>
    <cellStyle name="Normal 5 4 2 7 2 3 2" xfId="44605" xr:uid="{42D8458D-E68C-4187-A11C-73B6D9428351}"/>
    <cellStyle name="Normal 5 4 2 7 2 4" xfId="32014" xr:uid="{E13DDEE3-6AF9-48A1-865E-E49148155854}"/>
    <cellStyle name="Normal 5 4 2 7 3" xfId="9570" xr:uid="{50D5AFC8-9610-41A2-ACD7-F5AC7CFCFEFC}"/>
    <cellStyle name="Normal 5 4 2 7 3 2" xfId="22252" xr:uid="{932361E9-CEF1-46C0-92E4-DA67121B0371}"/>
    <cellStyle name="Normal 5 4 2 7 3 2 2" xfId="47744" xr:uid="{DF709C1F-0DF9-4298-B6A6-5E321319ED4A}"/>
    <cellStyle name="Normal 5 4 2 7 3 3" xfId="35153" xr:uid="{AADF8E6E-F883-464C-9454-A10F920B5530}"/>
    <cellStyle name="Normal 5 4 2 7 4" xfId="15974" xr:uid="{7A0D5C48-AA85-43CB-A571-AD355BAF19EB}"/>
    <cellStyle name="Normal 5 4 2 7 4 2" xfId="41466" xr:uid="{21D4820E-13DB-47A4-8275-BABFA25840C5}"/>
    <cellStyle name="Normal 5 4 2 7 5" xfId="28875" xr:uid="{61CA250B-5809-4829-A4C0-C6808B53D97E}"/>
    <cellStyle name="Normal 5 4 2 8" xfId="3801" xr:uid="{9D3299F5-2AD2-4127-8C5D-49393764FD8E}"/>
    <cellStyle name="Normal 5 4 2 8 2" xfId="10094" xr:uid="{F3FA0230-6AD8-48F8-A8C3-C1EBECB96B06}"/>
    <cellStyle name="Normal 5 4 2 8 2 2" xfId="22776" xr:uid="{3436C48A-6EBD-4528-A995-24BF8D4D33D6}"/>
    <cellStyle name="Normal 5 4 2 8 2 2 2" xfId="48268" xr:uid="{07D2F542-63BE-4BD3-B335-31E2092DEBEA}"/>
    <cellStyle name="Normal 5 4 2 8 2 3" xfId="35677" xr:uid="{4C58CF14-66AC-42F7-A0E2-1C4CD6EF31C6}"/>
    <cellStyle name="Normal 5 4 2 8 3" xfId="16498" xr:uid="{6F570DCC-8232-4EC4-B22C-1DD8D5434C7C}"/>
    <cellStyle name="Normal 5 4 2 8 3 2" xfId="41990" xr:uid="{38C25ED5-803B-4A4A-A42C-0B2A8C759C60}"/>
    <cellStyle name="Normal 5 4 2 8 4" xfId="29399" xr:uid="{B2C6660A-9009-407A-B637-0726AD094F36}"/>
    <cellStyle name="Normal 5 4 2 9" xfId="6955" xr:uid="{7DBD2E71-827D-408D-8858-81D6B0614A27}"/>
    <cellStyle name="Normal 5 4 2 9 2" xfId="19637" xr:uid="{A39318D9-6383-4088-8BDA-CFF382F3FE07}"/>
    <cellStyle name="Normal 5 4 2 9 2 2" xfId="45129" xr:uid="{2EC16303-DBC5-4FD1-8BD3-B9333C087100}"/>
    <cellStyle name="Normal 5 4 2 9 3" xfId="32538" xr:uid="{7E182922-F1D8-426D-A752-66FAD0A5A098}"/>
    <cellStyle name="Normal 5 4 3" xfId="532" xr:uid="{8B95F43B-BA13-4515-B114-2961A52FF97E}"/>
    <cellStyle name="Normal 5 4 3 10" xfId="13259" xr:uid="{23E34ED0-D7DC-4147-A245-9BCF4D8D8615}"/>
    <cellStyle name="Normal 5 4 3 10 2" xfId="38751" xr:uid="{FD0CBE37-8070-472C-826A-7E2E96E1467A}"/>
    <cellStyle name="Normal 5 4 3 11" xfId="26160" xr:uid="{166B9C48-F94F-4AFF-8375-E7FD7EAD6C42}"/>
    <cellStyle name="Normal 5 4 3 2" xfId="1069" xr:uid="{90649D55-8DA4-46A9-B05C-5ECF2524AD60}"/>
    <cellStyle name="Normal 5 4 3 2 2" xfId="2376" xr:uid="{50A2B7E9-5F4E-492C-96E8-FE00AF2A26A2}"/>
    <cellStyle name="Normal 5 4 3 2 2 2" xfId="5530" xr:uid="{BC14956E-F187-458E-87CE-D2CB027CDA59}"/>
    <cellStyle name="Normal 5 4 3 2 2 2 2" xfId="11823" xr:uid="{ABE9D1ED-3ADB-4852-A633-60F139CD8C9B}"/>
    <cellStyle name="Normal 5 4 3 2 2 2 2 2" xfId="24505" xr:uid="{D60B87D6-5537-40B9-A791-BEFD8CCBC1DB}"/>
    <cellStyle name="Normal 5 4 3 2 2 2 2 2 2" xfId="49997" xr:uid="{FA4F1342-D806-4A6E-87E4-11FE1FD1B27A}"/>
    <cellStyle name="Normal 5 4 3 2 2 2 2 3" xfId="37406" xr:uid="{58EFFB58-80A7-4282-90BE-649DF37858CF}"/>
    <cellStyle name="Normal 5 4 3 2 2 2 3" xfId="18227" xr:uid="{54861E76-85DB-49A3-B4B6-714DCE036F5D}"/>
    <cellStyle name="Normal 5 4 3 2 2 2 3 2" xfId="43719" xr:uid="{6660D1A7-7D52-454B-9CEA-44D0201D33E9}"/>
    <cellStyle name="Normal 5 4 3 2 2 2 4" xfId="31128" xr:uid="{50A67B63-39BC-408F-83C9-2DBF13DC0508}"/>
    <cellStyle name="Normal 5 4 3 2 2 3" xfId="8684" xr:uid="{B834DC0C-33DF-46A6-89EC-66F8E5F5681E}"/>
    <cellStyle name="Normal 5 4 3 2 2 3 2" xfId="21366" xr:uid="{B908FF75-A40C-4053-ABFB-8491D9128AB6}"/>
    <cellStyle name="Normal 5 4 3 2 2 3 2 2" xfId="46858" xr:uid="{B4E47C25-591C-4CE2-B0D8-29AC5D46417D}"/>
    <cellStyle name="Normal 5 4 3 2 2 3 3" xfId="34267" xr:uid="{F663A72A-6FA0-4033-97EE-D3B00FFE3198}"/>
    <cellStyle name="Normal 5 4 3 2 2 4" xfId="15088" xr:uid="{43303E49-6B15-42CA-BC7E-1AA2F4B2BF98}"/>
    <cellStyle name="Normal 5 4 3 2 2 4 2" xfId="40580" xr:uid="{ED4D7AC4-3AA2-4AC1-8AC2-0923BE912CDB}"/>
    <cellStyle name="Normal 5 4 3 2 2 5" xfId="27989" xr:uid="{299DAD61-F7F4-4C85-B9E0-393B8DDEAFE1}"/>
    <cellStyle name="Normal 5 4 3 2 3" xfId="1593" xr:uid="{EA0FA9BA-F3F4-4D18-9A68-39BACA410730}"/>
    <cellStyle name="Normal 5 4 3 2 3 2" xfId="4747" xr:uid="{0A271697-B48E-4F5B-86E4-9F5CAAA1CFFC}"/>
    <cellStyle name="Normal 5 4 3 2 3 2 2" xfId="11040" xr:uid="{3DC8B03F-8169-463E-BE6B-D9A5E74A677E}"/>
    <cellStyle name="Normal 5 4 3 2 3 2 2 2" xfId="23722" xr:uid="{F5AF9064-55F5-4579-A8AE-E4D0936DA0FD}"/>
    <cellStyle name="Normal 5 4 3 2 3 2 2 2 2" xfId="49214" xr:uid="{8979EB63-82F3-4765-80D2-55A01D84F1AC}"/>
    <cellStyle name="Normal 5 4 3 2 3 2 2 3" xfId="36623" xr:uid="{DB1ACFA0-6567-4B9C-B708-36832E00EE0A}"/>
    <cellStyle name="Normal 5 4 3 2 3 2 3" xfId="17444" xr:uid="{BADEA07C-F7A6-4B97-9549-5D698F5799B6}"/>
    <cellStyle name="Normal 5 4 3 2 3 2 3 2" xfId="42936" xr:uid="{95AE48CD-BAEC-4AF9-B707-68792C1ABA7F}"/>
    <cellStyle name="Normal 5 4 3 2 3 2 4" xfId="30345" xr:uid="{EF78064A-47F3-45B1-A394-C96643173A22}"/>
    <cellStyle name="Normal 5 4 3 2 3 3" xfId="7901" xr:uid="{9548288D-B962-4D66-800D-0A37BC9A8BCA}"/>
    <cellStyle name="Normal 5 4 3 2 3 3 2" xfId="20583" xr:uid="{413BBA4C-2A5C-464A-8305-2062B8F55E11}"/>
    <cellStyle name="Normal 5 4 3 2 3 3 2 2" xfId="46075" xr:uid="{12777F41-517A-4D36-B0A0-92ACC5370752}"/>
    <cellStyle name="Normal 5 4 3 2 3 3 3" xfId="33484" xr:uid="{233D029A-69D5-40BA-8E25-950F516D0D1B}"/>
    <cellStyle name="Normal 5 4 3 2 3 4" xfId="14305" xr:uid="{5E54AE74-6885-4CBE-A2A7-5F0109516B4C}"/>
    <cellStyle name="Normal 5 4 3 2 3 4 2" xfId="39797" xr:uid="{D56892E2-C6E1-48B6-99BD-9B519A7F022C}"/>
    <cellStyle name="Normal 5 4 3 2 3 5" xfId="27206" xr:uid="{A9CF0D31-3EF5-4C8D-B98F-1DBA22415E13}"/>
    <cellStyle name="Normal 5 4 3 2 4" xfId="2900" xr:uid="{DC9D0CDD-DE52-4946-A3AA-840C6DF8B83F}"/>
    <cellStyle name="Normal 5 4 3 2 4 2" xfId="6054" xr:uid="{980BDF9A-AD89-444C-A9A1-7DA5AC6586EB}"/>
    <cellStyle name="Normal 5 4 3 2 4 2 2" xfId="12347" xr:uid="{97797928-653B-410E-BC59-EB4E1C4E00F9}"/>
    <cellStyle name="Normal 5 4 3 2 4 2 2 2" xfId="25029" xr:uid="{255BEEF1-6CBD-49EF-99EF-EF4DB5A33F1A}"/>
    <cellStyle name="Normal 5 4 3 2 4 2 2 2 2" xfId="50521" xr:uid="{D55B6F97-7096-4165-877E-4508A73BC165}"/>
    <cellStyle name="Normal 5 4 3 2 4 2 2 3" xfId="37930" xr:uid="{2218B2BC-53EC-48A6-835E-4B07DD4E76F1}"/>
    <cellStyle name="Normal 5 4 3 2 4 2 3" xfId="18751" xr:uid="{58762F60-FD35-42CF-A568-2B199B6014A4}"/>
    <cellStyle name="Normal 5 4 3 2 4 2 3 2" xfId="44243" xr:uid="{845D0640-D259-4169-A752-6BB22B986080}"/>
    <cellStyle name="Normal 5 4 3 2 4 2 4" xfId="31652" xr:uid="{6CC2A5FD-1092-46C6-AD0A-D2308CB6E269}"/>
    <cellStyle name="Normal 5 4 3 2 4 3" xfId="9208" xr:uid="{C7AB613C-2D06-4D7E-8BAB-6B305CB7FD0B}"/>
    <cellStyle name="Normal 5 4 3 2 4 3 2" xfId="21890" xr:uid="{0FBCDB5C-EE1D-44F9-8BBC-B67FE12FA179}"/>
    <cellStyle name="Normal 5 4 3 2 4 3 2 2" xfId="47382" xr:uid="{020CAE49-198F-4B4C-844B-C75E9DF30613}"/>
    <cellStyle name="Normal 5 4 3 2 4 3 3" xfId="34791" xr:uid="{B4F1A0FD-86F6-4AF7-8F22-5D2084465104}"/>
    <cellStyle name="Normal 5 4 3 2 4 4" xfId="15612" xr:uid="{07B97395-126C-4D9D-8C83-A9E0050BA46D}"/>
    <cellStyle name="Normal 5 4 3 2 4 4 2" xfId="41104" xr:uid="{6ADDB320-F0CF-4050-BDAA-615C5AAA257B}"/>
    <cellStyle name="Normal 5 4 3 2 4 5" xfId="28513" xr:uid="{E8D2FAAB-5DD7-4DD7-8C9A-8223508311CD}"/>
    <cellStyle name="Normal 5 4 3 2 5" xfId="3423" xr:uid="{D077B9EF-CFEE-4005-B655-7D079C3E22E6}"/>
    <cellStyle name="Normal 5 4 3 2 5 2" xfId="6577" xr:uid="{F4313A2D-5239-492C-A489-417BFC186EB3}"/>
    <cellStyle name="Normal 5 4 3 2 5 2 2" xfId="12870" xr:uid="{F8D87BCB-C82D-4252-8E66-0ED967E43635}"/>
    <cellStyle name="Normal 5 4 3 2 5 2 2 2" xfId="25552" xr:uid="{A6F8260B-98FF-4CD0-B5F3-6F3007416636}"/>
    <cellStyle name="Normal 5 4 3 2 5 2 2 2 2" xfId="51044" xr:uid="{B54982CC-EC7A-4A8D-A763-AED407F03B44}"/>
    <cellStyle name="Normal 5 4 3 2 5 2 2 3" xfId="38453" xr:uid="{E70DE2EC-F48E-4F1D-838F-A4F6F7F00AB7}"/>
    <cellStyle name="Normal 5 4 3 2 5 2 3" xfId="19274" xr:uid="{38E3D5A1-CAEA-47C0-B072-04A975DD81F6}"/>
    <cellStyle name="Normal 5 4 3 2 5 2 3 2" xfId="44766" xr:uid="{7B19B2D2-DD2F-4363-A90B-0DCE922627A1}"/>
    <cellStyle name="Normal 5 4 3 2 5 2 4" xfId="32175" xr:uid="{A92346B4-0FED-4329-B959-150C45F8484F}"/>
    <cellStyle name="Normal 5 4 3 2 5 3" xfId="9731" xr:uid="{E706D6B0-A086-40CE-B9D6-11152729EC60}"/>
    <cellStyle name="Normal 5 4 3 2 5 3 2" xfId="22413" xr:uid="{FACDFD6F-E0D6-4C66-9CF1-DC98B106F619}"/>
    <cellStyle name="Normal 5 4 3 2 5 3 2 2" xfId="47905" xr:uid="{BB1A4E2A-A807-4A09-A8D0-873AA7026708}"/>
    <cellStyle name="Normal 5 4 3 2 5 3 3" xfId="35314" xr:uid="{8FF28F3B-F158-487B-AA2A-16D3A79A590E}"/>
    <cellStyle name="Normal 5 4 3 2 5 4" xfId="16135" xr:uid="{9D08706B-60C9-4742-A8B8-7279FCA0269F}"/>
    <cellStyle name="Normal 5 4 3 2 5 4 2" xfId="41627" xr:uid="{DAFDD6D7-56C9-47F2-9035-8C63BDCEC386}"/>
    <cellStyle name="Normal 5 4 3 2 5 5" xfId="29036" xr:uid="{4025EF70-43BE-42BB-A27D-42ED4F5C3F64}"/>
    <cellStyle name="Normal 5 4 3 2 6" xfId="4223" xr:uid="{87B1C71F-FC52-46A9-BBB0-DB1FE9877EBA}"/>
    <cellStyle name="Normal 5 4 3 2 6 2" xfId="10516" xr:uid="{2A4992AC-FB89-48E5-A562-8D2176BF5D61}"/>
    <cellStyle name="Normal 5 4 3 2 6 2 2" xfId="23198" xr:uid="{C46F021A-0F13-48DD-8C73-A2A3472FF5CD}"/>
    <cellStyle name="Normal 5 4 3 2 6 2 2 2" xfId="48690" xr:uid="{FF3420F0-2ACF-454D-B52F-D3837E7B98CF}"/>
    <cellStyle name="Normal 5 4 3 2 6 2 3" xfId="36099" xr:uid="{2654D95B-0EDB-410F-8244-B12AFAB11A99}"/>
    <cellStyle name="Normal 5 4 3 2 6 3" xfId="16920" xr:uid="{9F2DE076-D4A2-44D3-A86B-6819A53BD33D}"/>
    <cellStyle name="Normal 5 4 3 2 6 3 2" xfId="42412" xr:uid="{1B59CCC8-EE1E-4B50-868C-AE0BB4E404B2}"/>
    <cellStyle name="Normal 5 4 3 2 6 4" xfId="29821" xr:uid="{E149D62E-57E2-4718-A067-BF5B1073F575}"/>
    <cellStyle name="Normal 5 4 3 2 7" xfId="7377" xr:uid="{8194014C-409F-4C30-85A5-2A70BC0F11AF}"/>
    <cellStyle name="Normal 5 4 3 2 7 2" xfId="20059" xr:uid="{6D97DA77-0DCE-4477-A23B-855182CC6FF5}"/>
    <cellStyle name="Normal 5 4 3 2 7 2 2" xfId="45551" xr:uid="{8094A002-E085-45CE-AE94-ABD472A02667}"/>
    <cellStyle name="Normal 5 4 3 2 7 3" xfId="32960" xr:uid="{F23E5D1F-8A54-4398-B55E-13FC3FA472D0}"/>
    <cellStyle name="Normal 5 4 3 2 8" xfId="13781" xr:uid="{F6EAA52C-A17F-438E-98E8-9CFB46688D71}"/>
    <cellStyle name="Normal 5 4 3 2 8 2" xfId="39273" xr:uid="{17A2A234-3ED3-48EF-976E-1B521185C3A1}"/>
    <cellStyle name="Normal 5 4 3 2 9" xfId="26682" xr:uid="{364B83A1-6242-4655-9FA2-AA1AE500AE29}"/>
    <cellStyle name="Normal 5 4 3 3" xfId="809" xr:uid="{FD6F6F67-7217-4877-A699-1131AAD75130}"/>
    <cellStyle name="Normal 5 4 3 3 2" xfId="2116" xr:uid="{D6F5FEF2-DCD8-40C6-B13E-C1711660B709}"/>
    <cellStyle name="Normal 5 4 3 3 2 2" xfId="5270" xr:uid="{DA73836A-C20F-404E-821C-337AFA052EEF}"/>
    <cellStyle name="Normal 5 4 3 3 2 2 2" xfId="11563" xr:uid="{0EA916C1-4FBE-48E6-8CE1-60CD1AA07AB0}"/>
    <cellStyle name="Normal 5 4 3 3 2 2 2 2" xfId="24245" xr:uid="{E1ED3F58-6462-433D-A803-7B9738F8DDCF}"/>
    <cellStyle name="Normal 5 4 3 3 2 2 2 2 2" xfId="49737" xr:uid="{92C13614-7778-4A38-A7B4-AEF1F971E49A}"/>
    <cellStyle name="Normal 5 4 3 3 2 2 2 3" xfId="37146" xr:uid="{F77366B6-C736-416C-A651-A5A47FDCDD77}"/>
    <cellStyle name="Normal 5 4 3 3 2 2 3" xfId="17967" xr:uid="{22886CD9-34FD-4F84-8ACD-4024C1CEB30D}"/>
    <cellStyle name="Normal 5 4 3 3 2 2 3 2" xfId="43459" xr:uid="{4CCCAABF-DCF9-4FA1-97B1-89E701287E70}"/>
    <cellStyle name="Normal 5 4 3 3 2 2 4" xfId="30868" xr:uid="{3D6C0E2F-E177-406B-A0E0-CA92C49E1D67}"/>
    <cellStyle name="Normal 5 4 3 3 2 3" xfId="8424" xr:uid="{DA8DEED6-7684-41F3-91C7-CDA92AEF77BC}"/>
    <cellStyle name="Normal 5 4 3 3 2 3 2" xfId="21106" xr:uid="{24A8B923-A34B-42AA-B1CE-F2C342618095}"/>
    <cellStyle name="Normal 5 4 3 3 2 3 2 2" xfId="46598" xr:uid="{072920B0-98A9-4128-9148-3AED2CC02F39}"/>
    <cellStyle name="Normal 5 4 3 3 2 3 3" xfId="34007" xr:uid="{D97F8087-8A5D-4F9F-A1F5-03F481E13DF4}"/>
    <cellStyle name="Normal 5 4 3 3 2 4" xfId="14828" xr:uid="{A518BC6A-7785-4031-9A33-622EF9511BB5}"/>
    <cellStyle name="Normal 5 4 3 3 2 4 2" xfId="40320" xr:uid="{17F46507-EB78-48A4-BD71-D2F261A802EE}"/>
    <cellStyle name="Normal 5 4 3 3 2 5" xfId="27729" xr:uid="{A1C238C4-A9F0-4F98-9837-488A3FF140B7}"/>
    <cellStyle name="Normal 5 4 3 3 3" xfId="3963" xr:uid="{8E9C1E1C-BBE8-4F25-A8AF-2E0138797AE5}"/>
    <cellStyle name="Normal 5 4 3 3 3 2" xfId="10256" xr:uid="{2E040A27-F9A2-4264-8264-B33139FC8EEB}"/>
    <cellStyle name="Normal 5 4 3 3 3 2 2" xfId="22938" xr:uid="{680EA949-24F0-46D8-AD5A-22AF79F22B45}"/>
    <cellStyle name="Normal 5 4 3 3 3 2 2 2" xfId="48430" xr:uid="{8BB41BA3-192A-4C13-B34B-6AEEC064E6E9}"/>
    <cellStyle name="Normal 5 4 3 3 3 2 3" xfId="35839" xr:uid="{28923A3A-C898-4593-A85A-53FCE4AEF6FF}"/>
    <cellStyle name="Normal 5 4 3 3 3 3" xfId="16660" xr:uid="{26655D12-1CA3-405A-835A-C92F864CD288}"/>
    <cellStyle name="Normal 5 4 3 3 3 3 2" xfId="42152" xr:uid="{FAAB9BAF-F0B8-49F8-BD4D-210EB93C09B1}"/>
    <cellStyle name="Normal 5 4 3 3 3 4" xfId="29561" xr:uid="{FB1EBCCB-7B23-46F1-95AB-2D671F7FA2A2}"/>
    <cellStyle name="Normal 5 4 3 3 4" xfId="7117" xr:uid="{ACC0A407-EE87-4E13-A0E8-6F52A2C3BC0E}"/>
    <cellStyle name="Normal 5 4 3 3 4 2" xfId="19799" xr:uid="{917C5023-C7B5-4B22-B6CD-B38E556183E9}"/>
    <cellStyle name="Normal 5 4 3 3 4 2 2" xfId="45291" xr:uid="{976AC5AA-1424-4415-8A63-A02AE7B28CDA}"/>
    <cellStyle name="Normal 5 4 3 3 4 3" xfId="32700" xr:uid="{41E4AAA7-8EAC-4A1B-9252-BE59AB0C898F}"/>
    <cellStyle name="Normal 5 4 3 3 5" xfId="13521" xr:uid="{DF0A95DB-B27C-4F47-8B2C-D765DD9218F1}"/>
    <cellStyle name="Normal 5 4 3 3 5 2" xfId="39013" xr:uid="{2340B7B0-568A-4620-A96C-06A32E45C465}"/>
    <cellStyle name="Normal 5 4 3 3 6" xfId="26422" xr:uid="{696DF836-F624-4C1A-B4CE-F5EFC06928C4}"/>
    <cellStyle name="Normal 5 4 3 4" xfId="1854" xr:uid="{35756AC8-0F41-4A8E-B32D-DA89C4879944}"/>
    <cellStyle name="Normal 5 4 3 4 2" xfId="5008" xr:uid="{5D82824D-624A-4A06-B70F-5BC2D8996908}"/>
    <cellStyle name="Normal 5 4 3 4 2 2" xfId="11301" xr:uid="{C81937AD-E7F2-43AD-9043-D5EB6E302417}"/>
    <cellStyle name="Normal 5 4 3 4 2 2 2" xfId="23983" xr:uid="{766471C8-FD3B-4FA0-91AC-C5F8D7C7DDCD}"/>
    <cellStyle name="Normal 5 4 3 4 2 2 2 2" xfId="49475" xr:uid="{1D61B84E-0854-4C06-9185-99936066A98D}"/>
    <cellStyle name="Normal 5 4 3 4 2 2 3" xfId="36884" xr:uid="{A51B314E-93C8-4BA9-9836-4D31B4442CAD}"/>
    <cellStyle name="Normal 5 4 3 4 2 3" xfId="17705" xr:uid="{A5554B9F-5D6A-47A0-A5C2-B4819A11EA32}"/>
    <cellStyle name="Normal 5 4 3 4 2 3 2" xfId="43197" xr:uid="{D49981E8-478C-42D6-AB8D-6F2651C2FCD1}"/>
    <cellStyle name="Normal 5 4 3 4 2 4" xfId="30606" xr:uid="{154D1744-1DB2-4A3B-87A3-D9C3513FF3D4}"/>
    <cellStyle name="Normal 5 4 3 4 3" xfId="8162" xr:uid="{44DA4E5C-E828-4D81-A737-F4EE2CC5BA40}"/>
    <cellStyle name="Normal 5 4 3 4 3 2" xfId="20844" xr:uid="{F0295E11-EB7E-4A2D-887F-91455F32E0A8}"/>
    <cellStyle name="Normal 5 4 3 4 3 2 2" xfId="46336" xr:uid="{1D08BBFF-F7CB-4DD7-BB4D-F22BB9C298E0}"/>
    <cellStyle name="Normal 5 4 3 4 3 3" xfId="33745" xr:uid="{8089D04E-79F1-4CF9-AD9D-010C34B1297C}"/>
    <cellStyle name="Normal 5 4 3 4 4" xfId="14566" xr:uid="{1A81DDCB-36FF-4FA4-ACFB-0D8A60A9B001}"/>
    <cellStyle name="Normal 5 4 3 4 4 2" xfId="40058" xr:uid="{2A645EFC-2257-4E95-B5B6-D8E898B3AC02}"/>
    <cellStyle name="Normal 5 4 3 4 5" xfId="27467" xr:uid="{138C5279-2370-4814-830A-FAACC8BF10FF}"/>
    <cellStyle name="Normal 5 4 3 5" xfId="1332" xr:uid="{D063284B-7809-4B4B-8897-87236A775084}"/>
    <cellStyle name="Normal 5 4 3 5 2" xfId="4486" xr:uid="{303A44F0-F463-4799-B260-B84FF1278AA6}"/>
    <cellStyle name="Normal 5 4 3 5 2 2" xfId="10779" xr:uid="{E8001C36-D15E-4D2C-8CF3-ADEA41368525}"/>
    <cellStyle name="Normal 5 4 3 5 2 2 2" xfId="23461" xr:uid="{79E3F975-47F7-4EE9-8C89-95BA487F7CFF}"/>
    <cellStyle name="Normal 5 4 3 5 2 2 2 2" xfId="48953" xr:uid="{41E1CA72-CEFB-4B81-A34F-72ADBE2D4F55}"/>
    <cellStyle name="Normal 5 4 3 5 2 2 3" xfId="36362" xr:uid="{ED55E5E3-8437-441C-BDA1-C36B085AA127}"/>
    <cellStyle name="Normal 5 4 3 5 2 3" xfId="17183" xr:uid="{01BD064C-B953-46E9-ACB1-C5855EEAE9C8}"/>
    <cellStyle name="Normal 5 4 3 5 2 3 2" xfId="42675" xr:uid="{30D140EE-1904-4300-B3CE-5B88893C2C67}"/>
    <cellStyle name="Normal 5 4 3 5 2 4" xfId="30084" xr:uid="{EE215549-2AC6-47A5-B00F-E81F7266AC20}"/>
    <cellStyle name="Normal 5 4 3 5 3" xfId="7640" xr:uid="{F57F6AAA-3299-4643-AE2E-CF393778AE66}"/>
    <cellStyle name="Normal 5 4 3 5 3 2" xfId="20322" xr:uid="{BC170EAE-BA8C-4B8B-B90D-A4BCFBB99773}"/>
    <cellStyle name="Normal 5 4 3 5 3 2 2" xfId="45814" xr:uid="{114DB7CC-6457-4A16-BCD7-418C1906BE34}"/>
    <cellStyle name="Normal 5 4 3 5 3 3" xfId="33223" xr:uid="{526B24F2-CAC8-49BB-B0E1-1572308FBE9A}"/>
    <cellStyle name="Normal 5 4 3 5 4" xfId="14044" xr:uid="{CB5F4202-4955-48A8-932B-52579B6B38A3}"/>
    <cellStyle name="Normal 5 4 3 5 4 2" xfId="39536" xr:uid="{70E9EA3E-283A-487A-8840-7D3157BCA477}"/>
    <cellStyle name="Normal 5 4 3 5 5" xfId="26945" xr:uid="{2A25A962-EC33-45C3-A324-C5D46DD6F574}"/>
    <cellStyle name="Normal 5 4 3 6" xfId="2639" xr:uid="{BEAA42A7-A891-4606-A292-D2CBD5809F82}"/>
    <cellStyle name="Normal 5 4 3 6 2" xfId="5793" xr:uid="{07FCAB71-9512-49DC-AA5D-3FCA307B8442}"/>
    <cellStyle name="Normal 5 4 3 6 2 2" xfId="12086" xr:uid="{2578B7C2-D08E-4371-AF58-18B2D2F8BB36}"/>
    <cellStyle name="Normal 5 4 3 6 2 2 2" xfId="24768" xr:uid="{2BA90AC5-F731-4963-A896-02EDDC7C2579}"/>
    <cellStyle name="Normal 5 4 3 6 2 2 2 2" xfId="50260" xr:uid="{949C4500-0B04-4B43-B8EE-8576BF4EAE5B}"/>
    <cellStyle name="Normal 5 4 3 6 2 2 3" xfId="37669" xr:uid="{FFE6AF02-BD30-490E-8DC0-AD01B00ADD89}"/>
    <cellStyle name="Normal 5 4 3 6 2 3" xfId="18490" xr:uid="{72F0D2B0-76C9-4EF2-ABD1-9536BB823ED8}"/>
    <cellStyle name="Normal 5 4 3 6 2 3 2" xfId="43982" xr:uid="{AB51DA6C-D73D-48CD-A02B-4FEDD27A32E5}"/>
    <cellStyle name="Normal 5 4 3 6 2 4" xfId="31391" xr:uid="{CD1C40BC-742D-435F-9BEA-69C853C7E7AD}"/>
    <cellStyle name="Normal 5 4 3 6 3" xfId="8947" xr:uid="{5E5384F0-0330-415D-9851-1EFAF9B263EE}"/>
    <cellStyle name="Normal 5 4 3 6 3 2" xfId="21629" xr:uid="{938FDE96-0E65-4E98-B630-C00D800E7857}"/>
    <cellStyle name="Normal 5 4 3 6 3 2 2" xfId="47121" xr:uid="{D856CF67-20E8-4DC5-AC35-978BA57C2FDA}"/>
    <cellStyle name="Normal 5 4 3 6 3 3" xfId="34530" xr:uid="{68D4D53B-BA38-40DB-8568-88E6B48C7E39}"/>
    <cellStyle name="Normal 5 4 3 6 4" xfId="15351" xr:uid="{DFDD7963-8BA4-404A-BB55-D56F4D4DCAB2}"/>
    <cellStyle name="Normal 5 4 3 6 4 2" xfId="40843" xr:uid="{1D744BD9-974C-432A-A528-72F4D9F435B2}"/>
    <cellStyle name="Normal 5 4 3 6 5" xfId="28252" xr:uid="{E7C0C207-6815-40E7-AC35-921E80CC01F7}"/>
    <cellStyle name="Normal 5 4 3 7" xfId="3162" xr:uid="{9028FA2A-C4B3-4186-8F94-486A30796A30}"/>
    <cellStyle name="Normal 5 4 3 7 2" xfId="6316" xr:uid="{8B1F21E8-BA48-4859-AF56-B932F2F5E9AE}"/>
    <cellStyle name="Normal 5 4 3 7 2 2" xfId="12609" xr:uid="{97F5DFB9-835F-4873-A190-ED5BBCCDE2D6}"/>
    <cellStyle name="Normal 5 4 3 7 2 2 2" xfId="25291" xr:uid="{4FFD6E44-8D16-46BB-8A20-4FC17BACF941}"/>
    <cellStyle name="Normal 5 4 3 7 2 2 2 2" xfId="50783" xr:uid="{C24127B7-FBBA-4355-A33A-0046CADF037A}"/>
    <cellStyle name="Normal 5 4 3 7 2 2 3" xfId="38192" xr:uid="{949184A6-FC95-4002-841C-605983DC5C53}"/>
    <cellStyle name="Normal 5 4 3 7 2 3" xfId="19013" xr:uid="{446FD9A4-0321-4180-8CE5-476F4C351E23}"/>
    <cellStyle name="Normal 5 4 3 7 2 3 2" xfId="44505" xr:uid="{A7227B69-77DC-4398-87E8-4C055A4546FE}"/>
    <cellStyle name="Normal 5 4 3 7 2 4" xfId="31914" xr:uid="{7428031F-1E27-4507-A965-FBD8516B78A8}"/>
    <cellStyle name="Normal 5 4 3 7 3" xfId="9470" xr:uid="{EBAD0870-E586-455D-AB1C-2132E349284F}"/>
    <cellStyle name="Normal 5 4 3 7 3 2" xfId="22152" xr:uid="{E941B0A5-7B16-4F48-A1AC-226FB12582C7}"/>
    <cellStyle name="Normal 5 4 3 7 3 2 2" xfId="47644" xr:uid="{4A213F9A-8D14-4CAF-9DA2-E23BDE5E07FB}"/>
    <cellStyle name="Normal 5 4 3 7 3 3" xfId="35053" xr:uid="{79772C64-9CF6-4315-A9A4-8447CB51B873}"/>
    <cellStyle name="Normal 5 4 3 7 4" xfId="15874" xr:uid="{F318F976-FA85-48D6-8419-C6FA9F612B2A}"/>
    <cellStyle name="Normal 5 4 3 7 4 2" xfId="41366" xr:uid="{B29E6878-CD77-405E-B519-00BB5DBA9A63}"/>
    <cellStyle name="Normal 5 4 3 7 5" xfId="28775" xr:uid="{B52699B8-FE07-471C-98F9-FBE13622DE19}"/>
    <cellStyle name="Normal 5 4 3 8" xfId="3701" xr:uid="{7DD9DDD9-8E6C-4DCB-9689-8F409650B9C9}"/>
    <cellStyle name="Normal 5 4 3 8 2" xfId="9994" xr:uid="{BC3740F0-D9E6-4D3D-9213-CD5B7271FC11}"/>
    <cellStyle name="Normal 5 4 3 8 2 2" xfId="22676" xr:uid="{461508DB-78AE-40EC-9CEA-ACEE9FAAD7FA}"/>
    <cellStyle name="Normal 5 4 3 8 2 2 2" xfId="48168" xr:uid="{76B8C9A9-38D6-432C-8E55-BB9F6341D681}"/>
    <cellStyle name="Normal 5 4 3 8 2 3" xfId="35577" xr:uid="{433F9910-B2C9-4B35-AD98-5C566D991CEF}"/>
    <cellStyle name="Normal 5 4 3 8 3" xfId="16398" xr:uid="{0A18F727-1DCE-4933-AA7B-EDC10019878E}"/>
    <cellStyle name="Normal 5 4 3 8 3 2" xfId="41890" xr:uid="{B044535C-164E-43B8-A214-F3CF51A11C86}"/>
    <cellStyle name="Normal 5 4 3 8 4" xfId="29299" xr:uid="{4E8EFFF4-3545-4993-A109-CE89AE232646}"/>
    <cellStyle name="Normal 5 4 3 9" xfId="6855" xr:uid="{B3917189-1E21-46EB-AEFB-14CEE004255B}"/>
    <cellStyle name="Normal 5 4 3 9 2" xfId="19537" xr:uid="{C67228A8-5181-48F0-B6A5-71AF3F3AB7D3}"/>
    <cellStyle name="Normal 5 4 3 9 2 2" xfId="45029" xr:uid="{447C3FC2-255C-4D36-BF0A-1B9F32D65DAA}"/>
    <cellStyle name="Normal 5 4 3 9 3" xfId="32438" xr:uid="{F9F26903-F27F-4124-88B0-3E5568135F9D}"/>
    <cellStyle name="Normal 5 4 4" xfId="1010" xr:uid="{EF746515-3020-4420-B6CF-679EE0F85233}"/>
    <cellStyle name="Normal 5 4 4 2" xfId="2317" xr:uid="{556E968E-C0AE-4E68-B6B1-9729F778849D}"/>
    <cellStyle name="Normal 5 4 4 2 2" xfId="5471" xr:uid="{EE36D090-A734-437E-845D-21D4322F890C}"/>
    <cellStyle name="Normal 5 4 4 2 2 2" xfId="11764" xr:uid="{01988C11-526A-4063-B298-186B036AAE32}"/>
    <cellStyle name="Normal 5 4 4 2 2 2 2" xfId="24446" xr:uid="{995B8D8D-4F65-476E-A85E-CD95953EE2F0}"/>
    <cellStyle name="Normal 5 4 4 2 2 2 2 2" xfId="49938" xr:uid="{A143BE04-F8B8-4794-8028-8B7317131B70}"/>
    <cellStyle name="Normal 5 4 4 2 2 2 3" xfId="37347" xr:uid="{D3F815D1-7319-45B4-A6AB-531490C89404}"/>
    <cellStyle name="Normal 5 4 4 2 2 3" xfId="18168" xr:uid="{54D90495-AC41-4D12-BFB6-3DEA5E03231D}"/>
    <cellStyle name="Normal 5 4 4 2 2 3 2" xfId="43660" xr:uid="{F3CEB917-810B-444F-BB68-65690805D325}"/>
    <cellStyle name="Normal 5 4 4 2 2 4" xfId="31069" xr:uid="{2521233F-739E-4028-8627-D2F567C9235A}"/>
    <cellStyle name="Normal 5 4 4 2 3" xfId="8625" xr:uid="{70E91C53-DD22-4062-A571-BF5E8ACA257D}"/>
    <cellStyle name="Normal 5 4 4 2 3 2" xfId="21307" xr:uid="{21F44983-48E4-4F06-BACC-5F7CC1B83ABA}"/>
    <cellStyle name="Normal 5 4 4 2 3 2 2" xfId="46799" xr:uid="{784CDFA1-AF76-40A8-9BF2-99E55530649A}"/>
    <cellStyle name="Normal 5 4 4 2 3 3" xfId="34208" xr:uid="{A77F8E85-4742-4441-890E-EF1F717BA036}"/>
    <cellStyle name="Normal 5 4 4 2 4" xfId="15029" xr:uid="{40E0F221-53B4-4EF2-A080-B66E43B982B6}"/>
    <cellStyle name="Normal 5 4 4 2 4 2" xfId="40521" xr:uid="{E74FA0E6-68DA-4C5E-A752-2390B37D971D}"/>
    <cellStyle name="Normal 5 4 4 2 5" xfId="27930" xr:uid="{3B716417-B78D-422D-A8E9-5D51E34EBFB6}"/>
    <cellStyle name="Normal 5 4 4 3" xfId="1534" xr:uid="{0C1B8425-E5A4-4858-A5DE-86A473298A97}"/>
    <cellStyle name="Normal 5 4 4 3 2" xfId="4688" xr:uid="{9581D93A-5687-4B1A-8C9C-35023D1CD6DF}"/>
    <cellStyle name="Normal 5 4 4 3 2 2" xfId="10981" xr:uid="{1B8907EA-0C7E-43F1-A5D4-66A2D90BBF48}"/>
    <cellStyle name="Normal 5 4 4 3 2 2 2" xfId="23663" xr:uid="{26209FDE-21FD-4E63-927F-693C60A96096}"/>
    <cellStyle name="Normal 5 4 4 3 2 2 2 2" xfId="49155" xr:uid="{0E2562B3-D7E3-4AED-83E0-DD39F72E4179}"/>
    <cellStyle name="Normal 5 4 4 3 2 2 3" xfId="36564" xr:uid="{98100819-75F2-4CA2-9C87-636584C5A136}"/>
    <cellStyle name="Normal 5 4 4 3 2 3" xfId="17385" xr:uid="{B2D5490E-336F-4DE9-A690-17452425238F}"/>
    <cellStyle name="Normal 5 4 4 3 2 3 2" xfId="42877" xr:uid="{A3C44567-9FAC-46CC-908C-FDF06CE9EE8E}"/>
    <cellStyle name="Normal 5 4 4 3 2 4" xfId="30286" xr:uid="{C4535E2F-4749-4C1C-92A8-1AFA774E517E}"/>
    <cellStyle name="Normal 5 4 4 3 3" xfId="7842" xr:uid="{751426E6-68C8-4487-AE09-D047E217F131}"/>
    <cellStyle name="Normal 5 4 4 3 3 2" xfId="20524" xr:uid="{99EC558A-57F2-4318-A9B7-1D6D1BA44E2A}"/>
    <cellStyle name="Normal 5 4 4 3 3 2 2" xfId="46016" xr:uid="{D149CAF7-FD45-471E-914F-B2376B93B863}"/>
    <cellStyle name="Normal 5 4 4 3 3 3" xfId="33425" xr:uid="{0E445009-ECFD-4631-B4AD-042C6291C5B1}"/>
    <cellStyle name="Normal 5 4 4 3 4" xfId="14246" xr:uid="{17F96466-4755-46EB-B9C3-0F9D176A414B}"/>
    <cellStyle name="Normal 5 4 4 3 4 2" xfId="39738" xr:uid="{2C991F28-8CE5-4FEB-BF51-E9AF82B4FA5D}"/>
    <cellStyle name="Normal 5 4 4 3 5" xfId="27147" xr:uid="{83F5D5D1-26C7-4A5C-A279-8FF51F0FDB2C}"/>
    <cellStyle name="Normal 5 4 4 4" xfId="2841" xr:uid="{A46FF7CA-2D08-4BC4-A2B1-E857F7A698F3}"/>
    <cellStyle name="Normal 5 4 4 4 2" xfId="5995" xr:uid="{BF7148C3-E1F3-4741-94E0-1F7DDC19847F}"/>
    <cellStyle name="Normal 5 4 4 4 2 2" xfId="12288" xr:uid="{78426F1A-7C99-4FD5-9F58-4436749E35E2}"/>
    <cellStyle name="Normal 5 4 4 4 2 2 2" xfId="24970" xr:uid="{51DF38FB-5C14-481C-9FA0-0DBB74915351}"/>
    <cellStyle name="Normal 5 4 4 4 2 2 2 2" xfId="50462" xr:uid="{C3CCB42E-6605-453F-8DA7-B726F77DC9F6}"/>
    <cellStyle name="Normal 5 4 4 4 2 2 3" xfId="37871" xr:uid="{230D31C7-1EB4-4459-AAC1-4D8C5E4AA0CF}"/>
    <cellStyle name="Normal 5 4 4 4 2 3" xfId="18692" xr:uid="{97D884FC-4E3A-492F-8AF9-5841C8C1BD32}"/>
    <cellStyle name="Normal 5 4 4 4 2 3 2" xfId="44184" xr:uid="{B7555097-3BA4-4710-B1F0-60DFE74679C8}"/>
    <cellStyle name="Normal 5 4 4 4 2 4" xfId="31593" xr:uid="{49B487FC-BAC1-412B-9E4B-8F3B2F89E316}"/>
    <cellStyle name="Normal 5 4 4 4 3" xfId="9149" xr:uid="{14E7F777-DA33-418D-9127-D22B4618BE41}"/>
    <cellStyle name="Normal 5 4 4 4 3 2" xfId="21831" xr:uid="{B8A7C234-6102-4CC2-AE1E-3B893673001C}"/>
    <cellStyle name="Normal 5 4 4 4 3 2 2" xfId="47323" xr:uid="{D26C7E40-C75D-4B1B-B0E7-1AA70F42CB3F}"/>
    <cellStyle name="Normal 5 4 4 4 3 3" xfId="34732" xr:uid="{7697DE55-83C4-4EF3-B7DB-79B446F932F6}"/>
    <cellStyle name="Normal 5 4 4 4 4" xfId="15553" xr:uid="{535603DB-3E2C-49FF-9D62-A2A53F02A63C}"/>
    <cellStyle name="Normal 5 4 4 4 4 2" xfId="41045" xr:uid="{CA6BC21B-0847-4918-A306-9B4414F423A0}"/>
    <cellStyle name="Normal 5 4 4 4 5" xfId="28454" xr:uid="{322FF94B-60DC-4B75-9EBE-C7133490E958}"/>
    <cellStyle name="Normal 5 4 4 5" xfId="3364" xr:uid="{BE954E72-E311-4018-8DF9-78077EEB1E72}"/>
    <cellStyle name="Normal 5 4 4 5 2" xfId="6518" xr:uid="{45B01A7F-A472-4723-970C-6AE197E6C6FB}"/>
    <cellStyle name="Normal 5 4 4 5 2 2" xfId="12811" xr:uid="{5DF26FFD-1D0C-43F4-A5BD-1F097FE17D0E}"/>
    <cellStyle name="Normal 5 4 4 5 2 2 2" xfId="25493" xr:uid="{A0D0824F-611A-478D-AD6B-2F4B77617EC4}"/>
    <cellStyle name="Normal 5 4 4 5 2 2 2 2" xfId="50985" xr:uid="{0A420E6F-B5E5-4D82-A41D-61496D29E8E7}"/>
    <cellStyle name="Normal 5 4 4 5 2 2 3" xfId="38394" xr:uid="{29B51F80-C509-42FC-B7DC-5161F933A5BC}"/>
    <cellStyle name="Normal 5 4 4 5 2 3" xfId="19215" xr:uid="{C55EDEE3-1EA8-40C9-96C1-BB6D1E512480}"/>
    <cellStyle name="Normal 5 4 4 5 2 3 2" xfId="44707" xr:uid="{6C5D0FE8-0339-4057-A05D-D7A8D95B892A}"/>
    <cellStyle name="Normal 5 4 4 5 2 4" xfId="32116" xr:uid="{95E4A0F1-0157-445E-964E-3E39DE38884D}"/>
    <cellStyle name="Normal 5 4 4 5 3" xfId="9672" xr:uid="{27D8AAFD-FD54-46F4-8973-3B519B3385C8}"/>
    <cellStyle name="Normal 5 4 4 5 3 2" xfId="22354" xr:uid="{1CF4465F-089F-4F7A-AD95-54D55D2835F9}"/>
    <cellStyle name="Normal 5 4 4 5 3 2 2" xfId="47846" xr:uid="{C8770A16-808E-4F33-B364-CBD8B95AD25D}"/>
    <cellStyle name="Normal 5 4 4 5 3 3" xfId="35255" xr:uid="{4847F249-632C-4099-A40C-AEAB4BCF1752}"/>
    <cellStyle name="Normal 5 4 4 5 4" xfId="16076" xr:uid="{5DFF9814-2BB2-4AEA-89C6-83F5895006CD}"/>
    <cellStyle name="Normal 5 4 4 5 4 2" xfId="41568" xr:uid="{613A8884-334D-4CD4-91F4-38B74DE999A8}"/>
    <cellStyle name="Normal 5 4 4 5 5" xfId="28977" xr:uid="{4F868FE4-36CC-4143-92BF-A30A91B5703D}"/>
    <cellStyle name="Normal 5 4 4 6" xfId="4164" xr:uid="{7DDB5A68-0058-4C20-9B3C-2A967DA147AC}"/>
    <cellStyle name="Normal 5 4 4 6 2" xfId="10457" xr:uid="{910B55C0-A0AC-46FE-A6FC-19F20116CC70}"/>
    <cellStyle name="Normal 5 4 4 6 2 2" xfId="23139" xr:uid="{D1A449E7-B03C-4897-9019-DD20A5FF77F6}"/>
    <cellStyle name="Normal 5 4 4 6 2 2 2" xfId="48631" xr:uid="{3291440E-DA1C-4616-A37B-3D10B2A05656}"/>
    <cellStyle name="Normal 5 4 4 6 2 3" xfId="36040" xr:uid="{1AE6E717-58F1-4F72-8CED-A6E353596D53}"/>
    <cellStyle name="Normal 5 4 4 6 3" xfId="16861" xr:uid="{F041DA73-B4FA-4CAD-82F0-8C41C297D2AF}"/>
    <cellStyle name="Normal 5 4 4 6 3 2" xfId="42353" xr:uid="{1A47CEBC-CD84-4CFE-9217-45AE8FEF6B03}"/>
    <cellStyle name="Normal 5 4 4 6 4" xfId="29762" xr:uid="{7C65DB23-3311-4BA2-92A4-2F26DA78717E}"/>
    <cellStyle name="Normal 5 4 4 7" xfId="7318" xr:uid="{59FBC411-A779-4E2F-95C5-512111EFA43D}"/>
    <cellStyle name="Normal 5 4 4 7 2" xfId="20000" xr:uid="{9DFE0D66-CD2B-4B4E-B7A9-58D9E95E7333}"/>
    <cellStyle name="Normal 5 4 4 7 2 2" xfId="45492" xr:uid="{CAAD3BE3-B561-4EAB-9081-ECFFD234DB9C}"/>
    <cellStyle name="Normal 5 4 4 7 3" xfId="32901" xr:uid="{552B0AE5-F9A3-4EB8-A521-95B12EA1C0D9}"/>
    <cellStyle name="Normal 5 4 4 8" xfId="13722" xr:uid="{FBED95F4-548D-45B0-9BA8-9E5B682FCB02}"/>
    <cellStyle name="Normal 5 4 4 8 2" xfId="39214" xr:uid="{7C2CF72C-D8E3-470B-88EF-5133F8CBAB34}"/>
    <cellStyle name="Normal 5 4 4 9" xfId="26623" xr:uid="{B618CA0C-FA81-4485-AFAF-7DBBC1539C03}"/>
    <cellStyle name="Normal 5 4 5" xfId="750" xr:uid="{0029D911-7B76-4FEE-AB75-7FE9562D51BC}"/>
    <cellStyle name="Normal 5 4 5 2" xfId="2057" xr:uid="{E8B93338-817E-4149-A05A-56ED17E92591}"/>
    <cellStyle name="Normal 5 4 5 2 2" xfId="5211" xr:uid="{171E10C6-C392-44B9-A3EA-EBB044EA8300}"/>
    <cellStyle name="Normal 5 4 5 2 2 2" xfId="11504" xr:uid="{606194CF-E37C-4D34-9A66-E78554771232}"/>
    <cellStyle name="Normal 5 4 5 2 2 2 2" xfId="24186" xr:uid="{C4AB077A-9CCA-401F-BF76-A5264C6CBCB4}"/>
    <cellStyle name="Normal 5 4 5 2 2 2 2 2" xfId="49678" xr:uid="{695DDCBD-7432-4F2E-9D5B-0795B2C54803}"/>
    <cellStyle name="Normal 5 4 5 2 2 2 3" xfId="37087" xr:uid="{2C4C824D-0B16-4B80-8585-056A5B92650E}"/>
    <cellStyle name="Normal 5 4 5 2 2 3" xfId="17908" xr:uid="{336AB7C1-5657-4614-B626-D848ABFD7936}"/>
    <cellStyle name="Normal 5 4 5 2 2 3 2" xfId="43400" xr:uid="{F45CEFC7-2F57-4F4D-8255-281FFFC0FF27}"/>
    <cellStyle name="Normal 5 4 5 2 2 4" xfId="30809" xr:uid="{C110014F-ADC3-467B-B61B-1D8CF9E06528}"/>
    <cellStyle name="Normal 5 4 5 2 3" xfId="8365" xr:uid="{69094937-0540-4420-9A6A-630D39939ECC}"/>
    <cellStyle name="Normal 5 4 5 2 3 2" xfId="21047" xr:uid="{2C99C77D-83EA-42AA-AE15-84CA69419374}"/>
    <cellStyle name="Normal 5 4 5 2 3 2 2" xfId="46539" xr:uid="{49F7633F-34B3-4325-855C-60D71178CE6E}"/>
    <cellStyle name="Normal 5 4 5 2 3 3" xfId="33948" xr:uid="{6B007038-2AD9-418C-8E01-CD9919115D32}"/>
    <cellStyle name="Normal 5 4 5 2 4" xfId="14769" xr:uid="{2AC036DB-61F7-4D79-9CFA-42CF0C157DFA}"/>
    <cellStyle name="Normal 5 4 5 2 4 2" xfId="40261" xr:uid="{08F3653C-C244-48ED-9A6C-72DBC764B00E}"/>
    <cellStyle name="Normal 5 4 5 2 5" xfId="27670" xr:uid="{56835934-3D14-47EE-B652-5182ECD9386D}"/>
    <cellStyle name="Normal 5 4 5 3" xfId="3904" xr:uid="{AF27A274-A7EF-4177-B00B-5A76681E35A2}"/>
    <cellStyle name="Normal 5 4 5 3 2" xfId="10197" xr:uid="{45D28B97-E3DF-4B03-A35B-F2B41597A989}"/>
    <cellStyle name="Normal 5 4 5 3 2 2" xfId="22879" xr:uid="{A059001D-1565-432D-BCAD-0F625340998F}"/>
    <cellStyle name="Normal 5 4 5 3 2 2 2" xfId="48371" xr:uid="{F1073BAA-8884-4936-BA41-4C6AFCBCC490}"/>
    <cellStyle name="Normal 5 4 5 3 2 3" xfId="35780" xr:uid="{D161B6B7-9B59-4739-BDA2-EB442407AA6D}"/>
    <cellStyle name="Normal 5 4 5 3 3" xfId="16601" xr:uid="{5E0EB7C9-BB78-4ACF-B1CD-B0CB29890204}"/>
    <cellStyle name="Normal 5 4 5 3 3 2" xfId="42093" xr:uid="{3FCDFEA3-2C4F-450C-8539-4C0D76591EDE}"/>
    <cellStyle name="Normal 5 4 5 3 4" xfId="29502" xr:uid="{D548513E-890F-4B18-AE4C-2C4425B86415}"/>
    <cellStyle name="Normal 5 4 5 4" xfId="7058" xr:uid="{648069B8-82BF-44FF-978B-AA6A8F2CF917}"/>
    <cellStyle name="Normal 5 4 5 4 2" xfId="19740" xr:uid="{81A8799E-CD3A-4CCE-BF5E-EB4B0D68C129}"/>
    <cellStyle name="Normal 5 4 5 4 2 2" xfId="45232" xr:uid="{6BED25A2-8815-4754-8B44-D63F06106EB8}"/>
    <cellStyle name="Normal 5 4 5 4 3" xfId="32641" xr:uid="{D096689F-79D7-4537-AF90-DB75E60EF3C5}"/>
    <cellStyle name="Normal 5 4 5 5" xfId="13462" xr:uid="{CD7A06A4-2590-4DE9-83F4-8CA34EA943D7}"/>
    <cellStyle name="Normal 5 4 5 5 2" xfId="38954" xr:uid="{62C571EC-F9C4-4488-9358-AD25F69A7582}"/>
    <cellStyle name="Normal 5 4 5 6" xfId="26363" xr:uid="{C99E0A39-0BDB-4066-94FE-C4C1FBEA9320}"/>
    <cellStyle name="Normal 5 4 6" xfId="1795" xr:uid="{4443EAEA-709E-4B73-9B77-2B6C350A3ED5}"/>
    <cellStyle name="Normal 5 4 6 2" xfId="4949" xr:uid="{278394D4-0A58-405B-9AB8-CE59D7AD605D}"/>
    <cellStyle name="Normal 5 4 6 2 2" xfId="11242" xr:uid="{60F00FA0-73ED-4F72-A833-C253C3395760}"/>
    <cellStyle name="Normal 5 4 6 2 2 2" xfId="23924" xr:uid="{14A9AE4B-C742-4B86-880C-17A91D835475}"/>
    <cellStyle name="Normal 5 4 6 2 2 2 2" xfId="49416" xr:uid="{95631922-9C08-40DE-B245-B1589D7CBC33}"/>
    <cellStyle name="Normal 5 4 6 2 2 3" xfId="36825" xr:uid="{18FE71FE-5CD0-46F2-92AF-DE0E8D6FD8C9}"/>
    <cellStyle name="Normal 5 4 6 2 3" xfId="17646" xr:uid="{0AD8727A-9926-4F59-A990-C1DE92185FBB}"/>
    <cellStyle name="Normal 5 4 6 2 3 2" xfId="43138" xr:uid="{78BAD86F-658E-41C0-A35D-14FBB8611D38}"/>
    <cellStyle name="Normal 5 4 6 2 4" xfId="30547" xr:uid="{434C2198-4993-4ECD-A44D-0F27F7BCDA1B}"/>
    <cellStyle name="Normal 5 4 6 3" xfId="8103" xr:uid="{D546F19E-B695-4724-8C53-CDE69C7E8A3F}"/>
    <cellStyle name="Normal 5 4 6 3 2" xfId="20785" xr:uid="{7FF8F3B6-43A0-4E04-9F70-6BC6D2587854}"/>
    <cellStyle name="Normal 5 4 6 3 2 2" xfId="46277" xr:uid="{050BABAE-04D0-4D96-8CCC-8DB48BF7829F}"/>
    <cellStyle name="Normal 5 4 6 3 3" xfId="33686" xr:uid="{4D47F959-0B60-4FB3-BE87-E529BE99F6B1}"/>
    <cellStyle name="Normal 5 4 6 4" xfId="14507" xr:uid="{554A4AEF-CCB5-4755-AD60-CD762D4CB3E5}"/>
    <cellStyle name="Normal 5 4 6 4 2" xfId="39999" xr:uid="{46937A31-813C-41DC-ACF8-B480BC30589E}"/>
    <cellStyle name="Normal 5 4 6 5" xfId="27408" xr:uid="{A13A8DEE-0014-4135-97C8-1EBC39A171AF}"/>
    <cellStyle name="Normal 5 4 7" xfId="1273" xr:uid="{391428DC-EC25-4167-945B-27FE40A4468A}"/>
    <cellStyle name="Normal 5 4 7 2" xfId="4427" xr:uid="{C7FA3074-DDD9-4674-B644-FC82BA24CA4F}"/>
    <cellStyle name="Normal 5 4 7 2 2" xfId="10720" xr:uid="{1B37C532-8F9E-4630-96F8-1B1D6BC62E3A}"/>
    <cellStyle name="Normal 5 4 7 2 2 2" xfId="23402" xr:uid="{850037F8-9BFA-4CED-BBEB-52C38D3A233E}"/>
    <cellStyle name="Normal 5 4 7 2 2 2 2" xfId="48894" xr:uid="{DA7ACD19-8CC6-4754-87C0-B34EAA5B170E}"/>
    <cellStyle name="Normal 5 4 7 2 2 3" xfId="36303" xr:uid="{E1C34FB3-1107-4797-993F-70B316038E8B}"/>
    <cellStyle name="Normal 5 4 7 2 3" xfId="17124" xr:uid="{A6F41925-E9CA-440A-B610-D79C5AFF54FC}"/>
    <cellStyle name="Normal 5 4 7 2 3 2" xfId="42616" xr:uid="{5249859E-C002-4CE4-B351-337A6C3BABC2}"/>
    <cellStyle name="Normal 5 4 7 2 4" xfId="30025" xr:uid="{9522E28E-C06F-467A-AF38-20A2E74B6D85}"/>
    <cellStyle name="Normal 5 4 7 3" xfId="7581" xr:uid="{364A043E-2A74-4A79-B184-6640E0BDD42A}"/>
    <cellStyle name="Normal 5 4 7 3 2" xfId="20263" xr:uid="{46624769-2031-4FF3-A583-6E1C39204566}"/>
    <cellStyle name="Normal 5 4 7 3 2 2" xfId="45755" xr:uid="{C45C47BC-8B3B-41B1-9A7C-22338F0AE0EF}"/>
    <cellStyle name="Normal 5 4 7 3 3" xfId="33164" xr:uid="{3C2031D1-A126-4795-B79D-2C077F397D9F}"/>
    <cellStyle name="Normal 5 4 7 4" xfId="13985" xr:uid="{79669A73-D0AA-4521-8936-FEA0024363CA}"/>
    <cellStyle name="Normal 5 4 7 4 2" xfId="39477" xr:uid="{C134F767-02BA-4486-A85C-E0FF4892A1EC}"/>
    <cellStyle name="Normal 5 4 7 5" xfId="26886" xr:uid="{20C136BA-3E0B-4995-9156-9383C160D66B}"/>
    <cellStyle name="Normal 5 4 8" xfId="2580" xr:uid="{020E16F8-0DD9-4E8F-A664-16681800BFA9}"/>
    <cellStyle name="Normal 5 4 8 2" xfId="5734" xr:uid="{2A64E3A0-216F-4874-A662-E2AAAFF03056}"/>
    <cellStyle name="Normal 5 4 8 2 2" xfId="12027" xr:uid="{FF0D0D66-5C78-46F5-8A64-D44D9BAA896C}"/>
    <cellStyle name="Normal 5 4 8 2 2 2" xfId="24709" xr:uid="{2FCF37CD-00F4-4B97-8558-0DDF0DF2FDA7}"/>
    <cellStyle name="Normal 5 4 8 2 2 2 2" xfId="50201" xr:uid="{E9DA790E-DBD2-4E97-B5A8-A1170CE207AC}"/>
    <cellStyle name="Normal 5 4 8 2 2 3" xfId="37610" xr:uid="{88AC6B5F-E928-4082-92AA-04C9F48FA476}"/>
    <cellStyle name="Normal 5 4 8 2 3" xfId="18431" xr:uid="{88BAD6E5-2088-4CFE-9E77-AD8F6EC2061B}"/>
    <cellStyle name="Normal 5 4 8 2 3 2" xfId="43923" xr:uid="{49B8F4C8-F639-4AB5-A7BC-2BAE8287FBDD}"/>
    <cellStyle name="Normal 5 4 8 2 4" xfId="31332" xr:uid="{04BD1C31-6B6F-47C0-A565-D2B8DFE460C1}"/>
    <cellStyle name="Normal 5 4 8 3" xfId="8888" xr:uid="{7FCA1659-A3E3-41C0-93C9-38B909BAE5BD}"/>
    <cellStyle name="Normal 5 4 8 3 2" xfId="21570" xr:uid="{22465BDC-D81F-4BB5-86D9-490E850CE51F}"/>
    <cellStyle name="Normal 5 4 8 3 2 2" xfId="47062" xr:uid="{F818B311-0DEB-47CE-B1C9-7AF15ABDD487}"/>
    <cellStyle name="Normal 5 4 8 3 3" xfId="34471" xr:uid="{6731924A-080F-4D8E-8E0F-6D010BC00E53}"/>
    <cellStyle name="Normal 5 4 8 4" xfId="15292" xr:uid="{7F697085-0DC0-4394-B2EE-A1FCFDB487D9}"/>
    <cellStyle name="Normal 5 4 8 4 2" xfId="40784" xr:uid="{26228A7D-474A-4030-8D35-C89BCFB15DF7}"/>
    <cellStyle name="Normal 5 4 8 5" xfId="28193" xr:uid="{45825011-F5AA-4854-BA74-D14BD2A77F89}"/>
    <cellStyle name="Normal 5 4 9" xfId="3103" xr:uid="{C725D744-DAF9-4C27-8579-93FE2F113924}"/>
    <cellStyle name="Normal 5 4 9 2" xfId="6257" xr:uid="{48AB4E07-D1A4-4263-9C7E-D3EBB41AD491}"/>
    <cellStyle name="Normal 5 4 9 2 2" xfId="12550" xr:uid="{BA2F0DF4-5450-45F5-9E50-D508AD872E9B}"/>
    <cellStyle name="Normal 5 4 9 2 2 2" xfId="25232" xr:uid="{FA88967B-A177-4465-8A2F-DC7BC3BFACDE}"/>
    <cellStyle name="Normal 5 4 9 2 2 2 2" xfId="50724" xr:uid="{FCAA0507-F701-413C-A86F-ED8B5B708B98}"/>
    <cellStyle name="Normal 5 4 9 2 2 3" xfId="38133" xr:uid="{A4FE2CFE-2FCE-4EF8-8BFC-51C47C86D352}"/>
    <cellStyle name="Normal 5 4 9 2 3" xfId="18954" xr:uid="{76A649E5-AF2B-44D4-9D03-02CBD5E9BFFC}"/>
    <cellStyle name="Normal 5 4 9 2 3 2" xfId="44446" xr:uid="{4E0BB063-9836-46B8-BA25-64D484147015}"/>
    <cellStyle name="Normal 5 4 9 2 4" xfId="31855" xr:uid="{167E495A-7394-4066-AE7E-A4AE367B805F}"/>
    <cellStyle name="Normal 5 4 9 3" xfId="9411" xr:uid="{39B03E6A-1330-4F2C-874F-D3CFEE896007}"/>
    <cellStyle name="Normal 5 4 9 3 2" xfId="22093" xr:uid="{21E94858-CC95-48C8-87E2-5CC691660F74}"/>
    <cellStyle name="Normal 5 4 9 3 2 2" xfId="47585" xr:uid="{D92C4A47-0544-4E85-901D-3BC0AE403AFA}"/>
    <cellStyle name="Normal 5 4 9 3 3" xfId="34994" xr:uid="{39DE96E3-6C64-4711-AB3B-A76FADEAFE0F}"/>
    <cellStyle name="Normal 5 4 9 4" xfId="15815" xr:uid="{8021CBC0-B040-46A0-B9A1-BAE1F984F236}"/>
    <cellStyle name="Normal 5 4 9 4 2" xfId="41307" xr:uid="{29DF4279-3938-404D-A127-590C112CABAC}"/>
    <cellStyle name="Normal 5 4 9 5" xfId="28716" xr:uid="{B84A7B93-5A64-4F8F-BAF0-61111B000B70}"/>
    <cellStyle name="Normal 5 5" xfId="454" xr:uid="{980B8FBB-948E-4FE2-902E-47C0D0B04CB6}"/>
    <cellStyle name="Normal 5 5 10" xfId="6777" xr:uid="{1250B05B-7C7A-43FC-83F3-993E267E2822}"/>
    <cellStyle name="Normal 5 5 10 2" xfId="19459" xr:uid="{B06A6A05-B7B2-4949-9565-D46EACA05CEB}"/>
    <cellStyle name="Normal 5 5 10 2 2" xfId="44951" xr:uid="{5F9937B2-B232-4BC2-B4DC-70D538F149F0}"/>
    <cellStyle name="Normal 5 5 10 3" xfId="32360" xr:uid="{C45C3C43-6007-4A23-8112-8B246AB8ABEA}"/>
    <cellStyle name="Normal 5 5 11" xfId="13181" xr:uid="{1CB4A8C0-591C-4F4D-84F5-FBE22759ACBA}"/>
    <cellStyle name="Normal 5 5 11 2" xfId="38673" xr:uid="{B42BAB7B-FB8B-4746-A343-F4196A410BD5}"/>
    <cellStyle name="Normal 5 5 12" xfId="26082" xr:uid="{F1FE7CE9-646D-47CD-875D-781791340B3B}"/>
    <cellStyle name="Normal 5 5 2" xfId="613" xr:uid="{2AAF7F38-CEA7-4DAA-B847-B431ED3B8B5B}"/>
    <cellStyle name="Normal 5 5 2 10" xfId="13340" xr:uid="{96E29E6B-9C1B-4D7D-A49B-C198F815AC47}"/>
    <cellStyle name="Normal 5 5 2 10 2" xfId="38832" xr:uid="{1188B218-62A1-4DD2-97FA-D36B39BAEA6A}"/>
    <cellStyle name="Normal 5 5 2 11" xfId="26241" xr:uid="{2D90E0AA-C4CB-4345-AF5C-3642E55624CA}"/>
    <cellStyle name="Normal 5 5 2 2" xfId="1150" xr:uid="{2D1731C7-C75F-48FA-8E7F-44C8EF4AB19B}"/>
    <cellStyle name="Normal 5 5 2 2 2" xfId="2457" xr:uid="{5439061B-06B2-4972-BF17-EFCBD66FB6C0}"/>
    <cellStyle name="Normal 5 5 2 2 2 2" xfId="5611" xr:uid="{3D5365CD-2135-4260-A8D0-671BE602667E}"/>
    <cellStyle name="Normal 5 5 2 2 2 2 2" xfId="11904" xr:uid="{F8AC61A0-87D3-4FDD-A598-DE26EBBB2B4A}"/>
    <cellStyle name="Normal 5 5 2 2 2 2 2 2" xfId="24586" xr:uid="{DA9F0518-D1E8-456D-B27E-6E3FDBE60224}"/>
    <cellStyle name="Normal 5 5 2 2 2 2 2 2 2" xfId="50078" xr:uid="{9A684AF0-E553-42C2-87D3-7BA5F9A0A1F5}"/>
    <cellStyle name="Normal 5 5 2 2 2 2 2 3" xfId="37487" xr:uid="{0D90D2EF-72A3-4F58-BDA5-2309BA45E972}"/>
    <cellStyle name="Normal 5 5 2 2 2 2 3" xfId="18308" xr:uid="{1D9599F0-B155-46BA-9273-50C19002EE2A}"/>
    <cellStyle name="Normal 5 5 2 2 2 2 3 2" xfId="43800" xr:uid="{2BA268D3-377E-4401-B908-3B9E725EE882}"/>
    <cellStyle name="Normal 5 5 2 2 2 2 4" xfId="31209" xr:uid="{9C5C1FD3-32C9-4273-A514-2F37BD79771E}"/>
    <cellStyle name="Normal 5 5 2 2 2 3" xfId="8765" xr:uid="{D6CF962B-A02A-49B0-9860-29A10B6AF2DE}"/>
    <cellStyle name="Normal 5 5 2 2 2 3 2" xfId="21447" xr:uid="{FA4CDD7C-B08D-4C66-844D-19A898A129B4}"/>
    <cellStyle name="Normal 5 5 2 2 2 3 2 2" xfId="46939" xr:uid="{1DD42817-8D3C-4134-A53E-94EDD932E2FC}"/>
    <cellStyle name="Normal 5 5 2 2 2 3 3" xfId="34348" xr:uid="{E4BDD0A5-45E4-4E9D-B320-271039F9C91C}"/>
    <cellStyle name="Normal 5 5 2 2 2 4" xfId="15169" xr:uid="{1B2D0CE8-C4A2-4206-80B6-4C7A1FC7AC08}"/>
    <cellStyle name="Normal 5 5 2 2 2 4 2" xfId="40661" xr:uid="{A689BA89-9902-4417-9511-50491E96B492}"/>
    <cellStyle name="Normal 5 5 2 2 2 5" xfId="28070" xr:uid="{B5A14AC1-BC40-4421-919C-CBC63B6AF001}"/>
    <cellStyle name="Normal 5 5 2 2 3" xfId="1674" xr:uid="{917905D2-5C4A-42D2-AEAA-B02080B3E89B}"/>
    <cellStyle name="Normal 5 5 2 2 3 2" xfId="4828" xr:uid="{490EC872-E68A-490B-92C0-34DBDCB364A5}"/>
    <cellStyle name="Normal 5 5 2 2 3 2 2" xfId="11121" xr:uid="{77E85AF6-D0FD-4C5A-872E-0DBDD1B7A684}"/>
    <cellStyle name="Normal 5 5 2 2 3 2 2 2" xfId="23803" xr:uid="{610C2CC3-DACC-48CC-AD4E-ABC3D0539658}"/>
    <cellStyle name="Normal 5 5 2 2 3 2 2 2 2" xfId="49295" xr:uid="{D60A5B73-470D-47CE-9016-6EA4905412C3}"/>
    <cellStyle name="Normal 5 5 2 2 3 2 2 3" xfId="36704" xr:uid="{23185B30-327A-48E8-9941-97BAA7293A1F}"/>
    <cellStyle name="Normal 5 5 2 2 3 2 3" xfId="17525" xr:uid="{3CF474FC-B4CA-4663-8727-4D3A155B6C93}"/>
    <cellStyle name="Normal 5 5 2 2 3 2 3 2" xfId="43017" xr:uid="{A960E72A-95F0-43DF-B565-DD9CF358FD85}"/>
    <cellStyle name="Normal 5 5 2 2 3 2 4" xfId="30426" xr:uid="{F1AFEC25-8CAA-43F8-895F-5E660B6CB805}"/>
    <cellStyle name="Normal 5 5 2 2 3 3" xfId="7982" xr:uid="{002E182C-00CE-4CEE-BC1B-7D13462F7B0A}"/>
    <cellStyle name="Normal 5 5 2 2 3 3 2" xfId="20664" xr:uid="{F3F1527D-2227-4244-8065-C0D30EF072CF}"/>
    <cellStyle name="Normal 5 5 2 2 3 3 2 2" xfId="46156" xr:uid="{16D3B442-5504-434F-9D9C-E2FE01912FC2}"/>
    <cellStyle name="Normal 5 5 2 2 3 3 3" xfId="33565" xr:uid="{9308325E-6A53-4939-A078-69A10EA43F08}"/>
    <cellStyle name="Normal 5 5 2 2 3 4" xfId="14386" xr:uid="{A95C0F6F-BE26-487B-9ECE-AD9482906610}"/>
    <cellStyle name="Normal 5 5 2 2 3 4 2" xfId="39878" xr:uid="{E4506896-6474-4D43-8A15-5AA8378895E6}"/>
    <cellStyle name="Normal 5 5 2 2 3 5" xfId="27287" xr:uid="{349CDBD8-AC54-416A-BECD-1F358346B843}"/>
    <cellStyle name="Normal 5 5 2 2 4" xfId="2981" xr:uid="{E387C61E-0362-4422-B378-4BF1D472B630}"/>
    <cellStyle name="Normal 5 5 2 2 4 2" xfId="6135" xr:uid="{80053D06-634E-45B6-822D-BF3FB1096B69}"/>
    <cellStyle name="Normal 5 5 2 2 4 2 2" xfId="12428" xr:uid="{979CFD56-E560-40C3-AE63-4CFC6D561C9B}"/>
    <cellStyle name="Normal 5 5 2 2 4 2 2 2" xfId="25110" xr:uid="{668D3521-7FE2-4521-AEAB-CE0CC77F4B01}"/>
    <cellStyle name="Normal 5 5 2 2 4 2 2 2 2" xfId="50602" xr:uid="{5E81E9C1-7834-4B53-A0D5-3EA96289457A}"/>
    <cellStyle name="Normal 5 5 2 2 4 2 2 3" xfId="38011" xr:uid="{A4FC8F31-ECEC-4CF6-B519-9219D60550E7}"/>
    <cellStyle name="Normal 5 5 2 2 4 2 3" xfId="18832" xr:uid="{DD471827-5727-4377-B1DB-4A9ED6941992}"/>
    <cellStyle name="Normal 5 5 2 2 4 2 3 2" xfId="44324" xr:uid="{C633CA18-C3E2-4502-A52B-6E62DA137350}"/>
    <cellStyle name="Normal 5 5 2 2 4 2 4" xfId="31733" xr:uid="{EBC9A9C0-0940-4186-93B4-EAC2063D53DD}"/>
    <cellStyle name="Normal 5 5 2 2 4 3" xfId="9289" xr:uid="{7637407A-5DD6-4CEA-8A49-EFACFFAB6427}"/>
    <cellStyle name="Normal 5 5 2 2 4 3 2" xfId="21971" xr:uid="{43C44E9A-F9E4-4165-B4F7-045C6D68B682}"/>
    <cellStyle name="Normal 5 5 2 2 4 3 2 2" xfId="47463" xr:uid="{3B118C04-9D59-4537-8750-90FC2987637A}"/>
    <cellStyle name="Normal 5 5 2 2 4 3 3" xfId="34872" xr:uid="{577640B2-081A-4205-BC9C-C3CF635179C3}"/>
    <cellStyle name="Normal 5 5 2 2 4 4" xfId="15693" xr:uid="{3C859A8A-0722-4578-8365-78AAC23ED289}"/>
    <cellStyle name="Normal 5 5 2 2 4 4 2" xfId="41185" xr:uid="{BD7ED93C-16C3-4764-A39F-5F3E730AA139}"/>
    <cellStyle name="Normal 5 5 2 2 4 5" xfId="28594" xr:uid="{BED7EA84-06DA-4F9C-9036-717757EBE8AA}"/>
    <cellStyle name="Normal 5 5 2 2 5" xfId="3504" xr:uid="{59E138ED-A610-4067-BB61-198BD7330473}"/>
    <cellStyle name="Normal 5 5 2 2 5 2" xfId="6658" xr:uid="{88BC3E86-97B8-42C7-AA1F-A400C2E41A2A}"/>
    <cellStyle name="Normal 5 5 2 2 5 2 2" xfId="12951" xr:uid="{BDE0A9DB-8C29-4024-B993-A155ED5F8891}"/>
    <cellStyle name="Normal 5 5 2 2 5 2 2 2" xfId="25633" xr:uid="{5AA78ACA-E494-4C0F-AFB3-7512521A9690}"/>
    <cellStyle name="Normal 5 5 2 2 5 2 2 2 2" xfId="51125" xr:uid="{8B4719DE-68B4-42BD-87A0-D8AF1E4B29B3}"/>
    <cellStyle name="Normal 5 5 2 2 5 2 2 3" xfId="38534" xr:uid="{992AF9D9-727E-4D47-AB7C-BBB85EAFB87B}"/>
    <cellStyle name="Normal 5 5 2 2 5 2 3" xfId="19355" xr:uid="{7965D01B-B20B-4612-97B0-50135F5D8960}"/>
    <cellStyle name="Normal 5 5 2 2 5 2 3 2" xfId="44847" xr:uid="{DB9BE03E-BC63-4EBE-A706-0B0EA12198B4}"/>
    <cellStyle name="Normal 5 5 2 2 5 2 4" xfId="32256" xr:uid="{1E1EAFF7-0636-4B6B-9B11-39CD45D67158}"/>
    <cellStyle name="Normal 5 5 2 2 5 3" xfId="9812" xr:uid="{8C3846F3-2C24-4B88-82F5-8DB63E026B35}"/>
    <cellStyle name="Normal 5 5 2 2 5 3 2" xfId="22494" xr:uid="{56E86A7B-E5A5-40E3-ACA1-BBEE5675391F}"/>
    <cellStyle name="Normal 5 5 2 2 5 3 2 2" xfId="47986" xr:uid="{88A11FBC-B0AC-4B60-8D78-A5851E1DE6C2}"/>
    <cellStyle name="Normal 5 5 2 2 5 3 3" xfId="35395" xr:uid="{B861320E-4D26-4213-9C40-7E13133187D6}"/>
    <cellStyle name="Normal 5 5 2 2 5 4" xfId="16216" xr:uid="{95C6F498-7D9E-4B90-B2D8-5D4F9E4228FB}"/>
    <cellStyle name="Normal 5 5 2 2 5 4 2" xfId="41708" xr:uid="{9AEF7790-4D45-48D5-8D7C-CD44C7158B2C}"/>
    <cellStyle name="Normal 5 5 2 2 5 5" xfId="29117" xr:uid="{54EB0CDA-D5F7-4DE8-8FB6-3894ACDE102C}"/>
    <cellStyle name="Normal 5 5 2 2 6" xfId="4304" xr:uid="{75476B01-ECAF-4B53-BC39-9C0815BE11CA}"/>
    <cellStyle name="Normal 5 5 2 2 6 2" xfId="10597" xr:uid="{A325DB10-A8C2-4ACC-8A01-41C6921BA139}"/>
    <cellStyle name="Normal 5 5 2 2 6 2 2" xfId="23279" xr:uid="{DDA9C920-791E-4670-8216-E57FF37467A7}"/>
    <cellStyle name="Normal 5 5 2 2 6 2 2 2" xfId="48771" xr:uid="{9AF5DA22-4C33-4D32-8784-309A8950F5A5}"/>
    <cellStyle name="Normal 5 5 2 2 6 2 3" xfId="36180" xr:uid="{81A9A6DB-4DDD-49F5-BE15-38DAE271F409}"/>
    <cellStyle name="Normal 5 5 2 2 6 3" xfId="17001" xr:uid="{2252E49B-3E2B-4062-82DC-6B5C1BF76D97}"/>
    <cellStyle name="Normal 5 5 2 2 6 3 2" xfId="42493" xr:uid="{B8C01EC1-F405-4BBA-96B9-2395BD3EE020}"/>
    <cellStyle name="Normal 5 5 2 2 6 4" xfId="29902" xr:uid="{7FD7DC5A-187B-43E9-9FB3-1C9C94801D8F}"/>
    <cellStyle name="Normal 5 5 2 2 7" xfId="7458" xr:uid="{92AF1E7E-2417-40AD-974D-B4FE337E0C41}"/>
    <cellStyle name="Normal 5 5 2 2 7 2" xfId="20140" xr:uid="{2624226D-B32A-4635-B491-A099F1902B27}"/>
    <cellStyle name="Normal 5 5 2 2 7 2 2" xfId="45632" xr:uid="{230780DE-2FBC-4EB8-B22D-1D8F883015F7}"/>
    <cellStyle name="Normal 5 5 2 2 7 3" xfId="33041" xr:uid="{83107E2A-758E-4123-BA32-519E65E378FB}"/>
    <cellStyle name="Normal 5 5 2 2 8" xfId="13862" xr:uid="{1A939BCF-CD7B-4239-B7D0-3DF6C5CADBFE}"/>
    <cellStyle name="Normal 5 5 2 2 8 2" xfId="39354" xr:uid="{1CD90F75-5D1D-48AC-9BDD-21F03CC575BE}"/>
    <cellStyle name="Normal 5 5 2 2 9" xfId="26763" xr:uid="{D9883E45-0C37-479F-B5D4-CEC514005269}"/>
    <cellStyle name="Normal 5 5 2 3" xfId="890" xr:uid="{BB30EB89-F5D4-46D7-AEA7-3C7EDE4740EE}"/>
    <cellStyle name="Normal 5 5 2 3 2" xfId="2197" xr:uid="{79C61773-26AE-49B2-8555-F6A8D740E7B1}"/>
    <cellStyle name="Normal 5 5 2 3 2 2" xfId="5351" xr:uid="{BDA2A8EE-C6BA-47C3-95EF-C3323CDF52D5}"/>
    <cellStyle name="Normal 5 5 2 3 2 2 2" xfId="11644" xr:uid="{42B61A52-EA52-4529-BC80-01573E85AF30}"/>
    <cellStyle name="Normal 5 5 2 3 2 2 2 2" xfId="24326" xr:uid="{02008DF3-24C8-4FE9-BDAC-2F96C093A9D5}"/>
    <cellStyle name="Normal 5 5 2 3 2 2 2 2 2" xfId="49818" xr:uid="{AB67A563-5581-477E-9053-64B0BC280D19}"/>
    <cellStyle name="Normal 5 5 2 3 2 2 2 3" xfId="37227" xr:uid="{0C9D68DB-F277-4C7C-860E-0A9CFCCAF93A}"/>
    <cellStyle name="Normal 5 5 2 3 2 2 3" xfId="18048" xr:uid="{45D2473F-0C4F-418C-A5E4-6A9424638E8E}"/>
    <cellStyle name="Normal 5 5 2 3 2 2 3 2" xfId="43540" xr:uid="{0603D057-3AE5-4B77-BBFC-585851901587}"/>
    <cellStyle name="Normal 5 5 2 3 2 2 4" xfId="30949" xr:uid="{ACEA2BA1-90F5-4089-891F-85DD9A0E4366}"/>
    <cellStyle name="Normal 5 5 2 3 2 3" xfId="8505" xr:uid="{078515C0-9258-4879-B88B-B71B5D8FE9EC}"/>
    <cellStyle name="Normal 5 5 2 3 2 3 2" xfId="21187" xr:uid="{83E04BC9-1BAC-4058-B9EF-B5C22055E688}"/>
    <cellStyle name="Normal 5 5 2 3 2 3 2 2" xfId="46679" xr:uid="{00124BA4-DEB3-487E-B09A-77156095E425}"/>
    <cellStyle name="Normal 5 5 2 3 2 3 3" xfId="34088" xr:uid="{28441B94-21E8-4CED-9F2D-C61CB7C15A40}"/>
    <cellStyle name="Normal 5 5 2 3 2 4" xfId="14909" xr:uid="{D4EB2FF8-AB1E-4EC0-962E-9D2FB11F2DA4}"/>
    <cellStyle name="Normal 5 5 2 3 2 4 2" xfId="40401" xr:uid="{E9EB819A-D29A-4C99-897F-7D1E6AAF5C50}"/>
    <cellStyle name="Normal 5 5 2 3 2 5" xfId="27810" xr:uid="{06FAC1D5-7FFB-4487-97F0-C6FF486BD246}"/>
    <cellStyle name="Normal 5 5 2 3 3" xfId="4044" xr:uid="{A7B1779B-9D01-48B8-BD59-C86EE2A9B9EB}"/>
    <cellStyle name="Normal 5 5 2 3 3 2" xfId="10337" xr:uid="{32DC5501-1B32-425D-A69A-9543912424A0}"/>
    <cellStyle name="Normal 5 5 2 3 3 2 2" xfId="23019" xr:uid="{CB8A8E73-AAE9-4287-BA90-8B1862F650B9}"/>
    <cellStyle name="Normal 5 5 2 3 3 2 2 2" xfId="48511" xr:uid="{512CD0B2-D54F-4980-B3A4-B89D0F7E43B6}"/>
    <cellStyle name="Normal 5 5 2 3 3 2 3" xfId="35920" xr:uid="{29C08483-640D-4650-86FD-92D7E054847B}"/>
    <cellStyle name="Normal 5 5 2 3 3 3" xfId="16741" xr:uid="{51747F6B-5836-4D37-A441-A8DE53F9B314}"/>
    <cellStyle name="Normal 5 5 2 3 3 3 2" xfId="42233" xr:uid="{92677EA6-9CCF-4487-A4E4-ABE3F965C612}"/>
    <cellStyle name="Normal 5 5 2 3 3 4" xfId="29642" xr:uid="{43D7B80A-22FB-420D-9BEA-EE3746F3DF80}"/>
    <cellStyle name="Normal 5 5 2 3 4" xfId="7198" xr:uid="{EC8761A7-35A9-4EF4-9D0A-E60E4395B521}"/>
    <cellStyle name="Normal 5 5 2 3 4 2" xfId="19880" xr:uid="{9F6BD905-DECC-4D10-857A-B7EDAAB94224}"/>
    <cellStyle name="Normal 5 5 2 3 4 2 2" xfId="45372" xr:uid="{AED8DAB3-DC70-4D0E-9EE3-385A65F7D188}"/>
    <cellStyle name="Normal 5 5 2 3 4 3" xfId="32781" xr:uid="{C1709729-85C1-457B-9177-1B82AC6D7773}"/>
    <cellStyle name="Normal 5 5 2 3 5" xfId="13602" xr:uid="{CCA243E2-E926-4387-AC40-8A8B029A71D3}"/>
    <cellStyle name="Normal 5 5 2 3 5 2" xfId="39094" xr:uid="{4A0A57F4-4450-4AE2-ACF1-9F0D1B055FA6}"/>
    <cellStyle name="Normal 5 5 2 3 6" xfId="26503" xr:uid="{337CB09D-4300-4C89-B543-C7BE48205C84}"/>
    <cellStyle name="Normal 5 5 2 4" xfId="1935" xr:uid="{56B622C5-AA33-464D-B1E5-9BEA800CCFDE}"/>
    <cellStyle name="Normal 5 5 2 4 2" xfId="5089" xr:uid="{E050C04F-9521-470A-B75E-E8CBD301B72F}"/>
    <cellStyle name="Normal 5 5 2 4 2 2" xfId="11382" xr:uid="{AF85C388-7CE5-499E-B01F-EBEC4A5B37E1}"/>
    <cellStyle name="Normal 5 5 2 4 2 2 2" xfId="24064" xr:uid="{0ACC3803-BFF0-4E0C-9642-1A24B770F3E6}"/>
    <cellStyle name="Normal 5 5 2 4 2 2 2 2" xfId="49556" xr:uid="{BD597C09-F2D2-4852-B2A9-43EF7E1D9D12}"/>
    <cellStyle name="Normal 5 5 2 4 2 2 3" xfId="36965" xr:uid="{F27C1BA6-6820-4256-8AD4-3D6B6007CE39}"/>
    <cellStyle name="Normal 5 5 2 4 2 3" xfId="17786" xr:uid="{FA3669B3-002B-45CF-B9BF-2C066C879631}"/>
    <cellStyle name="Normal 5 5 2 4 2 3 2" xfId="43278" xr:uid="{49C1E7D8-9A10-4EF8-AA2C-1EC2516FBF02}"/>
    <cellStyle name="Normal 5 5 2 4 2 4" xfId="30687" xr:uid="{5ABA0FF0-EF78-4455-B166-A5E36AFE191B}"/>
    <cellStyle name="Normal 5 5 2 4 3" xfId="8243" xr:uid="{29BF8044-BE94-49F1-B248-FBDFA8FB8643}"/>
    <cellStyle name="Normal 5 5 2 4 3 2" xfId="20925" xr:uid="{38AE7D32-17B0-4AA7-83A8-4A845DE2E91F}"/>
    <cellStyle name="Normal 5 5 2 4 3 2 2" xfId="46417" xr:uid="{92307DEE-8BC7-49EA-9A68-43D3DD298C22}"/>
    <cellStyle name="Normal 5 5 2 4 3 3" xfId="33826" xr:uid="{EE6648E1-5E02-4CA0-9C4E-36FE97EC2D55}"/>
    <cellStyle name="Normal 5 5 2 4 4" xfId="14647" xr:uid="{2DCE29A3-D86B-411F-A5A6-895F9213A5DE}"/>
    <cellStyle name="Normal 5 5 2 4 4 2" xfId="40139" xr:uid="{32A09EC0-CFE4-45AB-BCF1-EEF556FE83CD}"/>
    <cellStyle name="Normal 5 5 2 4 5" xfId="27548" xr:uid="{796BD2E1-9BA2-4241-95AB-513BC6FE39DA}"/>
    <cellStyle name="Normal 5 5 2 5" xfId="1413" xr:uid="{D813B39B-DCC2-4463-BD64-B976BF8FABD3}"/>
    <cellStyle name="Normal 5 5 2 5 2" xfId="4567" xr:uid="{81E0EEE9-443A-4363-9B4B-A979AF2F6A97}"/>
    <cellStyle name="Normal 5 5 2 5 2 2" xfId="10860" xr:uid="{2C7AB241-820D-42E1-9478-6F5F72662B68}"/>
    <cellStyle name="Normal 5 5 2 5 2 2 2" xfId="23542" xr:uid="{41106BB1-1466-499A-B704-02D9A63C03FD}"/>
    <cellStyle name="Normal 5 5 2 5 2 2 2 2" xfId="49034" xr:uid="{727DB3EB-8B5C-4934-9E2D-6ACDD0B6D26C}"/>
    <cellStyle name="Normal 5 5 2 5 2 2 3" xfId="36443" xr:uid="{321BFE1A-9AE5-4BEF-AACF-0CA55A214EC2}"/>
    <cellStyle name="Normal 5 5 2 5 2 3" xfId="17264" xr:uid="{41479822-99A6-4F1D-A59D-E6A6DC6014AB}"/>
    <cellStyle name="Normal 5 5 2 5 2 3 2" xfId="42756" xr:uid="{D0149D8C-58FD-43AF-B7B0-08F7043C73F7}"/>
    <cellStyle name="Normal 5 5 2 5 2 4" xfId="30165" xr:uid="{F060AA95-FFB3-46B8-A3B4-46E92F3999E0}"/>
    <cellStyle name="Normal 5 5 2 5 3" xfId="7721" xr:uid="{0C30C9B8-5A63-4D37-9F9B-4F080FD5C73B}"/>
    <cellStyle name="Normal 5 5 2 5 3 2" xfId="20403" xr:uid="{CB197D62-2FD3-45F5-BD56-89C9681898A6}"/>
    <cellStyle name="Normal 5 5 2 5 3 2 2" xfId="45895" xr:uid="{84C464BB-1942-4D80-8902-3236E146AD8E}"/>
    <cellStyle name="Normal 5 5 2 5 3 3" xfId="33304" xr:uid="{6116D029-CA7F-4461-949B-50A0AF2EB4EE}"/>
    <cellStyle name="Normal 5 5 2 5 4" xfId="14125" xr:uid="{319C9E47-986D-481B-8E30-DB6A1DA6ABEC}"/>
    <cellStyle name="Normal 5 5 2 5 4 2" xfId="39617" xr:uid="{7BFF8410-3C31-42F0-9DE5-86B454BA4F14}"/>
    <cellStyle name="Normal 5 5 2 5 5" xfId="27026" xr:uid="{3C03382B-AA34-4B9B-9E49-353495DA029C}"/>
    <cellStyle name="Normal 5 5 2 6" xfId="2720" xr:uid="{722C1DCA-0E00-4D53-8ADC-4415414C1DF8}"/>
    <cellStyle name="Normal 5 5 2 6 2" xfId="5874" xr:uid="{4A32549A-0991-4695-B4E0-8E1DF60E50B5}"/>
    <cellStyle name="Normal 5 5 2 6 2 2" xfId="12167" xr:uid="{45617041-0CCD-4032-9493-D6654643D2B4}"/>
    <cellStyle name="Normal 5 5 2 6 2 2 2" xfId="24849" xr:uid="{DA2767C5-2C34-4CD0-8B23-6DC312906606}"/>
    <cellStyle name="Normal 5 5 2 6 2 2 2 2" xfId="50341" xr:uid="{777922BE-4ADB-492F-8C7B-476EEE40F656}"/>
    <cellStyle name="Normal 5 5 2 6 2 2 3" xfId="37750" xr:uid="{95C67E53-40A3-4CF0-B521-086C70888981}"/>
    <cellStyle name="Normal 5 5 2 6 2 3" xfId="18571" xr:uid="{BE891B12-1BC1-47B9-8D03-665B5469E954}"/>
    <cellStyle name="Normal 5 5 2 6 2 3 2" xfId="44063" xr:uid="{F380CFF1-5778-4F4C-8017-6C7C6100829A}"/>
    <cellStyle name="Normal 5 5 2 6 2 4" xfId="31472" xr:uid="{9C851C88-B424-4077-BF17-FDA891E37B9E}"/>
    <cellStyle name="Normal 5 5 2 6 3" xfId="9028" xr:uid="{7456B0E2-8EA0-47DF-BF04-D274DD069386}"/>
    <cellStyle name="Normal 5 5 2 6 3 2" xfId="21710" xr:uid="{2EF38317-83CA-4E56-A467-C2C5E9E9884D}"/>
    <cellStyle name="Normal 5 5 2 6 3 2 2" xfId="47202" xr:uid="{26A70F05-DFAC-4EEB-B723-568BA822E2B1}"/>
    <cellStyle name="Normal 5 5 2 6 3 3" xfId="34611" xr:uid="{AE4608E1-2171-4405-A1A6-D1CC15848C8E}"/>
    <cellStyle name="Normal 5 5 2 6 4" xfId="15432" xr:uid="{45086077-03DF-4F67-A504-2A2F3F721006}"/>
    <cellStyle name="Normal 5 5 2 6 4 2" xfId="40924" xr:uid="{EBCAE58F-DEB1-4D2A-974B-A09A6489D843}"/>
    <cellStyle name="Normal 5 5 2 6 5" xfId="28333" xr:uid="{E047BE93-D34F-4F00-A24E-5083D577303C}"/>
    <cellStyle name="Normal 5 5 2 7" xfId="3243" xr:uid="{9BE12385-3851-465E-8B77-98A36A89587E}"/>
    <cellStyle name="Normal 5 5 2 7 2" xfId="6397" xr:uid="{D5A58A77-80BA-4DFA-8F01-72D132B9701D}"/>
    <cellStyle name="Normal 5 5 2 7 2 2" xfId="12690" xr:uid="{B16159D5-D95D-49C6-AECE-E410A9F13BEB}"/>
    <cellStyle name="Normal 5 5 2 7 2 2 2" xfId="25372" xr:uid="{1A99298E-9571-404F-B47E-21FA7D4D2091}"/>
    <cellStyle name="Normal 5 5 2 7 2 2 2 2" xfId="50864" xr:uid="{BC301411-FFF2-4A90-A039-4E0B52985B4C}"/>
    <cellStyle name="Normal 5 5 2 7 2 2 3" xfId="38273" xr:uid="{73C8FF81-57D0-46EF-96CF-814ACD47D90E}"/>
    <cellStyle name="Normal 5 5 2 7 2 3" xfId="19094" xr:uid="{2B6FF3C7-632E-494D-9AD6-DEB6FBE0C6F6}"/>
    <cellStyle name="Normal 5 5 2 7 2 3 2" xfId="44586" xr:uid="{EAAC39FE-FF81-4E02-86AE-2F39CE9D41BD}"/>
    <cellStyle name="Normal 5 5 2 7 2 4" xfId="31995" xr:uid="{6B06F8D3-3B1C-46D8-BD1F-5DD46BCA7F08}"/>
    <cellStyle name="Normal 5 5 2 7 3" xfId="9551" xr:uid="{F19BF9D9-5805-4DD9-A4B5-56F8B4CFCA3D}"/>
    <cellStyle name="Normal 5 5 2 7 3 2" xfId="22233" xr:uid="{FC096581-F97C-4F99-A225-043BBA3CDC1F}"/>
    <cellStyle name="Normal 5 5 2 7 3 2 2" xfId="47725" xr:uid="{DFA295C2-3AFA-4126-8E57-76584B515265}"/>
    <cellStyle name="Normal 5 5 2 7 3 3" xfId="35134" xr:uid="{4ABB5E2E-DB5A-4832-A17D-FB4F70DAC055}"/>
    <cellStyle name="Normal 5 5 2 7 4" xfId="15955" xr:uid="{2542BB31-8E96-4CFC-A38E-0AB2AB3B72A5}"/>
    <cellStyle name="Normal 5 5 2 7 4 2" xfId="41447" xr:uid="{E2916BAC-3DEC-4E0D-99D0-0EB360EFB5C0}"/>
    <cellStyle name="Normal 5 5 2 7 5" xfId="28856" xr:uid="{36D76B82-0F74-4B94-91D8-F79CC666A934}"/>
    <cellStyle name="Normal 5 5 2 8" xfId="3782" xr:uid="{8BF102F2-6BA1-47F8-9CDA-8EFF59F7C00B}"/>
    <cellStyle name="Normal 5 5 2 8 2" xfId="10075" xr:uid="{166064CC-609A-47CD-B8B2-6C0B64F81C90}"/>
    <cellStyle name="Normal 5 5 2 8 2 2" xfId="22757" xr:uid="{EB7ECA87-3D85-40BB-B90B-EFC29E18601F}"/>
    <cellStyle name="Normal 5 5 2 8 2 2 2" xfId="48249" xr:uid="{C3713436-9716-47A0-A929-0F101F0F4833}"/>
    <cellStyle name="Normal 5 5 2 8 2 3" xfId="35658" xr:uid="{EE80FF69-DA6D-4D45-9C2B-D71A911368BB}"/>
    <cellStyle name="Normal 5 5 2 8 3" xfId="16479" xr:uid="{04007B1D-04BD-4BFE-9414-F5ED446C9BD6}"/>
    <cellStyle name="Normal 5 5 2 8 3 2" xfId="41971" xr:uid="{CCC6A0B7-9064-4C89-8E42-97052927A753}"/>
    <cellStyle name="Normal 5 5 2 8 4" xfId="29380" xr:uid="{A58423AE-892F-44A8-A6EA-7A959EDCE6FF}"/>
    <cellStyle name="Normal 5 5 2 9" xfId="6936" xr:uid="{C635E891-9A78-4439-AC41-8EF483AD7DE5}"/>
    <cellStyle name="Normal 5 5 2 9 2" xfId="19618" xr:uid="{DD34D376-9DC6-4756-B66A-18F8F8DD90BB}"/>
    <cellStyle name="Normal 5 5 2 9 2 2" xfId="45110" xr:uid="{507F16C4-A87C-4D3F-93C0-99F4B820F6B2}"/>
    <cellStyle name="Normal 5 5 2 9 3" xfId="32519" xr:uid="{DE4170CA-58AA-485A-BD9A-A6ED05DC33BA}"/>
    <cellStyle name="Normal 5 5 3" xfId="991" xr:uid="{7194DFB3-6A32-4D6C-828B-837429D65814}"/>
    <cellStyle name="Normal 5 5 3 2" xfId="2298" xr:uid="{5F1B7F10-D9FB-4296-91D0-26BB5424B440}"/>
    <cellStyle name="Normal 5 5 3 2 2" xfId="5452" xr:uid="{EE31FE7F-685E-46BD-B096-D730B51D1EAA}"/>
    <cellStyle name="Normal 5 5 3 2 2 2" xfId="11745" xr:uid="{63371F2A-FDA7-40C7-9371-AE48C5697004}"/>
    <cellStyle name="Normal 5 5 3 2 2 2 2" xfId="24427" xr:uid="{06540F86-1EDF-440B-ACBE-BDACC7A3FF39}"/>
    <cellStyle name="Normal 5 5 3 2 2 2 2 2" xfId="49919" xr:uid="{A6263E0F-D277-4A6A-8AAD-457C0F0982F8}"/>
    <cellStyle name="Normal 5 5 3 2 2 2 3" xfId="37328" xr:uid="{BC98BF6E-71C6-40E1-A0A7-3E9836D27814}"/>
    <cellStyle name="Normal 5 5 3 2 2 3" xfId="18149" xr:uid="{420E2A41-2FCF-4C4A-BD16-FAA1C2ADF5ED}"/>
    <cellStyle name="Normal 5 5 3 2 2 3 2" xfId="43641" xr:uid="{61A54508-B045-46EE-9EED-E900D1630086}"/>
    <cellStyle name="Normal 5 5 3 2 2 4" xfId="31050" xr:uid="{A5B6FAB1-AF7F-4408-8DF3-D916A247B9AD}"/>
    <cellStyle name="Normal 5 5 3 2 3" xfId="8606" xr:uid="{7F7503DC-314D-44FE-8277-1437AAACC839}"/>
    <cellStyle name="Normal 5 5 3 2 3 2" xfId="21288" xr:uid="{A2C34C94-F50C-472F-80E8-EC4172D6F6D9}"/>
    <cellStyle name="Normal 5 5 3 2 3 2 2" xfId="46780" xr:uid="{01454AEA-0925-4D79-8427-A59F22DE1B1C}"/>
    <cellStyle name="Normal 5 5 3 2 3 3" xfId="34189" xr:uid="{CBF4E7A9-F25E-4200-99DB-4AC037D1FDEE}"/>
    <cellStyle name="Normal 5 5 3 2 4" xfId="15010" xr:uid="{ABF0F6A1-3132-431D-911E-85E4A68AD5DD}"/>
    <cellStyle name="Normal 5 5 3 2 4 2" xfId="40502" xr:uid="{96AD9EEE-87FA-4F6F-82FA-BF27A5537546}"/>
    <cellStyle name="Normal 5 5 3 2 5" xfId="27911" xr:uid="{C9373A49-5C4C-4FBA-862C-7511EA3086D5}"/>
    <cellStyle name="Normal 5 5 3 3" xfId="1515" xr:uid="{6AA41944-175C-43C0-B1B1-0ED00467BE6B}"/>
    <cellStyle name="Normal 5 5 3 3 2" xfId="4669" xr:uid="{4F279495-68B5-41BE-80F1-B33DA2067AE6}"/>
    <cellStyle name="Normal 5 5 3 3 2 2" xfId="10962" xr:uid="{5A9DCC4B-8EC1-4DC5-AE3A-FCC7B5AC3CDE}"/>
    <cellStyle name="Normal 5 5 3 3 2 2 2" xfId="23644" xr:uid="{48D3FE13-3B82-4378-AE68-9FB05A0448DA}"/>
    <cellStyle name="Normal 5 5 3 3 2 2 2 2" xfId="49136" xr:uid="{2C4AEF2A-A6AB-44A8-8299-1C9D23C698B5}"/>
    <cellStyle name="Normal 5 5 3 3 2 2 3" xfId="36545" xr:uid="{435DD471-592A-436F-B03D-BD72B0DF2AA7}"/>
    <cellStyle name="Normal 5 5 3 3 2 3" xfId="17366" xr:uid="{6DFE2A28-B04D-4918-89AD-7B18A3806A23}"/>
    <cellStyle name="Normal 5 5 3 3 2 3 2" xfId="42858" xr:uid="{2371C0EB-69B9-4090-8AE0-C8CC3B509601}"/>
    <cellStyle name="Normal 5 5 3 3 2 4" xfId="30267" xr:uid="{1959F32C-A24B-4FBD-AE76-7989D92F2AE2}"/>
    <cellStyle name="Normal 5 5 3 3 3" xfId="7823" xr:uid="{7891E43B-0265-41A0-B4AA-0537EFF21DFE}"/>
    <cellStyle name="Normal 5 5 3 3 3 2" xfId="20505" xr:uid="{1C40D59E-2BA2-425E-A287-FA8416AAADC1}"/>
    <cellStyle name="Normal 5 5 3 3 3 2 2" xfId="45997" xr:uid="{9ED9069F-A5C6-4C38-8C19-4A6365C22875}"/>
    <cellStyle name="Normal 5 5 3 3 3 3" xfId="33406" xr:uid="{567EB5A9-19DF-4E80-899C-091896136B9F}"/>
    <cellStyle name="Normal 5 5 3 3 4" xfId="14227" xr:uid="{798B025A-C06D-46C5-B0EA-1CD682210BC0}"/>
    <cellStyle name="Normal 5 5 3 3 4 2" xfId="39719" xr:uid="{51DD908C-02B8-4BCE-8E82-A9C6536FE5F6}"/>
    <cellStyle name="Normal 5 5 3 3 5" xfId="27128" xr:uid="{8C4207A9-E738-4287-804D-5CC1325D26B9}"/>
    <cellStyle name="Normal 5 5 3 4" xfId="2822" xr:uid="{142908A1-754F-484A-8758-910477F275F6}"/>
    <cellStyle name="Normal 5 5 3 4 2" xfId="5976" xr:uid="{1E0D3F62-A78A-483A-950C-B5E913D18289}"/>
    <cellStyle name="Normal 5 5 3 4 2 2" xfId="12269" xr:uid="{0D638415-6D88-4879-BBEA-067B85FCD8F8}"/>
    <cellStyle name="Normal 5 5 3 4 2 2 2" xfId="24951" xr:uid="{112BFDAD-2514-4A83-AC23-05623D70DD99}"/>
    <cellStyle name="Normal 5 5 3 4 2 2 2 2" xfId="50443" xr:uid="{87988904-7C1B-443C-A338-560356053328}"/>
    <cellStyle name="Normal 5 5 3 4 2 2 3" xfId="37852" xr:uid="{F6B9569E-C073-4EA7-9454-67CD37E80230}"/>
    <cellStyle name="Normal 5 5 3 4 2 3" xfId="18673" xr:uid="{877FA299-905D-4B6D-857B-1C79E5C6D5F2}"/>
    <cellStyle name="Normal 5 5 3 4 2 3 2" xfId="44165" xr:uid="{0B7799A7-26AF-421E-B2E5-43C67A4CB0F8}"/>
    <cellStyle name="Normal 5 5 3 4 2 4" xfId="31574" xr:uid="{6FFC52B8-4710-4305-8AFF-DEDE8C001D4E}"/>
    <cellStyle name="Normal 5 5 3 4 3" xfId="9130" xr:uid="{20F321D6-84E4-4F86-9E1A-CB5C3D08A2B4}"/>
    <cellStyle name="Normal 5 5 3 4 3 2" xfId="21812" xr:uid="{AE3F5717-17B6-4545-97F4-0799E7C8F549}"/>
    <cellStyle name="Normal 5 5 3 4 3 2 2" xfId="47304" xr:uid="{FCCF2DBF-B4D7-48A5-A2B2-34EB598C9E33}"/>
    <cellStyle name="Normal 5 5 3 4 3 3" xfId="34713" xr:uid="{3D0C712C-BF2B-41EF-AD80-8E4B128DC4E7}"/>
    <cellStyle name="Normal 5 5 3 4 4" xfId="15534" xr:uid="{A9A0AC79-D2F9-4AA4-85B3-E0BE5783D59B}"/>
    <cellStyle name="Normal 5 5 3 4 4 2" xfId="41026" xr:uid="{420D2D6E-6917-4691-8F32-2EFFB847C90A}"/>
    <cellStyle name="Normal 5 5 3 4 5" xfId="28435" xr:uid="{8597D932-5DA9-4595-B0A7-049E5DA7EAD9}"/>
    <cellStyle name="Normal 5 5 3 5" xfId="3345" xr:uid="{D7F3C5EF-4248-44D6-8197-205D3F6DD386}"/>
    <cellStyle name="Normal 5 5 3 5 2" xfId="6499" xr:uid="{0A1C41EF-5C60-4A46-88E0-683997DBF024}"/>
    <cellStyle name="Normal 5 5 3 5 2 2" xfId="12792" xr:uid="{985C66C0-C0E7-4378-8315-EDDE4AD417BA}"/>
    <cellStyle name="Normal 5 5 3 5 2 2 2" xfId="25474" xr:uid="{698CAFDA-D6C8-4277-8494-53968D359F7E}"/>
    <cellStyle name="Normal 5 5 3 5 2 2 2 2" xfId="50966" xr:uid="{A4208ACC-591C-4443-A0E1-E0980762D155}"/>
    <cellStyle name="Normal 5 5 3 5 2 2 3" xfId="38375" xr:uid="{BE4D93A7-720A-479F-8D0F-4D2DD306A7AE}"/>
    <cellStyle name="Normal 5 5 3 5 2 3" xfId="19196" xr:uid="{F849220E-3FDD-466C-B7CF-F7623517FF2A}"/>
    <cellStyle name="Normal 5 5 3 5 2 3 2" xfId="44688" xr:uid="{FE16332C-AB7F-4E51-8875-B58BCC9F7463}"/>
    <cellStyle name="Normal 5 5 3 5 2 4" xfId="32097" xr:uid="{3E8163B1-6D59-4B83-BC6D-4851946DE16A}"/>
    <cellStyle name="Normal 5 5 3 5 3" xfId="9653" xr:uid="{E5F60363-8F2F-41FE-AC82-4064F012C2CF}"/>
    <cellStyle name="Normal 5 5 3 5 3 2" xfId="22335" xr:uid="{D24ADF54-6566-4887-BA5E-2F193311594A}"/>
    <cellStyle name="Normal 5 5 3 5 3 2 2" xfId="47827" xr:uid="{0002CCB8-D9C9-44D1-B42E-7EEE600691BA}"/>
    <cellStyle name="Normal 5 5 3 5 3 3" xfId="35236" xr:uid="{1D6A0CD1-7497-4C5B-8A51-D9606F5E1511}"/>
    <cellStyle name="Normal 5 5 3 5 4" xfId="16057" xr:uid="{3FEB2243-3ECC-4B86-9FF2-977568779C97}"/>
    <cellStyle name="Normal 5 5 3 5 4 2" xfId="41549" xr:uid="{18B10E10-CC3C-43B9-8599-1A9BED5D0542}"/>
    <cellStyle name="Normal 5 5 3 5 5" xfId="28958" xr:uid="{5C9E7B64-811B-432A-919D-D1B7913DA780}"/>
    <cellStyle name="Normal 5 5 3 6" xfId="4145" xr:uid="{9ADDABAC-DD3F-423B-9890-CC5311C1108C}"/>
    <cellStyle name="Normal 5 5 3 6 2" xfId="10438" xr:uid="{F5FBE3AC-CFE9-482F-8A6F-80194ED49679}"/>
    <cellStyle name="Normal 5 5 3 6 2 2" xfId="23120" xr:uid="{E17D1294-1CA2-4C30-BDEF-E5FC687E467D}"/>
    <cellStyle name="Normal 5 5 3 6 2 2 2" xfId="48612" xr:uid="{B1157661-50EF-4F1A-AE7A-AF5D3EB1537E}"/>
    <cellStyle name="Normal 5 5 3 6 2 3" xfId="36021" xr:uid="{AE8110A6-5E1C-4674-8315-2BD0C3DFBA0C}"/>
    <cellStyle name="Normal 5 5 3 6 3" xfId="16842" xr:uid="{2682C446-773A-44A6-A26A-D4368A2A43F7}"/>
    <cellStyle name="Normal 5 5 3 6 3 2" xfId="42334" xr:uid="{B8A1DE0B-AD7A-477B-95BA-CA02950BC3EB}"/>
    <cellStyle name="Normal 5 5 3 6 4" xfId="29743" xr:uid="{C48ECC44-9CC5-4BEE-9BCE-38AEB90DFAEB}"/>
    <cellStyle name="Normal 5 5 3 7" xfId="7299" xr:uid="{43E6C18C-7642-4AA0-A2E7-C0D47FE0E741}"/>
    <cellStyle name="Normal 5 5 3 7 2" xfId="19981" xr:uid="{4FDB65FD-7CEA-4ECE-B2C6-798506910B08}"/>
    <cellStyle name="Normal 5 5 3 7 2 2" xfId="45473" xr:uid="{475110C6-659B-46ED-BDA4-C58933121064}"/>
    <cellStyle name="Normal 5 5 3 7 3" xfId="32882" xr:uid="{FAB9A225-A7CB-4ADB-B5C8-402C0AB7B3B6}"/>
    <cellStyle name="Normal 5 5 3 8" xfId="13703" xr:uid="{A40005F6-6975-4C11-81C2-C888CCCB397C}"/>
    <cellStyle name="Normal 5 5 3 8 2" xfId="39195" xr:uid="{D11821E9-E44A-4E44-A23B-C51E440B8C43}"/>
    <cellStyle name="Normal 5 5 3 9" xfId="26604" xr:uid="{D49377BF-B811-45A9-B9A8-72D9C4906938}"/>
    <cellStyle name="Normal 5 5 4" xfId="731" xr:uid="{E60F3A7E-C575-4DFA-88FE-333136925D48}"/>
    <cellStyle name="Normal 5 5 4 2" xfId="2038" xr:uid="{884D1DDC-0654-4A92-BC9D-A36CA6871A3F}"/>
    <cellStyle name="Normal 5 5 4 2 2" xfId="5192" xr:uid="{F2DC2F7F-FFA8-446B-9752-B00B51FAA413}"/>
    <cellStyle name="Normal 5 5 4 2 2 2" xfId="11485" xr:uid="{152C3D6B-DE46-4771-BED0-7199BE53A519}"/>
    <cellStyle name="Normal 5 5 4 2 2 2 2" xfId="24167" xr:uid="{8EA1D8F8-88E7-41C1-A305-1EE643E793EF}"/>
    <cellStyle name="Normal 5 5 4 2 2 2 2 2" xfId="49659" xr:uid="{35D76BA9-E55C-4BCA-8F16-42F4ABEB6003}"/>
    <cellStyle name="Normal 5 5 4 2 2 2 3" xfId="37068" xr:uid="{B5B63A61-D575-49A0-8F21-3508B68730CB}"/>
    <cellStyle name="Normal 5 5 4 2 2 3" xfId="17889" xr:uid="{942DF3F6-B29C-4B2E-9B6C-093E2A550D42}"/>
    <cellStyle name="Normal 5 5 4 2 2 3 2" xfId="43381" xr:uid="{43148A40-C356-442A-A653-DAC3FD9D4C29}"/>
    <cellStyle name="Normal 5 5 4 2 2 4" xfId="30790" xr:uid="{35016749-6C1E-4709-B1A8-3C88896469DE}"/>
    <cellStyle name="Normal 5 5 4 2 3" xfId="8346" xr:uid="{F5E921BD-4994-44CB-9B12-4FB0ECD8E1A7}"/>
    <cellStyle name="Normal 5 5 4 2 3 2" xfId="21028" xr:uid="{C7B221C9-9314-494C-93B3-2799B62EEEE4}"/>
    <cellStyle name="Normal 5 5 4 2 3 2 2" xfId="46520" xr:uid="{08616E34-702E-4CB7-9FDD-178D760A7EA0}"/>
    <cellStyle name="Normal 5 5 4 2 3 3" xfId="33929" xr:uid="{C1E3CF0D-3339-4180-9126-AB2EC31202B2}"/>
    <cellStyle name="Normal 5 5 4 2 4" xfId="14750" xr:uid="{10A8092B-089B-48D4-A906-E4351441ED0F}"/>
    <cellStyle name="Normal 5 5 4 2 4 2" xfId="40242" xr:uid="{29284723-26DC-47F4-8D81-20C33E3D0923}"/>
    <cellStyle name="Normal 5 5 4 2 5" xfId="27651" xr:uid="{F4C66DF5-9DA3-4F68-9493-1694E29B4D1B}"/>
    <cellStyle name="Normal 5 5 4 3" xfId="3885" xr:uid="{BBC78083-2B7A-4A9F-8300-46C18448361E}"/>
    <cellStyle name="Normal 5 5 4 3 2" xfId="10178" xr:uid="{21267634-CDC5-4196-BC81-5E20670F21FB}"/>
    <cellStyle name="Normal 5 5 4 3 2 2" xfId="22860" xr:uid="{C9C8CA12-2276-4F8A-90C2-46B56EBE36B1}"/>
    <cellStyle name="Normal 5 5 4 3 2 2 2" xfId="48352" xr:uid="{2E3D03EB-F48E-4178-A28E-8846F55688DA}"/>
    <cellStyle name="Normal 5 5 4 3 2 3" xfId="35761" xr:uid="{4C7DCB51-1FB0-4B5D-8C2E-04ED1A0006DF}"/>
    <cellStyle name="Normal 5 5 4 3 3" xfId="16582" xr:uid="{E64170E8-DF2C-4B31-8338-9B4D0C2E7CC0}"/>
    <cellStyle name="Normal 5 5 4 3 3 2" xfId="42074" xr:uid="{BDF74328-E571-4831-8650-8938E0C2BA69}"/>
    <cellStyle name="Normal 5 5 4 3 4" xfId="29483" xr:uid="{D011B744-3BC0-4E1B-972E-3443488FC9DB}"/>
    <cellStyle name="Normal 5 5 4 4" xfId="7039" xr:uid="{E2EA758B-2B3B-4164-A864-6780B8DB4B50}"/>
    <cellStyle name="Normal 5 5 4 4 2" xfId="19721" xr:uid="{64FDB5F9-6A46-4C77-B09F-F98EA8BFAE27}"/>
    <cellStyle name="Normal 5 5 4 4 2 2" xfId="45213" xr:uid="{89420525-0C0A-4215-BEF2-D24AB76A90BF}"/>
    <cellStyle name="Normal 5 5 4 4 3" xfId="32622" xr:uid="{95D2FEF0-61AD-4548-9F3A-F2700CB22984}"/>
    <cellStyle name="Normal 5 5 4 5" xfId="13443" xr:uid="{57EFE2B1-2D64-4016-82E0-8C3F13E34651}"/>
    <cellStyle name="Normal 5 5 4 5 2" xfId="38935" xr:uid="{1EB702AC-7996-4DED-AAD5-F465DFCD1566}"/>
    <cellStyle name="Normal 5 5 4 6" xfId="26344" xr:uid="{DB12BF8A-1126-4209-AFDC-051C3BB368AE}"/>
    <cellStyle name="Normal 5 5 5" xfId="1776" xr:uid="{654C3588-93EB-454E-A9F3-B2D446FBAAB4}"/>
    <cellStyle name="Normal 5 5 5 2" xfId="4930" xr:uid="{2C3611EC-DE1C-45DC-80D0-7D7F209B4199}"/>
    <cellStyle name="Normal 5 5 5 2 2" xfId="11223" xr:uid="{174A77FC-E748-42DD-82B0-8DC75B8DED8E}"/>
    <cellStyle name="Normal 5 5 5 2 2 2" xfId="23905" xr:uid="{DF1A9DF9-6CB6-4483-9780-917CC20A8EFC}"/>
    <cellStyle name="Normal 5 5 5 2 2 2 2" xfId="49397" xr:uid="{DB3A31C1-84D8-41FF-9C98-CF98A694E1A8}"/>
    <cellStyle name="Normal 5 5 5 2 2 3" xfId="36806" xr:uid="{0F58DBA5-F9AA-442A-AC86-98CA8C1060A8}"/>
    <cellStyle name="Normal 5 5 5 2 3" xfId="17627" xr:uid="{53DDCFC8-E9B8-45A9-893D-0EADE1A88FB3}"/>
    <cellStyle name="Normal 5 5 5 2 3 2" xfId="43119" xr:uid="{2D2B0D9B-DD23-437F-9973-4A42F4AA595E}"/>
    <cellStyle name="Normal 5 5 5 2 4" xfId="30528" xr:uid="{C452AEEF-A488-48F5-9DE6-5EA039360B30}"/>
    <cellStyle name="Normal 5 5 5 3" xfId="8084" xr:uid="{1C8348C9-B89B-4BD6-8A47-72BB2493A1C9}"/>
    <cellStyle name="Normal 5 5 5 3 2" xfId="20766" xr:uid="{A64250D7-8EB5-465C-99D1-E98D00A5F1B4}"/>
    <cellStyle name="Normal 5 5 5 3 2 2" xfId="46258" xr:uid="{661BCCAC-844C-4534-806D-68628F429345}"/>
    <cellStyle name="Normal 5 5 5 3 3" xfId="33667" xr:uid="{614B6DAF-2E0D-46E2-80CD-9F43291CA44F}"/>
    <cellStyle name="Normal 5 5 5 4" xfId="14488" xr:uid="{2FA9F51E-474F-431E-9F57-B5C9E16F74C9}"/>
    <cellStyle name="Normal 5 5 5 4 2" xfId="39980" xr:uid="{463ED14F-AC7B-48F1-B417-3372684A778B}"/>
    <cellStyle name="Normal 5 5 5 5" xfId="27389" xr:uid="{87621514-2CDE-47B4-A351-0515180B2D63}"/>
    <cellStyle name="Normal 5 5 6" xfId="1254" xr:uid="{E4A2280C-4759-4779-9C34-8CE156271A1E}"/>
    <cellStyle name="Normal 5 5 6 2" xfId="4408" xr:uid="{3AA17F20-13CA-4B26-A1E4-8D194F53EC79}"/>
    <cellStyle name="Normal 5 5 6 2 2" xfId="10701" xr:uid="{0A10661B-EA6D-48B3-809F-9B9176FFD16A}"/>
    <cellStyle name="Normal 5 5 6 2 2 2" xfId="23383" xr:uid="{593BA0B9-30EE-4E85-B833-61789C199F53}"/>
    <cellStyle name="Normal 5 5 6 2 2 2 2" xfId="48875" xr:uid="{B6C8D39A-383B-47FF-903B-6CB4B1598DA3}"/>
    <cellStyle name="Normal 5 5 6 2 2 3" xfId="36284" xr:uid="{B466F42A-81B8-4834-B374-D72585D66315}"/>
    <cellStyle name="Normal 5 5 6 2 3" xfId="17105" xr:uid="{12BAAC04-3706-4BBA-88BD-5BBFA9456FF9}"/>
    <cellStyle name="Normal 5 5 6 2 3 2" xfId="42597" xr:uid="{FA335740-92A4-4913-BA39-9EF6821E4E1C}"/>
    <cellStyle name="Normal 5 5 6 2 4" xfId="30006" xr:uid="{4F9DA866-7243-4636-A0C4-0C0146CD3E8A}"/>
    <cellStyle name="Normal 5 5 6 3" xfId="7562" xr:uid="{3F2D8D1E-3B61-4140-A85E-A10761BF123A}"/>
    <cellStyle name="Normal 5 5 6 3 2" xfId="20244" xr:uid="{F57B66E8-D513-433C-B153-326C7F9E0010}"/>
    <cellStyle name="Normal 5 5 6 3 2 2" xfId="45736" xr:uid="{B013D931-E22C-4D5F-805A-AE20CB289E09}"/>
    <cellStyle name="Normal 5 5 6 3 3" xfId="33145" xr:uid="{6C151CD1-4F65-4D72-881E-0BD188B1AE05}"/>
    <cellStyle name="Normal 5 5 6 4" xfId="13966" xr:uid="{A354B239-1E99-45DC-BCB2-45CBCFEBDC2D}"/>
    <cellStyle name="Normal 5 5 6 4 2" xfId="39458" xr:uid="{6A1D53AD-642E-4BE6-B12C-802A10CB5948}"/>
    <cellStyle name="Normal 5 5 6 5" xfId="26867" xr:uid="{6CBD1375-310A-43AC-BE4E-8EB33C1543EE}"/>
    <cellStyle name="Normal 5 5 7" xfId="2561" xr:uid="{C02DF2AB-8787-47AB-B3A0-710392C54C14}"/>
    <cellStyle name="Normal 5 5 7 2" xfId="5715" xr:uid="{E321872F-B837-4955-9F89-4B50DF77F53D}"/>
    <cellStyle name="Normal 5 5 7 2 2" xfId="12008" xr:uid="{38E5E485-E704-45D9-9E8B-835192BFCA7C}"/>
    <cellStyle name="Normal 5 5 7 2 2 2" xfId="24690" xr:uid="{CC9569F8-FB0B-42E2-B385-0205079D36E3}"/>
    <cellStyle name="Normal 5 5 7 2 2 2 2" xfId="50182" xr:uid="{32AC9193-E9AA-4B68-8BBD-DAA2EAD23716}"/>
    <cellStyle name="Normal 5 5 7 2 2 3" xfId="37591" xr:uid="{5AC14997-9035-4167-9528-751643981F27}"/>
    <cellStyle name="Normal 5 5 7 2 3" xfId="18412" xr:uid="{2C335EFD-8F44-4CE0-833D-A63264A3A223}"/>
    <cellStyle name="Normal 5 5 7 2 3 2" xfId="43904" xr:uid="{4155C9B4-E25A-4061-BCAF-0AD29758AF26}"/>
    <cellStyle name="Normal 5 5 7 2 4" xfId="31313" xr:uid="{A913AE00-BE4F-4E3B-A61B-2DD1EBBA9ABD}"/>
    <cellStyle name="Normal 5 5 7 3" xfId="8869" xr:uid="{987B982F-11CD-46C3-974D-1A6462834FE9}"/>
    <cellStyle name="Normal 5 5 7 3 2" xfId="21551" xr:uid="{8CF09C44-883F-4B5F-BA1B-30474F2B4FD9}"/>
    <cellStyle name="Normal 5 5 7 3 2 2" xfId="47043" xr:uid="{546E25DD-4501-4428-B8E1-160DB5B6454B}"/>
    <cellStyle name="Normal 5 5 7 3 3" xfId="34452" xr:uid="{0C492B23-50C4-4BD7-8BFD-CDC17607D8F7}"/>
    <cellStyle name="Normal 5 5 7 4" xfId="15273" xr:uid="{0B05DA92-7B02-4AA9-BEE7-41E133EAF6DF}"/>
    <cellStyle name="Normal 5 5 7 4 2" xfId="40765" xr:uid="{CCFDC37B-ECA9-4D38-93A6-679835E6A73A}"/>
    <cellStyle name="Normal 5 5 7 5" xfId="28174" xr:uid="{0D38659A-6554-4888-94C8-F72D1B276BCC}"/>
    <cellStyle name="Normal 5 5 8" xfId="3084" xr:uid="{BF1203D5-D697-4612-96F5-865C0D612350}"/>
    <cellStyle name="Normal 5 5 8 2" xfId="6238" xr:uid="{88F21C03-12CF-4863-8666-B15E32EF05EE}"/>
    <cellStyle name="Normal 5 5 8 2 2" xfId="12531" xr:uid="{7507B542-CF14-4985-921C-EF24DFD68691}"/>
    <cellStyle name="Normal 5 5 8 2 2 2" xfId="25213" xr:uid="{C3BACA42-6703-4255-B607-6153D79D1F29}"/>
    <cellStyle name="Normal 5 5 8 2 2 2 2" xfId="50705" xr:uid="{FEB7FB85-F147-43FB-B562-342491DDBB11}"/>
    <cellStyle name="Normal 5 5 8 2 2 3" xfId="38114" xr:uid="{6AA29A43-1B41-41AB-8238-8CE5C0379163}"/>
    <cellStyle name="Normal 5 5 8 2 3" xfId="18935" xr:uid="{D954F0FE-4D76-4437-87A5-17E44F7461C1}"/>
    <cellStyle name="Normal 5 5 8 2 3 2" xfId="44427" xr:uid="{330BE160-1E1D-45E2-802A-F2613829085E}"/>
    <cellStyle name="Normal 5 5 8 2 4" xfId="31836" xr:uid="{F9229C86-C4BC-4F2D-BE27-DEA965BDC420}"/>
    <cellStyle name="Normal 5 5 8 3" xfId="9392" xr:uid="{EA0CA6FF-3AA1-49A3-A369-0CA652F2487A}"/>
    <cellStyle name="Normal 5 5 8 3 2" xfId="22074" xr:uid="{07B82E6E-B81B-4AF5-BCCD-B19615E608C3}"/>
    <cellStyle name="Normal 5 5 8 3 2 2" xfId="47566" xr:uid="{567B7572-97AF-48AE-98AA-B6F5533C225C}"/>
    <cellStyle name="Normal 5 5 8 3 3" xfId="34975" xr:uid="{26481968-4B41-4631-935F-2FDBB77E92F7}"/>
    <cellStyle name="Normal 5 5 8 4" xfId="15796" xr:uid="{5153CE00-47FC-420B-B83E-ADB93A841F02}"/>
    <cellStyle name="Normal 5 5 8 4 2" xfId="41288" xr:uid="{DE55EE75-DD69-43C4-B31F-B49B6F2216B0}"/>
    <cellStyle name="Normal 5 5 8 5" xfId="28697" xr:uid="{7C5F5896-CE11-41B4-B552-8DE72F2E39E6}"/>
    <cellStyle name="Normal 5 5 9" xfId="3623" xr:uid="{482C48D3-A90E-4C50-AA14-F9BC83E0CF8A}"/>
    <cellStyle name="Normal 5 5 9 2" xfId="9916" xr:uid="{6EBA2209-A406-4567-8FCF-4D2D13B375BE}"/>
    <cellStyle name="Normal 5 5 9 2 2" xfId="22598" xr:uid="{9DEA1A0F-C50C-4231-8602-60B14684A249}"/>
    <cellStyle name="Normal 5 5 9 2 2 2" xfId="48090" xr:uid="{037EBE77-DD5A-4CC9-B4BE-F1688C87AAAE}"/>
    <cellStyle name="Normal 5 5 9 2 3" xfId="35499" xr:uid="{9499010B-1CD7-4882-9C85-E68744856613}"/>
    <cellStyle name="Normal 5 5 9 3" xfId="16320" xr:uid="{136653FF-D863-4F0D-85AF-4CDA68A84732}"/>
    <cellStyle name="Normal 5 5 9 3 2" xfId="41812" xr:uid="{E528ED14-99E7-489C-96D0-50040F2917A4}"/>
    <cellStyle name="Normal 5 5 9 4" xfId="29221" xr:uid="{29C7061D-3365-4B5E-8703-02E7127EB9B0}"/>
    <cellStyle name="Normal 5 6" xfId="571" xr:uid="{5875F15D-7E2F-4188-A395-57EBBF6B4CB9}"/>
    <cellStyle name="Normal 5 6 10" xfId="13298" xr:uid="{464E617F-BA6F-467C-BD77-B909EE385E19}"/>
    <cellStyle name="Normal 5 6 10 2" xfId="38790" xr:uid="{140D49A3-C7A4-4128-B626-19E1D7A84D59}"/>
    <cellStyle name="Normal 5 6 11" xfId="26199" xr:uid="{408D59FD-4027-4C63-AE45-B185CA6A3E44}"/>
    <cellStyle name="Normal 5 6 2" xfId="1108" xr:uid="{4A32D5A6-2BDC-4029-A563-90DE7D16272B}"/>
    <cellStyle name="Normal 5 6 2 2" xfId="2415" xr:uid="{9AFCBFFE-F6F6-49A1-87E6-83B2D40EFBB4}"/>
    <cellStyle name="Normal 5 6 2 2 2" xfId="5569" xr:uid="{0ADC69CB-D621-48AA-A2AA-FD36AA860918}"/>
    <cellStyle name="Normal 5 6 2 2 2 2" xfId="11862" xr:uid="{7C696004-276A-4A8F-9E00-8AC0F106ABA6}"/>
    <cellStyle name="Normal 5 6 2 2 2 2 2" xfId="24544" xr:uid="{BDFFCF68-BE23-41A4-8321-108442E33154}"/>
    <cellStyle name="Normal 5 6 2 2 2 2 2 2" xfId="50036" xr:uid="{7983C8EB-AB37-47F0-9579-465A27A1DBF3}"/>
    <cellStyle name="Normal 5 6 2 2 2 2 3" xfId="37445" xr:uid="{C6B34E9C-26F2-49F9-863A-B99723BE5799}"/>
    <cellStyle name="Normal 5 6 2 2 2 3" xfId="18266" xr:uid="{C5C4BC0D-0EE4-41F2-880C-28335010DFF5}"/>
    <cellStyle name="Normal 5 6 2 2 2 3 2" xfId="43758" xr:uid="{B08D1C24-97CC-4E51-B2DE-504C72A1E0EB}"/>
    <cellStyle name="Normal 5 6 2 2 2 4" xfId="31167" xr:uid="{AF920CEB-5806-4DEC-9684-E2C30704DA1C}"/>
    <cellStyle name="Normal 5 6 2 2 3" xfId="8723" xr:uid="{EA951F85-0894-464E-BBD1-C460B9316A09}"/>
    <cellStyle name="Normal 5 6 2 2 3 2" xfId="21405" xr:uid="{030A06F7-2E92-4E60-8C40-F912A24A79C3}"/>
    <cellStyle name="Normal 5 6 2 2 3 2 2" xfId="46897" xr:uid="{B8D9BA67-1B4C-4CC2-A148-B87C785E92F4}"/>
    <cellStyle name="Normal 5 6 2 2 3 3" xfId="34306" xr:uid="{FD8E6567-485A-4CCC-B80A-6790F43F13EE}"/>
    <cellStyle name="Normal 5 6 2 2 4" xfId="15127" xr:uid="{2AF2CB08-9843-4AFC-9292-283FAABF7FFD}"/>
    <cellStyle name="Normal 5 6 2 2 4 2" xfId="40619" xr:uid="{A9ECF313-B430-4C90-BD43-723D28B08BDB}"/>
    <cellStyle name="Normal 5 6 2 2 5" xfId="28028" xr:uid="{A863588A-E832-4A14-990D-4EE99E605443}"/>
    <cellStyle name="Normal 5 6 2 3" xfId="1632" xr:uid="{A0A231A1-C762-42C8-8BA5-2C0BC82135C4}"/>
    <cellStyle name="Normal 5 6 2 3 2" xfId="4786" xr:uid="{78A18CA8-4991-4566-BBEB-28F22711963D}"/>
    <cellStyle name="Normal 5 6 2 3 2 2" xfId="11079" xr:uid="{8B0DC468-4658-4EE3-B214-ABB3E11DF34B}"/>
    <cellStyle name="Normal 5 6 2 3 2 2 2" xfId="23761" xr:uid="{E2AA383B-90BF-44C8-AE7E-FD1483995EA6}"/>
    <cellStyle name="Normal 5 6 2 3 2 2 2 2" xfId="49253" xr:uid="{6B7EA63E-EAFC-49E6-871D-0CD6C2A7CBA2}"/>
    <cellStyle name="Normal 5 6 2 3 2 2 3" xfId="36662" xr:uid="{D8EF81D2-B5FC-4748-B032-C4F0129BAB24}"/>
    <cellStyle name="Normal 5 6 2 3 2 3" xfId="17483" xr:uid="{57C5BD22-A243-4642-9EF3-62DA0902AD5A}"/>
    <cellStyle name="Normal 5 6 2 3 2 3 2" xfId="42975" xr:uid="{3D28F3C3-1A12-4A8D-84C7-882FC177B875}"/>
    <cellStyle name="Normal 5 6 2 3 2 4" xfId="30384" xr:uid="{00EC47EF-70A0-4137-932C-96591C8CB026}"/>
    <cellStyle name="Normal 5 6 2 3 3" xfId="7940" xr:uid="{8A1452BC-E587-437A-9B30-F52CBE91B891}"/>
    <cellStyle name="Normal 5 6 2 3 3 2" xfId="20622" xr:uid="{04BB99FD-1F13-4322-99C2-BE9D7B6BE3C8}"/>
    <cellStyle name="Normal 5 6 2 3 3 2 2" xfId="46114" xr:uid="{D354B215-8328-4957-837E-88E4C64A232B}"/>
    <cellStyle name="Normal 5 6 2 3 3 3" xfId="33523" xr:uid="{4F9F5DE3-3C25-4A38-A248-E569F5697636}"/>
    <cellStyle name="Normal 5 6 2 3 4" xfId="14344" xr:uid="{2D5094B2-0546-4EF5-970E-54906DB0F2C8}"/>
    <cellStyle name="Normal 5 6 2 3 4 2" xfId="39836" xr:uid="{3AB735C3-1D37-4242-946D-96AC78B5EC16}"/>
    <cellStyle name="Normal 5 6 2 3 5" xfId="27245" xr:uid="{362DC46C-5EE4-4395-BAC7-8883625A7AFE}"/>
    <cellStyle name="Normal 5 6 2 4" xfId="2939" xr:uid="{217D3882-0AE6-4ECA-9D4C-DE4072122E96}"/>
    <cellStyle name="Normal 5 6 2 4 2" xfId="6093" xr:uid="{BC2979EF-FF5A-4449-8E10-07DCF92D657B}"/>
    <cellStyle name="Normal 5 6 2 4 2 2" xfId="12386" xr:uid="{39FE503E-CC54-486D-88D4-F397D6E37F99}"/>
    <cellStyle name="Normal 5 6 2 4 2 2 2" xfId="25068" xr:uid="{7E9BB567-D335-4498-B6AB-195EB3B2394C}"/>
    <cellStyle name="Normal 5 6 2 4 2 2 2 2" xfId="50560" xr:uid="{A3E924FF-2809-44AC-8F10-0F4D80111D46}"/>
    <cellStyle name="Normal 5 6 2 4 2 2 3" xfId="37969" xr:uid="{4B2E1B62-6A93-4D89-818B-77F16AF88919}"/>
    <cellStyle name="Normal 5 6 2 4 2 3" xfId="18790" xr:uid="{5C18A089-9CFE-45EA-A460-ABEF384EB157}"/>
    <cellStyle name="Normal 5 6 2 4 2 3 2" xfId="44282" xr:uid="{F4261FAB-2ADF-4C1B-AD7E-5D5918A9A0E3}"/>
    <cellStyle name="Normal 5 6 2 4 2 4" xfId="31691" xr:uid="{810887F7-7498-437D-B85E-F7D2969D5B4C}"/>
    <cellStyle name="Normal 5 6 2 4 3" xfId="9247" xr:uid="{044BEA61-C1D0-44F0-B5BE-663545963E52}"/>
    <cellStyle name="Normal 5 6 2 4 3 2" xfId="21929" xr:uid="{C428A963-F80A-4AA1-B1DF-0D3433A24114}"/>
    <cellStyle name="Normal 5 6 2 4 3 2 2" xfId="47421" xr:uid="{B356A53A-91C0-4CCC-AF3C-7A55CA7AA00E}"/>
    <cellStyle name="Normal 5 6 2 4 3 3" xfId="34830" xr:uid="{EEB4D37C-4F91-41CB-B4EC-0714E2FB0560}"/>
    <cellStyle name="Normal 5 6 2 4 4" xfId="15651" xr:uid="{FC44E909-4EF7-4316-B9C6-622FCA89AFA2}"/>
    <cellStyle name="Normal 5 6 2 4 4 2" xfId="41143" xr:uid="{0238055E-4A10-4D1F-B085-665D9C23E6ED}"/>
    <cellStyle name="Normal 5 6 2 4 5" xfId="28552" xr:uid="{96DDEEBF-D763-4B82-A22B-5DC1A26CB066}"/>
    <cellStyle name="Normal 5 6 2 5" xfId="3462" xr:uid="{252D9E42-7D56-4381-8534-36044C9D10AF}"/>
    <cellStyle name="Normal 5 6 2 5 2" xfId="6616" xr:uid="{76ED6B74-4DF2-41C1-9221-E96730C1DA78}"/>
    <cellStyle name="Normal 5 6 2 5 2 2" xfId="12909" xr:uid="{9A701F41-D220-4254-9669-9E97F41F4800}"/>
    <cellStyle name="Normal 5 6 2 5 2 2 2" xfId="25591" xr:uid="{D644DE4F-1414-4C7C-AFF8-DB75DAC504DF}"/>
    <cellStyle name="Normal 5 6 2 5 2 2 2 2" xfId="51083" xr:uid="{A51A3676-04DD-4975-9255-F5E6A7E6D73D}"/>
    <cellStyle name="Normal 5 6 2 5 2 2 3" xfId="38492" xr:uid="{E3A1C81E-B443-473B-90A6-1A2842B6DD15}"/>
    <cellStyle name="Normal 5 6 2 5 2 3" xfId="19313" xr:uid="{90EDA2A8-B369-4C30-9830-E2F2C7F653CA}"/>
    <cellStyle name="Normal 5 6 2 5 2 3 2" xfId="44805" xr:uid="{736922BF-B9B4-44EA-9EF2-E92EEECF11C6}"/>
    <cellStyle name="Normal 5 6 2 5 2 4" xfId="32214" xr:uid="{DBCD69F2-0304-4396-B71E-A62C36773CA8}"/>
    <cellStyle name="Normal 5 6 2 5 3" xfId="9770" xr:uid="{A48E3E60-8CB4-4D60-AA8F-D0FF134157E8}"/>
    <cellStyle name="Normal 5 6 2 5 3 2" xfId="22452" xr:uid="{35B7F05A-7A71-4205-9C9F-B14657F32EA7}"/>
    <cellStyle name="Normal 5 6 2 5 3 2 2" xfId="47944" xr:uid="{DF3F5126-ADBD-4E42-B41F-4EF17546574D}"/>
    <cellStyle name="Normal 5 6 2 5 3 3" xfId="35353" xr:uid="{02A5660D-F74B-40BD-B08D-8C3365E4D631}"/>
    <cellStyle name="Normal 5 6 2 5 4" xfId="16174" xr:uid="{9C00C40B-AF03-4460-A042-09B04EC8E117}"/>
    <cellStyle name="Normal 5 6 2 5 4 2" xfId="41666" xr:uid="{9490C8EF-1680-4893-8646-0AF964074E46}"/>
    <cellStyle name="Normal 5 6 2 5 5" xfId="29075" xr:uid="{68CCA90F-ABCB-4935-9EDD-7EB59956ABBC}"/>
    <cellStyle name="Normal 5 6 2 6" xfId="4262" xr:uid="{4B60CD05-DFE0-4756-BC9B-6A636DCB7096}"/>
    <cellStyle name="Normal 5 6 2 6 2" xfId="10555" xr:uid="{CC919C69-8580-4E09-94E2-82F390FE8DB1}"/>
    <cellStyle name="Normal 5 6 2 6 2 2" xfId="23237" xr:uid="{ED00FAC4-2CA7-4EED-BE30-388111C20E21}"/>
    <cellStyle name="Normal 5 6 2 6 2 2 2" xfId="48729" xr:uid="{D35CED59-8391-41DF-9B8F-183724ECD449}"/>
    <cellStyle name="Normal 5 6 2 6 2 3" xfId="36138" xr:uid="{FBB5D250-F37F-47F4-B3B7-EDC3DFC0D06F}"/>
    <cellStyle name="Normal 5 6 2 6 3" xfId="16959" xr:uid="{3515893A-C7F8-475C-812B-7AA59DADE583}"/>
    <cellStyle name="Normal 5 6 2 6 3 2" xfId="42451" xr:uid="{2DA029C4-EEC5-49D0-9AAA-FC1C2A027B1C}"/>
    <cellStyle name="Normal 5 6 2 6 4" xfId="29860" xr:uid="{527BB9FD-E082-4360-A01A-B05402560108}"/>
    <cellStyle name="Normal 5 6 2 7" xfId="7416" xr:uid="{861713FE-C4E4-4D76-ACE6-3643F3AF2405}"/>
    <cellStyle name="Normal 5 6 2 7 2" xfId="20098" xr:uid="{79A28986-AD91-4CB4-8A3E-C759DEA74ED2}"/>
    <cellStyle name="Normal 5 6 2 7 2 2" xfId="45590" xr:uid="{7D9A02C7-76FE-4398-8B30-3DBB4EB6778D}"/>
    <cellStyle name="Normal 5 6 2 7 3" xfId="32999" xr:uid="{64B5BD50-0D6F-4F93-B3BA-32D92417B291}"/>
    <cellStyle name="Normal 5 6 2 8" xfId="13820" xr:uid="{FC09BB56-450A-4C5E-AAAA-AED7E0FD8CF5}"/>
    <cellStyle name="Normal 5 6 2 8 2" xfId="39312" xr:uid="{6EC9AC46-0A74-4695-B241-6D8DB43881AB}"/>
    <cellStyle name="Normal 5 6 2 9" xfId="26721" xr:uid="{6ABDDBB4-9F1D-4CB5-A823-E150FD8BD267}"/>
    <cellStyle name="Normal 5 6 3" xfId="848" xr:uid="{13D18E4A-E36B-4240-8DE6-FF7CB7DDB12A}"/>
    <cellStyle name="Normal 5 6 3 2" xfId="2155" xr:uid="{89E362EA-4AC1-49B7-A837-16E1A07A9449}"/>
    <cellStyle name="Normal 5 6 3 2 2" xfId="5309" xr:uid="{97CC546B-C9F6-4EB1-AA5B-24A3DD150DE4}"/>
    <cellStyle name="Normal 5 6 3 2 2 2" xfId="11602" xr:uid="{ACC375AB-61FF-45F0-8C30-0A9D9187D96F}"/>
    <cellStyle name="Normal 5 6 3 2 2 2 2" xfId="24284" xr:uid="{6BB7B0F3-CDC2-465A-8F22-76F08CD52719}"/>
    <cellStyle name="Normal 5 6 3 2 2 2 2 2" xfId="49776" xr:uid="{7C3B4CC5-0B39-469A-8AEB-C5BE0F9826BF}"/>
    <cellStyle name="Normal 5 6 3 2 2 2 3" xfId="37185" xr:uid="{EA550E65-C6B6-49D2-B70E-5CD0AF68A2A9}"/>
    <cellStyle name="Normal 5 6 3 2 2 3" xfId="18006" xr:uid="{D04787C9-0152-4F7C-B1E7-65A5A40E6E8C}"/>
    <cellStyle name="Normal 5 6 3 2 2 3 2" xfId="43498" xr:uid="{A2AE513E-A5E8-4D6A-B752-121E69222831}"/>
    <cellStyle name="Normal 5 6 3 2 2 4" xfId="30907" xr:uid="{770CE03D-860D-41F1-8D3F-07F4120CB795}"/>
    <cellStyle name="Normal 5 6 3 2 3" xfId="8463" xr:uid="{BF48F096-1C81-473A-A002-F9DC1A45F4B4}"/>
    <cellStyle name="Normal 5 6 3 2 3 2" xfId="21145" xr:uid="{41C35194-B5AA-497E-9802-509664822AFB}"/>
    <cellStyle name="Normal 5 6 3 2 3 2 2" xfId="46637" xr:uid="{EDDEBA00-7EBF-4547-BD21-10D44C4E0214}"/>
    <cellStyle name="Normal 5 6 3 2 3 3" xfId="34046" xr:uid="{385E311D-89AD-48F8-96F1-53BCED6688C1}"/>
    <cellStyle name="Normal 5 6 3 2 4" xfId="14867" xr:uid="{8E2C809B-EB6D-4DB4-A7C9-E69BF677CE80}"/>
    <cellStyle name="Normal 5 6 3 2 4 2" xfId="40359" xr:uid="{A1F3A48B-B650-49A9-89F9-A8089DB5F402}"/>
    <cellStyle name="Normal 5 6 3 2 5" xfId="27768" xr:uid="{3356554A-DE24-4EAA-B9C4-59435A78934D}"/>
    <cellStyle name="Normal 5 6 3 3" xfId="4002" xr:uid="{19218423-6A6A-4C71-9E60-3DDFB5CACDCA}"/>
    <cellStyle name="Normal 5 6 3 3 2" xfId="10295" xr:uid="{C8D396CE-70E3-40F2-99B0-321C7F6A9207}"/>
    <cellStyle name="Normal 5 6 3 3 2 2" xfId="22977" xr:uid="{6A502443-2164-42C7-95FD-F59BA00E171D}"/>
    <cellStyle name="Normal 5 6 3 3 2 2 2" xfId="48469" xr:uid="{E3D11B33-5CAB-4247-8AD3-D853E6459E85}"/>
    <cellStyle name="Normal 5 6 3 3 2 3" xfId="35878" xr:uid="{446AFBA6-9FF3-4583-96B2-D21EC3E2C0F1}"/>
    <cellStyle name="Normal 5 6 3 3 3" xfId="16699" xr:uid="{0EEB80B2-1699-482C-B8AF-4BA05BF07231}"/>
    <cellStyle name="Normal 5 6 3 3 3 2" xfId="42191" xr:uid="{1BCC4FEC-3442-4E6D-9A70-C22804D64930}"/>
    <cellStyle name="Normal 5 6 3 3 4" xfId="29600" xr:uid="{493E0663-1FB1-4744-A349-FEE02225550F}"/>
    <cellStyle name="Normal 5 6 3 4" xfId="7156" xr:uid="{46658277-70F6-413B-8DD3-0414896F22CA}"/>
    <cellStyle name="Normal 5 6 3 4 2" xfId="19838" xr:uid="{DBFA6A28-8335-42ED-8CD7-EA8D95C26031}"/>
    <cellStyle name="Normal 5 6 3 4 2 2" xfId="45330" xr:uid="{5607F1CE-5143-4D57-9C0B-78EFED189771}"/>
    <cellStyle name="Normal 5 6 3 4 3" xfId="32739" xr:uid="{C050F9B1-B6D5-4BE6-A70B-EBEAC9BA3158}"/>
    <cellStyle name="Normal 5 6 3 5" xfId="13560" xr:uid="{F509D647-9C9C-4F60-BDD2-0154E2652FD0}"/>
    <cellStyle name="Normal 5 6 3 5 2" xfId="39052" xr:uid="{62AC6A92-4EB7-461C-89FC-777A6820F04F}"/>
    <cellStyle name="Normal 5 6 3 6" xfId="26461" xr:uid="{7FEE99EC-2F09-4B55-9E0A-391047BECA85}"/>
    <cellStyle name="Normal 5 6 4" xfId="1893" xr:uid="{D75DFB4E-8522-4795-8132-F85DABBF2DCA}"/>
    <cellStyle name="Normal 5 6 4 2" xfId="5047" xr:uid="{F3BA3E36-85AF-4E75-AFEF-1949E8623507}"/>
    <cellStyle name="Normal 5 6 4 2 2" xfId="11340" xr:uid="{378FE309-1B79-4499-B193-803D95FB3C4E}"/>
    <cellStyle name="Normal 5 6 4 2 2 2" xfId="24022" xr:uid="{A163C0BA-D156-4E4B-8302-D0BBFD5F0C69}"/>
    <cellStyle name="Normal 5 6 4 2 2 2 2" xfId="49514" xr:uid="{36A222D6-3134-4A11-BE76-681C79FDDEA7}"/>
    <cellStyle name="Normal 5 6 4 2 2 3" xfId="36923" xr:uid="{85A32BFC-ECF0-4AFD-91F1-8A6873585B8D}"/>
    <cellStyle name="Normal 5 6 4 2 3" xfId="17744" xr:uid="{C52134E5-8A90-4E52-BCBB-E7BC552F4B8B}"/>
    <cellStyle name="Normal 5 6 4 2 3 2" xfId="43236" xr:uid="{476BEA46-4335-4C0E-A6F3-D6E902402D53}"/>
    <cellStyle name="Normal 5 6 4 2 4" xfId="30645" xr:uid="{6456524F-957C-4F8D-B841-9D776A5DF6A0}"/>
    <cellStyle name="Normal 5 6 4 3" xfId="8201" xr:uid="{939EB1BD-EFFF-4B9D-8A01-DFA36AD404BB}"/>
    <cellStyle name="Normal 5 6 4 3 2" xfId="20883" xr:uid="{BBD57B38-63EE-4314-ABE2-1042C31FB2E5}"/>
    <cellStyle name="Normal 5 6 4 3 2 2" xfId="46375" xr:uid="{3F6203B9-66D4-4024-9AD3-F6D13D9CEBF9}"/>
    <cellStyle name="Normal 5 6 4 3 3" xfId="33784" xr:uid="{5C049D61-4457-4160-8A9F-40D64E427F2F}"/>
    <cellStyle name="Normal 5 6 4 4" xfId="14605" xr:uid="{943C5873-510E-431F-8ED8-57E592972A7E}"/>
    <cellStyle name="Normal 5 6 4 4 2" xfId="40097" xr:uid="{725E1550-D724-45F9-AB94-05B1885F5F50}"/>
    <cellStyle name="Normal 5 6 4 5" xfId="27506" xr:uid="{459140F1-A381-489E-8DC3-320BBD6A3B00}"/>
    <cellStyle name="Normal 5 6 5" xfId="1371" xr:uid="{5D75378B-E7C7-44AA-A2E3-8FE5C4AB5A86}"/>
    <cellStyle name="Normal 5 6 5 2" xfId="4525" xr:uid="{C4AA679A-6963-4228-954A-ADBFF027B97D}"/>
    <cellStyle name="Normal 5 6 5 2 2" xfId="10818" xr:uid="{8B008F83-EC15-4C84-BC2D-372FED7638F2}"/>
    <cellStyle name="Normal 5 6 5 2 2 2" xfId="23500" xr:uid="{1A9F47BB-3503-42DA-A898-BB93A75F0B54}"/>
    <cellStyle name="Normal 5 6 5 2 2 2 2" xfId="48992" xr:uid="{4F021DA9-E384-48A2-8521-512D3F026CDC}"/>
    <cellStyle name="Normal 5 6 5 2 2 3" xfId="36401" xr:uid="{F603085D-FC3D-46BD-8724-1FFD2CDA2CD0}"/>
    <cellStyle name="Normal 5 6 5 2 3" xfId="17222" xr:uid="{3021DA80-9B9B-4706-AE98-0C4F8CEAB29C}"/>
    <cellStyle name="Normal 5 6 5 2 3 2" xfId="42714" xr:uid="{A29444D2-1A2B-4C93-81BC-479BAB8CAF7A}"/>
    <cellStyle name="Normal 5 6 5 2 4" xfId="30123" xr:uid="{39832F36-B00A-4370-B8FD-4A2DD4A9DC62}"/>
    <cellStyle name="Normal 5 6 5 3" xfId="7679" xr:uid="{CF5BA694-71E3-4D8B-963A-FBBDB464E9B9}"/>
    <cellStyle name="Normal 5 6 5 3 2" xfId="20361" xr:uid="{44E6A299-9ECC-4222-A543-6591A4ADE003}"/>
    <cellStyle name="Normal 5 6 5 3 2 2" xfId="45853" xr:uid="{1C8A30D8-21D7-4735-8E18-28DAC88A4A39}"/>
    <cellStyle name="Normal 5 6 5 3 3" xfId="33262" xr:uid="{F52491BD-8AAB-48B0-AD5A-E3086EBD8D95}"/>
    <cellStyle name="Normal 5 6 5 4" xfId="14083" xr:uid="{3A6EA3C5-8448-4F84-B392-7434BEFDB405}"/>
    <cellStyle name="Normal 5 6 5 4 2" xfId="39575" xr:uid="{3633F667-5E87-419D-AC75-090A4989093C}"/>
    <cellStyle name="Normal 5 6 5 5" xfId="26984" xr:uid="{0EE4FEC5-D394-48A0-8A62-A0D7C36443C8}"/>
    <cellStyle name="Normal 5 6 6" xfId="2678" xr:uid="{974B56B5-6B52-4619-92E4-DCC2C09AF4C4}"/>
    <cellStyle name="Normal 5 6 6 2" xfId="5832" xr:uid="{0A5BAF71-5508-4E6E-8A40-FD4E1ED98C56}"/>
    <cellStyle name="Normal 5 6 6 2 2" xfId="12125" xr:uid="{2FAE1AD9-C1A0-4125-B2A9-C99D945B563B}"/>
    <cellStyle name="Normal 5 6 6 2 2 2" xfId="24807" xr:uid="{7492C0BF-5BF9-4C80-94FC-55C1C21A9706}"/>
    <cellStyle name="Normal 5 6 6 2 2 2 2" xfId="50299" xr:uid="{909734A1-696A-476B-9FB2-2C719FAF8FEE}"/>
    <cellStyle name="Normal 5 6 6 2 2 3" xfId="37708" xr:uid="{46AF06E5-BBED-4CD2-9280-65487975A7E6}"/>
    <cellStyle name="Normal 5 6 6 2 3" xfId="18529" xr:uid="{BF1A8151-B10F-45BE-8B31-854CECFDB0B3}"/>
    <cellStyle name="Normal 5 6 6 2 3 2" xfId="44021" xr:uid="{B04C7462-5655-4C25-AE32-4550C5830ECF}"/>
    <cellStyle name="Normal 5 6 6 2 4" xfId="31430" xr:uid="{B497D4EF-77F5-432D-A1F3-7A9A576502AD}"/>
    <cellStyle name="Normal 5 6 6 3" xfId="8986" xr:uid="{781E9D64-7BCA-4B4F-B376-1F86B2FFBDDD}"/>
    <cellStyle name="Normal 5 6 6 3 2" xfId="21668" xr:uid="{0F7D476F-5F51-4EAE-8A13-01825EDC8F3C}"/>
    <cellStyle name="Normal 5 6 6 3 2 2" xfId="47160" xr:uid="{B2B49389-50FF-4AD9-8B85-01C4C5707E6B}"/>
    <cellStyle name="Normal 5 6 6 3 3" xfId="34569" xr:uid="{0F6B9601-7F1F-4073-9D7A-F4456C8831DF}"/>
    <cellStyle name="Normal 5 6 6 4" xfId="15390" xr:uid="{E98D6E57-89EC-41A9-A1A4-7650B4709904}"/>
    <cellStyle name="Normal 5 6 6 4 2" xfId="40882" xr:uid="{29F303A8-58A0-40BF-B85F-9B3028E4B866}"/>
    <cellStyle name="Normal 5 6 6 5" xfId="28291" xr:uid="{A235C663-EE90-4CE8-91DA-299E8064856C}"/>
    <cellStyle name="Normal 5 6 7" xfId="3201" xr:uid="{29951816-00DE-431E-A226-C2C30D134BB7}"/>
    <cellStyle name="Normal 5 6 7 2" xfId="6355" xr:uid="{82A8387B-6415-4E38-9173-A36DD2974912}"/>
    <cellStyle name="Normal 5 6 7 2 2" xfId="12648" xr:uid="{237A2794-FFC2-415E-A8A2-F93C6C99D46B}"/>
    <cellStyle name="Normal 5 6 7 2 2 2" xfId="25330" xr:uid="{F5B42A29-BF0D-4302-AA7F-73D6A7D274CC}"/>
    <cellStyle name="Normal 5 6 7 2 2 2 2" xfId="50822" xr:uid="{21C65608-EE1D-4FC8-BEA7-94E17A36D5BA}"/>
    <cellStyle name="Normal 5 6 7 2 2 3" xfId="38231" xr:uid="{54E8D560-FEEB-4A3F-813B-6DBB77BFE73F}"/>
    <cellStyle name="Normal 5 6 7 2 3" xfId="19052" xr:uid="{0F680A84-B5D5-40DA-9C83-4D7DF4C3414D}"/>
    <cellStyle name="Normal 5 6 7 2 3 2" xfId="44544" xr:uid="{0DBFE9E6-B20F-4D1C-8B01-617DCAF0EC54}"/>
    <cellStyle name="Normal 5 6 7 2 4" xfId="31953" xr:uid="{90D2CC9E-2E5D-45D7-97FA-D5718A97C965}"/>
    <cellStyle name="Normal 5 6 7 3" xfId="9509" xr:uid="{02FC83D0-2671-4271-B04B-3648159954F5}"/>
    <cellStyle name="Normal 5 6 7 3 2" xfId="22191" xr:uid="{BAA9B156-8CC7-4646-A4B9-21F7C1164070}"/>
    <cellStyle name="Normal 5 6 7 3 2 2" xfId="47683" xr:uid="{FCE7CEAD-92C4-41F1-9684-5BA83F3547DC}"/>
    <cellStyle name="Normal 5 6 7 3 3" xfId="35092" xr:uid="{071002ED-5535-47D6-B5DF-C2730E844937}"/>
    <cellStyle name="Normal 5 6 7 4" xfId="15913" xr:uid="{AED59E5E-F46E-43EF-AA20-9233E4CF82F1}"/>
    <cellStyle name="Normal 5 6 7 4 2" xfId="41405" xr:uid="{0BAA3544-640C-4FD9-8CC6-FAC29B85B064}"/>
    <cellStyle name="Normal 5 6 7 5" xfId="28814" xr:uid="{FFFF91A4-B0A9-4BAB-AA18-1DAB7DE8E14E}"/>
    <cellStyle name="Normal 5 6 8" xfId="3740" xr:uid="{80A1E501-4EB6-449F-806A-6254F4497327}"/>
    <cellStyle name="Normal 5 6 8 2" xfId="10033" xr:uid="{995119DF-2CE7-4304-8378-587778A8A248}"/>
    <cellStyle name="Normal 5 6 8 2 2" xfId="22715" xr:uid="{4C688D6F-1E3B-461A-827F-91FF8F3E07B6}"/>
    <cellStyle name="Normal 5 6 8 2 2 2" xfId="48207" xr:uid="{ECC07AC2-BADB-4E0E-A8C8-25DC88E83EB5}"/>
    <cellStyle name="Normal 5 6 8 2 3" xfId="35616" xr:uid="{1352FAAA-F95C-40E8-B9D2-96912F43D1D4}"/>
    <cellStyle name="Normal 5 6 8 3" xfId="16437" xr:uid="{AD8DA529-FA19-4653-960E-9DEB27E7C134}"/>
    <cellStyle name="Normal 5 6 8 3 2" xfId="41929" xr:uid="{98BE25D9-5611-4B6C-A266-C83F71D37DAA}"/>
    <cellStyle name="Normal 5 6 8 4" xfId="29338" xr:uid="{0049683E-7B63-4B0A-B095-93D57BA00811}"/>
    <cellStyle name="Normal 5 6 9" xfId="6894" xr:uid="{F72CB7F7-5409-49EF-BEF0-179696EC36E1}"/>
    <cellStyle name="Normal 5 6 9 2" xfId="19576" xr:uid="{F8958EDA-577F-4E81-9E36-6BA80032EE9E}"/>
    <cellStyle name="Normal 5 6 9 2 2" xfId="45068" xr:uid="{E92DDFDB-5EB9-4780-B5AC-5CACF7ACBF1C}"/>
    <cellStyle name="Normal 5 6 9 3" xfId="32477" xr:uid="{0C4B47F9-ACDF-443B-B645-38A89538467E}"/>
    <cellStyle name="Normal 5 7" xfId="513" xr:uid="{ECAFD804-77A5-4542-95F0-12BB6A865E8D}"/>
    <cellStyle name="Normal 5 7 10" xfId="13240" xr:uid="{DB1F3D8E-1392-4735-B065-5F62E4E2ADA9}"/>
    <cellStyle name="Normal 5 7 10 2" xfId="38732" xr:uid="{D190AEA7-9F23-4351-9254-498C18D432EC}"/>
    <cellStyle name="Normal 5 7 11" xfId="26141" xr:uid="{FF29C9F8-9EF8-4487-8BC4-8F424875061D}"/>
    <cellStyle name="Normal 5 7 2" xfId="1050" xr:uid="{BE96247C-87B0-4011-BDFB-01784443666D}"/>
    <cellStyle name="Normal 5 7 2 2" xfId="2357" xr:uid="{FA2FB8B5-F54F-4AA3-B767-F03D3A1809ED}"/>
    <cellStyle name="Normal 5 7 2 2 2" xfId="5511" xr:uid="{9EF5282A-FFA0-495B-AFD5-167164F7DB5B}"/>
    <cellStyle name="Normal 5 7 2 2 2 2" xfId="11804" xr:uid="{9C0C3E55-15D0-4800-8B1D-C71861B5D53D}"/>
    <cellStyle name="Normal 5 7 2 2 2 2 2" xfId="24486" xr:uid="{FF1C1077-B595-4A2D-A0B8-086E4BA53549}"/>
    <cellStyle name="Normal 5 7 2 2 2 2 2 2" xfId="49978" xr:uid="{C3A80A0E-0FF2-4F07-BCE8-522CE7313879}"/>
    <cellStyle name="Normal 5 7 2 2 2 2 3" xfId="37387" xr:uid="{92B603E9-17B8-441D-A5F7-4A42A3E7B06F}"/>
    <cellStyle name="Normal 5 7 2 2 2 3" xfId="18208" xr:uid="{C738795F-F470-4D12-974B-4AA605B33E27}"/>
    <cellStyle name="Normal 5 7 2 2 2 3 2" xfId="43700" xr:uid="{7EDB44BE-31B5-4709-BAB0-B09ACA5D5773}"/>
    <cellStyle name="Normal 5 7 2 2 2 4" xfId="31109" xr:uid="{02E45B7C-71C7-41C1-82B7-0E93DBE1F08C}"/>
    <cellStyle name="Normal 5 7 2 2 3" xfId="8665" xr:uid="{6F89E192-59AF-4E7F-B3B3-634E42BEB11B}"/>
    <cellStyle name="Normal 5 7 2 2 3 2" xfId="21347" xr:uid="{4AE395D8-E222-4334-81B6-43305B130C77}"/>
    <cellStyle name="Normal 5 7 2 2 3 2 2" xfId="46839" xr:uid="{6D7F3810-651B-443A-B807-B418035DD7EF}"/>
    <cellStyle name="Normal 5 7 2 2 3 3" xfId="34248" xr:uid="{DD5958B3-66E7-4F65-B743-B0C0BB8892F9}"/>
    <cellStyle name="Normal 5 7 2 2 4" xfId="15069" xr:uid="{5251C6BA-9BAB-4994-9312-BB7AB5C88980}"/>
    <cellStyle name="Normal 5 7 2 2 4 2" xfId="40561" xr:uid="{776C2E89-1022-4885-9C86-C403E8155465}"/>
    <cellStyle name="Normal 5 7 2 2 5" xfId="27970" xr:uid="{6453DE65-9A27-4379-9B69-B38D5A9AED21}"/>
    <cellStyle name="Normal 5 7 2 3" xfId="1574" xr:uid="{8DEDFEFB-53B4-48B3-9BD9-ECBDD6B4F837}"/>
    <cellStyle name="Normal 5 7 2 3 2" xfId="4728" xr:uid="{A6F33F8C-2497-445E-AEF8-238948DDF47D}"/>
    <cellStyle name="Normal 5 7 2 3 2 2" xfId="11021" xr:uid="{3FD4D1AA-9333-492D-BCB8-B4C54954A19E}"/>
    <cellStyle name="Normal 5 7 2 3 2 2 2" xfId="23703" xr:uid="{CC34C27F-6245-4486-BD29-27D31C35217E}"/>
    <cellStyle name="Normal 5 7 2 3 2 2 2 2" xfId="49195" xr:uid="{402AB10A-4092-42DE-B7E5-7B30BCCFB9B5}"/>
    <cellStyle name="Normal 5 7 2 3 2 2 3" xfId="36604" xr:uid="{0B4A0032-347A-46C0-8231-56654D196EFC}"/>
    <cellStyle name="Normal 5 7 2 3 2 3" xfId="17425" xr:uid="{9642B2EA-13BA-4444-91F8-FFB42DB72E3C}"/>
    <cellStyle name="Normal 5 7 2 3 2 3 2" xfId="42917" xr:uid="{E3F3F552-34E6-44E6-BAA8-7D6ED3636BC5}"/>
    <cellStyle name="Normal 5 7 2 3 2 4" xfId="30326" xr:uid="{A52C8012-1874-4B5F-8B16-9258519DC158}"/>
    <cellStyle name="Normal 5 7 2 3 3" xfId="7882" xr:uid="{90DAA1D5-E0B9-413B-9892-67A0CBBA0D09}"/>
    <cellStyle name="Normal 5 7 2 3 3 2" xfId="20564" xr:uid="{4AAEFB2A-DF85-4CFC-8563-CA50185A52EA}"/>
    <cellStyle name="Normal 5 7 2 3 3 2 2" xfId="46056" xr:uid="{830CA527-84B1-4ABE-B0A1-117E1D57516D}"/>
    <cellStyle name="Normal 5 7 2 3 3 3" xfId="33465" xr:uid="{3A68A6D6-733F-455E-A91C-C68596F36B7F}"/>
    <cellStyle name="Normal 5 7 2 3 4" xfId="14286" xr:uid="{266CB93C-CF4D-466C-86BB-36B48701A0ED}"/>
    <cellStyle name="Normal 5 7 2 3 4 2" xfId="39778" xr:uid="{3E4CDFB1-1766-4F92-91FE-0FC4AD28F71D}"/>
    <cellStyle name="Normal 5 7 2 3 5" xfId="27187" xr:uid="{72745A9F-584A-49C6-907F-CF81467B2E1B}"/>
    <cellStyle name="Normal 5 7 2 4" xfId="2881" xr:uid="{92CE2CD5-F964-4AAB-9BD2-0B3804167067}"/>
    <cellStyle name="Normal 5 7 2 4 2" xfId="6035" xr:uid="{9C1B655C-A4E6-4D4F-A967-0D6B0F2DBDFA}"/>
    <cellStyle name="Normal 5 7 2 4 2 2" xfId="12328" xr:uid="{369725CA-A676-4530-8402-3321E42360D8}"/>
    <cellStyle name="Normal 5 7 2 4 2 2 2" xfId="25010" xr:uid="{CC0A3543-2E1D-4D60-B13F-9D56CB17103E}"/>
    <cellStyle name="Normal 5 7 2 4 2 2 2 2" xfId="50502" xr:uid="{9796CF51-C6DF-4174-A397-675F8E106C39}"/>
    <cellStyle name="Normal 5 7 2 4 2 2 3" xfId="37911" xr:uid="{A3D628B8-FF95-49D9-8193-55240BD1EB24}"/>
    <cellStyle name="Normal 5 7 2 4 2 3" xfId="18732" xr:uid="{0B24A201-2141-4040-AECC-A1328CE56EB2}"/>
    <cellStyle name="Normal 5 7 2 4 2 3 2" xfId="44224" xr:uid="{A43932B9-4995-4AB2-B40D-14CBC7702B8D}"/>
    <cellStyle name="Normal 5 7 2 4 2 4" xfId="31633" xr:uid="{BD786A34-A329-49E1-86F4-33F319B05205}"/>
    <cellStyle name="Normal 5 7 2 4 3" xfId="9189" xr:uid="{52BDF9A2-D800-40EC-BB56-73EE214F8041}"/>
    <cellStyle name="Normal 5 7 2 4 3 2" xfId="21871" xr:uid="{F6811235-F2AC-4DEB-BCC3-7FE92578B804}"/>
    <cellStyle name="Normal 5 7 2 4 3 2 2" xfId="47363" xr:uid="{AE6476F0-FAC4-47DF-BDED-1E6FAFB45DF8}"/>
    <cellStyle name="Normal 5 7 2 4 3 3" xfId="34772" xr:uid="{B8C986BE-6F6A-4740-89D3-D6BBE3844B5B}"/>
    <cellStyle name="Normal 5 7 2 4 4" xfId="15593" xr:uid="{DCF478CB-E568-4637-ADD3-F23C5AE66D0C}"/>
    <cellStyle name="Normal 5 7 2 4 4 2" xfId="41085" xr:uid="{629CD598-498C-4C8F-877A-2B6466A6244D}"/>
    <cellStyle name="Normal 5 7 2 4 5" xfId="28494" xr:uid="{A21798C1-E4E2-49ED-8545-815D4290153C}"/>
    <cellStyle name="Normal 5 7 2 5" xfId="3404" xr:uid="{9520F35D-D1E8-4A1A-8EC8-A28BB66A7037}"/>
    <cellStyle name="Normal 5 7 2 5 2" xfId="6558" xr:uid="{A73A5462-E30C-4CFC-B130-62C0612D4AA9}"/>
    <cellStyle name="Normal 5 7 2 5 2 2" xfId="12851" xr:uid="{57BEF0FC-A11F-428E-AA8A-D5265452460C}"/>
    <cellStyle name="Normal 5 7 2 5 2 2 2" xfId="25533" xr:uid="{7F8C0E99-D810-4A6D-87B4-448889A635BD}"/>
    <cellStyle name="Normal 5 7 2 5 2 2 2 2" xfId="51025" xr:uid="{4BFDA5D0-A1D9-4579-B653-5EDA7378DF7A}"/>
    <cellStyle name="Normal 5 7 2 5 2 2 3" xfId="38434" xr:uid="{C3E63FBE-4FD7-4193-965A-2DCC21FA0710}"/>
    <cellStyle name="Normal 5 7 2 5 2 3" xfId="19255" xr:uid="{98A11DB1-3FDC-446B-8520-C65835E9E87E}"/>
    <cellStyle name="Normal 5 7 2 5 2 3 2" xfId="44747" xr:uid="{50D45FAB-D11A-473B-92AB-4ECA62D3B555}"/>
    <cellStyle name="Normal 5 7 2 5 2 4" xfId="32156" xr:uid="{2CF3F677-C69F-49C9-9A6A-0A2F89E0D222}"/>
    <cellStyle name="Normal 5 7 2 5 3" xfId="9712" xr:uid="{C87AFD5E-75CC-449C-86C0-CE80DD75CA58}"/>
    <cellStyle name="Normal 5 7 2 5 3 2" xfId="22394" xr:uid="{608A82A3-34F0-414F-801D-42DC6C2CD34A}"/>
    <cellStyle name="Normal 5 7 2 5 3 2 2" xfId="47886" xr:uid="{5FEA2DE4-CC91-4BEC-BA2B-11B5C670B33D}"/>
    <cellStyle name="Normal 5 7 2 5 3 3" xfId="35295" xr:uid="{9955D002-57D4-4151-892B-1EBBB8BB19A0}"/>
    <cellStyle name="Normal 5 7 2 5 4" xfId="16116" xr:uid="{8A879553-E5A8-42B7-A012-68A08D198F97}"/>
    <cellStyle name="Normal 5 7 2 5 4 2" xfId="41608" xr:uid="{062F9072-89A6-44F6-B1AD-3D52CF61D573}"/>
    <cellStyle name="Normal 5 7 2 5 5" xfId="29017" xr:uid="{0061CDF7-FAA2-4D62-A106-95C826702F79}"/>
    <cellStyle name="Normal 5 7 2 6" xfId="4204" xr:uid="{48A82B56-B5E7-4B0C-AA54-AB1599C802DA}"/>
    <cellStyle name="Normal 5 7 2 6 2" xfId="10497" xr:uid="{113D7A3B-645E-4477-B71F-53A9AF8ABB93}"/>
    <cellStyle name="Normal 5 7 2 6 2 2" xfId="23179" xr:uid="{CDFC8A40-0FDB-4E2A-9D34-E3E7129F4BFB}"/>
    <cellStyle name="Normal 5 7 2 6 2 2 2" xfId="48671" xr:uid="{575BC18D-80CF-4505-AAE0-A6081C43450C}"/>
    <cellStyle name="Normal 5 7 2 6 2 3" xfId="36080" xr:uid="{6F253A9A-E895-4020-BCF8-055C091387FB}"/>
    <cellStyle name="Normal 5 7 2 6 3" xfId="16901" xr:uid="{602D3274-1A5D-4EA4-8E9E-96E0BCD4377F}"/>
    <cellStyle name="Normal 5 7 2 6 3 2" xfId="42393" xr:uid="{1887F7DD-9C07-43FD-8A29-F26764147D2A}"/>
    <cellStyle name="Normal 5 7 2 6 4" xfId="29802" xr:uid="{776599C7-3F1A-4309-A5E4-70AB7DDEC75E}"/>
    <cellStyle name="Normal 5 7 2 7" xfId="7358" xr:uid="{9BF4DC64-D5A3-4E7D-9FF4-B1E96BAE55CC}"/>
    <cellStyle name="Normal 5 7 2 7 2" xfId="20040" xr:uid="{EDBC184F-8C9C-4F0A-9B18-1CAD5F88039A}"/>
    <cellStyle name="Normal 5 7 2 7 2 2" xfId="45532" xr:uid="{101DBF79-846F-4995-944E-EE994D13A855}"/>
    <cellStyle name="Normal 5 7 2 7 3" xfId="32941" xr:uid="{4B982827-D806-404C-955F-A8F2260EAF8B}"/>
    <cellStyle name="Normal 5 7 2 8" xfId="13762" xr:uid="{5DB35E1B-9641-45A5-AA1E-0C9C194127A4}"/>
    <cellStyle name="Normal 5 7 2 8 2" xfId="39254" xr:uid="{3EA97F42-C8DC-4E0D-B48D-9E6C57F7D311}"/>
    <cellStyle name="Normal 5 7 2 9" xfId="26663" xr:uid="{F6B3A231-96DF-4EBB-A36C-A76C45A2D8F3}"/>
    <cellStyle name="Normal 5 7 3" xfId="790" xr:uid="{3DCEE564-3691-4527-8174-8F3628547FE3}"/>
    <cellStyle name="Normal 5 7 3 2" xfId="2097" xr:uid="{829B877B-5032-4E7A-9D4F-E14C62CF9EEE}"/>
    <cellStyle name="Normal 5 7 3 2 2" xfId="5251" xr:uid="{D6E83175-3EF7-43F2-BA29-97133B0AEAD6}"/>
    <cellStyle name="Normal 5 7 3 2 2 2" xfId="11544" xr:uid="{5B9B239E-4464-4C03-96E7-DFA4AF592A31}"/>
    <cellStyle name="Normal 5 7 3 2 2 2 2" xfId="24226" xr:uid="{D1E7F8EF-070C-4C87-969D-BBC281C48AC5}"/>
    <cellStyle name="Normal 5 7 3 2 2 2 2 2" xfId="49718" xr:uid="{E0F05649-3030-4C3F-9385-66FD3B9B4663}"/>
    <cellStyle name="Normal 5 7 3 2 2 2 3" xfId="37127" xr:uid="{6D643AD6-33DE-4878-A0C7-693B50A6AD3C}"/>
    <cellStyle name="Normal 5 7 3 2 2 3" xfId="17948" xr:uid="{FE60B135-1824-4A9A-8DC4-59A02132C20B}"/>
    <cellStyle name="Normal 5 7 3 2 2 3 2" xfId="43440" xr:uid="{75C137CE-67CF-4799-AC78-0088C2D264AD}"/>
    <cellStyle name="Normal 5 7 3 2 2 4" xfId="30849" xr:uid="{528BD931-C467-4A0F-9EBB-33405576338D}"/>
    <cellStyle name="Normal 5 7 3 2 3" xfId="8405" xr:uid="{EA0529A0-FF72-48D6-BFE8-22D767A6A202}"/>
    <cellStyle name="Normal 5 7 3 2 3 2" xfId="21087" xr:uid="{D1266F85-F61E-4290-8F8F-7FD7090CBEBD}"/>
    <cellStyle name="Normal 5 7 3 2 3 2 2" xfId="46579" xr:uid="{C8863EAA-2A3D-404D-85E8-D07E2D71FACF}"/>
    <cellStyle name="Normal 5 7 3 2 3 3" xfId="33988" xr:uid="{BE855021-E183-44ED-B464-C37DA93E0E6F}"/>
    <cellStyle name="Normal 5 7 3 2 4" xfId="14809" xr:uid="{96F6F205-2D7E-4871-AB7E-A9DBF8D8ABDD}"/>
    <cellStyle name="Normal 5 7 3 2 4 2" xfId="40301" xr:uid="{62DEB52B-FE3C-4C86-985D-F4B43B8A6584}"/>
    <cellStyle name="Normal 5 7 3 2 5" xfId="27710" xr:uid="{2AFA21BC-2CD3-4CB1-A7E0-9B0EFF878D84}"/>
    <cellStyle name="Normal 5 7 3 3" xfId="3944" xr:uid="{A7630606-6D0B-4607-9034-79DD9EFBD52B}"/>
    <cellStyle name="Normal 5 7 3 3 2" xfId="10237" xr:uid="{C499CDE8-099B-47BC-AC31-93DCEF7BEDC4}"/>
    <cellStyle name="Normal 5 7 3 3 2 2" xfId="22919" xr:uid="{58B08838-9FA2-486A-973E-25ACD8A79EEB}"/>
    <cellStyle name="Normal 5 7 3 3 2 2 2" xfId="48411" xr:uid="{04565114-1412-4CB8-AC60-DCC5386A8122}"/>
    <cellStyle name="Normal 5 7 3 3 2 3" xfId="35820" xr:uid="{AB8F227F-DAEE-4545-82AC-87FC40DE1BB4}"/>
    <cellStyle name="Normal 5 7 3 3 3" xfId="16641" xr:uid="{E368A256-ECFA-46B8-9EA9-ACB8A0496461}"/>
    <cellStyle name="Normal 5 7 3 3 3 2" xfId="42133" xr:uid="{2666E56C-64F3-470A-B926-720436A2F623}"/>
    <cellStyle name="Normal 5 7 3 3 4" xfId="29542" xr:uid="{A6FCD86E-6EEE-4DD6-BC87-1A3D6497D3E4}"/>
    <cellStyle name="Normal 5 7 3 4" xfId="7098" xr:uid="{081A98C7-8E9C-4C6F-9AFC-A8E0EF1E517B}"/>
    <cellStyle name="Normal 5 7 3 4 2" xfId="19780" xr:uid="{06F89D86-C115-4491-B352-439D1E8F043E}"/>
    <cellStyle name="Normal 5 7 3 4 2 2" xfId="45272" xr:uid="{791F6C5F-9533-49BE-9BF0-8FB980A79B45}"/>
    <cellStyle name="Normal 5 7 3 4 3" xfId="32681" xr:uid="{371CFA17-3BD7-4B75-807F-73070C2E3E0D}"/>
    <cellStyle name="Normal 5 7 3 5" xfId="13502" xr:uid="{68222551-1D93-42E6-BF62-497C6BD0806E}"/>
    <cellStyle name="Normal 5 7 3 5 2" xfId="38994" xr:uid="{535252D3-6BF4-4A43-A33B-9336B9FC7D20}"/>
    <cellStyle name="Normal 5 7 3 6" xfId="26403" xr:uid="{CA277EE9-FBC2-40CA-ABD0-8616AF247441}"/>
    <cellStyle name="Normal 5 7 4" xfId="1835" xr:uid="{42328E45-66FF-4FDD-8A72-1ACE31995047}"/>
    <cellStyle name="Normal 5 7 4 2" xfId="4989" xr:uid="{AD5B7E27-4A75-483E-94AD-729DAEAB0762}"/>
    <cellStyle name="Normal 5 7 4 2 2" xfId="11282" xr:uid="{9E57366B-25ED-4102-89BC-8B12CB79757D}"/>
    <cellStyle name="Normal 5 7 4 2 2 2" xfId="23964" xr:uid="{E528CD61-D5E0-4748-8FDF-9D8F34820FD0}"/>
    <cellStyle name="Normal 5 7 4 2 2 2 2" xfId="49456" xr:uid="{10704D78-A9CF-495D-8112-2CB77BE39528}"/>
    <cellStyle name="Normal 5 7 4 2 2 3" xfId="36865" xr:uid="{15DFD452-44DB-4508-B757-F386C393C6E4}"/>
    <cellStyle name="Normal 5 7 4 2 3" xfId="17686" xr:uid="{31171798-180A-456C-86A4-C00E00CB9B0A}"/>
    <cellStyle name="Normal 5 7 4 2 3 2" xfId="43178" xr:uid="{4E81BBAA-AF03-457B-B71D-11A143F07A5F}"/>
    <cellStyle name="Normal 5 7 4 2 4" xfId="30587" xr:uid="{76728482-D4A4-4C6E-858D-9B6E0943ACF6}"/>
    <cellStyle name="Normal 5 7 4 3" xfId="8143" xr:uid="{FBC389C1-C8C7-4A9D-A7A0-03810D7CD26E}"/>
    <cellStyle name="Normal 5 7 4 3 2" xfId="20825" xr:uid="{D28E1DC7-65A8-4A24-841A-B067AD62925C}"/>
    <cellStyle name="Normal 5 7 4 3 2 2" xfId="46317" xr:uid="{EA8C00BF-39C8-4E2C-B5F5-E6253C288189}"/>
    <cellStyle name="Normal 5 7 4 3 3" xfId="33726" xr:uid="{79B9522D-DF67-49C0-A546-4E995F17CF1D}"/>
    <cellStyle name="Normal 5 7 4 4" xfId="14547" xr:uid="{8BA22774-F958-48D6-B42C-AABFB37023BB}"/>
    <cellStyle name="Normal 5 7 4 4 2" xfId="40039" xr:uid="{689C21B5-BA30-4E4B-8D4D-CBCEC21BD7F6}"/>
    <cellStyle name="Normal 5 7 4 5" xfId="27448" xr:uid="{B3682222-CF91-41CC-B114-3965482DA4FF}"/>
    <cellStyle name="Normal 5 7 5" xfId="1313" xr:uid="{CF23C239-444B-47A3-B205-7C0161034D1B}"/>
    <cellStyle name="Normal 5 7 5 2" xfId="4467" xr:uid="{98B35033-E268-44D1-824A-AD1A4F7686FC}"/>
    <cellStyle name="Normal 5 7 5 2 2" xfId="10760" xr:uid="{209144D3-E0BB-452C-BCCD-DD66137E256E}"/>
    <cellStyle name="Normal 5 7 5 2 2 2" xfId="23442" xr:uid="{FF14B2FA-3720-40D4-A3B2-D512126F867B}"/>
    <cellStyle name="Normal 5 7 5 2 2 2 2" xfId="48934" xr:uid="{D456B564-FE77-4CCB-96C1-44B7870E2231}"/>
    <cellStyle name="Normal 5 7 5 2 2 3" xfId="36343" xr:uid="{B51A6429-B6AA-4CF7-BC4F-FC7703AD4B74}"/>
    <cellStyle name="Normal 5 7 5 2 3" xfId="17164" xr:uid="{10350A1D-028A-4C39-8AB3-6C18BF233296}"/>
    <cellStyle name="Normal 5 7 5 2 3 2" xfId="42656" xr:uid="{A96FA84F-4489-4384-A870-48EFF5F081C8}"/>
    <cellStyle name="Normal 5 7 5 2 4" xfId="30065" xr:uid="{71D68CDA-6592-41FD-9DC5-AD69A2B19DF0}"/>
    <cellStyle name="Normal 5 7 5 3" xfId="7621" xr:uid="{9D805D31-05C2-42F9-819A-6FF8C59EE57B}"/>
    <cellStyle name="Normal 5 7 5 3 2" xfId="20303" xr:uid="{3FA0488C-DBC3-40AD-A040-4900A9CE4481}"/>
    <cellStyle name="Normal 5 7 5 3 2 2" xfId="45795" xr:uid="{65A5A243-5A9F-4A93-B07B-1559F6F3CD65}"/>
    <cellStyle name="Normal 5 7 5 3 3" xfId="33204" xr:uid="{CB4C9C9C-885F-4380-AE36-219ABCB5C296}"/>
    <cellStyle name="Normal 5 7 5 4" xfId="14025" xr:uid="{5723D10D-2D9F-4237-BA48-136272D42332}"/>
    <cellStyle name="Normal 5 7 5 4 2" xfId="39517" xr:uid="{65AA1E19-C00D-4147-B8A7-41391632EEC8}"/>
    <cellStyle name="Normal 5 7 5 5" xfId="26926" xr:uid="{F687B951-7D1E-4209-8F71-62C975FD4A64}"/>
    <cellStyle name="Normal 5 7 6" xfId="2620" xr:uid="{39953E4F-672E-4F32-B3FB-4667ACD690BB}"/>
    <cellStyle name="Normal 5 7 6 2" xfId="5774" xr:uid="{7903E037-83E8-48A3-86DB-92E23624000B}"/>
    <cellStyle name="Normal 5 7 6 2 2" xfId="12067" xr:uid="{E28DA798-A8AD-428F-90E0-3D0FC32A57AE}"/>
    <cellStyle name="Normal 5 7 6 2 2 2" xfId="24749" xr:uid="{3A4F774C-B272-4B2F-80D3-138FA0A59551}"/>
    <cellStyle name="Normal 5 7 6 2 2 2 2" xfId="50241" xr:uid="{162D7E5B-4865-423D-B8DC-5516B0E9F4C3}"/>
    <cellStyle name="Normal 5 7 6 2 2 3" xfId="37650" xr:uid="{67239EA2-EDB2-4781-B9E4-EF53D0DE4A9A}"/>
    <cellStyle name="Normal 5 7 6 2 3" xfId="18471" xr:uid="{815F2775-A090-4F64-A736-440EA5D72C5E}"/>
    <cellStyle name="Normal 5 7 6 2 3 2" xfId="43963" xr:uid="{9E10D49A-96C7-4F68-88FD-06ABB760B8A1}"/>
    <cellStyle name="Normal 5 7 6 2 4" xfId="31372" xr:uid="{0A7E8397-84A9-40B7-BC18-438A8E304BCF}"/>
    <cellStyle name="Normal 5 7 6 3" xfId="8928" xr:uid="{E2890E68-ECA2-40F5-82D4-CA23832D1F20}"/>
    <cellStyle name="Normal 5 7 6 3 2" xfId="21610" xr:uid="{723FBD55-73D1-4A7F-82CB-99AE3BA6E60C}"/>
    <cellStyle name="Normal 5 7 6 3 2 2" xfId="47102" xr:uid="{F30AED86-55D1-4B27-8799-5672E04E3AB3}"/>
    <cellStyle name="Normal 5 7 6 3 3" xfId="34511" xr:uid="{5D4785EC-D74A-4A3D-B578-21054A4FD218}"/>
    <cellStyle name="Normal 5 7 6 4" xfId="15332" xr:uid="{9FF4EFF5-2627-4661-A424-6807655B2FD5}"/>
    <cellStyle name="Normal 5 7 6 4 2" xfId="40824" xr:uid="{05CBE800-EE4D-4E09-ABF8-6C123B5580FD}"/>
    <cellStyle name="Normal 5 7 6 5" xfId="28233" xr:uid="{E3465D9A-F619-48CA-AF04-3D81A0E0D7E6}"/>
    <cellStyle name="Normal 5 7 7" xfId="3143" xr:uid="{39BE6D8E-80B8-4633-A64C-DF9B6B665C1E}"/>
    <cellStyle name="Normal 5 7 7 2" xfId="6297" xr:uid="{EF12D62C-10E5-4018-95A7-DA3AC5A19B3F}"/>
    <cellStyle name="Normal 5 7 7 2 2" xfId="12590" xr:uid="{128DB732-2A35-4088-A677-9868DF842386}"/>
    <cellStyle name="Normal 5 7 7 2 2 2" xfId="25272" xr:uid="{C7E1251D-C906-40CD-89CF-AEA7B09D948A}"/>
    <cellStyle name="Normal 5 7 7 2 2 2 2" xfId="50764" xr:uid="{87507156-9B72-4CEB-8E34-790DE8C4AD78}"/>
    <cellStyle name="Normal 5 7 7 2 2 3" xfId="38173" xr:uid="{0C6EA2AB-717F-4A2B-86E7-7F8D634B2389}"/>
    <cellStyle name="Normal 5 7 7 2 3" xfId="18994" xr:uid="{5821AF1F-DE4F-4E94-B7A0-7659B0EA2187}"/>
    <cellStyle name="Normal 5 7 7 2 3 2" xfId="44486" xr:uid="{010E960D-D2DD-4CDA-96BC-D81437801E86}"/>
    <cellStyle name="Normal 5 7 7 2 4" xfId="31895" xr:uid="{6B74E563-2BD8-4597-AD22-C85FB7881762}"/>
    <cellStyle name="Normal 5 7 7 3" xfId="9451" xr:uid="{750BCD8F-A00B-4383-B842-369399C31CAD}"/>
    <cellStyle name="Normal 5 7 7 3 2" xfId="22133" xr:uid="{621C9B90-41A1-4829-88D0-1310F2A24409}"/>
    <cellStyle name="Normal 5 7 7 3 2 2" xfId="47625" xr:uid="{634AFF40-35DA-4D33-8B71-A22ECF99DCB4}"/>
    <cellStyle name="Normal 5 7 7 3 3" xfId="35034" xr:uid="{59E238DF-E9E1-4BA6-9854-87C5C2E509D8}"/>
    <cellStyle name="Normal 5 7 7 4" xfId="15855" xr:uid="{572B2F89-5C87-4E76-AEDC-6B8BE939B366}"/>
    <cellStyle name="Normal 5 7 7 4 2" xfId="41347" xr:uid="{CA61A0AF-DF10-47B3-AE85-0273B29E6C37}"/>
    <cellStyle name="Normal 5 7 7 5" xfId="28756" xr:uid="{2B7EA0E9-F20B-462B-AEE7-1692DED956F5}"/>
    <cellStyle name="Normal 5 7 8" xfId="3682" xr:uid="{16652D79-FBA2-423D-AFBA-5683DFFD1D4E}"/>
    <cellStyle name="Normal 5 7 8 2" xfId="9975" xr:uid="{38E365EB-E1EE-46E6-BF23-5C4779559757}"/>
    <cellStyle name="Normal 5 7 8 2 2" xfId="22657" xr:uid="{F2B98688-E633-42E9-A320-E1E5C7E6D794}"/>
    <cellStyle name="Normal 5 7 8 2 2 2" xfId="48149" xr:uid="{B5EECF31-2795-4E0E-8551-3A6C59719C84}"/>
    <cellStyle name="Normal 5 7 8 2 3" xfId="35558" xr:uid="{8A5D509C-F5CB-4DD0-8644-DD2EDA4505CE}"/>
    <cellStyle name="Normal 5 7 8 3" xfId="16379" xr:uid="{E202B44F-32C4-4566-89B7-03CEA345B8A2}"/>
    <cellStyle name="Normal 5 7 8 3 2" xfId="41871" xr:uid="{0B7C750B-69E5-4D0F-9E85-75187F7F30F5}"/>
    <cellStyle name="Normal 5 7 8 4" xfId="29280" xr:uid="{FFE827C4-D8F7-43F4-BC66-27E0A1D26079}"/>
    <cellStyle name="Normal 5 7 9" xfId="6836" xr:uid="{7F77128F-A462-47B0-B2AC-411DBDAC0FDC}"/>
    <cellStyle name="Normal 5 7 9 2" xfId="19518" xr:uid="{3A199774-B18A-4DA6-B5F7-866E35B568AD}"/>
    <cellStyle name="Normal 5 7 9 2 2" xfId="45010" xr:uid="{F901E557-4F97-4399-92EA-747B7C1173AE}"/>
    <cellStyle name="Normal 5 7 9 3" xfId="32419" xr:uid="{4E83C43B-BDF9-4014-B78B-2D43A5CC5E60}"/>
    <cellStyle name="Normal 5 8" xfId="949" xr:uid="{7CCB4173-C80C-4887-A6A1-F3D416B67C91}"/>
    <cellStyle name="Normal 5 8 2" xfId="2256" xr:uid="{26AB797F-1E53-49B7-8DB2-F2969E8184B6}"/>
    <cellStyle name="Normal 5 8 2 2" xfId="5410" xr:uid="{5F1DD5EF-1577-4283-8D60-4824822E0B18}"/>
    <cellStyle name="Normal 5 8 2 2 2" xfId="11703" xr:uid="{FCF3C4D4-177C-4905-856C-98E631B65B3F}"/>
    <cellStyle name="Normal 5 8 2 2 2 2" xfId="24385" xr:uid="{648B5AF9-C5F5-4BFA-9CA6-2B8981169618}"/>
    <cellStyle name="Normal 5 8 2 2 2 2 2" xfId="49877" xr:uid="{8F7885AA-6443-4463-A77B-4AA8914C4E6B}"/>
    <cellStyle name="Normal 5 8 2 2 2 3" xfId="37286" xr:uid="{7ED2C652-2709-4C1E-B39F-BD7B9DB08B25}"/>
    <cellStyle name="Normal 5 8 2 2 3" xfId="18107" xr:uid="{C822C52A-6F14-4FA7-BC70-151589A5E5CD}"/>
    <cellStyle name="Normal 5 8 2 2 3 2" xfId="43599" xr:uid="{E2E58847-AC46-4176-A837-BFF0432CD5AF}"/>
    <cellStyle name="Normal 5 8 2 2 4" xfId="31008" xr:uid="{A3E9C8DA-9F5E-412D-B51F-CE4D2768B0D4}"/>
    <cellStyle name="Normal 5 8 2 3" xfId="8564" xr:uid="{D216CD45-D162-425F-A589-0693DCF3B90B}"/>
    <cellStyle name="Normal 5 8 2 3 2" xfId="21246" xr:uid="{D155F43F-4DF7-4273-9E1D-916E3ADB47D9}"/>
    <cellStyle name="Normal 5 8 2 3 2 2" xfId="46738" xr:uid="{C07B547B-A027-4016-BDA7-B3C2DBA6B251}"/>
    <cellStyle name="Normal 5 8 2 3 3" xfId="34147" xr:uid="{4BB7506D-E140-49AE-81B7-D057EA10F6F5}"/>
    <cellStyle name="Normal 5 8 2 4" xfId="14968" xr:uid="{F58E7A00-7975-43E5-828B-3EF4B6E0A700}"/>
    <cellStyle name="Normal 5 8 2 4 2" xfId="40460" xr:uid="{C283A758-43F6-455B-B17C-FBB45B921B1F}"/>
    <cellStyle name="Normal 5 8 2 5" xfId="27869" xr:uid="{873CF1A7-3C19-427E-9B7F-D3070F31C34A}"/>
    <cellStyle name="Normal 5 8 3" xfId="1473" xr:uid="{B8BEF61A-94E0-4F18-AFD5-0426EA95A765}"/>
    <cellStyle name="Normal 5 8 3 2" xfId="4627" xr:uid="{575B636D-7E61-4921-916E-D4A0CB855F29}"/>
    <cellStyle name="Normal 5 8 3 2 2" xfId="10920" xr:uid="{6EDB4DA1-75D1-4229-821F-576AB1A40F5F}"/>
    <cellStyle name="Normal 5 8 3 2 2 2" xfId="23602" xr:uid="{B869013D-B2E2-4570-A1C2-3A52D1041F97}"/>
    <cellStyle name="Normal 5 8 3 2 2 2 2" xfId="49094" xr:uid="{9408C08C-7948-4E36-95B2-19C098D96AE9}"/>
    <cellStyle name="Normal 5 8 3 2 2 3" xfId="36503" xr:uid="{24615C9C-7DD9-49E1-9250-AD625ABC5794}"/>
    <cellStyle name="Normal 5 8 3 2 3" xfId="17324" xr:uid="{672EBAEE-69F8-4250-AD47-BA59BF1FB838}"/>
    <cellStyle name="Normal 5 8 3 2 3 2" xfId="42816" xr:uid="{6E8799EC-3EBB-433E-9DAC-7079A52891A7}"/>
    <cellStyle name="Normal 5 8 3 2 4" xfId="30225" xr:uid="{F4E7712D-E595-4A7E-AC42-F499C2A0E520}"/>
    <cellStyle name="Normal 5 8 3 3" xfId="7781" xr:uid="{495867E0-6788-4452-80EB-391FAE236890}"/>
    <cellStyle name="Normal 5 8 3 3 2" xfId="20463" xr:uid="{E81D254E-1A1C-45C5-B0E4-CDB7064853C2}"/>
    <cellStyle name="Normal 5 8 3 3 2 2" xfId="45955" xr:uid="{AA98A6A5-E3CD-4792-99EA-823B0508AE9C}"/>
    <cellStyle name="Normal 5 8 3 3 3" xfId="33364" xr:uid="{89FEBD87-45A6-4AB4-A606-BA680B6B0E6D}"/>
    <cellStyle name="Normal 5 8 3 4" xfId="14185" xr:uid="{D26D2479-1723-4C31-980F-D25D364BBF70}"/>
    <cellStyle name="Normal 5 8 3 4 2" xfId="39677" xr:uid="{591C0F86-DB93-4899-9CEE-4953B0901197}"/>
    <cellStyle name="Normal 5 8 3 5" xfId="27086" xr:uid="{08DF95BD-8668-4F7D-A557-1830E392AE64}"/>
    <cellStyle name="Normal 5 8 4" xfId="2780" xr:uid="{3EB39D07-7170-42F0-9C69-B0C527658CEB}"/>
    <cellStyle name="Normal 5 8 4 2" xfId="5934" xr:uid="{8C3491EC-F625-4AC7-9EA9-B7D3440995E6}"/>
    <cellStyle name="Normal 5 8 4 2 2" xfId="12227" xr:uid="{87E0EF45-73B5-4C46-A558-EC06A92D7ACC}"/>
    <cellStyle name="Normal 5 8 4 2 2 2" xfId="24909" xr:uid="{06D8FA00-E1A5-49BA-AA64-F6116F993E67}"/>
    <cellStyle name="Normal 5 8 4 2 2 2 2" xfId="50401" xr:uid="{9D73D398-97FA-4A5F-B91A-BE84D4EDBBA2}"/>
    <cellStyle name="Normal 5 8 4 2 2 3" xfId="37810" xr:uid="{7510E141-E2A4-40F8-8DA0-345FBAB333BA}"/>
    <cellStyle name="Normal 5 8 4 2 3" xfId="18631" xr:uid="{0D5C94E5-AB08-45C1-BCF9-388CC1E23C5D}"/>
    <cellStyle name="Normal 5 8 4 2 3 2" xfId="44123" xr:uid="{4DA2FD95-3BB3-4775-A5A8-670A335F815F}"/>
    <cellStyle name="Normal 5 8 4 2 4" xfId="31532" xr:uid="{927C16FB-2FED-4750-9AB0-A9A0736F3E21}"/>
    <cellStyle name="Normal 5 8 4 3" xfId="9088" xr:uid="{6DDDACC1-6461-49A5-B252-01DB82C994E8}"/>
    <cellStyle name="Normal 5 8 4 3 2" xfId="21770" xr:uid="{2C1224FB-0CF2-44C3-B454-4C5609B10DB8}"/>
    <cellStyle name="Normal 5 8 4 3 2 2" xfId="47262" xr:uid="{23C1D449-6ED8-4A62-B397-581D07BB1E59}"/>
    <cellStyle name="Normal 5 8 4 3 3" xfId="34671" xr:uid="{368C8C5F-8E90-4BDF-B539-1CA0EB46AD46}"/>
    <cellStyle name="Normal 5 8 4 4" xfId="15492" xr:uid="{C77BC3EB-8D2A-4E26-8804-07AC30B56739}"/>
    <cellStyle name="Normal 5 8 4 4 2" xfId="40984" xr:uid="{0FC535E8-3975-4778-80E9-47FBE6DB23B9}"/>
    <cellStyle name="Normal 5 8 4 5" xfId="28393" xr:uid="{3656A58A-0FA6-4D55-90D4-8010CDFF18CC}"/>
    <cellStyle name="Normal 5 8 5" xfId="3303" xr:uid="{4E351F55-B19F-440E-8C37-C96CA86B2E41}"/>
    <cellStyle name="Normal 5 8 5 2" xfId="6457" xr:uid="{60D4BCAF-68C7-43DC-BB33-BEF57CE1AFD4}"/>
    <cellStyle name="Normal 5 8 5 2 2" xfId="12750" xr:uid="{26E008DA-5504-4EFB-8353-B9B1A80453D0}"/>
    <cellStyle name="Normal 5 8 5 2 2 2" xfId="25432" xr:uid="{33D90220-1ECF-4B3C-AB04-CA5B3D6E1351}"/>
    <cellStyle name="Normal 5 8 5 2 2 2 2" xfId="50924" xr:uid="{F0105CB5-20A2-46CB-8AFB-E446F6E07386}"/>
    <cellStyle name="Normal 5 8 5 2 2 3" xfId="38333" xr:uid="{8DE2E76A-9AD7-4857-A1E2-471047B4DD64}"/>
    <cellStyle name="Normal 5 8 5 2 3" xfId="19154" xr:uid="{4F9F5FB3-D15F-4CF0-84E3-7CEA226C78CF}"/>
    <cellStyle name="Normal 5 8 5 2 3 2" xfId="44646" xr:uid="{5E3B90AC-20CE-4CFD-ABE9-F255B8B7CF16}"/>
    <cellStyle name="Normal 5 8 5 2 4" xfId="32055" xr:uid="{DBCD5969-4C5D-4CDE-A24B-F1DDA3B337E1}"/>
    <cellStyle name="Normal 5 8 5 3" xfId="9611" xr:uid="{439B50D3-5A88-4434-9C41-8C0E04A4A4E7}"/>
    <cellStyle name="Normal 5 8 5 3 2" xfId="22293" xr:uid="{60D7A17F-9530-4D17-AFCC-138B9A420A18}"/>
    <cellStyle name="Normal 5 8 5 3 2 2" xfId="47785" xr:uid="{B8B583E2-BA83-40BD-993C-6A5432A924E0}"/>
    <cellStyle name="Normal 5 8 5 3 3" xfId="35194" xr:uid="{65BFE6B7-04C2-4CF4-8797-DEC141A1ACE7}"/>
    <cellStyle name="Normal 5 8 5 4" xfId="16015" xr:uid="{18C8A4C4-85B5-489F-B071-D9CCDAE4454D}"/>
    <cellStyle name="Normal 5 8 5 4 2" xfId="41507" xr:uid="{696ACE7D-FB59-4F70-82C8-19F5B4905408}"/>
    <cellStyle name="Normal 5 8 5 5" xfId="28916" xr:uid="{E484A0BC-E2B4-4002-B70C-8CB3E6565120}"/>
    <cellStyle name="Normal 5 8 6" xfId="4103" xr:uid="{994D63AE-B655-422A-B446-68624C392FD5}"/>
    <cellStyle name="Normal 5 8 6 2" xfId="10396" xr:uid="{99B36472-72CB-4D1F-9D85-7665F651ED44}"/>
    <cellStyle name="Normal 5 8 6 2 2" xfId="23078" xr:uid="{B91EE688-CAAA-45E7-BCA0-ED701BB62C6E}"/>
    <cellStyle name="Normal 5 8 6 2 2 2" xfId="48570" xr:uid="{9AD7B067-AEBC-44D2-ADB8-6E7F822902D8}"/>
    <cellStyle name="Normal 5 8 6 2 3" xfId="35979" xr:uid="{7FB90AE7-FF70-4F21-ABC1-9F458B66A4A6}"/>
    <cellStyle name="Normal 5 8 6 3" xfId="16800" xr:uid="{8557916B-F959-4523-9E5F-5B5CF2143D76}"/>
    <cellStyle name="Normal 5 8 6 3 2" xfId="42292" xr:uid="{EBF6C281-1FDD-4AF9-AF92-0FB2BFB93B6C}"/>
    <cellStyle name="Normal 5 8 6 4" xfId="29701" xr:uid="{C42977DA-E1F6-4A54-AB91-1CA248E3E070}"/>
    <cellStyle name="Normal 5 8 7" xfId="7257" xr:uid="{856B4321-008D-409A-8634-6E07225ECB35}"/>
    <cellStyle name="Normal 5 8 7 2" xfId="19939" xr:uid="{4E60958C-5391-4568-A50D-22B0F28257E6}"/>
    <cellStyle name="Normal 5 8 7 2 2" xfId="45431" xr:uid="{2BFF716A-3814-40D6-AB78-65A9BA64DE9B}"/>
    <cellStyle name="Normal 5 8 7 3" xfId="32840" xr:uid="{3F0B09F6-5B05-478D-9476-05FF225CC221}"/>
    <cellStyle name="Normal 5 8 8" xfId="13661" xr:uid="{5831CDCF-6E1E-4C48-937B-DE5E6FC51250}"/>
    <cellStyle name="Normal 5 8 8 2" xfId="39153" xr:uid="{771FC1FC-A566-468C-944B-DC3344A832D7}"/>
    <cellStyle name="Normal 5 8 9" xfId="26562" xr:uid="{BEE683D6-19F0-47D4-8F8D-5483883A08FD}"/>
    <cellStyle name="Normal 5 9" xfId="689" xr:uid="{64D14E72-FA4B-4EFB-A03C-0CF4AEE4C1D3}"/>
    <cellStyle name="Normal 5 9 2" xfId="1996" xr:uid="{64D71568-74E3-4020-9894-A536F95CC93A}"/>
    <cellStyle name="Normal 5 9 2 2" xfId="5150" xr:uid="{D934C7F5-F7DD-4214-BCAD-B9E697C49FD4}"/>
    <cellStyle name="Normal 5 9 2 2 2" xfId="11443" xr:uid="{363F9B28-E58B-42F9-88B6-B1D63A264833}"/>
    <cellStyle name="Normal 5 9 2 2 2 2" xfId="24125" xr:uid="{B12A09B8-2B61-4449-888E-742A4DE62168}"/>
    <cellStyle name="Normal 5 9 2 2 2 2 2" xfId="49617" xr:uid="{815A7B85-4358-49EA-BEE3-ACD97C8FEB4A}"/>
    <cellStyle name="Normal 5 9 2 2 2 3" xfId="37026" xr:uid="{178E5E95-4ED2-4D6A-89D6-C687DFC0B5B5}"/>
    <cellStyle name="Normal 5 9 2 2 3" xfId="17847" xr:uid="{ED9EB92F-D313-486C-BBC6-28981C8F9671}"/>
    <cellStyle name="Normal 5 9 2 2 3 2" xfId="43339" xr:uid="{2773E446-7E96-4529-8948-6FECBB7F9C12}"/>
    <cellStyle name="Normal 5 9 2 2 4" xfId="30748" xr:uid="{0B2F6372-D9F2-447E-923F-0786A75AA8BB}"/>
    <cellStyle name="Normal 5 9 2 3" xfId="8304" xr:uid="{33749A11-7F55-4380-B0F3-D77630D80DFA}"/>
    <cellStyle name="Normal 5 9 2 3 2" xfId="20986" xr:uid="{D69BF88B-EEFB-42CF-9E7E-A311F3491B83}"/>
    <cellStyle name="Normal 5 9 2 3 2 2" xfId="46478" xr:uid="{29C99EAC-FC4C-4BCC-BC8D-F7A5A5513ABF}"/>
    <cellStyle name="Normal 5 9 2 3 3" xfId="33887" xr:uid="{B5606183-B3E6-4A28-ABD9-CD83216BB612}"/>
    <cellStyle name="Normal 5 9 2 4" xfId="14708" xr:uid="{0B094E87-3B4F-436D-9C55-0FE0B1B7EB3A}"/>
    <cellStyle name="Normal 5 9 2 4 2" xfId="40200" xr:uid="{B3F25E2F-D6D7-4B18-BF73-7F373CE0D2BC}"/>
    <cellStyle name="Normal 5 9 2 5" xfId="27609" xr:uid="{D6C8D3D1-FB29-4F7A-987F-9566869AF6EE}"/>
    <cellStyle name="Normal 5 9 3" xfId="3843" xr:uid="{D3A9E755-6192-4BAA-9BE0-438006DB6AC0}"/>
    <cellStyle name="Normal 5 9 3 2" xfId="10136" xr:uid="{5BB0BA32-F7C6-4123-A228-D3765BEB0CD6}"/>
    <cellStyle name="Normal 5 9 3 2 2" xfId="22818" xr:uid="{FEA94BA1-82EF-4705-AB43-E2352D031240}"/>
    <cellStyle name="Normal 5 9 3 2 2 2" xfId="48310" xr:uid="{8CD6D507-2680-4BFC-884E-30DA4D2A6001}"/>
    <cellStyle name="Normal 5 9 3 2 3" xfId="35719" xr:uid="{25E3B3D8-48A2-48D5-BDF3-6E3EA009CD82}"/>
    <cellStyle name="Normal 5 9 3 3" xfId="16540" xr:uid="{DDD09D83-122C-43C6-B151-8837B7D0C151}"/>
    <cellStyle name="Normal 5 9 3 3 2" xfId="42032" xr:uid="{563D1501-7031-4377-ABFF-67BF0BC80693}"/>
    <cellStyle name="Normal 5 9 3 4" xfId="29441" xr:uid="{D3E05598-C5D9-4552-B319-5CEC863D3B6F}"/>
    <cellStyle name="Normal 5 9 4" xfId="6997" xr:uid="{BC3810FD-65F2-48C6-BD98-487DD30E226E}"/>
    <cellStyle name="Normal 5 9 4 2" xfId="19679" xr:uid="{CED941FC-AEF4-4E60-84FA-38AF7AA9127E}"/>
    <cellStyle name="Normal 5 9 4 2 2" xfId="45171" xr:uid="{43C2B87D-495E-42BF-9E1F-9B11EEF41631}"/>
    <cellStyle name="Normal 5 9 4 3" xfId="32580" xr:uid="{BE241D43-D0DD-4714-B0D8-518FBD8DAFD6}"/>
    <cellStyle name="Normal 5 9 5" xfId="13401" xr:uid="{0D7001EA-3303-4FB0-A09C-7FE5DCED459B}"/>
    <cellStyle name="Normal 5 9 5 2" xfId="38893" xr:uid="{E0AB8736-9539-43A1-BEB6-2769A5FEAB5F}"/>
    <cellStyle name="Normal 5 9 6" xfId="26302" xr:uid="{D6E72DBC-48B3-450F-85CE-22CB578CC00E}"/>
    <cellStyle name="Normal 6" xfId="99" xr:uid="{A35D5F04-F78A-4985-8EAC-D83E0150800A}"/>
    <cellStyle name="Normal 6 10" xfId="1736" xr:uid="{478B97BD-D8C2-4773-B618-4E77D2DA6C52}"/>
    <cellStyle name="Normal 6 10 2" xfId="4890" xr:uid="{23A388D7-254C-43CE-8F45-FFB3C7989F35}"/>
    <cellStyle name="Normal 6 10 2 2" xfId="11183" xr:uid="{4DE74239-CFC5-45BC-B6FE-61691005DBCC}"/>
    <cellStyle name="Normal 6 10 2 2 2" xfId="23865" xr:uid="{BCC6E43A-D933-4752-A8BF-EB5AF77BC20C}"/>
    <cellStyle name="Normal 6 10 2 2 2 2" xfId="49357" xr:uid="{D6DC8E01-A543-40F6-97C2-E5030365F212}"/>
    <cellStyle name="Normal 6 10 2 2 3" xfId="36766" xr:uid="{22A7D18A-D6AB-4B61-9743-DCDBC5A7357D}"/>
    <cellStyle name="Normal 6 10 2 3" xfId="17587" xr:uid="{B1E2FA2C-4C89-4D74-BDD1-AA0E9DF338F8}"/>
    <cellStyle name="Normal 6 10 2 3 2" xfId="43079" xr:uid="{7915C15D-3B43-4608-A372-A80EC5D21A3F}"/>
    <cellStyle name="Normal 6 10 2 4" xfId="30488" xr:uid="{4CF1E51F-1266-4E6B-B6A8-7382F4B03FCA}"/>
    <cellStyle name="Normal 6 10 3" xfId="8044" xr:uid="{34158929-BFFB-48DA-AF8C-0A9A22200D7B}"/>
    <cellStyle name="Normal 6 10 3 2" xfId="20726" xr:uid="{99807DF9-C234-4408-8DC8-274C2706734D}"/>
    <cellStyle name="Normal 6 10 3 2 2" xfId="46218" xr:uid="{D11CFA13-CC22-4610-BED5-7C04E02799E1}"/>
    <cellStyle name="Normal 6 10 3 3" xfId="33627" xr:uid="{C6C0BCB4-84BB-4957-A0F1-E09C577CCF27}"/>
    <cellStyle name="Normal 6 10 4" xfId="14448" xr:uid="{C036515D-6B9F-4D38-B19B-574FF87AECCD}"/>
    <cellStyle name="Normal 6 10 4 2" xfId="39940" xr:uid="{29C4C85E-34D1-41A6-8BE5-81A92C0BFA6D}"/>
    <cellStyle name="Normal 6 10 5" xfId="27349" xr:uid="{A6C45709-623C-40F2-90E6-AD08332D6078}"/>
    <cellStyle name="Normal 6 11" xfId="1214" xr:uid="{93882AB2-6C74-4757-AE45-C270CC59642D}"/>
    <cellStyle name="Normal 6 11 2" xfId="4368" xr:uid="{6FFF6DAE-9291-43C7-883C-C5A6E8845238}"/>
    <cellStyle name="Normal 6 11 2 2" xfId="10661" xr:uid="{5D8E4883-08F4-4DC4-8775-2B387F4D1646}"/>
    <cellStyle name="Normal 6 11 2 2 2" xfId="23343" xr:uid="{6CD9E819-E5C7-4C48-9806-7F1EEA7DFDBB}"/>
    <cellStyle name="Normal 6 11 2 2 2 2" xfId="48835" xr:uid="{1EB42EE8-E3C6-4876-B9A2-D25991AE4696}"/>
    <cellStyle name="Normal 6 11 2 2 3" xfId="36244" xr:uid="{229A334F-931E-4312-A47A-8A649C8BE318}"/>
    <cellStyle name="Normal 6 11 2 3" xfId="17065" xr:uid="{C8895C05-AF36-499B-BD92-78FE385E593A}"/>
    <cellStyle name="Normal 6 11 2 3 2" xfId="42557" xr:uid="{E3CFE77E-1F22-45F0-8DAD-E78F96DB8151}"/>
    <cellStyle name="Normal 6 11 2 4" xfId="29966" xr:uid="{EA87E5CC-4410-4045-BA94-6946FAADBBD2}"/>
    <cellStyle name="Normal 6 11 3" xfId="7522" xr:uid="{6AD3B157-13E9-46D9-BE90-FBCDBAB7A209}"/>
    <cellStyle name="Normal 6 11 3 2" xfId="20204" xr:uid="{C993CF90-DA93-49C2-90BA-D4B559A314FB}"/>
    <cellStyle name="Normal 6 11 3 2 2" xfId="45696" xr:uid="{9BFBC39A-E3C6-406D-8394-3234AE14017C}"/>
    <cellStyle name="Normal 6 11 3 3" xfId="33105" xr:uid="{E2EA5CB7-5F1F-4938-A37B-FE8546FC9F61}"/>
    <cellStyle name="Normal 6 11 4" xfId="13926" xr:uid="{076E57BE-BBD3-43ED-B915-559429DFAA0F}"/>
    <cellStyle name="Normal 6 11 4 2" xfId="39418" xr:uid="{A960ECA2-4EC7-4B69-B6EA-D4946EEA9C66}"/>
    <cellStyle name="Normal 6 11 5" xfId="26827" xr:uid="{12CEC39A-8A0F-4DC1-A427-4FD704A04BC6}"/>
    <cellStyle name="Normal 6 12" xfId="2521" xr:uid="{6E416A45-6418-4DF6-934F-FB5746874714}"/>
    <cellStyle name="Normal 6 12 2" xfId="5675" xr:uid="{85110C3D-7C21-4556-AA6E-15EF1F01F59C}"/>
    <cellStyle name="Normal 6 12 2 2" xfId="11968" xr:uid="{57E34061-0BF4-4106-93D9-81A97E98AC05}"/>
    <cellStyle name="Normal 6 12 2 2 2" xfId="24650" xr:uid="{9B8BE412-E7CD-43EB-822F-4A54AC96B2A2}"/>
    <cellStyle name="Normal 6 12 2 2 2 2" xfId="50142" xr:uid="{9F820BBE-5B25-4AA9-8B75-13B455521BE1}"/>
    <cellStyle name="Normal 6 12 2 2 3" xfId="37551" xr:uid="{0BAFD5F7-392E-4CF4-BB69-4696E8EA3766}"/>
    <cellStyle name="Normal 6 12 2 3" xfId="18372" xr:uid="{6DE3A675-8E84-40CE-8AFB-A983FEEEC590}"/>
    <cellStyle name="Normal 6 12 2 3 2" xfId="43864" xr:uid="{E95425B5-DB31-4AF2-B056-994684450F97}"/>
    <cellStyle name="Normal 6 12 2 4" xfId="31273" xr:uid="{4213F388-A37A-4D24-BDC3-0F56F7CF45F4}"/>
    <cellStyle name="Normal 6 12 3" xfId="8829" xr:uid="{406D83C7-DED2-47D5-B06E-A44F5B4DB116}"/>
    <cellStyle name="Normal 6 12 3 2" xfId="21511" xr:uid="{32AA1C2D-916A-45DE-B0C5-6BE844B0A918}"/>
    <cellStyle name="Normal 6 12 3 2 2" xfId="47003" xr:uid="{84FEEC49-EEA8-4683-9475-DAFF6DB36439}"/>
    <cellStyle name="Normal 6 12 3 3" xfId="34412" xr:uid="{D4C97E97-98FA-4476-8412-12B3077CC4EC}"/>
    <cellStyle name="Normal 6 12 4" xfId="15233" xr:uid="{C32433F1-AE4B-426F-B16F-1DE8A6E070A8}"/>
    <cellStyle name="Normal 6 12 4 2" xfId="40725" xr:uid="{C1DA0A80-E6EF-4349-A25A-652EE9245532}"/>
    <cellStyle name="Normal 6 12 5" xfId="28134" xr:uid="{424DC3B8-C2C8-4AC0-9B09-808E89B76BC8}"/>
    <cellStyle name="Normal 6 13" xfId="3044" xr:uid="{9CA63979-E7F4-4063-9E51-4733C3BE9D7F}"/>
    <cellStyle name="Normal 6 13 2" xfId="6198" xr:uid="{4C3B080D-FC6D-4F76-80CB-8E9942D3755C}"/>
    <cellStyle name="Normal 6 13 2 2" xfId="12491" xr:uid="{D629D4F2-F786-40F0-AC93-FF2C91D33429}"/>
    <cellStyle name="Normal 6 13 2 2 2" xfId="25173" xr:uid="{AE11AD6E-4CD9-4111-BD2A-112794645F9E}"/>
    <cellStyle name="Normal 6 13 2 2 2 2" xfId="50665" xr:uid="{139C85CC-368F-4FDE-8C19-37F0FD9723F3}"/>
    <cellStyle name="Normal 6 13 2 2 3" xfId="38074" xr:uid="{B3FC03A0-3033-41E3-A39E-3DE6E9CF5E37}"/>
    <cellStyle name="Normal 6 13 2 3" xfId="18895" xr:uid="{97FC6262-D227-4F53-B71A-FFE99D96A1FA}"/>
    <cellStyle name="Normal 6 13 2 3 2" xfId="44387" xr:uid="{C6FD9C74-E982-4357-B771-42A1A1EC86D4}"/>
    <cellStyle name="Normal 6 13 2 4" xfId="31796" xr:uid="{73BDF8B1-20CE-4BF4-BDDD-A90C17A9E53F}"/>
    <cellStyle name="Normal 6 13 3" xfId="9352" xr:uid="{BC19B609-6D46-42B4-A8F1-C58CED111060}"/>
    <cellStyle name="Normal 6 13 3 2" xfId="22034" xr:uid="{24DEF4EB-918E-4E31-84EF-2A23956AB7BB}"/>
    <cellStyle name="Normal 6 13 3 2 2" xfId="47526" xr:uid="{B11DE566-EBF7-4B39-8EEF-3B22E4003EC1}"/>
    <cellStyle name="Normal 6 13 3 3" xfId="34935" xr:uid="{BDD997C8-BE60-417F-8D52-99D1F4BB0EC8}"/>
    <cellStyle name="Normal 6 13 4" xfId="15756" xr:uid="{0E477ED9-2C9C-4AF2-9551-863BD6286C47}"/>
    <cellStyle name="Normal 6 13 4 2" xfId="41248" xr:uid="{77CDAB36-87DE-41D3-821B-8CC9B88F1970}"/>
    <cellStyle name="Normal 6 13 5" xfId="28657" xr:uid="{432AA4F6-8451-4E0F-A4D7-172B88392A97}"/>
    <cellStyle name="Normal 6 14" xfId="3583" xr:uid="{854D1EA7-F0B9-4584-8B2B-6699043E7397}"/>
    <cellStyle name="Normal 6 14 2" xfId="9876" xr:uid="{9829B5BF-174F-42ED-870F-90C5AF918E33}"/>
    <cellStyle name="Normal 6 14 2 2" xfId="22558" xr:uid="{2901CA03-D82A-4973-BE86-E08EFEB54888}"/>
    <cellStyle name="Normal 6 14 2 2 2" xfId="48050" xr:uid="{659B17A5-94FF-4DA7-B259-DA8B1B954E29}"/>
    <cellStyle name="Normal 6 14 2 3" xfId="35459" xr:uid="{359BA02E-0A49-4571-9B0C-E42D2F1DF036}"/>
    <cellStyle name="Normal 6 14 3" xfId="16280" xr:uid="{890FC608-D5AE-49F1-BA79-682461FFF8E6}"/>
    <cellStyle name="Normal 6 14 3 2" xfId="41772" xr:uid="{D9D05F12-D353-43E3-B54D-5B86327295A5}"/>
    <cellStyle name="Normal 6 14 4" xfId="29181" xr:uid="{736881AE-0A35-4B12-83A1-EFEC3C786519}"/>
    <cellStyle name="Normal 6 15" xfId="6737" xr:uid="{1FB880B8-0CF1-488F-A5D7-6C2D057DD574}"/>
    <cellStyle name="Normal 6 15 2" xfId="19419" xr:uid="{17D01761-85CF-4FD1-B03F-5DDFD831C629}"/>
    <cellStyle name="Normal 6 15 2 2" xfId="44911" xr:uid="{B9F7E9B8-1D03-46C2-9D45-5343FEE4EBFB}"/>
    <cellStyle name="Normal 6 15 3" xfId="32320" xr:uid="{CF0DFD13-C92C-403F-8587-0DC304E495F5}"/>
    <cellStyle name="Normal 6 16" xfId="13122" xr:uid="{FC27333D-18ED-4C44-9059-9A529F2CD0AF}"/>
    <cellStyle name="Normal 6 16 2" xfId="38631" xr:uid="{102F56DB-5DE6-4369-8B08-567CEE48B177}"/>
    <cellStyle name="Normal 6 17" xfId="13062" xr:uid="{68350193-63CC-4969-89C3-51CC6C64A5FF}"/>
    <cellStyle name="Normal 6 18" xfId="26025" xr:uid="{8DE92EE0-856D-48B2-96F6-EF4ED5D7E7DA}"/>
    <cellStyle name="Normal 6 19" xfId="370" xr:uid="{0B9F26F8-CEAA-4CAC-842E-35EFC4E13F12}"/>
    <cellStyle name="Normal 6 2" xfId="408" xr:uid="{F0B5D358-A1C5-41A7-9D35-DB35A1DE2657}"/>
    <cellStyle name="Normal 6 2 10" xfId="1223" xr:uid="{A97EA6AC-83C3-43E1-B3AD-3612DF83C7C3}"/>
    <cellStyle name="Normal 6 2 10 2" xfId="4377" xr:uid="{820EC354-4FC1-42EC-A029-04B4BC8B874D}"/>
    <cellStyle name="Normal 6 2 10 2 2" xfId="10670" xr:uid="{FC6CEA6B-6BCA-4D62-9D68-60715E48CB7F}"/>
    <cellStyle name="Normal 6 2 10 2 2 2" xfId="23352" xr:uid="{99C179CC-5F9F-4127-9D86-08F7D8B8F8BD}"/>
    <cellStyle name="Normal 6 2 10 2 2 2 2" xfId="48844" xr:uid="{FEDB703A-22F1-4211-822E-EC21876D448E}"/>
    <cellStyle name="Normal 6 2 10 2 2 3" xfId="36253" xr:uid="{5FC6042F-3AF1-4F8B-AE35-F8902409C8BD}"/>
    <cellStyle name="Normal 6 2 10 2 3" xfId="17074" xr:uid="{C843EDF8-AA37-48E5-82DE-588DDB88C804}"/>
    <cellStyle name="Normal 6 2 10 2 3 2" xfId="42566" xr:uid="{D188AE8D-10C2-4BEE-AFC7-265C9E3FABC4}"/>
    <cellStyle name="Normal 6 2 10 2 4" xfId="29975" xr:uid="{B530D645-C08B-4739-8F8C-7A01CD94C128}"/>
    <cellStyle name="Normal 6 2 10 3" xfId="7531" xr:uid="{E6E0D43E-F7BD-4A1D-A998-ED1CBB7E3E23}"/>
    <cellStyle name="Normal 6 2 10 3 2" xfId="20213" xr:uid="{04799567-D023-4087-8C34-6CC630FD0085}"/>
    <cellStyle name="Normal 6 2 10 3 2 2" xfId="45705" xr:uid="{E847987C-9D3B-45CE-B9F7-59B4B824DF8C}"/>
    <cellStyle name="Normal 6 2 10 3 3" xfId="33114" xr:uid="{AECAB93C-5589-48A6-AE31-B22B73CAF163}"/>
    <cellStyle name="Normal 6 2 10 4" xfId="13935" xr:uid="{27F6915B-C8E2-4C75-A592-BC3256D53F16}"/>
    <cellStyle name="Normal 6 2 10 4 2" xfId="39427" xr:uid="{CF6ED4FA-9DC9-4701-B0F9-1AD7EEBE7B63}"/>
    <cellStyle name="Normal 6 2 10 5" xfId="26836" xr:uid="{EC3BF75B-65D1-4553-9DB2-1136398A75C7}"/>
    <cellStyle name="Normal 6 2 11" xfId="2530" xr:uid="{84B76155-8B46-4D33-8A1E-1C4845D174EC}"/>
    <cellStyle name="Normal 6 2 11 2" xfId="5684" xr:uid="{87145788-3C75-4621-B2B5-9101073C8EDB}"/>
    <cellStyle name="Normal 6 2 11 2 2" xfId="11977" xr:uid="{128866A5-ADEC-4E5D-B3DF-D51E635865BD}"/>
    <cellStyle name="Normal 6 2 11 2 2 2" xfId="24659" xr:uid="{F9FFB108-9E54-4F2B-BBC1-06551F6A2CEC}"/>
    <cellStyle name="Normal 6 2 11 2 2 2 2" xfId="50151" xr:uid="{CE8E0885-7C72-481A-98C4-398DAC398F69}"/>
    <cellStyle name="Normal 6 2 11 2 2 3" xfId="37560" xr:uid="{2554CE91-2648-44B1-8732-1BD68F33B4AD}"/>
    <cellStyle name="Normal 6 2 11 2 3" xfId="18381" xr:uid="{664942D6-A067-457E-A651-1EC036BC2769}"/>
    <cellStyle name="Normal 6 2 11 2 3 2" xfId="43873" xr:uid="{90C48A45-4AA4-4984-B1B6-5B4156089357}"/>
    <cellStyle name="Normal 6 2 11 2 4" xfId="31282" xr:uid="{35E9F0D6-59FD-4A12-91F4-E772A265FF80}"/>
    <cellStyle name="Normal 6 2 11 3" xfId="8838" xr:uid="{C396B63F-2038-487F-9250-AE79516474C6}"/>
    <cellStyle name="Normal 6 2 11 3 2" xfId="21520" xr:uid="{5289C838-7F01-41E4-9A5D-B6655C72947E}"/>
    <cellStyle name="Normal 6 2 11 3 2 2" xfId="47012" xr:uid="{70831FB3-F784-4FB8-A25F-A96EE663A33D}"/>
    <cellStyle name="Normal 6 2 11 3 3" xfId="34421" xr:uid="{57B768A1-B8B6-4578-A9FF-052857E474D5}"/>
    <cellStyle name="Normal 6 2 11 4" xfId="15242" xr:uid="{6A192648-A3F0-448A-A5CD-B49373E30554}"/>
    <cellStyle name="Normal 6 2 11 4 2" xfId="40734" xr:uid="{3D445137-3F64-4943-ABC6-4D1866159EB6}"/>
    <cellStyle name="Normal 6 2 11 5" xfId="28143" xr:uid="{8639D282-E399-44A4-A088-C5ED07A6F068}"/>
    <cellStyle name="Normal 6 2 12" xfId="3053" xr:uid="{FC95E2BB-D56F-41E9-9A56-9491F0928163}"/>
    <cellStyle name="Normal 6 2 12 2" xfId="6207" xr:uid="{42AEA4B6-5BFE-4A1B-B7D9-20C6DB2F449A}"/>
    <cellStyle name="Normal 6 2 12 2 2" xfId="12500" xr:uid="{63B581DC-3385-4598-8054-8BCA704A6B43}"/>
    <cellStyle name="Normal 6 2 12 2 2 2" xfId="25182" xr:uid="{5EA95552-A982-4260-85B1-0A4158C2E752}"/>
    <cellStyle name="Normal 6 2 12 2 2 2 2" xfId="50674" xr:uid="{59CF36C4-170D-4F16-9A7C-A5D0534B885A}"/>
    <cellStyle name="Normal 6 2 12 2 2 3" xfId="38083" xr:uid="{985B79D0-90BE-43DB-8FCE-9A363833B486}"/>
    <cellStyle name="Normal 6 2 12 2 3" xfId="18904" xr:uid="{69B9C29D-7884-4288-9107-0D03DEDBF084}"/>
    <cellStyle name="Normal 6 2 12 2 3 2" xfId="44396" xr:uid="{275599B6-FECD-4742-9C33-A1C2DCEB5155}"/>
    <cellStyle name="Normal 6 2 12 2 4" xfId="31805" xr:uid="{432258E8-333F-4F69-9997-14882AD8A7CC}"/>
    <cellStyle name="Normal 6 2 12 3" xfId="9361" xr:uid="{0A02B01B-37B9-4383-AD7A-B813D8E446C8}"/>
    <cellStyle name="Normal 6 2 12 3 2" xfId="22043" xr:uid="{DFD2D3FA-0C2E-4BE1-9C4D-F5A5CF8A1F3D}"/>
    <cellStyle name="Normal 6 2 12 3 2 2" xfId="47535" xr:uid="{C4AEA7EB-C8D1-4250-A613-8C9EDEC71A28}"/>
    <cellStyle name="Normal 6 2 12 3 3" xfId="34944" xr:uid="{72B9CEB5-F135-4719-88B3-B936675AA8D1}"/>
    <cellStyle name="Normal 6 2 12 4" xfId="15765" xr:uid="{8729F6CB-D30D-4BA2-8857-B2226C7A261E}"/>
    <cellStyle name="Normal 6 2 12 4 2" xfId="41257" xr:uid="{02318059-7D41-453F-A7D1-9FDC907EFF9F}"/>
    <cellStyle name="Normal 6 2 12 5" xfId="28666" xr:uid="{E5F28642-777D-42D4-9D37-93272FE51FFD}"/>
    <cellStyle name="Normal 6 2 13" xfId="3592" xr:uid="{759FD8FF-58D8-4891-82ED-FDA62DF57A78}"/>
    <cellStyle name="Normal 6 2 13 2" xfId="9885" xr:uid="{8463ED16-BDCB-4617-8583-FB4E7EB294A3}"/>
    <cellStyle name="Normal 6 2 13 2 2" xfId="22567" xr:uid="{6DC25127-8EE0-4341-AE20-4AE0FEF82359}"/>
    <cellStyle name="Normal 6 2 13 2 2 2" xfId="48059" xr:uid="{6DE6E576-75EF-4570-A5F1-743EE5A0107B}"/>
    <cellStyle name="Normal 6 2 13 2 3" xfId="35468" xr:uid="{B510F26F-D264-46DC-A975-7BF7825DDBFE}"/>
    <cellStyle name="Normal 6 2 13 3" xfId="16289" xr:uid="{1B6E7994-E17F-45F6-87CD-ED1F498C4A5A}"/>
    <cellStyle name="Normal 6 2 13 3 2" xfId="41781" xr:uid="{A15B74E9-252A-4E47-A84A-A742F073AC72}"/>
    <cellStyle name="Normal 6 2 13 4" xfId="29190" xr:uid="{E533A6E8-70E0-4A63-8897-FC60ADB77F7E}"/>
    <cellStyle name="Normal 6 2 14" xfId="6746" xr:uid="{8AE5D0EE-47B7-4B7F-878D-5242115F5CE6}"/>
    <cellStyle name="Normal 6 2 14 2" xfId="19428" xr:uid="{B11AC387-3618-4A49-84C7-01A23111769C}"/>
    <cellStyle name="Normal 6 2 14 2 2" xfId="44920" xr:uid="{0D268650-B9A4-49FF-9465-AC71493E1174}"/>
    <cellStyle name="Normal 6 2 14 3" xfId="32329" xr:uid="{13E46334-A033-4E2F-8230-0643EB62BB33}"/>
    <cellStyle name="Normal 6 2 15" xfId="13148" xr:uid="{1079EC88-174D-43B7-9302-7F97CE9C54A4}"/>
    <cellStyle name="Normal 6 2 15 2" xfId="38641" xr:uid="{745B27C4-1295-43AD-89E3-D2462270DC87}"/>
    <cellStyle name="Normal 6 2 16" xfId="26050" xr:uid="{4BA534FB-7983-4E1F-9AD1-48F5C83D5E52}"/>
    <cellStyle name="Normal 6 2 2" xfId="443" xr:uid="{A70223D3-7D6E-4FA1-91A9-19459145F337}"/>
    <cellStyle name="Normal 6 2 2 10" xfId="3073" xr:uid="{79D16187-22C5-48A5-9FAF-2DF32CA7467C}"/>
    <cellStyle name="Normal 6 2 2 10 2" xfId="6227" xr:uid="{03A8EB1C-539B-4602-AD36-1BCA172C49B8}"/>
    <cellStyle name="Normal 6 2 2 10 2 2" xfId="12520" xr:uid="{1498D8D2-D836-493A-BAC7-704700BAAD67}"/>
    <cellStyle name="Normal 6 2 2 10 2 2 2" xfId="25202" xr:uid="{631A3F95-EB0F-43A5-ACE8-C9C83A3DC147}"/>
    <cellStyle name="Normal 6 2 2 10 2 2 2 2" xfId="50694" xr:uid="{0BF83162-1B8C-4961-9006-D8211B6FE1E6}"/>
    <cellStyle name="Normal 6 2 2 10 2 2 3" xfId="38103" xr:uid="{5122A710-BCCB-4AFB-A311-FE4089280305}"/>
    <cellStyle name="Normal 6 2 2 10 2 3" xfId="18924" xr:uid="{220832EE-679A-4E69-AE57-AFA5DBD64A04}"/>
    <cellStyle name="Normal 6 2 2 10 2 3 2" xfId="44416" xr:uid="{E9A61846-B08A-418A-A534-0394CD995E5E}"/>
    <cellStyle name="Normal 6 2 2 10 2 4" xfId="31825" xr:uid="{62E0D697-1BBA-46B1-801D-0C7DD1CEDC61}"/>
    <cellStyle name="Normal 6 2 2 10 3" xfId="9381" xr:uid="{58416CE5-8786-4E6E-966A-838D413EE5B5}"/>
    <cellStyle name="Normal 6 2 2 10 3 2" xfId="22063" xr:uid="{59E33EF4-5A38-46B7-9792-8890BF89897F}"/>
    <cellStyle name="Normal 6 2 2 10 3 2 2" xfId="47555" xr:uid="{EC780AE5-3045-4358-9530-5005D6574FE8}"/>
    <cellStyle name="Normal 6 2 2 10 3 3" xfId="34964" xr:uid="{90764627-AE07-4852-A815-E156FA09CAAF}"/>
    <cellStyle name="Normal 6 2 2 10 4" xfId="15785" xr:uid="{F6B6533D-C5F7-420D-A2F9-4B1CD5BD7E9C}"/>
    <cellStyle name="Normal 6 2 2 10 4 2" xfId="41277" xr:uid="{9D0EF542-1F84-43FE-9287-FD51B1335E4A}"/>
    <cellStyle name="Normal 6 2 2 10 5" xfId="28686" xr:uid="{C79E4EA6-27FD-462C-9BCD-097EE12D47C6}"/>
    <cellStyle name="Normal 6 2 2 11" xfId="3612" xr:uid="{E279D8AD-5BE6-4612-B897-49CC1D198D1F}"/>
    <cellStyle name="Normal 6 2 2 11 2" xfId="9905" xr:uid="{A1048011-005D-40E8-9CF8-BBD99027A722}"/>
    <cellStyle name="Normal 6 2 2 11 2 2" xfId="22587" xr:uid="{7F5AA37A-1338-4EF9-9F70-EF3B1A5580C0}"/>
    <cellStyle name="Normal 6 2 2 11 2 2 2" xfId="48079" xr:uid="{974CA102-BEA2-40A3-A580-4E904F446377}"/>
    <cellStyle name="Normal 6 2 2 11 2 3" xfId="35488" xr:uid="{B04F56CC-91E1-457D-8813-4413119F469D}"/>
    <cellStyle name="Normal 6 2 2 11 3" xfId="16309" xr:uid="{3F50C3C5-09CD-42CE-89FC-A373D26EF9E1}"/>
    <cellStyle name="Normal 6 2 2 11 3 2" xfId="41801" xr:uid="{46D23146-4454-4F2A-B9E6-510532A16A6F}"/>
    <cellStyle name="Normal 6 2 2 11 4" xfId="29210" xr:uid="{D44B8E12-1D32-49CF-AFF7-28FA1BF82C25}"/>
    <cellStyle name="Normal 6 2 2 12" xfId="6766" xr:uid="{A6B516F7-0BBA-4BD8-BAA3-957E594DD857}"/>
    <cellStyle name="Normal 6 2 2 12 2" xfId="19448" xr:uid="{16BE19E3-91AD-4280-A23C-4F4BA7D73DEE}"/>
    <cellStyle name="Normal 6 2 2 12 2 2" xfId="44940" xr:uid="{0FC1F46B-2976-4724-A537-BF4C18A76035}"/>
    <cellStyle name="Normal 6 2 2 12 3" xfId="32349" xr:uid="{4E15BB50-9F7E-499B-A9B5-71627083D957}"/>
    <cellStyle name="Normal 6 2 2 13" xfId="13170" xr:uid="{46A661D2-9133-4BCD-9ED0-19C60269702A}"/>
    <cellStyle name="Normal 6 2 2 13 2" xfId="38662" xr:uid="{8D48596C-B2A7-420D-9A51-24F1DE718109}"/>
    <cellStyle name="Normal 6 2 2 14" xfId="26071" xr:uid="{D9833290-11EC-4E5E-BB3F-022D3F9B559B}"/>
    <cellStyle name="Normal 6 2 2 2" xfId="504" xr:uid="{631022C5-DEE6-4061-B9FA-DAB4437D8AB9}"/>
    <cellStyle name="Normal 6 2 2 2 10" xfId="6827" xr:uid="{94D4443C-A3EC-40D1-98FD-7F2AE19FC463}"/>
    <cellStyle name="Normal 6 2 2 2 10 2" xfId="19509" xr:uid="{289C9D9D-B88C-4E6A-BA55-D0CED3EFC3C6}"/>
    <cellStyle name="Normal 6 2 2 2 10 2 2" xfId="45001" xr:uid="{FF98A4C4-1E7C-441F-B3E0-B5C0E07D7803}"/>
    <cellStyle name="Normal 6 2 2 2 10 3" xfId="32410" xr:uid="{C4438A6E-24A6-4171-97BA-CB76D381633E}"/>
    <cellStyle name="Normal 6 2 2 2 11" xfId="13231" xr:uid="{71217EF3-2B8F-4DCE-9C56-7B4ECEE1FA3E}"/>
    <cellStyle name="Normal 6 2 2 2 11 2" xfId="38723" xr:uid="{460081A9-CC72-430F-89E1-B589498E516C}"/>
    <cellStyle name="Normal 6 2 2 2 12" xfId="26132" xr:uid="{FC0C7CED-554C-4C56-9FD8-53CBF476B20A}"/>
    <cellStyle name="Normal 6 2 2 2 2" xfId="663" xr:uid="{B8C71D11-1D14-4520-88D2-C8529A9E565E}"/>
    <cellStyle name="Normal 6 2 2 2 2 10" xfId="13390" xr:uid="{A30D9F36-3121-4CCF-A04C-97E3D3CD6FB0}"/>
    <cellStyle name="Normal 6 2 2 2 2 10 2" xfId="38882" xr:uid="{6BE5AF97-2398-442A-9286-2B5855D3583D}"/>
    <cellStyle name="Normal 6 2 2 2 2 11" xfId="26291" xr:uid="{07C54AC0-D71E-4FA2-B4DD-8B751F05E925}"/>
    <cellStyle name="Normal 6 2 2 2 2 2" xfId="1200" xr:uid="{C1F7DC9D-329D-41BC-BD43-56F2097ED952}"/>
    <cellStyle name="Normal 6 2 2 2 2 2 2" xfId="2507" xr:uid="{C46676C2-5944-461F-91E8-862F08F6C65A}"/>
    <cellStyle name="Normal 6 2 2 2 2 2 2 2" xfId="5661" xr:uid="{F99A69BA-4016-4A32-BB35-4085109E279A}"/>
    <cellStyle name="Normal 6 2 2 2 2 2 2 2 2" xfId="11954" xr:uid="{DDEBDE46-9F44-4CEA-901B-A68D36A7C557}"/>
    <cellStyle name="Normal 6 2 2 2 2 2 2 2 2 2" xfId="24636" xr:uid="{1C13933B-FF4D-4AA3-9007-41D93C50903D}"/>
    <cellStyle name="Normal 6 2 2 2 2 2 2 2 2 2 2" xfId="50128" xr:uid="{41A8F647-F318-4250-BB92-FE1D6C487364}"/>
    <cellStyle name="Normal 6 2 2 2 2 2 2 2 2 3" xfId="37537" xr:uid="{048B2E5C-AF4B-4056-B1CC-83FF801A2919}"/>
    <cellStyle name="Normal 6 2 2 2 2 2 2 2 3" xfId="18358" xr:uid="{061974CE-88AC-4896-9DE7-EA1B15AB9783}"/>
    <cellStyle name="Normal 6 2 2 2 2 2 2 2 3 2" xfId="43850" xr:uid="{4BEED6E6-F10C-4F19-A139-3F3975BB1BBB}"/>
    <cellStyle name="Normal 6 2 2 2 2 2 2 2 4" xfId="31259" xr:uid="{8F0995FA-C6E5-4486-803D-1D745CEC4F30}"/>
    <cellStyle name="Normal 6 2 2 2 2 2 2 3" xfId="8815" xr:uid="{C594C041-807A-476A-A221-3B66D51A826D}"/>
    <cellStyle name="Normal 6 2 2 2 2 2 2 3 2" xfId="21497" xr:uid="{4C082374-B5A0-4325-8BF6-73A55D61AFAD}"/>
    <cellStyle name="Normal 6 2 2 2 2 2 2 3 2 2" xfId="46989" xr:uid="{05302BD8-82D9-42F5-814F-C8EF0E3AB83F}"/>
    <cellStyle name="Normal 6 2 2 2 2 2 2 3 3" xfId="34398" xr:uid="{F2CE7CEC-2432-4722-98F9-44DBDA242348}"/>
    <cellStyle name="Normal 6 2 2 2 2 2 2 4" xfId="15219" xr:uid="{1A8D3FD5-5244-4723-A790-8FFD6C0510A4}"/>
    <cellStyle name="Normal 6 2 2 2 2 2 2 4 2" xfId="40711" xr:uid="{622E6301-581E-47F6-ADEB-D54284C0FFF7}"/>
    <cellStyle name="Normal 6 2 2 2 2 2 2 5" xfId="28120" xr:uid="{F929F847-5E93-4821-B457-15DCADBE987B}"/>
    <cellStyle name="Normal 6 2 2 2 2 2 3" xfId="1724" xr:uid="{2A1C157E-F0C5-4922-9251-66E1CBD03806}"/>
    <cellStyle name="Normal 6 2 2 2 2 2 3 2" xfId="4878" xr:uid="{7A7FE173-71BE-44B7-9CD9-864C65585C0E}"/>
    <cellStyle name="Normal 6 2 2 2 2 2 3 2 2" xfId="11171" xr:uid="{20FEF835-3356-4A1F-8BDD-FA8BBE6E9E0B}"/>
    <cellStyle name="Normal 6 2 2 2 2 2 3 2 2 2" xfId="23853" xr:uid="{15C8AF12-B298-49B1-8564-1EC7CA417EF8}"/>
    <cellStyle name="Normal 6 2 2 2 2 2 3 2 2 2 2" xfId="49345" xr:uid="{30879A65-6A3C-434F-BB15-16BBBABB6240}"/>
    <cellStyle name="Normal 6 2 2 2 2 2 3 2 2 3" xfId="36754" xr:uid="{65894637-4328-4F4C-838C-121DD502F328}"/>
    <cellStyle name="Normal 6 2 2 2 2 2 3 2 3" xfId="17575" xr:uid="{2A9A6754-C8F4-4975-8A9C-CB814236359A}"/>
    <cellStyle name="Normal 6 2 2 2 2 2 3 2 3 2" xfId="43067" xr:uid="{CAB7B4C1-2D0E-4CD5-8FFC-F25F65B05BB2}"/>
    <cellStyle name="Normal 6 2 2 2 2 2 3 2 4" xfId="30476" xr:uid="{649DC6F4-258B-4C80-9996-978974BECE6D}"/>
    <cellStyle name="Normal 6 2 2 2 2 2 3 3" xfId="8032" xr:uid="{9F158F9D-2C95-41D6-BCC9-DE764FFDD183}"/>
    <cellStyle name="Normal 6 2 2 2 2 2 3 3 2" xfId="20714" xr:uid="{23A17433-19B4-4C5D-B235-E3A5E537E892}"/>
    <cellStyle name="Normal 6 2 2 2 2 2 3 3 2 2" xfId="46206" xr:uid="{A5A86E61-1AA5-4DBC-A55B-E5D785D6508F}"/>
    <cellStyle name="Normal 6 2 2 2 2 2 3 3 3" xfId="33615" xr:uid="{786EAD89-DA74-4DC7-A590-ACC2965C163C}"/>
    <cellStyle name="Normal 6 2 2 2 2 2 3 4" xfId="14436" xr:uid="{F02D6AF3-851F-4AE1-8DC3-81DF5405FD73}"/>
    <cellStyle name="Normal 6 2 2 2 2 2 3 4 2" xfId="39928" xr:uid="{D0F7D763-323A-472E-A502-912237C89C0E}"/>
    <cellStyle name="Normal 6 2 2 2 2 2 3 5" xfId="27337" xr:uid="{5D4CDAF2-69D6-4969-96EB-2A64A968B7A7}"/>
    <cellStyle name="Normal 6 2 2 2 2 2 4" xfId="3031" xr:uid="{FD4CC339-0EAF-4F0C-8DE5-C0C3B5A4BF79}"/>
    <cellStyle name="Normal 6 2 2 2 2 2 4 2" xfId="6185" xr:uid="{444212E0-EA3E-460B-80EC-2DEE391BF65A}"/>
    <cellStyle name="Normal 6 2 2 2 2 2 4 2 2" xfId="12478" xr:uid="{1CBF9ADF-199B-4609-81EB-76AFCBBF36F4}"/>
    <cellStyle name="Normal 6 2 2 2 2 2 4 2 2 2" xfId="25160" xr:uid="{00BDE0DE-48D7-4F47-8DFF-34A57AE3B602}"/>
    <cellStyle name="Normal 6 2 2 2 2 2 4 2 2 2 2" xfId="50652" xr:uid="{E0FAB439-8961-4245-890D-85B9F806D7F4}"/>
    <cellStyle name="Normal 6 2 2 2 2 2 4 2 2 3" xfId="38061" xr:uid="{34611F6A-D125-4FF3-956C-9BEB8A0E4AAD}"/>
    <cellStyle name="Normal 6 2 2 2 2 2 4 2 3" xfId="18882" xr:uid="{1A027915-B920-4B6F-B347-E01F92B3C6B1}"/>
    <cellStyle name="Normal 6 2 2 2 2 2 4 2 3 2" xfId="44374" xr:uid="{CBDD68C2-0789-4D56-AFFC-6975106C69EF}"/>
    <cellStyle name="Normal 6 2 2 2 2 2 4 2 4" xfId="31783" xr:uid="{5391B99B-0232-41AF-BC02-BBEADC9A7AFF}"/>
    <cellStyle name="Normal 6 2 2 2 2 2 4 3" xfId="9339" xr:uid="{4507B652-0E48-4165-A4F7-5668492DBDC9}"/>
    <cellStyle name="Normal 6 2 2 2 2 2 4 3 2" xfId="22021" xr:uid="{1DE65D54-61D4-4B4F-803F-860BA45FD3C8}"/>
    <cellStyle name="Normal 6 2 2 2 2 2 4 3 2 2" xfId="47513" xr:uid="{CC06142C-B3D1-4012-8DA3-61C788114A9D}"/>
    <cellStyle name="Normal 6 2 2 2 2 2 4 3 3" xfId="34922" xr:uid="{5C4EFB55-0958-48E1-AEB7-C179D7EC2F2A}"/>
    <cellStyle name="Normal 6 2 2 2 2 2 4 4" xfId="15743" xr:uid="{26CBD20B-E721-4EC3-887D-9D306BF679C2}"/>
    <cellStyle name="Normal 6 2 2 2 2 2 4 4 2" xfId="41235" xr:uid="{4D44B3B4-9E82-4BD4-B1D0-FF54A34EBF7C}"/>
    <cellStyle name="Normal 6 2 2 2 2 2 4 5" xfId="28644" xr:uid="{7A88CCF9-79E6-48F8-9500-BD465796D370}"/>
    <cellStyle name="Normal 6 2 2 2 2 2 5" xfId="3554" xr:uid="{0F09C9BF-04D2-4FAA-81B4-C1DDC9FDB719}"/>
    <cellStyle name="Normal 6 2 2 2 2 2 5 2" xfId="6708" xr:uid="{FACE8486-8B5F-40F5-922F-5D90F08CBDCB}"/>
    <cellStyle name="Normal 6 2 2 2 2 2 5 2 2" xfId="13001" xr:uid="{A631F033-2846-4832-BAB6-AA6344069FA5}"/>
    <cellStyle name="Normal 6 2 2 2 2 2 5 2 2 2" xfId="25683" xr:uid="{17CF5603-801A-476B-9596-D38A3E6737DD}"/>
    <cellStyle name="Normal 6 2 2 2 2 2 5 2 2 2 2" xfId="51175" xr:uid="{43BEB4AC-2A25-43B4-894F-E8F602E0F1F1}"/>
    <cellStyle name="Normal 6 2 2 2 2 2 5 2 2 3" xfId="38584" xr:uid="{8D911C38-3DC8-4919-91D0-41370483904F}"/>
    <cellStyle name="Normal 6 2 2 2 2 2 5 2 3" xfId="19405" xr:uid="{F50844B8-D507-4AB0-8955-5187F5CAE62A}"/>
    <cellStyle name="Normal 6 2 2 2 2 2 5 2 3 2" xfId="44897" xr:uid="{696BCBA6-B465-4050-81A6-54636C4CDA2C}"/>
    <cellStyle name="Normal 6 2 2 2 2 2 5 2 4" xfId="32306" xr:uid="{0C15AF3F-0757-4939-AD7C-8DC8939143E3}"/>
    <cellStyle name="Normal 6 2 2 2 2 2 5 3" xfId="9862" xr:uid="{EBCF5D4B-C1EE-4EE2-B20A-C412AD34BB6F}"/>
    <cellStyle name="Normal 6 2 2 2 2 2 5 3 2" xfId="22544" xr:uid="{501C78F8-CB11-4C14-89B0-9244BE91E44C}"/>
    <cellStyle name="Normal 6 2 2 2 2 2 5 3 2 2" xfId="48036" xr:uid="{C3DE603E-3DD5-4D3E-9579-B0D1E12C9D35}"/>
    <cellStyle name="Normal 6 2 2 2 2 2 5 3 3" xfId="35445" xr:uid="{86F5F93D-D551-4E87-91A5-931B06FAC962}"/>
    <cellStyle name="Normal 6 2 2 2 2 2 5 4" xfId="16266" xr:uid="{CB917ACA-F1E6-4429-ACED-AE07DDDAB728}"/>
    <cellStyle name="Normal 6 2 2 2 2 2 5 4 2" xfId="41758" xr:uid="{5B81D082-A8F7-46EC-840D-1FB179F46D65}"/>
    <cellStyle name="Normal 6 2 2 2 2 2 5 5" xfId="29167" xr:uid="{66F55962-8C3A-466C-BD59-F2A791C967CD}"/>
    <cellStyle name="Normal 6 2 2 2 2 2 6" xfId="4354" xr:uid="{FE83307B-89C3-4713-9FCB-B63DB419F700}"/>
    <cellStyle name="Normal 6 2 2 2 2 2 6 2" xfId="10647" xr:uid="{C94A7710-C333-47C6-A30C-49704AAAF4EB}"/>
    <cellStyle name="Normal 6 2 2 2 2 2 6 2 2" xfId="23329" xr:uid="{8745A25F-DC80-491E-93CB-DAE9927F4E57}"/>
    <cellStyle name="Normal 6 2 2 2 2 2 6 2 2 2" xfId="48821" xr:uid="{237CF33A-EF55-4D34-AE9B-AC2ACD35935C}"/>
    <cellStyle name="Normal 6 2 2 2 2 2 6 2 3" xfId="36230" xr:uid="{E923CC05-777E-422D-863F-1895A1A97B31}"/>
    <cellStyle name="Normal 6 2 2 2 2 2 6 3" xfId="17051" xr:uid="{E40AC520-BAA7-46C2-94BF-33F20693B98E}"/>
    <cellStyle name="Normal 6 2 2 2 2 2 6 3 2" xfId="42543" xr:uid="{380A94E5-2E88-4E2D-AD15-521278F8035A}"/>
    <cellStyle name="Normal 6 2 2 2 2 2 6 4" xfId="29952" xr:uid="{481EC78A-4312-4FAB-B08C-DC045017EDF6}"/>
    <cellStyle name="Normal 6 2 2 2 2 2 7" xfId="7508" xr:uid="{FD5D625B-D701-400F-94B3-C498FAD95464}"/>
    <cellStyle name="Normal 6 2 2 2 2 2 7 2" xfId="20190" xr:uid="{F833C2DA-469A-4F1A-B02E-0952BB2A780F}"/>
    <cellStyle name="Normal 6 2 2 2 2 2 7 2 2" xfId="45682" xr:uid="{620D212D-9AC2-4117-A62E-7D877A8E6E67}"/>
    <cellStyle name="Normal 6 2 2 2 2 2 7 3" xfId="33091" xr:uid="{FFAB280B-8967-42E1-B225-FD8FD41A1EC6}"/>
    <cellStyle name="Normal 6 2 2 2 2 2 8" xfId="13912" xr:uid="{5D422CA3-CD78-40DB-8327-B6224DE4CC1F}"/>
    <cellStyle name="Normal 6 2 2 2 2 2 8 2" xfId="39404" xr:uid="{7512D983-7F0B-483A-9E60-762F26A326FF}"/>
    <cellStyle name="Normal 6 2 2 2 2 2 9" xfId="26813" xr:uid="{09B3D655-0836-4B22-B319-9BAF60CFE1FE}"/>
    <cellStyle name="Normal 6 2 2 2 2 3" xfId="940" xr:uid="{8B6178C2-ED81-4B59-9D0D-D21DE1CB42DC}"/>
    <cellStyle name="Normal 6 2 2 2 2 3 2" xfId="2247" xr:uid="{4AC92528-511A-4C87-B361-DB8AD8D75987}"/>
    <cellStyle name="Normal 6 2 2 2 2 3 2 2" xfId="5401" xr:uid="{05564913-7539-4028-912C-C266DBC57938}"/>
    <cellStyle name="Normal 6 2 2 2 2 3 2 2 2" xfId="11694" xr:uid="{C69D37E9-2CF7-41A1-BED4-EBFB7331962C}"/>
    <cellStyle name="Normal 6 2 2 2 2 3 2 2 2 2" xfId="24376" xr:uid="{1B977228-BB10-48AD-B2F1-7073C5BD4C66}"/>
    <cellStyle name="Normal 6 2 2 2 2 3 2 2 2 2 2" xfId="49868" xr:uid="{7EE207DD-B404-4F5B-BC7D-8DF740D65EA3}"/>
    <cellStyle name="Normal 6 2 2 2 2 3 2 2 2 3" xfId="37277" xr:uid="{BCBC127A-1E4B-4D6D-8318-205D15C32D80}"/>
    <cellStyle name="Normal 6 2 2 2 2 3 2 2 3" xfId="18098" xr:uid="{B212E52A-485E-4751-8219-68662C925F1A}"/>
    <cellStyle name="Normal 6 2 2 2 2 3 2 2 3 2" xfId="43590" xr:uid="{A8DBA0C9-CE1D-45EA-91D1-62D6F3AC0FCD}"/>
    <cellStyle name="Normal 6 2 2 2 2 3 2 2 4" xfId="30999" xr:uid="{9A95DBD4-3432-4A99-8B2B-831F830A6E27}"/>
    <cellStyle name="Normal 6 2 2 2 2 3 2 3" xfId="8555" xr:uid="{213C7DEE-A7F2-4E60-BE8A-0B3C2BF5D56C}"/>
    <cellStyle name="Normal 6 2 2 2 2 3 2 3 2" xfId="21237" xr:uid="{D832F4B7-4A9A-4B89-B215-AD98576CA0DE}"/>
    <cellStyle name="Normal 6 2 2 2 2 3 2 3 2 2" xfId="46729" xr:uid="{E220868C-3EC4-481F-8AD0-04ED601F4CFB}"/>
    <cellStyle name="Normal 6 2 2 2 2 3 2 3 3" xfId="34138" xr:uid="{029BF28F-2A7C-487C-BB88-79807062B18A}"/>
    <cellStyle name="Normal 6 2 2 2 2 3 2 4" xfId="14959" xr:uid="{3C49BAF8-061A-4B3E-B959-3B940533C9C7}"/>
    <cellStyle name="Normal 6 2 2 2 2 3 2 4 2" xfId="40451" xr:uid="{D7C103EF-4051-4B68-8B50-DF78C2B1061A}"/>
    <cellStyle name="Normal 6 2 2 2 2 3 2 5" xfId="27860" xr:uid="{EC9135BC-0DBD-4F10-93F1-8515534A9C88}"/>
    <cellStyle name="Normal 6 2 2 2 2 3 3" xfId="4094" xr:uid="{F0D2415D-7896-4B87-825F-3D54656369F2}"/>
    <cellStyle name="Normal 6 2 2 2 2 3 3 2" xfId="10387" xr:uid="{08F72A1C-2589-418E-BC06-F2E9C6A66DA8}"/>
    <cellStyle name="Normal 6 2 2 2 2 3 3 2 2" xfId="23069" xr:uid="{60EA61C3-4914-4671-A446-6D373B584874}"/>
    <cellStyle name="Normal 6 2 2 2 2 3 3 2 2 2" xfId="48561" xr:uid="{83B31FA8-9DE6-468B-8A84-5ED1E5638FDE}"/>
    <cellStyle name="Normal 6 2 2 2 2 3 3 2 3" xfId="35970" xr:uid="{FCC034C1-5A75-4FF8-B47D-6B1BE430E8B6}"/>
    <cellStyle name="Normal 6 2 2 2 2 3 3 3" xfId="16791" xr:uid="{E0087A63-58DA-4535-8B18-7D54C7E8A3EA}"/>
    <cellStyle name="Normal 6 2 2 2 2 3 3 3 2" xfId="42283" xr:uid="{5FCEBC65-AA9B-4398-A0B8-FE526B38E03D}"/>
    <cellStyle name="Normal 6 2 2 2 2 3 3 4" xfId="29692" xr:uid="{A63A744A-DC7E-46B2-A350-7B67FC6327FA}"/>
    <cellStyle name="Normal 6 2 2 2 2 3 4" xfId="7248" xr:uid="{9D5331F4-C468-4351-B395-2F430C5D8700}"/>
    <cellStyle name="Normal 6 2 2 2 2 3 4 2" xfId="19930" xr:uid="{E793644E-577E-4248-9790-685403B854F3}"/>
    <cellStyle name="Normal 6 2 2 2 2 3 4 2 2" xfId="45422" xr:uid="{1FAEF4E4-6EA1-4280-9FE3-D22E35B05F20}"/>
    <cellStyle name="Normal 6 2 2 2 2 3 4 3" xfId="32831" xr:uid="{40FA07D3-229D-412B-81C8-5B9A9F1F6D5D}"/>
    <cellStyle name="Normal 6 2 2 2 2 3 5" xfId="13652" xr:uid="{554107AF-1C8C-429A-A703-4A688134EFAA}"/>
    <cellStyle name="Normal 6 2 2 2 2 3 5 2" xfId="39144" xr:uid="{8E158D04-FBB4-4278-B3C9-41687FC60C57}"/>
    <cellStyle name="Normal 6 2 2 2 2 3 6" xfId="26553" xr:uid="{4F432FD4-5F2F-416A-90AF-61FAF490F84C}"/>
    <cellStyle name="Normal 6 2 2 2 2 4" xfId="1985" xr:uid="{20840216-37D1-4A2C-AFFE-C8686E4D69C4}"/>
    <cellStyle name="Normal 6 2 2 2 2 4 2" xfId="5139" xr:uid="{65625E70-A929-4185-9538-A9EA1AEB2C66}"/>
    <cellStyle name="Normal 6 2 2 2 2 4 2 2" xfId="11432" xr:uid="{245E5511-49EB-4DC0-AD44-EAF757BB9958}"/>
    <cellStyle name="Normal 6 2 2 2 2 4 2 2 2" xfId="24114" xr:uid="{7A8A4BD0-766C-42CC-8E44-1BEAFF266D92}"/>
    <cellStyle name="Normal 6 2 2 2 2 4 2 2 2 2" xfId="49606" xr:uid="{32B59845-9930-48A0-A0F3-28A959DD3288}"/>
    <cellStyle name="Normal 6 2 2 2 2 4 2 2 3" xfId="37015" xr:uid="{E2A237EF-B37E-49D4-9B01-590C507A0514}"/>
    <cellStyle name="Normal 6 2 2 2 2 4 2 3" xfId="17836" xr:uid="{4C2EC414-6628-4E92-A774-E9A5586366DF}"/>
    <cellStyle name="Normal 6 2 2 2 2 4 2 3 2" xfId="43328" xr:uid="{68B167BA-1F08-4CFB-9B84-C002ED3A286E}"/>
    <cellStyle name="Normal 6 2 2 2 2 4 2 4" xfId="30737" xr:uid="{5AB49DCA-7415-4234-A2A6-23EE1B2C5FA5}"/>
    <cellStyle name="Normal 6 2 2 2 2 4 3" xfId="8293" xr:uid="{E12D75C5-1581-4654-8E7B-6B5952F153C2}"/>
    <cellStyle name="Normal 6 2 2 2 2 4 3 2" xfId="20975" xr:uid="{9B31CF37-18AC-4FD7-9A86-04EED1860106}"/>
    <cellStyle name="Normal 6 2 2 2 2 4 3 2 2" xfId="46467" xr:uid="{9978CE77-0FBC-43EF-9398-8EB1E7D8C940}"/>
    <cellStyle name="Normal 6 2 2 2 2 4 3 3" xfId="33876" xr:uid="{8156D01C-10C7-4558-B4A3-56CA4A65CFEC}"/>
    <cellStyle name="Normal 6 2 2 2 2 4 4" xfId="14697" xr:uid="{09F2DD96-7A7C-4546-8693-A7DCAEC890B4}"/>
    <cellStyle name="Normal 6 2 2 2 2 4 4 2" xfId="40189" xr:uid="{5199BA28-9F32-4069-9DA8-DA2B0E0F40C0}"/>
    <cellStyle name="Normal 6 2 2 2 2 4 5" xfId="27598" xr:uid="{F36C9011-9C34-495D-8AD9-5C73664F2DB9}"/>
    <cellStyle name="Normal 6 2 2 2 2 5" xfId="1463" xr:uid="{BFFC5871-FCF5-43E6-9A9F-918AC8DB2502}"/>
    <cellStyle name="Normal 6 2 2 2 2 5 2" xfId="4617" xr:uid="{FE0A347E-DA28-4AF2-9CAB-A5BF704BC561}"/>
    <cellStyle name="Normal 6 2 2 2 2 5 2 2" xfId="10910" xr:uid="{539B1DEF-AC48-464B-9CA7-6DAB2E9F3FDE}"/>
    <cellStyle name="Normal 6 2 2 2 2 5 2 2 2" xfId="23592" xr:uid="{A52BCF35-AB01-4340-A35F-3C84BC0DD02D}"/>
    <cellStyle name="Normal 6 2 2 2 2 5 2 2 2 2" xfId="49084" xr:uid="{45C1BBDD-9622-4E70-9616-A50AD3CEEF4C}"/>
    <cellStyle name="Normal 6 2 2 2 2 5 2 2 3" xfId="36493" xr:uid="{D45DEFCF-9D0A-4E0E-91F1-F97D70DE96BB}"/>
    <cellStyle name="Normal 6 2 2 2 2 5 2 3" xfId="17314" xr:uid="{EED4D94F-C4D0-4976-985A-BFA5DFA66198}"/>
    <cellStyle name="Normal 6 2 2 2 2 5 2 3 2" xfId="42806" xr:uid="{6EC07192-514A-4965-8213-C8182B9B38E0}"/>
    <cellStyle name="Normal 6 2 2 2 2 5 2 4" xfId="30215" xr:uid="{0790350C-DDEF-4FA0-9DF8-6C6417FA9826}"/>
    <cellStyle name="Normal 6 2 2 2 2 5 3" xfId="7771" xr:uid="{24D4A6EB-FD37-4431-A2CA-83BEB22567C7}"/>
    <cellStyle name="Normal 6 2 2 2 2 5 3 2" xfId="20453" xr:uid="{B5C6EDC1-02A6-402B-B670-C463CEB619D1}"/>
    <cellStyle name="Normal 6 2 2 2 2 5 3 2 2" xfId="45945" xr:uid="{A62864D4-F2E0-41F1-8E7C-2B8CA06DD7E1}"/>
    <cellStyle name="Normal 6 2 2 2 2 5 3 3" xfId="33354" xr:uid="{321DCE48-3811-459D-9514-4C22CF5F2A04}"/>
    <cellStyle name="Normal 6 2 2 2 2 5 4" xfId="14175" xr:uid="{DB2D00B1-AAB6-4A91-AADF-6CCF1512F4CC}"/>
    <cellStyle name="Normal 6 2 2 2 2 5 4 2" xfId="39667" xr:uid="{E09CE1E8-F7B2-4741-8D44-31F3421EBA76}"/>
    <cellStyle name="Normal 6 2 2 2 2 5 5" xfId="27076" xr:uid="{CD0887B6-0E83-4387-A2A3-57C937B6DB84}"/>
    <cellStyle name="Normal 6 2 2 2 2 6" xfId="2770" xr:uid="{B648830F-457D-4BB3-BAE6-B75D2A8DA648}"/>
    <cellStyle name="Normal 6 2 2 2 2 6 2" xfId="5924" xr:uid="{92513FCF-9C57-478E-A427-9E86E9EF4FCB}"/>
    <cellStyle name="Normal 6 2 2 2 2 6 2 2" xfId="12217" xr:uid="{1A2E2D80-ADE4-454F-9061-EE295E68E548}"/>
    <cellStyle name="Normal 6 2 2 2 2 6 2 2 2" xfId="24899" xr:uid="{585D8988-9CEE-4A36-9A44-67020D5D62C8}"/>
    <cellStyle name="Normal 6 2 2 2 2 6 2 2 2 2" xfId="50391" xr:uid="{3DA8A3C9-A4DB-447B-9614-1D3BB216EBF1}"/>
    <cellStyle name="Normal 6 2 2 2 2 6 2 2 3" xfId="37800" xr:uid="{CC670C21-5246-4B71-BBB4-49BA00B647E3}"/>
    <cellStyle name="Normal 6 2 2 2 2 6 2 3" xfId="18621" xr:uid="{64C397C8-1885-4A9E-AE72-BCD39EC49F77}"/>
    <cellStyle name="Normal 6 2 2 2 2 6 2 3 2" xfId="44113" xr:uid="{71E9CB9F-43E5-4ECF-8AE6-649F41990A99}"/>
    <cellStyle name="Normal 6 2 2 2 2 6 2 4" xfId="31522" xr:uid="{A31A6602-5EFF-4EB1-B24D-EA1791019083}"/>
    <cellStyle name="Normal 6 2 2 2 2 6 3" xfId="9078" xr:uid="{28E56DD1-AC20-4B9D-913F-00A543EFFC04}"/>
    <cellStyle name="Normal 6 2 2 2 2 6 3 2" xfId="21760" xr:uid="{1951FE25-5412-4F18-BDF3-1C30B5001DC0}"/>
    <cellStyle name="Normal 6 2 2 2 2 6 3 2 2" xfId="47252" xr:uid="{2CDCDEAA-CB4B-45B5-A39F-DB10606E944C}"/>
    <cellStyle name="Normal 6 2 2 2 2 6 3 3" xfId="34661" xr:uid="{1B6E4EB7-A7BC-47BF-BF70-6642AB7CAE5F}"/>
    <cellStyle name="Normal 6 2 2 2 2 6 4" xfId="15482" xr:uid="{6C4D00C4-2A87-44C6-A624-77057C02E8F3}"/>
    <cellStyle name="Normal 6 2 2 2 2 6 4 2" xfId="40974" xr:uid="{93193BCE-65CB-44AD-8C04-691B26B65B4D}"/>
    <cellStyle name="Normal 6 2 2 2 2 6 5" xfId="28383" xr:uid="{D947EFB5-4689-4357-9DB3-1AE340A39E5A}"/>
    <cellStyle name="Normal 6 2 2 2 2 7" xfId="3293" xr:uid="{C1F8C8DB-D6D5-42A8-8DED-D0556DD666A7}"/>
    <cellStyle name="Normal 6 2 2 2 2 7 2" xfId="6447" xr:uid="{4AA7C503-AEA1-4F3C-807E-A23222081C31}"/>
    <cellStyle name="Normal 6 2 2 2 2 7 2 2" xfId="12740" xr:uid="{CA47A3B6-B2A4-4DE4-B896-37E0CC7C1409}"/>
    <cellStyle name="Normal 6 2 2 2 2 7 2 2 2" xfId="25422" xr:uid="{6B9916DC-6FC9-42C9-BF38-493FBE3AFF53}"/>
    <cellStyle name="Normal 6 2 2 2 2 7 2 2 2 2" xfId="50914" xr:uid="{53310C18-CF20-4586-93CC-CE1B596D0F9C}"/>
    <cellStyle name="Normal 6 2 2 2 2 7 2 2 3" xfId="38323" xr:uid="{E9C93C75-5265-4BA1-8D75-33E3CDA35B65}"/>
    <cellStyle name="Normal 6 2 2 2 2 7 2 3" xfId="19144" xr:uid="{66A748BE-2D23-40C4-8F78-49E0A110A7ED}"/>
    <cellStyle name="Normal 6 2 2 2 2 7 2 3 2" xfId="44636" xr:uid="{491D5354-C5E6-4046-97C8-EF754CB2B335}"/>
    <cellStyle name="Normal 6 2 2 2 2 7 2 4" xfId="32045" xr:uid="{0272490D-7A2A-49A6-ABC0-D074FCAFE126}"/>
    <cellStyle name="Normal 6 2 2 2 2 7 3" xfId="9601" xr:uid="{E94F4C63-73E2-4C5A-B10C-912663C9A70F}"/>
    <cellStyle name="Normal 6 2 2 2 2 7 3 2" xfId="22283" xr:uid="{1A086088-8970-4145-B860-EB40F6FA4744}"/>
    <cellStyle name="Normal 6 2 2 2 2 7 3 2 2" xfId="47775" xr:uid="{730DAE60-9342-4467-9229-B662EBEF7B2F}"/>
    <cellStyle name="Normal 6 2 2 2 2 7 3 3" xfId="35184" xr:uid="{72FE1FEF-6BFE-4CCC-815A-79EE0B0A5928}"/>
    <cellStyle name="Normal 6 2 2 2 2 7 4" xfId="16005" xr:uid="{7EDC881E-650E-4B7A-9D89-5C919354B5F6}"/>
    <cellStyle name="Normal 6 2 2 2 2 7 4 2" xfId="41497" xr:uid="{764B83D5-BB39-4B2F-8A20-C30E568CF0B0}"/>
    <cellStyle name="Normal 6 2 2 2 2 7 5" xfId="28906" xr:uid="{0D678FFF-4AF4-45D2-A385-8EC89B34BA8A}"/>
    <cellStyle name="Normal 6 2 2 2 2 8" xfId="3832" xr:uid="{646B2DD2-CCD0-4549-B340-C491BA0BA142}"/>
    <cellStyle name="Normal 6 2 2 2 2 8 2" xfId="10125" xr:uid="{A0CCFED5-3227-4C0E-B296-7C4F9B62E804}"/>
    <cellStyle name="Normal 6 2 2 2 2 8 2 2" xfId="22807" xr:uid="{0ECAF090-57BC-43C7-8AD1-4605B313A699}"/>
    <cellStyle name="Normal 6 2 2 2 2 8 2 2 2" xfId="48299" xr:uid="{FF8EBE97-E4B1-4BEB-9DAD-E8BFA45220B6}"/>
    <cellStyle name="Normal 6 2 2 2 2 8 2 3" xfId="35708" xr:uid="{BA963221-7D6D-498F-95AF-7A579D2B4DD9}"/>
    <cellStyle name="Normal 6 2 2 2 2 8 3" xfId="16529" xr:uid="{180B317C-8E68-45BC-AEAB-6B773F76D962}"/>
    <cellStyle name="Normal 6 2 2 2 2 8 3 2" xfId="42021" xr:uid="{32757C43-1EE5-49E3-9165-D8A7E6129BA3}"/>
    <cellStyle name="Normal 6 2 2 2 2 8 4" xfId="29430" xr:uid="{9AE4B921-624E-4D68-8444-7CB28E64952A}"/>
    <cellStyle name="Normal 6 2 2 2 2 9" xfId="6986" xr:uid="{C03ACA90-932A-42FE-84C1-52B8435E2C98}"/>
    <cellStyle name="Normal 6 2 2 2 2 9 2" xfId="19668" xr:uid="{232A130C-0DEF-41A5-BD47-6D3CF650928B}"/>
    <cellStyle name="Normal 6 2 2 2 2 9 2 2" xfId="45160" xr:uid="{9C8AD77F-B5FD-44C4-98B2-7951B946059E}"/>
    <cellStyle name="Normal 6 2 2 2 2 9 3" xfId="32569" xr:uid="{F9C04A1B-4642-47B8-9ECB-8E1ACC78EAF6}"/>
    <cellStyle name="Normal 6 2 2 2 3" xfId="1041" xr:uid="{4975111B-E476-47CC-89FB-0D6F7808D4DC}"/>
    <cellStyle name="Normal 6 2 2 2 3 2" xfId="2348" xr:uid="{383ACBDA-5467-4169-B861-D8B28A8FC824}"/>
    <cellStyle name="Normal 6 2 2 2 3 2 2" xfId="5502" xr:uid="{AF37470D-E810-4A41-9280-5F346976E59F}"/>
    <cellStyle name="Normal 6 2 2 2 3 2 2 2" xfId="11795" xr:uid="{65074C26-95E4-4EA4-A097-77A46EAD8FD8}"/>
    <cellStyle name="Normal 6 2 2 2 3 2 2 2 2" xfId="24477" xr:uid="{422D088F-996E-4832-8D70-4E29792FC7FD}"/>
    <cellStyle name="Normal 6 2 2 2 3 2 2 2 2 2" xfId="49969" xr:uid="{600F1368-A1A5-47E5-8B5E-818EB833B5F2}"/>
    <cellStyle name="Normal 6 2 2 2 3 2 2 2 3" xfId="37378" xr:uid="{3B8BC52A-7744-44DE-BE14-53FBD9943DDC}"/>
    <cellStyle name="Normal 6 2 2 2 3 2 2 3" xfId="18199" xr:uid="{CE6D5888-D65B-45D9-A544-F3180EB5E145}"/>
    <cellStyle name="Normal 6 2 2 2 3 2 2 3 2" xfId="43691" xr:uid="{F6180352-1C09-4863-9CFE-83A68F704FCC}"/>
    <cellStyle name="Normal 6 2 2 2 3 2 2 4" xfId="31100" xr:uid="{0696BC5D-865B-4533-ACD2-AC905B5D390E}"/>
    <cellStyle name="Normal 6 2 2 2 3 2 3" xfId="8656" xr:uid="{49DB751C-5B04-4524-A714-F18BCB6F77EB}"/>
    <cellStyle name="Normal 6 2 2 2 3 2 3 2" xfId="21338" xr:uid="{19A259AE-0C60-4E79-93AC-F61FE9325D7B}"/>
    <cellStyle name="Normal 6 2 2 2 3 2 3 2 2" xfId="46830" xr:uid="{5B02E268-A59B-438E-BDA8-648A96F8DB0D}"/>
    <cellStyle name="Normal 6 2 2 2 3 2 3 3" xfId="34239" xr:uid="{7DC09A46-593E-42CE-B70A-94FF9FD7A3E2}"/>
    <cellStyle name="Normal 6 2 2 2 3 2 4" xfId="15060" xr:uid="{F72E1138-10FC-4DF6-9C9F-EF05B0F279E4}"/>
    <cellStyle name="Normal 6 2 2 2 3 2 4 2" xfId="40552" xr:uid="{D0DE3C0E-8CA1-4970-BBB5-95D3C7B3FFC2}"/>
    <cellStyle name="Normal 6 2 2 2 3 2 5" xfId="27961" xr:uid="{5E875CD2-3AE3-4B59-836D-B4284C3DB3A8}"/>
    <cellStyle name="Normal 6 2 2 2 3 3" xfId="1565" xr:uid="{8AE1FE72-E566-4117-9CB6-A64AA90E90F1}"/>
    <cellStyle name="Normal 6 2 2 2 3 3 2" xfId="4719" xr:uid="{06B0E369-1980-49A7-B788-8BA3EA59277F}"/>
    <cellStyle name="Normal 6 2 2 2 3 3 2 2" xfId="11012" xr:uid="{3615972B-82FE-4E4E-B959-9D020BFF72AD}"/>
    <cellStyle name="Normal 6 2 2 2 3 3 2 2 2" xfId="23694" xr:uid="{E25DCF3F-4EB9-4596-B5D4-F0BA1DBFB1F7}"/>
    <cellStyle name="Normal 6 2 2 2 3 3 2 2 2 2" xfId="49186" xr:uid="{453E67C5-2850-4A73-AF6E-D55F8C8FE5D2}"/>
    <cellStyle name="Normal 6 2 2 2 3 3 2 2 3" xfId="36595" xr:uid="{DE79CCE4-D3B9-4F91-9F8D-CDF096FDD1F2}"/>
    <cellStyle name="Normal 6 2 2 2 3 3 2 3" xfId="17416" xr:uid="{7ECE945E-E141-4684-B7CF-368EC5FAEAD7}"/>
    <cellStyle name="Normal 6 2 2 2 3 3 2 3 2" xfId="42908" xr:uid="{EFA945A4-20F8-4EE9-90C9-CB6E5739027C}"/>
    <cellStyle name="Normal 6 2 2 2 3 3 2 4" xfId="30317" xr:uid="{89B65EC8-1FF4-4D37-B36F-C3C5DF27082C}"/>
    <cellStyle name="Normal 6 2 2 2 3 3 3" xfId="7873" xr:uid="{9F0AB43D-B582-4692-9501-5D50CE19BCC2}"/>
    <cellStyle name="Normal 6 2 2 2 3 3 3 2" xfId="20555" xr:uid="{D5B7EC2D-9796-4768-B5AF-83F51934B454}"/>
    <cellStyle name="Normal 6 2 2 2 3 3 3 2 2" xfId="46047" xr:uid="{508FD0A1-99D7-43B9-97E9-0E8A632512BE}"/>
    <cellStyle name="Normal 6 2 2 2 3 3 3 3" xfId="33456" xr:uid="{D9EC3EE4-FE50-4D07-AC27-8E61878EB068}"/>
    <cellStyle name="Normal 6 2 2 2 3 3 4" xfId="14277" xr:uid="{835A66A0-A69F-45AB-A8BC-457DF8490623}"/>
    <cellStyle name="Normal 6 2 2 2 3 3 4 2" xfId="39769" xr:uid="{71353B42-1DAE-4393-9065-593C56776ED7}"/>
    <cellStyle name="Normal 6 2 2 2 3 3 5" xfId="27178" xr:uid="{A5A169A1-5F27-4898-A412-338BFD8C148D}"/>
    <cellStyle name="Normal 6 2 2 2 3 4" xfId="2872" xr:uid="{5479AB8C-9A71-4D88-A0D3-BB7C874FF151}"/>
    <cellStyle name="Normal 6 2 2 2 3 4 2" xfId="6026" xr:uid="{3FE6FAF9-D59A-4D9E-A483-E6A04B3F07FD}"/>
    <cellStyle name="Normal 6 2 2 2 3 4 2 2" xfId="12319" xr:uid="{6AC40803-67C4-480F-8E89-A2EDFA805D10}"/>
    <cellStyle name="Normal 6 2 2 2 3 4 2 2 2" xfId="25001" xr:uid="{22A3D814-F5C7-4BC7-B604-86080B60A548}"/>
    <cellStyle name="Normal 6 2 2 2 3 4 2 2 2 2" xfId="50493" xr:uid="{53849227-F647-48CE-885E-E0B071CF202D}"/>
    <cellStyle name="Normal 6 2 2 2 3 4 2 2 3" xfId="37902" xr:uid="{D13A33D9-E23B-497B-AF90-4780792F70C7}"/>
    <cellStyle name="Normal 6 2 2 2 3 4 2 3" xfId="18723" xr:uid="{94DDCDA1-80B9-4A59-93FE-301813D93E8E}"/>
    <cellStyle name="Normal 6 2 2 2 3 4 2 3 2" xfId="44215" xr:uid="{E7D4DFD6-92DD-4A07-8C61-9E99273F5807}"/>
    <cellStyle name="Normal 6 2 2 2 3 4 2 4" xfId="31624" xr:uid="{D7461F98-233C-4B16-951D-85D321C6B45E}"/>
    <cellStyle name="Normal 6 2 2 2 3 4 3" xfId="9180" xr:uid="{6C6B2413-99C7-4E2B-A5F6-D4E5D91E952E}"/>
    <cellStyle name="Normal 6 2 2 2 3 4 3 2" xfId="21862" xr:uid="{395F7FD0-B8A2-4FF0-B58F-052EDD0E9B09}"/>
    <cellStyle name="Normal 6 2 2 2 3 4 3 2 2" xfId="47354" xr:uid="{FD83A951-286D-4143-BD25-2B386C30195C}"/>
    <cellStyle name="Normal 6 2 2 2 3 4 3 3" xfId="34763" xr:uid="{EAB0015F-332E-41C7-9541-2668109080A2}"/>
    <cellStyle name="Normal 6 2 2 2 3 4 4" xfId="15584" xr:uid="{B348AC83-C53B-4DA3-8494-144FD3A7D13D}"/>
    <cellStyle name="Normal 6 2 2 2 3 4 4 2" xfId="41076" xr:uid="{B447B66A-91A4-4245-A88E-7878CC081C16}"/>
    <cellStyle name="Normal 6 2 2 2 3 4 5" xfId="28485" xr:uid="{2318CA48-BFFA-4FB9-B759-85FB59492A6E}"/>
    <cellStyle name="Normal 6 2 2 2 3 5" xfId="3395" xr:uid="{1C36E03A-C1D2-4841-A459-5666E6214D23}"/>
    <cellStyle name="Normal 6 2 2 2 3 5 2" xfId="6549" xr:uid="{50CAAA58-1729-42F1-B6E0-EC94633689DD}"/>
    <cellStyle name="Normal 6 2 2 2 3 5 2 2" xfId="12842" xr:uid="{1FD2F699-E017-4A35-B2C6-CE68023E75BE}"/>
    <cellStyle name="Normal 6 2 2 2 3 5 2 2 2" xfId="25524" xr:uid="{B663A980-56AF-46F9-B70B-8AF1FD8990C7}"/>
    <cellStyle name="Normal 6 2 2 2 3 5 2 2 2 2" xfId="51016" xr:uid="{8F98FDD0-D2F8-42F5-83C2-290FA0B36182}"/>
    <cellStyle name="Normal 6 2 2 2 3 5 2 2 3" xfId="38425" xr:uid="{2DF0F67E-6CC1-4FC3-A92B-9689156DDAA7}"/>
    <cellStyle name="Normal 6 2 2 2 3 5 2 3" xfId="19246" xr:uid="{F080C517-070F-45B5-BF8C-254F7055642D}"/>
    <cellStyle name="Normal 6 2 2 2 3 5 2 3 2" xfId="44738" xr:uid="{0C0D7F61-64F7-4FCC-90C9-22C18F060DD7}"/>
    <cellStyle name="Normal 6 2 2 2 3 5 2 4" xfId="32147" xr:uid="{71C2C990-3572-4828-9FF1-7369BEE82A22}"/>
    <cellStyle name="Normal 6 2 2 2 3 5 3" xfId="9703" xr:uid="{56224D43-2D9E-4B78-AEFD-02394736D006}"/>
    <cellStyle name="Normal 6 2 2 2 3 5 3 2" xfId="22385" xr:uid="{61C9F4F4-6D00-49DE-B531-C657DC4E1F28}"/>
    <cellStyle name="Normal 6 2 2 2 3 5 3 2 2" xfId="47877" xr:uid="{965788A1-C150-4553-BCB0-78BC0152EABB}"/>
    <cellStyle name="Normal 6 2 2 2 3 5 3 3" xfId="35286" xr:uid="{EE8E43E0-37C7-4105-947B-3B5EA8D3A668}"/>
    <cellStyle name="Normal 6 2 2 2 3 5 4" xfId="16107" xr:uid="{57500B0F-8E3E-46FA-97E3-0290FE078EBD}"/>
    <cellStyle name="Normal 6 2 2 2 3 5 4 2" xfId="41599" xr:uid="{0A7B4ECC-D0AD-4C08-9943-CD2BCBF30ED5}"/>
    <cellStyle name="Normal 6 2 2 2 3 5 5" xfId="29008" xr:uid="{7CBE72C7-91FD-4540-B0D8-AFEB7CE8005A}"/>
    <cellStyle name="Normal 6 2 2 2 3 6" xfId="4195" xr:uid="{41304A04-C6F9-470B-8040-F9E48D8F2AC6}"/>
    <cellStyle name="Normal 6 2 2 2 3 6 2" xfId="10488" xr:uid="{9FCE422A-D265-426A-9216-C22A7072061F}"/>
    <cellStyle name="Normal 6 2 2 2 3 6 2 2" xfId="23170" xr:uid="{7E838EF0-1963-4A11-B37D-8B516E05FEEB}"/>
    <cellStyle name="Normal 6 2 2 2 3 6 2 2 2" xfId="48662" xr:uid="{1CCF4424-7B06-4B26-9F58-2E5B8C26199C}"/>
    <cellStyle name="Normal 6 2 2 2 3 6 2 3" xfId="36071" xr:uid="{109DAB60-CA96-4089-8A14-775E3F5BB9F6}"/>
    <cellStyle name="Normal 6 2 2 2 3 6 3" xfId="16892" xr:uid="{934166AD-E7A5-4274-804B-7CDBC5E119E0}"/>
    <cellStyle name="Normal 6 2 2 2 3 6 3 2" xfId="42384" xr:uid="{36831015-15E5-44E2-AEB2-7EFFD6383FD4}"/>
    <cellStyle name="Normal 6 2 2 2 3 6 4" xfId="29793" xr:uid="{D47D72F2-0E70-41C3-B154-CF3ADEEEE2A3}"/>
    <cellStyle name="Normal 6 2 2 2 3 7" xfId="7349" xr:uid="{ACA5FE57-1FDC-4269-A7F3-52F4914F124A}"/>
    <cellStyle name="Normal 6 2 2 2 3 7 2" xfId="20031" xr:uid="{05FA7AB0-543F-4806-87D2-78CBA3C7707D}"/>
    <cellStyle name="Normal 6 2 2 2 3 7 2 2" xfId="45523" xr:uid="{DCEDC4BE-4440-4FC7-BB45-53AEF9EC983C}"/>
    <cellStyle name="Normal 6 2 2 2 3 7 3" xfId="32932" xr:uid="{C67F60C9-73C5-4502-A49C-D01077E64E47}"/>
    <cellStyle name="Normal 6 2 2 2 3 8" xfId="13753" xr:uid="{BB114F2E-1417-41C3-8B96-DDFB5F366963}"/>
    <cellStyle name="Normal 6 2 2 2 3 8 2" xfId="39245" xr:uid="{F9EF7EFF-1B07-4424-938C-5CED0B96C938}"/>
    <cellStyle name="Normal 6 2 2 2 3 9" xfId="26654" xr:uid="{54E4D0AD-F3AD-44B4-B57E-74F97997C392}"/>
    <cellStyle name="Normal 6 2 2 2 4" xfId="781" xr:uid="{0F1B3AF8-5D70-49B6-9FDD-CE8BBA76E9DB}"/>
    <cellStyle name="Normal 6 2 2 2 4 2" xfId="2088" xr:uid="{A6E7B34C-2CC0-4A6F-BEBC-AC96B4C30D44}"/>
    <cellStyle name="Normal 6 2 2 2 4 2 2" xfId="5242" xr:uid="{460B5B9A-7EC9-4F4F-B933-44BCF774528A}"/>
    <cellStyle name="Normal 6 2 2 2 4 2 2 2" xfId="11535" xr:uid="{DBF3E8F6-52B4-4632-942E-25264C5F87FC}"/>
    <cellStyle name="Normal 6 2 2 2 4 2 2 2 2" xfId="24217" xr:uid="{8B00CC47-2C15-4F97-86E5-43577E5491F3}"/>
    <cellStyle name="Normal 6 2 2 2 4 2 2 2 2 2" xfId="49709" xr:uid="{7DD03779-31B4-43C8-A2CC-0218009E8ED4}"/>
    <cellStyle name="Normal 6 2 2 2 4 2 2 2 3" xfId="37118" xr:uid="{F6492F63-8A9F-49CC-8F24-FDEFAA69CFB5}"/>
    <cellStyle name="Normal 6 2 2 2 4 2 2 3" xfId="17939" xr:uid="{664AE80A-17FA-484C-9A37-E7140B8F21F5}"/>
    <cellStyle name="Normal 6 2 2 2 4 2 2 3 2" xfId="43431" xr:uid="{012BAB57-58DD-499F-B33B-2E2EA737F992}"/>
    <cellStyle name="Normal 6 2 2 2 4 2 2 4" xfId="30840" xr:uid="{ED99B012-7D1F-4F77-80F5-B5E9580C7118}"/>
    <cellStyle name="Normal 6 2 2 2 4 2 3" xfId="8396" xr:uid="{795173C5-21C3-4572-8E18-F94FB9074441}"/>
    <cellStyle name="Normal 6 2 2 2 4 2 3 2" xfId="21078" xr:uid="{D41CE322-EC59-4819-A940-6B5D7394CCE2}"/>
    <cellStyle name="Normal 6 2 2 2 4 2 3 2 2" xfId="46570" xr:uid="{9EEF1715-841C-49D0-A381-BDD71179E494}"/>
    <cellStyle name="Normal 6 2 2 2 4 2 3 3" xfId="33979" xr:uid="{0E584658-6BCA-4D3F-BB31-E6556139308C}"/>
    <cellStyle name="Normal 6 2 2 2 4 2 4" xfId="14800" xr:uid="{A1BE5B5F-71D4-4F70-AB6D-F0260DB7D39E}"/>
    <cellStyle name="Normal 6 2 2 2 4 2 4 2" xfId="40292" xr:uid="{FE6E667B-42A4-418A-803B-D1A36717392C}"/>
    <cellStyle name="Normal 6 2 2 2 4 2 5" xfId="27701" xr:uid="{333D8F69-F51E-47C1-8345-F2FFC8383385}"/>
    <cellStyle name="Normal 6 2 2 2 4 3" xfId="3935" xr:uid="{136EF328-3374-4C0E-8215-858CA72F5F69}"/>
    <cellStyle name="Normal 6 2 2 2 4 3 2" xfId="10228" xr:uid="{A61C8D8E-C53F-4D0F-B0C9-A6B57BFA2AFE}"/>
    <cellStyle name="Normal 6 2 2 2 4 3 2 2" xfId="22910" xr:uid="{D98982F0-27EA-4D4C-B00C-ADBD42956E11}"/>
    <cellStyle name="Normal 6 2 2 2 4 3 2 2 2" xfId="48402" xr:uid="{9295BB86-A944-43C9-97D4-E5F2F1D070E1}"/>
    <cellStyle name="Normal 6 2 2 2 4 3 2 3" xfId="35811" xr:uid="{618CD08A-36FB-46CE-B64B-2E0DD2009A2D}"/>
    <cellStyle name="Normal 6 2 2 2 4 3 3" xfId="16632" xr:uid="{FC1FF5DE-B1B9-4B53-9F01-5886FD576FEE}"/>
    <cellStyle name="Normal 6 2 2 2 4 3 3 2" xfId="42124" xr:uid="{7F165049-678A-4FBD-B2C6-3E0355A6713F}"/>
    <cellStyle name="Normal 6 2 2 2 4 3 4" xfId="29533" xr:uid="{21D6EC42-95EF-423C-883D-845839EE45A3}"/>
    <cellStyle name="Normal 6 2 2 2 4 4" xfId="7089" xr:uid="{27A14010-D0B0-41BF-8808-EB31E88FB713}"/>
    <cellStyle name="Normal 6 2 2 2 4 4 2" xfId="19771" xr:uid="{8F25E0A1-1C77-4A42-A88E-36702DF7F899}"/>
    <cellStyle name="Normal 6 2 2 2 4 4 2 2" xfId="45263" xr:uid="{1774DF48-9523-438E-BABA-C21628C14E3B}"/>
    <cellStyle name="Normal 6 2 2 2 4 4 3" xfId="32672" xr:uid="{7A48402C-2BDB-41B9-93CC-A4FCC4E3DACC}"/>
    <cellStyle name="Normal 6 2 2 2 4 5" xfId="13493" xr:uid="{FBADE0CD-41F4-47D9-821B-66BAB0A81086}"/>
    <cellStyle name="Normal 6 2 2 2 4 5 2" xfId="38985" xr:uid="{276F53C8-ECA4-45F3-B02F-E13BF6B2E38B}"/>
    <cellStyle name="Normal 6 2 2 2 4 6" xfId="26394" xr:uid="{88F77820-0E96-41D4-8D8E-B83131E4040D}"/>
    <cellStyle name="Normal 6 2 2 2 5" xfId="1826" xr:uid="{57058865-194B-44A9-9FE4-3B252683C526}"/>
    <cellStyle name="Normal 6 2 2 2 5 2" xfId="4980" xr:uid="{0AEE71C4-2CB0-4C43-B2C6-D519D567B0AA}"/>
    <cellStyle name="Normal 6 2 2 2 5 2 2" xfId="11273" xr:uid="{3C9C0A9F-4881-4C68-9CB1-DE554EA2B621}"/>
    <cellStyle name="Normal 6 2 2 2 5 2 2 2" xfId="23955" xr:uid="{4CAEE01B-1DC2-4A3F-B789-431DBBCA488A}"/>
    <cellStyle name="Normal 6 2 2 2 5 2 2 2 2" xfId="49447" xr:uid="{1292F454-18CD-404B-83A6-77DB32A2D769}"/>
    <cellStyle name="Normal 6 2 2 2 5 2 2 3" xfId="36856" xr:uid="{D53D98D5-CDD5-44BB-9276-5FBFC730D890}"/>
    <cellStyle name="Normal 6 2 2 2 5 2 3" xfId="17677" xr:uid="{E9329456-D2B5-44A6-BE52-9CBBEABE58D0}"/>
    <cellStyle name="Normal 6 2 2 2 5 2 3 2" xfId="43169" xr:uid="{38CE9566-D487-4C87-9768-8010F9D7C9A9}"/>
    <cellStyle name="Normal 6 2 2 2 5 2 4" xfId="30578" xr:uid="{982BB9BB-83AD-4F5E-9438-547966D1D65C}"/>
    <cellStyle name="Normal 6 2 2 2 5 3" xfId="8134" xr:uid="{68AF9A4A-6AE1-492B-AB39-28592D3C8D3E}"/>
    <cellStyle name="Normal 6 2 2 2 5 3 2" xfId="20816" xr:uid="{BA9A0687-9710-4F5D-945D-60C75E703171}"/>
    <cellStyle name="Normal 6 2 2 2 5 3 2 2" xfId="46308" xr:uid="{5A1176C7-D469-4CB6-A6AA-7C3B7063B69F}"/>
    <cellStyle name="Normal 6 2 2 2 5 3 3" xfId="33717" xr:uid="{A1D51513-8EE9-4794-B668-102C61313DD6}"/>
    <cellStyle name="Normal 6 2 2 2 5 4" xfId="14538" xr:uid="{946BE821-8C2F-4C60-B3D4-DFF985D65651}"/>
    <cellStyle name="Normal 6 2 2 2 5 4 2" xfId="40030" xr:uid="{F1754D75-C8CB-4B92-8841-CD362AA55CE6}"/>
    <cellStyle name="Normal 6 2 2 2 5 5" xfId="27439" xr:uid="{1C2193F3-7586-4755-B302-212CB1AF1DB1}"/>
    <cellStyle name="Normal 6 2 2 2 6" xfId="1304" xr:uid="{FCF9EEA7-82D7-4A0D-B5C8-1D089FCD2778}"/>
    <cellStyle name="Normal 6 2 2 2 6 2" xfId="4458" xr:uid="{37683ADA-DAF4-47AA-9DAE-85B5D6516BCA}"/>
    <cellStyle name="Normal 6 2 2 2 6 2 2" xfId="10751" xr:uid="{6A7B6943-37C6-4BE7-AED2-D0CF618FEEB9}"/>
    <cellStyle name="Normal 6 2 2 2 6 2 2 2" xfId="23433" xr:uid="{CC1024F3-745A-415D-9883-DD967AB5BF24}"/>
    <cellStyle name="Normal 6 2 2 2 6 2 2 2 2" xfId="48925" xr:uid="{E113EC25-E2F4-49F1-AEA7-CC909D272524}"/>
    <cellStyle name="Normal 6 2 2 2 6 2 2 3" xfId="36334" xr:uid="{14D43195-3014-4AF2-BC00-F82CE2079364}"/>
    <cellStyle name="Normal 6 2 2 2 6 2 3" xfId="17155" xr:uid="{6818CCB8-3FA2-4413-B0F2-9FCEF902CF8C}"/>
    <cellStyle name="Normal 6 2 2 2 6 2 3 2" xfId="42647" xr:uid="{4CCD45F7-58DD-48C2-8C93-A112D9EA095A}"/>
    <cellStyle name="Normal 6 2 2 2 6 2 4" xfId="30056" xr:uid="{F8A29652-B875-46A5-A86B-648BF5FBA4E6}"/>
    <cellStyle name="Normal 6 2 2 2 6 3" xfId="7612" xr:uid="{E7003F8B-A6C2-4EFB-BE51-8D3CF1C940BB}"/>
    <cellStyle name="Normal 6 2 2 2 6 3 2" xfId="20294" xr:uid="{0BAA1B58-5BF5-4F22-AC97-9A9637C7F440}"/>
    <cellStyle name="Normal 6 2 2 2 6 3 2 2" xfId="45786" xr:uid="{C34A1831-73C6-4BF4-8902-0446DD77FDBA}"/>
    <cellStyle name="Normal 6 2 2 2 6 3 3" xfId="33195" xr:uid="{B0F06838-5CEC-4AA7-A879-186DA67217F6}"/>
    <cellStyle name="Normal 6 2 2 2 6 4" xfId="14016" xr:uid="{4DF254DA-5CAE-4262-9F97-9C6D3FF65589}"/>
    <cellStyle name="Normal 6 2 2 2 6 4 2" xfId="39508" xr:uid="{7FEAB1A4-ED5C-4C3C-AF6A-20E747C76353}"/>
    <cellStyle name="Normal 6 2 2 2 6 5" xfId="26917" xr:uid="{87DCE841-CF8E-4378-AD99-15F4DBA215E9}"/>
    <cellStyle name="Normal 6 2 2 2 7" xfId="2611" xr:uid="{BACDE477-8C50-4786-85F2-854DECDCF682}"/>
    <cellStyle name="Normal 6 2 2 2 7 2" xfId="5765" xr:uid="{FA6A5FDB-C13B-4DE9-87FF-6334B7EE68F7}"/>
    <cellStyle name="Normal 6 2 2 2 7 2 2" xfId="12058" xr:uid="{25E6D109-CF5C-446E-9F33-558E22F6D732}"/>
    <cellStyle name="Normal 6 2 2 2 7 2 2 2" xfId="24740" xr:uid="{7D8C5A0C-5D24-4A28-B039-D31B71B6FE07}"/>
    <cellStyle name="Normal 6 2 2 2 7 2 2 2 2" xfId="50232" xr:uid="{A71DE86C-B447-4108-A587-8376F9B6AC5E}"/>
    <cellStyle name="Normal 6 2 2 2 7 2 2 3" xfId="37641" xr:uid="{98A86AAA-F51E-4ECF-8488-8B7F06B61BEA}"/>
    <cellStyle name="Normal 6 2 2 2 7 2 3" xfId="18462" xr:uid="{05C6BE4E-75B9-435D-BE8E-AFED0DE0E4EE}"/>
    <cellStyle name="Normal 6 2 2 2 7 2 3 2" xfId="43954" xr:uid="{B8A0971D-3ABB-47F7-9E05-67FD6B8F78BB}"/>
    <cellStyle name="Normal 6 2 2 2 7 2 4" xfId="31363" xr:uid="{15C70B12-75CE-437D-9680-D737DA0A6DED}"/>
    <cellStyle name="Normal 6 2 2 2 7 3" xfId="8919" xr:uid="{4993830A-6CE0-4C36-ACCC-FE5B9B8CC32F}"/>
    <cellStyle name="Normal 6 2 2 2 7 3 2" xfId="21601" xr:uid="{C0B62E79-E082-48F5-B675-0481EEFE0A89}"/>
    <cellStyle name="Normal 6 2 2 2 7 3 2 2" xfId="47093" xr:uid="{0F78327F-B777-4C1F-AFDB-14A8CB8CD310}"/>
    <cellStyle name="Normal 6 2 2 2 7 3 3" xfId="34502" xr:uid="{C149A253-8C53-45B3-BF41-8B9ABCDBBA1B}"/>
    <cellStyle name="Normal 6 2 2 2 7 4" xfId="15323" xr:uid="{D68947E6-A65C-4DD7-8904-A36C7AC85570}"/>
    <cellStyle name="Normal 6 2 2 2 7 4 2" xfId="40815" xr:uid="{766F5D63-4E3B-4AD0-AB1C-0449F5CC03F4}"/>
    <cellStyle name="Normal 6 2 2 2 7 5" xfId="28224" xr:uid="{ACA12C53-60C7-44FD-9B99-4787B729CA50}"/>
    <cellStyle name="Normal 6 2 2 2 8" xfId="3134" xr:uid="{B7AF0BD8-923B-45EB-8959-AFD113C6953E}"/>
    <cellStyle name="Normal 6 2 2 2 8 2" xfId="6288" xr:uid="{246FA26A-ACCD-438D-94B4-C4BA39813038}"/>
    <cellStyle name="Normal 6 2 2 2 8 2 2" xfId="12581" xr:uid="{081623DA-EFC8-40C8-94FA-2FDC451C0805}"/>
    <cellStyle name="Normal 6 2 2 2 8 2 2 2" xfId="25263" xr:uid="{C0A8FD39-809D-4D58-A9C9-1FF40BF173F6}"/>
    <cellStyle name="Normal 6 2 2 2 8 2 2 2 2" xfId="50755" xr:uid="{CF398BBF-35DC-4BEB-94EC-EA114E91FD0A}"/>
    <cellStyle name="Normal 6 2 2 2 8 2 2 3" xfId="38164" xr:uid="{760AD067-2BCD-4472-AE6A-A935A87156CA}"/>
    <cellStyle name="Normal 6 2 2 2 8 2 3" xfId="18985" xr:uid="{BFFF35CF-4854-4B40-80D0-984A622D239B}"/>
    <cellStyle name="Normal 6 2 2 2 8 2 3 2" xfId="44477" xr:uid="{6CC5AC1C-5F12-40DB-A7E2-1F904F3726EB}"/>
    <cellStyle name="Normal 6 2 2 2 8 2 4" xfId="31886" xr:uid="{E4B55C60-D841-48E7-9C56-68FF44B0E6FA}"/>
    <cellStyle name="Normal 6 2 2 2 8 3" xfId="9442" xr:uid="{12E4A83A-4EC2-4777-9413-8E4011467D14}"/>
    <cellStyle name="Normal 6 2 2 2 8 3 2" xfId="22124" xr:uid="{AD71F427-73AE-4963-A0ED-C7574CEC15C7}"/>
    <cellStyle name="Normal 6 2 2 2 8 3 2 2" xfId="47616" xr:uid="{A6A15F93-CD4E-4747-BCB6-05C3BE3CC117}"/>
    <cellStyle name="Normal 6 2 2 2 8 3 3" xfId="35025" xr:uid="{F4105A9B-00C2-4423-B2BA-0D231749C491}"/>
    <cellStyle name="Normal 6 2 2 2 8 4" xfId="15846" xr:uid="{E66CBDE5-9162-4B8B-84B8-6873E214CADE}"/>
    <cellStyle name="Normal 6 2 2 2 8 4 2" xfId="41338" xr:uid="{A721AC8B-6C1B-480D-A482-5907EE70DD73}"/>
    <cellStyle name="Normal 6 2 2 2 8 5" xfId="28747" xr:uid="{EA0BA2B4-77A1-430E-8AF7-F59856FA1904}"/>
    <cellStyle name="Normal 6 2 2 2 9" xfId="3673" xr:uid="{2DBDF3CF-FD70-43CB-A388-EB3713AF7385}"/>
    <cellStyle name="Normal 6 2 2 2 9 2" xfId="9966" xr:uid="{6950F1AB-1077-4D02-AC45-56183493B793}"/>
    <cellStyle name="Normal 6 2 2 2 9 2 2" xfId="22648" xr:uid="{9CF5253C-697B-4806-8E1F-9E577D32E6F3}"/>
    <cellStyle name="Normal 6 2 2 2 9 2 2 2" xfId="48140" xr:uid="{EA4BB8F4-EB1D-4C47-A3CD-A5B9A5441770}"/>
    <cellStyle name="Normal 6 2 2 2 9 2 3" xfId="35549" xr:uid="{C5D2F796-2295-4A0A-9BF8-B12E055B4206}"/>
    <cellStyle name="Normal 6 2 2 2 9 3" xfId="16370" xr:uid="{BF70FA0D-D131-412E-9FD8-5DB3D198D4F4}"/>
    <cellStyle name="Normal 6 2 2 2 9 3 2" xfId="41862" xr:uid="{C836AF35-9385-4436-B636-E03FEB27E4CC}"/>
    <cellStyle name="Normal 6 2 2 2 9 4" xfId="29271" xr:uid="{2E9B7111-F07A-486E-92AA-AEC34D67967F}"/>
    <cellStyle name="Normal 6 2 2 3" xfId="602" xr:uid="{19ADF30E-64F7-4CD4-B580-89FBD3B952A9}"/>
    <cellStyle name="Normal 6 2 2 3 10" xfId="13329" xr:uid="{21486F52-AD55-4477-8CEA-20FCB01989EF}"/>
    <cellStyle name="Normal 6 2 2 3 10 2" xfId="38821" xr:uid="{A3BB83E5-8A53-4C21-89A5-0901BEE56112}"/>
    <cellStyle name="Normal 6 2 2 3 11" xfId="26230" xr:uid="{D4B651CE-E6EB-4EE8-9A59-CFE68DF7BF79}"/>
    <cellStyle name="Normal 6 2 2 3 2" xfId="1139" xr:uid="{C6574052-678A-4B97-BAE1-1564D5CC0113}"/>
    <cellStyle name="Normal 6 2 2 3 2 2" xfId="2446" xr:uid="{FA512D61-0DE3-4A4E-A95B-25D052AC5EAB}"/>
    <cellStyle name="Normal 6 2 2 3 2 2 2" xfId="5600" xr:uid="{190F32F7-71EE-473B-B1D6-0FFC7AF62CA1}"/>
    <cellStyle name="Normal 6 2 2 3 2 2 2 2" xfId="11893" xr:uid="{16B66EAE-D903-402E-A497-11D75865B352}"/>
    <cellStyle name="Normal 6 2 2 3 2 2 2 2 2" xfId="24575" xr:uid="{EBBD614C-0573-4FA7-AAAE-E0F29334E106}"/>
    <cellStyle name="Normal 6 2 2 3 2 2 2 2 2 2" xfId="50067" xr:uid="{F5452940-67FF-410E-BA72-033BB303CE7C}"/>
    <cellStyle name="Normal 6 2 2 3 2 2 2 2 3" xfId="37476" xr:uid="{3EE66CB8-DD1E-4CC6-8DEC-5BBF4023F229}"/>
    <cellStyle name="Normal 6 2 2 3 2 2 2 3" xfId="18297" xr:uid="{E05F9AA7-B300-4086-8AFE-F5A1C080B38C}"/>
    <cellStyle name="Normal 6 2 2 3 2 2 2 3 2" xfId="43789" xr:uid="{2852E21A-D902-442E-AB81-67EFCC518584}"/>
    <cellStyle name="Normal 6 2 2 3 2 2 2 4" xfId="31198" xr:uid="{4976E49F-A7BA-4D88-9BF4-B70817CA6046}"/>
    <cellStyle name="Normal 6 2 2 3 2 2 3" xfId="8754" xr:uid="{F8F36827-60A6-4FEE-8B0A-556CD6922558}"/>
    <cellStyle name="Normal 6 2 2 3 2 2 3 2" xfId="21436" xr:uid="{F7F6032C-6953-4DCB-A0BA-AE66BB6012D9}"/>
    <cellStyle name="Normal 6 2 2 3 2 2 3 2 2" xfId="46928" xr:uid="{1F440E97-0379-49CA-ADF1-2667AB28F201}"/>
    <cellStyle name="Normal 6 2 2 3 2 2 3 3" xfId="34337" xr:uid="{C082BD47-B116-48F0-9F50-B7A6E7C4D290}"/>
    <cellStyle name="Normal 6 2 2 3 2 2 4" xfId="15158" xr:uid="{0108145C-05C4-4AA5-B0F1-4FAA1D69011F}"/>
    <cellStyle name="Normal 6 2 2 3 2 2 4 2" xfId="40650" xr:uid="{08911520-03B9-458E-A2FD-08DC156C1785}"/>
    <cellStyle name="Normal 6 2 2 3 2 2 5" xfId="28059" xr:uid="{88394D2A-212B-4DFB-977B-244D54AC80EE}"/>
    <cellStyle name="Normal 6 2 2 3 2 3" xfId="1663" xr:uid="{2DEF3647-25BF-4914-A931-8AEE5CC32A6B}"/>
    <cellStyle name="Normal 6 2 2 3 2 3 2" xfId="4817" xr:uid="{EE033D54-A14C-4642-B24A-07B869431A63}"/>
    <cellStyle name="Normal 6 2 2 3 2 3 2 2" xfId="11110" xr:uid="{7E792C6E-7420-4F5B-8EE9-AFDA8E806128}"/>
    <cellStyle name="Normal 6 2 2 3 2 3 2 2 2" xfId="23792" xr:uid="{2D8EF3E6-AC04-435D-8AF6-4DA1F56E4C5E}"/>
    <cellStyle name="Normal 6 2 2 3 2 3 2 2 2 2" xfId="49284" xr:uid="{11E42B40-EA1D-4C62-B508-0C7A5AFAB47C}"/>
    <cellStyle name="Normal 6 2 2 3 2 3 2 2 3" xfId="36693" xr:uid="{CE2C5E87-68E9-4417-878A-C60A73373867}"/>
    <cellStyle name="Normal 6 2 2 3 2 3 2 3" xfId="17514" xr:uid="{36D9A84C-FD7D-4BF0-A8A6-90A075028C41}"/>
    <cellStyle name="Normal 6 2 2 3 2 3 2 3 2" xfId="43006" xr:uid="{959C4F7F-F580-43F8-A11D-C08FA4819A04}"/>
    <cellStyle name="Normal 6 2 2 3 2 3 2 4" xfId="30415" xr:uid="{D1D7A4E3-DE91-4EBC-BAE4-AB10A354CBF3}"/>
    <cellStyle name="Normal 6 2 2 3 2 3 3" xfId="7971" xr:uid="{A4F5B667-2AA4-41D6-A712-4E8E9F6E67DA}"/>
    <cellStyle name="Normal 6 2 2 3 2 3 3 2" xfId="20653" xr:uid="{05940C6E-60AE-4161-BD1B-6ACF19AE4724}"/>
    <cellStyle name="Normal 6 2 2 3 2 3 3 2 2" xfId="46145" xr:uid="{39752350-F0C5-428E-88CD-6EF6493E6ED4}"/>
    <cellStyle name="Normal 6 2 2 3 2 3 3 3" xfId="33554" xr:uid="{5F13EABE-EF9D-4FDC-9BD0-FEAE06B960F9}"/>
    <cellStyle name="Normal 6 2 2 3 2 3 4" xfId="14375" xr:uid="{8478BA21-0388-4E07-80DF-2C6279396482}"/>
    <cellStyle name="Normal 6 2 2 3 2 3 4 2" xfId="39867" xr:uid="{F35FF1AA-1186-4FB8-8C2F-6D962F441BAE}"/>
    <cellStyle name="Normal 6 2 2 3 2 3 5" xfId="27276" xr:uid="{30C825DB-EC0B-4B56-A691-4277CDE799FA}"/>
    <cellStyle name="Normal 6 2 2 3 2 4" xfId="2970" xr:uid="{CA7330BA-6CB3-4B65-9947-2230AD695F98}"/>
    <cellStyle name="Normal 6 2 2 3 2 4 2" xfId="6124" xr:uid="{A04CF9B9-1758-4F73-B780-0C2599C761D5}"/>
    <cellStyle name="Normal 6 2 2 3 2 4 2 2" xfId="12417" xr:uid="{B0E0AE2A-F10D-4C54-8D95-A2B211842C00}"/>
    <cellStyle name="Normal 6 2 2 3 2 4 2 2 2" xfId="25099" xr:uid="{CBF74BD1-6ACC-4BCF-8E98-E4D9A92A4FBC}"/>
    <cellStyle name="Normal 6 2 2 3 2 4 2 2 2 2" xfId="50591" xr:uid="{BD5FDDE7-AC4A-4642-B3AE-6A6124E942B8}"/>
    <cellStyle name="Normal 6 2 2 3 2 4 2 2 3" xfId="38000" xr:uid="{679D4E8A-47B5-41DF-BD2B-A7EAFEEE2964}"/>
    <cellStyle name="Normal 6 2 2 3 2 4 2 3" xfId="18821" xr:uid="{7F6EE6A5-8C8D-42D1-8E50-6EBF8F07E44B}"/>
    <cellStyle name="Normal 6 2 2 3 2 4 2 3 2" xfId="44313" xr:uid="{6F20F73F-65C9-40BC-8B56-02327452C6BE}"/>
    <cellStyle name="Normal 6 2 2 3 2 4 2 4" xfId="31722" xr:uid="{3DE0E6EE-DBDF-48BB-9DBD-EA18E698843B}"/>
    <cellStyle name="Normal 6 2 2 3 2 4 3" xfId="9278" xr:uid="{8FF3AE49-3843-43C1-BB7D-59F0D9206A3D}"/>
    <cellStyle name="Normal 6 2 2 3 2 4 3 2" xfId="21960" xr:uid="{46F1A61E-1F16-4CA6-B28E-ACD237B18914}"/>
    <cellStyle name="Normal 6 2 2 3 2 4 3 2 2" xfId="47452" xr:uid="{573F21DF-ACC9-4226-A0E8-4C5707C5A460}"/>
    <cellStyle name="Normal 6 2 2 3 2 4 3 3" xfId="34861" xr:uid="{D94126CD-3A4F-4DAD-834F-EBC699B232F6}"/>
    <cellStyle name="Normal 6 2 2 3 2 4 4" xfId="15682" xr:uid="{9D57279C-2E66-4B29-B63E-672F681E09FD}"/>
    <cellStyle name="Normal 6 2 2 3 2 4 4 2" xfId="41174" xr:uid="{1E3E612A-FACC-4BFE-8187-8F7CF8B10360}"/>
    <cellStyle name="Normal 6 2 2 3 2 4 5" xfId="28583" xr:uid="{90003A0A-9F58-4C22-B811-5E5AE2CFDD01}"/>
    <cellStyle name="Normal 6 2 2 3 2 5" xfId="3493" xr:uid="{263EFE70-AF7A-44D4-BCF8-07C95685DCBB}"/>
    <cellStyle name="Normal 6 2 2 3 2 5 2" xfId="6647" xr:uid="{5D15A2CB-F66D-4435-81FD-B9D949B477A1}"/>
    <cellStyle name="Normal 6 2 2 3 2 5 2 2" xfId="12940" xr:uid="{7A902ED1-06A1-4555-A013-0DA0D4E911BA}"/>
    <cellStyle name="Normal 6 2 2 3 2 5 2 2 2" xfId="25622" xr:uid="{24C837F5-DAEC-4231-BB88-4243D5E59845}"/>
    <cellStyle name="Normal 6 2 2 3 2 5 2 2 2 2" xfId="51114" xr:uid="{ADC2C4E8-9B81-49F4-8A86-66557203BFC6}"/>
    <cellStyle name="Normal 6 2 2 3 2 5 2 2 3" xfId="38523" xr:uid="{6E488B97-03E2-4F15-B65C-5083A1EE4E22}"/>
    <cellStyle name="Normal 6 2 2 3 2 5 2 3" xfId="19344" xr:uid="{965EB33F-625C-4435-920F-0A69E718843E}"/>
    <cellStyle name="Normal 6 2 2 3 2 5 2 3 2" xfId="44836" xr:uid="{5212BE5F-F86C-4526-A803-9A3A9F10410F}"/>
    <cellStyle name="Normal 6 2 2 3 2 5 2 4" xfId="32245" xr:uid="{09116012-0F05-43A0-959C-F76F8D97DB2B}"/>
    <cellStyle name="Normal 6 2 2 3 2 5 3" xfId="9801" xr:uid="{D7650B09-B356-48B4-9321-E20476109983}"/>
    <cellStyle name="Normal 6 2 2 3 2 5 3 2" xfId="22483" xr:uid="{BE133052-A829-41D8-818A-AAF40D7F0A5F}"/>
    <cellStyle name="Normal 6 2 2 3 2 5 3 2 2" xfId="47975" xr:uid="{0F4D46B3-E415-4DBD-80A6-734C299C9F5B}"/>
    <cellStyle name="Normal 6 2 2 3 2 5 3 3" xfId="35384" xr:uid="{4FF160D6-98CD-4837-AFCE-1C0471110044}"/>
    <cellStyle name="Normal 6 2 2 3 2 5 4" xfId="16205" xr:uid="{AE34BFBB-791F-442D-8F58-37A79126D1C5}"/>
    <cellStyle name="Normal 6 2 2 3 2 5 4 2" xfId="41697" xr:uid="{B5603109-0B55-4168-8348-9E1EB1A855DE}"/>
    <cellStyle name="Normal 6 2 2 3 2 5 5" xfId="29106" xr:uid="{351F4EF5-E0FC-489B-9670-75A93DFCD041}"/>
    <cellStyle name="Normal 6 2 2 3 2 6" xfId="4293" xr:uid="{CE2C5C55-0CC2-4D0C-BFA6-2A77F423E176}"/>
    <cellStyle name="Normal 6 2 2 3 2 6 2" xfId="10586" xr:uid="{EFF51F54-6506-4463-AED8-1F48F12C26DB}"/>
    <cellStyle name="Normal 6 2 2 3 2 6 2 2" xfId="23268" xr:uid="{2448E2BD-822D-4B9A-949E-9231218DA60A}"/>
    <cellStyle name="Normal 6 2 2 3 2 6 2 2 2" xfId="48760" xr:uid="{CF646695-55F2-4D85-A464-8C69237FB08D}"/>
    <cellStyle name="Normal 6 2 2 3 2 6 2 3" xfId="36169" xr:uid="{9A155C24-A92D-4726-BDDA-2DB054B43066}"/>
    <cellStyle name="Normal 6 2 2 3 2 6 3" xfId="16990" xr:uid="{2EADFB85-21EA-4865-801F-A6E453D7511C}"/>
    <cellStyle name="Normal 6 2 2 3 2 6 3 2" xfId="42482" xr:uid="{087CB6A6-1307-4A25-96EC-E8E9B395D6C7}"/>
    <cellStyle name="Normal 6 2 2 3 2 6 4" xfId="29891" xr:uid="{14FAC425-3E96-40A5-B204-555D62958AA5}"/>
    <cellStyle name="Normal 6 2 2 3 2 7" xfId="7447" xr:uid="{3F4ACA86-A0C6-4829-B24D-1DE33AC95483}"/>
    <cellStyle name="Normal 6 2 2 3 2 7 2" xfId="20129" xr:uid="{61B9F4D2-B19C-452D-AFDF-30CC36F7E8A9}"/>
    <cellStyle name="Normal 6 2 2 3 2 7 2 2" xfId="45621" xr:uid="{69DEDEA1-CD36-45DE-AE55-5D7B74B9B2E9}"/>
    <cellStyle name="Normal 6 2 2 3 2 7 3" xfId="33030" xr:uid="{FB711B84-F4C2-4AA7-81E9-0EFDF71C9CF3}"/>
    <cellStyle name="Normal 6 2 2 3 2 8" xfId="13851" xr:uid="{792AC54F-419B-4C87-8FAA-91205C4AAC6A}"/>
    <cellStyle name="Normal 6 2 2 3 2 8 2" xfId="39343" xr:uid="{F942531F-9C0C-42C1-BF23-1E0678155B5B}"/>
    <cellStyle name="Normal 6 2 2 3 2 9" xfId="26752" xr:uid="{555E9F36-698D-44EC-9674-145F999EF4D5}"/>
    <cellStyle name="Normal 6 2 2 3 3" xfId="879" xr:uid="{FFB85CD2-7629-45F1-8274-2F1F67C1B216}"/>
    <cellStyle name="Normal 6 2 2 3 3 2" xfId="2186" xr:uid="{73E3AEFA-734C-46F8-B235-4FFE19708C97}"/>
    <cellStyle name="Normal 6 2 2 3 3 2 2" xfId="5340" xr:uid="{68E7538A-9464-4F8B-B0FA-D29EBF0BE921}"/>
    <cellStyle name="Normal 6 2 2 3 3 2 2 2" xfId="11633" xr:uid="{765ED788-09F9-4690-AA32-E22B3D680178}"/>
    <cellStyle name="Normal 6 2 2 3 3 2 2 2 2" xfId="24315" xr:uid="{D0CA68FE-0F0C-43BF-893C-DBD208FE10BE}"/>
    <cellStyle name="Normal 6 2 2 3 3 2 2 2 2 2" xfId="49807" xr:uid="{7D42B986-A14C-4270-99BA-10B10937C5B9}"/>
    <cellStyle name="Normal 6 2 2 3 3 2 2 2 3" xfId="37216" xr:uid="{46258CD7-41DC-42D0-B14C-7410A1ECB77A}"/>
    <cellStyle name="Normal 6 2 2 3 3 2 2 3" xfId="18037" xr:uid="{C693088F-AC4E-4C49-8902-6DB78164D3BF}"/>
    <cellStyle name="Normal 6 2 2 3 3 2 2 3 2" xfId="43529" xr:uid="{5F386756-8783-4C5E-851F-2D0207E4DCD8}"/>
    <cellStyle name="Normal 6 2 2 3 3 2 2 4" xfId="30938" xr:uid="{70E2CAA1-0DB2-44AB-83CB-24A91F186A18}"/>
    <cellStyle name="Normal 6 2 2 3 3 2 3" xfId="8494" xr:uid="{1CD06802-EF11-421D-AF60-7B8642912280}"/>
    <cellStyle name="Normal 6 2 2 3 3 2 3 2" xfId="21176" xr:uid="{6E42A094-0F99-4C0F-AC47-523DA17FA2E4}"/>
    <cellStyle name="Normal 6 2 2 3 3 2 3 2 2" xfId="46668" xr:uid="{23B56F7E-7FA3-47CC-9BF2-5716B5AAE66A}"/>
    <cellStyle name="Normal 6 2 2 3 3 2 3 3" xfId="34077" xr:uid="{F3CD4DC2-8F58-47A2-9D12-04125DE45DE3}"/>
    <cellStyle name="Normal 6 2 2 3 3 2 4" xfId="14898" xr:uid="{FAA7CFA8-90AC-490D-BCC7-2F52617BDD8A}"/>
    <cellStyle name="Normal 6 2 2 3 3 2 4 2" xfId="40390" xr:uid="{F2CA2E4F-2694-4823-8317-7B3390583CAB}"/>
    <cellStyle name="Normal 6 2 2 3 3 2 5" xfId="27799" xr:uid="{464C0806-7339-47D6-9BC5-34310D4BF47B}"/>
    <cellStyle name="Normal 6 2 2 3 3 3" xfId="4033" xr:uid="{77C26F8B-F754-4512-94AF-9842DF87EA01}"/>
    <cellStyle name="Normal 6 2 2 3 3 3 2" xfId="10326" xr:uid="{6A6BEBBD-7E1F-46C7-8AD4-A9ACE15610CE}"/>
    <cellStyle name="Normal 6 2 2 3 3 3 2 2" xfId="23008" xr:uid="{C5514AEF-507D-4EE3-B013-D1E8605199A2}"/>
    <cellStyle name="Normal 6 2 2 3 3 3 2 2 2" xfId="48500" xr:uid="{B6F3CBD9-6B6C-4776-A8BC-88D0D2B80EE4}"/>
    <cellStyle name="Normal 6 2 2 3 3 3 2 3" xfId="35909" xr:uid="{74309AB4-03FA-4E40-9E50-51161CC60B77}"/>
    <cellStyle name="Normal 6 2 2 3 3 3 3" xfId="16730" xr:uid="{07B8D8DC-B4BE-4F8A-9449-D5DA43FE170A}"/>
    <cellStyle name="Normal 6 2 2 3 3 3 3 2" xfId="42222" xr:uid="{F835E8CC-06F3-43D3-B897-52074C10B400}"/>
    <cellStyle name="Normal 6 2 2 3 3 3 4" xfId="29631" xr:uid="{E8066494-0859-4219-B864-D374886F9E7B}"/>
    <cellStyle name="Normal 6 2 2 3 3 4" xfId="7187" xr:uid="{08A6D15E-8242-4242-8E2D-9E3AB4B3AEFE}"/>
    <cellStyle name="Normal 6 2 2 3 3 4 2" xfId="19869" xr:uid="{0E3B6FCE-E9C9-4EFC-B425-6B2FC78938B9}"/>
    <cellStyle name="Normal 6 2 2 3 3 4 2 2" xfId="45361" xr:uid="{A97D9BAF-64CE-4875-A078-A2F4B8B791CC}"/>
    <cellStyle name="Normal 6 2 2 3 3 4 3" xfId="32770" xr:uid="{DEE1327A-5020-45AF-B000-FDD077DE49FA}"/>
    <cellStyle name="Normal 6 2 2 3 3 5" xfId="13591" xr:uid="{2B8FF442-0061-442F-8D10-28203F1CEA76}"/>
    <cellStyle name="Normal 6 2 2 3 3 5 2" xfId="39083" xr:uid="{5CCDA31B-B663-4064-A3A9-CA2A0B563CBF}"/>
    <cellStyle name="Normal 6 2 2 3 3 6" xfId="26492" xr:uid="{A7E27C7F-BFA4-481A-B3C9-AB7C35FCAC91}"/>
    <cellStyle name="Normal 6 2 2 3 4" xfId="1924" xr:uid="{8B8E5CBE-C8FC-4B79-A0FC-3F09D02FB428}"/>
    <cellStyle name="Normal 6 2 2 3 4 2" xfId="5078" xr:uid="{7175324A-39A4-4149-80CC-42C7ABCB05E4}"/>
    <cellStyle name="Normal 6 2 2 3 4 2 2" xfId="11371" xr:uid="{2B6D9736-68BC-428A-B459-C43A18B10F35}"/>
    <cellStyle name="Normal 6 2 2 3 4 2 2 2" xfId="24053" xr:uid="{E67D1744-F59A-470B-B0F1-14CA41F08DEB}"/>
    <cellStyle name="Normal 6 2 2 3 4 2 2 2 2" xfId="49545" xr:uid="{92855CD7-D219-4DCD-8B23-FBAFC5C70B33}"/>
    <cellStyle name="Normal 6 2 2 3 4 2 2 3" xfId="36954" xr:uid="{AB7F911C-C63F-42E4-8546-6D8E260350B9}"/>
    <cellStyle name="Normal 6 2 2 3 4 2 3" xfId="17775" xr:uid="{C7BF9508-1EC9-489F-973D-BE838A199E30}"/>
    <cellStyle name="Normal 6 2 2 3 4 2 3 2" xfId="43267" xr:uid="{CF41E5DB-6D19-40DD-BDCA-0F81D8D6FC7B}"/>
    <cellStyle name="Normal 6 2 2 3 4 2 4" xfId="30676" xr:uid="{ED675FA4-77AC-435C-88FE-C5746C4C8882}"/>
    <cellStyle name="Normal 6 2 2 3 4 3" xfId="8232" xr:uid="{1E9CDA25-1E33-484A-B716-583D9FA97EBA}"/>
    <cellStyle name="Normal 6 2 2 3 4 3 2" xfId="20914" xr:uid="{E8B3D799-EC2E-45E8-BFAD-2AD356BC95C0}"/>
    <cellStyle name="Normal 6 2 2 3 4 3 2 2" xfId="46406" xr:uid="{9C909E08-ECC9-42DF-8B44-707B5134BE68}"/>
    <cellStyle name="Normal 6 2 2 3 4 3 3" xfId="33815" xr:uid="{8ABF9DAB-20F0-48D3-83E8-AC0E0D672C6C}"/>
    <cellStyle name="Normal 6 2 2 3 4 4" xfId="14636" xr:uid="{CD2D9971-D4C8-4815-A358-856F15009B96}"/>
    <cellStyle name="Normal 6 2 2 3 4 4 2" xfId="40128" xr:uid="{AD3470BD-B12E-4FB5-8209-8BACB9853156}"/>
    <cellStyle name="Normal 6 2 2 3 4 5" xfId="27537" xr:uid="{F7F6C165-E7AD-4FDC-A1CD-BA665B7B047F}"/>
    <cellStyle name="Normal 6 2 2 3 5" xfId="1402" xr:uid="{39F0208F-C222-4FBB-AD0D-76F0ADB4C4BC}"/>
    <cellStyle name="Normal 6 2 2 3 5 2" xfId="4556" xr:uid="{BAED7D79-E055-4708-BAE6-C89EB080CC75}"/>
    <cellStyle name="Normal 6 2 2 3 5 2 2" xfId="10849" xr:uid="{F99831C9-A1D3-4DFC-9534-8D2CE1355492}"/>
    <cellStyle name="Normal 6 2 2 3 5 2 2 2" xfId="23531" xr:uid="{D0523689-578A-4747-84A2-68F13C22E188}"/>
    <cellStyle name="Normal 6 2 2 3 5 2 2 2 2" xfId="49023" xr:uid="{34A6377D-77F7-4D44-81EB-6C41155EE39E}"/>
    <cellStyle name="Normal 6 2 2 3 5 2 2 3" xfId="36432" xr:uid="{872F8E6F-9257-47C6-95E2-99B7C7A82A7C}"/>
    <cellStyle name="Normal 6 2 2 3 5 2 3" xfId="17253" xr:uid="{A64F496A-21BF-447A-B244-5D086510E67F}"/>
    <cellStyle name="Normal 6 2 2 3 5 2 3 2" xfId="42745" xr:uid="{C4C5679F-62E2-4795-B16A-F815510D961B}"/>
    <cellStyle name="Normal 6 2 2 3 5 2 4" xfId="30154" xr:uid="{28EB8E95-4E2B-4EFA-B8D9-71DA71D5294D}"/>
    <cellStyle name="Normal 6 2 2 3 5 3" xfId="7710" xr:uid="{4F2D3A24-49E3-49A3-AB97-E55D7EB4AB54}"/>
    <cellStyle name="Normal 6 2 2 3 5 3 2" xfId="20392" xr:uid="{BDB30DC1-EB84-4369-8F73-86A143CBFDD7}"/>
    <cellStyle name="Normal 6 2 2 3 5 3 2 2" xfId="45884" xr:uid="{72AEC425-CB8B-4BD0-9E36-A84E62251626}"/>
    <cellStyle name="Normal 6 2 2 3 5 3 3" xfId="33293" xr:uid="{EBF3885D-4F84-40BA-8D5A-6D4FFA1A1CE1}"/>
    <cellStyle name="Normal 6 2 2 3 5 4" xfId="14114" xr:uid="{58FD2DCE-408C-4F92-9BB8-8136083E7174}"/>
    <cellStyle name="Normal 6 2 2 3 5 4 2" xfId="39606" xr:uid="{05D7FA05-FE2C-48C8-B041-55FE3DF84E7C}"/>
    <cellStyle name="Normal 6 2 2 3 5 5" xfId="27015" xr:uid="{3A908E6C-73AE-4D7A-84F9-6F1AAB038B43}"/>
    <cellStyle name="Normal 6 2 2 3 6" xfId="2709" xr:uid="{A772D654-8196-434D-816F-5215CD1F2D8B}"/>
    <cellStyle name="Normal 6 2 2 3 6 2" xfId="5863" xr:uid="{0F78EC03-DD60-4D45-952E-4686B1E8AFE5}"/>
    <cellStyle name="Normal 6 2 2 3 6 2 2" xfId="12156" xr:uid="{8BB0D104-51D9-4F95-B2B6-DD4A53449C8F}"/>
    <cellStyle name="Normal 6 2 2 3 6 2 2 2" xfId="24838" xr:uid="{ADD797B6-2B76-477B-8858-42A2F818828B}"/>
    <cellStyle name="Normal 6 2 2 3 6 2 2 2 2" xfId="50330" xr:uid="{44E90797-E7E9-46B3-8E07-FDC67C05CD94}"/>
    <cellStyle name="Normal 6 2 2 3 6 2 2 3" xfId="37739" xr:uid="{190B38FB-66AF-4B1C-B1A0-AE5FB1091269}"/>
    <cellStyle name="Normal 6 2 2 3 6 2 3" xfId="18560" xr:uid="{2E13259A-C39B-48BC-B044-414998E0D4A9}"/>
    <cellStyle name="Normal 6 2 2 3 6 2 3 2" xfId="44052" xr:uid="{22AE5E67-11DC-4997-ABCC-38D2EBEB8CCF}"/>
    <cellStyle name="Normal 6 2 2 3 6 2 4" xfId="31461" xr:uid="{56B18271-FD35-44C6-A659-830AF56DC4EE}"/>
    <cellStyle name="Normal 6 2 2 3 6 3" xfId="9017" xr:uid="{65610AA0-3342-4C4D-85C6-0985C96C0B8D}"/>
    <cellStyle name="Normal 6 2 2 3 6 3 2" xfId="21699" xr:uid="{437A8340-0649-454A-97AF-EF0B4308B97A}"/>
    <cellStyle name="Normal 6 2 2 3 6 3 2 2" xfId="47191" xr:uid="{B2D94145-5959-487F-AA4C-B883E4C09073}"/>
    <cellStyle name="Normal 6 2 2 3 6 3 3" xfId="34600" xr:uid="{591FD6A2-2E81-487A-97DA-F5873D73D51B}"/>
    <cellStyle name="Normal 6 2 2 3 6 4" xfId="15421" xr:uid="{5B1C140A-ADF6-4C7E-9CFD-D230832217FF}"/>
    <cellStyle name="Normal 6 2 2 3 6 4 2" xfId="40913" xr:uid="{C59D2777-A7AF-416F-8649-392A0091DCB1}"/>
    <cellStyle name="Normal 6 2 2 3 6 5" xfId="28322" xr:uid="{60401721-7A4D-4C5A-8E05-971C1310D94C}"/>
    <cellStyle name="Normal 6 2 2 3 7" xfId="3232" xr:uid="{41428A3D-1F6F-4A37-8DE9-4925A5919CF5}"/>
    <cellStyle name="Normal 6 2 2 3 7 2" xfId="6386" xr:uid="{B79F8487-FB8F-41ED-A254-048B98CBA557}"/>
    <cellStyle name="Normal 6 2 2 3 7 2 2" xfId="12679" xr:uid="{4B3A654E-BDD6-4534-8C2C-5E20929F49F1}"/>
    <cellStyle name="Normal 6 2 2 3 7 2 2 2" xfId="25361" xr:uid="{BA737201-B50A-46C1-9408-10F40A88563A}"/>
    <cellStyle name="Normal 6 2 2 3 7 2 2 2 2" xfId="50853" xr:uid="{FB3606DB-A1EE-4923-B4A4-C113EA5B6FC1}"/>
    <cellStyle name="Normal 6 2 2 3 7 2 2 3" xfId="38262" xr:uid="{193AA50C-5BFA-4808-B717-443D0DD9C0F5}"/>
    <cellStyle name="Normal 6 2 2 3 7 2 3" xfId="19083" xr:uid="{893174E7-36DA-4867-B0FF-A102684E20F2}"/>
    <cellStyle name="Normal 6 2 2 3 7 2 3 2" xfId="44575" xr:uid="{A2820353-5826-4E99-8BCB-73FD5A2AD00E}"/>
    <cellStyle name="Normal 6 2 2 3 7 2 4" xfId="31984" xr:uid="{A07137A5-726E-41D3-A761-769C49ED8163}"/>
    <cellStyle name="Normal 6 2 2 3 7 3" xfId="9540" xr:uid="{9AB3A133-080F-4BD2-A566-9600A88F3688}"/>
    <cellStyle name="Normal 6 2 2 3 7 3 2" xfId="22222" xr:uid="{FD526D1F-1238-44B3-A0DE-B4052D89C395}"/>
    <cellStyle name="Normal 6 2 2 3 7 3 2 2" xfId="47714" xr:uid="{403D1117-554E-4D64-A553-5CF54B6FBC9D}"/>
    <cellStyle name="Normal 6 2 2 3 7 3 3" xfId="35123" xr:uid="{FBB5124B-16A2-43EA-B749-98E5300E9DC3}"/>
    <cellStyle name="Normal 6 2 2 3 7 4" xfId="15944" xr:uid="{41A05D75-5529-4783-B417-2CA315716A19}"/>
    <cellStyle name="Normal 6 2 2 3 7 4 2" xfId="41436" xr:uid="{AB58C3D6-29F5-4936-89E6-E45B194A2ED2}"/>
    <cellStyle name="Normal 6 2 2 3 7 5" xfId="28845" xr:uid="{376A88A8-F3A0-432F-8914-55CCA42015C8}"/>
    <cellStyle name="Normal 6 2 2 3 8" xfId="3771" xr:uid="{E1AD1816-8A40-4428-9F91-3A0976C69441}"/>
    <cellStyle name="Normal 6 2 2 3 8 2" xfId="10064" xr:uid="{DF7B4759-BD53-479A-9F9B-85EEFCC3C358}"/>
    <cellStyle name="Normal 6 2 2 3 8 2 2" xfId="22746" xr:uid="{42031E96-6BF8-4DBA-BEFE-5CC278EC848A}"/>
    <cellStyle name="Normal 6 2 2 3 8 2 2 2" xfId="48238" xr:uid="{22559319-D245-45A2-924B-07F28A35F861}"/>
    <cellStyle name="Normal 6 2 2 3 8 2 3" xfId="35647" xr:uid="{51CC3267-5B98-48F8-BD29-C5BE98DDEFC1}"/>
    <cellStyle name="Normal 6 2 2 3 8 3" xfId="16468" xr:uid="{83AB10CF-FDDE-4A8C-AEA2-8B42BFC72A99}"/>
    <cellStyle name="Normal 6 2 2 3 8 3 2" xfId="41960" xr:uid="{ACED2BE1-D4C9-4004-A84A-53C2D666CCED}"/>
    <cellStyle name="Normal 6 2 2 3 8 4" xfId="29369" xr:uid="{E8CC70A5-4D92-4342-885E-5EBD827B6FF4}"/>
    <cellStyle name="Normal 6 2 2 3 9" xfId="6925" xr:uid="{4B7AEB96-1B9D-4875-B7D5-06893F6EC511}"/>
    <cellStyle name="Normal 6 2 2 3 9 2" xfId="19607" xr:uid="{FE6D4161-F7C3-4964-AB49-31AD6CC48563}"/>
    <cellStyle name="Normal 6 2 2 3 9 2 2" xfId="45099" xr:uid="{05CFB78F-BA5B-4263-9746-6E976A41658C}"/>
    <cellStyle name="Normal 6 2 2 3 9 3" xfId="32508" xr:uid="{18FDEEF0-0596-4B3F-A9E8-463E20BFFD18}"/>
    <cellStyle name="Normal 6 2 2 4" xfId="563" xr:uid="{808B78E0-A746-4180-8F82-703C370251C2}"/>
    <cellStyle name="Normal 6 2 2 4 10" xfId="13290" xr:uid="{91BAA13D-2DBE-47B2-9E84-F89E16E4FBF0}"/>
    <cellStyle name="Normal 6 2 2 4 10 2" xfId="38782" xr:uid="{F2696054-8202-4F2B-A6D2-F8B666F11DF2}"/>
    <cellStyle name="Normal 6 2 2 4 11" xfId="26191" xr:uid="{C6C37A24-A55A-4F4D-AA82-F677836F85CD}"/>
    <cellStyle name="Normal 6 2 2 4 2" xfId="1100" xr:uid="{4E254E81-A85C-48CE-8689-6066C92252FE}"/>
    <cellStyle name="Normal 6 2 2 4 2 2" xfId="2407" xr:uid="{3ECDD0FF-2DD4-463B-B8A6-5717F7203B75}"/>
    <cellStyle name="Normal 6 2 2 4 2 2 2" xfId="5561" xr:uid="{532E9D54-4FDB-44B2-967A-7C1366EEAEE1}"/>
    <cellStyle name="Normal 6 2 2 4 2 2 2 2" xfId="11854" xr:uid="{4753A3E0-81CA-4F49-AE88-6A26B8D565E2}"/>
    <cellStyle name="Normal 6 2 2 4 2 2 2 2 2" xfId="24536" xr:uid="{E65B6903-E508-45A3-BDE8-9A566EA8E973}"/>
    <cellStyle name="Normal 6 2 2 4 2 2 2 2 2 2" xfId="50028" xr:uid="{747CCB7A-AE32-4A37-909E-83D7BAF1254E}"/>
    <cellStyle name="Normal 6 2 2 4 2 2 2 2 3" xfId="37437" xr:uid="{213FC157-D847-405A-B24F-B1C9972F7364}"/>
    <cellStyle name="Normal 6 2 2 4 2 2 2 3" xfId="18258" xr:uid="{7F362CE8-FA7B-4999-B67A-710C7F7856B6}"/>
    <cellStyle name="Normal 6 2 2 4 2 2 2 3 2" xfId="43750" xr:uid="{FF29BC7B-410E-41E0-B616-6B20A88B9693}"/>
    <cellStyle name="Normal 6 2 2 4 2 2 2 4" xfId="31159" xr:uid="{C3989CE1-D27D-4F3F-8BD6-53A3B956A35A}"/>
    <cellStyle name="Normal 6 2 2 4 2 2 3" xfId="8715" xr:uid="{983FEB73-D439-459B-9759-18845578A2B1}"/>
    <cellStyle name="Normal 6 2 2 4 2 2 3 2" xfId="21397" xr:uid="{FA40B2D1-DB39-4446-AFC5-453F52BA09BF}"/>
    <cellStyle name="Normal 6 2 2 4 2 2 3 2 2" xfId="46889" xr:uid="{C8E1C9D3-D042-4175-BDEE-437FEA62C429}"/>
    <cellStyle name="Normal 6 2 2 4 2 2 3 3" xfId="34298" xr:uid="{6F03F9FD-1014-4F6A-8B7D-D04C666F8624}"/>
    <cellStyle name="Normal 6 2 2 4 2 2 4" xfId="15119" xr:uid="{5216BA4F-7522-4C02-8E21-01BB3FC2BF43}"/>
    <cellStyle name="Normal 6 2 2 4 2 2 4 2" xfId="40611" xr:uid="{A867D5DC-F648-48B1-86D0-FEDFD5E1B182}"/>
    <cellStyle name="Normal 6 2 2 4 2 2 5" xfId="28020" xr:uid="{3ACE865F-C19E-48CD-9872-B4245417F9C1}"/>
    <cellStyle name="Normal 6 2 2 4 2 3" xfId="1624" xr:uid="{D38E7D6B-FB21-4E55-956D-73E5FCE1A8AA}"/>
    <cellStyle name="Normal 6 2 2 4 2 3 2" xfId="4778" xr:uid="{E02D01B1-98EA-4A29-9BB8-B5E169C4386C}"/>
    <cellStyle name="Normal 6 2 2 4 2 3 2 2" xfId="11071" xr:uid="{E358B4C9-2F5D-4D87-ADCC-BB3A11E08C72}"/>
    <cellStyle name="Normal 6 2 2 4 2 3 2 2 2" xfId="23753" xr:uid="{148E94CD-F14E-4D43-9B17-7B5D9C359106}"/>
    <cellStyle name="Normal 6 2 2 4 2 3 2 2 2 2" xfId="49245" xr:uid="{672CE121-7EF6-405A-B78A-A664C29B0C69}"/>
    <cellStyle name="Normal 6 2 2 4 2 3 2 2 3" xfId="36654" xr:uid="{43A3CF7D-225E-4278-8E0D-3B0AB7DAE391}"/>
    <cellStyle name="Normal 6 2 2 4 2 3 2 3" xfId="17475" xr:uid="{794BD4AB-1D2A-4FA9-A3CB-3F6B310952EF}"/>
    <cellStyle name="Normal 6 2 2 4 2 3 2 3 2" xfId="42967" xr:uid="{69811600-ABE9-4A5A-99E2-07DFE94CB7C5}"/>
    <cellStyle name="Normal 6 2 2 4 2 3 2 4" xfId="30376" xr:uid="{D077028B-3E9B-4B67-8ADB-E2ABBB45D19B}"/>
    <cellStyle name="Normal 6 2 2 4 2 3 3" xfId="7932" xr:uid="{DC5B4843-45E5-425C-9A97-D18B9DD9EC56}"/>
    <cellStyle name="Normal 6 2 2 4 2 3 3 2" xfId="20614" xr:uid="{CFA6ACDB-9FB6-4850-9DD1-24271D5ACCF8}"/>
    <cellStyle name="Normal 6 2 2 4 2 3 3 2 2" xfId="46106" xr:uid="{B755F8FB-02EF-48D1-92CB-8F7D2466C45D}"/>
    <cellStyle name="Normal 6 2 2 4 2 3 3 3" xfId="33515" xr:uid="{51C678E4-43FB-46A4-B047-A0A944F76622}"/>
    <cellStyle name="Normal 6 2 2 4 2 3 4" xfId="14336" xr:uid="{6041172C-E662-491E-A9AA-7B47E986BB57}"/>
    <cellStyle name="Normal 6 2 2 4 2 3 4 2" xfId="39828" xr:uid="{203BFADD-FABF-466D-8722-A041B7CCFC6D}"/>
    <cellStyle name="Normal 6 2 2 4 2 3 5" xfId="27237" xr:uid="{F1414EAF-B732-41BA-9325-CFC15A8694DD}"/>
    <cellStyle name="Normal 6 2 2 4 2 4" xfId="2931" xr:uid="{55D7247E-83C3-4D8F-8B0C-1245323285DB}"/>
    <cellStyle name="Normal 6 2 2 4 2 4 2" xfId="6085" xr:uid="{1D11EDFD-0026-41D7-B96D-244D679B6010}"/>
    <cellStyle name="Normal 6 2 2 4 2 4 2 2" xfId="12378" xr:uid="{EDB4BAAA-3A03-4DD2-92F4-39AF55F1D4E9}"/>
    <cellStyle name="Normal 6 2 2 4 2 4 2 2 2" xfId="25060" xr:uid="{765126DA-531D-4DC7-B2F7-4B21A51E31E4}"/>
    <cellStyle name="Normal 6 2 2 4 2 4 2 2 2 2" xfId="50552" xr:uid="{886772B8-FFC1-44EC-9430-EB489C18832E}"/>
    <cellStyle name="Normal 6 2 2 4 2 4 2 2 3" xfId="37961" xr:uid="{EB22775E-EF3D-4122-BA28-5D8EB7EED291}"/>
    <cellStyle name="Normal 6 2 2 4 2 4 2 3" xfId="18782" xr:uid="{06D6D3FD-D455-4CCF-9FEF-B5F8E0354FE0}"/>
    <cellStyle name="Normal 6 2 2 4 2 4 2 3 2" xfId="44274" xr:uid="{5DA6927C-ABB7-47B8-8E7A-99B991FD01A0}"/>
    <cellStyle name="Normal 6 2 2 4 2 4 2 4" xfId="31683" xr:uid="{CC32538C-71B7-498E-844B-FCDE0755D1A0}"/>
    <cellStyle name="Normal 6 2 2 4 2 4 3" xfId="9239" xr:uid="{1E8BEBE7-F82B-4D45-A628-8F382B0254BB}"/>
    <cellStyle name="Normal 6 2 2 4 2 4 3 2" xfId="21921" xr:uid="{C84E15D1-4A49-4B07-9E8C-F3E1139DDF56}"/>
    <cellStyle name="Normal 6 2 2 4 2 4 3 2 2" xfId="47413" xr:uid="{A1751150-0C61-44AE-9795-E37892AC88EB}"/>
    <cellStyle name="Normal 6 2 2 4 2 4 3 3" xfId="34822" xr:uid="{0540E052-8FAB-49CC-8CE3-9255CF361811}"/>
    <cellStyle name="Normal 6 2 2 4 2 4 4" xfId="15643" xr:uid="{B14B463A-75C5-4791-AFB5-30BA6911B444}"/>
    <cellStyle name="Normal 6 2 2 4 2 4 4 2" xfId="41135" xr:uid="{F6276283-C38E-4C5A-BF78-FC7669988C7B}"/>
    <cellStyle name="Normal 6 2 2 4 2 4 5" xfId="28544" xr:uid="{830125CE-3F60-410E-B27A-21D6AEDAF799}"/>
    <cellStyle name="Normal 6 2 2 4 2 5" xfId="3454" xr:uid="{AE2E6219-8B42-4342-B7B3-25AC480BB715}"/>
    <cellStyle name="Normal 6 2 2 4 2 5 2" xfId="6608" xr:uid="{4E9E789E-C8DD-4C56-9E0B-33C76284A4A1}"/>
    <cellStyle name="Normal 6 2 2 4 2 5 2 2" xfId="12901" xr:uid="{FE88928E-A139-42E5-B15E-9D85E31C9D61}"/>
    <cellStyle name="Normal 6 2 2 4 2 5 2 2 2" xfId="25583" xr:uid="{A0953F50-C1A6-456F-995F-B70C95EB43D8}"/>
    <cellStyle name="Normal 6 2 2 4 2 5 2 2 2 2" xfId="51075" xr:uid="{3A2F0167-6A1C-421B-A368-F40B2D6D1A7A}"/>
    <cellStyle name="Normal 6 2 2 4 2 5 2 2 3" xfId="38484" xr:uid="{ADDD652C-A46F-4032-94A6-4F1A65270FE3}"/>
    <cellStyle name="Normal 6 2 2 4 2 5 2 3" xfId="19305" xr:uid="{90FA0941-4C98-4160-831B-4F3011DE266C}"/>
    <cellStyle name="Normal 6 2 2 4 2 5 2 3 2" xfId="44797" xr:uid="{FFCF7A6C-EB08-4784-A6CA-A137A304CEC1}"/>
    <cellStyle name="Normal 6 2 2 4 2 5 2 4" xfId="32206" xr:uid="{D115707E-86C4-4F18-A89E-3BA8C5F5EBD5}"/>
    <cellStyle name="Normal 6 2 2 4 2 5 3" xfId="9762" xr:uid="{1C914CA7-EF89-4591-852C-70B371287069}"/>
    <cellStyle name="Normal 6 2 2 4 2 5 3 2" xfId="22444" xr:uid="{E1CF0BE9-FB56-4642-9174-4A0B0B4FF90B}"/>
    <cellStyle name="Normal 6 2 2 4 2 5 3 2 2" xfId="47936" xr:uid="{70507654-688D-42E5-9ECC-1B08A7267058}"/>
    <cellStyle name="Normal 6 2 2 4 2 5 3 3" xfId="35345" xr:uid="{1B8A8208-9146-4DBD-A538-EB0C861FFA28}"/>
    <cellStyle name="Normal 6 2 2 4 2 5 4" xfId="16166" xr:uid="{F4DC4A2D-9898-46DD-95E0-D24DAF23382D}"/>
    <cellStyle name="Normal 6 2 2 4 2 5 4 2" xfId="41658" xr:uid="{5B28D7D1-02F7-4D25-AA96-DE76C8A5D4E1}"/>
    <cellStyle name="Normal 6 2 2 4 2 5 5" xfId="29067" xr:uid="{BDE34FD6-E0F1-40F4-955A-D1E87F70DFFB}"/>
    <cellStyle name="Normal 6 2 2 4 2 6" xfId="4254" xr:uid="{F925524C-974A-4861-91E6-7A5F1DF064FC}"/>
    <cellStyle name="Normal 6 2 2 4 2 6 2" xfId="10547" xr:uid="{E0E802D4-3E13-4BA4-8E03-A1530E288FEC}"/>
    <cellStyle name="Normal 6 2 2 4 2 6 2 2" xfId="23229" xr:uid="{D33F67D8-14B0-407C-9B2B-154C460BD2B8}"/>
    <cellStyle name="Normal 6 2 2 4 2 6 2 2 2" xfId="48721" xr:uid="{C98D9321-BCBF-4855-8333-30739A8502B5}"/>
    <cellStyle name="Normal 6 2 2 4 2 6 2 3" xfId="36130" xr:uid="{DCD7D58D-4D27-42DB-A6B7-E246CD9F32CA}"/>
    <cellStyle name="Normal 6 2 2 4 2 6 3" xfId="16951" xr:uid="{280B199F-DEC2-4635-8E8D-272DAC3377B3}"/>
    <cellStyle name="Normal 6 2 2 4 2 6 3 2" xfId="42443" xr:uid="{69C9391D-0E6F-4109-A603-D007FB2CCF1B}"/>
    <cellStyle name="Normal 6 2 2 4 2 6 4" xfId="29852" xr:uid="{3BF0565A-218B-4FF2-B314-5308862D9C4A}"/>
    <cellStyle name="Normal 6 2 2 4 2 7" xfId="7408" xr:uid="{30056182-1C9B-4425-A797-1037E00EE783}"/>
    <cellStyle name="Normal 6 2 2 4 2 7 2" xfId="20090" xr:uid="{790BC0C9-ACA3-4F41-AFB0-08AE6361F18E}"/>
    <cellStyle name="Normal 6 2 2 4 2 7 2 2" xfId="45582" xr:uid="{088CE687-B1A5-4BC7-A746-4559668C91AD}"/>
    <cellStyle name="Normal 6 2 2 4 2 7 3" xfId="32991" xr:uid="{0C43DD1B-05A9-4340-A045-26012EB66721}"/>
    <cellStyle name="Normal 6 2 2 4 2 8" xfId="13812" xr:uid="{8CFC3C8D-0339-4C03-A895-B6B803EB1FE7}"/>
    <cellStyle name="Normal 6 2 2 4 2 8 2" xfId="39304" xr:uid="{A9EA1ABD-3A06-4913-84B6-D8569A6DF6C9}"/>
    <cellStyle name="Normal 6 2 2 4 2 9" xfId="26713" xr:uid="{DAE0CB80-A602-4368-BDBA-ABC1A0F4CA54}"/>
    <cellStyle name="Normal 6 2 2 4 3" xfId="840" xr:uid="{4A563035-0626-451B-8E1D-CA7661E1EA76}"/>
    <cellStyle name="Normal 6 2 2 4 3 2" xfId="2147" xr:uid="{565E9064-B382-48F6-95D7-E66349543107}"/>
    <cellStyle name="Normal 6 2 2 4 3 2 2" xfId="5301" xr:uid="{BD7AE227-8478-497E-8EB7-36BA5E2D6C18}"/>
    <cellStyle name="Normal 6 2 2 4 3 2 2 2" xfId="11594" xr:uid="{3F7F1D80-64BE-45A4-BE91-0BEB79BAA33F}"/>
    <cellStyle name="Normal 6 2 2 4 3 2 2 2 2" xfId="24276" xr:uid="{14980DB5-A9AF-41BD-A65E-0D8DD864058A}"/>
    <cellStyle name="Normal 6 2 2 4 3 2 2 2 2 2" xfId="49768" xr:uid="{5E3E33C1-EF78-4DB1-B15B-A3777B71C42C}"/>
    <cellStyle name="Normal 6 2 2 4 3 2 2 2 3" xfId="37177" xr:uid="{8CE9C82C-CF4F-45D6-A517-A43C9D0C4135}"/>
    <cellStyle name="Normal 6 2 2 4 3 2 2 3" xfId="17998" xr:uid="{BC9EE0C3-2B1D-4658-B561-F44D545FC322}"/>
    <cellStyle name="Normal 6 2 2 4 3 2 2 3 2" xfId="43490" xr:uid="{C695FC30-7D73-43C3-B04D-6CF47D3FCB8D}"/>
    <cellStyle name="Normal 6 2 2 4 3 2 2 4" xfId="30899" xr:uid="{F57D1DD1-843D-4424-AEF8-67E41B7BB5E1}"/>
    <cellStyle name="Normal 6 2 2 4 3 2 3" xfId="8455" xr:uid="{195FFD70-9180-4EFB-9C54-EC6262DBB97B}"/>
    <cellStyle name="Normal 6 2 2 4 3 2 3 2" xfId="21137" xr:uid="{EC6EA284-70F4-4D79-A7E2-C54F6B225CBC}"/>
    <cellStyle name="Normal 6 2 2 4 3 2 3 2 2" xfId="46629" xr:uid="{46A12603-04ED-441F-8CCE-18D2B88D9505}"/>
    <cellStyle name="Normal 6 2 2 4 3 2 3 3" xfId="34038" xr:uid="{DE899AA3-2B4D-46D5-8835-25CABF9C53FF}"/>
    <cellStyle name="Normal 6 2 2 4 3 2 4" xfId="14859" xr:uid="{D9E008E1-83A4-4620-951A-325120DBBE9B}"/>
    <cellStyle name="Normal 6 2 2 4 3 2 4 2" xfId="40351" xr:uid="{79DA1F36-E08F-48A6-8F7F-CB4481D4FE19}"/>
    <cellStyle name="Normal 6 2 2 4 3 2 5" xfId="27760" xr:uid="{0020BCA2-643F-4358-944F-D29B37D4405E}"/>
    <cellStyle name="Normal 6 2 2 4 3 3" xfId="3994" xr:uid="{EFBEAC12-842E-4423-8F7A-5284629B5C33}"/>
    <cellStyle name="Normal 6 2 2 4 3 3 2" xfId="10287" xr:uid="{ADE338AB-1739-4E99-B8E0-2F0A683EBB95}"/>
    <cellStyle name="Normal 6 2 2 4 3 3 2 2" xfId="22969" xr:uid="{DF46D2F4-3CE6-4FEC-A0F3-8858DED36FD2}"/>
    <cellStyle name="Normal 6 2 2 4 3 3 2 2 2" xfId="48461" xr:uid="{8BBCB254-B315-4F51-8AAE-E2AD912F2125}"/>
    <cellStyle name="Normal 6 2 2 4 3 3 2 3" xfId="35870" xr:uid="{36A6E7EE-EF96-4FD1-B84C-77F5FCE1F163}"/>
    <cellStyle name="Normal 6 2 2 4 3 3 3" xfId="16691" xr:uid="{A77DE40F-A465-449A-B725-F663E3E9A7F0}"/>
    <cellStyle name="Normal 6 2 2 4 3 3 3 2" xfId="42183" xr:uid="{ABDABD84-BE2B-41E3-9D93-4BF0B1C8E71B}"/>
    <cellStyle name="Normal 6 2 2 4 3 3 4" xfId="29592" xr:uid="{C5668DF2-D3DC-4D68-92DA-3DAA93171014}"/>
    <cellStyle name="Normal 6 2 2 4 3 4" xfId="7148" xr:uid="{20B45819-49C3-4C77-A6DA-573852C3E967}"/>
    <cellStyle name="Normal 6 2 2 4 3 4 2" xfId="19830" xr:uid="{05DA0C4F-E03B-4081-972A-5053D6A4D4A4}"/>
    <cellStyle name="Normal 6 2 2 4 3 4 2 2" xfId="45322" xr:uid="{0E3053A4-9499-4DFB-9812-741E723BE7EF}"/>
    <cellStyle name="Normal 6 2 2 4 3 4 3" xfId="32731" xr:uid="{12A8F736-3893-41ED-888E-BFEE5023FD8E}"/>
    <cellStyle name="Normal 6 2 2 4 3 5" xfId="13552" xr:uid="{E46A052D-F50C-449B-8F9E-B1F7EFA5ED12}"/>
    <cellStyle name="Normal 6 2 2 4 3 5 2" xfId="39044" xr:uid="{DC2B5E45-2445-4FB8-B701-7303F140EB36}"/>
    <cellStyle name="Normal 6 2 2 4 3 6" xfId="26453" xr:uid="{95C49246-8F3E-448A-A85B-B5857D2ED7D5}"/>
    <cellStyle name="Normal 6 2 2 4 4" xfId="1885" xr:uid="{E30CC6B5-120E-4FD9-8A59-B41EC4098B87}"/>
    <cellStyle name="Normal 6 2 2 4 4 2" xfId="5039" xr:uid="{2B8CC6FE-40FF-4C3B-A43A-D7C555E54B19}"/>
    <cellStyle name="Normal 6 2 2 4 4 2 2" xfId="11332" xr:uid="{1CD8643B-C14F-495E-9C2C-72BCC7297028}"/>
    <cellStyle name="Normal 6 2 2 4 4 2 2 2" xfId="24014" xr:uid="{E7483157-82B7-4005-A822-A9D1B1D25380}"/>
    <cellStyle name="Normal 6 2 2 4 4 2 2 2 2" xfId="49506" xr:uid="{A375E2A4-E231-4F52-9437-159401955F5A}"/>
    <cellStyle name="Normal 6 2 2 4 4 2 2 3" xfId="36915" xr:uid="{0C03DD5D-0EBA-4EAD-9E34-0BE60698B6F5}"/>
    <cellStyle name="Normal 6 2 2 4 4 2 3" xfId="17736" xr:uid="{F1D0801C-10A8-475F-ADC7-5F73BA428F61}"/>
    <cellStyle name="Normal 6 2 2 4 4 2 3 2" xfId="43228" xr:uid="{C64C98D4-0F24-4073-8EF0-5521B55E78F8}"/>
    <cellStyle name="Normal 6 2 2 4 4 2 4" xfId="30637" xr:uid="{79BBF3AA-DE42-4AF0-B4A0-002BB4535A5C}"/>
    <cellStyle name="Normal 6 2 2 4 4 3" xfId="8193" xr:uid="{A857C222-85DE-4703-9C1B-85F891B30F11}"/>
    <cellStyle name="Normal 6 2 2 4 4 3 2" xfId="20875" xr:uid="{53C43CE9-A749-4136-8348-929E1BEB3C57}"/>
    <cellStyle name="Normal 6 2 2 4 4 3 2 2" xfId="46367" xr:uid="{5A9F6D73-80AD-4EDD-9D57-4A352DC2538C}"/>
    <cellStyle name="Normal 6 2 2 4 4 3 3" xfId="33776" xr:uid="{1FAF407F-A8EC-40C2-B549-A8FA7713D860}"/>
    <cellStyle name="Normal 6 2 2 4 4 4" xfId="14597" xr:uid="{11E34B94-0CA8-47FB-99C9-EF465E45C2AF}"/>
    <cellStyle name="Normal 6 2 2 4 4 4 2" xfId="40089" xr:uid="{88EDF045-4A64-4126-9767-9F1E935CF21E}"/>
    <cellStyle name="Normal 6 2 2 4 4 5" xfId="27498" xr:uid="{6DC207AD-8E6B-422C-9109-1C2BCA1F2810}"/>
    <cellStyle name="Normal 6 2 2 4 5" xfId="1363" xr:uid="{51B298B4-6737-486B-888A-99B6FD531EA9}"/>
    <cellStyle name="Normal 6 2 2 4 5 2" xfId="4517" xr:uid="{22E320FB-2390-4FD4-8A18-2F55EAB326BE}"/>
    <cellStyle name="Normal 6 2 2 4 5 2 2" xfId="10810" xr:uid="{39DF7F47-B0A3-4F81-B858-D0F857F5736B}"/>
    <cellStyle name="Normal 6 2 2 4 5 2 2 2" xfId="23492" xr:uid="{012C2404-27D0-4CF5-892F-88CE0A3F6CF6}"/>
    <cellStyle name="Normal 6 2 2 4 5 2 2 2 2" xfId="48984" xr:uid="{444D69EC-A752-4979-8669-1421D831F814}"/>
    <cellStyle name="Normal 6 2 2 4 5 2 2 3" xfId="36393" xr:uid="{BE33BDA3-AC7B-466A-8A3B-7490D31DD002}"/>
    <cellStyle name="Normal 6 2 2 4 5 2 3" xfId="17214" xr:uid="{FCC08E45-4FB9-45AA-9D20-A8E30496F6C8}"/>
    <cellStyle name="Normal 6 2 2 4 5 2 3 2" xfId="42706" xr:uid="{64563534-C9B3-47A3-9E04-63622A435D5A}"/>
    <cellStyle name="Normal 6 2 2 4 5 2 4" xfId="30115" xr:uid="{F293538D-0C5B-4456-837C-FA0DDAB68884}"/>
    <cellStyle name="Normal 6 2 2 4 5 3" xfId="7671" xr:uid="{AF7D151F-3CF7-41BB-962B-CCD6BD0542EA}"/>
    <cellStyle name="Normal 6 2 2 4 5 3 2" xfId="20353" xr:uid="{490E182C-C73D-4B9A-A19E-97DC0457400F}"/>
    <cellStyle name="Normal 6 2 2 4 5 3 2 2" xfId="45845" xr:uid="{5440AB7F-A9F7-4E21-9431-3A08698BB97E}"/>
    <cellStyle name="Normal 6 2 2 4 5 3 3" xfId="33254" xr:uid="{25AAC595-AFCD-4331-87F9-6CD81BAB782A}"/>
    <cellStyle name="Normal 6 2 2 4 5 4" xfId="14075" xr:uid="{091AEBE8-6799-43C5-B43D-F2B976159C5E}"/>
    <cellStyle name="Normal 6 2 2 4 5 4 2" xfId="39567" xr:uid="{5D661F5A-5A33-4662-98D2-99FCDCF1A115}"/>
    <cellStyle name="Normal 6 2 2 4 5 5" xfId="26976" xr:uid="{C9981F3B-F5EB-41B0-AC56-0D76D53865DE}"/>
    <cellStyle name="Normal 6 2 2 4 6" xfId="2670" xr:uid="{3BA86155-B77C-4FBF-9727-3CBF45683399}"/>
    <cellStyle name="Normal 6 2 2 4 6 2" xfId="5824" xr:uid="{9976299A-2A63-49DB-839C-8251AB8DDD6D}"/>
    <cellStyle name="Normal 6 2 2 4 6 2 2" xfId="12117" xr:uid="{32120CB6-D222-4584-8058-0C9028A01163}"/>
    <cellStyle name="Normal 6 2 2 4 6 2 2 2" xfId="24799" xr:uid="{0C05B782-7258-44B0-A485-977123F512D1}"/>
    <cellStyle name="Normal 6 2 2 4 6 2 2 2 2" xfId="50291" xr:uid="{8EEFB7B0-16C4-454C-A273-9CB66942CD30}"/>
    <cellStyle name="Normal 6 2 2 4 6 2 2 3" xfId="37700" xr:uid="{F4B44F8D-82C1-4A76-AD04-EDFA6AAE7916}"/>
    <cellStyle name="Normal 6 2 2 4 6 2 3" xfId="18521" xr:uid="{4D814956-A8F6-4800-8109-B8C52192A36E}"/>
    <cellStyle name="Normal 6 2 2 4 6 2 3 2" xfId="44013" xr:uid="{0100FE7A-1265-4E68-A212-4F6F24C1F810}"/>
    <cellStyle name="Normal 6 2 2 4 6 2 4" xfId="31422" xr:uid="{92C6B820-5139-424A-9094-C470F52F55F4}"/>
    <cellStyle name="Normal 6 2 2 4 6 3" xfId="8978" xr:uid="{4ADD417F-952B-4227-85EA-702B97F42BC3}"/>
    <cellStyle name="Normal 6 2 2 4 6 3 2" xfId="21660" xr:uid="{788447BB-CE62-4A24-A449-B5856B2473AE}"/>
    <cellStyle name="Normal 6 2 2 4 6 3 2 2" xfId="47152" xr:uid="{C4D95F04-EE72-4040-859B-24F5191B0017}"/>
    <cellStyle name="Normal 6 2 2 4 6 3 3" xfId="34561" xr:uid="{99390CA8-37A7-44E7-896B-C1E973154B68}"/>
    <cellStyle name="Normal 6 2 2 4 6 4" xfId="15382" xr:uid="{89A93115-1DD8-4E11-8D9C-CD1A8A5C04C0}"/>
    <cellStyle name="Normal 6 2 2 4 6 4 2" xfId="40874" xr:uid="{44FDF919-C819-4BAB-B839-AC2604BC8982}"/>
    <cellStyle name="Normal 6 2 2 4 6 5" xfId="28283" xr:uid="{10ADDFB8-4C68-4E10-9201-970BE90718E1}"/>
    <cellStyle name="Normal 6 2 2 4 7" xfId="3193" xr:uid="{5AC43955-94F4-401A-B837-4B9AE26842FD}"/>
    <cellStyle name="Normal 6 2 2 4 7 2" xfId="6347" xr:uid="{C73A6A97-2023-4D85-B01F-F199D5057B00}"/>
    <cellStyle name="Normal 6 2 2 4 7 2 2" xfId="12640" xr:uid="{14B3B509-CB44-447D-A047-31793717B88D}"/>
    <cellStyle name="Normal 6 2 2 4 7 2 2 2" xfId="25322" xr:uid="{DE091D15-DDF4-4E46-85E3-FD7BC7BFF790}"/>
    <cellStyle name="Normal 6 2 2 4 7 2 2 2 2" xfId="50814" xr:uid="{A7B9E8DD-5B19-4D87-A856-7D43B517DB5B}"/>
    <cellStyle name="Normal 6 2 2 4 7 2 2 3" xfId="38223" xr:uid="{583B325E-909A-4BB7-B1F4-337AABFB5A03}"/>
    <cellStyle name="Normal 6 2 2 4 7 2 3" xfId="19044" xr:uid="{95202E83-936C-42ED-825C-B2D9FB568B55}"/>
    <cellStyle name="Normal 6 2 2 4 7 2 3 2" xfId="44536" xr:uid="{4784216F-3721-4A0E-8C80-C9EA38F0262C}"/>
    <cellStyle name="Normal 6 2 2 4 7 2 4" xfId="31945" xr:uid="{FE4B9C2E-3D37-4A42-8F40-8487F0F78BBF}"/>
    <cellStyle name="Normal 6 2 2 4 7 3" xfId="9501" xr:uid="{D58E8A44-B3D5-4B91-8D8A-77422C4448FE}"/>
    <cellStyle name="Normal 6 2 2 4 7 3 2" xfId="22183" xr:uid="{BDC6DCA3-D846-4104-8F84-1AB755FD7E70}"/>
    <cellStyle name="Normal 6 2 2 4 7 3 2 2" xfId="47675" xr:uid="{838E1272-5E88-4986-B051-F2EBA92369D8}"/>
    <cellStyle name="Normal 6 2 2 4 7 3 3" xfId="35084" xr:uid="{DCF33E0C-7383-46EA-BDF6-028E1C1867CD}"/>
    <cellStyle name="Normal 6 2 2 4 7 4" xfId="15905" xr:uid="{2D2EF117-3347-45A9-AA07-D375DDBEA181}"/>
    <cellStyle name="Normal 6 2 2 4 7 4 2" xfId="41397" xr:uid="{E503709D-1D6D-41F5-B66F-FE08FF012E39}"/>
    <cellStyle name="Normal 6 2 2 4 7 5" xfId="28806" xr:uid="{DF4ACFD2-2372-432C-81F9-167D8AE84029}"/>
    <cellStyle name="Normal 6 2 2 4 8" xfId="3732" xr:uid="{C54C182A-BFE2-44F3-8EC0-DC977B27B00B}"/>
    <cellStyle name="Normal 6 2 2 4 8 2" xfId="10025" xr:uid="{D12AA8A4-E6F6-44D0-BDBF-9250C192414C}"/>
    <cellStyle name="Normal 6 2 2 4 8 2 2" xfId="22707" xr:uid="{D2F8D901-3E45-4AA3-B80B-52CDF58B4712}"/>
    <cellStyle name="Normal 6 2 2 4 8 2 2 2" xfId="48199" xr:uid="{0C4C4708-EA88-4FE4-9E13-52C4BAB02AC4}"/>
    <cellStyle name="Normal 6 2 2 4 8 2 3" xfId="35608" xr:uid="{CFCC866C-9167-48B1-B804-4DB3B3DF9530}"/>
    <cellStyle name="Normal 6 2 2 4 8 3" xfId="16429" xr:uid="{D1B2C257-C6E2-4D64-BBF7-F9BEAABBCF6F}"/>
    <cellStyle name="Normal 6 2 2 4 8 3 2" xfId="41921" xr:uid="{B6204CBE-907D-4699-88FF-B018562A58CF}"/>
    <cellStyle name="Normal 6 2 2 4 8 4" xfId="29330" xr:uid="{C4C6589E-E535-4CE4-8C54-E82F60257411}"/>
    <cellStyle name="Normal 6 2 2 4 9" xfId="6886" xr:uid="{8401C72E-8572-43DD-BCB0-326FB8CAAFDD}"/>
    <cellStyle name="Normal 6 2 2 4 9 2" xfId="19568" xr:uid="{C3B9B12A-ED85-4E42-B2D6-8B297590E2E6}"/>
    <cellStyle name="Normal 6 2 2 4 9 2 2" xfId="45060" xr:uid="{82EDDAA3-3755-4BD2-BF5A-40C6F34521F1}"/>
    <cellStyle name="Normal 6 2 2 4 9 3" xfId="32469" xr:uid="{48882763-D987-4074-AD41-B27A13AE8C4B}"/>
    <cellStyle name="Normal 6 2 2 5" xfId="980" xr:uid="{87A63980-583E-47B6-9AC7-D9F4A87A3046}"/>
    <cellStyle name="Normal 6 2 2 5 2" xfId="2287" xr:uid="{E29D05E8-E1C6-45A5-AA58-BB76448BB3FF}"/>
    <cellStyle name="Normal 6 2 2 5 2 2" xfId="5441" xr:uid="{D3B88BD5-9AE1-4DED-9FB7-89D67831694E}"/>
    <cellStyle name="Normal 6 2 2 5 2 2 2" xfId="11734" xr:uid="{F35C16BF-EE51-475F-B83D-C6CBA85C7CB6}"/>
    <cellStyle name="Normal 6 2 2 5 2 2 2 2" xfId="24416" xr:uid="{0DEA43EA-20DA-4462-8503-7BA60CA19898}"/>
    <cellStyle name="Normal 6 2 2 5 2 2 2 2 2" xfId="49908" xr:uid="{0F5DB387-2A0C-42C0-8F36-06B08FB9831D}"/>
    <cellStyle name="Normal 6 2 2 5 2 2 2 3" xfId="37317" xr:uid="{1E801612-3E55-49E2-A06F-6BB6881B7FC2}"/>
    <cellStyle name="Normal 6 2 2 5 2 2 3" xfId="18138" xr:uid="{D0D60715-69C7-4D23-A242-5F62E4DDC808}"/>
    <cellStyle name="Normal 6 2 2 5 2 2 3 2" xfId="43630" xr:uid="{5C55CC96-1634-4153-8933-C9F1D136F722}"/>
    <cellStyle name="Normal 6 2 2 5 2 2 4" xfId="31039" xr:uid="{B54E0319-552F-44EF-8E60-E3CF5EC4DF4A}"/>
    <cellStyle name="Normal 6 2 2 5 2 3" xfId="8595" xr:uid="{0B85ACF6-7F5F-4794-B882-021D01008A12}"/>
    <cellStyle name="Normal 6 2 2 5 2 3 2" xfId="21277" xr:uid="{03B637A1-0969-416C-87FF-EE3E6644D5F2}"/>
    <cellStyle name="Normal 6 2 2 5 2 3 2 2" xfId="46769" xr:uid="{866F1015-ABA6-4813-B35D-56FA34FE0643}"/>
    <cellStyle name="Normal 6 2 2 5 2 3 3" xfId="34178" xr:uid="{3424C1D1-4F72-4913-88D6-6C9D5DD27A4F}"/>
    <cellStyle name="Normal 6 2 2 5 2 4" xfId="14999" xr:uid="{F908CF52-F974-4CED-B05D-F9B3A02C16E7}"/>
    <cellStyle name="Normal 6 2 2 5 2 4 2" xfId="40491" xr:uid="{24C5D83E-8482-4AD5-BD09-97D8EB583BAF}"/>
    <cellStyle name="Normal 6 2 2 5 2 5" xfId="27900" xr:uid="{749C681B-3A0A-429A-B91A-62F35E88F356}"/>
    <cellStyle name="Normal 6 2 2 5 3" xfId="1504" xr:uid="{5CF5FF60-0F9C-4939-B0C3-F44D66C7AA93}"/>
    <cellStyle name="Normal 6 2 2 5 3 2" xfId="4658" xr:uid="{9E294B6D-2482-4DDB-9589-C78A097997FD}"/>
    <cellStyle name="Normal 6 2 2 5 3 2 2" xfId="10951" xr:uid="{140BC1FE-980E-43DA-8A15-AED4BEE72EBC}"/>
    <cellStyle name="Normal 6 2 2 5 3 2 2 2" xfId="23633" xr:uid="{6931335C-136A-48CF-AF7C-3C8FEFC33908}"/>
    <cellStyle name="Normal 6 2 2 5 3 2 2 2 2" xfId="49125" xr:uid="{5E5FC19A-AA92-464E-976D-DF247163B82C}"/>
    <cellStyle name="Normal 6 2 2 5 3 2 2 3" xfId="36534" xr:uid="{E630DF17-BAF5-4EDE-B843-B22EB98CA4CA}"/>
    <cellStyle name="Normal 6 2 2 5 3 2 3" xfId="17355" xr:uid="{5E3A7212-7A3B-4CD9-9AAB-DB231FBE3E4C}"/>
    <cellStyle name="Normal 6 2 2 5 3 2 3 2" xfId="42847" xr:uid="{21A1B17B-1470-42AC-BF7F-88AE6DCEAF39}"/>
    <cellStyle name="Normal 6 2 2 5 3 2 4" xfId="30256" xr:uid="{6AFC39A7-CC2C-42AA-AA4B-8568F774D8EB}"/>
    <cellStyle name="Normal 6 2 2 5 3 3" xfId="7812" xr:uid="{0EEC1304-DF49-4C7A-99EC-13B7E7369391}"/>
    <cellStyle name="Normal 6 2 2 5 3 3 2" xfId="20494" xr:uid="{6143A0BD-61FD-45DB-AD1B-431E68177230}"/>
    <cellStyle name="Normal 6 2 2 5 3 3 2 2" xfId="45986" xr:uid="{C6BD0437-E851-4B7B-BCDC-E24D11B51151}"/>
    <cellStyle name="Normal 6 2 2 5 3 3 3" xfId="33395" xr:uid="{550725E5-3B73-4EFC-826B-0909D6E74B37}"/>
    <cellStyle name="Normal 6 2 2 5 3 4" xfId="14216" xr:uid="{F5C6A05F-B872-4ADA-8C1E-7792FF03FFA9}"/>
    <cellStyle name="Normal 6 2 2 5 3 4 2" xfId="39708" xr:uid="{488B1B5E-F87A-4A5D-BED8-6919A3F1B6DE}"/>
    <cellStyle name="Normal 6 2 2 5 3 5" xfId="27117" xr:uid="{A478D1F9-D766-468B-BC43-C00C535AE4DE}"/>
    <cellStyle name="Normal 6 2 2 5 4" xfId="2811" xr:uid="{46F8E120-A35E-47FE-9DC0-C89605305342}"/>
    <cellStyle name="Normal 6 2 2 5 4 2" xfId="5965" xr:uid="{9774D6E8-F484-45A3-852C-95D68D263DFB}"/>
    <cellStyle name="Normal 6 2 2 5 4 2 2" xfId="12258" xr:uid="{3AAC0A23-8C51-48F9-B3B7-F86BFB930669}"/>
    <cellStyle name="Normal 6 2 2 5 4 2 2 2" xfId="24940" xr:uid="{99292290-567B-4C31-93AC-DE2F5FE30F8D}"/>
    <cellStyle name="Normal 6 2 2 5 4 2 2 2 2" xfId="50432" xr:uid="{6971D636-CF2E-4DAD-A9A2-8BD09016716A}"/>
    <cellStyle name="Normal 6 2 2 5 4 2 2 3" xfId="37841" xr:uid="{DD0745C4-BD4A-4BD7-8CA0-0031C2AF6906}"/>
    <cellStyle name="Normal 6 2 2 5 4 2 3" xfId="18662" xr:uid="{67A10304-1319-447B-A31C-42E581815E3C}"/>
    <cellStyle name="Normal 6 2 2 5 4 2 3 2" xfId="44154" xr:uid="{421A7E50-36B1-478C-932E-7660360A3E78}"/>
    <cellStyle name="Normal 6 2 2 5 4 2 4" xfId="31563" xr:uid="{FC682D23-51FB-4DAF-8B3D-1AED180F3B4E}"/>
    <cellStyle name="Normal 6 2 2 5 4 3" xfId="9119" xr:uid="{4540F961-B0E6-40D8-9F28-DEACAE77857D}"/>
    <cellStyle name="Normal 6 2 2 5 4 3 2" xfId="21801" xr:uid="{A273C132-36E1-4359-9707-1BCB9B9BFE0F}"/>
    <cellStyle name="Normal 6 2 2 5 4 3 2 2" xfId="47293" xr:uid="{3DA5842A-B269-4E4F-B914-5C6B49AE22FA}"/>
    <cellStyle name="Normal 6 2 2 5 4 3 3" xfId="34702" xr:uid="{8F467217-6959-4112-BCA6-9A5807273CC0}"/>
    <cellStyle name="Normal 6 2 2 5 4 4" xfId="15523" xr:uid="{12CF3684-813D-47EE-A445-48FD784ED826}"/>
    <cellStyle name="Normal 6 2 2 5 4 4 2" xfId="41015" xr:uid="{DD4C4E20-8430-4277-99FC-217FD0160F1D}"/>
    <cellStyle name="Normal 6 2 2 5 4 5" xfId="28424" xr:uid="{21DAE18C-3577-44C9-8398-CB3AE062F189}"/>
    <cellStyle name="Normal 6 2 2 5 5" xfId="3334" xr:uid="{81696176-E8AC-4FF1-BF04-BF9902F3C0EF}"/>
    <cellStyle name="Normal 6 2 2 5 5 2" xfId="6488" xr:uid="{F299A38F-CAA2-41AF-BA56-DB3B9D112846}"/>
    <cellStyle name="Normal 6 2 2 5 5 2 2" xfId="12781" xr:uid="{497D5702-B7E9-49E8-B4B1-0BC82F949BF6}"/>
    <cellStyle name="Normal 6 2 2 5 5 2 2 2" xfId="25463" xr:uid="{30AD0820-5B76-4A4E-B881-62AAB0DAE720}"/>
    <cellStyle name="Normal 6 2 2 5 5 2 2 2 2" xfId="50955" xr:uid="{E8E4E79D-79E8-403F-A66C-6ED599CEF2B0}"/>
    <cellStyle name="Normal 6 2 2 5 5 2 2 3" xfId="38364" xr:uid="{E3BFDF96-33C5-48CB-BA83-5E3401DD0A78}"/>
    <cellStyle name="Normal 6 2 2 5 5 2 3" xfId="19185" xr:uid="{416FBF68-87A9-4A33-97AD-5843CBBE0CF2}"/>
    <cellStyle name="Normal 6 2 2 5 5 2 3 2" xfId="44677" xr:uid="{70E93B62-DD51-43EC-80C9-A6F753C91277}"/>
    <cellStyle name="Normal 6 2 2 5 5 2 4" xfId="32086" xr:uid="{2D7293DA-81DF-4E64-91A5-A1B9A062446F}"/>
    <cellStyle name="Normal 6 2 2 5 5 3" xfId="9642" xr:uid="{4DAEDD79-E95D-4763-BEB2-C62A0BD8AE1B}"/>
    <cellStyle name="Normal 6 2 2 5 5 3 2" xfId="22324" xr:uid="{25A7442A-CEC8-4AD2-823A-BAD0711122B4}"/>
    <cellStyle name="Normal 6 2 2 5 5 3 2 2" xfId="47816" xr:uid="{9C38DADA-771D-437C-9AB8-D9F69E2B5A0E}"/>
    <cellStyle name="Normal 6 2 2 5 5 3 3" xfId="35225" xr:uid="{097A1DFB-E3F1-41CD-AEC1-D8D17A43BC53}"/>
    <cellStyle name="Normal 6 2 2 5 5 4" xfId="16046" xr:uid="{8E70D1EF-81EA-4EC7-AE7C-A8A2ED0CA333}"/>
    <cellStyle name="Normal 6 2 2 5 5 4 2" xfId="41538" xr:uid="{FAD1AA2A-64D2-4E3E-ABBD-645BEB372520}"/>
    <cellStyle name="Normal 6 2 2 5 5 5" xfId="28947" xr:uid="{73B6F165-78BF-4D95-9425-6B1D4CA162B1}"/>
    <cellStyle name="Normal 6 2 2 5 6" xfId="4134" xr:uid="{6C3DAC2A-8EA7-4383-9785-A0A5074A8BB3}"/>
    <cellStyle name="Normal 6 2 2 5 6 2" xfId="10427" xr:uid="{6BF0D6E3-D1B9-46D0-B201-C683D59123BC}"/>
    <cellStyle name="Normal 6 2 2 5 6 2 2" xfId="23109" xr:uid="{AFC2B0B1-D607-4B8B-BA86-46C4DBAFDB5D}"/>
    <cellStyle name="Normal 6 2 2 5 6 2 2 2" xfId="48601" xr:uid="{C80A7B41-D120-4AFF-AF44-146AE820E936}"/>
    <cellStyle name="Normal 6 2 2 5 6 2 3" xfId="36010" xr:uid="{3C5E029B-846C-4A32-AE97-AB154BEA37C5}"/>
    <cellStyle name="Normal 6 2 2 5 6 3" xfId="16831" xr:uid="{E6BFDC9A-DF47-4F2B-AB2E-07171F28970E}"/>
    <cellStyle name="Normal 6 2 2 5 6 3 2" xfId="42323" xr:uid="{CDBF66B1-41FB-4196-BE0F-F6DA80C3AFA3}"/>
    <cellStyle name="Normal 6 2 2 5 6 4" xfId="29732" xr:uid="{7737AAEA-F145-4F58-8A74-B1481AFDA5F2}"/>
    <cellStyle name="Normal 6 2 2 5 7" xfId="7288" xr:uid="{5D70CDCE-089A-4803-B7DD-DAB3EEBFF33C}"/>
    <cellStyle name="Normal 6 2 2 5 7 2" xfId="19970" xr:uid="{6CF6168F-2696-442B-B0A1-5D7F8A88D893}"/>
    <cellStyle name="Normal 6 2 2 5 7 2 2" xfId="45462" xr:uid="{A854A8A7-8713-4F9A-978B-4D2200C4BFE2}"/>
    <cellStyle name="Normal 6 2 2 5 7 3" xfId="32871" xr:uid="{7FA8D1A2-CBA1-40D6-A57C-723F4A266150}"/>
    <cellStyle name="Normal 6 2 2 5 8" xfId="13692" xr:uid="{7222BF0D-CD7A-4063-8A36-71D8A5D6BC57}"/>
    <cellStyle name="Normal 6 2 2 5 8 2" xfId="39184" xr:uid="{DA3348DA-0B98-4929-B406-8790507A8E0C}"/>
    <cellStyle name="Normal 6 2 2 5 9" xfId="26593" xr:uid="{C5BE72A4-9A5E-4230-A74E-F2F22C9AAEE9}"/>
    <cellStyle name="Normal 6 2 2 6" xfId="720" xr:uid="{0EBE36E0-CA68-4669-9734-A3F4DDCD37DD}"/>
    <cellStyle name="Normal 6 2 2 6 2" xfId="2027" xr:uid="{1F8964B8-272B-42B4-B842-A8BC9412AE15}"/>
    <cellStyle name="Normal 6 2 2 6 2 2" xfId="5181" xr:uid="{A484A62C-86FE-4CB7-9CB9-2DAFFFA4ED3C}"/>
    <cellStyle name="Normal 6 2 2 6 2 2 2" xfId="11474" xr:uid="{A67AFDA3-50CD-4B82-85CC-E3C5CBB3070E}"/>
    <cellStyle name="Normal 6 2 2 6 2 2 2 2" xfId="24156" xr:uid="{9212ADD8-AFD8-4E96-96F9-5676DB3D37BA}"/>
    <cellStyle name="Normal 6 2 2 6 2 2 2 2 2" xfId="49648" xr:uid="{1B394BBF-5997-4E47-B73F-56646231D30C}"/>
    <cellStyle name="Normal 6 2 2 6 2 2 2 3" xfId="37057" xr:uid="{17F20E70-0387-484B-A811-598991BC5F4A}"/>
    <cellStyle name="Normal 6 2 2 6 2 2 3" xfId="17878" xr:uid="{A5149CCF-63EB-4F1B-8FD3-306A610CDA6A}"/>
    <cellStyle name="Normal 6 2 2 6 2 2 3 2" xfId="43370" xr:uid="{01A0DE16-652A-4FFA-ACAB-C170A96D7AFB}"/>
    <cellStyle name="Normal 6 2 2 6 2 2 4" xfId="30779" xr:uid="{4BB40C12-E965-4A74-80EF-000C678003EB}"/>
    <cellStyle name="Normal 6 2 2 6 2 3" xfId="8335" xr:uid="{59817C1B-1492-4D8F-863B-DC5BE0123CD2}"/>
    <cellStyle name="Normal 6 2 2 6 2 3 2" xfId="21017" xr:uid="{3F8806A6-4F6A-4386-AFB2-00EC29DD3FA3}"/>
    <cellStyle name="Normal 6 2 2 6 2 3 2 2" xfId="46509" xr:uid="{555659B6-EB4A-4233-B7C0-F4DF8A91C4A2}"/>
    <cellStyle name="Normal 6 2 2 6 2 3 3" xfId="33918" xr:uid="{34487650-6DBE-43AD-A946-93E8A771277E}"/>
    <cellStyle name="Normal 6 2 2 6 2 4" xfId="14739" xr:uid="{6C148032-1ED1-454B-B4EC-A1775DFFCF01}"/>
    <cellStyle name="Normal 6 2 2 6 2 4 2" xfId="40231" xr:uid="{A83F6B4E-88F2-4E13-897F-792074BE04E8}"/>
    <cellStyle name="Normal 6 2 2 6 2 5" xfId="27640" xr:uid="{FB566A53-00BA-4CAB-8BC8-6DB65B8ED6F7}"/>
    <cellStyle name="Normal 6 2 2 6 3" xfId="3874" xr:uid="{0B359D11-77FF-4389-A287-B75E61BE3A12}"/>
    <cellStyle name="Normal 6 2 2 6 3 2" xfId="10167" xr:uid="{CF8F5792-6719-4D03-AC02-57473D6184C7}"/>
    <cellStyle name="Normal 6 2 2 6 3 2 2" xfId="22849" xr:uid="{2A4DAB2C-AD49-4210-90E8-E8813B6A4CA2}"/>
    <cellStyle name="Normal 6 2 2 6 3 2 2 2" xfId="48341" xr:uid="{BC785ADA-7857-4EA6-8ECD-5B8F5AE49317}"/>
    <cellStyle name="Normal 6 2 2 6 3 2 3" xfId="35750" xr:uid="{7F9770E5-D971-4C7F-AD86-DAA3820F491A}"/>
    <cellStyle name="Normal 6 2 2 6 3 3" xfId="16571" xr:uid="{CDEE59C5-BAE4-43B7-8E3B-7368EB3796F3}"/>
    <cellStyle name="Normal 6 2 2 6 3 3 2" xfId="42063" xr:uid="{ED8CF18D-0D07-4C0B-BFF9-AB83AC540950}"/>
    <cellStyle name="Normal 6 2 2 6 3 4" xfId="29472" xr:uid="{0EA91285-1019-447F-A327-5BDA98DF28F5}"/>
    <cellStyle name="Normal 6 2 2 6 4" xfId="7028" xr:uid="{38BD2D5C-2FE5-4701-8483-FE3CD41663CE}"/>
    <cellStyle name="Normal 6 2 2 6 4 2" xfId="19710" xr:uid="{1CB8C3B5-E3B6-4680-AB9F-840290A6A7FE}"/>
    <cellStyle name="Normal 6 2 2 6 4 2 2" xfId="45202" xr:uid="{4D4A30A1-EB9F-4F60-AE46-71E12EB0444C}"/>
    <cellStyle name="Normal 6 2 2 6 4 3" xfId="32611" xr:uid="{CE929EB1-A2DA-43AD-A189-84CE1D61C7D8}"/>
    <cellStyle name="Normal 6 2 2 6 5" xfId="13432" xr:uid="{DA03BB3E-992F-421F-B0D1-8C4CFEEE11E5}"/>
    <cellStyle name="Normal 6 2 2 6 5 2" xfId="38924" xr:uid="{7E76E8B4-4646-4667-AB3C-B7A49A126098}"/>
    <cellStyle name="Normal 6 2 2 6 6" xfId="26333" xr:uid="{0DD211E6-DCFB-4500-94DC-EA6835370B9F}"/>
    <cellStyle name="Normal 6 2 2 7" xfId="1765" xr:uid="{B69A4742-A952-4EB0-AFD5-76D2262FB5E2}"/>
    <cellStyle name="Normal 6 2 2 7 2" xfId="4919" xr:uid="{6BF47049-4989-42E8-B013-240D9888715C}"/>
    <cellStyle name="Normal 6 2 2 7 2 2" xfId="11212" xr:uid="{0663F0EA-098A-47CB-B3E9-B4CFA1C21100}"/>
    <cellStyle name="Normal 6 2 2 7 2 2 2" xfId="23894" xr:uid="{AC452F35-E756-4A91-A6C0-56B7B1640C4E}"/>
    <cellStyle name="Normal 6 2 2 7 2 2 2 2" xfId="49386" xr:uid="{8A4EB96D-4FD3-46D2-90FE-2AECFCE041F1}"/>
    <cellStyle name="Normal 6 2 2 7 2 2 3" xfId="36795" xr:uid="{3AECEE95-0F7F-4E95-966F-AF2AAB56D32E}"/>
    <cellStyle name="Normal 6 2 2 7 2 3" xfId="17616" xr:uid="{BF27EFD9-4B28-4941-B0FE-5E7D21DD0FB5}"/>
    <cellStyle name="Normal 6 2 2 7 2 3 2" xfId="43108" xr:uid="{4825A339-8704-46DF-B26F-86EFB7A52F89}"/>
    <cellStyle name="Normal 6 2 2 7 2 4" xfId="30517" xr:uid="{D9E571F4-F4D5-4B12-B2FC-59B7FA340246}"/>
    <cellStyle name="Normal 6 2 2 7 3" xfId="8073" xr:uid="{93D9002D-325E-4409-B2E4-C1C732A098F2}"/>
    <cellStyle name="Normal 6 2 2 7 3 2" xfId="20755" xr:uid="{9A3EEED9-0175-4FA8-9B42-6F47D47DE061}"/>
    <cellStyle name="Normal 6 2 2 7 3 2 2" xfId="46247" xr:uid="{B38969F9-CF4F-470E-A87E-2ECB01364E5B}"/>
    <cellStyle name="Normal 6 2 2 7 3 3" xfId="33656" xr:uid="{046E904D-2343-4162-BBED-FD31E7622F16}"/>
    <cellStyle name="Normal 6 2 2 7 4" xfId="14477" xr:uid="{53C57BAE-19EE-4E8B-BED6-3AE210CB32F6}"/>
    <cellStyle name="Normal 6 2 2 7 4 2" xfId="39969" xr:uid="{A2F20CB0-CF3B-49ED-8E94-654B80A4C184}"/>
    <cellStyle name="Normal 6 2 2 7 5" xfId="27378" xr:uid="{F0DC1767-9C96-4FF5-881E-C0C7E7D749DF}"/>
    <cellStyle name="Normal 6 2 2 8" xfId="1243" xr:uid="{E2564B03-A99A-4D6E-BBE4-3FACC9F24393}"/>
    <cellStyle name="Normal 6 2 2 8 2" xfId="4397" xr:uid="{8EB9D2FE-5DE8-44A3-869A-16F895D01E42}"/>
    <cellStyle name="Normal 6 2 2 8 2 2" xfId="10690" xr:uid="{BC850F23-F1E5-4D9F-9BE4-E540A9B4EE3E}"/>
    <cellStyle name="Normal 6 2 2 8 2 2 2" xfId="23372" xr:uid="{FBDF0C90-49CB-4761-B820-5A3F667ED75D}"/>
    <cellStyle name="Normal 6 2 2 8 2 2 2 2" xfId="48864" xr:uid="{A28ABE82-7B2A-42DE-96E7-D5B7436EC055}"/>
    <cellStyle name="Normal 6 2 2 8 2 2 3" xfId="36273" xr:uid="{2D7CCC9B-FEE0-4F6F-BED3-B7FFFC32BE7C}"/>
    <cellStyle name="Normal 6 2 2 8 2 3" xfId="17094" xr:uid="{1A3919E8-D758-4A7F-934F-63438B453916}"/>
    <cellStyle name="Normal 6 2 2 8 2 3 2" xfId="42586" xr:uid="{AA640C46-FC4C-45D5-B03B-02DDDAD6CCD1}"/>
    <cellStyle name="Normal 6 2 2 8 2 4" xfId="29995" xr:uid="{25376E41-CCDD-4A49-85E6-BA7D10964F24}"/>
    <cellStyle name="Normal 6 2 2 8 3" xfId="7551" xr:uid="{805F0A2D-7C6A-42F6-B9D5-A59D7940E983}"/>
    <cellStyle name="Normal 6 2 2 8 3 2" xfId="20233" xr:uid="{94901C21-EA8D-4EC1-999F-85DAA70A6A94}"/>
    <cellStyle name="Normal 6 2 2 8 3 2 2" xfId="45725" xr:uid="{4CF40579-53FF-40F9-BDD8-2AA8EA55056B}"/>
    <cellStyle name="Normal 6 2 2 8 3 3" xfId="33134" xr:uid="{02F36D1D-36FC-4167-B145-10B258674E91}"/>
    <cellStyle name="Normal 6 2 2 8 4" xfId="13955" xr:uid="{8CE338F3-1144-4131-BF50-93AFBF70D745}"/>
    <cellStyle name="Normal 6 2 2 8 4 2" xfId="39447" xr:uid="{87D00403-ECFE-4012-946F-02656395046D}"/>
    <cellStyle name="Normal 6 2 2 8 5" xfId="26856" xr:uid="{5A456579-0F36-49A8-B6F9-92F12CE61158}"/>
    <cellStyle name="Normal 6 2 2 9" xfId="2550" xr:uid="{5AE654E2-0DC1-4D0D-A83C-A91B2B25DF8B}"/>
    <cellStyle name="Normal 6 2 2 9 2" xfId="5704" xr:uid="{280C83EB-EC39-41B9-BC9B-3257D55E66FA}"/>
    <cellStyle name="Normal 6 2 2 9 2 2" xfId="11997" xr:uid="{AB782D99-FDCE-4446-A882-CA621657B90B}"/>
    <cellStyle name="Normal 6 2 2 9 2 2 2" xfId="24679" xr:uid="{FA7B138E-83C2-4560-9FE8-301D5D615EA6}"/>
    <cellStyle name="Normal 6 2 2 9 2 2 2 2" xfId="50171" xr:uid="{C2ABD0D3-0ED3-4DD6-90A3-4FBC75EBB6BC}"/>
    <cellStyle name="Normal 6 2 2 9 2 2 3" xfId="37580" xr:uid="{D1C82A2E-CA84-47C2-AEDA-063E78942B5E}"/>
    <cellStyle name="Normal 6 2 2 9 2 3" xfId="18401" xr:uid="{35C92A9E-B085-4AF1-93C9-189E3666D73E}"/>
    <cellStyle name="Normal 6 2 2 9 2 3 2" xfId="43893" xr:uid="{3CF8EF1A-3AD5-4400-8CA9-EC5D545D5D1B}"/>
    <cellStyle name="Normal 6 2 2 9 2 4" xfId="31302" xr:uid="{15893A7C-D304-45F5-8688-B475B31B8C74}"/>
    <cellStyle name="Normal 6 2 2 9 3" xfId="8858" xr:uid="{56924D95-F215-41C4-A2BD-0D4F20FF7091}"/>
    <cellStyle name="Normal 6 2 2 9 3 2" xfId="21540" xr:uid="{A8B672F1-37FA-422A-98DF-BFE85F99D5BA}"/>
    <cellStyle name="Normal 6 2 2 9 3 2 2" xfId="47032" xr:uid="{3D122EC3-25DF-4C5F-930C-E418AE9C7630}"/>
    <cellStyle name="Normal 6 2 2 9 3 3" xfId="34441" xr:uid="{E313FB2B-959A-467D-A0E0-048C129AA91D}"/>
    <cellStyle name="Normal 6 2 2 9 4" xfId="15262" xr:uid="{1FDB1BD3-F4C8-4B06-8939-2C0D02676A7F}"/>
    <cellStyle name="Normal 6 2 2 9 4 2" xfId="40754" xr:uid="{B6BCB1A1-39A3-4905-B246-D5DB8C58979A}"/>
    <cellStyle name="Normal 6 2 2 9 5" xfId="28163" xr:uid="{2F234F5D-F00E-49F4-AAC4-0136C0136899}"/>
    <cellStyle name="Normal 6 2 3" xfId="484" xr:uid="{9965AB05-2F91-4A28-A86F-A97251F38086}"/>
    <cellStyle name="Normal 6 2 3 10" xfId="3653" xr:uid="{45B086D9-E6D7-488B-86EA-3FDD74852845}"/>
    <cellStyle name="Normal 6 2 3 10 2" xfId="9946" xr:uid="{5B5DC88B-13AC-4FA8-BA1C-F0FD0ABC99D7}"/>
    <cellStyle name="Normal 6 2 3 10 2 2" xfId="22628" xr:uid="{7CE689EA-89F2-401D-B391-C70A2C9C2E47}"/>
    <cellStyle name="Normal 6 2 3 10 2 2 2" xfId="48120" xr:uid="{DCC268CA-CB8C-410C-9D55-62C86E78E3BC}"/>
    <cellStyle name="Normal 6 2 3 10 2 3" xfId="35529" xr:uid="{01872EF0-C6CB-4C32-AE8B-F5816D97E3FF}"/>
    <cellStyle name="Normal 6 2 3 10 3" xfId="16350" xr:uid="{AC9F0C4B-9035-40D6-BDCF-F8CBEA920ECB}"/>
    <cellStyle name="Normal 6 2 3 10 3 2" xfId="41842" xr:uid="{BD33263C-C684-456C-9F7E-7BB6EDBCD751}"/>
    <cellStyle name="Normal 6 2 3 10 4" xfId="29251" xr:uid="{95218063-E4A9-45F3-BA57-91906D4EBDDC}"/>
    <cellStyle name="Normal 6 2 3 11" xfId="6807" xr:uid="{DB3F4746-A623-41AB-A4B1-2D53CDD8DABE}"/>
    <cellStyle name="Normal 6 2 3 11 2" xfId="19489" xr:uid="{BB054E95-4295-44B1-8436-B0459D4305DC}"/>
    <cellStyle name="Normal 6 2 3 11 2 2" xfId="44981" xr:uid="{707D25BD-8B0B-48A6-BE5B-7DD9568D2D8B}"/>
    <cellStyle name="Normal 6 2 3 11 3" xfId="32390" xr:uid="{BF0D7BB0-B3DF-48E5-A4DA-686AC4F7E7D7}"/>
    <cellStyle name="Normal 6 2 3 12" xfId="13211" xr:uid="{80DC0D47-17D8-4BD8-9744-1F601A975076}"/>
    <cellStyle name="Normal 6 2 3 12 2" xfId="38703" xr:uid="{F248851F-664A-4AEE-8B98-ACB03F758472}"/>
    <cellStyle name="Normal 6 2 3 13" xfId="26112" xr:uid="{B6168563-6101-4E6F-9925-D8CBA6DFA566}"/>
    <cellStyle name="Normal 6 2 3 2" xfId="643" xr:uid="{FEAF9183-7B2C-484C-B8AF-37BCAF966835}"/>
    <cellStyle name="Normal 6 2 3 2 10" xfId="13370" xr:uid="{173BC6A2-0ED1-4A1B-B1A6-16CEA8278BE2}"/>
    <cellStyle name="Normal 6 2 3 2 10 2" xfId="38862" xr:uid="{2E9F1B40-CBA9-41CA-85BC-0651C01C8D91}"/>
    <cellStyle name="Normal 6 2 3 2 11" xfId="26271" xr:uid="{E73AA554-6E83-4FE1-BC7F-12670397A7DA}"/>
    <cellStyle name="Normal 6 2 3 2 2" xfId="1180" xr:uid="{1A47F851-D2C3-49C8-8D87-A6E24310E0AF}"/>
    <cellStyle name="Normal 6 2 3 2 2 2" xfId="2487" xr:uid="{E2C1C281-EF79-42C6-8BB6-A9693082FA57}"/>
    <cellStyle name="Normal 6 2 3 2 2 2 2" xfId="5641" xr:uid="{7D963239-E9AA-4A05-97EF-3D9E5936788E}"/>
    <cellStyle name="Normal 6 2 3 2 2 2 2 2" xfId="11934" xr:uid="{19C4198C-0D1A-40FD-A052-76EC8DB45B4D}"/>
    <cellStyle name="Normal 6 2 3 2 2 2 2 2 2" xfId="24616" xr:uid="{8CE2B393-AE8F-490F-A70A-080424D8B01D}"/>
    <cellStyle name="Normal 6 2 3 2 2 2 2 2 2 2" xfId="50108" xr:uid="{31D311F3-40D2-433A-86C8-CD7BDDD24423}"/>
    <cellStyle name="Normal 6 2 3 2 2 2 2 2 3" xfId="37517" xr:uid="{BF0FDD5D-6740-47B7-8EAD-AE44D1923899}"/>
    <cellStyle name="Normal 6 2 3 2 2 2 2 3" xfId="18338" xr:uid="{893D0FE4-CA72-482C-9AAF-15C1D099492A}"/>
    <cellStyle name="Normal 6 2 3 2 2 2 2 3 2" xfId="43830" xr:uid="{DCDEA1B2-F79C-48C4-8F98-BC758A6865EE}"/>
    <cellStyle name="Normal 6 2 3 2 2 2 2 4" xfId="31239" xr:uid="{55CB8669-B982-4848-B5C5-71255CC1E57B}"/>
    <cellStyle name="Normal 6 2 3 2 2 2 3" xfId="8795" xr:uid="{E5AE53ED-E419-4689-80FF-C4F31AEBDDF9}"/>
    <cellStyle name="Normal 6 2 3 2 2 2 3 2" xfId="21477" xr:uid="{7F5AFAD9-9D5C-4F53-988E-890F367EBD8F}"/>
    <cellStyle name="Normal 6 2 3 2 2 2 3 2 2" xfId="46969" xr:uid="{6EAF30F8-9C2C-49CB-90D4-0D26727ACC8F}"/>
    <cellStyle name="Normal 6 2 3 2 2 2 3 3" xfId="34378" xr:uid="{61705069-9F1D-4B27-B4E8-8F1375F78F28}"/>
    <cellStyle name="Normal 6 2 3 2 2 2 4" xfId="15199" xr:uid="{6D58E548-D224-4906-9D0F-312DFEFCD3FD}"/>
    <cellStyle name="Normal 6 2 3 2 2 2 4 2" xfId="40691" xr:uid="{AD58CF2F-9BD5-4087-93DE-C89B51F3E678}"/>
    <cellStyle name="Normal 6 2 3 2 2 2 5" xfId="28100" xr:uid="{4FD856D4-AD32-4053-86CF-200334DD9539}"/>
    <cellStyle name="Normal 6 2 3 2 2 3" xfId="1704" xr:uid="{02D61312-C3DE-4D7B-8631-0DBFDCF02FC4}"/>
    <cellStyle name="Normal 6 2 3 2 2 3 2" xfId="4858" xr:uid="{956D3CB7-FD0A-407F-9D03-0180F6453488}"/>
    <cellStyle name="Normal 6 2 3 2 2 3 2 2" xfId="11151" xr:uid="{EE375652-BCC8-4DC3-BD87-A448B5171239}"/>
    <cellStyle name="Normal 6 2 3 2 2 3 2 2 2" xfId="23833" xr:uid="{CEC44C37-9951-48D4-BA1D-1E3DE777E6B5}"/>
    <cellStyle name="Normal 6 2 3 2 2 3 2 2 2 2" xfId="49325" xr:uid="{803A3326-B146-4D1D-BC3A-B5E7432F244B}"/>
    <cellStyle name="Normal 6 2 3 2 2 3 2 2 3" xfId="36734" xr:uid="{EEECDA3B-4B53-42FA-A48C-5BF435983213}"/>
    <cellStyle name="Normal 6 2 3 2 2 3 2 3" xfId="17555" xr:uid="{37E5E114-56B0-49D6-B3C3-0B37A71108E4}"/>
    <cellStyle name="Normal 6 2 3 2 2 3 2 3 2" xfId="43047" xr:uid="{9E811B48-56AE-4E16-95E7-82005BD53084}"/>
    <cellStyle name="Normal 6 2 3 2 2 3 2 4" xfId="30456" xr:uid="{4D2866C9-7FC3-4861-BA89-95D2D3896721}"/>
    <cellStyle name="Normal 6 2 3 2 2 3 3" xfId="8012" xr:uid="{5C23BA66-BAFD-4989-842F-82277F60C53D}"/>
    <cellStyle name="Normal 6 2 3 2 2 3 3 2" xfId="20694" xr:uid="{2B8E43B5-0D37-4B17-B4EC-F317CFC6EE89}"/>
    <cellStyle name="Normal 6 2 3 2 2 3 3 2 2" xfId="46186" xr:uid="{33AA6950-8423-4219-AB81-FDF55C55A52F}"/>
    <cellStyle name="Normal 6 2 3 2 2 3 3 3" xfId="33595" xr:uid="{0B3FB22C-5289-4574-9A3E-4AE1BA03A78A}"/>
    <cellStyle name="Normal 6 2 3 2 2 3 4" xfId="14416" xr:uid="{F9D75CEB-157C-4A7C-8D22-CCA52CBBDFC2}"/>
    <cellStyle name="Normal 6 2 3 2 2 3 4 2" xfId="39908" xr:uid="{F7B65DE5-3695-485A-A193-357CBD122D3C}"/>
    <cellStyle name="Normal 6 2 3 2 2 3 5" xfId="27317" xr:uid="{B7DD4238-6EB7-484F-ADC6-E54DF3DF264C}"/>
    <cellStyle name="Normal 6 2 3 2 2 4" xfId="3011" xr:uid="{31F667EC-B717-4CC1-8BED-2B89694DB8E1}"/>
    <cellStyle name="Normal 6 2 3 2 2 4 2" xfId="6165" xr:uid="{64BB30D0-A502-4DCA-84F0-8692CC752822}"/>
    <cellStyle name="Normal 6 2 3 2 2 4 2 2" xfId="12458" xr:uid="{7FD14654-38AC-4E85-BFD6-9C201B4AB69F}"/>
    <cellStyle name="Normal 6 2 3 2 2 4 2 2 2" xfId="25140" xr:uid="{C5356947-64AA-4827-9039-6EF09317A316}"/>
    <cellStyle name="Normal 6 2 3 2 2 4 2 2 2 2" xfId="50632" xr:uid="{8E61730A-0908-469A-AF20-C45310A4DAF2}"/>
    <cellStyle name="Normal 6 2 3 2 2 4 2 2 3" xfId="38041" xr:uid="{F8E87081-9020-422C-A2E7-A846FD8D1425}"/>
    <cellStyle name="Normal 6 2 3 2 2 4 2 3" xfId="18862" xr:uid="{862111C0-0632-400F-B08F-D1F4635FCC0B}"/>
    <cellStyle name="Normal 6 2 3 2 2 4 2 3 2" xfId="44354" xr:uid="{F1626F1F-D33C-48D4-9B67-2A9548B41BB6}"/>
    <cellStyle name="Normal 6 2 3 2 2 4 2 4" xfId="31763" xr:uid="{644DB559-3020-477A-887A-C953AF5F7CAB}"/>
    <cellStyle name="Normal 6 2 3 2 2 4 3" xfId="9319" xr:uid="{5DA6ADEF-67CD-46DB-A23C-E8326E15F20E}"/>
    <cellStyle name="Normal 6 2 3 2 2 4 3 2" xfId="22001" xr:uid="{BC6E2BE1-A895-49E3-BEFE-C00F3BDCED45}"/>
    <cellStyle name="Normal 6 2 3 2 2 4 3 2 2" xfId="47493" xr:uid="{968AEF56-B2E5-4276-91DA-E5B5CBFED4BD}"/>
    <cellStyle name="Normal 6 2 3 2 2 4 3 3" xfId="34902" xr:uid="{EEC0D897-33CC-4A67-8816-49A627041339}"/>
    <cellStyle name="Normal 6 2 3 2 2 4 4" xfId="15723" xr:uid="{12ACE01E-6CC8-4443-9461-C71BD71A7452}"/>
    <cellStyle name="Normal 6 2 3 2 2 4 4 2" xfId="41215" xr:uid="{488C9755-1561-45F2-912F-21CF145FA145}"/>
    <cellStyle name="Normal 6 2 3 2 2 4 5" xfId="28624" xr:uid="{D8DE709F-2432-419A-BBA0-8F4FF58C86E8}"/>
    <cellStyle name="Normal 6 2 3 2 2 5" xfId="3534" xr:uid="{E9E93385-5397-4B66-B79D-844BB04FE8F6}"/>
    <cellStyle name="Normal 6 2 3 2 2 5 2" xfId="6688" xr:uid="{B1E5E504-53A9-4E4A-9DF2-9F84D077E62B}"/>
    <cellStyle name="Normal 6 2 3 2 2 5 2 2" xfId="12981" xr:uid="{AFA11570-5AD4-4357-BE79-3ED88860E8A2}"/>
    <cellStyle name="Normal 6 2 3 2 2 5 2 2 2" xfId="25663" xr:uid="{B324D9E8-0CA9-4D62-AF7B-56E179988333}"/>
    <cellStyle name="Normal 6 2 3 2 2 5 2 2 2 2" xfId="51155" xr:uid="{5DF0AC0B-A501-4395-A02E-D78430B17C4B}"/>
    <cellStyle name="Normal 6 2 3 2 2 5 2 2 3" xfId="38564" xr:uid="{431FEC64-0935-44ED-A2BE-FA88E30BFC3F}"/>
    <cellStyle name="Normal 6 2 3 2 2 5 2 3" xfId="19385" xr:uid="{980DF5AF-1B18-409A-BEDD-AB2C5D4C8745}"/>
    <cellStyle name="Normal 6 2 3 2 2 5 2 3 2" xfId="44877" xr:uid="{44549E32-FBAD-4108-8744-22B51E2A0AAA}"/>
    <cellStyle name="Normal 6 2 3 2 2 5 2 4" xfId="32286" xr:uid="{86AE6BAA-432A-4D34-AA09-47405DE1EE60}"/>
    <cellStyle name="Normal 6 2 3 2 2 5 3" xfId="9842" xr:uid="{FAE01E21-485B-4687-9B11-365BFA0F41EB}"/>
    <cellStyle name="Normal 6 2 3 2 2 5 3 2" xfId="22524" xr:uid="{FDE82840-C13E-4484-A1CF-E8E4912F88D4}"/>
    <cellStyle name="Normal 6 2 3 2 2 5 3 2 2" xfId="48016" xr:uid="{B648CF20-697D-4912-A8E1-21F6CD231540}"/>
    <cellStyle name="Normal 6 2 3 2 2 5 3 3" xfId="35425" xr:uid="{4298ABA6-5F2F-45EF-934E-F03772345A9F}"/>
    <cellStyle name="Normal 6 2 3 2 2 5 4" xfId="16246" xr:uid="{9B7A6AED-A44D-49B1-AB8B-FBFFF269B640}"/>
    <cellStyle name="Normal 6 2 3 2 2 5 4 2" xfId="41738" xr:uid="{8B1F9112-C742-42B8-A2F2-4610C2163B9C}"/>
    <cellStyle name="Normal 6 2 3 2 2 5 5" xfId="29147" xr:uid="{FDBB2FDC-360B-44F8-9662-5DE02BEC6CA0}"/>
    <cellStyle name="Normal 6 2 3 2 2 6" xfId="4334" xr:uid="{3FA388BA-A5D9-46EF-9804-5DEFCAF83A3D}"/>
    <cellStyle name="Normal 6 2 3 2 2 6 2" xfId="10627" xr:uid="{72EC82F2-1714-4D84-A885-B88FF6764B52}"/>
    <cellStyle name="Normal 6 2 3 2 2 6 2 2" xfId="23309" xr:uid="{32020716-DEB3-4027-A02A-DEA6D3C7D1BC}"/>
    <cellStyle name="Normal 6 2 3 2 2 6 2 2 2" xfId="48801" xr:uid="{CFC42846-BF54-4E67-AE99-D909A317CFBA}"/>
    <cellStyle name="Normal 6 2 3 2 2 6 2 3" xfId="36210" xr:uid="{09752A7F-9390-42B9-82EC-9EA861B80C61}"/>
    <cellStyle name="Normal 6 2 3 2 2 6 3" xfId="17031" xr:uid="{837A0128-7D77-4010-9B77-D7C1D8F7D6EA}"/>
    <cellStyle name="Normal 6 2 3 2 2 6 3 2" xfId="42523" xr:uid="{574335D1-B2F6-4357-8281-2E4E5292BE7C}"/>
    <cellStyle name="Normal 6 2 3 2 2 6 4" xfId="29932" xr:uid="{E05003D5-FD1F-40F4-B1B8-70CA3AB6938E}"/>
    <cellStyle name="Normal 6 2 3 2 2 7" xfId="7488" xr:uid="{E173021E-33B4-4742-BD7C-4DD90080271C}"/>
    <cellStyle name="Normal 6 2 3 2 2 7 2" xfId="20170" xr:uid="{E0CD71D3-3D8E-4B85-B4AE-27D6FC3AA189}"/>
    <cellStyle name="Normal 6 2 3 2 2 7 2 2" xfId="45662" xr:uid="{64296873-AB78-49FD-9948-ACF097E99730}"/>
    <cellStyle name="Normal 6 2 3 2 2 7 3" xfId="33071" xr:uid="{CDF885DC-8E40-484F-A390-A73526379D13}"/>
    <cellStyle name="Normal 6 2 3 2 2 8" xfId="13892" xr:uid="{56D13CFB-0AA4-4CAB-8521-1D14C622386D}"/>
    <cellStyle name="Normal 6 2 3 2 2 8 2" xfId="39384" xr:uid="{48C6C7D7-CD51-4FB3-B486-BF6CFA8905C3}"/>
    <cellStyle name="Normal 6 2 3 2 2 9" xfId="26793" xr:uid="{F599A978-F45B-45B6-A278-6B2170BF5C2E}"/>
    <cellStyle name="Normal 6 2 3 2 3" xfId="920" xr:uid="{1C906079-5353-424F-B4E8-576EB08323B7}"/>
    <cellStyle name="Normal 6 2 3 2 3 2" xfId="2227" xr:uid="{AAFA7577-B036-4308-B548-7BCBA03A8666}"/>
    <cellStyle name="Normal 6 2 3 2 3 2 2" xfId="5381" xr:uid="{A1FAB912-04C7-4EED-9D85-8D69B107E4D9}"/>
    <cellStyle name="Normal 6 2 3 2 3 2 2 2" xfId="11674" xr:uid="{2AC30E7F-813A-4608-9A68-760B0BF580EE}"/>
    <cellStyle name="Normal 6 2 3 2 3 2 2 2 2" xfId="24356" xr:uid="{156A591D-957D-45DC-9829-FD6223DA0765}"/>
    <cellStyle name="Normal 6 2 3 2 3 2 2 2 2 2" xfId="49848" xr:uid="{E7783BBE-9040-4080-99F2-B82DEFCED373}"/>
    <cellStyle name="Normal 6 2 3 2 3 2 2 2 3" xfId="37257" xr:uid="{2C8E2E30-975E-4EAF-A91B-80D17D7435CB}"/>
    <cellStyle name="Normal 6 2 3 2 3 2 2 3" xfId="18078" xr:uid="{8057D37A-2F5F-45CD-9AD4-57946D5A6D06}"/>
    <cellStyle name="Normal 6 2 3 2 3 2 2 3 2" xfId="43570" xr:uid="{8B661768-3153-4D4A-8F7F-538B6D8B6C1D}"/>
    <cellStyle name="Normal 6 2 3 2 3 2 2 4" xfId="30979" xr:uid="{8F81A01D-8DC3-43BC-8C23-2D17B462F0D4}"/>
    <cellStyle name="Normal 6 2 3 2 3 2 3" xfId="8535" xr:uid="{ECE53541-A88D-465B-BDD2-856144CFF5C8}"/>
    <cellStyle name="Normal 6 2 3 2 3 2 3 2" xfId="21217" xr:uid="{3DF35A48-18C5-4689-9482-98F3073ADDA5}"/>
    <cellStyle name="Normal 6 2 3 2 3 2 3 2 2" xfId="46709" xr:uid="{34972932-96A6-407A-8423-403DB1A00509}"/>
    <cellStyle name="Normal 6 2 3 2 3 2 3 3" xfId="34118" xr:uid="{352903D6-C9F2-45EE-9325-22193AC17106}"/>
    <cellStyle name="Normal 6 2 3 2 3 2 4" xfId="14939" xr:uid="{51F2A2C6-10B8-4701-8915-937770BAAD9F}"/>
    <cellStyle name="Normal 6 2 3 2 3 2 4 2" xfId="40431" xr:uid="{FAF494EA-E359-4C43-B562-5ABEFF5AB72A}"/>
    <cellStyle name="Normal 6 2 3 2 3 2 5" xfId="27840" xr:uid="{E9A62075-79E2-4BE1-B204-8401B4634914}"/>
    <cellStyle name="Normal 6 2 3 2 3 3" xfId="4074" xr:uid="{E41A0333-B808-4244-B822-01CD3D8710CA}"/>
    <cellStyle name="Normal 6 2 3 2 3 3 2" xfId="10367" xr:uid="{011D2637-2B04-426E-B4B4-F3C84D6B0B36}"/>
    <cellStyle name="Normal 6 2 3 2 3 3 2 2" xfId="23049" xr:uid="{AA131420-1986-4334-80D4-25CB1988AECD}"/>
    <cellStyle name="Normal 6 2 3 2 3 3 2 2 2" xfId="48541" xr:uid="{A54E8420-CBA2-483A-946C-173000E1D0EA}"/>
    <cellStyle name="Normal 6 2 3 2 3 3 2 3" xfId="35950" xr:uid="{E63E7F2E-00E9-463C-B882-99FB05AB3095}"/>
    <cellStyle name="Normal 6 2 3 2 3 3 3" xfId="16771" xr:uid="{F2F36C2F-5314-48C6-9DDD-D6D2AC1767CA}"/>
    <cellStyle name="Normal 6 2 3 2 3 3 3 2" xfId="42263" xr:uid="{9F32B0A2-5391-4A9B-B424-5F8BC634FDCD}"/>
    <cellStyle name="Normal 6 2 3 2 3 3 4" xfId="29672" xr:uid="{05562E96-4E2B-45F6-B3EE-1AC4D16B5818}"/>
    <cellStyle name="Normal 6 2 3 2 3 4" xfId="7228" xr:uid="{E96DB24B-400F-47FC-BBDB-EC65BD093E44}"/>
    <cellStyle name="Normal 6 2 3 2 3 4 2" xfId="19910" xr:uid="{07BFC3E1-D0BE-467D-BA1E-181AB32B0B07}"/>
    <cellStyle name="Normal 6 2 3 2 3 4 2 2" xfId="45402" xr:uid="{9F740E0D-E824-48CB-B546-773B3F66C5B5}"/>
    <cellStyle name="Normal 6 2 3 2 3 4 3" xfId="32811" xr:uid="{27E95452-70A1-47FD-BCA1-660810CE6B31}"/>
    <cellStyle name="Normal 6 2 3 2 3 5" xfId="13632" xr:uid="{3FD4AF74-76BB-49B3-875C-E4DF64E8A939}"/>
    <cellStyle name="Normal 6 2 3 2 3 5 2" xfId="39124" xr:uid="{D86B1AA7-A708-47DA-9D68-E69AD0C32E20}"/>
    <cellStyle name="Normal 6 2 3 2 3 6" xfId="26533" xr:uid="{5DC5262E-1CB6-49C3-896E-46B90558D298}"/>
    <cellStyle name="Normal 6 2 3 2 4" xfId="1965" xr:uid="{2EB52B00-FC69-4BF6-8E40-64A61AD233D6}"/>
    <cellStyle name="Normal 6 2 3 2 4 2" xfId="5119" xr:uid="{A51A7DE2-45E1-40CB-9445-29A367C8AD07}"/>
    <cellStyle name="Normal 6 2 3 2 4 2 2" xfId="11412" xr:uid="{7429D72C-CE57-4834-B92F-B90A5AC1B8D0}"/>
    <cellStyle name="Normal 6 2 3 2 4 2 2 2" xfId="24094" xr:uid="{DA3D9F9D-9F92-49B9-8591-D92C38C2031F}"/>
    <cellStyle name="Normal 6 2 3 2 4 2 2 2 2" xfId="49586" xr:uid="{6E066326-453E-482D-9D4A-BE4E46892E5D}"/>
    <cellStyle name="Normal 6 2 3 2 4 2 2 3" xfId="36995" xr:uid="{509CE30B-D88A-4CA1-B127-8766CE8C656E}"/>
    <cellStyle name="Normal 6 2 3 2 4 2 3" xfId="17816" xr:uid="{936EDB7F-8203-41EF-8D7B-67BEE91C517B}"/>
    <cellStyle name="Normal 6 2 3 2 4 2 3 2" xfId="43308" xr:uid="{E9640050-4F90-41A3-BF08-8A2F80A935D8}"/>
    <cellStyle name="Normal 6 2 3 2 4 2 4" xfId="30717" xr:uid="{FE9DF691-3567-4EFC-A743-60C617D4E600}"/>
    <cellStyle name="Normal 6 2 3 2 4 3" xfId="8273" xr:uid="{D5900AFA-2130-4D8E-9935-CE098F6DF174}"/>
    <cellStyle name="Normal 6 2 3 2 4 3 2" xfId="20955" xr:uid="{8930F4CF-B8A6-4E03-81F4-54221F358321}"/>
    <cellStyle name="Normal 6 2 3 2 4 3 2 2" xfId="46447" xr:uid="{460BAC61-E8B0-4752-9445-6B2B12A5E074}"/>
    <cellStyle name="Normal 6 2 3 2 4 3 3" xfId="33856" xr:uid="{8D34F7A0-3FAC-48E7-B59E-2DF7142182F4}"/>
    <cellStyle name="Normal 6 2 3 2 4 4" xfId="14677" xr:uid="{EB4F337A-F03F-4C46-B7B4-5D9E24810EB8}"/>
    <cellStyle name="Normal 6 2 3 2 4 4 2" xfId="40169" xr:uid="{8926BD0E-4ABD-40B8-9729-CABA29BEF3B9}"/>
    <cellStyle name="Normal 6 2 3 2 4 5" xfId="27578" xr:uid="{A554DA59-AFBA-4893-98FC-52479E24C530}"/>
    <cellStyle name="Normal 6 2 3 2 5" xfId="1443" xr:uid="{706A8B8E-B539-4389-9B81-97238295B9EC}"/>
    <cellStyle name="Normal 6 2 3 2 5 2" xfId="4597" xr:uid="{1B62069D-2B7E-4C3F-A47E-BF30FE90988B}"/>
    <cellStyle name="Normal 6 2 3 2 5 2 2" xfId="10890" xr:uid="{AFE2E7B3-323B-41DD-8830-AE06C536F261}"/>
    <cellStyle name="Normal 6 2 3 2 5 2 2 2" xfId="23572" xr:uid="{09CCAB23-43B7-492E-80CA-2CF23FFF0D4E}"/>
    <cellStyle name="Normal 6 2 3 2 5 2 2 2 2" xfId="49064" xr:uid="{39BB8606-5DD1-4930-95EF-1012CFD7BE37}"/>
    <cellStyle name="Normal 6 2 3 2 5 2 2 3" xfId="36473" xr:uid="{2E288C54-22C7-4483-8287-95DA242F1998}"/>
    <cellStyle name="Normal 6 2 3 2 5 2 3" xfId="17294" xr:uid="{5A07CC2E-E2A3-4099-A1C9-1F3BF7C7605E}"/>
    <cellStyle name="Normal 6 2 3 2 5 2 3 2" xfId="42786" xr:uid="{A2C36434-2E8A-4072-9F0F-46D4B8E18B18}"/>
    <cellStyle name="Normal 6 2 3 2 5 2 4" xfId="30195" xr:uid="{EA741592-0280-4781-BC4D-E3642ACF8B26}"/>
    <cellStyle name="Normal 6 2 3 2 5 3" xfId="7751" xr:uid="{FB937128-C236-4D15-937C-069EC6216182}"/>
    <cellStyle name="Normal 6 2 3 2 5 3 2" xfId="20433" xr:uid="{3EA0F3E4-52C2-4A8E-84CA-F9C4D43ADEFF}"/>
    <cellStyle name="Normal 6 2 3 2 5 3 2 2" xfId="45925" xr:uid="{E1E8AC77-0F88-4BB9-887A-13D1D58EDB4C}"/>
    <cellStyle name="Normal 6 2 3 2 5 3 3" xfId="33334" xr:uid="{3F4C59EA-55D4-406B-9D5C-3C6EFA907D19}"/>
    <cellStyle name="Normal 6 2 3 2 5 4" xfId="14155" xr:uid="{37EFA48B-AD44-48D9-883A-552BDC745213}"/>
    <cellStyle name="Normal 6 2 3 2 5 4 2" xfId="39647" xr:uid="{C38DC595-5BCD-4CDA-83E9-F44DC20C82C1}"/>
    <cellStyle name="Normal 6 2 3 2 5 5" xfId="27056" xr:uid="{A4F0A3EC-1DF3-45A4-B1D0-64CB0E013AD0}"/>
    <cellStyle name="Normal 6 2 3 2 6" xfId="2750" xr:uid="{9F63A745-B068-45B3-9154-D8C4FCD5BBA5}"/>
    <cellStyle name="Normal 6 2 3 2 6 2" xfId="5904" xr:uid="{A4672BEB-73CE-4A6E-A26E-8B15FF8536E4}"/>
    <cellStyle name="Normal 6 2 3 2 6 2 2" xfId="12197" xr:uid="{7ADC9BB6-3D6C-4E04-AB49-767B144878F8}"/>
    <cellStyle name="Normal 6 2 3 2 6 2 2 2" xfId="24879" xr:uid="{97EBAF33-F26E-4D97-BF41-CBCC3B4A0B56}"/>
    <cellStyle name="Normal 6 2 3 2 6 2 2 2 2" xfId="50371" xr:uid="{F5022358-7CDC-4C72-B38E-777C7205EBA6}"/>
    <cellStyle name="Normal 6 2 3 2 6 2 2 3" xfId="37780" xr:uid="{F076598E-7C0F-42C7-9AEC-5B878300ECF8}"/>
    <cellStyle name="Normal 6 2 3 2 6 2 3" xfId="18601" xr:uid="{B9BCEFE3-963F-4E34-A7D5-553AEEE9BE3B}"/>
    <cellStyle name="Normal 6 2 3 2 6 2 3 2" xfId="44093" xr:uid="{0C644CF1-595D-4873-9E4E-7FEA0947DD51}"/>
    <cellStyle name="Normal 6 2 3 2 6 2 4" xfId="31502" xr:uid="{8FFF2E6B-184F-4DA5-B3B8-4DA4D4603FD1}"/>
    <cellStyle name="Normal 6 2 3 2 6 3" xfId="9058" xr:uid="{B318EA3A-0FE2-40D8-9C9F-F37B3BF5479E}"/>
    <cellStyle name="Normal 6 2 3 2 6 3 2" xfId="21740" xr:uid="{F6FBD27B-A01C-4B51-8387-F3E917EE06F7}"/>
    <cellStyle name="Normal 6 2 3 2 6 3 2 2" xfId="47232" xr:uid="{92B7C688-B06D-4AC3-B2F6-BDF4C1536E19}"/>
    <cellStyle name="Normal 6 2 3 2 6 3 3" xfId="34641" xr:uid="{46596A1A-C719-4D68-A03A-5B3873F49979}"/>
    <cellStyle name="Normal 6 2 3 2 6 4" xfId="15462" xr:uid="{44CD3573-A292-409A-9203-982216105B33}"/>
    <cellStyle name="Normal 6 2 3 2 6 4 2" xfId="40954" xr:uid="{00C696C9-408D-4F35-9BB4-B2D8EC596E54}"/>
    <cellStyle name="Normal 6 2 3 2 6 5" xfId="28363" xr:uid="{36E0F78C-7216-4DC7-935C-B65B0062A991}"/>
    <cellStyle name="Normal 6 2 3 2 7" xfId="3273" xr:uid="{9DC8AB59-C5BD-4318-B882-D73013415CD6}"/>
    <cellStyle name="Normal 6 2 3 2 7 2" xfId="6427" xr:uid="{C5047D17-7AC6-489C-846C-043C1808C1FA}"/>
    <cellStyle name="Normal 6 2 3 2 7 2 2" xfId="12720" xr:uid="{0E1D4E3C-DD4B-485C-BAD8-71F8B6F92EAC}"/>
    <cellStyle name="Normal 6 2 3 2 7 2 2 2" xfId="25402" xr:uid="{48618AF4-F2D3-4EB0-AC9B-DF80B40D2D7C}"/>
    <cellStyle name="Normal 6 2 3 2 7 2 2 2 2" xfId="50894" xr:uid="{6AD1543B-9AD5-47C1-8E7A-E807EF0ACD4B}"/>
    <cellStyle name="Normal 6 2 3 2 7 2 2 3" xfId="38303" xr:uid="{C1AC9BFE-DE5D-4678-A104-1DF3F174E332}"/>
    <cellStyle name="Normal 6 2 3 2 7 2 3" xfId="19124" xr:uid="{5123FB4C-D7E1-4C72-8BE8-59462DBB3996}"/>
    <cellStyle name="Normal 6 2 3 2 7 2 3 2" xfId="44616" xr:uid="{A1D341E2-DF91-41D5-8A00-786E7DD88D43}"/>
    <cellStyle name="Normal 6 2 3 2 7 2 4" xfId="32025" xr:uid="{B7CDD240-A7F8-4F7A-844A-829332A2DE55}"/>
    <cellStyle name="Normal 6 2 3 2 7 3" xfId="9581" xr:uid="{D1EED719-23B3-4376-BBD2-0C77FC022977}"/>
    <cellStyle name="Normal 6 2 3 2 7 3 2" xfId="22263" xr:uid="{62126FA0-86DE-4FA3-9CB3-6D54C742B305}"/>
    <cellStyle name="Normal 6 2 3 2 7 3 2 2" xfId="47755" xr:uid="{6592B34C-962D-4A0D-98B4-EF2AA4EA11E3}"/>
    <cellStyle name="Normal 6 2 3 2 7 3 3" xfId="35164" xr:uid="{473F4552-64D4-4643-B5AB-4967817D85CB}"/>
    <cellStyle name="Normal 6 2 3 2 7 4" xfId="15985" xr:uid="{57E23786-CE96-443A-92B7-A03FEFD663CE}"/>
    <cellStyle name="Normal 6 2 3 2 7 4 2" xfId="41477" xr:uid="{F81A9ABC-30DE-4A7C-8C5A-648BFB249C8F}"/>
    <cellStyle name="Normal 6 2 3 2 7 5" xfId="28886" xr:uid="{87D69B46-5B3D-4D67-975B-0BD0B563E388}"/>
    <cellStyle name="Normal 6 2 3 2 8" xfId="3812" xr:uid="{1F822CF6-9174-4B74-A0B8-77DB433F1000}"/>
    <cellStyle name="Normal 6 2 3 2 8 2" xfId="10105" xr:uid="{61C4E3B6-D950-48EB-A9F9-8553C98A48F9}"/>
    <cellStyle name="Normal 6 2 3 2 8 2 2" xfId="22787" xr:uid="{5418F288-FF0E-4B22-8F8E-E35696259FED}"/>
    <cellStyle name="Normal 6 2 3 2 8 2 2 2" xfId="48279" xr:uid="{89BC3B10-9563-400B-A46B-325D91DCC81F}"/>
    <cellStyle name="Normal 6 2 3 2 8 2 3" xfId="35688" xr:uid="{60864F23-33AF-4980-A20B-C695E11724A0}"/>
    <cellStyle name="Normal 6 2 3 2 8 3" xfId="16509" xr:uid="{A9883E2A-F779-4126-9A9F-43FE3BEEB1DD}"/>
    <cellStyle name="Normal 6 2 3 2 8 3 2" xfId="42001" xr:uid="{9611AC46-26BE-46CE-A5BE-83518DE9C310}"/>
    <cellStyle name="Normal 6 2 3 2 8 4" xfId="29410" xr:uid="{228D199B-B4A1-4A4E-B6E0-7CD0FE186C7D}"/>
    <cellStyle name="Normal 6 2 3 2 9" xfId="6966" xr:uid="{DAC32143-3293-4C6C-814F-5F1AAB775E97}"/>
    <cellStyle name="Normal 6 2 3 2 9 2" xfId="19648" xr:uid="{67146929-7E0C-486F-A394-5A77A21C0F0C}"/>
    <cellStyle name="Normal 6 2 3 2 9 2 2" xfId="45140" xr:uid="{E3E7186F-49C5-4C46-B2CD-8ADEABC37FE6}"/>
    <cellStyle name="Normal 6 2 3 2 9 3" xfId="32549" xr:uid="{90C7856A-0310-4945-95FE-CDBF8074C697}"/>
    <cellStyle name="Normal 6 2 3 3" xfId="543" xr:uid="{4D6AA012-864A-4961-A2AE-A990FA46FE83}"/>
    <cellStyle name="Normal 6 2 3 3 10" xfId="13270" xr:uid="{E5EB9DE0-3D21-4B93-8B11-831955C47E7F}"/>
    <cellStyle name="Normal 6 2 3 3 10 2" xfId="38762" xr:uid="{D768C09F-2F63-45A6-B40A-E27099BAF9A5}"/>
    <cellStyle name="Normal 6 2 3 3 11" xfId="26171" xr:uid="{FE3F99E0-AC50-4103-B292-4E4803B065CF}"/>
    <cellStyle name="Normal 6 2 3 3 2" xfId="1080" xr:uid="{AC7605B5-DEC1-49B9-9BC7-833AC984C6A9}"/>
    <cellStyle name="Normal 6 2 3 3 2 2" xfId="2387" xr:uid="{3801B113-1969-42B7-8AAE-5C3AFB5196F1}"/>
    <cellStyle name="Normal 6 2 3 3 2 2 2" xfId="5541" xr:uid="{48260577-58C6-4C49-A405-F67017C4424F}"/>
    <cellStyle name="Normal 6 2 3 3 2 2 2 2" xfId="11834" xr:uid="{150765F1-D05D-4980-B6AB-622A5D9B1A98}"/>
    <cellStyle name="Normal 6 2 3 3 2 2 2 2 2" xfId="24516" xr:uid="{402B0F47-E176-4395-A2CC-12068E8424C6}"/>
    <cellStyle name="Normal 6 2 3 3 2 2 2 2 2 2" xfId="50008" xr:uid="{725B784D-6DC9-4B6E-A767-4944BCBAE7CA}"/>
    <cellStyle name="Normal 6 2 3 3 2 2 2 2 3" xfId="37417" xr:uid="{4126CA1D-C41E-4109-8711-177EBE64D7F5}"/>
    <cellStyle name="Normal 6 2 3 3 2 2 2 3" xfId="18238" xr:uid="{E4AFDAB9-FF41-4D43-A04A-160C5E354A12}"/>
    <cellStyle name="Normal 6 2 3 3 2 2 2 3 2" xfId="43730" xr:uid="{273DD530-0CC8-4DE2-AB05-3132A87A928F}"/>
    <cellStyle name="Normal 6 2 3 3 2 2 2 4" xfId="31139" xr:uid="{5DE332E3-2A8E-4C2C-962D-7D6D43974495}"/>
    <cellStyle name="Normal 6 2 3 3 2 2 3" xfId="8695" xr:uid="{1A6D7BA2-6EFE-4DB4-9CFB-0CCB31D181A8}"/>
    <cellStyle name="Normal 6 2 3 3 2 2 3 2" xfId="21377" xr:uid="{D7B8C8B9-8C0F-435C-8300-E3CCD0E53680}"/>
    <cellStyle name="Normal 6 2 3 3 2 2 3 2 2" xfId="46869" xr:uid="{2004D851-ACF7-47EF-B21C-A1C823803A84}"/>
    <cellStyle name="Normal 6 2 3 3 2 2 3 3" xfId="34278" xr:uid="{FC838E88-DF80-400A-96B6-DBAA1DCC3C61}"/>
    <cellStyle name="Normal 6 2 3 3 2 2 4" xfId="15099" xr:uid="{D85070F9-39A4-47AA-B6B3-F4B58BCB988C}"/>
    <cellStyle name="Normal 6 2 3 3 2 2 4 2" xfId="40591" xr:uid="{DC3C1022-E32A-4103-932B-A240CA7C339D}"/>
    <cellStyle name="Normal 6 2 3 3 2 2 5" xfId="28000" xr:uid="{4288CB22-D3D2-4A23-BC6A-A08C87F93743}"/>
    <cellStyle name="Normal 6 2 3 3 2 3" xfId="1604" xr:uid="{7317E93B-1847-499E-83C9-C41942D496D0}"/>
    <cellStyle name="Normal 6 2 3 3 2 3 2" xfId="4758" xr:uid="{5A39475B-2796-404F-9766-F8818132B4E0}"/>
    <cellStyle name="Normal 6 2 3 3 2 3 2 2" xfId="11051" xr:uid="{88113C19-AA09-4C70-9838-DD6D335AC35A}"/>
    <cellStyle name="Normal 6 2 3 3 2 3 2 2 2" xfId="23733" xr:uid="{20F4A8D2-62CF-488F-8129-70C476C8F4E3}"/>
    <cellStyle name="Normal 6 2 3 3 2 3 2 2 2 2" xfId="49225" xr:uid="{B52C8A74-48C7-4448-ABB7-9D8FA4E89278}"/>
    <cellStyle name="Normal 6 2 3 3 2 3 2 2 3" xfId="36634" xr:uid="{D9C7F939-6560-40D4-9C4A-36A30956BE9C}"/>
    <cellStyle name="Normal 6 2 3 3 2 3 2 3" xfId="17455" xr:uid="{2084ED03-8095-497B-8EA3-1909ADD98B32}"/>
    <cellStyle name="Normal 6 2 3 3 2 3 2 3 2" xfId="42947" xr:uid="{70695B76-0649-4C41-818E-F78265DCD3BD}"/>
    <cellStyle name="Normal 6 2 3 3 2 3 2 4" xfId="30356" xr:uid="{5F1BEEB3-5A89-4DD9-89EA-9DCDE334F1C1}"/>
    <cellStyle name="Normal 6 2 3 3 2 3 3" xfId="7912" xr:uid="{B9462DE0-1FAA-4ACD-BAD5-990010E63652}"/>
    <cellStyle name="Normal 6 2 3 3 2 3 3 2" xfId="20594" xr:uid="{D558C517-E66E-4B16-825F-5E3E8D226142}"/>
    <cellStyle name="Normal 6 2 3 3 2 3 3 2 2" xfId="46086" xr:uid="{05C8CC7C-8B63-4BA7-AE77-6E3A767B4D8C}"/>
    <cellStyle name="Normal 6 2 3 3 2 3 3 3" xfId="33495" xr:uid="{E1875678-FD9F-49A4-9447-BEBE79386785}"/>
    <cellStyle name="Normal 6 2 3 3 2 3 4" xfId="14316" xr:uid="{A6865C6D-0D01-483D-A9C5-EA6A73FB39F0}"/>
    <cellStyle name="Normal 6 2 3 3 2 3 4 2" xfId="39808" xr:uid="{E2337B71-D92D-40CE-94D1-B2882B415104}"/>
    <cellStyle name="Normal 6 2 3 3 2 3 5" xfId="27217" xr:uid="{E933E4BD-BC00-47D1-B0A8-BC73B6812464}"/>
    <cellStyle name="Normal 6 2 3 3 2 4" xfId="2911" xr:uid="{B28B9E63-CA36-4583-874F-E925B7F8C403}"/>
    <cellStyle name="Normal 6 2 3 3 2 4 2" xfId="6065" xr:uid="{C59779B7-ADBB-4E37-9852-1464C0831CB4}"/>
    <cellStyle name="Normal 6 2 3 3 2 4 2 2" xfId="12358" xr:uid="{490A53AD-B633-41FF-862A-6F74082B6B86}"/>
    <cellStyle name="Normal 6 2 3 3 2 4 2 2 2" xfId="25040" xr:uid="{E42097A2-D967-4903-ACF9-5655978C8297}"/>
    <cellStyle name="Normal 6 2 3 3 2 4 2 2 2 2" xfId="50532" xr:uid="{206F97FE-48F4-47B4-8ED4-5F157D251419}"/>
    <cellStyle name="Normal 6 2 3 3 2 4 2 2 3" xfId="37941" xr:uid="{721B5EDD-7E70-465D-9445-9B33A0E25439}"/>
    <cellStyle name="Normal 6 2 3 3 2 4 2 3" xfId="18762" xr:uid="{62DB0E6B-E1A1-42C2-9662-7A58D41E2C7D}"/>
    <cellStyle name="Normal 6 2 3 3 2 4 2 3 2" xfId="44254" xr:uid="{0724F88F-73DE-49AA-96C4-6FC9910A6782}"/>
    <cellStyle name="Normal 6 2 3 3 2 4 2 4" xfId="31663" xr:uid="{DA20D0C4-5C6D-428E-8245-40892BB448F5}"/>
    <cellStyle name="Normal 6 2 3 3 2 4 3" xfId="9219" xr:uid="{87784597-BF0F-4CC0-AC92-A4E269F7275D}"/>
    <cellStyle name="Normal 6 2 3 3 2 4 3 2" xfId="21901" xr:uid="{AB6D4E88-32FA-4F4F-887B-F72F5A1901AE}"/>
    <cellStyle name="Normal 6 2 3 3 2 4 3 2 2" xfId="47393" xr:uid="{1F85101A-C0C4-4E26-808B-7B1E2C87D5B4}"/>
    <cellStyle name="Normal 6 2 3 3 2 4 3 3" xfId="34802" xr:uid="{8EDD9390-664D-4876-91BC-DA09A11C2415}"/>
    <cellStyle name="Normal 6 2 3 3 2 4 4" xfId="15623" xr:uid="{DC234C53-DA06-44F9-8571-335D4E747785}"/>
    <cellStyle name="Normal 6 2 3 3 2 4 4 2" xfId="41115" xr:uid="{695B4619-721E-475B-BB54-B9CD4840A4B0}"/>
    <cellStyle name="Normal 6 2 3 3 2 4 5" xfId="28524" xr:uid="{0356A9CC-295D-4A39-AE1C-AFB1CB8E03F3}"/>
    <cellStyle name="Normal 6 2 3 3 2 5" xfId="3434" xr:uid="{4783D395-ECA3-4A51-9ABF-C38120A1EA7A}"/>
    <cellStyle name="Normal 6 2 3 3 2 5 2" xfId="6588" xr:uid="{32DA6598-5D13-4DCB-AE25-8653CB917D4A}"/>
    <cellStyle name="Normal 6 2 3 3 2 5 2 2" xfId="12881" xr:uid="{EC24F051-21FA-48FF-8E56-36903364435A}"/>
    <cellStyle name="Normal 6 2 3 3 2 5 2 2 2" xfId="25563" xr:uid="{42FECD7D-2E91-4670-A5CD-C25D2146C478}"/>
    <cellStyle name="Normal 6 2 3 3 2 5 2 2 2 2" xfId="51055" xr:uid="{6BC4D917-00B2-4DF5-96B9-99DD16E1B534}"/>
    <cellStyle name="Normal 6 2 3 3 2 5 2 2 3" xfId="38464" xr:uid="{47E4C66A-EC0A-43FB-B2BE-C479822D6D73}"/>
    <cellStyle name="Normal 6 2 3 3 2 5 2 3" xfId="19285" xr:uid="{CE1673DF-43FB-4F1F-B737-C1ACAC021472}"/>
    <cellStyle name="Normal 6 2 3 3 2 5 2 3 2" xfId="44777" xr:uid="{DD0B37ED-C80B-42B8-9D8B-39C9C4F79641}"/>
    <cellStyle name="Normal 6 2 3 3 2 5 2 4" xfId="32186" xr:uid="{5D6B6104-F36F-452A-B3F0-AECB53D5D63F}"/>
    <cellStyle name="Normal 6 2 3 3 2 5 3" xfId="9742" xr:uid="{2015032E-C0D5-40A9-97C6-89E48E8825D4}"/>
    <cellStyle name="Normal 6 2 3 3 2 5 3 2" xfId="22424" xr:uid="{AC1D7B5A-6F25-40A6-9101-F0DF5411F625}"/>
    <cellStyle name="Normal 6 2 3 3 2 5 3 2 2" xfId="47916" xr:uid="{9DDCB59E-C1F3-4406-B0CF-A8BEEA51B99C}"/>
    <cellStyle name="Normal 6 2 3 3 2 5 3 3" xfId="35325" xr:uid="{D62020C1-968A-4A68-B194-2285E1AE6D13}"/>
    <cellStyle name="Normal 6 2 3 3 2 5 4" xfId="16146" xr:uid="{B3B8A861-40A9-4D1A-B0BE-357C80802A4C}"/>
    <cellStyle name="Normal 6 2 3 3 2 5 4 2" xfId="41638" xr:uid="{DAEBB88A-277E-483D-92E2-2CE2F41ED3F0}"/>
    <cellStyle name="Normal 6 2 3 3 2 5 5" xfId="29047" xr:uid="{98378906-C50B-4AB5-B1C3-3FC359BEEB63}"/>
    <cellStyle name="Normal 6 2 3 3 2 6" xfId="4234" xr:uid="{BAB2058B-CA10-41B8-AAE1-A6199EAEEC54}"/>
    <cellStyle name="Normal 6 2 3 3 2 6 2" xfId="10527" xr:uid="{835D4B8B-0D3A-4CC7-972C-CE6B8764005B}"/>
    <cellStyle name="Normal 6 2 3 3 2 6 2 2" xfId="23209" xr:uid="{7EB48715-A709-4320-87EF-C90BF0AEF3F0}"/>
    <cellStyle name="Normal 6 2 3 3 2 6 2 2 2" xfId="48701" xr:uid="{57E3F370-43E6-45B1-BB53-ABC67BC8105B}"/>
    <cellStyle name="Normal 6 2 3 3 2 6 2 3" xfId="36110" xr:uid="{90B171B7-9BD8-4082-A3BF-73E683677A17}"/>
    <cellStyle name="Normal 6 2 3 3 2 6 3" xfId="16931" xr:uid="{DB43D222-A362-4587-8AD6-2D3DEB655F57}"/>
    <cellStyle name="Normal 6 2 3 3 2 6 3 2" xfId="42423" xr:uid="{A07D4546-2BE9-4B18-9BCA-D812F18E2396}"/>
    <cellStyle name="Normal 6 2 3 3 2 6 4" xfId="29832" xr:uid="{37F0C4D1-BA37-4F52-8360-ECEE583C254E}"/>
    <cellStyle name="Normal 6 2 3 3 2 7" xfId="7388" xr:uid="{2A489276-1365-4417-BBEA-B9B401401F26}"/>
    <cellStyle name="Normal 6 2 3 3 2 7 2" xfId="20070" xr:uid="{0C5EA02C-41CA-435A-AF4D-34DCFCB0B0C1}"/>
    <cellStyle name="Normal 6 2 3 3 2 7 2 2" xfId="45562" xr:uid="{1113B4DE-6179-4E9D-AB3E-7D403025D796}"/>
    <cellStyle name="Normal 6 2 3 3 2 7 3" xfId="32971" xr:uid="{6533528D-FF1C-4390-8AB6-13DEE83919BA}"/>
    <cellStyle name="Normal 6 2 3 3 2 8" xfId="13792" xr:uid="{141EDE01-E79B-46BD-B7C7-D065B919FA6A}"/>
    <cellStyle name="Normal 6 2 3 3 2 8 2" xfId="39284" xr:uid="{92969D80-B3D9-4605-BE01-0C6356938B6F}"/>
    <cellStyle name="Normal 6 2 3 3 2 9" xfId="26693" xr:uid="{CF985DB1-51E6-40D1-B598-4FC6FA44DE49}"/>
    <cellStyle name="Normal 6 2 3 3 3" xfId="820" xr:uid="{894FC891-F579-479E-91EE-FC998AFCC98A}"/>
    <cellStyle name="Normal 6 2 3 3 3 2" xfId="2127" xr:uid="{F7DA41A4-7658-4AF1-AF21-8E6ED740987C}"/>
    <cellStyle name="Normal 6 2 3 3 3 2 2" xfId="5281" xr:uid="{D8AD381D-0717-4356-81A0-E1AA69500BF9}"/>
    <cellStyle name="Normal 6 2 3 3 3 2 2 2" xfId="11574" xr:uid="{91615644-D6DA-4F68-9200-B0BF2F10AC74}"/>
    <cellStyle name="Normal 6 2 3 3 3 2 2 2 2" xfId="24256" xr:uid="{3CE4B7DF-9B52-4F65-AF46-4559C83C9B8F}"/>
    <cellStyle name="Normal 6 2 3 3 3 2 2 2 2 2" xfId="49748" xr:uid="{A6727D66-F5E5-4E4F-8468-B32CDBC445E2}"/>
    <cellStyle name="Normal 6 2 3 3 3 2 2 2 3" xfId="37157" xr:uid="{8A629003-E015-4578-AE0F-9E42433FAE3D}"/>
    <cellStyle name="Normal 6 2 3 3 3 2 2 3" xfId="17978" xr:uid="{9AAC67D8-6368-41F0-BEDF-2E5BDE1A484B}"/>
    <cellStyle name="Normal 6 2 3 3 3 2 2 3 2" xfId="43470" xr:uid="{A33730CA-1237-4062-B0AA-2AE994A65E10}"/>
    <cellStyle name="Normal 6 2 3 3 3 2 2 4" xfId="30879" xr:uid="{E7EC5440-79D5-4EE3-8E01-AAF7D29C0973}"/>
    <cellStyle name="Normal 6 2 3 3 3 2 3" xfId="8435" xr:uid="{3AC45CED-D863-4173-B14D-029F536E633F}"/>
    <cellStyle name="Normal 6 2 3 3 3 2 3 2" xfId="21117" xr:uid="{68EE436B-62C2-43ED-B8D7-48D7B9975A6B}"/>
    <cellStyle name="Normal 6 2 3 3 3 2 3 2 2" xfId="46609" xr:uid="{FEA174B3-2197-468E-8DCC-CF47745E1887}"/>
    <cellStyle name="Normal 6 2 3 3 3 2 3 3" xfId="34018" xr:uid="{1F20CB27-D87D-410E-817B-27949D7B32C7}"/>
    <cellStyle name="Normal 6 2 3 3 3 2 4" xfId="14839" xr:uid="{9EBE310B-2710-4796-BB44-44F92467D477}"/>
    <cellStyle name="Normal 6 2 3 3 3 2 4 2" xfId="40331" xr:uid="{BCE8C235-1C66-4FAA-85E3-F13B707A9B75}"/>
    <cellStyle name="Normal 6 2 3 3 3 2 5" xfId="27740" xr:uid="{BDADB3DE-9B64-4BC9-A17B-0F9494DE59D5}"/>
    <cellStyle name="Normal 6 2 3 3 3 3" xfId="3974" xr:uid="{440CC4DF-72DF-4715-BC07-091C179DC7DF}"/>
    <cellStyle name="Normal 6 2 3 3 3 3 2" xfId="10267" xr:uid="{D650AFF8-2F91-4610-A865-B369CB076E96}"/>
    <cellStyle name="Normal 6 2 3 3 3 3 2 2" xfId="22949" xr:uid="{8F6AC91E-8795-4D4F-837E-F1D0A28ACC99}"/>
    <cellStyle name="Normal 6 2 3 3 3 3 2 2 2" xfId="48441" xr:uid="{FDCB4516-4CC1-4420-878D-8D8C93417FE9}"/>
    <cellStyle name="Normal 6 2 3 3 3 3 2 3" xfId="35850" xr:uid="{F07267A1-C840-4E74-996A-C6DB09B08D40}"/>
    <cellStyle name="Normal 6 2 3 3 3 3 3" xfId="16671" xr:uid="{7B880933-C964-4868-8C06-CDA0492983BC}"/>
    <cellStyle name="Normal 6 2 3 3 3 3 3 2" xfId="42163" xr:uid="{07930DA4-BB43-4316-817C-D106DA6ED28A}"/>
    <cellStyle name="Normal 6 2 3 3 3 3 4" xfId="29572" xr:uid="{87BD57A8-887A-49E6-9228-6FA1499BB322}"/>
    <cellStyle name="Normal 6 2 3 3 3 4" xfId="7128" xr:uid="{F08E6E93-E5AC-4811-80EF-D42A04C8DC61}"/>
    <cellStyle name="Normal 6 2 3 3 3 4 2" xfId="19810" xr:uid="{41772F0A-6E29-4558-B87E-BBE81B6A7A1C}"/>
    <cellStyle name="Normal 6 2 3 3 3 4 2 2" xfId="45302" xr:uid="{4E660798-9ED2-4FAC-BEB5-44BEC4CD0F22}"/>
    <cellStyle name="Normal 6 2 3 3 3 4 3" xfId="32711" xr:uid="{72A93762-A49E-428E-B775-EB94E7247E7F}"/>
    <cellStyle name="Normal 6 2 3 3 3 5" xfId="13532" xr:uid="{995D798D-694F-4774-B966-FD640B250EBA}"/>
    <cellStyle name="Normal 6 2 3 3 3 5 2" xfId="39024" xr:uid="{6F6233A8-B121-4A69-94A6-6DE2235F1854}"/>
    <cellStyle name="Normal 6 2 3 3 3 6" xfId="26433" xr:uid="{AA668DF4-6ECB-4A19-9CBC-5231A943D110}"/>
    <cellStyle name="Normal 6 2 3 3 4" xfId="1865" xr:uid="{6ADED49A-0BDC-47BB-A5B2-8848344403D2}"/>
    <cellStyle name="Normal 6 2 3 3 4 2" xfId="5019" xr:uid="{7E3DAF58-C820-4B15-80A7-F927F1C0CB1D}"/>
    <cellStyle name="Normal 6 2 3 3 4 2 2" xfId="11312" xr:uid="{B6030314-5492-43E4-A1E4-F4BD5E1C4E56}"/>
    <cellStyle name="Normal 6 2 3 3 4 2 2 2" xfId="23994" xr:uid="{ED6BC0E9-E4D0-47BF-A660-395C06747355}"/>
    <cellStyle name="Normal 6 2 3 3 4 2 2 2 2" xfId="49486" xr:uid="{3D34512D-9CEC-4FE2-A609-238D68482AD1}"/>
    <cellStyle name="Normal 6 2 3 3 4 2 2 3" xfId="36895" xr:uid="{882CA750-8D9A-49AB-9E22-091FBC71C5B9}"/>
    <cellStyle name="Normal 6 2 3 3 4 2 3" xfId="17716" xr:uid="{A207F212-A98C-437C-8306-7C659EA2AB11}"/>
    <cellStyle name="Normal 6 2 3 3 4 2 3 2" xfId="43208" xr:uid="{B1AC367A-8666-4A7C-A3F0-3E2E5F748AA7}"/>
    <cellStyle name="Normal 6 2 3 3 4 2 4" xfId="30617" xr:uid="{B2A85410-5D8E-4D9C-81B9-2DDFEF08BCED}"/>
    <cellStyle name="Normal 6 2 3 3 4 3" xfId="8173" xr:uid="{F9767618-3AC8-4262-8BCA-11CB3A07A1A8}"/>
    <cellStyle name="Normal 6 2 3 3 4 3 2" xfId="20855" xr:uid="{37190D65-E304-4785-9E80-41FD67DF528F}"/>
    <cellStyle name="Normal 6 2 3 3 4 3 2 2" xfId="46347" xr:uid="{8EC80C57-C389-415A-9388-254E7008E0D0}"/>
    <cellStyle name="Normal 6 2 3 3 4 3 3" xfId="33756" xr:uid="{19DBA69E-C46A-4347-A6B8-0EDFAAF9D553}"/>
    <cellStyle name="Normal 6 2 3 3 4 4" xfId="14577" xr:uid="{A19694E3-D965-467A-8BDD-9F23F4DB6569}"/>
    <cellStyle name="Normal 6 2 3 3 4 4 2" xfId="40069" xr:uid="{A4C9805A-1B18-48CD-AF73-DAE4F71FA0C9}"/>
    <cellStyle name="Normal 6 2 3 3 4 5" xfId="27478" xr:uid="{DB49A0F1-33C2-4C1A-B154-ED8FC30BA260}"/>
    <cellStyle name="Normal 6 2 3 3 5" xfId="1343" xr:uid="{89555696-B98A-4E14-B017-71B6F6414574}"/>
    <cellStyle name="Normal 6 2 3 3 5 2" xfId="4497" xr:uid="{E5B9DC62-F207-46B9-B1DE-A37FCB1B4CE5}"/>
    <cellStyle name="Normal 6 2 3 3 5 2 2" xfId="10790" xr:uid="{A973A2F2-4220-4066-87CD-C2AF1907546A}"/>
    <cellStyle name="Normal 6 2 3 3 5 2 2 2" xfId="23472" xr:uid="{80667038-5E30-4E65-B13C-71F45BEEB855}"/>
    <cellStyle name="Normal 6 2 3 3 5 2 2 2 2" xfId="48964" xr:uid="{8A781905-9D5C-4385-A829-F5C3A8FCC527}"/>
    <cellStyle name="Normal 6 2 3 3 5 2 2 3" xfId="36373" xr:uid="{730ADB36-DBC7-4B29-B5CA-B95716451496}"/>
    <cellStyle name="Normal 6 2 3 3 5 2 3" xfId="17194" xr:uid="{0EDCEE23-6C64-401A-ADFE-BF74A54663B8}"/>
    <cellStyle name="Normal 6 2 3 3 5 2 3 2" xfId="42686" xr:uid="{F27D6E4F-7416-46CA-93DB-82EAE4DAD9E5}"/>
    <cellStyle name="Normal 6 2 3 3 5 2 4" xfId="30095" xr:uid="{49F53020-7B79-4B57-8EC4-74217060A890}"/>
    <cellStyle name="Normal 6 2 3 3 5 3" xfId="7651" xr:uid="{90043565-157C-4C22-9ADC-7A9CE2522F64}"/>
    <cellStyle name="Normal 6 2 3 3 5 3 2" xfId="20333" xr:uid="{EF8CA4DA-8B6B-4B19-9687-86182360F3DF}"/>
    <cellStyle name="Normal 6 2 3 3 5 3 2 2" xfId="45825" xr:uid="{AF4CD3BF-4E09-4164-8BB9-A7720982FB22}"/>
    <cellStyle name="Normal 6 2 3 3 5 3 3" xfId="33234" xr:uid="{466218E9-24B5-43F7-9708-1A408B40A64D}"/>
    <cellStyle name="Normal 6 2 3 3 5 4" xfId="14055" xr:uid="{1C0BC58D-3DE8-4FB3-85CB-5E6A860B55B6}"/>
    <cellStyle name="Normal 6 2 3 3 5 4 2" xfId="39547" xr:uid="{258C7AC0-F5A0-4498-BE74-2374B4D90989}"/>
    <cellStyle name="Normal 6 2 3 3 5 5" xfId="26956" xr:uid="{84915CEF-E3A2-42B4-8A2B-0DDFF4E13FD1}"/>
    <cellStyle name="Normal 6 2 3 3 6" xfId="2650" xr:uid="{55D08A4E-AFA1-4228-A9DA-DB9E84191B04}"/>
    <cellStyle name="Normal 6 2 3 3 6 2" xfId="5804" xr:uid="{2C9DCA6D-1445-4F12-9B98-ADE0FFDBADF1}"/>
    <cellStyle name="Normal 6 2 3 3 6 2 2" xfId="12097" xr:uid="{35821705-1607-4DE5-967F-485582186748}"/>
    <cellStyle name="Normal 6 2 3 3 6 2 2 2" xfId="24779" xr:uid="{04E730A0-74B0-4C75-A472-163D1749E815}"/>
    <cellStyle name="Normal 6 2 3 3 6 2 2 2 2" xfId="50271" xr:uid="{A5E65F4B-5D1E-47B7-9F88-401E5AA6FDD8}"/>
    <cellStyle name="Normal 6 2 3 3 6 2 2 3" xfId="37680" xr:uid="{0972E47E-1729-4E5E-BBE1-92E84CE4E741}"/>
    <cellStyle name="Normal 6 2 3 3 6 2 3" xfId="18501" xr:uid="{7614D467-78B8-420A-B53F-4167D652A557}"/>
    <cellStyle name="Normal 6 2 3 3 6 2 3 2" xfId="43993" xr:uid="{DBD7D5CC-5D03-4BB1-B2C9-DA457579E802}"/>
    <cellStyle name="Normal 6 2 3 3 6 2 4" xfId="31402" xr:uid="{013BAC63-9412-4333-8202-2394DD5762A1}"/>
    <cellStyle name="Normal 6 2 3 3 6 3" xfId="8958" xr:uid="{CF3D5327-890B-4582-96D9-6ABA76B7AFF6}"/>
    <cellStyle name="Normal 6 2 3 3 6 3 2" xfId="21640" xr:uid="{91787B9E-A770-497C-A3EC-E0ACFEC0CBA8}"/>
    <cellStyle name="Normal 6 2 3 3 6 3 2 2" xfId="47132" xr:uid="{BB7822E7-CFD3-4BA6-9612-E8297801A406}"/>
    <cellStyle name="Normal 6 2 3 3 6 3 3" xfId="34541" xr:uid="{B01BA176-2109-4DED-B31D-7D9C3EE260C9}"/>
    <cellStyle name="Normal 6 2 3 3 6 4" xfId="15362" xr:uid="{85BAB137-2646-4499-AFD4-9A1DCD3BBA9B}"/>
    <cellStyle name="Normal 6 2 3 3 6 4 2" xfId="40854" xr:uid="{6F34D4F1-4241-41DD-BC2D-C208A61A6094}"/>
    <cellStyle name="Normal 6 2 3 3 6 5" xfId="28263" xr:uid="{CAF2DA94-3D39-41F2-B79E-266572E0D06D}"/>
    <cellStyle name="Normal 6 2 3 3 7" xfId="3173" xr:uid="{7B12610B-8DD9-4445-9370-31F14A3049E5}"/>
    <cellStyle name="Normal 6 2 3 3 7 2" xfId="6327" xr:uid="{23F8AC7B-111F-42B0-A8AA-039D7A4F5EC0}"/>
    <cellStyle name="Normal 6 2 3 3 7 2 2" xfId="12620" xr:uid="{326C3781-FB93-4AB0-99FC-C999BD64C76C}"/>
    <cellStyle name="Normal 6 2 3 3 7 2 2 2" xfId="25302" xr:uid="{30112B53-7300-433E-892B-E2E13D763DDF}"/>
    <cellStyle name="Normal 6 2 3 3 7 2 2 2 2" xfId="50794" xr:uid="{6E2B26B2-E2DC-48A5-9421-D81107ED12AD}"/>
    <cellStyle name="Normal 6 2 3 3 7 2 2 3" xfId="38203" xr:uid="{2C9CDE6E-E0A9-49BA-98AF-E8BE865DD575}"/>
    <cellStyle name="Normal 6 2 3 3 7 2 3" xfId="19024" xr:uid="{66E6A754-C10A-4A27-BD4B-490B3EE8134E}"/>
    <cellStyle name="Normal 6 2 3 3 7 2 3 2" xfId="44516" xr:uid="{D97C7111-2EA1-4554-B2DF-0CE850901601}"/>
    <cellStyle name="Normal 6 2 3 3 7 2 4" xfId="31925" xr:uid="{5D770AB9-6794-4FAB-8626-E475B3D8D475}"/>
    <cellStyle name="Normal 6 2 3 3 7 3" xfId="9481" xr:uid="{E4E1479E-7CEE-44BB-8E25-63C9A00D8819}"/>
    <cellStyle name="Normal 6 2 3 3 7 3 2" xfId="22163" xr:uid="{FA7AD1C4-DCC7-4B83-9B7B-21302C81193E}"/>
    <cellStyle name="Normal 6 2 3 3 7 3 2 2" xfId="47655" xr:uid="{8809BA2C-2CD2-4135-A0AB-F0BBECC56DE2}"/>
    <cellStyle name="Normal 6 2 3 3 7 3 3" xfId="35064" xr:uid="{4A21E009-CFA3-4B50-8659-88FEF87843E1}"/>
    <cellStyle name="Normal 6 2 3 3 7 4" xfId="15885" xr:uid="{95DD6EDA-6657-4D63-89F3-6815880E3C3E}"/>
    <cellStyle name="Normal 6 2 3 3 7 4 2" xfId="41377" xr:uid="{81C16AF6-D94A-4856-B676-6768D093B4D1}"/>
    <cellStyle name="Normal 6 2 3 3 7 5" xfId="28786" xr:uid="{E38DA579-826B-42CC-B06D-D437FEA41AC4}"/>
    <cellStyle name="Normal 6 2 3 3 8" xfId="3712" xr:uid="{12F9E371-EA94-43B4-A4F0-F191C4618A14}"/>
    <cellStyle name="Normal 6 2 3 3 8 2" xfId="10005" xr:uid="{3B5E5BAA-5604-4355-879B-BBFB4848DCCB}"/>
    <cellStyle name="Normal 6 2 3 3 8 2 2" xfId="22687" xr:uid="{958E7C0D-4190-4AFD-9348-744D10998394}"/>
    <cellStyle name="Normal 6 2 3 3 8 2 2 2" xfId="48179" xr:uid="{D5BB0544-6299-455C-BA6B-8E5B445D4CA8}"/>
    <cellStyle name="Normal 6 2 3 3 8 2 3" xfId="35588" xr:uid="{97EF3C07-9586-46C0-B04E-B8D5269702DF}"/>
    <cellStyle name="Normal 6 2 3 3 8 3" xfId="16409" xr:uid="{30002DFB-B33B-414B-A284-072D947CF23B}"/>
    <cellStyle name="Normal 6 2 3 3 8 3 2" xfId="41901" xr:uid="{DE9BB032-5104-4D7E-A29F-9F85CA870BD3}"/>
    <cellStyle name="Normal 6 2 3 3 8 4" xfId="29310" xr:uid="{3CCBE97D-BC54-4238-B169-9A57FE0155CE}"/>
    <cellStyle name="Normal 6 2 3 3 9" xfId="6866" xr:uid="{165DAD48-19A9-4C07-9889-2FE6D05FE0C8}"/>
    <cellStyle name="Normal 6 2 3 3 9 2" xfId="19548" xr:uid="{7AB0AC15-C6FA-4FB7-97AA-A950C4FDC0FF}"/>
    <cellStyle name="Normal 6 2 3 3 9 2 2" xfId="45040" xr:uid="{3D2F071E-CB2B-475C-AA56-DD0E942CF518}"/>
    <cellStyle name="Normal 6 2 3 3 9 3" xfId="32449" xr:uid="{AF1E7F13-5ACD-4036-9CAD-992C077D515A}"/>
    <cellStyle name="Normal 6 2 3 4" xfId="1021" xr:uid="{B27CEDB7-D791-407D-A521-0E9297EE25F4}"/>
    <cellStyle name="Normal 6 2 3 4 2" xfId="2328" xr:uid="{E6EBCF1D-8482-4B80-B874-720179665D73}"/>
    <cellStyle name="Normal 6 2 3 4 2 2" xfId="5482" xr:uid="{0DE81AC2-A2DA-4502-A316-1DF7C3069669}"/>
    <cellStyle name="Normal 6 2 3 4 2 2 2" xfId="11775" xr:uid="{E2337620-B965-43DB-9167-2CA3596A63DE}"/>
    <cellStyle name="Normal 6 2 3 4 2 2 2 2" xfId="24457" xr:uid="{46E0192B-4152-42AF-BA53-5557A6767906}"/>
    <cellStyle name="Normal 6 2 3 4 2 2 2 2 2" xfId="49949" xr:uid="{CFC3F873-7955-4AAF-926F-29D047A6217E}"/>
    <cellStyle name="Normal 6 2 3 4 2 2 2 3" xfId="37358" xr:uid="{8CD217FB-9C28-41F9-BB2C-C26800494FD2}"/>
    <cellStyle name="Normal 6 2 3 4 2 2 3" xfId="18179" xr:uid="{D4CC8F13-3B67-4D5E-9C2B-219A9807558A}"/>
    <cellStyle name="Normal 6 2 3 4 2 2 3 2" xfId="43671" xr:uid="{762BD230-DE79-4595-9D4C-25E912AA6B96}"/>
    <cellStyle name="Normal 6 2 3 4 2 2 4" xfId="31080" xr:uid="{903A1324-E533-4F63-8C2B-0DAB699BB78F}"/>
    <cellStyle name="Normal 6 2 3 4 2 3" xfId="8636" xr:uid="{10559316-31EB-4AB0-AD19-429B583DA5F7}"/>
    <cellStyle name="Normal 6 2 3 4 2 3 2" xfId="21318" xr:uid="{BB81F896-7605-4EC6-8817-DE0D3331CBF1}"/>
    <cellStyle name="Normal 6 2 3 4 2 3 2 2" xfId="46810" xr:uid="{36362F7D-CE06-47D6-85FF-A47FA743537E}"/>
    <cellStyle name="Normal 6 2 3 4 2 3 3" xfId="34219" xr:uid="{B625AA3C-8414-4138-8849-AC8513382BC2}"/>
    <cellStyle name="Normal 6 2 3 4 2 4" xfId="15040" xr:uid="{C1ADDAE5-B6F6-41BC-A3DD-D59112CC2F32}"/>
    <cellStyle name="Normal 6 2 3 4 2 4 2" xfId="40532" xr:uid="{E3CE3F78-45D9-42C2-A1A3-5D0C1A73BE01}"/>
    <cellStyle name="Normal 6 2 3 4 2 5" xfId="27941" xr:uid="{85A1104F-8A3C-4EB4-8DFA-C62113F1F0BB}"/>
    <cellStyle name="Normal 6 2 3 4 3" xfId="1545" xr:uid="{AE71F31E-BC52-4DAD-8C2F-51EA96E9FD55}"/>
    <cellStyle name="Normal 6 2 3 4 3 2" xfId="4699" xr:uid="{0FA08DD7-6FEF-49EB-B897-7778DCCE6270}"/>
    <cellStyle name="Normal 6 2 3 4 3 2 2" xfId="10992" xr:uid="{234770F2-70DA-4F42-A8F0-53F28248D801}"/>
    <cellStyle name="Normal 6 2 3 4 3 2 2 2" xfId="23674" xr:uid="{9FABB6BE-F94F-4116-B2D7-189A2CC65E11}"/>
    <cellStyle name="Normal 6 2 3 4 3 2 2 2 2" xfId="49166" xr:uid="{660C0E45-F91F-46B8-BDF2-8D105FE1FB24}"/>
    <cellStyle name="Normal 6 2 3 4 3 2 2 3" xfId="36575" xr:uid="{C786E94D-ABCA-4A28-AF1D-0AC4442DD23D}"/>
    <cellStyle name="Normal 6 2 3 4 3 2 3" xfId="17396" xr:uid="{520700D9-1A7B-4CF2-9861-3AC23E10E00F}"/>
    <cellStyle name="Normal 6 2 3 4 3 2 3 2" xfId="42888" xr:uid="{9D2CB7D7-3667-4217-9F04-7F0F4B2CDEB4}"/>
    <cellStyle name="Normal 6 2 3 4 3 2 4" xfId="30297" xr:uid="{346BF189-122A-46EA-8C0F-85DFD2BF079B}"/>
    <cellStyle name="Normal 6 2 3 4 3 3" xfId="7853" xr:uid="{856FF3AA-80C7-4098-8508-D4B749E8762E}"/>
    <cellStyle name="Normal 6 2 3 4 3 3 2" xfId="20535" xr:uid="{E0762A40-E7A3-48CA-96F3-30924875FE0A}"/>
    <cellStyle name="Normal 6 2 3 4 3 3 2 2" xfId="46027" xr:uid="{42CA1968-880A-4922-A2FA-A9F7F12B5F17}"/>
    <cellStyle name="Normal 6 2 3 4 3 3 3" xfId="33436" xr:uid="{541BE19F-85E2-493A-876C-50073202C279}"/>
    <cellStyle name="Normal 6 2 3 4 3 4" xfId="14257" xr:uid="{E18F6AC9-B1B7-4527-B65C-0D61CE425CA9}"/>
    <cellStyle name="Normal 6 2 3 4 3 4 2" xfId="39749" xr:uid="{A404511C-1512-4672-8D6F-761A2C394A6C}"/>
    <cellStyle name="Normal 6 2 3 4 3 5" xfId="27158" xr:uid="{53560335-AAE3-4CB3-8C04-72BA755CE9AC}"/>
    <cellStyle name="Normal 6 2 3 4 4" xfId="2852" xr:uid="{9657093A-A48F-46D8-A101-6492E4C772A4}"/>
    <cellStyle name="Normal 6 2 3 4 4 2" xfId="6006" xr:uid="{F14D2497-F9AE-4FF4-BE09-954AB5FF7D11}"/>
    <cellStyle name="Normal 6 2 3 4 4 2 2" xfId="12299" xr:uid="{E2B25AAE-137B-4ED2-9134-CBDE64C857F5}"/>
    <cellStyle name="Normal 6 2 3 4 4 2 2 2" xfId="24981" xr:uid="{F4D66F80-E730-4D30-9F70-12945D4C2C3E}"/>
    <cellStyle name="Normal 6 2 3 4 4 2 2 2 2" xfId="50473" xr:uid="{A295A52B-ECE2-4014-8101-8EC56B592125}"/>
    <cellStyle name="Normal 6 2 3 4 4 2 2 3" xfId="37882" xr:uid="{42A58EF0-C84A-4090-95FC-455AD673F5A5}"/>
    <cellStyle name="Normal 6 2 3 4 4 2 3" xfId="18703" xr:uid="{AFFE61C2-F580-43FA-8787-6DBA611580D9}"/>
    <cellStyle name="Normal 6 2 3 4 4 2 3 2" xfId="44195" xr:uid="{8703B26C-1AA2-475C-A2FA-4A93478C1276}"/>
    <cellStyle name="Normal 6 2 3 4 4 2 4" xfId="31604" xr:uid="{1A8F4C79-D159-4442-B2EA-99B72B2C3DE2}"/>
    <cellStyle name="Normal 6 2 3 4 4 3" xfId="9160" xr:uid="{9143EA4D-E673-479D-BCC4-A859362711FA}"/>
    <cellStyle name="Normal 6 2 3 4 4 3 2" xfId="21842" xr:uid="{45E23E9B-3E34-4B97-B484-6532CDF3CC9C}"/>
    <cellStyle name="Normal 6 2 3 4 4 3 2 2" xfId="47334" xr:uid="{8C403EFE-0E3A-4A73-B3A5-35530D3D0312}"/>
    <cellStyle name="Normal 6 2 3 4 4 3 3" xfId="34743" xr:uid="{C6CAE0F1-F755-45E7-B632-D0F767CAF809}"/>
    <cellStyle name="Normal 6 2 3 4 4 4" xfId="15564" xr:uid="{8F5C67AE-5F09-4470-A6FF-3E5DA38DEAC7}"/>
    <cellStyle name="Normal 6 2 3 4 4 4 2" xfId="41056" xr:uid="{263753BA-CF12-44AC-AF4B-99658B37890E}"/>
    <cellStyle name="Normal 6 2 3 4 4 5" xfId="28465" xr:uid="{A56B74E6-F760-4FEC-8BEC-1C7FEEC33919}"/>
    <cellStyle name="Normal 6 2 3 4 5" xfId="3375" xr:uid="{FE25F974-2DED-4ED2-91B3-767FB58D3B4A}"/>
    <cellStyle name="Normal 6 2 3 4 5 2" xfId="6529" xr:uid="{56D411FC-E48F-4C18-A97D-F1FD53B1C03D}"/>
    <cellStyle name="Normal 6 2 3 4 5 2 2" xfId="12822" xr:uid="{44D7D31E-D3A1-4D0A-A62D-CA609147C2E7}"/>
    <cellStyle name="Normal 6 2 3 4 5 2 2 2" xfId="25504" xr:uid="{665BF3D7-1096-40FC-B687-9CFAE9E3DCD2}"/>
    <cellStyle name="Normal 6 2 3 4 5 2 2 2 2" xfId="50996" xr:uid="{A7761A85-2191-44C2-81F5-D84FFEFBA701}"/>
    <cellStyle name="Normal 6 2 3 4 5 2 2 3" xfId="38405" xr:uid="{11E00E4B-1822-4656-B245-DBE760467E9F}"/>
    <cellStyle name="Normal 6 2 3 4 5 2 3" xfId="19226" xr:uid="{D9D3EB9A-9420-4768-91D4-D5932EA2F376}"/>
    <cellStyle name="Normal 6 2 3 4 5 2 3 2" xfId="44718" xr:uid="{8914C1E0-8559-4CA3-BB80-BFE968313510}"/>
    <cellStyle name="Normal 6 2 3 4 5 2 4" xfId="32127" xr:uid="{292D7897-E74F-4F8F-8B38-0E44F5F64528}"/>
    <cellStyle name="Normal 6 2 3 4 5 3" xfId="9683" xr:uid="{4BDB6528-D125-4A19-A538-704A9E372929}"/>
    <cellStyle name="Normal 6 2 3 4 5 3 2" xfId="22365" xr:uid="{33BE9789-B8AA-46EB-951F-D60CE8A766D2}"/>
    <cellStyle name="Normal 6 2 3 4 5 3 2 2" xfId="47857" xr:uid="{ABF5D749-F028-4DCF-A31A-2E1C7C7A6B29}"/>
    <cellStyle name="Normal 6 2 3 4 5 3 3" xfId="35266" xr:uid="{AED94384-66A1-40BB-B854-26EC01CF6493}"/>
    <cellStyle name="Normal 6 2 3 4 5 4" xfId="16087" xr:uid="{6E99122E-0824-4EBF-8C05-ABC07B9E61EF}"/>
    <cellStyle name="Normal 6 2 3 4 5 4 2" xfId="41579" xr:uid="{0D75A1E9-D9C2-41F0-9ED3-9569F890BF84}"/>
    <cellStyle name="Normal 6 2 3 4 5 5" xfId="28988" xr:uid="{09E4A1DE-A57C-4192-BB93-EB75F6B3BA9C}"/>
    <cellStyle name="Normal 6 2 3 4 6" xfId="4175" xr:uid="{7DC6F9F7-21C0-4A03-B883-9E66632E19F2}"/>
    <cellStyle name="Normal 6 2 3 4 6 2" xfId="10468" xr:uid="{6D4DCCC1-496D-4D2E-AE72-331A1889533A}"/>
    <cellStyle name="Normal 6 2 3 4 6 2 2" xfId="23150" xr:uid="{985C90F0-713F-4069-A280-7E2A1BBDD518}"/>
    <cellStyle name="Normal 6 2 3 4 6 2 2 2" xfId="48642" xr:uid="{0E0015A8-55F6-4381-A37D-828AB9E1324B}"/>
    <cellStyle name="Normal 6 2 3 4 6 2 3" xfId="36051" xr:uid="{80E424CA-FB69-4FAD-8C27-6EEF199DD1FD}"/>
    <cellStyle name="Normal 6 2 3 4 6 3" xfId="16872" xr:uid="{07E7DF33-1267-4FAD-91EC-C5754AF77009}"/>
    <cellStyle name="Normal 6 2 3 4 6 3 2" xfId="42364" xr:uid="{077A30D0-03E0-404D-B34F-98EB188634C1}"/>
    <cellStyle name="Normal 6 2 3 4 6 4" xfId="29773" xr:uid="{7A00FBEC-B297-4A59-B4A2-0601D9C8A759}"/>
    <cellStyle name="Normal 6 2 3 4 7" xfId="7329" xr:uid="{1DC1A76F-CD5F-4B7D-9FE5-A55882DA57D6}"/>
    <cellStyle name="Normal 6 2 3 4 7 2" xfId="20011" xr:uid="{48815DB8-DA73-498A-B682-983B12B29E77}"/>
    <cellStyle name="Normal 6 2 3 4 7 2 2" xfId="45503" xr:uid="{DE6B55C3-8AE2-4A7E-AECF-D65FD7CAB742}"/>
    <cellStyle name="Normal 6 2 3 4 7 3" xfId="32912" xr:uid="{3016B31C-B3C5-46CA-90FC-5643892B6615}"/>
    <cellStyle name="Normal 6 2 3 4 8" xfId="13733" xr:uid="{EC55B2F9-B77A-4DE7-92A6-3D520D6378F6}"/>
    <cellStyle name="Normal 6 2 3 4 8 2" xfId="39225" xr:uid="{B1BE3913-AA31-4F3C-8345-23D5EF35FD37}"/>
    <cellStyle name="Normal 6 2 3 4 9" xfId="26634" xr:uid="{A7AC0EAA-087C-4D93-8EC8-98E079647291}"/>
    <cellStyle name="Normal 6 2 3 5" xfId="761" xr:uid="{CDA3868F-272B-48D1-B16F-5A5EA0863CAE}"/>
    <cellStyle name="Normal 6 2 3 5 2" xfId="2068" xr:uid="{242EF275-475F-4D45-A5CD-EE5DCAEA2241}"/>
    <cellStyle name="Normal 6 2 3 5 2 2" xfId="5222" xr:uid="{1F49E9E7-11F7-48BE-9B23-8AE501B8E775}"/>
    <cellStyle name="Normal 6 2 3 5 2 2 2" xfId="11515" xr:uid="{68E88DE8-2F3A-4D84-A5F0-70326F8A382F}"/>
    <cellStyle name="Normal 6 2 3 5 2 2 2 2" xfId="24197" xr:uid="{247D2FE5-5989-405E-9054-F4CFB28B5F3B}"/>
    <cellStyle name="Normal 6 2 3 5 2 2 2 2 2" xfId="49689" xr:uid="{EC038A0F-615B-4EE3-80A5-036E76640994}"/>
    <cellStyle name="Normal 6 2 3 5 2 2 2 3" xfId="37098" xr:uid="{2BD001C3-E2F5-4C31-8128-53A511B78DC4}"/>
    <cellStyle name="Normal 6 2 3 5 2 2 3" xfId="17919" xr:uid="{BCAAEBBA-EDFB-4375-9E02-86A9F3360F12}"/>
    <cellStyle name="Normal 6 2 3 5 2 2 3 2" xfId="43411" xr:uid="{31B436BE-3455-4699-9ED2-0E47D008B412}"/>
    <cellStyle name="Normal 6 2 3 5 2 2 4" xfId="30820" xr:uid="{0B7A97FF-8D58-4637-AC59-F6C22AFD51F8}"/>
    <cellStyle name="Normal 6 2 3 5 2 3" xfId="8376" xr:uid="{19B04042-9A5B-4F50-A662-24B0D4900C5D}"/>
    <cellStyle name="Normal 6 2 3 5 2 3 2" xfId="21058" xr:uid="{00EB6E1C-B10C-450E-BE71-44D1596CF251}"/>
    <cellStyle name="Normal 6 2 3 5 2 3 2 2" xfId="46550" xr:uid="{5946D8F5-5391-4198-A5BA-F6A81160DC91}"/>
    <cellStyle name="Normal 6 2 3 5 2 3 3" xfId="33959" xr:uid="{5D550B2F-F360-4410-AB3B-4AF26824B7D9}"/>
    <cellStyle name="Normal 6 2 3 5 2 4" xfId="14780" xr:uid="{D32A67C1-994B-4363-B306-DE1DC832A06F}"/>
    <cellStyle name="Normal 6 2 3 5 2 4 2" xfId="40272" xr:uid="{DE4955B8-D753-46FE-8270-6FDEAC56C9C2}"/>
    <cellStyle name="Normal 6 2 3 5 2 5" xfId="27681" xr:uid="{BB4CA849-EB66-40B6-98B6-C531CC334D54}"/>
    <cellStyle name="Normal 6 2 3 5 3" xfId="3915" xr:uid="{D16A4218-2794-44A7-9A95-06A637FF9983}"/>
    <cellStyle name="Normal 6 2 3 5 3 2" xfId="10208" xr:uid="{D798E254-5404-4508-823A-F341CABB4B0B}"/>
    <cellStyle name="Normal 6 2 3 5 3 2 2" xfId="22890" xr:uid="{8DCB2957-454F-49A7-9C46-97D7810C0FCF}"/>
    <cellStyle name="Normal 6 2 3 5 3 2 2 2" xfId="48382" xr:uid="{791D2B5F-9728-4D6D-8AEB-652C41CFF2FD}"/>
    <cellStyle name="Normal 6 2 3 5 3 2 3" xfId="35791" xr:uid="{9F8835A6-B337-4B53-B6A8-3ACE4950405C}"/>
    <cellStyle name="Normal 6 2 3 5 3 3" xfId="16612" xr:uid="{FEC035BA-2CEA-499C-9551-381BED77ACFC}"/>
    <cellStyle name="Normal 6 2 3 5 3 3 2" xfId="42104" xr:uid="{29F1CC76-AABA-40AF-BD51-948BFAEDC13F}"/>
    <cellStyle name="Normal 6 2 3 5 3 4" xfId="29513" xr:uid="{8A1B35A9-EF0F-4FC3-A68E-BAFE906FC82D}"/>
    <cellStyle name="Normal 6 2 3 5 4" xfId="7069" xr:uid="{B5FEF3CE-4DFD-4AED-9769-7FE28FEF1A3C}"/>
    <cellStyle name="Normal 6 2 3 5 4 2" xfId="19751" xr:uid="{46DEA493-B893-4C34-8B48-216749C0CC9A}"/>
    <cellStyle name="Normal 6 2 3 5 4 2 2" xfId="45243" xr:uid="{47E29942-7D06-4E6C-9095-BDC68CD8EF46}"/>
    <cellStyle name="Normal 6 2 3 5 4 3" xfId="32652" xr:uid="{BF819D7E-6467-42EE-9FC9-9E11D443CF8F}"/>
    <cellStyle name="Normal 6 2 3 5 5" xfId="13473" xr:uid="{BFC8C954-2324-4897-B88C-C73A3B9CA2EA}"/>
    <cellStyle name="Normal 6 2 3 5 5 2" xfId="38965" xr:uid="{EC96EB5D-E31E-44E1-B0D4-67BDEDBE8289}"/>
    <cellStyle name="Normal 6 2 3 5 6" xfId="26374" xr:uid="{06F01446-1D59-4FAA-A1F5-D62406E946EA}"/>
    <cellStyle name="Normal 6 2 3 6" xfId="1806" xr:uid="{AF21CC28-9CA8-4C97-BDC4-7C1B37719223}"/>
    <cellStyle name="Normal 6 2 3 6 2" xfId="4960" xr:uid="{38BCAEE8-23FF-468D-9D0C-27B15E2075BC}"/>
    <cellStyle name="Normal 6 2 3 6 2 2" xfId="11253" xr:uid="{2603C972-C88E-422C-8DBB-E726BC028FAC}"/>
    <cellStyle name="Normal 6 2 3 6 2 2 2" xfId="23935" xr:uid="{AC983475-139C-4B2F-9A87-FC7CE3CBC38C}"/>
    <cellStyle name="Normal 6 2 3 6 2 2 2 2" xfId="49427" xr:uid="{3D853F5D-BF0D-4D24-9FAD-363B63D5B312}"/>
    <cellStyle name="Normal 6 2 3 6 2 2 3" xfId="36836" xr:uid="{543E9F50-AB3B-42C1-A509-4D22BFC3F57C}"/>
    <cellStyle name="Normal 6 2 3 6 2 3" xfId="17657" xr:uid="{A2132ED5-346E-4115-A29F-64F48E524E24}"/>
    <cellStyle name="Normal 6 2 3 6 2 3 2" xfId="43149" xr:uid="{92957BA1-D159-4CA4-9D92-BFCDDE4321A9}"/>
    <cellStyle name="Normal 6 2 3 6 2 4" xfId="30558" xr:uid="{6296416C-0EB4-48D7-B164-1038E2B342EE}"/>
    <cellStyle name="Normal 6 2 3 6 3" xfId="8114" xr:uid="{A7C44B72-24D9-4B7B-B7FB-8570C1CBF708}"/>
    <cellStyle name="Normal 6 2 3 6 3 2" xfId="20796" xr:uid="{0A410D94-865D-4938-8459-50DE215C93A4}"/>
    <cellStyle name="Normal 6 2 3 6 3 2 2" xfId="46288" xr:uid="{CA47955B-0045-479F-871D-5E206B9A36AD}"/>
    <cellStyle name="Normal 6 2 3 6 3 3" xfId="33697" xr:uid="{3A7A3038-B45C-4965-A5A3-21FDBA6E0E5C}"/>
    <cellStyle name="Normal 6 2 3 6 4" xfId="14518" xr:uid="{38C26430-F302-45E0-BBF7-C1E204EF1147}"/>
    <cellStyle name="Normal 6 2 3 6 4 2" xfId="40010" xr:uid="{7F39837F-EDCA-42D8-866D-A5A207700C04}"/>
    <cellStyle name="Normal 6 2 3 6 5" xfId="27419" xr:uid="{7F841463-4AB8-4B5D-B009-BB92EC965215}"/>
    <cellStyle name="Normal 6 2 3 7" xfId="1284" xr:uid="{4428674F-2688-41A7-BCE9-E5277A263C11}"/>
    <cellStyle name="Normal 6 2 3 7 2" xfId="4438" xr:uid="{BEABF10C-F497-46A7-B5BE-20DBD9C74CE0}"/>
    <cellStyle name="Normal 6 2 3 7 2 2" xfId="10731" xr:uid="{8178D5A3-072A-4BE7-B0E3-2A49990ED19E}"/>
    <cellStyle name="Normal 6 2 3 7 2 2 2" xfId="23413" xr:uid="{73A90C8D-D12D-4F37-B2A8-3002EB757B13}"/>
    <cellStyle name="Normal 6 2 3 7 2 2 2 2" xfId="48905" xr:uid="{B655FED3-4115-430A-BE22-4898BB521F8B}"/>
    <cellStyle name="Normal 6 2 3 7 2 2 3" xfId="36314" xr:uid="{CB3233AC-D6FD-48F0-9A77-07CECC63715D}"/>
    <cellStyle name="Normal 6 2 3 7 2 3" xfId="17135" xr:uid="{19E6A421-1981-49B5-BD91-DAF02A51DFAB}"/>
    <cellStyle name="Normal 6 2 3 7 2 3 2" xfId="42627" xr:uid="{79EA7476-E053-4EBC-B4B3-9767B847DB9C}"/>
    <cellStyle name="Normal 6 2 3 7 2 4" xfId="30036" xr:uid="{50E951F5-32B0-436A-B383-E29E33F18B18}"/>
    <cellStyle name="Normal 6 2 3 7 3" xfId="7592" xr:uid="{08C1DCD2-EBFC-4586-BBAD-0988E14A6884}"/>
    <cellStyle name="Normal 6 2 3 7 3 2" xfId="20274" xr:uid="{EE76D947-9612-4429-8C21-D0A5FAF11264}"/>
    <cellStyle name="Normal 6 2 3 7 3 2 2" xfId="45766" xr:uid="{11C190CF-3F87-4305-94AE-B0B6E80D99CB}"/>
    <cellStyle name="Normal 6 2 3 7 3 3" xfId="33175" xr:uid="{33660A65-E131-4E5B-B3FB-26888FAE174F}"/>
    <cellStyle name="Normal 6 2 3 7 4" xfId="13996" xr:uid="{AE7C06CF-3496-402A-A04B-1E8AB65E09B0}"/>
    <cellStyle name="Normal 6 2 3 7 4 2" xfId="39488" xr:uid="{1BD2A280-3710-474A-9CBE-43C99446121C}"/>
    <cellStyle name="Normal 6 2 3 7 5" xfId="26897" xr:uid="{594AD33B-53BF-4D94-A764-F458E8BCC172}"/>
    <cellStyle name="Normal 6 2 3 8" xfId="2591" xr:uid="{8CDC0655-294D-4785-8AD8-D01B17390F85}"/>
    <cellStyle name="Normal 6 2 3 8 2" xfId="5745" xr:uid="{6D775CA7-9897-4483-BB90-ABBECD56F381}"/>
    <cellStyle name="Normal 6 2 3 8 2 2" xfId="12038" xr:uid="{45BB8B8A-91EE-4386-95A2-CE9A3AB351FF}"/>
    <cellStyle name="Normal 6 2 3 8 2 2 2" xfId="24720" xr:uid="{10520623-CC5C-4AD6-8A61-7D721436A04C}"/>
    <cellStyle name="Normal 6 2 3 8 2 2 2 2" xfId="50212" xr:uid="{B2C68397-BF08-4856-B312-C255BBC692D9}"/>
    <cellStyle name="Normal 6 2 3 8 2 2 3" xfId="37621" xr:uid="{AFE7DE11-D33B-42B0-B142-2B432EE9F66A}"/>
    <cellStyle name="Normal 6 2 3 8 2 3" xfId="18442" xr:uid="{39263785-95AE-45CF-B5BF-9E459A6F3AB2}"/>
    <cellStyle name="Normal 6 2 3 8 2 3 2" xfId="43934" xr:uid="{92EA29F7-47D7-4CE6-A43B-9F129236ECD6}"/>
    <cellStyle name="Normal 6 2 3 8 2 4" xfId="31343" xr:uid="{B8EF4FEE-6D43-4C5B-B1AB-6213516B69D4}"/>
    <cellStyle name="Normal 6 2 3 8 3" xfId="8899" xr:uid="{4AFA6AB6-CA28-4E4B-8672-33D757A0ABA8}"/>
    <cellStyle name="Normal 6 2 3 8 3 2" xfId="21581" xr:uid="{A570315C-86A2-426B-8487-F86FFE6D29D4}"/>
    <cellStyle name="Normal 6 2 3 8 3 2 2" xfId="47073" xr:uid="{E609F78E-E38E-4DF6-97DF-56D1F0BEE0CC}"/>
    <cellStyle name="Normal 6 2 3 8 3 3" xfId="34482" xr:uid="{35DC9D56-F682-4896-9E68-892710B71903}"/>
    <cellStyle name="Normal 6 2 3 8 4" xfId="15303" xr:uid="{4923B316-542D-4B35-8873-20548805637B}"/>
    <cellStyle name="Normal 6 2 3 8 4 2" xfId="40795" xr:uid="{9A8C4A7C-1CE4-4FC4-BF57-E0A41B14D57C}"/>
    <cellStyle name="Normal 6 2 3 8 5" xfId="28204" xr:uid="{987E5D54-DD9F-4CEB-B1CD-7B2C8CF48134}"/>
    <cellStyle name="Normal 6 2 3 9" xfId="3114" xr:uid="{E15780E6-050B-49ED-9C94-C795567B5704}"/>
    <cellStyle name="Normal 6 2 3 9 2" xfId="6268" xr:uid="{0E8B53E1-4AC6-4107-93FA-08D3DC1EF79C}"/>
    <cellStyle name="Normal 6 2 3 9 2 2" xfId="12561" xr:uid="{7328C866-1F45-4533-BCE5-88DE459466F9}"/>
    <cellStyle name="Normal 6 2 3 9 2 2 2" xfId="25243" xr:uid="{7FA7EEC0-8EC2-42E7-8205-33E3B858014A}"/>
    <cellStyle name="Normal 6 2 3 9 2 2 2 2" xfId="50735" xr:uid="{1BB8C8CB-312A-4AD7-B62A-BC0404FA7CFF}"/>
    <cellStyle name="Normal 6 2 3 9 2 2 3" xfId="38144" xr:uid="{5E1964AD-42F0-4A33-8C07-D46152019E0A}"/>
    <cellStyle name="Normal 6 2 3 9 2 3" xfId="18965" xr:uid="{1BF5A63F-3F22-4B9C-8931-B9B9927BC69C}"/>
    <cellStyle name="Normal 6 2 3 9 2 3 2" xfId="44457" xr:uid="{D5219437-7CE8-440D-8A8B-BABFB3FCFDD7}"/>
    <cellStyle name="Normal 6 2 3 9 2 4" xfId="31866" xr:uid="{CF7B7FE5-ED72-4168-9C0C-19E62EA1C066}"/>
    <cellStyle name="Normal 6 2 3 9 3" xfId="9422" xr:uid="{34223F78-A9A1-4663-8D5A-0283B08A5F73}"/>
    <cellStyle name="Normal 6 2 3 9 3 2" xfId="22104" xr:uid="{F6066C28-AA04-43DA-8487-9418041187E4}"/>
    <cellStyle name="Normal 6 2 3 9 3 2 2" xfId="47596" xr:uid="{5D4A4B30-BD47-437F-BF45-7157BF5C11BC}"/>
    <cellStyle name="Normal 6 2 3 9 3 3" xfId="35005" xr:uid="{76D5440A-8AEE-457F-BBDF-7CD95E0951CD}"/>
    <cellStyle name="Normal 6 2 3 9 4" xfId="15826" xr:uid="{283069C7-C54B-4CDC-83B9-1D1E7105B679}"/>
    <cellStyle name="Normal 6 2 3 9 4 2" xfId="41318" xr:uid="{96C0C66A-5174-4CC3-8B37-25BE1644F7A7}"/>
    <cellStyle name="Normal 6 2 3 9 5" xfId="28727" xr:uid="{AAFD7F02-DA76-4F1F-ACE4-6DD6A1C3114A}"/>
    <cellStyle name="Normal 6 2 4" xfId="465" xr:uid="{870F3598-2D1E-43FD-9D46-FF6E50C6A9D9}"/>
    <cellStyle name="Normal 6 2 4 10" xfId="6788" xr:uid="{D3425A2E-F674-40CB-984C-3E71857AFFF9}"/>
    <cellStyle name="Normal 6 2 4 10 2" xfId="19470" xr:uid="{93448A55-3445-4648-A96B-450AC5341F0A}"/>
    <cellStyle name="Normal 6 2 4 10 2 2" xfId="44962" xr:uid="{8442392B-5047-4A13-8A00-B98584A0AADA}"/>
    <cellStyle name="Normal 6 2 4 10 3" xfId="32371" xr:uid="{114DF6FD-88E9-4C53-9CA0-B18330F6BBE8}"/>
    <cellStyle name="Normal 6 2 4 11" xfId="13192" xr:uid="{545CA46C-FA97-439D-9C1F-4DFAD8062059}"/>
    <cellStyle name="Normal 6 2 4 11 2" xfId="38684" xr:uid="{D1A73957-6219-4307-BEB2-A18B2B3E8864}"/>
    <cellStyle name="Normal 6 2 4 12" xfId="26093" xr:uid="{ACF43388-ABCD-4F15-BB68-4C8E799DB42B}"/>
    <cellStyle name="Normal 6 2 4 2" xfId="624" xr:uid="{74183171-0537-4C32-852C-788BD7818600}"/>
    <cellStyle name="Normal 6 2 4 2 10" xfId="13351" xr:uid="{F36558D2-6DAA-45F7-A0A0-47CC692434C7}"/>
    <cellStyle name="Normal 6 2 4 2 10 2" xfId="38843" xr:uid="{0DA32E9E-80AA-4FCB-B779-0AA39743AB43}"/>
    <cellStyle name="Normal 6 2 4 2 11" xfId="26252" xr:uid="{0242CBC2-8066-4B64-9F47-71C3BEF9CFD7}"/>
    <cellStyle name="Normal 6 2 4 2 2" xfId="1161" xr:uid="{0B1BD1CC-FC70-4ACB-9F05-B2EE9662E4E3}"/>
    <cellStyle name="Normal 6 2 4 2 2 2" xfId="2468" xr:uid="{51DEFC0D-DF3E-479F-8365-ED6543C725A8}"/>
    <cellStyle name="Normal 6 2 4 2 2 2 2" xfId="5622" xr:uid="{221E4715-3DA5-4D81-A9B7-D12A1A017626}"/>
    <cellStyle name="Normal 6 2 4 2 2 2 2 2" xfId="11915" xr:uid="{DB0105EC-022E-4291-81F4-75C0FB893FC9}"/>
    <cellStyle name="Normal 6 2 4 2 2 2 2 2 2" xfId="24597" xr:uid="{A866B0B9-64A9-4646-AA51-344A76669C8F}"/>
    <cellStyle name="Normal 6 2 4 2 2 2 2 2 2 2" xfId="50089" xr:uid="{4EEDCEE1-7412-442F-A710-035D50DFBAB0}"/>
    <cellStyle name="Normal 6 2 4 2 2 2 2 2 3" xfId="37498" xr:uid="{64E9E255-B332-460F-A4D1-8E7946011687}"/>
    <cellStyle name="Normal 6 2 4 2 2 2 2 3" xfId="18319" xr:uid="{900911FB-35F7-4517-920B-C9F5A42186EC}"/>
    <cellStyle name="Normal 6 2 4 2 2 2 2 3 2" xfId="43811" xr:uid="{A6405076-A39E-413F-883B-67603D771946}"/>
    <cellStyle name="Normal 6 2 4 2 2 2 2 4" xfId="31220" xr:uid="{21E0FFA6-AA55-4D36-ABF4-464369BEC1A9}"/>
    <cellStyle name="Normal 6 2 4 2 2 2 3" xfId="8776" xr:uid="{115D0B18-8E0A-4FCF-9B71-53A59C59DDD8}"/>
    <cellStyle name="Normal 6 2 4 2 2 2 3 2" xfId="21458" xr:uid="{F55DDC9D-3FD8-4B9C-B78B-867DDB141931}"/>
    <cellStyle name="Normal 6 2 4 2 2 2 3 2 2" xfId="46950" xr:uid="{AF9B7CFA-45E4-4940-BC9E-A3B8FEFF7E8B}"/>
    <cellStyle name="Normal 6 2 4 2 2 2 3 3" xfId="34359" xr:uid="{140BBA33-2334-4546-847D-19DAF92055E4}"/>
    <cellStyle name="Normal 6 2 4 2 2 2 4" xfId="15180" xr:uid="{AA04A68B-8FBF-45D6-B568-7B9D8561B2A8}"/>
    <cellStyle name="Normal 6 2 4 2 2 2 4 2" xfId="40672" xr:uid="{900C8D37-DA16-4D2D-B9D5-AE56932D1B24}"/>
    <cellStyle name="Normal 6 2 4 2 2 2 5" xfId="28081" xr:uid="{18628054-9B18-472C-ACA7-2FC51E1A95DA}"/>
    <cellStyle name="Normal 6 2 4 2 2 3" xfId="1685" xr:uid="{3A4CC259-0CE7-4E1F-A8B8-9CA65FA69F14}"/>
    <cellStyle name="Normal 6 2 4 2 2 3 2" xfId="4839" xr:uid="{F0B31D18-7350-4DC7-AB0B-1605F206132E}"/>
    <cellStyle name="Normal 6 2 4 2 2 3 2 2" xfId="11132" xr:uid="{888BAC55-436B-40A2-A9A6-E679ACBC5737}"/>
    <cellStyle name="Normal 6 2 4 2 2 3 2 2 2" xfId="23814" xr:uid="{F8931228-8405-4C53-8E7B-49779BC47078}"/>
    <cellStyle name="Normal 6 2 4 2 2 3 2 2 2 2" xfId="49306" xr:uid="{C58F8E34-F1FA-468A-AA1C-00459104C555}"/>
    <cellStyle name="Normal 6 2 4 2 2 3 2 2 3" xfId="36715" xr:uid="{F8A70BC3-B8B6-4285-8EA9-F8838751252E}"/>
    <cellStyle name="Normal 6 2 4 2 2 3 2 3" xfId="17536" xr:uid="{C34927F4-61CE-438E-A8BB-14C75B6C17D9}"/>
    <cellStyle name="Normal 6 2 4 2 2 3 2 3 2" xfId="43028" xr:uid="{921DA3D7-D7E3-469F-B641-0869E05C355F}"/>
    <cellStyle name="Normal 6 2 4 2 2 3 2 4" xfId="30437" xr:uid="{F0B7724C-867A-48F6-AD8A-C6D6B9254572}"/>
    <cellStyle name="Normal 6 2 4 2 2 3 3" xfId="7993" xr:uid="{C3DB2707-D2EC-4955-8D9A-8B70C8C92A9C}"/>
    <cellStyle name="Normal 6 2 4 2 2 3 3 2" xfId="20675" xr:uid="{F0741FAF-A828-40FB-83C1-15D966A2D1F6}"/>
    <cellStyle name="Normal 6 2 4 2 2 3 3 2 2" xfId="46167" xr:uid="{AF20B1D9-E98A-4A82-8A8E-77E3B439BBF5}"/>
    <cellStyle name="Normal 6 2 4 2 2 3 3 3" xfId="33576" xr:uid="{E001816B-DC03-4461-B539-0735EFFFC8C5}"/>
    <cellStyle name="Normal 6 2 4 2 2 3 4" xfId="14397" xr:uid="{0F09B37B-3698-46D1-BF8C-452E4043EAD3}"/>
    <cellStyle name="Normal 6 2 4 2 2 3 4 2" xfId="39889" xr:uid="{53211F5F-6CDB-4F3F-B44C-C3DDD73A49D4}"/>
    <cellStyle name="Normal 6 2 4 2 2 3 5" xfId="27298" xr:uid="{83405EAA-8151-4CDE-AFA7-C4E89DE2A564}"/>
    <cellStyle name="Normal 6 2 4 2 2 4" xfId="2992" xr:uid="{AFAB4BD4-333C-44C0-AC88-DDE660C331D8}"/>
    <cellStyle name="Normal 6 2 4 2 2 4 2" xfId="6146" xr:uid="{7184D7C2-F215-42AE-BB22-ACC1752B1F61}"/>
    <cellStyle name="Normal 6 2 4 2 2 4 2 2" xfId="12439" xr:uid="{32B2F8E5-77F7-4352-9A94-1B716CBC4AD4}"/>
    <cellStyle name="Normal 6 2 4 2 2 4 2 2 2" xfId="25121" xr:uid="{1D4E6A44-E77D-42F4-8111-6D559CFFFF64}"/>
    <cellStyle name="Normal 6 2 4 2 2 4 2 2 2 2" xfId="50613" xr:uid="{94E0D5BB-82AF-49FB-B232-43609A2959D7}"/>
    <cellStyle name="Normal 6 2 4 2 2 4 2 2 3" xfId="38022" xr:uid="{EF286EA1-C419-4D03-A629-E0B97D5DB1C3}"/>
    <cellStyle name="Normal 6 2 4 2 2 4 2 3" xfId="18843" xr:uid="{40F0E58B-7540-4E7C-997A-2FFFB722E885}"/>
    <cellStyle name="Normal 6 2 4 2 2 4 2 3 2" xfId="44335" xr:uid="{817B8EB0-3725-464A-A76E-65DE9AAF6B98}"/>
    <cellStyle name="Normal 6 2 4 2 2 4 2 4" xfId="31744" xr:uid="{B217AD75-F5EC-4DF8-9552-ACA4372C0154}"/>
    <cellStyle name="Normal 6 2 4 2 2 4 3" xfId="9300" xr:uid="{315F6C4B-32D6-4D63-A90D-88E5BFB40B7E}"/>
    <cellStyle name="Normal 6 2 4 2 2 4 3 2" xfId="21982" xr:uid="{4877568A-925E-467B-8421-17CDE0750282}"/>
    <cellStyle name="Normal 6 2 4 2 2 4 3 2 2" xfId="47474" xr:uid="{931FC415-0437-4234-A17E-47EE61B6F088}"/>
    <cellStyle name="Normal 6 2 4 2 2 4 3 3" xfId="34883" xr:uid="{9AF5919E-6804-40C4-8E3F-B04DA7D3FEA9}"/>
    <cellStyle name="Normal 6 2 4 2 2 4 4" xfId="15704" xr:uid="{E341C26B-57E6-4921-A9B4-A5BB4E9EE7FF}"/>
    <cellStyle name="Normal 6 2 4 2 2 4 4 2" xfId="41196" xr:uid="{B6C355DC-399A-4388-93E0-161A7CDB32AC}"/>
    <cellStyle name="Normal 6 2 4 2 2 4 5" xfId="28605" xr:uid="{BEDC37EC-B238-493C-8E7F-1AD2A868B886}"/>
    <cellStyle name="Normal 6 2 4 2 2 5" xfId="3515" xr:uid="{695E6EF5-A7DD-4FBB-90C7-628E53C091A0}"/>
    <cellStyle name="Normal 6 2 4 2 2 5 2" xfId="6669" xr:uid="{63EA5068-1CD3-4A12-B8D5-FAB5E082F124}"/>
    <cellStyle name="Normal 6 2 4 2 2 5 2 2" xfId="12962" xr:uid="{8D406E3A-9D99-48C2-BF31-3EC23F0AC7B7}"/>
    <cellStyle name="Normal 6 2 4 2 2 5 2 2 2" xfId="25644" xr:uid="{373A2520-1371-43A7-A093-AE2196C6ABE4}"/>
    <cellStyle name="Normal 6 2 4 2 2 5 2 2 2 2" xfId="51136" xr:uid="{ED5A8951-B35D-4C51-A2FF-84804996FCC7}"/>
    <cellStyle name="Normal 6 2 4 2 2 5 2 2 3" xfId="38545" xr:uid="{5EE92F2C-DB60-4BA4-B393-B37441412FCB}"/>
    <cellStyle name="Normal 6 2 4 2 2 5 2 3" xfId="19366" xr:uid="{F329487F-641C-4DF6-91C2-5F97E5572E98}"/>
    <cellStyle name="Normal 6 2 4 2 2 5 2 3 2" xfId="44858" xr:uid="{E034F008-6029-4231-9DD5-3F47C665FFF8}"/>
    <cellStyle name="Normal 6 2 4 2 2 5 2 4" xfId="32267" xr:uid="{08448BA0-9160-4476-994F-05002EC90D11}"/>
    <cellStyle name="Normal 6 2 4 2 2 5 3" xfId="9823" xr:uid="{DD1AD0AA-8301-4A36-AF98-607C0783482E}"/>
    <cellStyle name="Normal 6 2 4 2 2 5 3 2" xfId="22505" xr:uid="{FCDAE61E-CCBC-449F-A19D-A8EC96A10FD9}"/>
    <cellStyle name="Normal 6 2 4 2 2 5 3 2 2" xfId="47997" xr:uid="{CA4FE3A2-05FC-4080-BB9F-AFA84FE6760A}"/>
    <cellStyle name="Normal 6 2 4 2 2 5 3 3" xfId="35406" xr:uid="{30CB518B-6627-492E-8C8E-512194C10C20}"/>
    <cellStyle name="Normal 6 2 4 2 2 5 4" xfId="16227" xr:uid="{F644BA20-8716-41F9-BCF1-ADA9F63C594F}"/>
    <cellStyle name="Normal 6 2 4 2 2 5 4 2" xfId="41719" xr:uid="{2020D746-AF74-48FF-96BA-FC104E16A9B7}"/>
    <cellStyle name="Normal 6 2 4 2 2 5 5" xfId="29128" xr:uid="{9110C173-1F32-4789-BF5B-7254FE7EA00D}"/>
    <cellStyle name="Normal 6 2 4 2 2 6" xfId="4315" xr:uid="{2DFF4DE8-D8D3-4463-8FFD-C0875DC4324F}"/>
    <cellStyle name="Normal 6 2 4 2 2 6 2" xfId="10608" xr:uid="{A3EE59BD-1597-4AE9-B0CB-6702007F5476}"/>
    <cellStyle name="Normal 6 2 4 2 2 6 2 2" xfId="23290" xr:uid="{D15AC129-6EE8-4BA3-8779-C0338C956661}"/>
    <cellStyle name="Normal 6 2 4 2 2 6 2 2 2" xfId="48782" xr:uid="{79263060-ADAB-4660-8526-3E9C62AD4E96}"/>
    <cellStyle name="Normal 6 2 4 2 2 6 2 3" xfId="36191" xr:uid="{B24A4296-0993-424A-BC29-6C65582BB78D}"/>
    <cellStyle name="Normal 6 2 4 2 2 6 3" xfId="17012" xr:uid="{207EEC38-3883-437E-8FC2-C0B5CFEBF521}"/>
    <cellStyle name="Normal 6 2 4 2 2 6 3 2" xfId="42504" xr:uid="{29BC26C3-B2D8-4BEB-BC14-B17ED1DA3238}"/>
    <cellStyle name="Normal 6 2 4 2 2 6 4" xfId="29913" xr:uid="{F7A236AE-98D3-48AE-A076-8A43C3AD1010}"/>
    <cellStyle name="Normal 6 2 4 2 2 7" xfId="7469" xr:uid="{3F4C98C7-3DBC-437F-9F3F-2AD5442385B7}"/>
    <cellStyle name="Normal 6 2 4 2 2 7 2" xfId="20151" xr:uid="{B4C6A37C-121D-43BB-A35D-7E90BDC171AF}"/>
    <cellStyle name="Normal 6 2 4 2 2 7 2 2" xfId="45643" xr:uid="{BD54B989-F563-4E3E-8C59-E5E3F8495C21}"/>
    <cellStyle name="Normal 6 2 4 2 2 7 3" xfId="33052" xr:uid="{039C99D9-6BE7-4F31-88EE-0B7F2A96976F}"/>
    <cellStyle name="Normal 6 2 4 2 2 8" xfId="13873" xr:uid="{D03E3AA0-1CE9-4E6E-BB3D-CA0847D73A6D}"/>
    <cellStyle name="Normal 6 2 4 2 2 8 2" xfId="39365" xr:uid="{57147EF5-A0E0-49F3-9B1F-77633EB05EA8}"/>
    <cellStyle name="Normal 6 2 4 2 2 9" xfId="26774" xr:uid="{2C73A78E-68E8-44AA-AC93-2A092FF9EFAD}"/>
    <cellStyle name="Normal 6 2 4 2 3" xfId="901" xr:uid="{24E3552D-95B5-4641-99A4-1C010FFD3BC3}"/>
    <cellStyle name="Normal 6 2 4 2 3 2" xfId="2208" xr:uid="{A7432A0D-28D4-4772-B819-F97120CA0FC0}"/>
    <cellStyle name="Normal 6 2 4 2 3 2 2" xfId="5362" xr:uid="{763A58E0-4DA7-442F-96EB-0225F747AA41}"/>
    <cellStyle name="Normal 6 2 4 2 3 2 2 2" xfId="11655" xr:uid="{163818C5-862F-447C-BD2B-C69FB34CFD80}"/>
    <cellStyle name="Normal 6 2 4 2 3 2 2 2 2" xfId="24337" xr:uid="{506B531D-BAF0-47D1-ADB2-5866556CB3C9}"/>
    <cellStyle name="Normal 6 2 4 2 3 2 2 2 2 2" xfId="49829" xr:uid="{108DC7B6-BF1F-499A-A647-18B7D8A2533C}"/>
    <cellStyle name="Normal 6 2 4 2 3 2 2 2 3" xfId="37238" xr:uid="{3282292D-0048-4ACC-A993-37EAC8406659}"/>
    <cellStyle name="Normal 6 2 4 2 3 2 2 3" xfId="18059" xr:uid="{B27C7001-A51D-4BF6-B333-19BAD8667FCD}"/>
    <cellStyle name="Normal 6 2 4 2 3 2 2 3 2" xfId="43551" xr:uid="{EED14C35-C225-44C1-9F24-1298DB0B012E}"/>
    <cellStyle name="Normal 6 2 4 2 3 2 2 4" xfId="30960" xr:uid="{D2AACB02-D475-4ABA-B038-09F43C2C31A5}"/>
    <cellStyle name="Normal 6 2 4 2 3 2 3" xfId="8516" xr:uid="{65A5C491-2B15-4076-8454-BAAA2D4DB955}"/>
    <cellStyle name="Normal 6 2 4 2 3 2 3 2" xfId="21198" xr:uid="{7B9CBA81-B1F2-4C04-879C-881259F3CD6A}"/>
    <cellStyle name="Normal 6 2 4 2 3 2 3 2 2" xfId="46690" xr:uid="{B8CF1913-26BB-4B84-87B9-F476D2EE7F9A}"/>
    <cellStyle name="Normal 6 2 4 2 3 2 3 3" xfId="34099" xr:uid="{14E8CA00-4789-4F1C-B8A6-130AA24FF9E8}"/>
    <cellStyle name="Normal 6 2 4 2 3 2 4" xfId="14920" xr:uid="{48D26515-EB7D-46AC-BD1A-A01A9544B0CB}"/>
    <cellStyle name="Normal 6 2 4 2 3 2 4 2" xfId="40412" xr:uid="{8B5AAC1D-6EEA-443F-8672-A304A278F2CA}"/>
    <cellStyle name="Normal 6 2 4 2 3 2 5" xfId="27821" xr:uid="{1B06BD3C-A539-498A-B9B2-9132968E5E8E}"/>
    <cellStyle name="Normal 6 2 4 2 3 3" xfId="4055" xr:uid="{1907E87F-519C-450F-992B-1521421866DB}"/>
    <cellStyle name="Normal 6 2 4 2 3 3 2" xfId="10348" xr:uid="{245B8E8C-B796-4417-BC66-1D4797F82A68}"/>
    <cellStyle name="Normal 6 2 4 2 3 3 2 2" xfId="23030" xr:uid="{131A9560-F647-4E30-BC8A-38EA9A1F6BB9}"/>
    <cellStyle name="Normal 6 2 4 2 3 3 2 2 2" xfId="48522" xr:uid="{AE939730-500A-4AD4-B43D-9248A25D519E}"/>
    <cellStyle name="Normal 6 2 4 2 3 3 2 3" xfId="35931" xr:uid="{54680519-B97B-4315-91E4-46CC786C3A3B}"/>
    <cellStyle name="Normal 6 2 4 2 3 3 3" xfId="16752" xr:uid="{B5BD1BD2-A4BB-4FB2-8305-A6A4869E8B34}"/>
    <cellStyle name="Normal 6 2 4 2 3 3 3 2" xfId="42244" xr:uid="{F8F1BE1A-0C8F-4422-91F9-D43086084FC2}"/>
    <cellStyle name="Normal 6 2 4 2 3 3 4" xfId="29653" xr:uid="{DE99DBF2-0E2D-4E14-909B-707FD2985A72}"/>
    <cellStyle name="Normal 6 2 4 2 3 4" xfId="7209" xr:uid="{D328DECE-0E0B-41B4-B03D-579627B8F3B5}"/>
    <cellStyle name="Normal 6 2 4 2 3 4 2" xfId="19891" xr:uid="{E22BE00A-25A9-4804-9883-0048F7704D2E}"/>
    <cellStyle name="Normal 6 2 4 2 3 4 2 2" xfId="45383" xr:uid="{FA398C23-984F-4BDB-AA1E-BC3C7D5B38B1}"/>
    <cellStyle name="Normal 6 2 4 2 3 4 3" xfId="32792" xr:uid="{6852A936-797E-460C-8DF3-E5FE2AA159A5}"/>
    <cellStyle name="Normal 6 2 4 2 3 5" xfId="13613" xr:uid="{A61147AA-5497-42CC-B2ED-7CE00582A26D}"/>
    <cellStyle name="Normal 6 2 4 2 3 5 2" xfId="39105" xr:uid="{64CE0578-8752-409D-87FC-4C51D15BF955}"/>
    <cellStyle name="Normal 6 2 4 2 3 6" xfId="26514" xr:uid="{2667F168-F275-4A0E-B98D-BF905B39D5F2}"/>
    <cellStyle name="Normal 6 2 4 2 4" xfId="1946" xr:uid="{C6159B85-E219-4247-AB4F-95CFEB32BB9D}"/>
    <cellStyle name="Normal 6 2 4 2 4 2" xfId="5100" xr:uid="{5247FBBD-BC7A-47E8-9C60-87E8130AB3C3}"/>
    <cellStyle name="Normal 6 2 4 2 4 2 2" xfId="11393" xr:uid="{B9616DDF-2345-4B1E-BF2F-6428E9DB38A9}"/>
    <cellStyle name="Normal 6 2 4 2 4 2 2 2" xfId="24075" xr:uid="{320456A4-EAE5-429F-830B-3C034B7F4CB2}"/>
    <cellStyle name="Normal 6 2 4 2 4 2 2 2 2" xfId="49567" xr:uid="{E0D030F9-0271-4956-BCC4-094BDABBACF7}"/>
    <cellStyle name="Normal 6 2 4 2 4 2 2 3" xfId="36976" xr:uid="{AEF533ED-7B2E-4EAE-8EAD-FDDAD91166A3}"/>
    <cellStyle name="Normal 6 2 4 2 4 2 3" xfId="17797" xr:uid="{F4DD0134-E8F2-479A-BFDD-C9B836E15FB9}"/>
    <cellStyle name="Normal 6 2 4 2 4 2 3 2" xfId="43289" xr:uid="{C632F1B4-F0B2-4094-94D6-10F800822227}"/>
    <cellStyle name="Normal 6 2 4 2 4 2 4" xfId="30698" xr:uid="{15390DEA-B161-400B-B4F8-0D8409C2F6DD}"/>
    <cellStyle name="Normal 6 2 4 2 4 3" xfId="8254" xr:uid="{A4804466-88CC-44E7-9441-55824347CD05}"/>
    <cellStyle name="Normal 6 2 4 2 4 3 2" xfId="20936" xr:uid="{487D2053-0922-4AE0-9A95-DD59FCBCB9C9}"/>
    <cellStyle name="Normal 6 2 4 2 4 3 2 2" xfId="46428" xr:uid="{2994C56C-4103-46F9-BA7B-1EFAA5CD57E7}"/>
    <cellStyle name="Normal 6 2 4 2 4 3 3" xfId="33837" xr:uid="{DAC1A4F3-C67E-41B9-AC32-D684E46EBF86}"/>
    <cellStyle name="Normal 6 2 4 2 4 4" xfId="14658" xr:uid="{3F56AB61-E0C6-412F-8817-A0BE4222B030}"/>
    <cellStyle name="Normal 6 2 4 2 4 4 2" xfId="40150" xr:uid="{488D3054-AB17-499A-A39B-574A496D4F9E}"/>
    <cellStyle name="Normal 6 2 4 2 4 5" xfId="27559" xr:uid="{C3CAFBDC-83F7-487D-9615-A5C070C20F79}"/>
    <cellStyle name="Normal 6 2 4 2 5" xfId="1424" xr:uid="{A552CA76-89FB-4018-B916-2AAFBB06DF14}"/>
    <cellStyle name="Normal 6 2 4 2 5 2" xfId="4578" xr:uid="{45EBDAC1-4A42-4018-8CA9-C867CD78AB6C}"/>
    <cellStyle name="Normal 6 2 4 2 5 2 2" xfId="10871" xr:uid="{8ABE1C39-AE27-4CBA-9D66-CF39663A254C}"/>
    <cellStyle name="Normal 6 2 4 2 5 2 2 2" xfId="23553" xr:uid="{8CAB2436-3C2F-486F-A77B-513F675AD647}"/>
    <cellStyle name="Normal 6 2 4 2 5 2 2 2 2" xfId="49045" xr:uid="{6704DBDB-230C-4444-9A86-C769C2068D9E}"/>
    <cellStyle name="Normal 6 2 4 2 5 2 2 3" xfId="36454" xr:uid="{B44DB647-0EB4-4F12-9856-907607B58D79}"/>
    <cellStyle name="Normal 6 2 4 2 5 2 3" xfId="17275" xr:uid="{4CBDD7AD-65FB-4EC1-BC39-AB2427797ED3}"/>
    <cellStyle name="Normal 6 2 4 2 5 2 3 2" xfId="42767" xr:uid="{53036738-7370-48BB-9F3A-0A6646C4D924}"/>
    <cellStyle name="Normal 6 2 4 2 5 2 4" xfId="30176" xr:uid="{1586371D-B47D-4713-92D1-34BB3E059ABA}"/>
    <cellStyle name="Normal 6 2 4 2 5 3" xfId="7732" xr:uid="{5EE9698A-DC63-4C1B-B3C9-AE75D2BE855C}"/>
    <cellStyle name="Normal 6 2 4 2 5 3 2" xfId="20414" xr:uid="{B2E42A69-CA57-44AC-B6DF-734807B36141}"/>
    <cellStyle name="Normal 6 2 4 2 5 3 2 2" xfId="45906" xr:uid="{9AE94A50-A599-4876-A9A5-D7AF1D112B15}"/>
    <cellStyle name="Normal 6 2 4 2 5 3 3" xfId="33315" xr:uid="{CEF35CA0-57CF-4D5D-84F4-340F78D5DFFD}"/>
    <cellStyle name="Normal 6 2 4 2 5 4" xfId="14136" xr:uid="{F5B3B5B5-F806-4E7F-872E-723B3B941491}"/>
    <cellStyle name="Normal 6 2 4 2 5 4 2" xfId="39628" xr:uid="{C6C6819C-0037-4ADD-9A6F-FC9487480D30}"/>
    <cellStyle name="Normal 6 2 4 2 5 5" xfId="27037" xr:uid="{585DAA71-8895-4101-9F99-230605B67077}"/>
    <cellStyle name="Normal 6 2 4 2 6" xfId="2731" xr:uid="{A2824C5C-98FE-4974-B07E-5002A91B2837}"/>
    <cellStyle name="Normal 6 2 4 2 6 2" xfId="5885" xr:uid="{C3F2E2FD-DD22-4317-9D8A-253712D54640}"/>
    <cellStyle name="Normal 6 2 4 2 6 2 2" xfId="12178" xr:uid="{4CB00E48-EE6A-45BD-BD2E-0C5D8D0AC7C9}"/>
    <cellStyle name="Normal 6 2 4 2 6 2 2 2" xfId="24860" xr:uid="{C53FB8FB-4CC7-4247-8A09-65DBA9DF353D}"/>
    <cellStyle name="Normal 6 2 4 2 6 2 2 2 2" xfId="50352" xr:uid="{8D03A60E-6B02-4D68-82A7-2FA912DBDDBA}"/>
    <cellStyle name="Normal 6 2 4 2 6 2 2 3" xfId="37761" xr:uid="{46B8D0F9-9754-4EA0-A90C-6244E8DF9799}"/>
    <cellStyle name="Normal 6 2 4 2 6 2 3" xfId="18582" xr:uid="{85C1EE72-E07A-4CED-BE8B-CB5CD217FAA0}"/>
    <cellStyle name="Normal 6 2 4 2 6 2 3 2" xfId="44074" xr:uid="{331B28E7-FF15-4DA8-8E0B-0B0086DC5C9E}"/>
    <cellStyle name="Normal 6 2 4 2 6 2 4" xfId="31483" xr:uid="{130B422D-98D6-4485-BF0D-0D64032EE50E}"/>
    <cellStyle name="Normal 6 2 4 2 6 3" xfId="9039" xr:uid="{4C4CA02B-503C-46DC-8604-C33AC0B3FD0D}"/>
    <cellStyle name="Normal 6 2 4 2 6 3 2" xfId="21721" xr:uid="{6FCE0D15-F545-4274-B4CB-C60BD75F687B}"/>
    <cellStyle name="Normal 6 2 4 2 6 3 2 2" xfId="47213" xr:uid="{2E4A1188-D7C1-45E8-BD13-A5B08F56C0CE}"/>
    <cellStyle name="Normal 6 2 4 2 6 3 3" xfId="34622" xr:uid="{64D5BE10-B021-4402-AA07-898FDC9412AA}"/>
    <cellStyle name="Normal 6 2 4 2 6 4" xfId="15443" xr:uid="{259E2C10-DD0B-46DB-872B-540AAAF923C4}"/>
    <cellStyle name="Normal 6 2 4 2 6 4 2" xfId="40935" xr:uid="{67A755BD-EE26-4491-A1F0-CC87DCFC6421}"/>
    <cellStyle name="Normal 6 2 4 2 6 5" xfId="28344" xr:uid="{8E557186-09E1-4819-97F9-544DFD08A5B7}"/>
    <cellStyle name="Normal 6 2 4 2 7" xfId="3254" xr:uid="{1BC08570-B96C-4677-A204-598492B6FFF6}"/>
    <cellStyle name="Normal 6 2 4 2 7 2" xfId="6408" xr:uid="{3F97411B-0CEB-45D0-BDD7-821C5B0835C6}"/>
    <cellStyle name="Normal 6 2 4 2 7 2 2" xfId="12701" xr:uid="{ABAC4362-A240-40C6-99EC-760F42CCD4A0}"/>
    <cellStyle name="Normal 6 2 4 2 7 2 2 2" xfId="25383" xr:uid="{CEF9702F-16F2-4918-A87E-169235734A5C}"/>
    <cellStyle name="Normal 6 2 4 2 7 2 2 2 2" xfId="50875" xr:uid="{811EB6A7-2910-441A-AA6C-4DA156BA8514}"/>
    <cellStyle name="Normal 6 2 4 2 7 2 2 3" xfId="38284" xr:uid="{E11C7270-6630-4302-A2C5-D206916ED7D1}"/>
    <cellStyle name="Normal 6 2 4 2 7 2 3" xfId="19105" xr:uid="{8CAC8E34-B071-4DC9-BC70-64E6567644E0}"/>
    <cellStyle name="Normal 6 2 4 2 7 2 3 2" xfId="44597" xr:uid="{FABA7440-95CF-48E1-8FA9-D2620340F59F}"/>
    <cellStyle name="Normal 6 2 4 2 7 2 4" xfId="32006" xr:uid="{61986B07-5A97-4E50-90E1-AE589CB01BB2}"/>
    <cellStyle name="Normal 6 2 4 2 7 3" xfId="9562" xr:uid="{3E9DDCFE-5ABA-45B0-9FB5-2827554E4155}"/>
    <cellStyle name="Normal 6 2 4 2 7 3 2" xfId="22244" xr:uid="{7153C5F8-807E-4E5F-9971-AB7098CD69DB}"/>
    <cellStyle name="Normal 6 2 4 2 7 3 2 2" xfId="47736" xr:uid="{17561AC7-7EAB-45B6-9180-FC1E50508532}"/>
    <cellStyle name="Normal 6 2 4 2 7 3 3" xfId="35145" xr:uid="{94209182-9313-43C7-BBBB-9E3E4A37AFFA}"/>
    <cellStyle name="Normal 6 2 4 2 7 4" xfId="15966" xr:uid="{CE54702D-E90F-4FA6-AEE7-585DF8D17403}"/>
    <cellStyle name="Normal 6 2 4 2 7 4 2" xfId="41458" xr:uid="{08789385-F817-4623-ABB2-106233BCF27D}"/>
    <cellStyle name="Normal 6 2 4 2 7 5" xfId="28867" xr:uid="{D686E139-229D-4EB6-A6C4-A2EB5C1BCD0A}"/>
    <cellStyle name="Normal 6 2 4 2 8" xfId="3793" xr:uid="{348BBF90-5F83-41AB-8D71-2BFE0D2AA28E}"/>
    <cellStyle name="Normal 6 2 4 2 8 2" xfId="10086" xr:uid="{232A68B9-C891-4CE1-9B77-79A6ADFC8644}"/>
    <cellStyle name="Normal 6 2 4 2 8 2 2" xfId="22768" xr:uid="{28666EB1-DEFB-4677-8112-7EDE2A0C0451}"/>
    <cellStyle name="Normal 6 2 4 2 8 2 2 2" xfId="48260" xr:uid="{E0829086-5D90-40E9-9683-AC460674A1A4}"/>
    <cellStyle name="Normal 6 2 4 2 8 2 3" xfId="35669" xr:uid="{AD434421-294C-4F51-8674-89D28D1AD122}"/>
    <cellStyle name="Normal 6 2 4 2 8 3" xfId="16490" xr:uid="{0DEFC066-4E9E-4E2D-9CD5-75446768470F}"/>
    <cellStyle name="Normal 6 2 4 2 8 3 2" xfId="41982" xr:uid="{983D27FD-9D7A-4EAE-AEA0-41459B8FE556}"/>
    <cellStyle name="Normal 6 2 4 2 8 4" xfId="29391" xr:uid="{6FE04235-53C8-4516-BF97-A63FD291B58A}"/>
    <cellStyle name="Normal 6 2 4 2 9" xfId="6947" xr:uid="{D7D957E2-1F2D-4FA3-BF0F-B5463A394042}"/>
    <cellStyle name="Normal 6 2 4 2 9 2" xfId="19629" xr:uid="{3F5A4731-99BD-4912-BE71-3B2035A724CF}"/>
    <cellStyle name="Normal 6 2 4 2 9 2 2" xfId="45121" xr:uid="{944855AD-1CE9-4A5D-85D7-76C06494834D}"/>
    <cellStyle name="Normal 6 2 4 2 9 3" xfId="32530" xr:uid="{4AA5E7D3-BFD9-47E1-B937-1AA126D10599}"/>
    <cellStyle name="Normal 6 2 4 3" xfId="1002" xr:uid="{2D0F27EC-F26B-49B9-8EE6-9BCF0FE61E75}"/>
    <cellStyle name="Normal 6 2 4 3 2" xfId="2309" xr:uid="{6F1EB7BA-742A-42CC-8D4C-551D5C860E0C}"/>
    <cellStyle name="Normal 6 2 4 3 2 2" xfId="5463" xr:uid="{C8FBA061-0426-41E3-868F-B2CFB0722FF4}"/>
    <cellStyle name="Normal 6 2 4 3 2 2 2" xfId="11756" xr:uid="{0F066D8B-310A-4CF2-94E8-06FA415B6CB4}"/>
    <cellStyle name="Normal 6 2 4 3 2 2 2 2" xfId="24438" xr:uid="{89EB0FCF-884B-4814-BC2E-5C3A86759B01}"/>
    <cellStyle name="Normal 6 2 4 3 2 2 2 2 2" xfId="49930" xr:uid="{14EC93EB-D376-4501-9E82-DF9305ED368E}"/>
    <cellStyle name="Normal 6 2 4 3 2 2 2 3" xfId="37339" xr:uid="{D91073F3-E240-4C20-8192-F29B5BF96F57}"/>
    <cellStyle name="Normal 6 2 4 3 2 2 3" xfId="18160" xr:uid="{A123A4BD-721C-4F62-AD86-E2507A9972D7}"/>
    <cellStyle name="Normal 6 2 4 3 2 2 3 2" xfId="43652" xr:uid="{3C0D1848-1AF3-4E28-B005-5F9B14CFAB78}"/>
    <cellStyle name="Normal 6 2 4 3 2 2 4" xfId="31061" xr:uid="{F121A410-61C0-4814-BA08-A2CE0EFEF9B7}"/>
    <cellStyle name="Normal 6 2 4 3 2 3" xfId="8617" xr:uid="{C7A6A73B-8AA2-481A-BB1B-7721FD3FD7C8}"/>
    <cellStyle name="Normal 6 2 4 3 2 3 2" xfId="21299" xr:uid="{45F5ECE7-F8E5-40DA-AE94-15912E270337}"/>
    <cellStyle name="Normal 6 2 4 3 2 3 2 2" xfId="46791" xr:uid="{C1C20756-6C45-425F-905E-486BF2391819}"/>
    <cellStyle name="Normal 6 2 4 3 2 3 3" xfId="34200" xr:uid="{2EF76931-3562-42BF-9F0B-6D32D6B94E9F}"/>
    <cellStyle name="Normal 6 2 4 3 2 4" xfId="15021" xr:uid="{8485D0B3-42DA-4A6C-9C84-61BE3349B9E4}"/>
    <cellStyle name="Normal 6 2 4 3 2 4 2" xfId="40513" xr:uid="{4F95336D-94CF-4D21-99E1-4409CB489584}"/>
    <cellStyle name="Normal 6 2 4 3 2 5" xfId="27922" xr:uid="{48373888-F34D-4067-AD74-BEF2AC174EA9}"/>
    <cellStyle name="Normal 6 2 4 3 3" xfId="1526" xr:uid="{C47B0C91-4E52-46BA-AFC9-C0D01E004A92}"/>
    <cellStyle name="Normal 6 2 4 3 3 2" xfId="4680" xr:uid="{5BDCA65F-DCD2-4B04-8AA5-72B344DD1424}"/>
    <cellStyle name="Normal 6 2 4 3 3 2 2" xfId="10973" xr:uid="{6EAF800C-DF5F-4BED-9A52-B9347752AB1E}"/>
    <cellStyle name="Normal 6 2 4 3 3 2 2 2" xfId="23655" xr:uid="{4E379565-482B-4E44-8CD7-43FDB39BC0F0}"/>
    <cellStyle name="Normal 6 2 4 3 3 2 2 2 2" xfId="49147" xr:uid="{67A333A8-B010-4B75-A05F-E03706CFF420}"/>
    <cellStyle name="Normal 6 2 4 3 3 2 2 3" xfId="36556" xr:uid="{F4564C51-F1FC-49B8-95B4-0335E946298F}"/>
    <cellStyle name="Normal 6 2 4 3 3 2 3" xfId="17377" xr:uid="{4090586F-DB54-4BB9-AC63-CBCBA75E220E}"/>
    <cellStyle name="Normal 6 2 4 3 3 2 3 2" xfId="42869" xr:uid="{BE6E23AF-02BD-49B3-8A73-55EA7D830BB0}"/>
    <cellStyle name="Normal 6 2 4 3 3 2 4" xfId="30278" xr:uid="{0A5E95A6-ABAC-4E0E-8CFF-0A79246946BA}"/>
    <cellStyle name="Normal 6 2 4 3 3 3" xfId="7834" xr:uid="{991D2A1D-FEB6-4321-863A-6182E6E129E6}"/>
    <cellStyle name="Normal 6 2 4 3 3 3 2" xfId="20516" xr:uid="{88BCD1CA-D774-434F-A309-34EE964A6ADE}"/>
    <cellStyle name="Normal 6 2 4 3 3 3 2 2" xfId="46008" xr:uid="{33B19274-2E1E-489E-BDCD-83E07E9706E2}"/>
    <cellStyle name="Normal 6 2 4 3 3 3 3" xfId="33417" xr:uid="{75A595B2-E9DB-4804-B85B-250F2814FAD5}"/>
    <cellStyle name="Normal 6 2 4 3 3 4" xfId="14238" xr:uid="{2ED92B11-CDC8-4B02-879A-0F9D9729C11F}"/>
    <cellStyle name="Normal 6 2 4 3 3 4 2" xfId="39730" xr:uid="{65375230-99E9-44A5-B078-FB079045E03F}"/>
    <cellStyle name="Normal 6 2 4 3 3 5" xfId="27139" xr:uid="{9D6AF2C2-B404-41FC-B3A3-29F055705C13}"/>
    <cellStyle name="Normal 6 2 4 3 4" xfId="2833" xr:uid="{60A59BEB-CE1D-4B65-BE64-C1CF81AA3D50}"/>
    <cellStyle name="Normal 6 2 4 3 4 2" xfId="5987" xr:uid="{ACF0FD29-F73F-4180-8F15-35EF7F03FE4B}"/>
    <cellStyle name="Normal 6 2 4 3 4 2 2" xfId="12280" xr:uid="{1EFF1053-1B29-4EE8-91E2-954B31A21D09}"/>
    <cellStyle name="Normal 6 2 4 3 4 2 2 2" xfId="24962" xr:uid="{07713D42-51CF-4C29-8B38-4A9D9F0CDF7A}"/>
    <cellStyle name="Normal 6 2 4 3 4 2 2 2 2" xfId="50454" xr:uid="{17868380-DB97-4820-8EAD-087C1EE6BD8B}"/>
    <cellStyle name="Normal 6 2 4 3 4 2 2 3" xfId="37863" xr:uid="{97D00F1A-F1E1-4F17-8A62-DEFF81E79685}"/>
    <cellStyle name="Normal 6 2 4 3 4 2 3" xfId="18684" xr:uid="{C57946B9-A1CE-48ED-A716-3693601B315D}"/>
    <cellStyle name="Normal 6 2 4 3 4 2 3 2" xfId="44176" xr:uid="{D250A376-A47C-408C-874D-92845E422A73}"/>
    <cellStyle name="Normal 6 2 4 3 4 2 4" xfId="31585" xr:uid="{20A9690E-B530-4BC3-AAE7-728F1DB3A319}"/>
    <cellStyle name="Normal 6 2 4 3 4 3" xfId="9141" xr:uid="{6E32ACA4-B59D-4F7C-95C9-3EF8F316D340}"/>
    <cellStyle name="Normal 6 2 4 3 4 3 2" xfId="21823" xr:uid="{ABA144B7-B77C-4881-8C65-1091EB8389BA}"/>
    <cellStyle name="Normal 6 2 4 3 4 3 2 2" xfId="47315" xr:uid="{BF82DADF-F8BF-416A-941B-C4A45B14F717}"/>
    <cellStyle name="Normal 6 2 4 3 4 3 3" xfId="34724" xr:uid="{D19C04F9-E6A0-47D2-BAF0-4391653CD47D}"/>
    <cellStyle name="Normal 6 2 4 3 4 4" xfId="15545" xr:uid="{20CFB621-0068-4265-A702-98CB7EBB20E4}"/>
    <cellStyle name="Normal 6 2 4 3 4 4 2" xfId="41037" xr:uid="{E7D93744-AAC1-4175-BFB3-65B5AC785BDD}"/>
    <cellStyle name="Normal 6 2 4 3 4 5" xfId="28446" xr:uid="{D807A883-254B-43DB-B3C6-4DDC643C626A}"/>
    <cellStyle name="Normal 6 2 4 3 5" xfId="3356" xr:uid="{6950A5E2-EF33-450A-99F9-8A25DD5D0E5B}"/>
    <cellStyle name="Normal 6 2 4 3 5 2" xfId="6510" xr:uid="{3643C4A1-D2DA-4551-AE53-4556164340F1}"/>
    <cellStyle name="Normal 6 2 4 3 5 2 2" xfId="12803" xr:uid="{A78FE8FC-5FB7-460E-A563-C621877E75C1}"/>
    <cellStyle name="Normal 6 2 4 3 5 2 2 2" xfId="25485" xr:uid="{F1CBD5E5-6FEB-4D1E-80C6-DE7BD7CB8982}"/>
    <cellStyle name="Normal 6 2 4 3 5 2 2 2 2" xfId="50977" xr:uid="{AD91AF3E-E183-4F4C-89CF-FF32570F51D7}"/>
    <cellStyle name="Normal 6 2 4 3 5 2 2 3" xfId="38386" xr:uid="{2401F1F2-50D9-4231-B780-21F2FECF83DD}"/>
    <cellStyle name="Normal 6 2 4 3 5 2 3" xfId="19207" xr:uid="{00CA30FC-EA35-4001-9042-5A3E1068B407}"/>
    <cellStyle name="Normal 6 2 4 3 5 2 3 2" xfId="44699" xr:uid="{31D36A25-41C9-4C97-B970-51DB28E42D91}"/>
    <cellStyle name="Normal 6 2 4 3 5 2 4" xfId="32108" xr:uid="{B36BBA60-6AEB-4A94-9EAB-49BEE60A7692}"/>
    <cellStyle name="Normal 6 2 4 3 5 3" xfId="9664" xr:uid="{AC3AA755-8333-4B37-9526-9DF92A3EBBF5}"/>
    <cellStyle name="Normal 6 2 4 3 5 3 2" xfId="22346" xr:uid="{E21248D1-CC7A-4857-A634-5C08287D6309}"/>
    <cellStyle name="Normal 6 2 4 3 5 3 2 2" xfId="47838" xr:uid="{562C53EE-C719-4F47-AC53-ACE11634D7EF}"/>
    <cellStyle name="Normal 6 2 4 3 5 3 3" xfId="35247" xr:uid="{15B4595C-588D-4158-83A7-0173633AD27B}"/>
    <cellStyle name="Normal 6 2 4 3 5 4" xfId="16068" xr:uid="{D10BDE91-E412-45D1-9F07-B1420F47C894}"/>
    <cellStyle name="Normal 6 2 4 3 5 4 2" xfId="41560" xr:uid="{9ECA167A-E8F2-4F72-BF6F-BF3C14EE02DC}"/>
    <cellStyle name="Normal 6 2 4 3 5 5" xfId="28969" xr:uid="{24CA5AB8-28C9-488D-961D-64C253BF0F7A}"/>
    <cellStyle name="Normal 6 2 4 3 6" xfId="4156" xr:uid="{99169667-F130-4B75-A68D-CAF90D5C30D4}"/>
    <cellStyle name="Normal 6 2 4 3 6 2" xfId="10449" xr:uid="{FA5D13A4-73EC-451B-AC7A-9A2CF0A2F52B}"/>
    <cellStyle name="Normal 6 2 4 3 6 2 2" xfId="23131" xr:uid="{93A2CC33-F576-4BB4-84F0-E82CBD4C7ADA}"/>
    <cellStyle name="Normal 6 2 4 3 6 2 2 2" xfId="48623" xr:uid="{931CFA42-007F-42A0-8FC2-9E25625CF050}"/>
    <cellStyle name="Normal 6 2 4 3 6 2 3" xfId="36032" xr:uid="{FEA766F4-8E80-4860-9303-B0A805CCCCDB}"/>
    <cellStyle name="Normal 6 2 4 3 6 3" xfId="16853" xr:uid="{9A604BF1-2A61-4698-9842-4C8F0C73A23A}"/>
    <cellStyle name="Normal 6 2 4 3 6 3 2" xfId="42345" xr:uid="{3430BADB-1EF4-4BC1-B5B1-C81572925B7E}"/>
    <cellStyle name="Normal 6 2 4 3 6 4" xfId="29754" xr:uid="{F643E1BE-5BD4-49B6-B43D-D3CA4C544514}"/>
    <cellStyle name="Normal 6 2 4 3 7" xfId="7310" xr:uid="{CDAEEC28-7E64-4BA3-A304-9D3C40B8C8F3}"/>
    <cellStyle name="Normal 6 2 4 3 7 2" xfId="19992" xr:uid="{A4927DB5-0DF9-4F17-B890-1DFA7ACB2733}"/>
    <cellStyle name="Normal 6 2 4 3 7 2 2" xfId="45484" xr:uid="{2147CF5D-B7C2-41F0-B59F-9CDC219D1A53}"/>
    <cellStyle name="Normal 6 2 4 3 7 3" xfId="32893" xr:uid="{83567CC0-BB90-48C7-BA32-561ECAEDE95C}"/>
    <cellStyle name="Normal 6 2 4 3 8" xfId="13714" xr:uid="{6CA76270-E055-48DA-A190-0C8785BCB2CB}"/>
    <cellStyle name="Normal 6 2 4 3 8 2" xfId="39206" xr:uid="{7BAE9630-97CB-444C-99D0-035E612896BF}"/>
    <cellStyle name="Normal 6 2 4 3 9" xfId="26615" xr:uid="{358448C3-425D-4FF5-8F73-F029601208D3}"/>
    <cellStyle name="Normal 6 2 4 4" xfId="742" xr:uid="{F44B4CF0-DD42-4F1F-9D1E-8EF70F07F87B}"/>
    <cellStyle name="Normal 6 2 4 4 2" xfId="2049" xr:uid="{EE3AA8F1-476D-4C8B-9906-F00F891F5C1D}"/>
    <cellStyle name="Normal 6 2 4 4 2 2" xfId="5203" xr:uid="{FAD81B5B-259F-4729-8981-B7EFB6630172}"/>
    <cellStyle name="Normal 6 2 4 4 2 2 2" xfId="11496" xr:uid="{0B718D73-0E52-4C60-A2F2-0ECD7124D5C7}"/>
    <cellStyle name="Normal 6 2 4 4 2 2 2 2" xfId="24178" xr:uid="{57F2C71B-9AD6-4D35-936B-B6AF1F3150BE}"/>
    <cellStyle name="Normal 6 2 4 4 2 2 2 2 2" xfId="49670" xr:uid="{C052FA59-6218-4E7F-84D6-DD5A0B7A2362}"/>
    <cellStyle name="Normal 6 2 4 4 2 2 2 3" xfId="37079" xr:uid="{55DFF953-5B8B-4722-B52F-9DC0D5F78F21}"/>
    <cellStyle name="Normal 6 2 4 4 2 2 3" xfId="17900" xr:uid="{A3D6C754-8173-458B-895F-53EB6C8BE62C}"/>
    <cellStyle name="Normal 6 2 4 4 2 2 3 2" xfId="43392" xr:uid="{1F57D991-0C74-4096-9F8F-C5AD9C3C276F}"/>
    <cellStyle name="Normal 6 2 4 4 2 2 4" xfId="30801" xr:uid="{2A356DBB-ABD2-47A4-BF65-AFB8A0CB7DAA}"/>
    <cellStyle name="Normal 6 2 4 4 2 3" xfId="8357" xr:uid="{FF9D4EA9-9B83-4F79-949E-91609381BCED}"/>
    <cellStyle name="Normal 6 2 4 4 2 3 2" xfId="21039" xr:uid="{F6D7EF48-8BBF-4ABC-A61D-92107FA09303}"/>
    <cellStyle name="Normal 6 2 4 4 2 3 2 2" xfId="46531" xr:uid="{6AEC7410-F48A-4CC6-BD05-64301A8C7E65}"/>
    <cellStyle name="Normal 6 2 4 4 2 3 3" xfId="33940" xr:uid="{05573FDF-FF0F-4203-9A27-CA5AF0AE82B4}"/>
    <cellStyle name="Normal 6 2 4 4 2 4" xfId="14761" xr:uid="{C5FB9FC2-61CE-44DC-81FF-BA3656776C3E}"/>
    <cellStyle name="Normal 6 2 4 4 2 4 2" xfId="40253" xr:uid="{BADE2DA9-ABCF-426D-8BE7-1F84D84ED1BF}"/>
    <cellStyle name="Normal 6 2 4 4 2 5" xfId="27662" xr:uid="{ED815D28-3A3A-45DB-8616-C92F7B9EBDDC}"/>
    <cellStyle name="Normal 6 2 4 4 3" xfId="3896" xr:uid="{FDA7E2EC-0A40-4B59-9815-24529433FB28}"/>
    <cellStyle name="Normal 6 2 4 4 3 2" xfId="10189" xr:uid="{3F2F87B8-FBE4-46CF-949D-936C2F943BB6}"/>
    <cellStyle name="Normal 6 2 4 4 3 2 2" xfId="22871" xr:uid="{9285527D-996B-4032-96F1-01565549D1CF}"/>
    <cellStyle name="Normal 6 2 4 4 3 2 2 2" xfId="48363" xr:uid="{CA367BA9-4049-4087-A3D5-F00B317C49DC}"/>
    <cellStyle name="Normal 6 2 4 4 3 2 3" xfId="35772" xr:uid="{2078F5FD-26F6-4B5D-AA73-E469174D29F4}"/>
    <cellStyle name="Normal 6 2 4 4 3 3" xfId="16593" xr:uid="{44EAA8D2-A3F0-4C9C-8301-E6EB93BCE69D}"/>
    <cellStyle name="Normal 6 2 4 4 3 3 2" xfId="42085" xr:uid="{FB16496D-3CE6-4EBB-8B22-7E8BCBBE07D2}"/>
    <cellStyle name="Normal 6 2 4 4 3 4" xfId="29494" xr:uid="{80CB65E2-8545-43A4-AFD4-3624268205A4}"/>
    <cellStyle name="Normal 6 2 4 4 4" xfId="7050" xr:uid="{A46E1D61-5CA1-4073-B38C-A37E531259C6}"/>
    <cellStyle name="Normal 6 2 4 4 4 2" xfId="19732" xr:uid="{2D4C6C95-1831-4B4D-A328-D07773518547}"/>
    <cellStyle name="Normal 6 2 4 4 4 2 2" xfId="45224" xr:uid="{08F55544-E3AE-45CC-9602-9D15EDFB6B35}"/>
    <cellStyle name="Normal 6 2 4 4 4 3" xfId="32633" xr:uid="{55F6DB62-2D53-4168-8D82-930D5DB25415}"/>
    <cellStyle name="Normal 6 2 4 4 5" xfId="13454" xr:uid="{0ED2ABBF-964C-427F-AA72-1973EB54E22F}"/>
    <cellStyle name="Normal 6 2 4 4 5 2" xfId="38946" xr:uid="{19E06D0F-A089-4E77-8F92-65E0D059BE00}"/>
    <cellStyle name="Normal 6 2 4 4 6" xfId="26355" xr:uid="{D32FBD94-D88F-406C-8F3F-7128504241F9}"/>
    <cellStyle name="Normal 6 2 4 5" xfId="1787" xr:uid="{FCF0489E-5B86-41DC-A7EC-399EC0D46771}"/>
    <cellStyle name="Normal 6 2 4 5 2" xfId="4941" xr:uid="{342CE2BC-2774-4567-B1A5-CA10CC88BA15}"/>
    <cellStyle name="Normal 6 2 4 5 2 2" xfId="11234" xr:uid="{12516D44-2932-4891-96FD-9CB583C24C44}"/>
    <cellStyle name="Normal 6 2 4 5 2 2 2" xfId="23916" xr:uid="{6F401E11-E483-4BE0-936E-8FF286A82BB3}"/>
    <cellStyle name="Normal 6 2 4 5 2 2 2 2" xfId="49408" xr:uid="{37E373B3-AA5B-4405-9F8F-E34EB8A34EE8}"/>
    <cellStyle name="Normal 6 2 4 5 2 2 3" xfId="36817" xr:uid="{913B9219-F0B8-4E8B-A959-23951F4AF4D3}"/>
    <cellStyle name="Normal 6 2 4 5 2 3" xfId="17638" xr:uid="{435C923C-99EC-48BE-83E9-4485DACDAAF4}"/>
    <cellStyle name="Normal 6 2 4 5 2 3 2" xfId="43130" xr:uid="{3CDBD371-2220-4271-B780-A9A27D8DBB1E}"/>
    <cellStyle name="Normal 6 2 4 5 2 4" xfId="30539" xr:uid="{B05D645B-5E04-422B-9F0C-194779C59ECB}"/>
    <cellStyle name="Normal 6 2 4 5 3" xfId="8095" xr:uid="{27ADF541-804D-4C7C-A6D7-2E92E6DF6BE4}"/>
    <cellStyle name="Normal 6 2 4 5 3 2" xfId="20777" xr:uid="{1F381523-AB1E-4373-ABC8-2E9AA117C00C}"/>
    <cellStyle name="Normal 6 2 4 5 3 2 2" xfId="46269" xr:uid="{16B729E9-7AFA-4B71-A775-89A65D34FC6E}"/>
    <cellStyle name="Normal 6 2 4 5 3 3" xfId="33678" xr:uid="{10D8BCF0-1FD5-456F-B2E6-3AF00EEDD2E0}"/>
    <cellStyle name="Normal 6 2 4 5 4" xfId="14499" xr:uid="{67E08CEE-25BF-41F2-A90A-011E0F932A7D}"/>
    <cellStyle name="Normal 6 2 4 5 4 2" xfId="39991" xr:uid="{FA73BBAE-0DB8-4A8E-B544-C6DEF4E9A6DF}"/>
    <cellStyle name="Normal 6 2 4 5 5" xfId="27400" xr:uid="{8BF60128-76BD-46B5-AE5B-4ED5C0E335B4}"/>
    <cellStyle name="Normal 6 2 4 6" xfId="1265" xr:uid="{5A7202A4-17A9-4D42-9A6E-BF961BDA83C4}"/>
    <cellStyle name="Normal 6 2 4 6 2" xfId="4419" xr:uid="{80B2C1C2-67E5-4B6E-A8F8-ABB98E07DD7D}"/>
    <cellStyle name="Normal 6 2 4 6 2 2" xfId="10712" xr:uid="{C7B519EA-DFDF-4896-A4CB-00C932782445}"/>
    <cellStyle name="Normal 6 2 4 6 2 2 2" xfId="23394" xr:uid="{E7B2DD6B-F609-44C4-9951-9AF93C26B7BA}"/>
    <cellStyle name="Normal 6 2 4 6 2 2 2 2" xfId="48886" xr:uid="{5F9EB8A9-2D8D-48CB-8250-404B44BDA540}"/>
    <cellStyle name="Normal 6 2 4 6 2 2 3" xfId="36295" xr:uid="{99461448-0B16-48E3-84D3-C394C7D456E7}"/>
    <cellStyle name="Normal 6 2 4 6 2 3" xfId="17116" xr:uid="{B5E84200-8D3E-4F27-886F-A278D4E08E74}"/>
    <cellStyle name="Normal 6 2 4 6 2 3 2" xfId="42608" xr:uid="{0CBA4895-DD90-4172-A32A-325FE5386E07}"/>
    <cellStyle name="Normal 6 2 4 6 2 4" xfId="30017" xr:uid="{05D53A01-A6E7-448F-A09A-200F526E4A72}"/>
    <cellStyle name="Normal 6 2 4 6 3" xfId="7573" xr:uid="{3C5D54DD-3D8D-4300-8C55-FAFF03612AC3}"/>
    <cellStyle name="Normal 6 2 4 6 3 2" xfId="20255" xr:uid="{8FD31F91-64C9-4AB2-8810-79ECFDE02E26}"/>
    <cellStyle name="Normal 6 2 4 6 3 2 2" xfId="45747" xr:uid="{22CF1D5D-F1F0-452E-A3C2-53390DEF7C4D}"/>
    <cellStyle name="Normal 6 2 4 6 3 3" xfId="33156" xr:uid="{3B3D3F3D-EC08-4AC6-9BC7-878E8D1672C0}"/>
    <cellStyle name="Normal 6 2 4 6 4" xfId="13977" xr:uid="{D80A56D0-F04F-47C6-A85A-819E35E93E33}"/>
    <cellStyle name="Normal 6 2 4 6 4 2" xfId="39469" xr:uid="{D87F5485-3226-48C9-8F9D-57450904D995}"/>
    <cellStyle name="Normal 6 2 4 6 5" xfId="26878" xr:uid="{F06A54A0-9624-4293-906C-5C171D75CF56}"/>
    <cellStyle name="Normal 6 2 4 7" xfId="2572" xr:uid="{6ABCA041-8ED7-4818-8E6C-FCCBB9C27B68}"/>
    <cellStyle name="Normal 6 2 4 7 2" xfId="5726" xr:uid="{F1C8D16D-F814-4513-B8F0-5F3C87306BB0}"/>
    <cellStyle name="Normal 6 2 4 7 2 2" xfId="12019" xr:uid="{F97324C5-E21C-41B5-9C6F-5D3BC1EA18E6}"/>
    <cellStyle name="Normal 6 2 4 7 2 2 2" xfId="24701" xr:uid="{6A897B6E-FD1C-429A-82C4-C83A98780BE6}"/>
    <cellStyle name="Normal 6 2 4 7 2 2 2 2" xfId="50193" xr:uid="{3747EF37-C6C5-4FED-9D30-E68DCA43E4BD}"/>
    <cellStyle name="Normal 6 2 4 7 2 2 3" xfId="37602" xr:uid="{B0951490-FDCA-4F4A-910B-A099B560F5DB}"/>
    <cellStyle name="Normal 6 2 4 7 2 3" xfId="18423" xr:uid="{6194B36D-7302-41B5-B0B5-6EAC53E548CF}"/>
    <cellStyle name="Normal 6 2 4 7 2 3 2" xfId="43915" xr:uid="{0EC39AD2-D280-4750-8F39-4F5FC842C107}"/>
    <cellStyle name="Normal 6 2 4 7 2 4" xfId="31324" xr:uid="{AE8750C9-5731-4DB7-8896-328BB16723CA}"/>
    <cellStyle name="Normal 6 2 4 7 3" xfId="8880" xr:uid="{12A0EA83-7523-4777-9AFC-D7F70E209EFA}"/>
    <cellStyle name="Normal 6 2 4 7 3 2" xfId="21562" xr:uid="{1CB69698-BB8A-4D8B-AE18-588A31D71C29}"/>
    <cellStyle name="Normal 6 2 4 7 3 2 2" xfId="47054" xr:uid="{28426862-8A99-4E03-9274-B1F2334C4300}"/>
    <cellStyle name="Normal 6 2 4 7 3 3" xfId="34463" xr:uid="{D6289F57-636C-4C97-82DF-2BF1C1AD7CB6}"/>
    <cellStyle name="Normal 6 2 4 7 4" xfId="15284" xr:uid="{D691479D-E8B0-4417-B25A-FFB460879E7F}"/>
    <cellStyle name="Normal 6 2 4 7 4 2" xfId="40776" xr:uid="{8D11E4EE-A5A7-4D3D-BCD2-9EDD5BC19576}"/>
    <cellStyle name="Normal 6 2 4 7 5" xfId="28185" xr:uid="{FF7AD077-5D4D-4C6D-BA2C-B967A5CEAA59}"/>
    <cellStyle name="Normal 6 2 4 8" xfId="3095" xr:uid="{E920AD2E-B414-4721-BB28-224F30DAC493}"/>
    <cellStyle name="Normal 6 2 4 8 2" xfId="6249" xr:uid="{ADE4443E-01EE-4730-BB40-698C658EEC3C}"/>
    <cellStyle name="Normal 6 2 4 8 2 2" xfId="12542" xr:uid="{9DF7017B-8E29-4AE6-B424-09533E1DC086}"/>
    <cellStyle name="Normal 6 2 4 8 2 2 2" xfId="25224" xr:uid="{1F9D1D8C-0A61-4456-837B-29013F63FC50}"/>
    <cellStyle name="Normal 6 2 4 8 2 2 2 2" xfId="50716" xr:uid="{8DEDDA25-5AF4-4C5A-9E79-1381D7A4DFA2}"/>
    <cellStyle name="Normal 6 2 4 8 2 2 3" xfId="38125" xr:uid="{42F2FC49-44FC-413B-A124-886387608CA1}"/>
    <cellStyle name="Normal 6 2 4 8 2 3" xfId="18946" xr:uid="{E165AD34-5E37-4D84-AE80-37FBE2D801CF}"/>
    <cellStyle name="Normal 6 2 4 8 2 3 2" xfId="44438" xr:uid="{6FE69926-B304-4EDC-BD03-DB93C94A1C21}"/>
    <cellStyle name="Normal 6 2 4 8 2 4" xfId="31847" xr:uid="{BA2CE3A1-68FF-46F0-AD62-FDFEB8F409EF}"/>
    <cellStyle name="Normal 6 2 4 8 3" xfId="9403" xr:uid="{97ED2E0E-3D6D-4E03-8D93-E8DAF1BA9163}"/>
    <cellStyle name="Normal 6 2 4 8 3 2" xfId="22085" xr:uid="{990CF0C0-A06A-4842-B8C4-C8BDDDFDACDC}"/>
    <cellStyle name="Normal 6 2 4 8 3 2 2" xfId="47577" xr:uid="{ECB745CA-710C-4A06-8C77-B7E108A36A27}"/>
    <cellStyle name="Normal 6 2 4 8 3 3" xfId="34986" xr:uid="{0731628D-5452-4959-B92E-CEBC7A33521A}"/>
    <cellStyle name="Normal 6 2 4 8 4" xfId="15807" xr:uid="{BD85481C-A73A-4889-AABA-F172FEAEBC07}"/>
    <cellStyle name="Normal 6 2 4 8 4 2" xfId="41299" xr:uid="{BD5258BA-C0F4-4060-922B-F2CC1E31741B}"/>
    <cellStyle name="Normal 6 2 4 8 5" xfId="28708" xr:uid="{EA3174C6-BCF4-4B05-928C-F149AD414B40}"/>
    <cellStyle name="Normal 6 2 4 9" xfId="3634" xr:uid="{3286DAB3-5693-49D5-B245-8EB62B466E48}"/>
    <cellStyle name="Normal 6 2 4 9 2" xfId="9927" xr:uid="{1E1A8188-ABF4-4A54-995A-6A79B36FB9D3}"/>
    <cellStyle name="Normal 6 2 4 9 2 2" xfId="22609" xr:uid="{FAF2903C-D5EF-4092-85E5-A4471D70C363}"/>
    <cellStyle name="Normal 6 2 4 9 2 2 2" xfId="48101" xr:uid="{6CCB5E82-E710-4565-9045-3EE0BC008166}"/>
    <cellStyle name="Normal 6 2 4 9 2 3" xfId="35510" xr:uid="{92A631A7-D589-4D23-B7E5-C9B7386A94DF}"/>
    <cellStyle name="Normal 6 2 4 9 3" xfId="16331" xr:uid="{528091A6-E710-441A-98F0-DC8FD50B5D90}"/>
    <cellStyle name="Normal 6 2 4 9 3 2" xfId="41823" xr:uid="{F3C29120-36B2-4339-B281-714CAF28B1FC}"/>
    <cellStyle name="Normal 6 2 4 9 4" xfId="29232" xr:uid="{58888B06-3B5B-48AC-929B-498C89F2852A}"/>
    <cellStyle name="Normal 6 2 5" xfId="582" xr:uid="{BDA0A4C3-23B4-46EE-B54B-576487418A82}"/>
    <cellStyle name="Normal 6 2 5 10" xfId="13309" xr:uid="{C96809AB-B037-4E21-8853-076F6D3ED752}"/>
    <cellStyle name="Normal 6 2 5 10 2" xfId="38801" xr:uid="{CC6CF966-5DAC-473E-AE5B-37E90D72FFA3}"/>
    <cellStyle name="Normal 6 2 5 11" xfId="26210" xr:uid="{280EBE2F-DF93-4797-96B5-F0F3393A66E5}"/>
    <cellStyle name="Normal 6 2 5 2" xfId="1119" xr:uid="{5FDBB539-819E-40F6-8D47-9650D1390341}"/>
    <cellStyle name="Normal 6 2 5 2 2" xfId="2426" xr:uid="{8D82DADB-A4EC-4C7D-B759-36EF6562FDCE}"/>
    <cellStyle name="Normal 6 2 5 2 2 2" xfId="5580" xr:uid="{4DA1AD09-CA4C-4402-91EF-FC81E99F5EAE}"/>
    <cellStyle name="Normal 6 2 5 2 2 2 2" xfId="11873" xr:uid="{E8086D68-7B23-4226-A38F-FC9D69B675F8}"/>
    <cellStyle name="Normal 6 2 5 2 2 2 2 2" xfId="24555" xr:uid="{064AFEAB-5170-4EF8-A137-3A5A57712D5D}"/>
    <cellStyle name="Normal 6 2 5 2 2 2 2 2 2" xfId="50047" xr:uid="{F0806BEF-698C-4D26-BACF-1B53CFA09DA7}"/>
    <cellStyle name="Normal 6 2 5 2 2 2 2 3" xfId="37456" xr:uid="{134E5574-0091-43FE-81BB-40EF7813A1C5}"/>
    <cellStyle name="Normal 6 2 5 2 2 2 3" xfId="18277" xr:uid="{D9CBF2EF-6E69-40EF-9999-84E9F34C5678}"/>
    <cellStyle name="Normal 6 2 5 2 2 2 3 2" xfId="43769" xr:uid="{38505F3F-242C-423E-A5C2-7B4D6345E084}"/>
    <cellStyle name="Normal 6 2 5 2 2 2 4" xfId="31178" xr:uid="{DDCF3FF8-96AD-450C-902A-ECFE8E5465A5}"/>
    <cellStyle name="Normal 6 2 5 2 2 3" xfId="8734" xr:uid="{0D44FDB8-DB55-402B-903D-F00B19975F93}"/>
    <cellStyle name="Normal 6 2 5 2 2 3 2" xfId="21416" xr:uid="{C7301B7D-4691-4BE1-AEAD-1A3D203954D9}"/>
    <cellStyle name="Normal 6 2 5 2 2 3 2 2" xfId="46908" xr:uid="{2363BD75-C27A-4880-A8B1-EC7114C2B661}"/>
    <cellStyle name="Normal 6 2 5 2 2 3 3" xfId="34317" xr:uid="{78D00683-B195-4502-93D9-425D9EC3496C}"/>
    <cellStyle name="Normal 6 2 5 2 2 4" xfId="15138" xr:uid="{3ABE9390-BEAC-4ABA-AA79-70FE44EC4344}"/>
    <cellStyle name="Normal 6 2 5 2 2 4 2" xfId="40630" xr:uid="{6B1AD0C3-1267-4458-807B-356AE2ABE1E2}"/>
    <cellStyle name="Normal 6 2 5 2 2 5" xfId="28039" xr:uid="{DA89660F-E5BC-4BF2-9A43-CDA3D34BD813}"/>
    <cellStyle name="Normal 6 2 5 2 3" xfId="1643" xr:uid="{DF6422E0-B442-4305-96B6-3D33D647911A}"/>
    <cellStyle name="Normal 6 2 5 2 3 2" xfId="4797" xr:uid="{59D9DD13-FE3C-47A1-9D74-9D8285A0D3C7}"/>
    <cellStyle name="Normal 6 2 5 2 3 2 2" xfId="11090" xr:uid="{9D4CA54F-42D9-4153-9777-09935A3D2C86}"/>
    <cellStyle name="Normal 6 2 5 2 3 2 2 2" xfId="23772" xr:uid="{C86D3F0C-9781-4F57-AEBE-5082221893D8}"/>
    <cellStyle name="Normal 6 2 5 2 3 2 2 2 2" xfId="49264" xr:uid="{D46415BE-279F-4B0A-B18A-FE9119E5EA93}"/>
    <cellStyle name="Normal 6 2 5 2 3 2 2 3" xfId="36673" xr:uid="{00A6D687-BDCE-46E8-AE42-E45D9639ED01}"/>
    <cellStyle name="Normal 6 2 5 2 3 2 3" xfId="17494" xr:uid="{7B1ECCFC-97F5-4EE2-9E27-60F23BC3AD15}"/>
    <cellStyle name="Normal 6 2 5 2 3 2 3 2" xfId="42986" xr:uid="{7CC6B420-FB6B-4943-BE8C-87E69F40B1EF}"/>
    <cellStyle name="Normal 6 2 5 2 3 2 4" xfId="30395" xr:uid="{F85928A3-06F7-4411-8A89-DC20A7148242}"/>
    <cellStyle name="Normal 6 2 5 2 3 3" xfId="7951" xr:uid="{1B22C21B-97F0-4446-AD2C-B3B5273D933D}"/>
    <cellStyle name="Normal 6 2 5 2 3 3 2" xfId="20633" xr:uid="{F42CD006-7FF7-40A0-8B9E-8DE3E2553EA7}"/>
    <cellStyle name="Normal 6 2 5 2 3 3 2 2" xfId="46125" xr:uid="{870FC5FA-62FA-4B54-A6E5-355BC6D5140D}"/>
    <cellStyle name="Normal 6 2 5 2 3 3 3" xfId="33534" xr:uid="{764A08C2-BBAB-4E5D-803F-5E231C8C3820}"/>
    <cellStyle name="Normal 6 2 5 2 3 4" xfId="14355" xr:uid="{8BA73757-BC3D-42BE-B76C-B01E5AC5F7B9}"/>
    <cellStyle name="Normal 6 2 5 2 3 4 2" xfId="39847" xr:uid="{3BB486B8-E72A-408F-B583-22AF7E5671FE}"/>
    <cellStyle name="Normal 6 2 5 2 3 5" xfId="27256" xr:uid="{E7E7F059-FCB5-48AF-8714-094DBC3C9CC4}"/>
    <cellStyle name="Normal 6 2 5 2 4" xfId="2950" xr:uid="{E6C5EF8B-F222-4403-AD6F-8946E59928D4}"/>
    <cellStyle name="Normal 6 2 5 2 4 2" xfId="6104" xr:uid="{05235E08-A611-44F1-8344-9E573B679F12}"/>
    <cellStyle name="Normal 6 2 5 2 4 2 2" xfId="12397" xr:uid="{0E90AC1C-1EB4-433D-8366-5D3B2E2FA7BE}"/>
    <cellStyle name="Normal 6 2 5 2 4 2 2 2" xfId="25079" xr:uid="{B1120B63-C93E-45C5-9DA4-330A51C3F759}"/>
    <cellStyle name="Normal 6 2 5 2 4 2 2 2 2" xfId="50571" xr:uid="{DA1ACC26-390F-4E6F-B8D6-3130E28CF905}"/>
    <cellStyle name="Normal 6 2 5 2 4 2 2 3" xfId="37980" xr:uid="{D7820A47-A27F-4D92-AE4F-7C9F4AC4E84D}"/>
    <cellStyle name="Normal 6 2 5 2 4 2 3" xfId="18801" xr:uid="{FE3DE54F-866C-44FE-B466-E58B9DB0377A}"/>
    <cellStyle name="Normal 6 2 5 2 4 2 3 2" xfId="44293" xr:uid="{DD47E023-8CA1-4CB9-8608-BE9CF5DC4A82}"/>
    <cellStyle name="Normal 6 2 5 2 4 2 4" xfId="31702" xr:uid="{B38FDA47-82B7-40C1-B9DD-7197450BFA31}"/>
    <cellStyle name="Normal 6 2 5 2 4 3" xfId="9258" xr:uid="{BC3E38E5-315B-4817-927A-1061F16CD32B}"/>
    <cellStyle name="Normal 6 2 5 2 4 3 2" xfId="21940" xr:uid="{E6590CE2-AAAE-403A-8E23-1BABA6B5BDB0}"/>
    <cellStyle name="Normal 6 2 5 2 4 3 2 2" xfId="47432" xr:uid="{8F140D00-7E73-409E-BB3C-2B74DB225AB1}"/>
    <cellStyle name="Normal 6 2 5 2 4 3 3" xfId="34841" xr:uid="{2D4465EE-FBCF-480E-8CC4-AA2C7CDC9449}"/>
    <cellStyle name="Normal 6 2 5 2 4 4" xfId="15662" xr:uid="{8D7B8EDC-AA43-4310-99FC-B5D84D0DC75C}"/>
    <cellStyle name="Normal 6 2 5 2 4 4 2" xfId="41154" xr:uid="{99D9BEF1-5511-4C51-8245-08E464919CEA}"/>
    <cellStyle name="Normal 6 2 5 2 4 5" xfId="28563" xr:uid="{01A2D15B-775D-4664-8D47-215C8D050DBA}"/>
    <cellStyle name="Normal 6 2 5 2 5" xfId="3473" xr:uid="{CF5A165E-457B-46CC-8E9B-F17CB5FEE5D0}"/>
    <cellStyle name="Normal 6 2 5 2 5 2" xfId="6627" xr:uid="{2976183B-0939-47AC-BE5A-B23CB90AA2CD}"/>
    <cellStyle name="Normal 6 2 5 2 5 2 2" xfId="12920" xr:uid="{DB2FA10B-3FDA-473A-9797-5A9574DA28AE}"/>
    <cellStyle name="Normal 6 2 5 2 5 2 2 2" xfId="25602" xr:uid="{D5C20BE2-FCF6-4276-A411-634547803729}"/>
    <cellStyle name="Normal 6 2 5 2 5 2 2 2 2" xfId="51094" xr:uid="{E10D600C-7CBC-4938-8AA5-BE7A5D0E063A}"/>
    <cellStyle name="Normal 6 2 5 2 5 2 2 3" xfId="38503" xr:uid="{D8BF4A6A-1705-46BD-B595-1CA557CFD875}"/>
    <cellStyle name="Normal 6 2 5 2 5 2 3" xfId="19324" xr:uid="{F6DF0681-CB21-4E60-BDF2-E9F7443B3E47}"/>
    <cellStyle name="Normal 6 2 5 2 5 2 3 2" xfId="44816" xr:uid="{027855E3-E4F6-48E7-900D-F7F237C3F947}"/>
    <cellStyle name="Normal 6 2 5 2 5 2 4" xfId="32225" xr:uid="{49728EF4-01E9-43D6-A642-28BDF1C01327}"/>
    <cellStyle name="Normal 6 2 5 2 5 3" xfId="9781" xr:uid="{BFC79F75-0DC5-46B6-99C3-F713C551223A}"/>
    <cellStyle name="Normal 6 2 5 2 5 3 2" xfId="22463" xr:uid="{1ED599C8-3A2B-482B-993B-F94EA859C416}"/>
    <cellStyle name="Normal 6 2 5 2 5 3 2 2" xfId="47955" xr:uid="{1E22AE78-5BD3-4547-B483-1444FD418695}"/>
    <cellStyle name="Normal 6 2 5 2 5 3 3" xfId="35364" xr:uid="{2A601865-4065-4E5E-965F-330AFC66B456}"/>
    <cellStyle name="Normal 6 2 5 2 5 4" xfId="16185" xr:uid="{36B44847-DE24-47CA-B373-1DBEAA13E1BF}"/>
    <cellStyle name="Normal 6 2 5 2 5 4 2" xfId="41677" xr:uid="{6B81B317-E325-4240-8FDA-17DB8F0C95EF}"/>
    <cellStyle name="Normal 6 2 5 2 5 5" xfId="29086" xr:uid="{3105B1DD-047C-42F1-9DD3-628DA34FF00E}"/>
    <cellStyle name="Normal 6 2 5 2 6" xfId="4273" xr:uid="{5923B329-6F87-4D88-A920-BCC9D4EE41C3}"/>
    <cellStyle name="Normal 6 2 5 2 6 2" xfId="10566" xr:uid="{70DC0BF1-3596-4EAA-9E71-DE30AEE61BE9}"/>
    <cellStyle name="Normal 6 2 5 2 6 2 2" xfId="23248" xr:uid="{035F1981-A6D1-4018-AC3A-90C2BFA28A63}"/>
    <cellStyle name="Normal 6 2 5 2 6 2 2 2" xfId="48740" xr:uid="{5C3F296A-955E-4E0D-BEC8-0DBED3C7BB65}"/>
    <cellStyle name="Normal 6 2 5 2 6 2 3" xfId="36149" xr:uid="{F4F3E857-B40B-4735-B0B9-292EA73C4D7A}"/>
    <cellStyle name="Normal 6 2 5 2 6 3" xfId="16970" xr:uid="{F101D8FE-3392-4F28-93B9-3C832ACF17E0}"/>
    <cellStyle name="Normal 6 2 5 2 6 3 2" xfId="42462" xr:uid="{5848C649-56D5-4BBB-8383-A13145375C63}"/>
    <cellStyle name="Normal 6 2 5 2 6 4" xfId="29871" xr:uid="{ECA09D32-456E-4584-9CC8-34066D5442ED}"/>
    <cellStyle name="Normal 6 2 5 2 7" xfId="7427" xr:uid="{9FFB844A-27D3-4AA3-8CCE-DDBC760C9955}"/>
    <cellStyle name="Normal 6 2 5 2 7 2" xfId="20109" xr:uid="{13D4529A-B47E-4E26-95B6-029EE595DC4E}"/>
    <cellStyle name="Normal 6 2 5 2 7 2 2" xfId="45601" xr:uid="{F0B0534B-5A60-4905-995D-D95492DE608C}"/>
    <cellStyle name="Normal 6 2 5 2 7 3" xfId="33010" xr:uid="{5540A22C-126E-4497-8E70-5082321FBD00}"/>
    <cellStyle name="Normal 6 2 5 2 8" xfId="13831" xr:uid="{29C410BA-9A11-45A3-8242-FBC537C9FA6B}"/>
    <cellStyle name="Normal 6 2 5 2 8 2" xfId="39323" xr:uid="{0FCB4EA5-D6B7-47F4-896C-35493567645A}"/>
    <cellStyle name="Normal 6 2 5 2 9" xfId="26732" xr:uid="{47FAB9BD-970F-4E54-8E82-9C2CFE88133E}"/>
    <cellStyle name="Normal 6 2 5 3" xfId="859" xr:uid="{5FF5DA23-43BB-41BB-9250-2456710E4051}"/>
    <cellStyle name="Normal 6 2 5 3 2" xfId="2166" xr:uid="{13770897-7C2B-46B0-AFBD-1F37D0DA38F8}"/>
    <cellStyle name="Normal 6 2 5 3 2 2" xfId="5320" xr:uid="{37680DD2-1AB4-4EA6-9F48-BF966EB92032}"/>
    <cellStyle name="Normal 6 2 5 3 2 2 2" xfId="11613" xr:uid="{D7E458E5-2F08-4F2B-84DD-24071D0C9930}"/>
    <cellStyle name="Normal 6 2 5 3 2 2 2 2" xfId="24295" xr:uid="{9BB413AE-1158-4122-BDF1-22FDC2F5BC70}"/>
    <cellStyle name="Normal 6 2 5 3 2 2 2 2 2" xfId="49787" xr:uid="{A2AE2C09-2C94-475A-BA5C-DAAC2D6471B0}"/>
    <cellStyle name="Normal 6 2 5 3 2 2 2 3" xfId="37196" xr:uid="{A2B9A48D-060D-49EE-9222-AC5B111A595B}"/>
    <cellStyle name="Normal 6 2 5 3 2 2 3" xfId="18017" xr:uid="{69196775-CCA7-469C-BF87-8279EC4B2B71}"/>
    <cellStyle name="Normal 6 2 5 3 2 2 3 2" xfId="43509" xr:uid="{7E84744E-28DD-4BF0-A26D-784E1454D40D}"/>
    <cellStyle name="Normal 6 2 5 3 2 2 4" xfId="30918" xr:uid="{957EC394-C065-4215-86F0-D16766DE115E}"/>
    <cellStyle name="Normal 6 2 5 3 2 3" xfId="8474" xr:uid="{FE95784B-4FDE-43A8-B85A-0AA99E1EA2C5}"/>
    <cellStyle name="Normal 6 2 5 3 2 3 2" xfId="21156" xr:uid="{FED166B9-FC87-4C69-AD3D-3F2992FEB0BE}"/>
    <cellStyle name="Normal 6 2 5 3 2 3 2 2" xfId="46648" xr:uid="{E889D467-ECE2-43CB-B7FA-5964DFBBBF38}"/>
    <cellStyle name="Normal 6 2 5 3 2 3 3" xfId="34057" xr:uid="{D36C894E-BA17-49D6-9679-39DD7E5EC6A8}"/>
    <cellStyle name="Normal 6 2 5 3 2 4" xfId="14878" xr:uid="{648384ED-AD8C-4415-A48B-64A96C0C73CB}"/>
    <cellStyle name="Normal 6 2 5 3 2 4 2" xfId="40370" xr:uid="{1A4D967E-BD51-4442-96C6-C0730761E5BE}"/>
    <cellStyle name="Normal 6 2 5 3 2 5" xfId="27779" xr:uid="{6CF6E86C-9505-4AA4-A5AC-62E5B1D0955B}"/>
    <cellStyle name="Normal 6 2 5 3 3" xfId="4013" xr:uid="{10CA7BBB-EE23-4EB8-8885-C8F710342830}"/>
    <cellStyle name="Normal 6 2 5 3 3 2" xfId="10306" xr:uid="{19F36618-CB9F-419D-86BD-5B04E1D54D91}"/>
    <cellStyle name="Normal 6 2 5 3 3 2 2" xfId="22988" xr:uid="{ECCBC9E3-2FD2-46AC-8237-E514DCBE672E}"/>
    <cellStyle name="Normal 6 2 5 3 3 2 2 2" xfId="48480" xr:uid="{887E35E5-551A-42C9-A6E9-43E76142C1FE}"/>
    <cellStyle name="Normal 6 2 5 3 3 2 3" xfId="35889" xr:uid="{98ABE49A-2AE2-4EDE-B074-9CDED0EFBBDE}"/>
    <cellStyle name="Normal 6 2 5 3 3 3" xfId="16710" xr:uid="{23840C4E-20FB-400C-BB59-2D7C2E81B712}"/>
    <cellStyle name="Normal 6 2 5 3 3 3 2" xfId="42202" xr:uid="{A6996CE7-92B1-4A62-90BB-E714C98FE6E2}"/>
    <cellStyle name="Normal 6 2 5 3 3 4" xfId="29611" xr:uid="{BA34F3CF-7460-4767-B35E-4B63327CEC23}"/>
    <cellStyle name="Normal 6 2 5 3 4" xfId="7167" xr:uid="{C8585EB0-F7D6-4B54-BE39-355F3E131866}"/>
    <cellStyle name="Normal 6 2 5 3 4 2" xfId="19849" xr:uid="{38E6B335-D0EA-4DBA-9B10-8C9AD14002B2}"/>
    <cellStyle name="Normal 6 2 5 3 4 2 2" xfId="45341" xr:uid="{5B3441AE-496C-44E5-AB44-37C73BDD4862}"/>
    <cellStyle name="Normal 6 2 5 3 4 3" xfId="32750" xr:uid="{47A67452-E9B4-4276-B9FB-7E42A53361B5}"/>
    <cellStyle name="Normal 6 2 5 3 5" xfId="13571" xr:uid="{81CD7767-E8E9-4C51-9414-7D5FF656699A}"/>
    <cellStyle name="Normal 6 2 5 3 5 2" xfId="39063" xr:uid="{5E1DAB9C-42B6-4D0F-9A38-25E91D912808}"/>
    <cellStyle name="Normal 6 2 5 3 6" xfId="26472" xr:uid="{2EE38E83-7FC9-44EF-871F-7FA538EFA070}"/>
    <cellStyle name="Normal 6 2 5 4" xfId="1904" xr:uid="{CF5A0917-50A0-4132-91C3-C0D97E7D1E55}"/>
    <cellStyle name="Normal 6 2 5 4 2" xfId="5058" xr:uid="{8C9FC9BD-C510-4A44-93A5-93255AED1871}"/>
    <cellStyle name="Normal 6 2 5 4 2 2" xfId="11351" xr:uid="{F6A9EF23-C1E3-46DC-BB79-04675BA6A5DB}"/>
    <cellStyle name="Normal 6 2 5 4 2 2 2" xfId="24033" xr:uid="{17C92E6F-AC5E-42BA-9243-9BB6D5D564A0}"/>
    <cellStyle name="Normal 6 2 5 4 2 2 2 2" xfId="49525" xr:uid="{72D905EB-D3B9-41FC-AFBC-F2363C145E2F}"/>
    <cellStyle name="Normal 6 2 5 4 2 2 3" xfId="36934" xr:uid="{B0331BD9-C157-4675-944C-BBCAAA2EB2A4}"/>
    <cellStyle name="Normal 6 2 5 4 2 3" xfId="17755" xr:uid="{738013B6-84F3-4B78-8274-1813E0DDA102}"/>
    <cellStyle name="Normal 6 2 5 4 2 3 2" xfId="43247" xr:uid="{20DC7C8E-5884-40B5-9C06-10818DBFB2AE}"/>
    <cellStyle name="Normal 6 2 5 4 2 4" xfId="30656" xr:uid="{9410C2ED-F1E0-4E65-8960-A82D296B8059}"/>
    <cellStyle name="Normal 6 2 5 4 3" xfId="8212" xr:uid="{B21422FF-6789-451B-B394-A0AB12B73250}"/>
    <cellStyle name="Normal 6 2 5 4 3 2" xfId="20894" xr:uid="{D4D10E99-D48E-463B-842B-8EEAB12ED904}"/>
    <cellStyle name="Normal 6 2 5 4 3 2 2" xfId="46386" xr:uid="{8AB1ABCF-0039-43D5-BC26-E248B5E8233D}"/>
    <cellStyle name="Normal 6 2 5 4 3 3" xfId="33795" xr:uid="{1DC2E8DC-DE7F-4AD6-B1C2-1F6C474D4BD0}"/>
    <cellStyle name="Normal 6 2 5 4 4" xfId="14616" xr:uid="{8648CD04-64DC-41EC-89D9-3A7A6BA7C826}"/>
    <cellStyle name="Normal 6 2 5 4 4 2" xfId="40108" xr:uid="{015B29F7-8700-46C0-A20B-FA70E31F950D}"/>
    <cellStyle name="Normal 6 2 5 4 5" xfId="27517" xr:uid="{EDBA00C4-519E-4F37-8E18-47C2D786FA6D}"/>
    <cellStyle name="Normal 6 2 5 5" xfId="1382" xr:uid="{3187CE11-1D2F-4CFD-B932-75F3829EF70C}"/>
    <cellStyle name="Normal 6 2 5 5 2" xfId="4536" xr:uid="{02CF86B9-C3AE-4719-ADFF-BA446646E621}"/>
    <cellStyle name="Normal 6 2 5 5 2 2" xfId="10829" xr:uid="{FF636BBD-B838-4EF1-99F8-D5FC0CDE07F5}"/>
    <cellStyle name="Normal 6 2 5 5 2 2 2" xfId="23511" xr:uid="{74150676-42A2-46B4-A970-E818517F5347}"/>
    <cellStyle name="Normal 6 2 5 5 2 2 2 2" xfId="49003" xr:uid="{80EB33F5-40A3-4C36-B34D-77903C709710}"/>
    <cellStyle name="Normal 6 2 5 5 2 2 3" xfId="36412" xr:uid="{B49DA761-DD57-4124-A1E8-542A31F2057B}"/>
    <cellStyle name="Normal 6 2 5 5 2 3" xfId="17233" xr:uid="{1061A35E-6775-4773-9482-5F8CECF651E3}"/>
    <cellStyle name="Normal 6 2 5 5 2 3 2" xfId="42725" xr:uid="{B095043A-DCEC-4128-A996-B871A43DB555}"/>
    <cellStyle name="Normal 6 2 5 5 2 4" xfId="30134" xr:uid="{0319A311-8E6A-4184-835A-6E56269671E0}"/>
    <cellStyle name="Normal 6 2 5 5 3" xfId="7690" xr:uid="{1EDEA086-9A90-4923-8B33-F54EEEF84B38}"/>
    <cellStyle name="Normal 6 2 5 5 3 2" xfId="20372" xr:uid="{07AF7DCE-EB45-4D47-BC3F-199421AE2833}"/>
    <cellStyle name="Normal 6 2 5 5 3 2 2" xfId="45864" xr:uid="{5061EDCC-5F48-4014-801E-E83354DACEFA}"/>
    <cellStyle name="Normal 6 2 5 5 3 3" xfId="33273" xr:uid="{0B06AC50-D71B-485E-876D-2695B89C2DFD}"/>
    <cellStyle name="Normal 6 2 5 5 4" xfId="14094" xr:uid="{64993921-F162-4685-8A5F-E6D6A3B2D157}"/>
    <cellStyle name="Normal 6 2 5 5 4 2" xfId="39586" xr:uid="{B4DFA871-90BF-4092-8F16-75F0E7F325E5}"/>
    <cellStyle name="Normal 6 2 5 5 5" xfId="26995" xr:uid="{C65EF5BD-7A8C-43E4-8E04-83EE19BFE094}"/>
    <cellStyle name="Normal 6 2 5 6" xfId="2689" xr:uid="{DE1B63AC-8039-4ABE-9079-483054A51316}"/>
    <cellStyle name="Normal 6 2 5 6 2" xfId="5843" xr:uid="{37809E49-0C7B-4976-94D1-F074A275CADA}"/>
    <cellStyle name="Normal 6 2 5 6 2 2" xfId="12136" xr:uid="{4614D278-24BE-4392-A371-3F36FDD6EC2D}"/>
    <cellStyle name="Normal 6 2 5 6 2 2 2" xfId="24818" xr:uid="{73F04B18-8951-4663-8C89-4D4E35ACAB2D}"/>
    <cellStyle name="Normal 6 2 5 6 2 2 2 2" xfId="50310" xr:uid="{BFCACFD5-D762-411E-A32F-CCD9E5EB4CA0}"/>
    <cellStyle name="Normal 6 2 5 6 2 2 3" xfId="37719" xr:uid="{350A273C-7A56-4F64-AFF6-96CC96BED077}"/>
    <cellStyle name="Normal 6 2 5 6 2 3" xfId="18540" xr:uid="{7AC7CFFC-F88B-478E-A139-7C84437B3C8D}"/>
    <cellStyle name="Normal 6 2 5 6 2 3 2" xfId="44032" xr:uid="{A8CEE710-BDF9-42F5-88EA-939F363E5015}"/>
    <cellStyle name="Normal 6 2 5 6 2 4" xfId="31441" xr:uid="{1D3F9664-E42A-4C7B-BB96-94C7FECD2E70}"/>
    <cellStyle name="Normal 6 2 5 6 3" xfId="8997" xr:uid="{26BD4DEA-2F2E-4038-ACAC-B3DA03E2D5A0}"/>
    <cellStyle name="Normal 6 2 5 6 3 2" xfId="21679" xr:uid="{9278F341-61D6-4108-88A5-CD2D2A7AA10E}"/>
    <cellStyle name="Normal 6 2 5 6 3 2 2" xfId="47171" xr:uid="{A8E0736A-0A11-47CD-AB2E-1C91D958EB13}"/>
    <cellStyle name="Normal 6 2 5 6 3 3" xfId="34580" xr:uid="{837A30FD-D25A-4245-8151-D9CA56CE0EFD}"/>
    <cellStyle name="Normal 6 2 5 6 4" xfId="15401" xr:uid="{28C6C727-7A88-4ACE-A27F-2872B94DFE1C}"/>
    <cellStyle name="Normal 6 2 5 6 4 2" xfId="40893" xr:uid="{DC866BE5-7D6B-4B1B-8730-A72C0B1D327B}"/>
    <cellStyle name="Normal 6 2 5 6 5" xfId="28302" xr:uid="{EBDD5B93-0DAC-41B4-92C0-72323A8EB733}"/>
    <cellStyle name="Normal 6 2 5 7" xfId="3212" xr:uid="{8A4749AD-3D1D-4543-B0BC-685133AF8D75}"/>
    <cellStyle name="Normal 6 2 5 7 2" xfId="6366" xr:uid="{C29B0CEB-0992-4784-948D-391547719DD0}"/>
    <cellStyle name="Normal 6 2 5 7 2 2" xfId="12659" xr:uid="{7FC3D1B9-8D2B-4107-BE22-5B788129CBD0}"/>
    <cellStyle name="Normal 6 2 5 7 2 2 2" xfId="25341" xr:uid="{60997C80-1E8B-4129-B54F-C61A11FCF0CB}"/>
    <cellStyle name="Normal 6 2 5 7 2 2 2 2" xfId="50833" xr:uid="{9045F9B9-5C4C-4044-BA85-8C9C3E1E45B4}"/>
    <cellStyle name="Normal 6 2 5 7 2 2 3" xfId="38242" xr:uid="{06E2335E-ED64-4F91-BF8F-86FCF55E85E2}"/>
    <cellStyle name="Normal 6 2 5 7 2 3" xfId="19063" xr:uid="{2E41D101-A0A3-4B94-A147-5F338C28C6F9}"/>
    <cellStyle name="Normal 6 2 5 7 2 3 2" xfId="44555" xr:uid="{34937BDE-03AD-4165-9872-D5A47D5CE2A6}"/>
    <cellStyle name="Normal 6 2 5 7 2 4" xfId="31964" xr:uid="{90E82AAB-5037-4667-A26B-29DEFD4565E0}"/>
    <cellStyle name="Normal 6 2 5 7 3" xfId="9520" xr:uid="{3991A937-92E7-4790-8DE7-ECB84BC61F80}"/>
    <cellStyle name="Normal 6 2 5 7 3 2" xfId="22202" xr:uid="{0234BE43-7D76-4DBA-A1DF-1AF747EF1D27}"/>
    <cellStyle name="Normal 6 2 5 7 3 2 2" xfId="47694" xr:uid="{ED370E6B-07E0-4E9E-AD9D-8D90AC7D0DB6}"/>
    <cellStyle name="Normal 6 2 5 7 3 3" xfId="35103" xr:uid="{ABEE6F1B-8BEA-4966-883D-1BFE5CC39C15}"/>
    <cellStyle name="Normal 6 2 5 7 4" xfId="15924" xr:uid="{3CE3CA98-E1E2-4EC8-AB8B-571775B92257}"/>
    <cellStyle name="Normal 6 2 5 7 4 2" xfId="41416" xr:uid="{851AC4B4-EA1F-48A8-9237-ADB8E938A566}"/>
    <cellStyle name="Normal 6 2 5 7 5" xfId="28825" xr:uid="{30D774A6-7CE9-4ABC-B2BF-01085D4C74E9}"/>
    <cellStyle name="Normal 6 2 5 8" xfId="3751" xr:uid="{817BBA39-31DB-4291-8D7C-69A77DA12CBB}"/>
    <cellStyle name="Normal 6 2 5 8 2" xfId="10044" xr:uid="{8F3255FB-A99D-4FD6-BC89-3BB23972FA75}"/>
    <cellStyle name="Normal 6 2 5 8 2 2" xfId="22726" xr:uid="{88038483-AC9C-4F49-8837-E0A25336F4A7}"/>
    <cellStyle name="Normal 6 2 5 8 2 2 2" xfId="48218" xr:uid="{0119CF5D-91CE-4646-890B-5AD3814360C0}"/>
    <cellStyle name="Normal 6 2 5 8 2 3" xfId="35627" xr:uid="{39E065EC-DE37-47F3-980C-1F756E370C07}"/>
    <cellStyle name="Normal 6 2 5 8 3" xfId="16448" xr:uid="{B76AB2F9-AF20-4D38-BC1C-84770B3673F5}"/>
    <cellStyle name="Normal 6 2 5 8 3 2" xfId="41940" xr:uid="{2B776C27-A4A5-461B-A04A-DB7D8C801EEB}"/>
    <cellStyle name="Normal 6 2 5 8 4" xfId="29349" xr:uid="{17311234-BB90-4E4E-A762-13D9003CE90F}"/>
    <cellStyle name="Normal 6 2 5 9" xfId="6905" xr:uid="{F8573E7D-E1FB-4D74-89BA-61CF6E73D191}"/>
    <cellStyle name="Normal 6 2 5 9 2" xfId="19587" xr:uid="{682AFE51-E2DE-4768-BF1B-41468F755296}"/>
    <cellStyle name="Normal 6 2 5 9 2 2" xfId="45079" xr:uid="{D14C66FB-539F-43D8-8685-C726300BDA82}"/>
    <cellStyle name="Normal 6 2 5 9 3" xfId="32488" xr:uid="{C95A8D09-C7CD-448F-85F7-8503F0C5CBE6}"/>
    <cellStyle name="Normal 6 2 6" xfId="524" xr:uid="{5CB5064D-E7EF-4D15-A9CC-D0D5236C5C06}"/>
    <cellStyle name="Normal 6 2 6 10" xfId="13251" xr:uid="{9C0358D7-7958-4FDF-8C9F-FB249FEA719C}"/>
    <cellStyle name="Normal 6 2 6 10 2" xfId="38743" xr:uid="{83544474-29A3-434C-B60A-5486946D9614}"/>
    <cellStyle name="Normal 6 2 6 11" xfId="26152" xr:uid="{A40CE9E0-1078-42FE-92E5-4E4B4AAB337A}"/>
    <cellStyle name="Normal 6 2 6 2" xfId="1061" xr:uid="{EB94EC48-077A-42A6-96EC-E38E554C3968}"/>
    <cellStyle name="Normal 6 2 6 2 2" xfId="2368" xr:uid="{EDE046FE-E306-430D-8DCB-04C0BA77EFB2}"/>
    <cellStyle name="Normal 6 2 6 2 2 2" xfId="5522" xr:uid="{724B40C6-484F-4A38-B61C-B9F294150BFB}"/>
    <cellStyle name="Normal 6 2 6 2 2 2 2" xfId="11815" xr:uid="{4044FC51-C09F-401D-A8B0-F3BFBE6F0ABE}"/>
    <cellStyle name="Normal 6 2 6 2 2 2 2 2" xfId="24497" xr:uid="{D854FB2E-95AC-4BD5-B27B-58997FB05DBB}"/>
    <cellStyle name="Normal 6 2 6 2 2 2 2 2 2" xfId="49989" xr:uid="{BBC6BA57-3E6F-4739-B9D3-365E804FB309}"/>
    <cellStyle name="Normal 6 2 6 2 2 2 2 3" xfId="37398" xr:uid="{9803FB2F-FAA0-4E9B-81B0-FE2D9F6D737F}"/>
    <cellStyle name="Normal 6 2 6 2 2 2 3" xfId="18219" xr:uid="{D6657CE1-68CF-4A95-AAD4-3387019B2CA9}"/>
    <cellStyle name="Normal 6 2 6 2 2 2 3 2" xfId="43711" xr:uid="{B5FBE4F7-FC27-4935-9850-FC6248DB2FB3}"/>
    <cellStyle name="Normal 6 2 6 2 2 2 4" xfId="31120" xr:uid="{D1EBF338-BE16-4DB5-A180-E76DA0D75991}"/>
    <cellStyle name="Normal 6 2 6 2 2 3" xfId="8676" xr:uid="{4F412FB1-2116-45BD-A003-B20F65854687}"/>
    <cellStyle name="Normal 6 2 6 2 2 3 2" xfId="21358" xr:uid="{E6422FDE-6D8D-460F-B2F0-6CB91F336C97}"/>
    <cellStyle name="Normal 6 2 6 2 2 3 2 2" xfId="46850" xr:uid="{D5D92B42-4567-48F0-9D1A-B43D3F0BB2E5}"/>
    <cellStyle name="Normal 6 2 6 2 2 3 3" xfId="34259" xr:uid="{09B38104-6915-4A5D-A553-37944B40D347}"/>
    <cellStyle name="Normal 6 2 6 2 2 4" xfId="15080" xr:uid="{F00C6DBA-581C-4E24-8F33-0DA7BA164EEE}"/>
    <cellStyle name="Normal 6 2 6 2 2 4 2" xfId="40572" xr:uid="{9E3B9056-EE4C-4E20-BC88-714126813CEB}"/>
    <cellStyle name="Normal 6 2 6 2 2 5" xfId="27981" xr:uid="{E0DA5376-8815-4D27-A740-CED4BADDFD3C}"/>
    <cellStyle name="Normal 6 2 6 2 3" xfId="1585" xr:uid="{6C838693-79A6-4FC0-99EF-8CD3D4BA2C9F}"/>
    <cellStyle name="Normal 6 2 6 2 3 2" xfId="4739" xr:uid="{560DD4A5-430E-45D2-A0D4-CEB326EDE564}"/>
    <cellStyle name="Normal 6 2 6 2 3 2 2" xfId="11032" xr:uid="{B31F1BE1-FA8D-42B4-A006-15F5471FD98B}"/>
    <cellStyle name="Normal 6 2 6 2 3 2 2 2" xfId="23714" xr:uid="{7B2E942B-BCED-45B6-B3CE-755215DD2DA1}"/>
    <cellStyle name="Normal 6 2 6 2 3 2 2 2 2" xfId="49206" xr:uid="{F04E94F6-1692-4075-B35F-22C042A852D7}"/>
    <cellStyle name="Normal 6 2 6 2 3 2 2 3" xfId="36615" xr:uid="{A53CAA30-2173-4306-A858-5A9C3C66A441}"/>
    <cellStyle name="Normal 6 2 6 2 3 2 3" xfId="17436" xr:uid="{BBE26E7C-C5A0-4875-B900-9DAEB6B09699}"/>
    <cellStyle name="Normal 6 2 6 2 3 2 3 2" xfId="42928" xr:uid="{7D4B0332-2405-47FF-A171-C52D2DB87438}"/>
    <cellStyle name="Normal 6 2 6 2 3 2 4" xfId="30337" xr:uid="{5166E257-80C7-46FE-A7F8-A1A7C42AF5D7}"/>
    <cellStyle name="Normal 6 2 6 2 3 3" xfId="7893" xr:uid="{E91C9648-6807-469D-AEF7-C21EDC2AFE3A}"/>
    <cellStyle name="Normal 6 2 6 2 3 3 2" xfId="20575" xr:uid="{456D287C-4ED0-4FB9-84AB-CBF45A8C6D25}"/>
    <cellStyle name="Normal 6 2 6 2 3 3 2 2" xfId="46067" xr:uid="{88AE5332-5604-423D-A051-9C488CF29944}"/>
    <cellStyle name="Normal 6 2 6 2 3 3 3" xfId="33476" xr:uid="{C2858C11-C49A-4E83-87BA-3B336B525DFE}"/>
    <cellStyle name="Normal 6 2 6 2 3 4" xfId="14297" xr:uid="{0AA213DB-A8A3-4CBE-B5F4-326B314DE9C9}"/>
    <cellStyle name="Normal 6 2 6 2 3 4 2" xfId="39789" xr:uid="{C7B50E67-A3E6-4322-9A2B-3A063FC5C299}"/>
    <cellStyle name="Normal 6 2 6 2 3 5" xfId="27198" xr:uid="{2D8A60FC-D0DB-4090-A30D-59E6A3AFA9FC}"/>
    <cellStyle name="Normal 6 2 6 2 4" xfId="2892" xr:uid="{F2CB0BB6-5886-491A-BF27-19FEC2880E9D}"/>
    <cellStyle name="Normal 6 2 6 2 4 2" xfId="6046" xr:uid="{8A17CCE5-6F06-4165-A9C3-E003284940BC}"/>
    <cellStyle name="Normal 6 2 6 2 4 2 2" xfId="12339" xr:uid="{ED0AE6FD-CA67-40DE-B563-535EDE3D1021}"/>
    <cellStyle name="Normal 6 2 6 2 4 2 2 2" xfId="25021" xr:uid="{43B66900-14F3-4D45-8561-91E589B4DD93}"/>
    <cellStyle name="Normal 6 2 6 2 4 2 2 2 2" xfId="50513" xr:uid="{0835053A-9728-459E-9D7B-142B321A81BF}"/>
    <cellStyle name="Normal 6 2 6 2 4 2 2 3" xfId="37922" xr:uid="{0E2F6F33-2566-458F-A1E9-3DA1DDC66337}"/>
    <cellStyle name="Normal 6 2 6 2 4 2 3" xfId="18743" xr:uid="{A57905D4-0292-44D3-8563-2B06187D83B9}"/>
    <cellStyle name="Normal 6 2 6 2 4 2 3 2" xfId="44235" xr:uid="{572789BB-355B-46DD-8E03-FE915F1DD4E0}"/>
    <cellStyle name="Normal 6 2 6 2 4 2 4" xfId="31644" xr:uid="{1A49239C-325E-4443-A3A1-9E17E2B39C33}"/>
    <cellStyle name="Normal 6 2 6 2 4 3" xfId="9200" xr:uid="{67EB1C86-0353-4A62-A1FA-2A7E7DAD18AF}"/>
    <cellStyle name="Normal 6 2 6 2 4 3 2" xfId="21882" xr:uid="{D4F3A46F-AA38-4726-B972-FABFB4F760FF}"/>
    <cellStyle name="Normal 6 2 6 2 4 3 2 2" xfId="47374" xr:uid="{7AE91B0D-6D88-450A-BA26-778B497CD375}"/>
    <cellStyle name="Normal 6 2 6 2 4 3 3" xfId="34783" xr:uid="{8A858DFA-6DF9-464A-A522-EB0E4963BEB8}"/>
    <cellStyle name="Normal 6 2 6 2 4 4" xfId="15604" xr:uid="{D182E8C5-2D4C-4E74-AFBA-982EC0FF9078}"/>
    <cellStyle name="Normal 6 2 6 2 4 4 2" xfId="41096" xr:uid="{7744593E-B560-44ED-A86F-5551AB0D53F9}"/>
    <cellStyle name="Normal 6 2 6 2 4 5" xfId="28505" xr:uid="{E02DDC32-895F-4BF8-8350-5E702A2115CB}"/>
    <cellStyle name="Normal 6 2 6 2 5" xfId="3415" xr:uid="{CCBE7951-6DEE-4339-8B2D-0B82EA56B084}"/>
    <cellStyle name="Normal 6 2 6 2 5 2" xfId="6569" xr:uid="{D0613748-D316-4075-B88E-37E9047E2CAA}"/>
    <cellStyle name="Normal 6 2 6 2 5 2 2" xfId="12862" xr:uid="{15338A06-6466-48DC-9EDB-CDAE1804C5B5}"/>
    <cellStyle name="Normal 6 2 6 2 5 2 2 2" xfId="25544" xr:uid="{D44C5112-D237-490C-A47D-583E5F3DD7A1}"/>
    <cellStyle name="Normal 6 2 6 2 5 2 2 2 2" xfId="51036" xr:uid="{09237D68-28C1-4ED1-BE2E-C7F09C5BB618}"/>
    <cellStyle name="Normal 6 2 6 2 5 2 2 3" xfId="38445" xr:uid="{4CA03CAB-49DC-4D4F-A6E5-C976F650BDB0}"/>
    <cellStyle name="Normal 6 2 6 2 5 2 3" xfId="19266" xr:uid="{EE4FF4A6-2CC5-4380-B926-EDEE77C070F8}"/>
    <cellStyle name="Normal 6 2 6 2 5 2 3 2" xfId="44758" xr:uid="{F783B94E-D9AA-4261-B970-D6D3739E4C5E}"/>
    <cellStyle name="Normal 6 2 6 2 5 2 4" xfId="32167" xr:uid="{87EE0EDC-97FB-4AC7-8A12-C227207CCDD4}"/>
    <cellStyle name="Normal 6 2 6 2 5 3" xfId="9723" xr:uid="{99128F9F-42BB-4CC3-A98B-61609341ECEA}"/>
    <cellStyle name="Normal 6 2 6 2 5 3 2" xfId="22405" xr:uid="{720D8020-8B2D-47AB-B439-6342269542BA}"/>
    <cellStyle name="Normal 6 2 6 2 5 3 2 2" xfId="47897" xr:uid="{A10B73BF-E0C7-4189-9B6F-D95F697118DA}"/>
    <cellStyle name="Normal 6 2 6 2 5 3 3" xfId="35306" xr:uid="{7E162EEA-BF66-429E-91F0-49CC0DAE1126}"/>
    <cellStyle name="Normal 6 2 6 2 5 4" xfId="16127" xr:uid="{42AA198D-EC8E-4186-BBCA-183AC0E9891D}"/>
    <cellStyle name="Normal 6 2 6 2 5 4 2" xfId="41619" xr:uid="{2D1B5755-3CF3-4145-BF3F-7BACE7395C0F}"/>
    <cellStyle name="Normal 6 2 6 2 5 5" xfId="29028" xr:uid="{0C7D0202-75BF-4EAC-8F14-56DDD94B6A93}"/>
    <cellStyle name="Normal 6 2 6 2 6" xfId="4215" xr:uid="{6540FE71-2C6A-46BD-9799-90311CF53380}"/>
    <cellStyle name="Normal 6 2 6 2 6 2" xfId="10508" xr:uid="{01326268-C0B7-4421-9B2F-D8801F2CC56C}"/>
    <cellStyle name="Normal 6 2 6 2 6 2 2" xfId="23190" xr:uid="{D8A4602A-7A42-4F1F-8890-3F1723ECAF1F}"/>
    <cellStyle name="Normal 6 2 6 2 6 2 2 2" xfId="48682" xr:uid="{BC62998F-EFD5-42DA-B7CD-D0124041E6C6}"/>
    <cellStyle name="Normal 6 2 6 2 6 2 3" xfId="36091" xr:uid="{C7D05AFF-DE23-4701-BC32-2BAE410CB566}"/>
    <cellStyle name="Normal 6 2 6 2 6 3" xfId="16912" xr:uid="{DDDE843A-A0D3-4063-9E2D-F747C06D0F38}"/>
    <cellStyle name="Normal 6 2 6 2 6 3 2" xfId="42404" xr:uid="{142237D8-38F7-45DE-A81C-3FDB2D07C038}"/>
    <cellStyle name="Normal 6 2 6 2 6 4" xfId="29813" xr:uid="{DC905864-7D97-4239-97FA-40F1159B036E}"/>
    <cellStyle name="Normal 6 2 6 2 7" xfId="7369" xr:uid="{A992F3B8-2258-49FC-98D5-8A35F3096AAB}"/>
    <cellStyle name="Normal 6 2 6 2 7 2" xfId="20051" xr:uid="{C9CE8C33-BED4-49B2-AFB2-54A9F586E7D1}"/>
    <cellStyle name="Normal 6 2 6 2 7 2 2" xfId="45543" xr:uid="{AD3A5F53-16C3-4436-8864-D2BFF257B512}"/>
    <cellStyle name="Normal 6 2 6 2 7 3" xfId="32952" xr:uid="{48AAE678-57D8-4F44-BFE7-A69A02EC243B}"/>
    <cellStyle name="Normal 6 2 6 2 8" xfId="13773" xr:uid="{3E211152-FF15-4466-9C5A-8F0605A30D4C}"/>
    <cellStyle name="Normal 6 2 6 2 8 2" xfId="39265" xr:uid="{15A24CC5-6B22-42E9-BC17-137C4B368E2F}"/>
    <cellStyle name="Normal 6 2 6 2 9" xfId="26674" xr:uid="{B3CDE59C-5646-437F-A4FC-5EB0BB659AA9}"/>
    <cellStyle name="Normal 6 2 6 3" xfId="801" xr:uid="{7BD5AB85-C354-4FBD-AA66-0A108588CE13}"/>
    <cellStyle name="Normal 6 2 6 3 2" xfId="2108" xr:uid="{7EA35A2D-67A6-4DE6-A2F1-3742A61022E7}"/>
    <cellStyle name="Normal 6 2 6 3 2 2" xfId="5262" xr:uid="{B249A67D-3262-4022-A406-696AD0E01D65}"/>
    <cellStyle name="Normal 6 2 6 3 2 2 2" xfId="11555" xr:uid="{9D6375B9-6690-4E74-B0DA-E0E599EB5133}"/>
    <cellStyle name="Normal 6 2 6 3 2 2 2 2" xfId="24237" xr:uid="{850C5E43-8557-4B7B-BB60-D873EDF55B3A}"/>
    <cellStyle name="Normal 6 2 6 3 2 2 2 2 2" xfId="49729" xr:uid="{FEDC67FE-E5FB-4987-85DD-88A5E75562B5}"/>
    <cellStyle name="Normal 6 2 6 3 2 2 2 3" xfId="37138" xr:uid="{7C6CA62D-94DE-498D-8227-829D6F6FDC74}"/>
    <cellStyle name="Normal 6 2 6 3 2 2 3" xfId="17959" xr:uid="{911D4CAB-26FF-4464-A67B-1E4749EB5C5F}"/>
    <cellStyle name="Normal 6 2 6 3 2 2 3 2" xfId="43451" xr:uid="{B4A35D0B-E19D-483E-915B-52D39C788B56}"/>
    <cellStyle name="Normal 6 2 6 3 2 2 4" xfId="30860" xr:uid="{3CAD5494-DB40-4644-909A-F25E645AF2EB}"/>
    <cellStyle name="Normal 6 2 6 3 2 3" xfId="8416" xr:uid="{700A971B-6514-4966-A79F-316A606A2F6A}"/>
    <cellStyle name="Normal 6 2 6 3 2 3 2" xfId="21098" xr:uid="{33C32A6A-3239-4F6A-888B-4732C32672E0}"/>
    <cellStyle name="Normal 6 2 6 3 2 3 2 2" xfId="46590" xr:uid="{B31AD28E-3A05-44EC-8465-16827BF7D407}"/>
    <cellStyle name="Normal 6 2 6 3 2 3 3" xfId="33999" xr:uid="{61295EDA-2ED2-477E-8D77-8214551BFD63}"/>
    <cellStyle name="Normal 6 2 6 3 2 4" xfId="14820" xr:uid="{8F7BE46F-CFA3-45CF-9EDC-D87F38AF5A3F}"/>
    <cellStyle name="Normal 6 2 6 3 2 4 2" xfId="40312" xr:uid="{A7AB27C1-3CD9-4A1B-B047-CA716F477733}"/>
    <cellStyle name="Normal 6 2 6 3 2 5" xfId="27721" xr:uid="{10B0D0B8-EE23-4153-AF4C-AF049B892BE5}"/>
    <cellStyle name="Normal 6 2 6 3 3" xfId="3955" xr:uid="{F629C8BE-94DF-40A4-8495-907BAD9FD8F0}"/>
    <cellStyle name="Normal 6 2 6 3 3 2" xfId="10248" xr:uid="{924DD4C2-C8DD-42D4-918F-3EA1FD211904}"/>
    <cellStyle name="Normal 6 2 6 3 3 2 2" xfId="22930" xr:uid="{59464B03-E74E-4497-B56F-06536DC4704F}"/>
    <cellStyle name="Normal 6 2 6 3 3 2 2 2" xfId="48422" xr:uid="{A45A6C4A-82C3-4D0F-ACD2-9BFEDD7F070C}"/>
    <cellStyle name="Normal 6 2 6 3 3 2 3" xfId="35831" xr:uid="{80DFBA67-28A4-4062-8CFA-F1DF605B52A1}"/>
    <cellStyle name="Normal 6 2 6 3 3 3" xfId="16652" xr:uid="{C8222BFF-680E-4B4E-B5E5-A3341F15B95F}"/>
    <cellStyle name="Normal 6 2 6 3 3 3 2" xfId="42144" xr:uid="{9DD3791B-B431-436C-88CE-08A44768493F}"/>
    <cellStyle name="Normal 6 2 6 3 3 4" xfId="29553" xr:uid="{F290ACF2-223A-4215-B259-7BDA95DA3A4F}"/>
    <cellStyle name="Normal 6 2 6 3 4" xfId="7109" xr:uid="{29686D08-B52F-4A56-BBBC-E9AE15F363CF}"/>
    <cellStyle name="Normal 6 2 6 3 4 2" xfId="19791" xr:uid="{A008A540-1A36-4D06-AB42-947947E7E3D5}"/>
    <cellStyle name="Normal 6 2 6 3 4 2 2" xfId="45283" xr:uid="{2D563CF0-2B82-4036-BCB6-AFC60EED7CDE}"/>
    <cellStyle name="Normal 6 2 6 3 4 3" xfId="32692" xr:uid="{DE2280AA-2323-4D7D-8872-8D3316FD679F}"/>
    <cellStyle name="Normal 6 2 6 3 5" xfId="13513" xr:uid="{FC894A97-B057-4982-820B-21674C0D738F}"/>
    <cellStyle name="Normal 6 2 6 3 5 2" xfId="39005" xr:uid="{93FD0EC6-290C-41E0-878E-F54893443E9A}"/>
    <cellStyle name="Normal 6 2 6 3 6" xfId="26414" xr:uid="{5BAA187F-8C87-4A44-BE66-8542D946C7D6}"/>
    <cellStyle name="Normal 6 2 6 4" xfId="1846" xr:uid="{01253E0B-397D-46F7-8891-D10E22A596A9}"/>
    <cellStyle name="Normal 6 2 6 4 2" xfId="5000" xr:uid="{FB797FEC-1A51-4793-B3BE-539011A041BB}"/>
    <cellStyle name="Normal 6 2 6 4 2 2" xfId="11293" xr:uid="{EEF499B2-0179-4C35-B84F-C4BB43A57441}"/>
    <cellStyle name="Normal 6 2 6 4 2 2 2" xfId="23975" xr:uid="{B6ED080D-8189-4417-9C57-A70B8F7A5704}"/>
    <cellStyle name="Normal 6 2 6 4 2 2 2 2" xfId="49467" xr:uid="{D1744A1F-B328-4C63-B594-D7E30D09E006}"/>
    <cellStyle name="Normal 6 2 6 4 2 2 3" xfId="36876" xr:uid="{C737BC2B-0824-4AE6-83A3-66886C2DCB9C}"/>
    <cellStyle name="Normal 6 2 6 4 2 3" xfId="17697" xr:uid="{78E1E849-BB43-4C30-A158-176E419DC2E6}"/>
    <cellStyle name="Normal 6 2 6 4 2 3 2" xfId="43189" xr:uid="{EBDFC5D1-9492-4F7D-981F-5CAB9AA3BEB8}"/>
    <cellStyle name="Normal 6 2 6 4 2 4" xfId="30598" xr:uid="{EBEC9073-E41C-4BF7-834A-64CB636E5A93}"/>
    <cellStyle name="Normal 6 2 6 4 3" xfId="8154" xr:uid="{67CDB99E-3426-4F4A-9025-70E2BBAA8670}"/>
    <cellStyle name="Normal 6 2 6 4 3 2" xfId="20836" xr:uid="{D495C29A-C12A-4067-9F43-0ECD465D2F84}"/>
    <cellStyle name="Normal 6 2 6 4 3 2 2" xfId="46328" xr:uid="{4F4E1BF9-3FB3-4DA0-ACCD-A02B5B747D2F}"/>
    <cellStyle name="Normal 6 2 6 4 3 3" xfId="33737" xr:uid="{DE8F5BE8-56DB-4B4A-97EA-48344FE9AB94}"/>
    <cellStyle name="Normal 6 2 6 4 4" xfId="14558" xr:uid="{515E0B9E-C3CD-4210-9008-9EF4498DC7A9}"/>
    <cellStyle name="Normal 6 2 6 4 4 2" xfId="40050" xr:uid="{93756F7A-465A-4793-BDFC-67AA8EC82DEE}"/>
    <cellStyle name="Normal 6 2 6 4 5" xfId="27459" xr:uid="{351F79AE-0A56-4F75-9A7B-AC11193C4965}"/>
    <cellStyle name="Normal 6 2 6 5" xfId="1324" xr:uid="{B69D144E-E117-42EE-A433-332F8386308E}"/>
    <cellStyle name="Normal 6 2 6 5 2" xfId="4478" xr:uid="{3A9D6024-2621-4D14-806C-0B2B473647F3}"/>
    <cellStyle name="Normal 6 2 6 5 2 2" xfId="10771" xr:uid="{65F13F06-3495-4807-A812-1EA10CE8E275}"/>
    <cellStyle name="Normal 6 2 6 5 2 2 2" xfId="23453" xr:uid="{F4DF3F87-D38B-42E5-8668-D71D16939219}"/>
    <cellStyle name="Normal 6 2 6 5 2 2 2 2" xfId="48945" xr:uid="{33055BF4-AF2A-46FD-B5E7-99D9CE951A1E}"/>
    <cellStyle name="Normal 6 2 6 5 2 2 3" xfId="36354" xr:uid="{D886D91E-9002-444D-82B6-C72DC46D70CE}"/>
    <cellStyle name="Normal 6 2 6 5 2 3" xfId="17175" xr:uid="{DBF1FBF4-8AE5-4682-A7E6-CE019FC91DAE}"/>
    <cellStyle name="Normal 6 2 6 5 2 3 2" xfId="42667" xr:uid="{3316E0F5-5A9E-4704-A8FE-3357EB438BE2}"/>
    <cellStyle name="Normal 6 2 6 5 2 4" xfId="30076" xr:uid="{2FD82D40-B27F-4F27-8A6E-09B4E4EFBDD2}"/>
    <cellStyle name="Normal 6 2 6 5 3" xfId="7632" xr:uid="{D7A1644E-21C7-4403-9B4D-365500B98EFD}"/>
    <cellStyle name="Normal 6 2 6 5 3 2" xfId="20314" xr:uid="{C7B958BF-2AB7-4ED9-9CA4-BF0D504770B1}"/>
    <cellStyle name="Normal 6 2 6 5 3 2 2" xfId="45806" xr:uid="{AE3F49F4-FA60-4388-86BB-320353343D2D}"/>
    <cellStyle name="Normal 6 2 6 5 3 3" xfId="33215" xr:uid="{392AA00E-5DA4-4BA4-9248-1D991EEEB3FD}"/>
    <cellStyle name="Normal 6 2 6 5 4" xfId="14036" xr:uid="{069F71B7-67D7-4F5C-A3A5-944656C98647}"/>
    <cellStyle name="Normal 6 2 6 5 4 2" xfId="39528" xr:uid="{58B3D52A-EDB5-4802-A5EE-FE4FD6D49F59}"/>
    <cellStyle name="Normal 6 2 6 5 5" xfId="26937" xr:uid="{BD4DE232-3503-4D3F-8E80-11CA930610F0}"/>
    <cellStyle name="Normal 6 2 6 6" xfId="2631" xr:uid="{D47FC01A-0AB6-4C4C-B0B9-BF860872D2BD}"/>
    <cellStyle name="Normal 6 2 6 6 2" xfId="5785" xr:uid="{596FC1B0-AAB3-43D1-B4D9-5E785C260342}"/>
    <cellStyle name="Normal 6 2 6 6 2 2" xfId="12078" xr:uid="{082631CB-D630-445A-B5B3-3F78927DD9EF}"/>
    <cellStyle name="Normal 6 2 6 6 2 2 2" xfId="24760" xr:uid="{6677077D-05A0-449F-AEF3-726C77611EE5}"/>
    <cellStyle name="Normal 6 2 6 6 2 2 2 2" xfId="50252" xr:uid="{25D4C8AB-6D63-4EDE-A2DD-141E7C9AB2BA}"/>
    <cellStyle name="Normal 6 2 6 6 2 2 3" xfId="37661" xr:uid="{4CB3BD8C-97DD-46F0-8057-627DD7CCAA81}"/>
    <cellStyle name="Normal 6 2 6 6 2 3" xfId="18482" xr:uid="{AAF0F3CD-C3D7-4DDD-B840-6DDD0BA8FFA7}"/>
    <cellStyle name="Normal 6 2 6 6 2 3 2" xfId="43974" xr:uid="{33845C2E-39DF-4575-8D31-93AB6368FDA8}"/>
    <cellStyle name="Normal 6 2 6 6 2 4" xfId="31383" xr:uid="{21ABB407-F029-4710-B22F-3C6071E7D7AC}"/>
    <cellStyle name="Normal 6 2 6 6 3" xfId="8939" xr:uid="{04C690D7-74F1-4C74-BD26-804830CFABA1}"/>
    <cellStyle name="Normal 6 2 6 6 3 2" xfId="21621" xr:uid="{6C0D88B4-4165-47CD-800E-D6EF79CAC292}"/>
    <cellStyle name="Normal 6 2 6 6 3 2 2" xfId="47113" xr:uid="{0F18644C-7208-4C7E-87DD-84A49F14B74D}"/>
    <cellStyle name="Normal 6 2 6 6 3 3" xfId="34522" xr:uid="{80D558C8-4E7E-4C7A-8399-2AB1DA301A82}"/>
    <cellStyle name="Normal 6 2 6 6 4" xfId="15343" xr:uid="{85D83245-478C-4029-B810-A0804DC0617A}"/>
    <cellStyle name="Normal 6 2 6 6 4 2" xfId="40835" xr:uid="{5F089A94-2BD0-406F-8444-4941EDD4AC7D}"/>
    <cellStyle name="Normal 6 2 6 6 5" xfId="28244" xr:uid="{3F4654AF-1EA7-4DE6-9F7A-99587888DDA5}"/>
    <cellStyle name="Normal 6 2 6 7" xfId="3154" xr:uid="{3D62C882-5A4A-49B3-932F-331FD526A2E3}"/>
    <cellStyle name="Normal 6 2 6 7 2" xfId="6308" xr:uid="{1D6CC3B5-F842-4769-9B08-A6FF69326731}"/>
    <cellStyle name="Normal 6 2 6 7 2 2" xfId="12601" xr:uid="{D9F4631C-3080-462F-8549-16D7167D1DAC}"/>
    <cellStyle name="Normal 6 2 6 7 2 2 2" xfId="25283" xr:uid="{20A1ED35-B2C7-4112-BEAD-DBAF7FEE0662}"/>
    <cellStyle name="Normal 6 2 6 7 2 2 2 2" xfId="50775" xr:uid="{B41A1BBA-A0AB-43A4-A8B4-DA2F634A5080}"/>
    <cellStyle name="Normal 6 2 6 7 2 2 3" xfId="38184" xr:uid="{C6AA6AD5-28B2-4646-B56E-F478910CED46}"/>
    <cellStyle name="Normal 6 2 6 7 2 3" xfId="19005" xr:uid="{11539E60-0937-429A-B15A-C308978EFBCF}"/>
    <cellStyle name="Normal 6 2 6 7 2 3 2" xfId="44497" xr:uid="{C41BAC3F-0027-4F5C-BA9D-39E6A9E09BB9}"/>
    <cellStyle name="Normal 6 2 6 7 2 4" xfId="31906" xr:uid="{4498A6CC-77BE-467B-99EB-725A38AEF56B}"/>
    <cellStyle name="Normal 6 2 6 7 3" xfId="9462" xr:uid="{9FB0C17D-81C5-488A-8050-A1AAC0FCC757}"/>
    <cellStyle name="Normal 6 2 6 7 3 2" xfId="22144" xr:uid="{3AE9E373-06C3-4C62-98D4-042C48DB81FE}"/>
    <cellStyle name="Normal 6 2 6 7 3 2 2" xfId="47636" xr:uid="{50EDAA11-1CF2-4A93-98AB-42F91173F1EE}"/>
    <cellStyle name="Normal 6 2 6 7 3 3" xfId="35045" xr:uid="{2537898E-1E18-4ACF-9156-FDEDAE7EA1BD}"/>
    <cellStyle name="Normal 6 2 6 7 4" xfId="15866" xr:uid="{55B1F9B2-8046-42F5-879C-0C8359DDC0FA}"/>
    <cellStyle name="Normal 6 2 6 7 4 2" xfId="41358" xr:uid="{A8D2188E-F43B-454C-8CE9-47F69793B654}"/>
    <cellStyle name="Normal 6 2 6 7 5" xfId="28767" xr:uid="{865B4E46-6A99-4EEB-9339-ABD4AF5D2668}"/>
    <cellStyle name="Normal 6 2 6 8" xfId="3693" xr:uid="{13637C19-FFD1-4E96-9C0C-C25CFE6A6777}"/>
    <cellStyle name="Normal 6 2 6 8 2" xfId="9986" xr:uid="{5ED8E456-C1B1-4BF6-80CA-2E767760DA36}"/>
    <cellStyle name="Normal 6 2 6 8 2 2" xfId="22668" xr:uid="{285C3861-E4A7-4DA8-8F4A-47089E5BCC48}"/>
    <cellStyle name="Normal 6 2 6 8 2 2 2" xfId="48160" xr:uid="{E168A3F3-5E5E-4F04-8954-043D34023BDE}"/>
    <cellStyle name="Normal 6 2 6 8 2 3" xfId="35569" xr:uid="{A35DDB90-B7A8-47A2-95FB-896702B808D0}"/>
    <cellStyle name="Normal 6 2 6 8 3" xfId="16390" xr:uid="{8FE10458-06C3-46AA-BBFD-DBE56E8F7DF0}"/>
    <cellStyle name="Normal 6 2 6 8 3 2" xfId="41882" xr:uid="{6B7CA4F1-C712-4434-AED4-84A3E3FBA957}"/>
    <cellStyle name="Normal 6 2 6 8 4" xfId="29291" xr:uid="{1C8012D6-2EAF-4DDC-A44A-F2B8AD7B6944}"/>
    <cellStyle name="Normal 6 2 6 9" xfId="6847" xr:uid="{6DA4916A-EECB-49AF-ABA8-77F572470D13}"/>
    <cellStyle name="Normal 6 2 6 9 2" xfId="19529" xr:uid="{2F3421CB-1523-4ACF-BAF8-ADA8D9A373FF}"/>
    <cellStyle name="Normal 6 2 6 9 2 2" xfId="45021" xr:uid="{34925543-7569-414B-AD53-5FBCEE4FAB58}"/>
    <cellStyle name="Normal 6 2 6 9 3" xfId="32430" xr:uid="{80FB9332-4979-4AB9-A9AF-0E5998F06897}"/>
    <cellStyle name="Normal 6 2 7" xfId="960" xr:uid="{F0E001AB-374D-4554-81B6-108CD214F961}"/>
    <cellStyle name="Normal 6 2 7 2" xfId="2267" xr:uid="{2BEF5613-30E1-49E6-A3DB-24E1388BEE86}"/>
    <cellStyle name="Normal 6 2 7 2 2" xfId="5421" xr:uid="{F490F73D-68CE-40DB-8217-85AEDAA018F9}"/>
    <cellStyle name="Normal 6 2 7 2 2 2" xfId="11714" xr:uid="{ECF8DD0D-38AB-4DCE-B351-FC6FC6853E90}"/>
    <cellStyle name="Normal 6 2 7 2 2 2 2" xfId="24396" xr:uid="{B6B324F6-4A26-4044-85E7-2E115B761A76}"/>
    <cellStyle name="Normal 6 2 7 2 2 2 2 2" xfId="49888" xr:uid="{C11F9575-A177-4F0F-8218-1EDD34C4BF52}"/>
    <cellStyle name="Normal 6 2 7 2 2 2 3" xfId="37297" xr:uid="{7495F429-A339-414C-B292-633414A41C6B}"/>
    <cellStyle name="Normal 6 2 7 2 2 3" xfId="18118" xr:uid="{AA612EAD-FE45-43A0-A446-E1A61AED0E9C}"/>
    <cellStyle name="Normal 6 2 7 2 2 3 2" xfId="43610" xr:uid="{0A0238AB-70BF-4A03-8D8C-3887479923B5}"/>
    <cellStyle name="Normal 6 2 7 2 2 4" xfId="31019" xr:uid="{C80E8470-8668-4EE8-9C64-F88D81D2559D}"/>
    <cellStyle name="Normal 6 2 7 2 3" xfId="8575" xr:uid="{D475EF6B-FA39-43B7-B4C6-ED8E30ED1CC6}"/>
    <cellStyle name="Normal 6 2 7 2 3 2" xfId="21257" xr:uid="{1A47E2AA-CA0D-45C9-A77F-AC990A2F184F}"/>
    <cellStyle name="Normal 6 2 7 2 3 2 2" xfId="46749" xr:uid="{F56D5A41-9F6B-462E-9A81-5B917EE169E0}"/>
    <cellStyle name="Normal 6 2 7 2 3 3" xfId="34158" xr:uid="{21DF13CD-985E-4FD4-8217-A026B426070E}"/>
    <cellStyle name="Normal 6 2 7 2 4" xfId="14979" xr:uid="{098A410D-605D-4EE7-A175-6076E52BC11D}"/>
    <cellStyle name="Normal 6 2 7 2 4 2" xfId="40471" xr:uid="{B0F5D49A-A253-45BD-B394-178B224DEF1A}"/>
    <cellStyle name="Normal 6 2 7 2 5" xfId="27880" xr:uid="{0D095EEB-C3B3-45B5-AAE1-34F1CDE8CD45}"/>
    <cellStyle name="Normal 6 2 7 3" xfId="1484" xr:uid="{4B0BE5C9-DC99-448C-8312-C5560DA84996}"/>
    <cellStyle name="Normal 6 2 7 3 2" xfId="4638" xr:uid="{658CB916-CCC0-4B69-9C2E-32DC24FCD040}"/>
    <cellStyle name="Normal 6 2 7 3 2 2" xfId="10931" xr:uid="{C33C603E-FE33-498A-BF3C-A809BFF096C8}"/>
    <cellStyle name="Normal 6 2 7 3 2 2 2" xfId="23613" xr:uid="{35E34F87-611A-4639-97C9-50211B295D5A}"/>
    <cellStyle name="Normal 6 2 7 3 2 2 2 2" xfId="49105" xr:uid="{72F327E5-199E-4EEB-AEC1-BAF1BC53FA98}"/>
    <cellStyle name="Normal 6 2 7 3 2 2 3" xfId="36514" xr:uid="{3BEFC5CD-322F-492C-9E85-F2C08A29F4E3}"/>
    <cellStyle name="Normal 6 2 7 3 2 3" xfId="17335" xr:uid="{38057A8A-112E-4C95-B715-C4F65741E7A3}"/>
    <cellStyle name="Normal 6 2 7 3 2 3 2" xfId="42827" xr:uid="{65CE3754-3448-4649-A3C0-AC7E888225AE}"/>
    <cellStyle name="Normal 6 2 7 3 2 4" xfId="30236" xr:uid="{83EBF128-DEE6-4145-AA58-FE9356710DF4}"/>
    <cellStyle name="Normal 6 2 7 3 3" xfId="7792" xr:uid="{284BA9B7-619B-443F-A9DA-14BE25A88BE9}"/>
    <cellStyle name="Normal 6 2 7 3 3 2" xfId="20474" xr:uid="{0BEB9241-581A-4613-9FBA-ABF05EBA1425}"/>
    <cellStyle name="Normal 6 2 7 3 3 2 2" xfId="45966" xr:uid="{56B804CE-8C47-4011-851C-5099BA41BE84}"/>
    <cellStyle name="Normal 6 2 7 3 3 3" xfId="33375" xr:uid="{A1C4E922-0532-4448-9C7E-B0214587FBF4}"/>
    <cellStyle name="Normal 6 2 7 3 4" xfId="14196" xr:uid="{E17A7800-12EC-4993-8B67-1DEF6DB66C3C}"/>
    <cellStyle name="Normal 6 2 7 3 4 2" xfId="39688" xr:uid="{18FD8474-0AF3-48B5-89AB-FC43E26B36E5}"/>
    <cellStyle name="Normal 6 2 7 3 5" xfId="27097" xr:uid="{7F9F7010-7B23-4555-B4FA-449E3E1509C8}"/>
    <cellStyle name="Normal 6 2 7 4" xfId="2791" xr:uid="{3DC4EDA2-972A-46C5-9FA9-9CFC58DAAB8E}"/>
    <cellStyle name="Normal 6 2 7 4 2" xfId="5945" xr:uid="{5384CAA9-DD60-4DB5-818A-93258E3F7BCB}"/>
    <cellStyle name="Normal 6 2 7 4 2 2" xfId="12238" xr:uid="{D6CBFC69-9D77-4E73-94A4-6BBCE3A3632D}"/>
    <cellStyle name="Normal 6 2 7 4 2 2 2" xfId="24920" xr:uid="{F94D24C7-7F76-4901-8AE4-0A1101C42A0A}"/>
    <cellStyle name="Normal 6 2 7 4 2 2 2 2" xfId="50412" xr:uid="{80143A2E-81E7-401A-BF56-7A0C7E4CA609}"/>
    <cellStyle name="Normal 6 2 7 4 2 2 3" xfId="37821" xr:uid="{C1FB684B-CC02-4699-8148-31BC8625EDA5}"/>
    <cellStyle name="Normal 6 2 7 4 2 3" xfId="18642" xr:uid="{AE3B7B95-3FED-44EE-B047-1A0117CD24B3}"/>
    <cellStyle name="Normal 6 2 7 4 2 3 2" xfId="44134" xr:uid="{5491A30C-D9D8-4146-8FBF-43856D2D82A0}"/>
    <cellStyle name="Normal 6 2 7 4 2 4" xfId="31543" xr:uid="{E9626DBD-4806-4980-92E2-F0B00DAF8BDC}"/>
    <cellStyle name="Normal 6 2 7 4 3" xfId="9099" xr:uid="{30A2AB24-D836-4ADC-9F9F-49FEA23A830D}"/>
    <cellStyle name="Normal 6 2 7 4 3 2" xfId="21781" xr:uid="{A9079210-FCB0-4AAE-86F7-84D70EFCFC90}"/>
    <cellStyle name="Normal 6 2 7 4 3 2 2" xfId="47273" xr:uid="{91E143C0-FD6F-42F6-8FF7-DA4D02480DB3}"/>
    <cellStyle name="Normal 6 2 7 4 3 3" xfId="34682" xr:uid="{956F976D-2AB9-4BB6-AFB7-08137BA4318B}"/>
    <cellStyle name="Normal 6 2 7 4 4" xfId="15503" xr:uid="{7B314E15-1288-422F-A2B0-5577AE78F30D}"/>
    <cellStyle name="Normal 6 2 7 4 4 2" xfId="40995" xr:uid="{7CC34FCA-BB3C-48BB-B500-6E9C63C9B8CC}"/>
    <cellStyle name="Normal 6 2 7 4 5" xfId="28404" xr:uid="{B45E255A-99E3-4761-BBAA-9C75A4545848}"/>
    <cellStyle name="Normal 6 2 7 5" xfId="3314" xr:uid="{ACCA33DB-C07A-4C15-B519-0F62B1A93F84}"/>
    <cellStyle name="Normal 6 2 7 5 2" xfId="6468" xr:uid="{ECD67AF8-A71A-4F33-85CE-2A8675A48F2D}"/>
    <cellStyle name="Normal 6 2 7 5 2 2" xfId="12761" xr:uid="{88730B3E-CCB2-4C09-AFD4-40199CC96EC8}"/>
    <cellStyle name="Normal 6 2 7 5 2 2 2" xfId="25443" xr:uid="{38E12C9E-1101-40B7-8735-18F64C122B99}"/>
    <cellStyle name="Normal 6 2 7 5 2 2 2 2" xfId="50935" xr:uid="{CCF46ED6-7F82-40ED-8C1A-2EE1D56EBA4B}"/>
    <cellStyle name="Normal 6 2 7 5 2 2 3" xfId="38344" xr:uid="{8E0DC519-83B0-42F8-BB99-8148A137332C}"/>
    <cellStyle name="Normal 6 2 7 5 2 3" xfId="19165" xr:uid="{BAC8BD3C-7A62-4F29-A440-5700E1EF563E}"/>
    <cellStyle name="Normal 6 2 7 5 2 3 2" xfId="44657" xr:uid="{ED74D5DB-1A89-4E13-916C-5609A3EDF886}"/>
    <cellStyle name="Normal 6 2 7 5 2 4" xfId="32066" xr:uid="{18EC3374-A781-41E4-A68F-AEF1E45F9C2B}"/>
    <cellStyle name="Normal 6 2 7 5 3" xfId="9622" xr:uid="{81D0835D-832E-4E76-A459-7E216780761D}"/>
    <cellStyle name="Normal 6 2 7 5 3 2" xfId="22304" xr:uid="{CC5977E3-1014-4CF7-B1BB-5E94EFD2BC28}"/>
    <cellStyle name="Normal 6 2 7 5 3 2 2" xfId="47796" xr:uid="{383EEB75-D184-486E-AA61-9BC119EEDCFE}"/>
    <cellStyle name="Normal 6 2 7 5 3 3" xfId="35205" xr:uid="{1B7B423E-D924-4C15-89E4-A811457BD019}"/>
    <cellStyle name="Normal 6 2 7 5 4" xfId="16026" xr:uid="{C2E76D1E-2912-4873-82BA-236E3D42E686}"/>
    <cellStyle name="Normal 6 2 7 5 4 2" xfId="41518" xr:uid="{11E0C73A-1905-41A7-9A79-92E63FEABCF1}"/>
    <cellStyle name="Normal 6 2 7 5 5" xfId="28927" xr:uid="{50D1B9B9-B128-46E2-95E4-752AFA0D6945}"/>
    <cellStyle name="Normal 6 2 7 6" xfId="4114" xr:uid="{6C464762-56BC-4544-83E5-218C739AF1F7}"/>
    <cellStyle name="Normal 6 2 7 6 2" xfId="10407" xr:uid="{28D776C9-47A6-4E63-A89A-B5403E74DBDC}"/>
    <cellStyle name="Normal 6 2 7 6 2 2" xfId="23089" xr:uid="{0706BD2F-8DCD-4616-A0FC-FB5FAFB69EDE}"/>
    <cellStyle name="Normal 6 2 7 6 2 2 2" xfId="48581" xr:uid="{4F6A3F1D-96B4-449A-B5D1-525B5430351F}"/>
    <cellStyle name="Normal 6 2 7 6 2 3" xfId="35990" xr:uid="{86E68916-759B-4494-A699-53FB7AB1C1EA}"/>
    <cellStyle name="Normal 6 2 7 6 3" xfId="16811" xr:uid="{38FA8FB4-2A6A-40D6-8979-622448E5F780}"/>
    <cellStyle name="Normal 6 2 7 6 3 2" xfId="42303" xr:uid="{D0E8C906-3CB4-487A-A8A8-8BF03576A44A}"/>
    <cellStyle name="Normal 6 2 7 6 4" xfId="29712" xr:uid="{3E412051-5FD4-42FB-9B0B-A3FF2609A016}"/>
    <cellStyle name="Normal 6 2 7 7" xfId="7268" xr:uid="{7363F50F-23D1-4432-B80B-FF7E350D902F}"/>
    <cellStyle name="Normal 6 2 7 7 2" xfId="19950" xr:uid="{2BE2974B-7DAE-430C-8261-8E85A6C8C853}"/>
    <cellStyle name="Normal 6 2 7 7 2 2" xfId="45442" xr:uid="{54AF8E94-0BAD-461A-BE17-1D3521503C63}"/>
    <cellStyle name="Normal 6 2 7 7 3" xfId="32851" xr:uid="{5339C0BD-F807-4CB0-AC25-0825A7EEC3E6}"/>
    <cellStyle name="Normal 6 2 7 8" xfId="13672" xr:uid="{B3283A60-067C-4673-9A6E-536501EBAB4F}"/>
    <cellStyle name="Normal 6 2 7 8 2" xfId="39164" xr:uid="{EC698CF6-CE11-4E2D-92AD-8ED51B547345}"/>
    <cellStyle name="Normal 6 2 7 9" xfId="26573" xr:uid="{2B2830A1-5716-4217-BD77-1553CDF5BE27}"/>
    <cellStyle name="Normal 6 2 8" xfId="700" xr:uid="{B4FF6861-439F-46B3-B82B-A82B0701CBDA}"/>
    <cellStyle name="Normal 6 2 8 2" xfId="2007" xr:uid="{17482516-46AE-4192-9855-000CDB7406F6}"/>
    <cellStyle name="Normal 6 2 8 2 2" xfId="5161" xr:uid="{2086D098-DBDD-4ABB-9063-3C015CFC4FA4}"/>
    <cellStyle name="Normal 6 2 8 2 2 2" xfId="11454" xr:uid="{65B052CD-F306-4BDB-8234-82AC4C20E3E5}"/>
    <cellStyle name="Normal 6 2 8 2 2 2 2" xfId="24136" xr:uid="{2343D433-35DC-49B4-8DF0-EE6E793D8835}"/>
    <cellStyle name="Normal 6 2 8 2 2 2 2 2" xfId="49628" xr:uid="{88C634FE-86B4-449F-B342-43D51329D553}"/>
    <cellStyle name="Normal 6 2 8 2 2 2 3" xfId="37037" xr:uid="{5F4BF38C-D8E1-40EB-97CB-54C17CAAFC1B}"/>
    <cellStyle name="Normal 6 2 8 2 2 3" xfId="17858" xr:uid="{4D0B9FA8-F70C-4557-9739-4DC8F2E9ACB9}"/>
    <cellStyle name="Normal 6 2 8 2 2 3 2" xfId="43350" xr:uid="{A63C2D36-5CA3-4C16-9770-BFD0B1CAD618}"/>
    <cellStyle name="Normal 6 2 8 2 2 4" xfId="30759" xr:uid="{37DBCDE5-D2C2-41E5-B9C9-A313D93A1EA4}"/>
    <cellStyle name="Normal 6 2 8 2 3" xfId="8315" xr:uid="{4A07799E-1041-4D8D-A15B-F49E9769A657}"/>
    <cellStyle name="Normal 6 2 8 2 3 2" xfId="20997" xr:uid="{2C12A8C9-17D6-46C4-9754-AC329F5D5D16}"/>
    <cellStyle name="Normal 6 2 8 2 3 2 2" xfId="46489" xr:uid="{151B5C14-04AB-49D4-AD76-515EEF4B73CC}"/>
    <cellStyle name="Normal 6 2 8 2 3 3" xfId="33898" xr:uid="{8750EE3F-0BC4-4A3C-B374-039A8D525453}"/>
    <cellStyle name="Normal 6 2 8 2 4" xfId="14719" xr:uid="{EAF70D3F-96D9-4824-B0AE-B049648B2006}"/>
    <cellStyle name="Normal 6 2 8 2 4 2" xfId="40211" xr:uid="{C3E4C30A-7B98-4A8A-9D01-F5EA82B9B244}"/>
    <cellStyle name="Normal 6 2 8 2 5" xfId="27620" xr:uid="{BE901002-1278-42A8-B1C7-35CC6D96C271}"/>
    <cellStyle name="Normal 6 2 8 3" xfId="3854" xr:uid="{402ED4CC-5C3E-46FF-9644-027B07BD12C4}"/>
    <cellStyle name="Normal 6 2 8 3 2" xfId="10147" xr:uid="{1C0B735E-B9D6-4FC9-8EF3-D400E3DAB6AB}"/>
    <cellStyle name="Normal 6 2 8 3 2 2" xfId="22829" xr:uid="{9FFB8596-1E44-4D11-9452-3DB790A2D4F1}"/>
    <cellStyle name="Normal 6 2 8 3 2 2 2" xfId="48321" xr:uid="{600DEEDD-61E6-4CAF-A542-00D893F30450}"/>
    <cellStyle name="Normal 6 2 8 3 2 3" xfId="35730" xr:uid="{FEA8EB13-291E-4EBA-AC4F-F86DD86A1FD3}"/>
    <cellStyle name="Normal 6 2 8 3 3" xfId="16551" xr:uid="{992BBF1F-D754-4019-B9FD-D891A6F8093D}"/>
    <cellStyle name="Normal 6 2 8 3 3 2" xfId="42043" xr:uid="{3D54E8C4-D87D-4E19-A167-EAA83C12A02E}"/>
    <cellStyle name="Normal 6 2 8 3 4" xfId="29452" xr:uid="{1B66218A-F3EF-42F1-8666-11D3469AF140}"/>
    <cellStyle name="Normal 6 2 8 4" xfId="7008" xr:uid="{0F1AC027-0528-46B8-ABB5-FFC22F66E8AA}"/>
    <cellStyle name="Normal 6 2 8 4 2" xfId="19690" xr:uid="{CFBBEDEB-2A98-40D8-9423-414054B77AA4}"/>
    <cellStyle name="Normal 6 2 8 4 2 2" xfId="45182" xr:uid="{9AA95FC8-8C59-4321-8281-FB3153795850}"/>
    <cellStyle name="Normal 6 2 8 4 3" xfId="32591" xr:uid="{0000A7FF-E8DF-4167-819E-077FE07BD677}"/>
    <cellStyle name="Normal 6 2 8 5" xfId="13412" xr:uid="{0BF7DAC3-E1E4-40CB-9EA4-F045823EE1D4}"/>
    <cellStyle name="Normal 6 2 8 5 2" xfId="38904" xr:uid="{17E789F4-523C-44F8-B0F0-62675C5027AB}"/>
    <cellStyle name="Normal 6 2 8 6" xfId="26313" xr:uid="{2664EE77-BDD0-4446-9EF4-FB797E1AA788}"/>
    <cellStyle name="Normal 6 2 9" xfId="1745" xr:uid="{DD4FA9DD-76AA-4A09-BA86-EF839E0E6857}"/>
    <cellStyle name="Normal 6 2 9 2" xfId="4899" xr:uid="{7C8A4A19-1B7B-4AC7-8ACF-93145E431E1C}"/>
    <cellStyle name="Normal 6 2 9 2 2" xfId="11192" xr:uid="{629D00E7-4EA5-4B2A-B668-8B8391B6679C}"/>
    <cellStyle name="Normal 6 2 9 2 2 2" xfId="23874" xr:uid="{091EBF60-9470-4E92-B3C2-DBD316AC85A5}"/>
    <cellStyle name="Normal 6 2 9 2 2 2 2" xfId="49366" xr:uid="{ED84A5EE-3145-4709-88B7-E9EB687ECE70}"/>
    <cellStyle name="Normal 6 2 9 2 2 3" xfId="36775" xr:uid="{D824E2A4-5AD8-45DD-9698-CF905359C205}"/>
    <cellStyle name="Normal 6 2 9 2 3" xfId="17596" xr:uid="{90D4B93E-E711-4CD2-9829-C77963B0EF0E}"/>
    <cellStyle name="Normal 6 2 9 2 3 2" xfId="43088" xr:uid="{79924DCC-E2F1-4A14-B9AB-0FAC349161EE}"/>
    <cellStyle name="Normal 6 2 9 2 4" xfId="30497" xr:uid="{75B4770A-DCEE-437B-A29C-96E96E359293}"/>
    <cellStyle name="Normal 6 2 9 3" xfId="8053" xr:uid="{1988B2C3-B521-402B-82EE-408A70DAE0DE}"/>
    <cellStyle name="Normal 6 2 9 3 2" xfId="20735" xr:uid="{5F957701-EEF0-4751-83DF-0E405F6C1978}"/>
    <cellStyle name="Normal 6 2 9 3 2 2" xfId="46227" xr:uid="{6167200B-C6B4-4AF7-B59B-C2325E080DB8}"/>
    <cellStyle name="Normal 6 2 9 3 3" xfId="33636" xr:uid="{99026898-56C2-47D8-AE7F-1A9100E9D08E}"/>
    <cellStyle name="Normal 6 2 9 4" xfId="14457" xr:uid="{F99A85E4-30D9-4DB1-94CD-3F3F69902A0F}"/>
    <cellStyle name="Normal 6 2 9 4 2" xfId="39949" xr:uid="{5BEC36BC-C15D-45BA-AFCC-0FC946CCE123}"/>
    <cellStyle name="Normal 6 2 9 5" xfId="27358" xr:uid="{6111A5EB-25E8-4488-922D-AD369C1E6B1B}"/>
    <cellStyle name="Normal 6 20" xfId="223" xr:uid="{F642F665-7ED3-498E-BC22-ED40F8582FE6}"/>
    <cellStyle name="Normal 6 3" xfId="434" xr:uid="{18F8B075-34A6-455E-A1E0-D2F4AB5C2DFD}"/>
    <cellStyle name="Normal 6 3 10" xfId="3064" xr:uid="{2138AD5C-14F4-4EC5-9DBD-DF37CBA01929}"/>
    <cellStyle name="Normal 6 3 10 2" xfId="6218" xr:uid="{B91E441D-343D-4377-B290-6A621373C434}"/>
    <cellStyle name="Normal 6 3 10 2 2" xfId="12511" xr:uid="{EB6D9B92-E8CE-4B01-9B84-A87BEF8D397F}"/>
    <cellStyle name="Normal 6 3 10 2 2 2" xfId="25193" xr:uid="{8BDE2201-C7CB-483F-9DFE-31AAD0A20A68}"/>
    <cellStyle name="Normal 6 3 10 2 2 2 2" xfId="50685" xr:uid="{16949504-4CBD-4373-9EE0-D58AE2AD22B1}"/>
    <cellStyle name="Normal 6 3 10 2 2 3" xfId="38094" xr:uid="{06564AA3-B25F-4425-B401-12C6665F24B3}"/>
    <cellStyle name="Normal 6 3 10 2 3" xfId="18915" xr:uid="{57B52169-EAD6-4C42-BA84-7E8090004EA8}"/>
    <cellStyle name="Normal 6 3 10 2 3 2" xfId="44407" xr:uid="{07D8D47A-CAF9-4EEC-AC37-D7044696EFEC}"/>
    <cellStyle name="Normal 6 3 10 2 4" xfId="31816" xr:uid="{5580CF50-1A0F-4E67-97AA-22133F66076A}"/>
    <cellStyle name="Normal 6 3 10 3" xfId="9372" xr:uid="{90672C12-627F-4568-BFC3-F15FA9F491F6}"/>
    <cellStyle name="Normal 6 3 10 3 2" xfId="22054" xr:uid="{4B441F93-1B49-4200-A9E9-8302E53E4DD5}"/>
    <cellStyle name="Normal 6 3 10 3 2 2" xfId="47546" xr:uid="{68BA2F79-DA39-404F-A8FB-AE41F4583EBC}"/>
    <cellStyle name="Normal 6 3 10 3 3" xfId="34955" xr:uid="{EC34F715-5507-4799-9854-05744569FA15}"/>
    <cellStyle name="Normal 6 3 10 4" xfId="15776" xr:uid="{561147FA-C51E-4A66-A72C-43F90D7DB8DF}"/>
    <cellStyle name="Normal 6 3 10 4 2" xfId="41268" xr:uid="{8E6B337E-2318-445A-810C-3577E8F107DC}"/>
    <cellStyle name="Normal 6 3 10 5" xfId="28677" xr:uid="{D4C58509-BAE8-4A74-84DC-D67EFDBFDB9E}"/>
    <cellStyle name="Normal 6 3 11" xfId="3603" xr:uid="{DAA18DEF-C715-4574-8DC7-0B40D06FB394}"/>
    <cellStyle name="Normal 6 3 11 2" xfId="9896" xr:uid="{333922C7-4699-4E49-B1FE-FDCF38FF4C65}"/>
    <cellStyle name="Normal 6 3 11 2 2" xfId="22578" xr:uid="{A4272F02-AE4B-4B11-BB77-3A1F2FF8F07A}"/>
    <cellStyle name="Normal 6 3 11 2 2 2" xfId="48070" xr:uid="{8DBAC3A8-67BB-4379-836C-C8FCEC0298D0}"/>
    <cellStyle name="Normal 6 3 11 2 3" xfId="35479" xr:uid="{2AC82075-4B4D-401D-8FDC-5C893856D7A4}"/>
    <cellStyle name="Normal 6 3 11 3" xfId="16300" xr:uid="{15450744-33B7-453E-9536-481BF51FE18F}"/>
    <cellStyle name="Normal 6 3 11 3 2" xfId="41792" xr:uid="{138ACA84-CB99-48A1-886B-9AAE75948191}"/>
    <cellStyle name="Normal 6 3 11 4" xfId="29201" xr:uid="{0DFE92C2-709E-4054-907A-45577E8EC656}"/>
    <cellStyle name="Normal 6 3 12" xfId="6757" xr:uid="{3ACA0E3C-C7CC-4FA1-9579-F81DA2042D68}"/>
    <cellStyle name="Normal 6 3 12 2" xfId="19439" xr:uid="{816097DB-7D69-4D49-8B3C-D15AC0385E21}"/>
    <cellStyle name="Normal 6 3 12 2 2" xfId="44931" xr:uid="{60EEDA7F-0DA1-4C5F-AAB8-CABA4E52822C}"/>
    <cellStyle name="Normal 6 3 12 3" xfId="32340" xr:uid="{62641DAF-14C3-44F6-80F4-9097A4B774C9}"/>
    <cellStyle name="Normal 6 3 13" xfId="13161" xr:uid="{0EE2A1EA-8EA8-4505-BF77-54797396DC24}"/>
    <cellStyle name="Normal 6 3 13 2" xfId="38653" xr:uid="{E648A9C3-2A51-4620-97BD-18421B8E6E34}"/>
    <cellStyle name="Normal 6 3 14" xfId="26062" xr:uid="{10660ACE-DC83-4A37-9CB9-3B8A5A97F272}"/>
    <cellStyle name="Normal 6 3 2" xfId="495" xr:uid="{6AA60ADC-D158-4A78-AD17-F6A944DAC10F}"/>
    <cellStyle name="Normal 6 3 2 10" xfId="6818" xr:uid="{BF75D1EE-978E-4ACA-9C1D-FE52B4A12346}"/>
    <cellStyle name="Normal 6 3 2 10 2" xfId="19500" xr:uid="{5566B841-769A-4A82-891A-0F719F84795E}"/>
    <cellStyle name="Normal 6 3 2 10 2 2" xfId="44992" xr:uid="{EAD94A4F-849F-4202-8C42-E10387DB11F4}"/>
    <cellStyle name="Normal 6 3 2 10 3" xfId="32401" xr:uid="{02EDFD23-C807-47B7-9148-338761666B69}"/>
    <cellStyle name="Normal 6 3 2 11" xfId="13222" xr:uid="{D654AEDD-F892-407C-9DC2-EE0DC7F8AE1F}"/>
    <cellStyle name="Normal 6 3 2 11 2" xfId="38714" xr:uid="{740C09C0-E9E7-47B9-A0EB-87484A7BA649}"/>
    <cellStyle name="Normal 6 3 2 12" xfId="26123" xr:uid="{8D7770A9-D7C4-481D-AB41-8566A0E06291}"/>
    <cellStyle name="Normal 6 3 2 2" xfId="654" xr:uid="{4D14EE11-4650-4386-83CE-681D64EA7A07}"/>
    <cellStyle name="Normal 6 3 2 2 10" xfId="13381" xr:uid="{348437DC-7456-44E7-AA25-CF6C412C091A}"/>
    <cellStyle name="Normal 6 3 2 2 10 2" xfId="38873" xr:uid="{9393D206-36E6-4A78-8944-32C5EBDE9C98}"/>
    <cellStyle name="Normal 6 3 2 2 11" xfId="26282" xr:uid="{D96E810D-B4C6-4DA4-968C-92ABF848D1B6}"/>
    <cellStyle name="Normal 6 3 2 2 2" xfId="1191" xr:uid="{DEE8C7FF-37D8-481A-9247-0C927BF2B786}"/>
    <cellStyle name="Normal 6 3 2 2 2 2" xfId="2498" xr:uid="{80FA8C33-1CA8-4B2B-BAA4-79F1FDDCC616}"/>
    <cellStyle name="Normal 6 3 2 2 2 2 2" xfId="5652" xr:uid="{6EEDAACE-A847-414F-BE1A-0CE91784E596}"/>
    <cellStyle name="Normal 6 3 2 2 2 2 2 2" xfId="11945" xr:uid="{EED8B7BE-0057-46DA-BE0D-DB7AEA82411D}"/>
    <cellStyle name="Normal 6 3 2 2 2 2 2 2 2" xfId="24627" xr:uid="{5F46696C-B269-4A87-8EBE-3B8D11597EA3}"/>
    <cellStyle name="Normal 6 3 2 2 2 2 2 2 2 2" xfId="50119" xr:uid="{CC84C52A-6A62-4770-98FD-DC2A4E5F45C5}"/>
    <cellStyle name="Normal 6 3 2 2 2 2 2 2 3" xfId="37528" xr:uid="{54B9E49A-5027-4B0A-86AB-38AC8573B659}"/>
    <cellStyle name="Normal 6 3 2 2 2 2 2 3" xfId="18349" xr:uid="{16C8BA76-D02A-4B3F-B0CE-56A746623BE8}"/>
    <cellStyle name="Normal 6 3 2 2 2 2 2 3 2" xfId="43841" xr:uid="{EB5703A9-8EDE-4368-838B-8682CB79B003}"/>
    <cellStyle name="Normal 6 3 2 2 2 2 2 4" xfId="31250" xr:uid="{CF2AA81E-974B-48EB-8929-C706EEF31981}"/>
    <cellStyle name="Normal 6 3 2 2 2 2 3" xfId="8806" xr:uid="{925ACF70-47FC-4600-9041-C4243C5DD303}"/>
    <cellStyle name="Normal 6 3 2 2 2 2 3 2" xfId="21488" xr:uid="{566C4777-3DB2-499A-908B-25AE8292CD65}"/>
    <cellStyle name="Normal 6 3 2 2 2 2 3 2 2" xfId="46980" xr:uid="{EA543CC7-3FE6-44EF-819B-B5E8F2C4F848}"/>
    <cellStyle name="Normal 6 3 2 2 2 2 3 3" xfId="34389" xr:uid="{45D0C6D9-0B93-4AF5-821A-A0788A44337C}"/>
    <cellStyle name="Normal 6 3 2 2 2 2 4" xfId="15210" xr:uid="{1A7E5E7E-815A-42E0-98D2-01B96176B0F9}"/>
    <cellStyle name="Normal 6 3 2 2 2 2 4 2" xfId="40702" xr:uid="{0708CF97-66E0-4D2E-A0D2-D523D89FD6A2}"/>
    <cellStyle name="Normal 6 3 2 2 2 2 5" xfId="28111" xr:uid="{B5370581-BD76-436A-8622-A37DF84BC70D}"/>
    <cellStyle name="Normal 6 3 2 2 2 3" xfId="1715" xr:uid="{82CBF293-9C74-4587-B4BA-16B6B06F5A5D}"/>
    <cellStyle name="Normal 6 3 2 2 2 3 2" xfId="4869" xr:uid="{EF5B624A-71F3-4C8B-AB8C-04E568269D42}"/>
    <cellStyle name="Normal 6 3 2 2 2 3 2 2" xfId="11162" xr:uid="{4C73E8DF-AAEA-407A-B6AB-4A3441210A8E}"/>
    <cellStyle name="Normal 6 3 2 2 2 3 2 2 2" xfId="23844" xr:uid="{6463ABA6-8C95-4993-905C-B0D944C6D5FE}"/>
    <cellStyle name="Normal 6 3 2 2 2 3 2 2 2 2" xfId="49336" xr:uid="{D09AE3DF-02DC-4685-B266-5CDBBB676A66}"/>
    <cellStyle name="Normal 6 3 2 2 2 3 2 2 3" xfId="36745" xr:uid="{5D13F70D-E1E7-4A3A-92AB-D760E1A7707B}"/>
    <cellStyle name="Normal 6 3 2 2 2 3 2 3" xfId="17566" xr:uid="{966B5621-7E34-4CF4-B39E-0E65AB560217}"/>
    <cellStyle name="Normal 6 3 2 2 2 3 2 3 2" xfId="43058" xr:uid="{C791606B-4A55-466B-BA27-791C9C645CD9}"/>
    <cellStyle name="Normal 6 3 2 2 2 3 2 4" xfId="30467" xr:uid="{4B2F98B4-CE8D-4A07-836A-178466AC10E7}"/>
    <cellStyle name="Normal 6 3 2 2 2 3 3" xfId="8023" xr:uid="{84536330-7794-4BF3-ACFE-758BFDD23B04}"/>
    <cellStyle name="Normal 6 3 2 2 2 3 3 2" xfId="20705" xr:uid="{94FC43C6-B1D1-42BF-ABA9-774225E5D330}"/>
    <cellStyle name="Normal 6 3 2 2 2 3 3 2 2" xfId="46197" xr:uid="{34676745-2F20-4FDA-B27A-E884942D2AFB}"/>
    <cellStyle name="Normal 6 3 2 2 2 3 3 3" xfId="33606" xr:uid="{8BC27F74-A537-4EC9-9A64-F8028493A389}"/>
    <cellStyle name="Normal 6 3 2 2 2 3 4" xfId="14427" xr:uid="{2CFEFEB1-4BF2-4EE5-9515-3AA9CA4CE8E8}"/>
    <cellStyle name="Normal 6 3 2 2 2 3 4 2" xfId="39919" xr:uid="{74C7D55E-B164-4208-B627-CFBA5E3E252D}"/>
    <cellStyle name="Normal 6 3 2 2 2 3 5" xfId="27328" xr:uid="{67EB7108-75CA-4D6E-B671-6375E8EDC53C}"/>
    <cellStyle name="Normal 6 3 2 2 2 4" xfId="3022" xr:uid="{96A679B7-2F26-4493-828F-0BD1DE0CBFB8}"/>
    <cellStyle name="Normal 6 3 2 2 2 4 2" xfId="6176" xr:uid="{5335E2D1-F5A7-4D2E-8BC1-20E25BA6DE0C}"/>
    <cellStyle name="Normal 6 3 2 2 2 4 2 2" xfId="12469" xr:uid="{C25010E2-8DEA-47FE-BFD6-34DC7F20D5AC}"/>
    <cellStyle name="Normal 6 3 2 2 2 4 2 2 2" xfId="25151" xr:uid="{B912176F-B436-41B0-B544-8DC6BF81839C}"/>
    <cellStyle name="Normal 6 3 2 2 2 4 2 2 2 2" xfId="50643" xr:uid="{8554C8EA-4AF5-4BC5-A851-DC1DC8BEC605}"/>
    <cellStyle name="Normal 6 3 2 2 2 4 2 2 3" xfId="38052" xr:uid="{9AB4B101-989C-41B9-A811-D05935E7219E}"/>
    <cellStyle name="Normal 6 3 2 2 2 4 2 3" xfId="18873" xr:uid="{6933F9B1-92C5-452A-8D3A-A309AD7B931E}"/>
    <cellStyle name="Normal 6 3 2 2 2 4 2 3 2" xfId="44365" xr:uid="{96CD55EE-BEF8-4BD9-A617-1537FB50EF92}"/>
    <cellStyle name="Normal 6 3 2 2 2 4 2 4" xfId="31774" xr:uid="{699A3A2F-40F3-4C76-B8F9-6BA88A0FA5D1}"/>
    <cellStyle name="Normal 6 3 2 2 2 4 3" xfId="9330" xr:uid="{D015F163-8186-413E-90B9-53ABACE1C7B5}"/>
    <cellStyle name="Normal 6 3 2 2 2 4 3 2" xfId="22012" xr:uid="{A1C8D1B9-B875-401C-9963-1170C35280FE}"/>
    <cellStyle name="Normal 6 3 2 2 2 4 3 2 2" xfId="47504" xr:uid="{F6B26E56-A417-4A6B-BEA8-2E911E6E291B}"/>
    <cellStyle name="Normal 6 3 2 2 2 4 3 3" xfId="34913" xr:uid="{99C6AE5A-35B3-4491-8576-BD8E57E446D8}"/>
    <cellStyle name="Normal 6 3 2 2 2 4 4" xfId="15734" xr:uid="{7FCC4E6C-1554-4E3E-AE36-E4FB62CDEB25}"/>
    <cellStyle name="Normal 6 3 2 2 2 4 4 2" xfId="41226" xr:uid="{5047766A-8CCA-40E7-B552-FE9F988A82EF}"/>
    <cellStyle name="Normal 6 3 2 2 2 4 5" xfId="28635" xr:uid="{20CACD3C-9904-49C2-81E2-4BD8046F69F9}"/>
    <cellStyle name="Normal 6 3 2 2 2 5" xfId="3545" xr:uid="{01FF7D7E-3970-4CEE-B68C-47822653CD06}"/>
    <cellStyle name="Normal 6 3 2 2 2 5 2" xfId="6699" xr:uid="{0DDE5F35-5B19-4539-88FA-075B16A27B15}"/>
    <cellStyle name="Normal 6 3 2 2 2 5 2 2" xfId="12992" xr:uid="{32D16DC6-FF72-4902-A0E3-6C881D10479C}"/>
    <cellStyle name="Normal 6 3 2 2 2 5 2 2 2" xfId="25674" xr:uid="{2B730596-4912-456E-9831-0EAEE4DB0973}"/>
    <cellStyle name="Normal 6 3 2 2 2 5 2 2 2 2" xfId="51166" xr:uid="{73D8FF5B-5526-42AE-9FF3-1ABE9F4F93CE}"/>
    <cellStyle name="Normal 6 3 2 2 2 5 2 2 3" xfId="38575" xr:uid="{33CA6A50-0CF2-4238-A74B-9179DF9FB333}"/>
    <cellStyle name="Normal 6 3 2 2 2 5 2 3" xfId="19396" xr:uid="{D8DFD393-F416-4188-91C8-9EF485F646FD}"/>
    <cellStyle name="Normal 6 3 2 2 2 5 2 3 2" xfId="44888" xr:uid="{9D82FB81-6C50-466A-90F5-C760B93AC266}"/>
    <cellStyle name="Normal 6 3 2 2 2 5 2 4" xfId="32297" xr:uid="{E526E006-A9B5-4385-B1AA-2725552F2CB1}"/>
    <cellStyle name="Normal 6 3 2 2 2 5 3" xfId="9853" xr:uid="{EC5B0C3B-EC29-4B18-B7AB-9F83A16871BC}"/>
    <cellStyle name="Normal 6 3 2 2 2 5 3 2" xfId="22535" xr:uid="{A72DD5E1-B71F-4E83-9CF9-CDC890E4A3A9}"/>
    <cellStyle name="Normal 6 3 2 2 2 5 3 2 2" xfId="48027" xr:uid="{1CAE519B-B180-42BA-9422-DA7960E1049F}"/>
    <cellStyle name="Normal 6 3 2 2 2 5 3 3" xfId="35436" xr:uid="{237CB656-846C-4C5F-8824-FEAA00166081}"/>
    <cellStyle name="Normal 6 3 2 2 2 5 4" xfId="16257" xr:uid="{622F97D1-DC31-49AF-8F2E-DDEAF747A45C}"/>
    <cellStyle name="Normal 6 3 2 2 2 5 4 2" xfId="41749" xr:uid="{5DB180BD-88B4-42E0-AA50-051281D3B025}"/>
    <cellStyle name="Normal 6 3 2 2 2 5 5" xfId="29158" xr:uid="{D5583C37-8A54-4B7D-AEC6-D9BB51D8D57B}"/>
    <cellStyle name="Normal 6 3 2 2 2 6" xfId="4345" xr:uid="{9CFBD3F6-7F1C-4FFA-8408-2EC0B5BE8987}"/>
    <cellStyle name="Normal 6 3 2 2 2 6 2" xfId="10638" xr:uid="{842956AC-08A1-44AE-9748-FC670D202C28}"/>
    <cellStyle name="Normal 6 3 2 2 2 6 2 2" xfId="23320" xr:uid="{9E3CBC2C-EA32-4E51-85A2-A22D0754B7FD}"/>
    <cellStyle name="Normal 6 3 2 2 2 6 2 2 2" xfId="48812" xr:uid="{47CA0A93-CF75-4B9C-97CF-AFF2487FDC99}"/>
    <cellStyle name="Normal 6 3 2 2 2 6 2 3" xfId="36221" xr:uid="{DBD8AE07-0154-4CDB-9089-98F638B2F537}"/>
    <cellStyle name="Normal 6 3 2 2 2 6 3" xfId="17042" xr:uid="{F7081726-7FD8-41C9-9409-D1153E51B0C5}"/>
    <cellStyle name="Normal 6 3 2 2 2 6 3 2" xfId="42534" xr:uid="{84816150-DCD0-48FD-8373-1F5637411D6F}"/>
    <cellStyle name="Normal 6 3 2 2 2 6 4" xfId="29943" xr:uid="{4D90AEF3-02A4-4A3C-95E4-DF973017F5FE}"/>
    <cellStyle name="Normal 6 3 2 2 2 7" xfId="7499" xr:uid="{20336E63-B38D-4FF2-A724-06A38748CE53}"/>
    <cellStyle name="Normal 6 3 2 2 2 7 2" xfId="20181" xr:uid="{B5225672-44FB-4F47-93B4-E834A853B3B2}"/>
    <cellStyle name="Normal 6 3 2 2 2 7 2 2" xfId="45673" xr:uid="{263D7732-FE27-4810-A98E-2F92C24B0F6E}"/>
    <cellStyle name="Normal 6 3 2 2 2 7 3" xfId="33082" xr:uid="{D2276EBF-9E98-4357-914F-27DAEEB00295}"/>
    <cellStyle name="Normal 6 3 2 2 2 8" xfId="13903" xr:uid="{89FAA46A-A3C1-49D7-8AB4-BBFBAF3C0E2E}"/>
    <cellStyle name="Normal 6 3 2 2 2 8 2" xfId="39395" xr:uid="{E223ABF9-43AE-4E2E-BFCE-E29FF76E8ECA}"/>
    <cellStyle name="Normal 6 3 2 2 2 9" xfId="26804" xr:uid="{BE12497B-A40F-4985-A577-F0121DDF3DEE}"/>
    <cellStyle name="Normal 6 3 2 2 3" xfId="931" xr:uid="{AC4887FC-A977-4C76-BFFE-471A7D3B227F}"/>
    <cellStyle name="Normal 6 3 2 2 3 2" xfId="2238" xr:uid="{FE2DE0E4-5785-4525-B9B3-72625B158060}"/>
    <cellStyle name="Normal 6 3 2 2 3 2 2" xfId="5392" xr:uid="{ACAFCE15-6352-4605-9FAD-2D3B2639D2DF}"/>
    <cellStyle name="Normal 6 3 2 2 3 2 2 2" xfId="11685" xr:uid="{BB6B1CB9-E023-44FC-A770-E6656E1CB2EB}"/>
    <cellStyle name="Normal 6 3 2 2 3 2 2 2 2" xfId="24367" xr:uid="{0878D510-366F-404B-BDDB-05CA57059CB8}"/>
    <cellStyle name="Normal 6 3 2 2 3 2 2 2 2 2" xfId="49859" xr:uid="{9EACCF34-ED6F-4782-9682-DEF7ED98A469}"/>
    <cellStyle name="Normal 6 3 2 2 3 2 2 2 3" xfId="37268" xr:uid="{489A31E1-83FF-42EE-81D0-DB61EB97DC98}"/>
    <cellStyle name="Normal 6 3 2 2 3 2 2 3" xfId="18089" xr:uid="{6D9E0DB2-DBAB-4586-9159-16100E30F900}"/>
    <cellStyle name="Normal 6 3 2 2 3 2 2 3 2" xfId="43581" xr:uid="{41F44E60-0F9A-4906-A1DD-2B66080378D0}"/>
    <cellStyle name="Normal 6 3 2 2 3 2 2 4" xfId="30990" xr:uid="{2B47DCE5-D781-4893-95FA-6DA9D1CDEB6E}"/>
    <cellStyle name="Normal 6 3 2 2 3 2 3" xfId="8546" xr:uid="{C53E15C1-3E2C-4A19-B0FE-3572CA24E6C4}"/>
    <cellStyle name="Normal 6 3 2 2 3 2 3 2" xfId="21228" xr:uid="{0C098B08-89A8-4988-9C10-B8DA19FF2768}"/>
    <cellStyle name="Normal 6 3 2 2 3 2 3 2 2" xfId="46720" xr:uid="{ADC4E13B-05FD-483A-ACEC-0629D9747BB8}"/>
    <cellStyle name="Normal 6 3 2 2 3 2 3 3" xfId="34129" xr:uid="{F23F18FA-1A60-4886-9C23-01742D2D2D35}"/>
    <cellStyle name="Normal 6 3 2 2 3 2 4" xfId="14950" xr:uid="{638CA247-874C-4D99-82AA-F70FEE9E271B}"/>
    <cellStyle name="Normal 6 3 2 2 3 2 4 2" xfId="40442" xr:uid="{1015FA54-5559-4ADD-B64D-65DD800C6D90}"/>
    <cellStyle name="Normal 6 3 2 2 3 2 5" xfId="27851" xr:uid="{03249B01-07F4-4083-A7B5-4B20E4D8AEF2}"/>
    <cellStyle name="Normal 6 3 2 2 3 3" xfId="4085" xr:uid="{5094847D-E682-4305-B29D-FD1B6CD17919}"/>
    <cellStyle name="Normal 6 3 2 2 3 3 2" xfId="10378" xr:uid="{7BD49642-1CF7-4D61-9223-38D004D73529}"/>
    <cellStyle name="Normal 6 3 2 2 3 3 2 2" xfId="23060" xr:uid="{C9B9AEFE-F52B-486A-87AC-FFDC868870C7}"/>
    <cellStyle name="Normal 6 3 2 2 3 3 2 2 2" xfId="48552" xr:uid="{D8636C78-40EC-4591-A6D7-EC285347C75F}"/>
    <cellStyle name="Normal 6 3 2 2 3 3 2 3" xfId="35961" xr:uid="{ADD984A8-D662-4147-9F00-9461DBE87FEA}"/>
    <cellStyle name="Normal 6 3 2 2 3 3 3" xfId="16782" xr:uid="{45AAB093-8A09-4D62-986C-159E3DF7A6C7}"/>
    <cellStyle name="Normal 6 3 2 2 3 3 3 2" xfId="42274" xr:uid="{F274B6D5-2EE7-4071-8B5F-0903C7B537D2}"/>
    <cellStyle name="Normal 6 3 2 2 3 3 4" xfId="29683" xr:uid="{49B934CB-4187-454E-8323-3B7A358DD2E0}"/>
    <cellStyle name="Normal 6 3 2 2 3 4" xfId="7239" xr:uid="{D3CE91BD-685C-4D69-B902-5C688FD1BB61}"/>
    <cellStyle name="Normal 6 3 2 2 3 4 2" xfId="19921" xr:uid="{CF96BA0D-3CF1-4BAA-A561-57AE463A0730}"/>
    <cellStyle name="Normal 6 3 2 2 3 4 2 2" xfId="45413" xr:uid="{5DD74763-7E4D-41A8-8443-0CA1F6EF35E2}"/>
    <cellStyle name="Normal 6 3 2 2 3 4 3" xfId="32822" xr:uid="{E7450AA7-A128-4832-B614-C4A744864325}"/>
    <cellStyle name="Normal 6 3 2 2 3 5" xfId="13643" xr:uid="{B4D3D0E1-E582-4310-B11A-A112E73B26E1}"/>
    <cellStyle name="Normal 6 3 2 2 3 5 2" xfId="39135" xr:uid="{A1CA1996-9BEE-448D-BACB-944429908B25}"/>
    <cellStyle name="Normal 6 3 2 2 3 6" xfId="26544" xr:uid="{679944B7-ED10-4BAA-B668-817A18F4A5FB}"/>
    <cellStyle name="Normal 6 3 2 2 4" xfId="1976" xr:uid="{9E8FF0CF-0435-40A5-B7A1-7E64CA6FADB3}"/>
    <cellStyle name="Normal 6 3 2 2 4 2" xfId="5130" xr:uid="{E8EF8C5F-A3DE-47E4-BA23-3D2DE03CBEFE}"/>
    <cellStyle name="Normal 6 3 2 2 4 2 2" xfId="11423" xr:uid="{B7EDA235-96BD-4C66-B7E7-498AFA329EFD}"/>
    <cellStyle name="Normal 6 3 2 2 4 2 2 2" xfId="24105" xr:uid="{35E10680-54BE-497C-AD60-D24A0E8F1F8D}"/>
    <cellStyle name="Normal 6 3 2 2 4 2 2 2 2" xfId="49597" xr:uid="{8AA78E98-0C71-4F6F-9B9A-198910712C09}"/>
    <cellStyle name="Normal 6 3 2 2 4 2 2 3" xfId="37006" xr:uid="{F22D9D52-2349-42ED-923D-29A8DF720DFD}"/>
    <cellStyle name="Normal 6 3 2 2 4 2 3" xfId="17827" xr:uid="{BA709512-A44B-4E1C-A9A9-1150A54BA4EB}"/>
    <cellStyle name="Normal 6 3 2 2 4 2 3 2" xfId="43319" xr:uid="{DB8C1E77-D3BF-4D2A-856C-95AB22870813}"/>
    <cellStyle name="Normal 6 3 2 2 4 2 4" xfId="30728" xr:uid="{2A08A3C6-E51E-4422-B77A-7A675AB917FF}"/>
    <cellStyle name="Normal 6 3 2 2 4 3" xfId="8284" xr:uid="{985776AB-F419-45EE-9D5E-45E8673BA0ED}"/>
    <cellStyle name="Normal 6 3 2 2 4 3 2" xfId="20966" xr:uid="{A11E8AA2-BB85-469E-894D-5F1CFF72BB19}"/>
    <cellStyle name="Normal 6 3 2 2 4 3 2 2" xfId="46458" xr:uid="{557C4DE0-1F6B-4FF1-AB1B-47F1DA78F57B}"/>
    <cellStyle name="Normal 6 3 2 2 4 3 3" xfId="33867" xr:uid="{9C9A3566-E987-40E0-9F9D-9C457227BB7B}"/>
    <cellStyle name="Normal 6 3 2 2 4 4" xfId="14688" xr:uid="{478CC06D-2CFE-4E31-8785-1738595564BE}"/>
    <cellStyle name="Normal 6 3 2 2 4 4 2" xfId="40180" xr:uid="{A1E2F16E-1D59-4569-90F5-8668860858A3}"/>
    <cellStyle name="Normal 6 3 2 2 4 5" xfId="27589" xr:uid="{C7E436EE-D716-4038-A5E2-93EAD48B71D0}"/>
    <cellStyle name="Normal 6 3 2 2 5" xfId="1454" xr:uid="{98FAEE9F-92B9-4A84-85DD-68298AF9FE55}"/>
    <cellStyle name="Normal 6 3 2 2 5 2" xfId="4608" xr:uid="{0F116F21-9FDF-4E5A-9568-E63D73E9113D}"/>
    <cellStyle name="Normal 6 3 2 2 5 2 2" xfId="10901" xr:uid="{BB89B6F1-7E86-40F7-8DF2-EE0BBBC3C9E3}"/>
    <cellStyle name="Normal 6 3 2 2 5 2 2 2" xfId="23583" xr:uid="{8FDCE829-074E-41F1-81A8-0183D9B46923}"/>
    <cellStyle name="Normal 6 3 2 2 5 2 2 2 2" xfId="49075" xr:uid="{8599673A-2575-4528-A8C5-55F5EAEBB033}"/>
    <cellStyle name="Normal 6 3 2 2 5 2 2 3" xfId="36484" xr:uid="{34C33087-5571-40D1-9F34-F3C0686E7CD8}"/>
    <cellStyle name="Normal 6 3 2 2 5 2 3" xfId="17305" xr:uid="{FF7959ED-0F88-4C95-AF8C-4F1B4E2AC0AE}"/>
    <cellStyle name="Normal 6 3 2 2 5 2 3 2" xfId="42797" xr:uid="{A57CE5F6-CA43-4E41-B15A-97842C7440F8}"/>
    <cellStyle name="Normal 6 3 2 2 5 2 4" xfId="30206" xr:uid="{187696AA-6F67-412C-8805-2EF5D4359E6C}"/>
    <cellStyle name="Normal 6 3 2 2 5 3" xfId="7762" xr:uid="{7FCE027C-8955-4CBD-8D28-3A8396800397}"/>
    <cellStyle name="Normal 6 3 2 2 5 3 2" xfId="20444" xr:uid="{52F60A3D-DB0A-465E-89AB-4364872AFEA3}"/>
    <cellStyle name="Normal 6 3 2 2 5 3 2 2" xfId="45936" xr:uid="{47670E8F-D4FD-4E5C-B449-BEB4B8A0BE93}"/>
    <cellStyle name="Normal 6 3 2 2 5 3 3" xfId="33345" xr:uid="{B49D6B2F-5495-4544-A75A-77DF475E0DD3}"/>
    <cellStyle name="Normal 6 3 2 2 5 4" xfId="14166" xr:uid="{F7666D6E-E47A-412A-8D69-ACA1DEBAA039}"/>
    <cellStyle name="Normal 6 3 2 2 5 4 2" xfId="39658" xr:uid="{508E86F2-C393-4277-A23F-2F6D63EBEAF8}"/>
    <cellStyle name="Normal 6 3 2 2 5 5" xfId="27067" xr:uid="{860FDEBE-FC4B-42BA-A1D1-391812561325}"/>
    <cellStyle name="Normal 6 3 2 2 6" xfId="2761" xr:uid="{36D5AB4E-04C5-4BF9-8627-0FF210A70BA8}"/>
    <cellStyle name="Normal 6 3 2 2 6 2" xfId="5915" xr:uid="{9287DC37-9AD0-42EE-A310-0E3815BA724E}"/>
    <cellStyle name="Normal 6 3 2 2 6 2 2" xfId="12208" xr:uid="{5D6F148B-DBBC-4D1B-80F0-5C1F3BAA5CA2}"/>
    <cellStyle name="Normal 6 3 2 2 6 2 2 2" xfId="24890" xr:uid="{152875CB-A573-4E15-A563-6E6F079D1213}"/>
    <cellStyle name="Normal 6 3 2 2 6 2 2 2 2" xfId="50382" xr:uid="{9F538901-903B-4F51-9753-9BD0A504461D}"/>
    <cellStyle name="Normal 6 3 2 2 6 2 2 3" xfId="37791" xr:uid="{2A7AB34C-EB12-4FDD-AB0C-8832A5F54DB3}"/>
    <cellStyle name="Normal 6 3 2 2 6 2 3" xfId="18612" xr:uid="{CC3867FD-7544-44A7-B678-6E728479B6B8}"/>
    <cellStyle name="Normal 6 3 2 2 6 2 3 2" xfId="44104" xr:uid="{00D37BC1-0CA7-487E-B23D-5665FFAED2B0}"/>
    <cellStyle name="Normal 6 3 2 2 6 2 4" xfId="31513" xr:uid="{AD7039C1-030E-4A76-A68F-BDD79FB39C75}"/>
    <cellStyle name="Normal 6 3 2 2 6 3" xfId="9069" xr:uid="{B0BF3667-9BB6-46BF-81CF-D07C5183ED70}"/>
    <cellStyle name="Normal 6 3 2 2 6 3 2" xfId="21751" xr:uid="{960C5BD1-3883-49C5-990B-D9B2135936B4}"/>
    <cellStyle name="Normal 6 3 2 2 6 3 2 2" xfId="47243" xr:uid="{E31A0148-9B56-46DF-9C72-2D7BFC6945F2}"/>
    <cellStyle name="Normal 6 3 2 2 6 3 3" xfId="34652" xr:uid="{FFCAA3C0-0015-4FAB-9565-E7C4118158B9}"/>
    <cellStyle name="Normal 6 3 2 2 6 4" xfId="15473" xr:uid="{6805B80D-AF04-40BF-B8A5-C731178E7A94}"/>
    <cellStyle name="Normal 6 3 2 2 6 4 2" xfId="40965" xr:uid="{69BA3A15-4C30-4DBF-A878-05E1BA4C4B95}"/>
    <cellStyle name="Normal 6 3 2 2 6 5" xfId="28374" xr:uid="{848617E4-D6F6-4EC8-85F5-79634A858DB0}"/>
    <cellStyle name="Normal 6 3 2 2 7" xfId="3284" xr:uid="{25781DC8-4231-4F49-98A5-1BF78EA3E59A}"/>
    <cellStyle name="Normal 6 3 2 2 7 2" xfId="6438" xr:uid="{011E883B-2F42-4185-AE16-2FC5B2AA6DB4}"/>
    <cellStyle name="Normal 6 3 2 2 7 2 2" xfId="12731" xr:uid="{630F8F1E-1BB6-4AF1-9891-B79D6BC169B8}"/>
    <cellStyle name="Normal 6 3 2 2 7 2 2 2" xfId="25413" xr:uid="{DEDDAD9D-B543-4589-AFB8-179F32817F18}"/>
    <cellStyle name="Normal 6 3 2 2 7 2 2 2 2" xfId="50905" xr:uid="{CFA3AAD7-9013-4083-B3E5-44DC7BADF3DB}"/>
    <cellStyle name="Normal 6 3 2 2 7 2 2 3" xfId="38314" xr:uid="{7386C33F-D85A-4935-96E5-3A07E839E391}"/>
    <cellStyle name="Normal 6 3 2 2 7 2 3" xfId="19135" xr:uid="{24A34F3E-1563-4C72-B161-55F4ACF2F559}"/>
    <cellStyle name="Normal 6 3 2 2 7 2 3 2" xfId="44627" xr:uid="{6F70FFC4-307C-4078-B287-3C4BD78FF8E0}"/>
    <cellStyle name="Normal 6 3 2 2 7 2 4" xfId="32036" xr:uid="{83898E62-6E9D-4A53-9C0B-A1DEAD768939}"/>
    <cellStyle name="Normal 6 3 2 2 7 3" xfId="9592" xr:uid="{C833BA0B-33A4-4878-B8B2-8AB0D1C20976}"/>
    <cellStyle name="Normal 6 3 2 2 7 3 2" xfId="22274" xr:uid="{C7E56E79-EB23-4719-A5E8-D6C845635217}"/>
    <cellStyle name="Normal 6 3 2 2 7 3 2 2" xfId="47766" xr:uid="{0F2D88A2-91B5-4D14-B42E-BDEAE08D3B00}"/>
    <cellStyle name="Normal 6 3 2 2 7 3 3" xfId="35175" xr:uid="{8C5CC558-5AEB-43EC-BAEB-102EC018D88D}"/>
    <cellStyle name="Normal 6 3 2 2 7 4" xfId="15996" xr:uid="{3B875185-CA55-4132-AC5D-C428E6FFA168}"/>
    <cellStyle name="Normal 6 3 2 2 7 4 2" xfId="41488" xr:uid="{CC686709-3EE6-4925-8370-44402B1595BF}"/>
    <cellStyle name="Normal 6 3 2 2 7 5" xfId="28897" xr:uid="{56404499-4C62-4000-9938-2E432B0B9941}"/>
    <cellStyle name="Normal 6 3 2 2 8" xfId="3823" xr:uid="{24EE3881-B07C-4595-BFA3-8957017DDC1A}"/>
    <cellStyle name="Normal 6 3 2 2 8 2" xfId="10116" xr:uid="{C06DDA04-98C9-4F4D-BC76-9943BF5B09A3}"/>
    <cellStyle name="Normal 6 3 2 2 8 2 2" xfId="22798" xr:uid="{4F693922-6027-48C5-BF25-E1502343DB6F}"/>
    <cellStyle name="Normal 6 3 2 2 8 2 2 2" xfId="48290" xr:uid="{F6628C02-5DD2-4211-AC7E-5F1CDDE03E3F}"/>
    <cellStyle name="Normal 6 3 2 2 8 2 3" xfId="35699" xr:uid="{10CBBEBD-2DB2-4943-BCEF-6FD559840BF6}"/>
    <cellStyle name="Normal 6 3 2 2 8 3" xfId="16520" xr:uid="{D29FA559-F0FD-4510-8C21-7F957F7C325E}"/>
    <cellStyle name="Normal 6 3 2 2 8 3 2" xfId="42012" xr:uid="{E56F9707-9FBD-42FE-8556-B31EB81124EA}"/>
    <cellStyle name="Normal 6 3 2 2 8 4" xfId="29421" xr:uid="{9BBDA02B-F4FB-4A22-9FE8-266B059BB2DE}"/>
    <cellStyle name="Normal 6 3 2 2 9" xfId="6977" xr:uid="{2AE1F557-E65A-4ABF-8DF2-209EC8B44C19}"/>
    <cellStyle name="Normal 6 3 2 2 9 2" xfId="19659" xr:uid="{85413590-3980-4FE2-92AA-BD9E3ABFDC98}"/>
    <cellStyle name="Normal 6 3 2 2 9 2 2" xfId="45151" xr:uid="{25302554-4753-4197-B765-ABCEF892CFA9}"/>
    <cellStyle name="Normal 6 3 2 2 9 3" xfId="32560" xr:uid="{768F4829-B680-49A6-9C25-3044E73503B9}"/>
    <cellStyle name="Normal 6 3 2 3" xfId="1032" xr:uid="{EAD51826-BDA2-41B3-99C9-F994F875C017}"/>
    <cellStyle name="Normal 6 3 2 3 2" xfId="2339" xr:uid="{346C99C6-0784-4450-B73A-C9FC26980CAB}"/>
    <cellStyle name="Normal 6 3 2 3 2 2" xfId="5493" xr:uid="{44E85ED8-62B3-44D8-9020-F1F7005EFA59}"/>
    <cellStyle name="Normal 6 3 2 3 2 2 2" xfId="11786" xr:uid="{126C8F7E-E43D-4937-9C5A-B3D8DED8129E}"/>
    <cellStyle name="Normal 6 3 2 3 2 2 2 2" xfId="24468" xr:uid="{329C9FAC-47F8-483A-82AF-D6627FC12431}"/>
    <cellStyle name="Normal 6 3 2 3 2 2 2 2 2" xfId="49960" xr:uid="{CADA396F-1009-4BB3-BB5A-C0558D910EAE}"/>
    <cellStyle name="Normal 6 3 2 3 2 2 2 3" xfId="37369" xr:uid="{E9D751F1-80BB-45A5-B22E-EF509AB3D337}"/>
    <cellStyle name="Normal 6 3 2 3 2 2 3" xfId="18190" xr:uid="{D1B83287-ED9C-470B-8226-0EA5F2611299}"/>
    <cellStyle name="Normal 6 3 2 3 2 2 3 2" xfId="43682" xr:uid="{ADE530E5-C7B7-46C0-9739-30FA3F6BEFFD}"/>
    <cellStyle name="Normal 6 3 2 3 2 2 4" xfId="31091" xr:uid="{EB7B98B9-D484-4FF0-9F24-C5340820BAB5}"/>
    <cellStyle name="Normal 6 3 2 3 2 3" xfId="8647" xr:uid="{6A255B07-AEA9-4617-BCB3-F3E038B1CD4A}"/>
    <cellStyle name="Normal 6 3 2 3 2 3 2" xfId="21329" xr:uid="{494A60A7-ACBE-41C2-9641-1201F6F3DB06}"/>
    <cellStyle name="Normal 6 3 2 3 2 3 2 2" xfId="46821" xr:uid="{34F43B00-8E9C-4C99-B511-FC3C5CE903C2}"/>
    <cellStyle name="Normal 6 3 2 3 2 3 3" xfId="34230" xr:uid="{EB584EC8-1231-4192-A0E4-F8D678FD204D}"/>
    <cellStyle name="Normal 6 3 2 3 2 4" xfId="15051" xr:uid="{83286A1C-D301-4266-BD56-96C8B0EB7B66}"/>
    <cellStyle name="Normal 6 3 2 3 2 4 2" xfId="40543" xr:uid="{428AE065-E06C-468E-AAA5-9F3C9EE57C48}"/>
    <cellStyle name="Normal 6 3 2 3 2 5" xfId="27952" xr:uid="{9551F366-29B4-4E6C-93BD-04161F369842}"/>
    <cellStyle name="Normal 6 3 2 3 3" xfId="1556" xr:uid="{12072D9A-3F70-45E9-B14F-657542C6CC1C}"/>
    <cellStyle name="Normal 6 3 2 3 3 2" xfId="4710" xr:uid="{BB238A0F-C60F-4EF6-BBA1-733669D43F5E}"/>
    <cellStyle name="Normal 6 3 2 3 3 2 2" xfId="11003" xr:uid="{70FB3DC9-5FB8-4993-AAA7-DABEBD1565C2}"/>
    <cellStyle name="Normal 6 3 2 3 3 2 2 2" xfId="23685" xr:uid="{C2057E89-A195-40C3-B4B6-002B87118EF2}"/>
    <cellStyle name="Normal 6 3 2 3 3 2 2 2 2" xfId="49177" xr:uid="{E4D44B50-7EC4-4EF5-BCE2-2464A1391596}"/>
    <cellStyle name="Normal 6 3 2 3 3 2 2 3" xfId="36586" xr:uid="{728A497F-D31F-4E10-93F9-08647DE616C9}"/>
    <cellStyle name="Normal 6 3 2 3 3 2 3" xfId="17407" xr:uid="{B979946F-9965-49CB-B45D-8208DD2A10D1}"/>
    <cellStyle name="Normal 6 3 2 3 3 2 3 2" xfId="42899" xr:uid="{A07024BB-9491-4F3A-BE67-85008F701F37}"/>
    <cellStyle name="Normal 6 3 2 3 3 2 4" xfId="30308" xr:uid="{B3DA53C8-5885-47D6-9372-43E13E81E34B}"/>
    <cellStyle name="Normal 6 3 2 3 3 3" xfId="7864" xr:uid="{25D17FC4-E47A-44B1-8612-31F687A8AAC3}"/>
    <cellStyle name="Normal 6 3 2 3 3 3 2" xfId="20546" xr:uid="{3CEEEFA8-B663-46EE-ABB1-88504FAD3BD1}"/>
    <cellStyle name="Normal 6 3 2 3 3 3 2 2" xfId="46038" xr:uid="{D2A6B4F0-F59D-450C-AF2F-0C8C37E61B53}"/>
    <cellStyle name="Normal 6 3 2 3 3 3 3" xfId="33447" xr:uid="{7D053C31-EA20-466E-BB02-B18321C5D23E}"/>
    <cellStyle name="Normal 6 3 2 3 3 4" xfId="14268" xr:uid="{79E81385-36CB-4D59-A43D-80603050291F}"/>
    <cellStyle name="Normal 6 3 2 3 3 4 2" xfId="39760" xr:uid="{A07E4882-56DD-4B13-9F2D-06952DB7561F}"/>
    <cellStyle name="Normal 6 3 2 3 3 5" xfId="27169" xr:uid="{F90D1742-3FC4-4A3D-A497-BB54A63ECC54}"/>
    <cellStyle name="Normal 6 3 2 3 4" xfId="2863" xr:uid="{43FE075E-6B08-4536-9F71-844F3AB7692D}"/>
    <cellStyle name="Normal 6 3 2 3 4 2" xfId="6017" xr:uid="{A1B14C70-E3FB-409F-AE49-BC8576A20906}"/>
    <cellStyle name="Normal 6 3 2 3 4 2 2" xfId="12310" xr:uid="{3F58E8E3-6736-4C76-B34D-1E67577DA4C4}"/>
    <cellStyle name="Normal 6 3 2 3 4 2 2 2" xfId="24992" xr:uid="{092FBAA3-E48F-488D-BF47-1646E8CE7DA3}"/>
    <cellStyle name="Normal 6 3 2 3 4 2 2 2 2" xfId="50484" xr:uid="{9EA8B6CF-9329-4A96-91B9-DE6A0CD504F9}"/>
    <cellStyle name="Normal 6 3 2 3 4 2 2 3" xfId="37893" xr:uid="{A9F25741-5ECE-4EA3-AFEC-7B48E50EAFB4}"/>
    <cellStyle name="Normal 6 3 2 3 4 2 3" xfId="18714" xr:uid="{46A19A05-4B3F-4E82-B2CD-812D5241991B}"/>
    <cellStyle name="Normal 6 3 2 3 4 2 3 2" xfId="44206" xr:uid="{0CBBB0E8-22B4-414D-96CE-75F26FC6CE5E}"/>
    <cellStyle name="Normal 6 3 2 3 4 2 4" xfId="31615" xr:uid="{CA01BC05-4BD5-40D4-BB29-D8B50FE1D37A}"/>
    <cellStyle name="Normal 6 3 2 3 4 3" xfId="9171" xr:uid="{57AEB2C9-C53C-4E9D-A9DB-3FD08ABE90B1}"/>
    <cellStyle name="Normal 6 3 2 3 4 3 2" xfId="21853" xr:uid="{490EDA70-EB9C-45DD-AE08-F47A3B54EBB9}"/>
    <cellStyle name="Normal 6 3 2 3 4 3 2 2" xfId="47345" xr:uid="{119B2CC4-2B16-4A10-99D9-2D314B21FE4A}"/>
    <cellStyle name="Normal 6 3 2 3 4 3 3" xfId="34754" xr:uid="{1B4E6610-5E76-436F-8270-E8831643CD0D}"/>
    <cellStyle name="Normal 6 3 2 3 4 4" xfId="15575" xr:uid="{B7B420FF-00B1-401A-8841-C598AC8BB8BD}"/>
    <cellStyle name="Normal 6 3 2 3 4 4 2" xfId="41067" xr:uid="{1E98975B-F61D-4E8E-85C9-9D9B2F6D06EF}"/>
    <cellStyle name="Normal 6 3 2 3 4 5" xfId="28476" xr:uid="{054BE321-85D6-4B7E-8BCF-AF84C141242B}"/>
    <cellStyle name="Normal 6 3 2 3 5" xfId="3386" xr:uid="{0E1AB866-92A8-4EE8-9717-5D9F6E9C25E5}"/>
    <cellStyle name="Normal 6 3 2 3 5 2" xfId="6540" xr:uid="{A027CF69-E3B3-408D-B443-6EEB1212927C}"/>
    <cellStyle name="Normal 6 3 2 3 5 2 2" xfId="12833" xr:uid="{E70A7B12-7CDF-41B8-9288-330B55EA3178}"/>
    <cellStyle name="Normal 6 3 2 3 5 2 2 2" xfId="25515" xr:uid="{7ACB82F4-6FD4-418A-A1E7-17C1DF77AE2D}"/>
    <cellStyle name="Normal 6 3 2 3 5 2 2 2 2" xfId="51007" xr:uid="{9478D779-747B-4E78-AFF6-DC1DA8E01C31}"/>
    <cellStyle name="Normal 6 3 2 3 5 2 2 3" xfId="38416" xr:uid="{AF2BF419-C728-44BA-86FD-D870E947959A}"/>
    <cellStyle name="Normal 6 3 2 3 5 2 3" xfId="19237" xr:uid="{CD3358BA-9FFE-4A71-A826-0001A9150CA9}"/>
    <cellStyle name="Normal 6 3 2 3 5 2 3 2" xfId="44729" xr:uid="{1EC89210-CC08-4DC4-981A-B86FC3BFE644}"/>
    <cellStyle name="Normal 6 3 2 3 5 2 4" xfId="32138" xr:uid="{75074169-9F97-4AFA-8414-39EFDF8EFC1A}"/>
    <cellStyle name="Normal 6 3 2 3 5 3" xfId="9694" xr:uid="{F3A9161F-73B4-43CE-8EC0-4C526BE93FE0}"/>
    <cellStyle name="Normal 6 3 2 3 5 3 2" xfId="22376" xr:uid="{DB02DB90-C504-4432-BC9D-EA3EBBD4C1CF}"/>
    <cellStyle name="Normal 6 3 2 3 5 3 2 2" xfId="47868" xr:uid="{700EE760-B131-4FC4-B6FA-D206368AD666}"/>
    <cellStyle name="Normal 6 3 2 3 5 3 3" xfId="35277" xr:uid="{8E5793CB-66DD-4996-AD68-2244B3F09913}"/>
    <cellStyle name="Normal 6 3 2 3 5 4" xfId="16098" xr:uid="{4D3B33D7-863D-4021-A2C6-ADC0473D9E1F}"/>
    <cellStyle name="Normal 6 3 2 3 5 4 2" xfId="41590" xr:uid="{3F4779C0-8C81-4674-8D62-98AE54804920}"/>
    <cellStyle name="Normal 6 3 2 3 5 5" xfId="28999" xr:uid="{E5DFCDA2-AC2C-49E7-8224-A647F3363B59}"/>
    <cellStyle name="Normal 6 3 2 3 6" xfId="4186" xr:uid="{24F60BAB-AB2C-4A1E-A1A7-532DC73775CF}"/>
    <cellStyle name="Normal 6 3 2 3 6 2" xfId="10479" xr:uid="{30B99A70-110B-4CBB-909F-2038BFB9C61F}"/>
    <cellStyle name="Normal 6 3 2 3 6 2 2" xfId="23161" xr:uid="{3A657DC8-2892-4AB7-8795-4F87CE0B760C}"/>
    <cellStyle name="Normal 6 3 2 3 6 2 2 2" xfId="48653" xr:uid="{6E8E372E-ED3A-4402-9C57-304FCE3A04FA}"/>
    <cellStyle name="Normal 6 3 2 3 6 2 3" xfId="36062" xr:uid="{D8D80557-A1A3-42D2-9B56-182A49A24929}"/>
    <cellStyle name="Normal 6 3 2 3 6 3" xfId="16883" xr:uid="{34083254-1D74-4D19-BA1F-AEDC41DBF1D7}"/>
    <cellStyle name="Normal 6 3 2 3 6 3 2" xfId="42375" xr:uid="{BC093C98-3CA6-4A20-87B7-9F7209355E1C}"/>
    <cellStyle name="Normal 6 3 2 3 6 4" xfId="29784" xr:uid="{A008D19E-0900-42A4-A609-7E01251ACC25}"/>
    <cellStyle name="Normal 6 3 2 3 7" xfId="7340" xr:uid="{41441964-9CD9-4845-B345-945F6C441949}"/>
    <cellStyle name="Normal 6 3 2 3 7 2" xfId="20022" xr:uid="{9C6F44BC-1FEF-4A33-B0EA-83A42AAD8401}"/>
    <cellStyle name="Normal 6 3 2 3 7 2 2" xfId="45514" xr:uid="{7D935586-1BE8-4ACB-B318-09D21317EAD9}"/>
    <cellStyle name="Normal 6 3 2 3 7 3" xfId="32923" xr:uid="{BFDD6C8D-F205-49FF-B4F6-F17A542AA93B}"/>
    <cellStyle name="Normal 6 3 2 3 8" xfId="13744" xr:uid="{8E3BE14B-2960-40E9-9BB5-A2448CA9CDCC}"/>
    <cellStyle name="Normal 6 3 2 3 8 2" xfId="39236" xr:uid="{4BF1C512-B1F9-4FD8-95DC-5C0766695089}"/>
    <cellStyle name="Normal 6 3 2 3 9" xfId="26645" xr:uid="{CE596320-D3A5-4CAD-8483-F558566D9360}"/>
    <cellStyle name="Normal 6 3 2 4" xfId="772" xr:uid="{C72CF711-EDE4-44B9-B104-227B6337C6DC}"/>
    <cellStyle name="Normal 6 3 2 4 2" xfId="2079" xr:uid="{FFF0D2E1-AA69-45AE-AB30-FF04990DE450}"/>
    <cellStyle name="Normal 6 3 2 4 2 2" xfId="5233" xr:uid="{634C64B6-7835-4359-A0CA-255CD8B8D746}"/>
    <cellStyle name="Normal 6 3 2 4 2 2 2" xfId="11526" xr:uid="{30A40E96-1B90-465D-B3D7-1528BB44BEDE}"/>
    <cellStyle name="Normal 6 3 2 4 2 2 2 2" xfId="24208" xr:uid="{E8CD1A84-CA7A-4D92-BBDE-D518D52DB6DA}"/>
    <cellStyle name="Normal 6 3 2 4 2 2 2 2 2" xfId="49700" xr:uid="{09E82118-7D1D-413F-B99A-3C63F2681D11}"/>
    <cellStyle name="Normal 6 3 2 4 2 2 2 3" xfId="37109" xr:uid="{FC3DC3D0-2F1A-4D7F-B598-60492D8773E5}"/>
    <cellStyle name="Normal 6 3 2 4 2 2 3" xfId="17930" xr:uid="{560C6791-7BB6-48B2-BB2D-500D95550260}"/>
    <cellStyle name="Normal 6 3 2 4 2 2 3 2" xfId="43422" xr:uid="{7E67B915-41B8-4F39-8562-C50DBF596301}"/>
    <cellStyle name="Normal 6 3 2 4 2 2 4" xfId="30831" xr:uid="{BD067F8A-1EE8-4903-83C4-2746CD4B31A5}"/>
    <cellStyle name="Normal 6 3 2 4 2 3" xfId="8387" xr:uid="{388A7310-7508-45B7-AD71-E5874018B06B}"/>
    <cellStyle name="Normal 6 3 2 4 2 3 2" xfId="21069" xr:uid="{7D0320F7-EDFA-4597-BD8B-34DF2DFE4373}"/>
    <cellStyle name="Normal 6 3 2 4 2 3 2 2" xfId="46561" xr:uid="{0A94F3CF-1421-4435-B373-51481B0B5264}"/>
    <cellStyle name="Normal 6 3 2 4 2 3 3" xfId="33970" xr:uid="{07B9BD91-2284-42E7-AB65-45719505953B}"/>
    <cellStyle name="Normal 6 3 2 4 2 4" xfId="14791" xr:uid="{D4BF8179-B694-4934-9A00-907E4ABD1086}"/>
    <cellStyle name="Normal 6 3 2 4 2 4 2" xfId="40283" xr:uid="{0AF169BB-66AA-4EE3-B2E8-899AC8D33DCC}"/>
    <cellStyle name="Normal 6 3 2 4 2 5" xfId="27692" xr:uid="{DFBD29DC-126B-4FB9-A27A-FB9773CEF3D9}"/>
    <cellStyle name="Normal 6 3 2 4 3" xfId="3926" xr:uid="{773A42FD-C8EF-43E7-8A73-699FD98C2F6E}"/>
    <cellStyle name="Normal 6 3 2 4 3 2" xfId="10219" xr:uid="{B01BD4F8-48CE-4FCA-A2EE-6B4978BB6D70}"/>
    <cellStyle name="Normal 6 3 2 4 3 2 2" xfId="22901" xr:uid="{AFD65E1C-F0A7-4A09-B341-8168CA832AD7}"/>
    <cellStyle name="Normal 6 3 2 4 3 2 2 2" xfId="48393" xr:uid="{84D7B145-1247-4BBC-81D6-26CAC4CA5AB6}"/>
    <cellStyle name="Normal 6 3 2 4 3 2 3" xfId="35802" xr:uid="{21C32EE0-28A7-4CFD-B97E-3B656723327D}"/>
    <cellStyle name="Normal 6 3 2 4 3 3" xfId="16623" xr:uid="{2394437A-764E-4EDA-95DA-1F3E0245D7CF}"/>
    <cellStyle name="Normal 6 3 2 4 3 3 2" xfId="42115" xr:uid="{AC0FC9D5-43FA-4C5A-8FF8-3D6F2E909AFC}"/>
    <cellStyle name="Normal 6 3 2 4 3 4" xfId="29524" xr:uid="{6CA786AB-5CE0-4919-906D-9B731E233C6E}"/>
    <cellStyle name="Normal 6 3 2 4 4" xfId="7080" xr:uid="{76ACAB5C-5A59-4D43-BDAC-5B6F0EEA9E4B}"/>
    <cellStyle name="Normal 6 3 2 4 4 2" xfId="19762" xr:uid="{3470DA29-325C-45CD-A0C9-B4C3A8541FFB}"/>
    <cellStyle name="Normal 6 3 2 4 4 2 2" xfId="45254" xr:uid="{195B915E-3AF6-4AFA-AD31-00E0310C7A52}"/>
    <cellStyle name="Normal 6 3 2 4 4 3" xfId="32663" xr:uid="{8036A6FF-9F3E-41CC-9E11-B89CA1FA6093}"/>
    <cellStyle name="Normal 6 3 2 4 5" xfId="13484" xr:uid="{79813434-79A3-4F5D-92FF-0322DCAF6BD6}"/>
    <cellStyle name="Normal 6 3 2 4 5 2" xfId="38976" xr:uid="{C39AB7A3-9016-4FE4-AD45-B0987F516CBB}"/>
    <cellStyle name="Normal 6 3 2 4 6" xfId="26385" xr:uid="{91DEBF1D-8743-4CD1-A826-B985929BC860}"/>
    <cellStyle name="Normal 6 3 2 5" xfId="1817" xr:uid="{E0F33B20-1E70-4FF8-9677-F2B82A1CD904}"/>
    <cellStyle name="Normal 6 3 2 5 2" xfId="4971" xr:uid="{56DECDCA-FAE4-4183-A001-3A0C0DF67FFC}"/>
    <cellStyle name="Normal 6 3 2 5 2 2" xfId="11264" xr:uid="{C8AEED1B-98D7-4136-92EB-1BF42A493845}"/>
    <cellStyle name="Normal 6 3 2 5 2 2 2" xfId="23946" xr:uid="{4D496924-37A5-43D8-B1DD-DB11D2F289DB}"/>
    <cellStyle name="Normal 6 3 2 5 2 2 2 2" xfId="49438" xr:uid="{8D307FFC-AA30-4BCD-BCDD-487D1751B6E7}"/>
    <cellStyle name="Normal 6 3 2 5 2 2 3" xfId="36847" xr:uid="{9BCDF887-D210-493B-9B3E-E90258419B46}"/>
    <cellStyle name="Normal 6 3 2 5 2 3" xfId="17668" xr:uid="{188C59CE-7F66-4C9B-B5A6-E2EE76CA962D}"/>
    <cellStyle name="Normal 6 3 2 5 2 3 2" xfId="43160" xr:uid="{2FDFF480-3ABF-4CFE-BC54-7AB3717B531A}"/>
    <cellStyle name="Normal 6 3 2 5 2 4" xfId="30569" xr:uid="{6B00CF7E-A303-4D6B-B833-FB1C87613785}"/>
    <cellStyle name="Normal 6 3 2 5 3" xfId="8125" xr:uid="{914B0F4A-78CC-4E12-8F33-AC134093E14F}"/>
    <cellStyle name="Normal 6 3 2 5 3 2" xfId="20807" xr:uid="{43590D60-B975-4A30-96DF-7650FF9B981E}"/>
    <cellStyle name="Normal 6 3 2 5 3 2 2" xfId="46299" xr:uid="{FA8B091A-17A1-454C-B180-005B5867DFCB}"/>
    <cellStyle name="Normal 6 3 2 5 3 3" xfId="33708" xr:uid="{EAAC4802-2E43-4283-B9D1-2F076517C996}"/>
    <cellStyle name="Normal 6 3 2 5 4" xfId="14529" xr:uid="{04E435D7-3CE5-4143-A775-DF01039D8F29}"/>
    <cellStyle name="Normal 6 3 2 5 4 2" xfId="40021" xr:uid="{2616128D-03A3-41E5-9700-478496C24C7A}"/>
    <cellStyle name="Normal 6 3 2 5 5" xfId="27430" xr:uid="{25A9748A-C072-4B30-9F1F-03F6333FFE30}"/>
    <cellStyle name="Normal 6 3 2 6" xfId="1295" xr:uid="{D6170254-13F8-4A57-B917-B57CA1521B01}"/>
    <cellStyle name="Normal 6 3 2 6 2" xfId="4449" xr:uid="{4CD4EDE6-F9FA-47CE-9D13-D45B33C55ABB}"/>
    <cellStyle name="Normal 6 3 2 6 2 2" xfId="10742" xr:uid="{47676A81-741E-40CD-9C3A-0D194EDB16A8}"/>
    <cellStyle name="Normal 6 3 2 6 2 2 2" xfId="23424" xr:uid="{62B6B0BB-F4D2-4E2A-86C8-A571029BE66F}"/>
    <cellStyle name="Normal 6 3 2 6 2 2 2 2" xfId="48916" xr:uid="{C5999BA9-5C77-4395-8CD0-25216A6641E0}"/>
    <cellStyle name="Normal 6 3 2 6 2 2 3" xfId="36325" xr:uid="{C2C2FB4D-A8A9-47D4-8269-ACDFE4A5F9C2}"/>
    <cellStyle name="Normal 6 3 2 6 2 3" xfId="17146" xr:uid="{7659E6EA-6FAA-4060-9200-2C30F8D19DCB}"/>
    <cellStyle name="Normal 6 3 2 6 2 3 2" xfId="42638" xr:uid="{FCFA1737-669A-47D8-A828-ABE27FE5D2B8}"/>
    <cellStyle name="Normal 6 3 2 6 2 4" xfId="30047" xr:uid="{65652881-B136-44AD-BFD5-21537E9F893B}"/>
    <cellStyle name="Normal 6 3 2 6 3" xfId="7603" xr:uid="{55102DE0-9B73-439C-BA3D-8B227E1EDDFD}"/>
    <cellStyle name="Normal 6 3 2 6 3 2" xfId="20285" xr:uid="{C464043A-DA3B-4FB5-B5A5-DBBA3771A383}"/>
    <cellStyle name="Normal 6 3 2 6 3 2 2" xfId="45777" xr:uid="{20CA1114-2A12-41DA-855F-4E9EC39B7227}"/>
    <cellStyle name="Normal 6 3 2 6 3 3" xfId="33186" xr:uid="{92A1AE2F-E627-43F9-9836-9F949DAD3E03}"/>
    <cellStyle name="Normal 6 3 2 6 4" xfId="14007" xr:uid="{9CD0DADA-E202-4BF1-B7AE-CAF0846A1C18}"/>
    <cellStyle name="Normal 6 3 2 6 4 2" xfId="39499" xr:uid="{E878A5E1-7385-4402-B7B1-027CE50A4C10}"/>
    <cellStyle name="Normal 6 3 2 6 5" xfId="26908" xr:uid="{19159FAD-C61E-4AF3-965D-521796302E1E}"/>
    <cellStyle name="Normal 6 3 2 7" xfId="2602" xr:uid="{F36D9AEF-560A-4261-8C80-21A9ED2905F5}"/>
    <cellStyle name="Normal 6 3 2 7 2" xfId="5756" xr:uid="{F8CAC5D3-2027-4243-8CFD-6B6BB50055F1}"/>
    <cellStyle name="Normal 6 3 2 7 2 2" xfId="12049" xr:uid="{41DF3806-6666-4D29-9410-AF7B541F532E}"/>
    <cellStyle name="Normal 6 3 2 7 2 2 2" xfId="24731" xr:uid="{2CD40A80-A2C6-43A1-A953-311A83F862B4}"/>
    <cellStyle name="Normal 6 3 2 7 2 2 2 2" xfId="50223" xr:uid="{3DF813BA-EA1E-4124-84E1-50226EAD9B77}"/>
    <cellStyle name="Normal 6 3 2 7 2 2 3" xfId="37632" xr:uid="{3581FD04-FD58-45F9-BA20-E69CD1C0A442}"/>
    <cellStyle name="Normal 6 3 2 7 2 3" xfId="18453" xr:uid="{E4A4121B-FE61-4478-BA7D-B0D720996521}"/>
    <cellStyle name="Normal 6 3 2 7 2 3 2" xfId="43945" xr:uid="{EF3CA047-5353-4AEB-A2A2-4773CF485B99}"/>
    <cellStyle name="Normal 6 3 2 7 2 4" xfId="31354" xr:uid="{EE477F0C-5078-4B42-86D5-D8C9275145EB}"/>
    <cellStyle name="Normal 6 3 2 7 3" xfId="8910" xr:uid="{68EC356C-5A09-4225-B036-0E2FC542F9DC}"/>
    <cellStyle name="Normal 6 3 2 7 3 2" xfId="21592" xr:uid="{A080996D-DF83-48CC-AA88-781393C6812F}"/>
    <cellStyle name="Normal 6 3 2 7 3 2 2" xfId="47084" xr:uid="{7BF7F6E7-C482-45AA-83FB-B609E84CD599}"/>
    <cellStyle name="Normal 6 3 2 7 3 3" xfId="34493" xr:uid="{A0F0A28D-6B9F-48FE-A6B0-9D3D609F9E5D}"/>
    <cellStyle name="Normal 6 3 2 7 4" xfId="15314" xr:uid="{21AEC8F3-5FA0-44C9-9950-7BB0229AD845}"/>
    <cellStyle name="Normal 6 3 2 7 4 2" xfId="40806" xr:uid="{8427F1B0-98A2-42AA-8E92-76BB66447B96}"/>
    <cellStyle name="Normal 6 3 2 7 5" xfId="28215" xr:uid="{F749912F-503D-488D-83E2-1A9DA5792FB0}"/>
    <cellStyle name="Normal 6 3 2 8" xfId="3125" xr:uid="{650679C2-116E-4934-AEC2-D04C2C80812D}"/>
    <cellStyle name="Normal 6 3 2 8 2" xfId="6279" xr:uid="{B24699D0-E60A-4169-B7F3-E27DABE4823C}"/>
    <cellStyle name="Normal 6 3 2 8 2 2" xfId="12572" xr:uid="{A9DC71FE-03EC-424F-955E-8256BC8B3C6C}"/>
    <cellStyle name="Normal 6 3 2 8 2 2 2" xfId="25254" xr:uid="{3FF760B3-79A8-4A2A-BFBB-B8F3E12F4EB8}"/>
    <cellStyle name="Normal 6 3 2 8 2 2 2 2" xfId="50746" xr:uid="{3C9B7390-4EB0-4C02-9013-549BF22B194C}"/>
    <cellStyle name="Normal 6 3 2 8 2 2 3" xfId="38155" xr:uid="{B89DB76D-30AA-4D37-8E2C-0B90E2230C40}"/>
    <cellStyle name="Normal 6 3 2 8 2 3" xfId="18976" xr:uid="{C53A3A48-98E3-4740-A4A2-1DAD8CAD37C1}"/>
    <cellStyle name="Normal 6 3 2 8 2 3 2" xfId="44468" xr:uid="{A260FEF5-DFB6-40EF-ADEE-9F0C9DA4914E}"/>
    <cellStyle name="Normal 6 3 2 8 2 4" xfId="31877" xr:uid="{F0689944-042D-4250-9321-BA0FAC71A021}"/>
    <cellStyle name="Normal 6 3 2 8 3" xfId="9433" xr:uid="{5DBB64FC-3CED-4036-9430-285CED0E0939}"/>
    <cellStyle name="Normal 6 3 2 8 3 2" xfId="22115" xr:uid="{4994F8A6-DC3A-4E28-A56B-389E2D1C690E}"/>
    <cellStyle name="Normal 6 3 2 8 3 2 2" xfId="47607" xr:uid="{CEFA7523-D388-48FE-B69E-E1B33D3FE7E0}"/>
    <cellStyle name="Normal 6 3 2 8 3 3" xfId="35016" xr:uid="{0751B21E-B313-432A-B2AF-27A0191B6164}"/>
    <cellStyle name="Normal 6 3 2 8 4" xfId="15837" xr:uid="{27B2B11F-3261-472F-8A04-AA9F20AC16DF}"/>
    <cellStyle name="Normal 6 3 2 8 4 2" xfId="41329" xr:uid="{2F7EF967-000E-4493-8B3B-CE4B10EDFD55}"/>
    <cellStyle name="Normal 6 3 2 8 5" xfId="28738" xr:uid="{173A47FA-B8B5-427B-96A6-7A37121EC0EC}"/>
    <cellStyle name="Normal 6 3 2 9" xfId="3664" xr:uid="{4F6D31B0-E48B-41FC-BDB4-57F69FD80E20}"/>
    <cellStyle name="Normal 6 3 2 9 2" xfId="9957" xr:uid="{9F1357F0-9F1C-4556-8858-9F80543DC817}"/>
    <cellStyle name="Normal 6 3 2 9 2 2" xfId="22639" xr:uid="{3EB03755-6256-4A5C-8AD3-95CD9CC781A7}"/>
    <cellStyle name="Normal 6 3 2 9 2 2 2" xfId="48131" xr:uid="{CD1E0238-AEBC-45BD-96C4-B3E0557C5586}"/>
    <cellStyle name="Normal 6 3 2 9 2 3" xfId="35540" xr:uid="{6D6389A1-2102-42B2-ADA5-689D15869F42}"/>
    <cellStyle name="Normal 6 3 2 9 3" xfId="16361" xr:uid="{DA8984A4-86E2-4C60-90C7-F883EAB0C5AE}"/>
    <cellStyle name="Normal 6 3 2 9 3 2" xfId="41853" xr:uid="{2FD468EE-1B64-4DD0-9AEB-69AA03B3B4F0}"/>
    <cellStyle name="Normal 6 3 2 9 4" xfId="29262" xr:uid="{0CF951AC-B6ED-4BCF-9A0F-C64C13F829AF}"/>
    <cellStyle name="Normal 6 3 3" xfId="593" xr:uid="{E6720556-4546-4DD4-A965-B3AF2B64B98E}"/>
    <cellStyle name="Normal 6 3 3 10" xfId="13320" xr:uid="{88BEC1BF-6EB6-4266-ABEA-FA5D1CAFDF3D}"/>
    <cellStyle name="Normal 6 3 3 10 2" xfId="38812" xr:uid="{D1DE493B-19B8-4F80-A763-50B52BC1D556}"/>
    <cellStyle name="Normal 6 3 3 11" xfId="26221" xr:uid="{86828043-C37C-4CB0-BEED-863FE37AF851}"/>
    <cellStyle name="Normal 6 3 3 2" xfId="1130" xr:uid="{75F06FFC-9478-417A-AA9A-E1BDF9ADD9A0}"/>
    <cellStyle name="Normal 6 3 3 2 2" xfId="2437" xr:uid="{9D488F1D-0743-4639-BF24-B519CFC7E581}"/>
    <cellStyle name="Normal 6 3 3 2 2 2" xfId="5591" xr:uid="{10370886-DE1E-4E90-A0CC-EDF1691787AF}"/>
    <cellStyle name="Normal 6 3 3 2 2 2 2" xfId="11884" xr:uid="{1A8EBB78-3C09-4DAD-9501-1AE9155868C2}"/>
    <cellStyle name="Normal 6 3 3 2 2 2 2 2" xfId="24566" xr:uid="{8E9D9458-FD06-49BF-8852-9D38721B9DF8}"/>
    <cellStyle name="Normal 6 3 3 2 2 2 2 2 2" xfId="50058" xr:uid="{CF143A61-ECE7-4838-A134-53ED3CEB45A5}"/>
    <cellStyle name="Normal 6 3 3 2 2 2 2 3" xfId="37467" xr:uid="{2E46C383-2670-4794-8343-32990F5C6B69}"/>
    <cellStyle name="Normal 6 3 3 2 2 2 3" xfId="18288" xr:uid="{27A06DBE-5030-45C2-A3C9-407E85C8EB74}"/>
    <cellStyle name="Normal 6 3 3 2 2 2 3 2" xfId="43780" xr:uid="{4813139B-9DE7-488F-9FE4-C25C06275AA6}"/>
    <cellStyle name="Normal 6 3 3 2 2 2 4" xfId="31189" xr:uid="{96AB6A12-5392-422B-8C74-1F5F60E68397}"/>
    <cellStyle name="Normal 6 3 3 2 2 3" xfId="8745" xr:uid="{237C7C8C-1BBD-44F7-ABB2-56CD3EB82BFC}"/>
    <cellStyle name="Normal 6 3 3 2 2 3 2" xfId="21427" xr:uid="{76C12E79-7302-46FD-AF3E-DE345EA843D9}"/>
    <cellStyle name="Normal 6 3 3 2 2 3 2 2" xfId="46919" xr:uid="{1D17A974-55D4-4605-B401-FD54F31BCD1B}"/>
    <cellStyle name="Normal 6 3 3 2 2 3 3" xfId="34328" xr:uid="{65E847ED-2ED5-4AFE-944F-83C996D9AAF1}"/>
    <cellStyle name="Normal 6 3 3 2 2 4" xfId="15149" xr:uid="{4FB270A5-6165-4D0D-86E4-6E4384378F67}"/>
    <cellStyle name="Normal 6 3 3 2 2 4 2" xfId="40641" xr:uid="{2EA11043-D526-4265-AA07-EC24178C250E}"/>
    <cellStyle name="Normal 6 3 3 2 2 5" xfId="28050" xr:uid="{9416C53A-953D-44E5-9FC9-6D8DD6E84753}"/>
    <cellStyle name="Normal 6 3 3 2 3" xfId="1654" xr:uid="{34E06BEE-1BD4-4510-B644-23521C662305}"/>
    <cellStyle name="Normal 6 3 3 2 3 2" xfId="4808" xr:uid="{85023FF3-CBAD-4CA4-A6E0-CDD9FD938CB9}"/>
    <cellStyle name="Normal 6 3 3 2 3 2 2" xfId="11101" xr:uid="{A3EE5872-AB7A-44FE-BF10-99CBB2C4B3F7}"/>
    <cellStyle name="Normal 6 3 3 2 3 2 2 2" xfId="23783" xr:uid="{A89BE9E6-7A51-4C13-91AB-E427ABA4215A}"/>
    <cellStyle name="Normal 6 3 3 2 3 2 2 2 2" xfId="49275" xr:uid="{D99B2CF3-836F-453F-B8FB-D0B383BC77C7}"/>
    <cellStyle name="Normal 6 3 3 2 3 2 2 3" xfId="36684" xr:uid="{C2BB44AA-872C-4336-8BB1-1BA3B6EF53D9}"/>
    <cellStyle name="Normal 6 3 3 2 3 2 3" xfId="17505" xr:uid="{CFDDE165-932D-4CC2-B055-BF961BDB5A03}"/>
    <cellStyle name="Normal 6 3 3 2 3 2 3 2" xfId="42997" xr:uid="{06F68B64-30D6-499A-B457-41255129CFEA}"/>
    <cellStyle name="Normal 6 3 3 2 3 2 4" xfId="30406" xr:uid="{6C405C70-2FCA-46E7-9D26-7B94D89FAD1C}"/>
    <cellStyle name="Normal 6 3 3 2 3 3" xfId="7962" xr:uid="{4E965268-B3A9-4FAA-9880-1B4FF2BC5B68}"/>
    <cellStyle name="Normal 6 3 3 2 3 3 2" xfId="20644" xr:uid="{04DB1B20-39EE-420D-BCB5-8383027AEB26}"/>
    <cellStyle name="Normal 6 3 3 2 3 3 2 2" xfId="46136" xr:uid="{62D622BD-CD1F-4060-8126-CE5FD69EAF8B}"/>
    <cellStyle name="Normal 6 3 3 2 3 3 3" xfId="33545" xr:uid="{0AB5A23D-8E5C-4963-AE77-02670DC4CF8E}"/>
    <cellStyle name="Normal 6 3 3 2 3 4" xfId="14366" xr:uid="{FACD34E7-F950-442D-A0D1-B6325E030B79}"/>
    <cellStyle name="Normal 6 3 3 2 3 4 2" xfId="39858" xr:uid="{4882F77F-12DB-4A03-9571-1CFFE8172A74}"/>
    <cellStyle name="Normal 6 3 3 2 3 5" xfId="27267" xr:uid="{2DC2069A-6D08-42C2-922E-C9BC5E2CCD85}"/>
    <cellStyle name="Normal 6 3 3 2 4" xfId="2961" xr:uid="{7CEA7604-3986-4AA7-B435-D79B4E139C10}"/>
    <cellStyle name="Normal 6 3 3 2 4 2" xfId="6115" xr:uid="{99FDD358-D0D0-411D-963C-987B4F929CA5}"/>
    <cellStyle name="Normal 6 3 3 2 4 2 2" xfId="12408" xr:uid="{264D1040-ED60-44CF-BDC1-F0AB58E8BDAE}"/>
    <cellStyle name="Normal 6 3 3 2 4 2 2 2" xfId="25090" xr:uid="{61E33219-5CCF-4141-A380-58D2D6665E01}"/>
    <cellStyle name="Normal 6 3 3 2 4 2 2 2 2" xfId="50582" xr:uid="{83913F6F-8C93-4B26-A3BB-BBA08075EA9E}"/>
    <cellStyle name="Normal 6 3 3 2 4 2 2 3" xfId="37991" xr:uid="{EE79890B-506E-4879-81EA-76621EC1D47B}"/>
    <cellStyle name="Normal 6 3 3 2 4 2 3" xfId="18812" xr:uid="{3DE296DD-963A-4123-8F2E-2974673B5FD4}"/>
    <cellStyle name="Normal 6 3 3 2 4 2 3 2" xfId="44304" xr:uid="{EECE67FA-B08A-44D2-8235-270680D4D3B2}"/>
    <cellStyle name="Normal 6 3 3 2 4 2 4" xfId="31713" xr:uid="{3A3D1EC8-E8D7-44E8-A462-CEA8FD9C8BA4}"/>
    <cellStyle name="Normal 6 3 3 2 4 3" xfId="9269" xr:uid="{83DC6460-173F-4167-B9BE-9BCEFA689746}"/>
    <cellStyle name="Normal 6 3 3 2 4 3 2" xfId="21951" xr:uid="{82CA59C5-B546-4DE9-8BF6-15245EEF8DF3}"/>
    <cellStyle name="Normal 6 3 3 2 4 3 2 2" xfId="47443" xr:uid="{8FB15055-4106-4E97-8DB7-CF3D151F6ED3}"/>
    <cellStyle name="Normal 6 3 3 2 4 3 3" xfId="34852" xr:uid="{007AA349-B428-486D-B32F-16F2A4BBE3B3}"/>
    <cellStyle name="Normal 6 3 3 2 4 4" xfId="15673" xr:uid="{130758BD-631D-4C94-A878-BA25CB2A8AAD}"/>
    <cellStyle name="Normal 6 3 3 2 4 4 2" xfId="41165" xr:uid="{15FCF594-F563-4E98-BF4C-57A8FDA7D164}"/>
    <cellStyle name="Normal 6 3 3 2 4 5" xfId="28574" xr:uid="{06CF4AF7-8AC6-4C88-9C3A-7F55DE905047}"/>
    <cellStyle name="Normal 6 3 3 2 5" xfId="3484" xr:uid="{1BB16175-CCA3-4CA4-A7FE-587F9D4C3569}"/>
    <cellStyle name="Normal 6 3 3 2 5 2" xfId="6638" xr:uid="{BD01D583-CA85-4064-A54D-8F1981F9D10D}"/>
    <cellStyle name="Normal 6 3 3 2 5 2 2" xfId="12931" xr:uid="{6969C138-4BD2-4D6F-A2FF-4E3EFE9CAA6D}"/>
    <cellStyle name="Normal 6 3 3 2 5 2 2 2" xfId="25613" xr:uid="{E047CCEA-702F-4103-B0A5-4F7250F71495}"/>
    <cellStyle name="Normal 6 3 3 2 5 2 2 2 2" xfId="51105" xr:uid="{4A3228EB-FC50-4F4D-B010-BAA82C2CC7A1}"/>
    <cellStyle name="Normal 6 3 3 2 5 2 2 3" xfId="38514" xr:uid="{9EE52307-4AB1-43B9-8CF9-EDD1190B3D15}"/>
    <cellStyle name="Normal 6 3 3 2 5 2 3" xfId="19335" xr:uid="{89684A33-FC34-4303-897F-15CB48B63D2B}"/>
    <cellStyle name="Normal 6 3 3 2 5 2 3 2" xfId="44827" xr:uid="{20881362-69B6-4497-8170-F49D97A7C12C}"/>
    <cellStyle name="Normal 6 3 3 2 5 2 4" xfId="32236" xr:uid="{4A9685C9-A0DB-4EB1-9EE4-AEA6C08549DD}"/>
    <cellStyle name="Normal 6 3 3 2 5 3" xfId="9792" xr:uid="{4F5DF71D-5D78-4B24-B6D9-04E5D0CE1AC0}"/>
    <cellStyle name="Normal 6 3 3 2 5 3 2" xfId="22474" xr:uid="{6805DB29-CFED-4AF0-B8AA-BBECDBEE54CE}"/>
    <cellStyle name="Normal 6 3 3 2 5 3 2 2" xfId="47966" xr:uid="{48D1783A-3693-4E14-B999-0B9517F13FB2}"/>
    <cellStyle name="Normal 6 3 3 2 5 3 3" xfId="35375" xr:uid="{10C0E6F8-0E32-45B2-A470-06F547D72768}"/>
    <cellStyle name="Normal 6 3 3 2 5 4" xfId="16196" xr:uid="{9743606F-3A1A-4D2F-AF0D-0E3B77EC8FA9}"/>
    <cellStyle name="Normal 6 3 3 2 5 4 2" xfId="41688" xr:uid="{C565C326-1F47-4C52-8ADE-E04556B0C88C}"/>
    <cellStyle name="Normal 6 3 3 2 5 5" xfId="29097" xr:uid="{250946ED-0B87-4768-919A-E6A36E6B8246}"/>
    <cellStyle name="Normal 6 3 3 2 6" xfId="4284" xr:uid="{B2C93143-52EE-40D2-A5E6-5831E33869AE}"/>
    <cellStyle name="Normal 6 3 3 2 6 2" xfId="10577" xr:uid="{0297FEB7-D003-4C68-BA02-1C70CF0FE1AB}"/>
    <cellStyle name="Normal 6 3 3 2 6 2 2" xfId="23259" xr:uid="{91C953A4-0C15-4082-9FCC-3B40A30C63E2}"/>
    <cellStyle name="Normal 6 3 3 2 6 2 2 2" xfId="48751" xr:uid="{86BA1517-E063-4C3E-8B73-D1007037194F}"/>
    <cellStyle name="Normal 6 3 3 2 6 2 3" xfId="36160" xr:uid="{A53C65B9-441E-4DE0-84CA-FC2600FCAD10}"/>
    <cellStyle name="Normal 6 3 3 2 6 3" xfId="16981" xr:uid="{F4072A2C-8813-4121-8F36-5609257222B2}"/>
    <cellStyle name="Normal 6 3 3 2 6 3 2" xfId="42473" xr:uid="{160C7B18-5A4E-4881-A1AB-5DE8679B5B43}"/>
    <cellStyle name="Normal 6 3 3 2 6 4" xfId="29882" xr:uid="{19BB8373-2CE2-4607-911A-3CF08C73669A}"/>
    <cellStyle name="Normal 6 3 3 2 7" xfId="7438" xr:uid="{2D2BC660-9C28-45A1-8DE5-645AB57341D5}"/>
    <cellStyle name="Normal 6 3 3 2 7 2" xfId="20120" xr:uid="{921CA635-ECDF-4783-9F22-40974F74AA9A}"/>
    <cellStyle name="Normal 6 3 3 2 7 2 2" xfId="45612" xr:uid="{117F1DC3-221E-40D2-B46F-8822B4715D66}"/>
    <cellStyle name="Normal 6 3 3 2 7 3" xfId="33021" xr:uid="{6BE523F7-CB4D-4792-A221-54A43A5D8E46}"/>
    <cellStyle name="Normal 6 3 3 2 8" xfId="13842" xr:uid="{5F93515A-4F74-49EF-BFBA-075BAE1FC9BA}"/>
    <cellStyle name="Normal 6 3 3 2 8 2" xfId="39334" xr:uid="{2BC84F0D-9B02-4350-9E45-B4EBE2E29B1D}"/>
    <cellStyle name="Normal 6 3 3 2 9" xfId="26743" xr:uid="{1FC5616A-F54A-479A-95E5-61BD51BD5708}"/>
    <cellStyle name="Normal 6 3 3 3" xfId="870" xr:uid="{73E84C46-0AD9-4576-861F-53CD87C51305}"/>
    <cellStyle name="Normal 6 3 3 3 2" xfId="2177" xr:uid="{6579047B-274B-436F-A13A-DC76BEAABE7C}"/>
    <cellStyle name="Normal 6 3 3 3 2 2" xfId="5331" xr:uid="{7509CCF2-1DF5-4B35-B2F5-2B0B4C96B724}"/>
    <cellStyle name="Normal 6 3 3 3 2 2 2" xfId="11624" xr:uid="{2E93718E-9DFD-41A1-8E1E-00685BD6C306}"/>
    <cellStyle name="Normal 6 3 3 3 2 2 2 2" xfId="24306" xr:uid="{A9761246-3780-4B57-A112-BE44ED333364}"/>
    <cellStyle name="Normal 6 3 3 3 2 2 2 2 2" xfId="49798" xr:uid="{BFE30690-7AE2-44B0-927D-8D2BA8BC273C}"/>
    <cellStyle name="Normal 6 3 3 3 2 2 2 3" xfId="37207" xr:uid="{794090A2-45B0-44DF-A2A9-56780322D157}"/>
    <cellStyle name="Normal 6 3 3 3 2 2 3" xfId="18028" xr:uid="{92F2FD13-6A26-4999-9761-A689C489C6C9}"/>
    <cellStyle name="Normal 6 3 3 3 2 2 3 2" xfId="43520" xr:uid="{F2864EBE-BDC5-4948-8F80-1539CA3C0C83}"/>
    <cellStyle name="Normal 6 3 3 3 2 2 4" xfId="30929" xr:uid="{E415885E-33CF-420D-8C21-056BF4A17268}"/>
    <cellStyle name="Normal 6 3 3 3 2 3" xfId="8485" xr:uid="{A3A84457-33FF-4247-8D05-980250BA7918}"/>
    <cellStyle name="Normal 6 3 3 3 2 3 2" xfId="21167" xr:uid="{9DCDE732-9845-450B-AF2B-432B8859601A}"/>
    <cellStyle name="Normal 6 3 3 3 2 3 2 2" xfId="46659" xr:uid="{731E7674-D4E4-4048-8553-FCBA36367280}"/>
    <cellStyle name="Normal 6 3 3 3 2 3 3" xfId="34068" xr:uid="{A6D53FAC-6E06-4222-8257-D52417185DBF}"/>
    <cellStyle name="Normal 6 3 3 3 2 4" xfId="14889" xr:uid="{E8075714-6D41-4E53-81CD-691C93C3EBC9}"/>
    <cellStyle name="Normal 6 3 3 3 2 4 2" xfId="40381" xr:uid="{B6DB9F7A-5370-4C22-B2A7-57056B71ABF6}"/>
    <cellStyle name="Normal 6 3 3 3 2 5" xfId="27790" xr:uid="{32A442BF-BEE5-4BFC-B8EA-B922EA5EC7F5}"/>
    <cellStyle name="Normal 6 3 3 3 3" xfId="4024" xr:uid="{4F4FA464-7370-4D58-8FA1-A75AEEF03465}"/>
    <cellStyle name="Normal 6 3 3 3 3 2" xfId="10317" xr:uid="{982F2BFC-C9E7-4710-9391-B759198E943D}"/>
    <cellStyle name="Normal 6 3 3 3 3 2 2" xfId="22999" xr:uid="{172C4804-C476-41FF-A393-0ECC93E0461E}"/>
    <cellStyle name="Normal 6 3 3 3 3 2 2 2" xfId="48491" xr:uid="{2EE0A62D-74D4-4D34-B80E-89B6E65641E3}"/>
    <cellStyle name="Normal 6 3 3 3 3 2 3" xfId="35900" xr:uid="{0FAAA19A-8871-47C2-A752-9771D3697C56}"/>
    <cellStyle name="Normal 6 3 3 3 3 3" xfId="16721" xr:uid="{62845FE6-6032-468A-9010-87063D6E4E81}"/>
    <cellStyle name="Normal 6 3 3 3 3 3 2" xfId="42213" xr:uid="{9B6FE127-7692-4EBA-B771-0DF660C7BAC4}"/>
    <cellStyle name="Normal 6 3 3 3 3 4" xfId="29622" xr:uid="{9A30AB3E-73DE-45D5-93F8-36846532ADB5}"/>
    <cellStyle name="Normal 6 3 3 3 4" xfId="7178" xr:uid="{CE0D6C97-F115-4623-A62E-3AD4FFE8361D}"/>
    <cellStyle name="Normal 6 3 3 3 4 2" xfId="19860" xr:uid="{A6C1015F-9ABE-4547-AEBC-CD9A0CD080FD}"/>
    <cellStyle name="Normal 6 3 3 3 4 2 2" xfId="45352" xr:uid="{96CCBDBC-B6F5-4C80-9297-8E6145B7014A}"/>
    <cellStyle name="Normal 6 3 3 3 4 3" xfId="32761" xr:uid="{3C0A68D5-EAAD-42E5-BA8F-AB6F12291960}"/>
    <cellStyle name="Normal 6 3 3 3 5" xfId="13582" xr:uid="{06723AEA-03BF-4AF1-85A9-9937F5A8881E}"/>
    <cellStyle name="Normal 6 3 3 3 5 2" xfId="39074" xr:uid="{DAA3119B-35D9-4479-8BA9-46A1B376141B}"/>
    <cellStyle name="Normal 6 3 3 3 6" xfId="26483" xr:uid="{FB244D18-4B9E-4AFA-B6DA-B0248D1740A8}"/>
    <cellStyle name="Normal 6 3 3 4" xfId="1915" xr:uid="{AB7B1E48-313E-44E0-A7C1-ADA9B6DA009C}"/>
    <cellStyle name="Normal 6 3 3 4 2" xfId="5069" xr:uid="{DF542440-37E1-41D9-9991-75D6272066F0}"/>
    <cellStyle name="Normal 6 3 3 4 2 2" xfId="11362" xr:uid="{562B3358-EA18-42EC-AF7A-D98FF8DE3981}"/>
    <cellStyle name="Normal 6 3 3 4 2 2 2" xfId="24044" xr:uid="{C4748085-47B9-421C-A58F-DE9904927C4E}"/>
    <cellStyle name="Normal 6 3 3 4 2 2 2 2" xfId="49536" xr:uid="{697F98FB-CACF-4FD2-88A0-C6C114943861}"/>
    <cellStyle name="Normal 6 3 3 4 2 2 3" xfId="36945" xr:uid="{1EBDE1D7-BE3A-49C7-8AFF-03CFD18B8BF5}"/>
    <cellStyle name="Normal 6 3 3 4 2 3" xfId="17766" xr:uid="{6104CAA5-77E0-45D5-AEC2-4098F44D5D0B}"/>
    <cellStyle name="Normal 6 3 3 4 2 3 2" xfId="43258" xr:uid="{94C75F51-E2CE-43D9-8F36-77D9B5B4BEDB}"/>
    <cellStyle name="Normal 6 3 3 4 2 4" xfId="30667" xr:uid="{275D32D0-C94E-48E4-8626-8CDFF64A9FAA}"/>
    <cellStyle name="Normal 6 3 3 4 3" xfId="8223" xr:uid="{1C307300-C894-4C80-A6D6-C2AF365A7621}"/>
    <cellStyle name="Normal 6 3 3 4 3 2" xfId="20905" xr:uid="{9C67FCF8-08D0-433E-ADC8-D8ACF9194D39}"/>
    <cellStyle name="Normal 6 3 3 4 3 2 2" xfId="46397" xr:uid="{77E3BE1F-A4B9-4E09-A823-CD785960BFAC}"/>
    <cellStyle name="Normal 6 3 3 4 3 3" xfId="33806" xr:uid="{178E5192-8587-43C2-A213-6C681016843F}"/>
    <cellStyle name="Normal 6 3 3 4 4" xfId="14627" xr:uid="{7C7F4F39-67FF-4009-A6BF-B8392D61E266}"/>
    <cellStyle name="Normal 6 3 3 4 4 2" xfId="40119" xr:uid="{4F6AB7F0-FA6C-410D-A059-C0B8C0AA7930}"/>
    <cellStyle name="Normal 6 3 3 4 5" xfId="27528" xr:uid="{0B8D3B23-5F6C-48F1-94B8-105CCE317ED4}"/>
    <cellStyle name="Normal 6 3 3 5" xfId="1393" xr:uid="{56103EAC-6E75-4F6E-BC7D-F47014E6491B}"/>
    <cellStyle name="Normal 6 3 3 5 2" xfId="4547" xr:uid="{76BD9090-0797-4152-8FA8-087A82EAB109}"/>
    <cellStyle name="Normal 6 3 3 5 2 2" xfId="10840" xr:uid="{A5B85901-C640-4DB3-BF47-8BC976CF4D28}"/>
    <cellStyle name="Normal 6 3 3 5 2 2 2" xfId="23522" xr:uid="{EE771957-1B46-448B-8411-E4CBA6989E98}"/>
    <cellStyle name="Normal 6 3 3 5 2 2 2 2" xfId="49014" xr:uid="{2E389D65-6F74-4C3D-90F8-2A5E9E5439FA}"/>
    <cellStyle name="Normal 6 3 3 5 2 2 3" xfId="36423" xr:uid="{BF741FB5-FA91-4F06-A384-B03B3FFAFA12}"/>
    <cellStyle name="Normal 6 3 3 5 2 3" xfId="17244" xr:uid="{5012605D-C02A-432E-A41C-687F6BBCD28F}"/>
    <cellStyle name="Normal 6 3 3 5 2 3 2" xfId="42736" xr:uid="{551CCF45-00E6-4773-83F6-6C276A359020}"/>
    <cellStyle name="Normal 6 3 3 5 2 4" xfId="30145" xr:uid="{41B1A74C-40AE-46FA-8D95-27033BF27A43}"/>
    <cellStyle name="Normal 6 3 3 5 3" xfId="7701" xr:uid="{98A86B91-0DE8-4E6C-9AF2-1A735E03F4A8}"/>
    <cellStyle name="Normal 6 3 3 5 3 2" xfId="20383" xr:uid="{C1199C4E-3E61-4E8A-9764-41B2E9412133}"/>
    <cellStyle name="Normal 6 3 3 5 3 2 2" xfId="45875" xr:uid="{14D29E86-84E0-4419-BB89-FE08B279D854}"/>
    <cellStyle name="Normal 6 3 3 5 3 3" xfId="33284" xr:uid="{97E0C9E8-9CA7-422B-AFBB-721223823F4C}"/>
    <cellStyle name="Normal 6 3 3 5 4" xfId="14105" xr:uid="{B87EC806-E398-4EA4-9992-492E81CE02DF}"/>
    <cellStyle name="Normal 6 3 3 5 4 2" xfId="39597" xr:uid="{B64CC4E4-87DB-4BC4-90FA-98087899ECFA}"/>
    <cellStyle name="Normal 6 3 3 5 5" xfId="27006" xr:uid="{0FB39243-D2B1-4F0B-B097-81B18D2A3672}"/>
    <cellStyle name="Normal 6 3 3 6" xfId="2700" xr:uid="{731FBB5F-007D-4181-B296-C9B371A4B61F}"/>
    <cellStyle name="Normal 6 3 3 6 2" xfId="5854" xr:uid="{88A55440-166C-405C-8FF5-DBF14A9F40E2}"/>
    <cellStyle name="Normal 6 3 3 6 2 2" xfId="12147" xr:uid="{216D0FE7-5A41-4B33-8728-0463CA850EFF}"/>
    <cellStyle name="Normal 6 3 3 6 2 2 2" xfId="24829" xr:uid="{16ACEB26-ED29-4163-AC93-711EFF0C070D}"/>
    <cellStyle name="Normal 6 3 3 6 2 2 2 2" xfId="50321" xr:uid="{742DA2E8-9D77-4571-9513-E8CC9E3A2702}"/>
    <cellStyle name="Normal 6 3 3 6 2 2 3" xfId="37730" xr:uid="{EB36AF5D-960B-4B4E-BD8B-76F86DFEF043}"/>
    <cellStyle name="Normal 6 3 3 6 2 3" xfId="18551" xr:uid="{FF0EBACA-CE91-43A4-B116-98C1CC8ABEC3}"/>
    <cellStyle name="Normal 6 3 3 6 2 3 2" xfId="44043" xr:uid="{35842178-7E0C-479F-B387-6781DC2C5998}"/>
    <cellStyle name="Normal 6 3 3 6 2 4" xfId="31452" xr:uid="{54C70808-D466-459D-8C3A-4DDC9E931780}"/>
    <cellStyle name="Normal 6 3 3 6 3" xfId="9008" xr:uid="{9E2183A6-8A06-4DA6-9C94-2F525699F9AD}"/>
    <cellStyle name="Normal 6 3 3 6 3 2" xfId="21690" xr:uid="{8F8C704D-8433-46B2-B9CE-4E373EFF6356}"/>
    <cellStyle name="Normal 6 3 3 6 3 2 2" xfId="47182" xr:uid="{3E1EDCDC-5A4D-4873-A14A-865F8E03424D}"/>
    <cellStyle name="Normal 6 3 3 6 3 3" xfId="34591" xr:uid="{44E51BD7-D79A-4BA4-B713-C847FC81B63E}"/>
    <cellStyle name="Normal 6 3 3 6 4" xfId="15412" xr:uid="{EFC701ED-0D7F-4A90-A8C4-DEEEC3FB2900}"/>
    <cellStyle name="Normal 6 3 3 6 4 2" xfId="40904" xr:uid="{5199846F-BBB0-400F-8BB8-6C9DC733C1AC}"/>
    <cellStyle name="Normal 6 3 3 6 5" xfId="28313" xr:uid="{091A8AA1-07FA-479A-92BF-67522BFF7CDF}"/>
    <cellStyle name="Normal 6 3 3 7" xfId="3223" xr:uid="{9C2FD462-2025-4FC2-8CDA-6217741F73FD}"/>
    <cellStyle name="Normal 6 3 3 7 2" xfId="6377" xr:uid="{E80569FD-EAE1-4DAF-9BB6-62F3C6794ED9}"/>
    <cellStyle name="Normal 6 3 3 7 2 2" xfId="12670" xr:uid="{CCEF0E5A-5D44-45C0-BB68-C6626466D597}"/>
    <cellStyle name="Normal 6 3 3 7 2 2 2" xfId="25352" xr:uid="{8BECA605-F4C1-4DFB-9796-5A65D4EC44D4}"/>
    <cellStyle name="Normal 6 3 3 7 2 2 2 2" xfId="50844" xr:uid="{0698AEBD-93C6-4567-8E42-8D8503F9E319}"/>
    <cellStyle name="Normal 6 3 3 7 2 2 3" xfId="38253" xr:uid="{CB9AFF9D-9434-4513-9560-AC7A59C37FEF}"/>
    <cellStyle name="Normal 6 3 3 7 2 3" xfId="19074" xr:uid="{BEDCEFF8-DE66-499E-A834-E96662AA7481}"/>
    <cellStyle name="Normal 6 3 3 7 2 3 2" xfId="44566" xr:uid="{2213C331-7A2E-4955-8BCF-065240A0FF66}"/>
    <cellStyle name="Normal 6 3 3 7 2 4" xfId="31975" xr:uid="{2075767F-54FB-43F2-AF6E-AF71D7E0DB31}"/>
    <cellStyle name="Normal 6 3 3 7 3" xfId="9531" xr:uid="{3489403E-7AD1-43F1-9459-AB74957D73AB}"/>
    <cellStyle name="Normal 6 3 3 7 3 2" xfId="22213" xr:uid="{ACFE1AF1-1623-4856-8ABB-D7C3256C9205}"/>
    <cellStyle name="Normal 6 3 3 7 3 2 2" xfId="47705" xr:uid="{B2637DFE-3616-4F0C-9439-5D55AFA0A185}"/>
    <cellStyle name="Normal 6 3 3 7 3 3" xfId="35114" xr:uid="{58B9AB32-C141-4DBC-A36F-D632192E7209}"/>
    <cellStyle name="Normal 6 3 3 7 4" xfId="15935" xr:uid="{147C46C5-3ED6-46CA-B07E-2A05AEC09BC6}"/>
    <cellStyle name="Normal 6 3 3 7 4 2" xfId="41427" xr:uid="{51C07946-77DF-4CF8-BE70-FE5DA60528F9}"/>
    <cellStyle name="Normal 6 3 3 7 5" xfId="28836" xr:uid="{F0B4C9C6-BB10-4AAD-A4FA-6544BE9F937B}"/>
    <cellStyle name="Normal 6 3 3 8" xfId="3762" xr:uid="{C9B408CD-F874-4773-B6CB-5AA1A729EEC3}"/>
    <cellStyle name="Normal 6 3 3 8 2" xfId="10055" xr:uid="{ACA00104-4D6C-462B-8AF9-1CB120F0F670}"/>
    <cellStyle name="Normal 6 3 3 8 2 2" xfId="22737" xr:uid="{A4CD6B1A-45C8-40DB-9D62-7C4859B09860}"/>
    <cellStyle name="Normal 6 3 3 8 2 2 2" xfId="48229" xr:uid="{A6D6D5C4-E865-432A-9E6B-12F7D0708E2E}"/>
    <cellStyle name="Normal 6 3 3 8 2 3" xfId="35638" xr:uid="{9A30D2CF-1F7B-4823-95A1-08F5A5309D25}"/>
    <cellStyle name="Normal 6 3 3 8 3" xfId="16459" xr:uid="{52892DD8-BA2C-4A66-BD57-31775782F69E}"/>
    <cellStyle name="Normal 6 3 3 8 3 2" xfId="41951" xr:uid="{2E0F1605-C490-4353-8D75-C1FD4C8B5A39}"/>
    <cellStyle name="Normal 6 3 3 8 4" xfId="29360" xr:uid="{13FBEC1C-CA2C-41CC-B862-B2876EA38D55}"/>
    <cellStyle name="Normal 6 3 3 9" xfId="6916" xr:uid="{FB3BB003-714B-4B6B-9410-292D3F041659}"/>
    <cellStyle name="Normal 6 3 3 9 2" xfId="19598" xr:uid="{4AEFD006-1A1F-48F2-8729-92910D3D08B8}"/>
    <cellStyle name="Normal 6 3 3 9 2 2" xfId="45090" xr:uid="{A441E276-D5EC-4F45-9B65-EF2BD7F42DF9}"/>
    <cellStyle name="Normal 6 3 3 9 3" xfId="32499" xr:uid="{C0E378C9-E7BD-469D-A30A-DD886F40B564}"/>
    <cellStyle name="Normal 6 3 4" xfId="554" xr:uid="{088C4F22-714C-4DA7-A9DA-65C5A3DCEE0F}"/>
    <cellStyle name="Normal 6 3 4 10" xfId="13281" xr:uid="{9B63A287-4BBD-4F34-81F4-214BE591D02C}"/>
    <cellStyle name="Normal 6 3 4 10 2" xfId="38773" xr:uid="{DD0D2A86-7F21-428C-8D80-8A1466476EE5}"/>
    <cellStyle name="Normal 6 3 4 11" xfId="26182" xr:uid="{90C54970-C5EB-4FD9-94FA-54D574675139}"/>
    <cellStyle name="Normal 6 3 4 2" xfId="1091" xr:uid="{94B1F9B3-D8A3-4ACB-BD92-8ABEDBA2B5CF}"/>
    <cellStyle name="Normal 6 3 4 2 2" xfId="2398" xr:uid="{D7905A6B-B752-4427-A0E8-1287CAB6A862}"/>
    <cellStyle name="Normal 6 3 4 2 2 2" xfId="5552" xr:uid="{8B6ED2B9-8422-49EA-A64D-462BE2061254}"/>
    <cellStyle name="Normal 6 3 4 2 2 2 2" xfId="11845" xr:uid="{85FC97C1-F0BA-43AF-B94A-62DC983391FA}"/>
    <cellStyle name="Normal 6 3 4 2 2 2 2 2" xfId="24527" xr:uid="{8EAFE59C-08B9-4A3E-A4F9-212213133309}"/>
    <cellStyle name="Normal 6 3 4 2 2 2 2 2 2" xfId="50019" xr:uid="{3FA7C164-77FE-4D95-ABE8-63ED7B09B821}"/>
    <cellStyle name="Normal 6 3 4 2 2 2 2 3" xfId="37428" xr:uid="{1323A61B-655F-4ACB-B32B-73E299D5483E}"/>
    <cellStyle name="Normal 6 3 4 2 2 2 3" xfId="18249" xr:uid="{CCD37530-537F-4139-BAB0-F7738A9DA43F}"/>
    <cellStyle name="Normal 6 3 4 2 2 2 3 2" xfId="43741" xr:uid="{E01580B9-84FA-46AF-A0C2-E20A6E486EA2}"/>
    <cellStyle name="Normal 6 3 4 2 2 2 4" xfId="31150" xr:uid="{DD6F5376-E605-4689-99BB-83ABB9C181D9}"/>
    <cellStyle name="Normal 6 3 4 2 2 3" xfId="8706" xr:uid="{B6ED2328-5EDC-4B68-B29F-8A64AC3BBF8C}"/>
    <cellStyle name="Normal 6 3 4 2 2 3 2" xfId="21388" xr:uid="{F8331740-1411-49CF-B316-0EEC8260CCA0}"/>
    <cellStyle name="Normal 6 3 4 2 2 3 2 2" xfId="46880" xr:uid="{A5913F8D-562C-406C-A54D-0A7570AA0845}"/>
    <cellStyle name="Normal 6 3 4 2 2 3 3" xfId="34289" xr:uid="{C219D466-4E47-409A-A407-5927D29394A1}"/>
    <cellStyle name="Normal 6 3 4 2 2 4" xfId="15110" xr:uid="{2056943A-B388-47F6-B20C-846BFAFFD18F}"/>
    <cellStyle name="Normal 6 3 4 2 2 4 2" xfId="40602" xr:uid="{BA43E513-CF9F-4E1E-A0AC-8E91548A3DFD}"/>
    <cellStyle name="Normal 6 3 4 2 2 5" xfId="28011" xr:uid="{AAF7E42E-19BF-401D-8B1A-9DC31CAA1872}"/>
    <cellStyle name="Normal 6 3 4 2 3" xfId="1615" xr:uid="{C2321CBF-BD64-4E6B-A769-41DFEF5DF132}"/>
    <cellStyle name="Normal 6 3 4 2 3 2" xfId="4769" xr:uid="{202F8E8F-34D5-4A42-BE97-E26DA8B9BC14}"/>
    <cellStyle name="Normal 6 3 4 2 3 2 2" xfId="11062" xr:uid="{667E8613-4A76-4911-9344-D04C82A4CAB2}"/>
    <cellStyle name="Normal 6 3 4 2 3 2 2 2" xfId="23744" xr:uid="{53EB5F1C-A974-415A-B77E-34307A525494}"/>
    <cellStyle name="Normal 6 3 4 2 3 2 2 2 2" xfId="49236" xr:uid="{856974FC-74CB-45CD-89C3-364AF5EB4370}"/>
    <cellStyle name="Normal 6 3 4 2 3 2 2 3" xfId="36645" xr:uid="{9F05100D-3BD8-4412-9148-C1211F6548EA}"/>
    <cellStyle name="Normal 6 3 4 2 3 2 3" xfId="17466" xr:uid="{3617DB4B-699E-44AD-A7DE-E4DD2BA26FC4}"/>
    <cellStyle name="Normal 6 3 4 2 3 2 3 2" xfId="42958" xr:uid="{52909984-05F4-4E42-B2DB-B2EBB2F96240}"/>
    <cellStyle name="Normal 6 3 4 2 3 2 4" xfId="30367" xr:uid="{82AA7FEF-17AC-4F6E-97C3-870CF16EA24B}"/>
    <cellStyle name="Normal 6 3 4 2 3 3" xfId="7923" xr:uid="{0EB3A2EC-93E0-4742-A498-78327ECD7032}"/>
    <cellStyle name="Normal 6 3 4 2 3 3 2" xfId="20605" xr:uid="{EFE4707D-582B-49F2-BB05-3ED7C8C8FBAC}"/>
    <cellStyle name="Normal 6 3 4 2 3 3 2 2" xfId="46097" xr:uid="{7C427C3B-9AAC-45C4-97D1-4BBAFA4CD82F}"/>
    <cellStyle name="Normal 6 3 4 2 3 3 3" xfId="33506" xr:uid="{9FB0899F-529C-49AD-9EB6-3F04326A1B77}"/>
    <cellStyle name="Normal 6 3 4 2 3 4" xfId="14327" xr:uid="{7490F85C-DE6E-47DB-973B-E843F3C9AFD8}"/>
    <cellStyle name="Normal 6 3 4 2 3 4 2" xfId="39819" xr:uid="{4CFF12E0-07EE-43B2-B792-5BC129582D5D}"/>
    <cellStyle name="Normal 6 3 4 2 3 5" xfId="27228" xr:uid="{E2D0E617-763C-415F-86EB-5447EE127D09}"/>
    <cellStyle name="Normal 6 3 4 2 4" xfId="2922" xr:uid="{3AEF4076-E8AA-4004-AA4A-54B916BC2823}"/>
    <cellStyle name="Normal 6 3 4 2 4 2" xfId="6076" xr:uid="{885A33E1-BA1A-42E1-8597-FDE1A498C549}"/>
    <cellStyle name="Normal 6 3 4 2 4 2 2" xfId="12369" xr:uid="{FB91C166-04A4-4B2A-BFD1-EA6562897709}"/>
    <cellStyle name="Normal 6 3 4 2 4 2 2 2" xfId="25051" xr:uid="{02713E34-3539-4AAB-9B21-760B9CFA85C1}"/>
    <cellStyle name="Normal 6 3 4 2 4 2 2 2 2" xfId="50543" xr:uid="{7158472E-CE05-4064-B32E-7B259E4B5D0D}"/>
    <cellStyle name="Normal 6 3 4 2 4 2 2 3" xfId="37952" xr:uid="{81BE052D-09D8-4AC5-9586-F9389647893B}"/>
    <cellStyle name="Normal 6 3 4 2 4 2 3" xfId="18773" xr:uid="{E4D19C4B-D141-40B4-A541-C349DEBEF3F1}"/>
    <cellStyle name="Normal 6 3 4 2 4 2 3 2" xfId="44265" xr:uid="{B2D1CA47-CCA5-4F15-9C66-A70D2F1F7670}"/>
    <cellStyle name="Normal 6 3 4 2 4 2 4" xfId="31674" xr:uid="{F1835D45-3E70-45A7-BE33-AB05824B7C4F}"/>
    <cellStyle name="Normal 6 3 4 2 4 3" xfId="9230" xr:uid="{8B737951-91A9-475E-AE81-24A0740C7714}"/>
    <cellStyle name="Normal 6 3 4 2 4 3 2" xfId="21912" xr:uid="{3411C82E-C384-4E9D-BCFC-46997F2343CB}"/>
    <cellStyle name="Normal 6 3 4 2 4 3 2 2" xfId="47404" xr:uid="{37227604-E74B-476C-AB2F-E6808AE3678D}"/>
    <cellStyle name="Normal 6 3 4 2 4 3 3" xfId="34813" xr:uid="{B4D037EC-DC35-43AD-B6A6-9FB0F9B2C747}"/>
    <cellStyle name="Normal 6 3 4 2 4 4" xfId="15634" xr:uid="{0C015A7F-EBB3-40EB-B1AA-EA0721B51C38}"/>
    <cellStyle name="Normal 6 3 4 2 4 4 2" xfId="41126" xr:uid="{E38B4DCC-AE94-45F8-98A8-3F16A2C58B74}"/>
    <cellStyle name="Normal 6 3 4 2 4 5" xfId="28535" xr:uid="{69A5CF9A-110A-437E-B07A-7B66D2CC039B}"/>
    <cellStyle name="Normal 6 3 4 2 5" xfId="3445" xr:uid="{9EBD6BE5-569F-44CD-9D66-21ADEFFF5216}"/>
    <cellStyle name="Normal 6 3 4 2 5 2" xfId="6599" xr:uid="{83EB316F-CBEE-45E3-A427-54F70926DF5F}"/>
    <cellStyle name="Normal 6 3 4 2 5 2 2" xfId="12892" xr:uid="{5DE68088-55B6-48A0-BD49-6995D35C510C}"/>
    <cellStyle name="Normal 6 3 4 2 5 2 2 2" xfId="25574" xr:uid="{A5EA2AD4-6573-4D0F-A6C1-DAE8E77ECFC2}"/>
    <cellStyle name="Normal 6 3 4 2 5 2 2 2 2" xfId="51066" xr:uid="{72E4F22A-03B7-403F-991C-76270BF5968A}"/>
    <cellStyle name="Normal 6 3 4 2 5 2 2 3" xfId="38475" xr:uid="{A750307F-6059-40D8-B96C-5ABEF81D976A}"/>
    <cellStyle name="Normal 6 3 4 2 5 2 3" xfId="19296" xr:uid="{36495146-0FD1-4A4A-A741-707028253F61}"/>
    <cellStyle name="Normal 6 3 4 2 5 2 3 2" xfId="44788" xr:uid="{D4DC73C6-4395-4655-8ADD-A5013CF571DE}"/>
    <cellStyle name="Normal 6 3 4 2 5 2 4" xfId="32197" xr:uid="{E9133715-61FB-4E73-A6A0-2EE4624810CE}"/>
    <cellStyle name="Normal 6 3 4 2 5 3" xfId="9753" xr:uid="{CA870E9D-60BC-4C29-B83A-FE8C670C15CF}"/>
    <cellStyle name="Normal 6 3 4 2 5 3 2" xfId="22435" xr:uid="{806F621F-DD4F-4DFF-89C7-E6D95548DD8B}"/>
    <cellStyle name="Normal 6 3 4 2 5 3 2 2" xfId="47927" xr:uid="{2C42976D-4F2E-4D3E-BC08-71ECB9C452BC}"/>
    <cellStyle name="Normal 6 3 4 2 5 3 3" xfId="35336" xr:uid="{06E69117-FBE8-49F9-BC10-8CE33208953D}"/>
    <cellStyle name="Normal 6 3 4 2 5 4" xfId="16157" xr:uid="{9B1F3C06-E649-48DB-8885-11A1495C8A08}"/>
    <cellStyle name="Normal 6 3 4 2 5 4 2" xfId="41649" xr:uid="{F96A216C-FB53-4F03-B74C-73B493E58BB4}"/>
    <cellStyle name="Normal 6 3 4 2 5 5" xfId="29058" xr:uid="{771D69F1-8106-4942-8C2E-4501B68F0F72}"/>
    <cellStyle name="Normal 6 3 4 2 6" xfId="4245" xr:uid="{E356B13A-0F5F-408D-ADD0-4CA57F7D1FF2}"/>
    <cellStyle name="Normal 6 3 4 2 6 2" xfId="10538" xr:uid="{50CD3E3E-E5E2-462F-86EF-AEC84C6617E1}"/>
    <cellStyle name="Normal 6 3 4 2 6 2 2" xfId="23220" xr:uid="{E905A913-2C3F-44B7-8034-D7CF65F024AE}"/>
    <cellStyle name="Normal 6 3 4 2 6 2 2 2" xfId="48712" xr:uid="{D47A8A9A-F189-401D-8440-B6D9E142A600}"/>
    <cellStyle name="Normal 6 3 4 2 6 2 3" xfId="36121" xr:uid="{BE2CCF2A-1C09-4394-9612-26C86BB56A7C}"/>
    <cellStyle name="Normal 6 3 4 2 6 3" xfId="16942" xr:uid="{D04BB19A-EBAA-4DEF-B604-BE13F4B3C343}"/>
    <cellStyle name="Normal 6 3 4 2 6 3 2" xfId="42434" xr:uid="{DB6083B9-986D-4731-994B-C1E4CEB20F33}"/>
    <cellStyle name="Normal 6 3 4 2 6 4" xfId="29843" xr:uid="{0D548173-44F1-412B-93A3-2576E3F26FF7}"/>
    <cellStyle name="Normal 6 3 4 2 7" xfId="7399" xr:uid="{7DE99A12-CEC2-45CB-B798-F4A84D0F4D98}"/>
    <cellStyle name="Normal 6 3 4 2 7 2" xfId="20081" xr:uid="{396E68B7-6170-4D2A-A309-355585C761C7}"/>
    <cellStyle name="Normal 6 3 4 2 7 2 2" xfId="45573" xr:uid="{94FFBF2C-8E16-4E37-AA3F-A0C4F8A360F7}"/>
    <cellStyle name="Normal 6 3 4 2 7 3" xfId="32982" xr:uid="{D4688BBE-7D97-434B-9A8D-A32422B806B3}"/>
    <cellStyle name="Normal 6 3 4 2 8" xfId="13803" xr:uid="{DB73B830-6051-4F14-86AD-418094FB9F98}"/>
    <cellStyle name="Normal 6 3 4 2 8 2" xfId="39295" xr:uid="{92533241-B9A0-48C2-8889-FEF3416B318B}"/>
    <cellStyle name="Normal 6 3 4 2 9" xfId="26704" xr:uid="{798CD129-77E4-4687-9131-D9547B013E28}"/>
    <cellStyle name="Normal 6 3 4 3" xfId="831" xr:uid="{26C0FE09-B719-4F19-9A74-BBAAE45BABCC}"/>
    <cellStyle name="Normal 6 3 4 3 2" xfId="2138" xr:uid="{EDF2E841-EF11-4034-86C3-785EC640965D}"/>
    <cellStyle name="Normal 6 3 4 3 2 2" xfId="5292" xr:uid="{346F3133-E1F4-4518-960F-E1EF845FDB03}"/>
    <cellStyle name="Normal 6 3 4 3 2 2 2" xfId="11585" xr:uid="{2C9B02C1-0B3C-464B-B2EB-4EAB78727C68}"/>
    <cellStyle name="Normal 6 3 4 3 2 2 2 2" xfId="24267" xr:uid="{BF05BCB8-DAB9-435D-AFD1-AC724686332B}"/>
    <cellStyle name="Normal 6 3 4 3 2 2 2 2 2" xfId="49759" xr:uid="{B208D549-1155-4657-B012-50DF25546282}"/>
    <cellStyle name="Normal 6 3 4 3 2 2 2 3" xfId="37168" xr:uid="{3D4F58F3-6D1F-4D80-8DFA-94C0161DA888}"/>
    <cellStyle name="Normal 6 3 4 3 2 2 3" xfId="17989" xr:uid="{F9BC1E2D-2DBB-4B67-A4CF-8593C46B66EF}"/>
    <cellStyle name="Normal 6 3 4 3 2 2 3 2" xfId="43481" xr:uid="{38411CAE-22F4-40AB-B58E-C0BFD1070CCB}"/>
    <cellStyle name="Normal 6 3 4 3 2 2 4" xfId="30890" xr:uid="{2482A712-6903-4E94-BDC5-BA236A3AC5E8}"/>
    <cellStyle name="Normal 6 3 4 3 2 3" xfId="8446" xr:uid="{A0800C3C-F598-4B81-BC5C-FC50788D8FE4}"/>
    <cellStyle name="Normal 6 3 4 3 2 3 2" xfId="21128" xr:uid="{CEDEF136-2177-465F-9AA9-D1BEB77C2BC3}"/>
    <cellStyle name="Normal 6 3 4 3 2 3 2 2" xfId="46620" xr:uid="{7FC8CD94-4D1E-4A66-8BB9-E9BA594E73FA}"/>
    <cellStyle name="Normal 6 3 4 3 2 3 3" xfId="34029" xr:uid="{683ECB77-172B-4E9E-9D12-53D538DA5CC3}"/>
    <cellStyle name="Normal 6 3 4 3 2 4" xfId="14850" xr:uid="{52517CD9-B92C-4E0E-8157-B3C2009694E7}"/>
    <cellStyle name="Normal 6 3 4 3 2 4 2" xfId="40342" xr:uid="{A4800B9A-0CB1-4617-BF48-EFEF479E7C76}"/>
    <cellStyle name="Normal 6 3 4 3 2 5" xfId="27751" xr:uid="{044C0A5D-CC23-4633-A180-B3CEE47C0AC4}"/>
    <cellStyle name="Normal 6 3 4 3 3" xfId="3985" xr:uid="{9D4BB634-3ED5-4C23-B6C8-5DC5F4552599}"/>
    <cellStyle name="Normal 6 3 4 3 3 2" xfId="10278" xr:uid="{2220976F-5A25-479D-AEEC-4E86137543CE}"/>
    <cellStyle name="Normal 6 3 4 3 3 2 2" xfId="22960" xr:uid="{33268B7A-DECF-4A29-9B41-F9C6DE9CB8D9}"/>
    <cellStyle name="Normal 6 3 4 3 3 2 2 2" xfId="48452" xr:uid="{DB6C8D30-D6E2-4003-906E-4569C29EDAA2}"/>
    <cellStyle name="Normal 6 3 4 3 3 2 3" xfId="35861" xr:uid="{87E64039-8E97-4C67-BDAB-5A38F9543325}"/>
    <cellStyle name="Normal 6 3 4 3 3 3" xfId="16682" xr:uid="{579BD9C8-EAB2-4571-BD4E-914B5D9A9ADB}"/>
    <cellStyle name="Normal 6 3 4 3 3 3 2" xfId="42174" xr:uid="{A17118A6-1EEE-41AB-9E5E-504A7393DC4E}"/>
    <cellStyle name="Normal 6 3 4 3 3 4" xfId="29583" xr:uid="{03401CDE-4B06-4641-98BA-1D233DE1F17C}"/>
    <cellStyle name="Normal 6 3 4 3 4" xfId="7139" xr:uid="{F57A6F11-BE30-4A37-8A2B-8845CA2AE158}"/>
    <cellStyle name="Normal 6 3 4 3 4 2" xfId="19821" xr:uid="{F29AC3B9-4787-4313-B01C-C7599CA165CB}"/>
    <cellStyle name="Normal 6 3 4 3 4 2 2" xfId="45313" xr:uid="{43B499B4-39AF-4C02-89E2-89271AA24E43}"/>
    <cellStyle name="Normal 6 3 4 3 4 3" xfId="32722" xr:uid="{5402461F-52B6-4F7A-B40B-7542442EEBC7}"/>
    <cellStyle name="Normal 6 3 4 3 5" xfId="13543" xr:uid="{0D7C7C6D-609F-41C5-9502-562E70DEFA08}"/>
    <cellStyle name="Normal 6 3 4 3 5 2" xfId="39035" xr:uid="{A15DC246-79A7-4FCA-A44E-92FE7BCBD46D}"/>
    <cellStyle name="Normal 6 3 4 3 6" xfId="26444" xr:uid="{FE426560-97A1-4AE4-B770-0B472CD2CE87}"/>
    <cellStyle name="Normal 6 3 4 4" xfId="1876" xr:uid="{18AFF891-FCBA-4BC4-9D98-B73862BDBB68}"/>
    <cellStyle name="Normal 6 3 4 4 2" xfId="5030" xr:uid="{F80358AC-8A3D-4130-A07F-3C3DB5189549}"/>
    <cellStyle name="Normal 6 3 4 4 2 2" xfId="11323" xr:uid="{2DE74129-9E70-4F70-8FAF-2132331D1B3D}"/>
    <cellStyle name="Normal 6 3 4 4 2 2 2" xfId="24005" xr:uid="{5C4DAC81-DB67-4D43-8D98-DA6AA84C5FA9}"/>
    <cellStyle name="Normal 6 3 4 4 2 2 2 2" xfId="49497" xr:uid="{0A93CC68-82E6-4BC8-8E5D-807DF18E8560}"/>
    <cellStyle name="Normal 6 3 4 4 2 2 3" xfId="36906" xr:uid="{EFD2947C-B80B-4FF0-AC4D-68E5B57BA685}"/>
    <cellStyle name="Normal 6 3 4 4 2 3" xfId="17727" xr:uid="{3F00D9C4-4FCF-4739-A69C-49A39872754C}"/>
    <cellStyle name="Normal 6 3 4 4 2 3 2" xfId="43219" xr:uid="{99C22BCC-07D1-47B5-810B-A1A22DC818DF}"/>
    <cellStyle name="Normal 6 3 4 4 2 4" xfId="30628" xr:uid="{267A1AB6-E23D-4D98-BC3C-9A668D3D3DA1}"/>
    <cellStyle name="Normal 6 3 4 4 3" xfId="8184" xr:uid="{F823047B-9AA9-404E-91C5-F2BFF768EB28}"/>
    <cellStyle name="Normal 6 3 4 4 3 2" xfId="20866" xr:uid="{3EC71F65-7FFA-4617-BBEE-5C1F0780D5C7}"/>
    <cellStyle name="Normal 6 3 4 4 3 2 2" xfId="46358" xr:uid="{458D840F-3549-4A2B-AC09-C70825F87BC2}"/>
    <cellStyle name="Normal 6 3 4 4 3 3" xfId="33767" xr:uid="{4F0472E8-4BE3-43B5-8711-4BEC62FFE252}"/>
    <cellStyle name="Normal 6 3 4 4 4" xfId="14588" xr:uid="{7A322D78-5384-4543-9048-C52A4D5249CB}"/>
    <cellStyle name="Normal 6 3 4 4 4 2" xfId="40080" xr:uid="{167A7C3F-E9E4-4FF0-BB84-0AE068B07A10}"/>
    <cellStyle name="Normal 6 3 4 4 5" xfId="27489" xr:uid="{A7270AD3-FC0B-4777-A2F4-D20C9F86AFED}"/>
    <cellStyle name="Normal 6 3 4 5" xfId="1354" xr:uid="{3C00E723-4ABA-47D5-9894-9459A8EF6022}"/>
    <cellStyle name="Normal 6 3 4 5 2" xfId="4508" xr:uid="{6F99B1D4-EE32-4844-A238-07E34A031636}"/>
    <cellStyle name="Normal 6 3 4 5 2 2" xfId="10801" xr:uid="{D6AD7C08-3A04-4639-A621-D5968CE9FB99}"/>
    <cellStyle name="Normal 6 3 4 5 2 2 2" xfId="23483" xr:uid="{8B2A924E-39CE-439B-A2AF-5A9AC879847F}"/>
    <cellStyle name="Normal 6 3 4 5 2 2 2 2" xfId="48975" xr:uid="{DAB77548-168D-46B7-AE95-26D7576057BE}"/>
    <cellStyle name="Normal 6 3 4 5 2 2 3" xfId="36384" xr:uid="{0AEF642A-DAD7-4FD5-AB36-19174562A619}"/>
    <cellStyle name="Normal 6 3 4 5 2 3" xfId="17205" xr:uid="{C0D16186-0766-45E2-8651-1F371AAC9F3B}"/>
    <cellStyle name="Normal 6 3 4 5 2 3 2" xfId="42697" xr:uid="{C3C091C7-9F88-4C95-BED4-871DB2E54FB0}"/>
    <cellStyle name="Normal 6 3 4 5 2 4" xfId="30106" xr:uid="{52103D16-D203-4245-818D-1BA7FD5FAA0A}"/>
    <cellStyle name="Normal 6 3 4 5 3" xfId="7662" xr:uid="{98F6E610-4033-410D-8F0C-8256445995B5}"/>
    <cellStyle name="Normal 6 3 4 5 3 2" xfId="20344" xr:uid="{9FFAF64A-22B4-46FF-B82D-907262256FA6}"/>
    <cellStyle name="Normal 6 3 4 5 3 2 2" xfId="45836" xr:uid="{0F387A84-0AA1-4066-8F2D-E44100A1A825}"/>
    <cellStyle name="Normal 6 3 4 5 3 3" xfId="33245" xr:uid="{72E31C57-6549-4486-B4EC-3DEA1A570364}"/>
    <cellStyle name="Normal 6 3 4 5 4" xfId="14066" xr:uid="{5B332172-426F-4240-BDB9-FE50B49FEC96}"/>
    <cellStyle name="Normal 6 3 4 5 4 2" xfId="39558" xr:uid="{891B05DA-B88C-4335-97F2-5C20A98A9D63}"/>
    <cellStyle name="Normal 6 3 4 5 5" xfId="26967" xr:uid="{F26722B9-6891-4929-B7E0-D7AF16FE53F2}"/>
    <cellStyle name="Normal 6 3 4 6" xfId="2661" xr:uid="{F036AF1D-F96F-496C-A20E-AB2C942AB14B}"/>
    <cellStyle name="Normal 6 3 4 6 2" xfId="5815" xr:uid="{E116D5F6-D486-4033-996F-988CFD27A005}"/>
    <cellStyle name="Normal 6 3 4 6 2 2" xfId="12108" xr:uid="{DBE1740B-527E-43E5-9B10-2DA377F2091F}"/>
    <cellStyle name="Normal 6 3 4 6 2 2 2" xfId="24790" xr:uid="{EA72C926-0161-44DC-A89C-F69A5C2556CA}"/>
    <cellStyle name="Normal 6 3 4 6 2 2 2 2" xfId="50282" xr:uid="{0A2562E2-9210-47F4-BAA9-F19F4A212EA6}"/>
    <cellStyle name="Normal 6 3 4 6 2 2 3" xfId="37691" xr:uid="{1C3511DF-4CC3-4375-B79E-F877BF605B0D}"/>
    <cellStyle name="Normal 6 3 4 6 2 3" xfId="18512" xr:uid="{1EF6AC2A-4AB5-4E6E-A1C2-1E20DF1B806C}"/>
    <cellStyle name="Normal 6 3 4 6 2 3 2" xfId="44004" xr:uid="{3318F2B6-A723-49FE-B5AD-46FF0DE41DAB}"/>
    <cellStyle name="Normal 6 3 4 6 2 4" xfId="31413" xr:uid="{8B681BA4-308D-4691-BC85-751BF150F54C}"/>
    <cellStyle name="Normal 6 3 4 6 3" xfId="8969" xr:uid="{6FAC47AB-85B5-49AE-8A6C-79A6D6F20817}"/>
    <cellStyle name="Normal 6 3 4 6 3 2" xfId="21651" xr:uid="{BD80CA32-9AC7-4994-8C2B-8033ABEDCCBD}"/>
    <cellStyle name="Normal 6 3 4 6 3 2 2" xfId="47143" xr:uid="{D4FCA705-437A-4862-AA95-4E61198967B5}"/>
    <cellStyle name="Normal 6 3 4 6 3 3" xfId="34552" xr:uid="{E7056EC0-871F-42F4-A67F-6AD50463B40E}"/>
    <cellStyle name="Normal 6 3 4 6 4" xfId="15373" xr:uid="{F274A810-88AA-4872-8F6E-2C9A0B9C8133}"/>
    <cellStyle name="Normal 6 3 4 6 4 2" xfId="40865" xr:uid="{3A73F881-E2F0-4044-90D7-454AE8AA49C7}"/>
    <cellStyle name="Normal 6 3 4 6 5" xfId="28274" xr:uid="{4AE5EE9E-9E59-4D0B-B7CF-DC7822B5F7BC}"/>
    <cellStyle name="Normal 6 3 4 7" xfId="3184" xr:uid="{5A8C3B43-FD26-4577-A293-4B40A3112B3F}"/>
    <cellStyle name="Normal 6 3 4 7 2" xfId="6338" xr:uid="{DBD53C3E-6F95-4102-AF6B-E4F7493A4A2F}"/>
    <cellStyle name="Normal 6 3 4 7 2 2" xfId="12631" xr:uid="{ACE23CD4-4339-4038-84AA-DD3BBB77FC32}"/>
    <cellStyle name="Normal 6 3 4 7 2 2 2" xfId="25313" xr:uid="{7D1FC83A-A32E-4D41-8BD9-ABF4BFDC375F}"/>
    <cellStyle name="Normal 6 3 4 7 2 2 2 2" xfId="50805" xr:uid="{5107E1D5-9163-4EDD-A2A8-5FBF89A2E921}"/>
    <cellStyle name="Normal 6 3 4 7 2 2 3" xfId="38214" xr:uid="{B8C8ADB4-3F6B-4BF3-92F3-F140027DD03E}"/>
    <cellStyle name="Normal 6 3 4 7 2 3" xfId="19035" xr:uid="{0F44762D-B1A9-4098-9258-D67143F9C1B9}"/>
    <cellStyle name="Normal 6 3 4 7 2 3 2" xfId="44527" xr:uid="{D6776F65-1A7C-4D32-8365-9F5F359967E5}"/>
    <cellStyle name="Normal 6 3 4 7 2 4" xfId="31936" xr:uid="{74D9604E-49D2-4ABC-975B-4A8440FDEE3F}"/>
    <cellStyle name="Normal 6 3 4 7 3" xfId="9492" xr:uid="{BA3EBF2E-0E51-455C-8DFC-E02F95BBD0F5}"/>
    <cellStyle name="Normal 6 3 4 7 3 2" xfId="22174" xr:uid="{C8900AA8-5BDB-4CCB-B0F7-ED4B5CFE3E5E}"/>
    <cellStyle name="Normal 6 3 4 7 3 2 2" xfId="47666" xr:uid="{3997CBEF-4CA1-4B56-AC62-9175586697C0}"/>
    <cellStyle name="Normal 6 3 4 7 3 3" xfId="35075" xr:uid="{3A6EAFB8-DBDF-45C6-88BF-72807F0CF915}"/>
    <cellStyle name="Normal 6 3 4 7 4" xfId="15896" xr:uid="{03DC024E-88CE-413D-9B11-B7879DF7F259}"/>
    <cellStyle name="Normal 6 3 4 7 4 2" xfId="41388" xr:uid="{4BE698AC-7C27-415A-8424-9875561E9529}"/>
    <cellStyle name="Normal 6 3 4 7 5" xfId="28797" xr:uid="{ACC254ED-0EF6-454A-AB75-F9BE7743C368}"/>
    <cellStyle name="Normal 6 3 4 8" xfId="3723" xr:uid="{B2EB494F-2DF0-4D55-B40D-FAABC0F11E48}"/>
    <cellStyle name="Normal 6 3 4 8 2" xfId="10016" xr:uid="{94E70577-42FC-4CBB-826B-D1497F95C52F}"/>
    <cellStyle name="Normal 6 3 4 8 2 2" xfId="22698" xr:uid="{A8136417-5013-437A-A881-2B9F0A70AA73}"/>
    <cellStyle name="Normal 6 3 4 8 2 2 2" xfId="48190" xr:uid="{812F26EF-DA35-4A1C-B51D-11FA041F4DB4}"/>
    <cellStyle name="Normal 6 3 4 8 2 3" xfId="35599" xr:uid="{CCE7F554-5CB2-467B-9648-A5912BD2E2CE}"/>
    <cellStyle name="Normal 6 3 4 8 3" xfId="16420" xr:uid="{DECB6E14-8A26-4BB8-8CE4-3BD5AFC4DA0B}"/>
    <cellStyle name="Normal 6 3 4 8 3 2" xfId="41912" xr:uid="{B986FC8E-85B9-438B-8187-B76B5CC19ABC}"/>
    <cellStyle name="Normal 6 3 4 8 4" xfId="29321" xr:uid="{F46F45C4-2042-47B2-85D0-5F0FFFAB28CA}"/>
    <cellStyle name="Normal 6 3 4 9" xfId="6877" xr:uid="{31B34284-5479-40E0-BFFD-6E05BAFEF070}"/>
    <cellStyle name="Normal 6 3 4 9 2" xfId="19559" xr:uid="{7014A456-9C83-4469-9EC8-29DBF996EDC1}"/>
    <cellStyle name="Normal 6 3 4 9 2 2" xfId="45051" xr:uid="{FFAAE360-2203-4F83-9692-D1188F060965}"/>
    <cellStyle name="Normal 6 3 4 9 3" xfId="32460" xr:uid="{68E1D648-4A24-4069-B384-C737E2FD6D13}"/>
    <cellStyle name="Normal 6 3 5" xfId="971" xr:uid="{DEDAD559-E2F1-4202-9E37-754070224BD7}"/>
    <cellStyle name="Normal 6 3 5 2" xfId="2278" xr:uid="{832D9A0F-5C4B-4483-9AEC-92D9F5987A5E}"/>
    <cellStyle name="Normal 6 3 5 2 2" xfId="5432" xr:uid="{EEE28D66-E22C-438A-90B3-CEE5B1456E87}"/>
    <cellStyle name="Normal 6 3 5 2 2 2" xfId="11725" xr:uid="{9188DAB9-4395-4E17-9B31-0773A2CA56CD}"/>
    <cellStyle name="Normal 6 3 5 2 2 2 2" xfId="24407" xr:uid="{1322FBF2-20D0-4EEC-8979-A9C04A9B103A}"/>
    <cellStyle name="Normal 6 3 5 2 2 2 2 2" xfId="49899" xr:uid="{375FFDDD-122A-4F0E-A6C3-FD0ED36917B7}"/>
    <cellStyle name="Normal 6 3 5 2 2 2 3" xfId="37308" xr:uid="{715F4B4B-0242-4274-8227-A6A5AABD2261}"/>
    <cellStyle name="Normal 6 3 5 2 2 3" xfId="18129" xr:uid="{F3361E1B-BC17-4F83-AD33-BC66C59BF992}"/>
    <cellStyle name="Normal 6 3 5 2 2 3 2" xfId="43621" xr:uid="{276624DA-6418-433D-AB02-73803859DEA7}"/>
    <cellStyle name="Normal 6 3 5 2 2 4" xfId="31030" xr:uid="{8BCFA5CD-CC35-4A4F-A180-0B55467C25CA}"/>
    <cellStyle name="Normal 6 3 5 2 3" xfId="8586" xr:uid="{B44F86A3-6ED8-4814-BEEE-4F58576B2084}"/>
    <cellStyle name="Normal 6 3 5 2 3 2" xfId="21268" xr:uid="{7F7D3EB4-1805-4DF7-8C45-EFFEADE89FBC}"/>
    <cellStyle name="Normal 6 3 5 2 3 2 2" xfId="46760" xr:uid="{0BF64307-922E-43DF-8188-555F5F4EA58C}"/>
    <cellStyle name="Normal 6 3 5 2 3 3" xfId="34169" xr:uid="{198B4AA0-DCB5-497A-9648-D9DC75F68AED}"/>
    <cellStyle name="Normal 6 3 5 2 4" xfId="14990" xr:uid="{E36BF2FB-1E6D-4BEE-BB52-CAA8159EAE07}"/>
    <cellStyle name="Normal 6 3 5 2 4 2" xfId="40482" xr:uid="{D48CEC6D-0214-45AA-A02F-0485263F15EC}"/>
    <cellStyle name="Normal 6 3 5 2 5" xfId="27891" xr:uid="{03394CE2-D23F-4154-AD5B-7254754C249C}"/>
    <cellStyle name="Normal 6 3 5 3" xfId="1495" xr:uid="{335CF27B-9FCB-4E73-AAAD-1DDB5D0C1B8F}"/>
    <cellStyle name="Normal 6 3 5 3 2" xfId="4649" xr:uid="{DD67F5AB-EAC4-4D62-8DF9-F3DCD79ABCD6}"/>
    <cellStyle name="Normal 6 3 5 3 2 2" xfId="10942" xr:uid="{5658E9E5-7F95-4E09-AB19-2E586B22ED34}"/>
    <cellStyle name="Normal 6 3 5 3 2 2 2" xfId="23624" xr:uid="{6CAF0387-2FB3-47A4-BA07-ED3B54B91ABB}"/>
    <cellStyle name="Normal 6 3 5 3 2 2 2 2" xfId="49116" xr:uid="{1D2B40B7-0C25-4001-86EC-DAB23AC2F323}"/>
    <cellStyle name="Normal 6 3 5 3 2 2 3" xfId="36525" xr:uid="{0232A335-568C-4C6A-9521-1EE4282B4206}"/>
    <cellStyle name="Normal 6 3 5 3 2 3" xfId="17346" xr:uid="{AD08E467-78C1-476B-82A1-D569C32DD762}"/>
    <cellStyle name="Normal 6 3 5 3 2 3 2" xfId="42838" xr:uid="{8DE80434-12D7-425C-AB52-7AE94156BF10}"/>
    <cellStyle name="Normal 6 3 5 3 2 4" xfId="30247" xr:uid="{3A525083-2341-4B1D-9807-84735DCC1358}"/>
    <cellStyle name="Normal 6 3 5 3 3" xfId="7803" xr:uid="{BED492C1-AFE6-4628-A94F-D1A64A9E2510}"/>
    <cellStyle name="Normal 6 3 5 3 3 2" xfId="20485" xr:uid="{7800F468-0228-4405-A808-70B55D0CD220}"/>
    <cellStyle name="Normal 6 3 5 3 3 2 2" xfId="45977" xr:uid="{606FE1A4-8EC6-4AEA-8A00-7AE77F22034B}"/>
    <cellStyle name="Normal 6 3 5 3 3 3" xfId="33386" xr:uid="{58E8557F-BF6D-48C3-97D2-A11DBC66B7E3}"/>
    <cellStyle name="Normal 6 3 5 3 4" xfId="14207" xr:uid="{C429982D-52EB-42F6-BEC7-6AB47A1F26F9}"/>
    <cellStyle name="Normal 6 3 5 3 4 2" xfId="39699" xr:uid="{6529A8B5-CF29-41EF-91A7-89D3D70B8670}"/>
    <cellStyle name="Normal 6 3 5 3 5" xfId="27108" xr:uid="{7CF7F9FF-0CFF-4218-8C67-22D5C311D8A5}"/>
    <cellStyle name="Normal 6 3 5 4" xfId="2802" xr:uid="{6044EE44-9B9E-406F-81F5-FCD8A652656B}"/>
    <cellStyle name="Normal 6 3 5 4 2" xfId="5956" xr:uid="{F4CEA903-2A48-43F0-9837-EA46AB9A3251}"/>
    <cellStyle name="Normal 6 3 5 4 2 2" xfId="12249" xr:uid="{18971CD3-2D67-4DC1-BA81-E0D6077FDD74}"/>
    <cellStyle name="Normal 6 3 5 4 2 2 2" xfId="24931" xr:uid="{49385F7F-0413-4BC6-BD05-F9C262B7CA6E}"/>
    <cellStyle name="Normal 6 3 5 4 2 2 2 2" xfId="50423" xr:uid="{B1CEC520-B1CA-4F4D-B1A7-50587646201D}"/>
    <cellStyle name="Normal 6 3 5 4 2 2 3" xfId="37832" xr:uid="{2D86EF3D-F8C7-4188-9645-A21912D2860B}"/>
    <cellStyle name="Normal 6 3 5 4 2 3" xfId="18653" xr:uid="{2D4EDEDD-0039-4647-A185-F58266360DCD}"/>
    <cellStyle name="Normal 6 3 5 4 2 3 2" xfId="44145" xr:uid="{17B4B18A-28EF-4AB6-BEBE-441BDEBC88AB}"/>
    <cellStyle name="Normal 6 3 5 4 2 4" xfId="31554" xr:uid="{F58E8B4A-D16E-479F-A9BB-8450DEA899AE}"/>
    <cellStyle name="Normal 6 3 5 4 3" xfId="9110" xr:uid="{AB7C80F4-7BC0-4F43-9F52-110BF4A42132}"/>
    <cellStyle name="Normal 6 3 5 4 3 2" xfId="21792" xr:uid="{559BD5F5-63CA-43BD-A5D8-5EE8B32A3042}"/>
    <cellStyle name="Normal 6 3 5 4 3 2 2" xfId="47284" xr:uid="{EBB7579E-99C3-4870-BAAF-834D8F440F64}"/>
    <cellStyle name="Normal 6 3 5 4 3 3" xfId="34693" xr:uid="{5EF50C0E-F6D3-48B9-8D61-24F608379D19}"/>
    <cellStyle name="Normal 6 3 5 4 4" xfId="15514" xr:uid="{B31B0816-36DF-450F-B930-BABEEE07D8E5}"/>
    <cellStyle name="Normal 6 3 5 4 4 2" xfId="41006" xr:uid="{D2133B2F-DA9E-4EB5-93F9-B96B90669334}"/>
    <cellStyle name="Normal 6 3 5 4 5" xfId="28415" xr:uid="{01E833C6-0E32-4888-8DB8-FF21D09A0F2A}"/>
    <cellStyle name="Normal 6 3 5 5" xfId="3325" xr:uid="{A939981A-B0BC-4601-9382-F8A163100D20}"/>
    <cellStyle name="Normal 6 3 5 5 2" xfId="6479" xr:uid="{81C82405-8387-45DA-BC40-F861F6964CBB}"/>
    <cellStyle name="Normal 6 3 5 5 2 2" xfId="12772" xr:uid="{DB726DED-EE50-4AB2-BD56-090EFCD906ED}"/>
    <cellStyle name="Normal 6 3 5 5 2 2 2" xfId="25454" xr:uid="{C079DA1A-0705-489D-BD07-8A510AE25C92}"/>
    <cellStyle name="Normal 6 3 5 5 2 2 2 2" xfId="50946" xr:uid="{7C6947DA-F9E9-4CEF-A8CF-311EDE1C247D}"/>
    <cellStyle name="Normal 6 3 5 5 2 2 3" xfId="38355" xr:uid="{7D4191D5-0F1D-4722-81A8-F59F0E786952}"/>
    <cellStyle name="Normal 6 3 5 5 2 3" xfId="19176" xr:uid="{39AB5C10-4255-42A2-B666-0A4A88B6B579}"/>
    <cellStyle name="Normal 6 3 5 5 2 3 2" xfId="44668" xr:uid="{533B47AD-739C-4AE1-8B64-977EAF0194C6}"/>
    <cellStyle name="Normal 6 3 5 5 2 4" xfId="32077" xr:uid="{6316B70E-EFEA-49F9-B539-DA21706901E1}"/>
    <cellStyle name="Normal 6 3 5 5 3" xfId="9633" xr:uid="{1287BA01-DFBE-4790-A2E1-3E07C77D07C0}"/>
    <cellStyle name="Normal 6 3 5 5 3 2" xfId="22315" xr:uid="{109E6C0A-9FBA-40EF-BC32-80614FE3554D}"/>
    <cellStyle name="Normal 6 3 5 5 3 2 2" xfId="47807" xr:uid="{37E4FCD9-04EC-4EFA-AB32-702D7769AA59}"/>
    <cellStyle name="Normal 6 3 5 5 3 3" xfId="35216" xr:uid="{DD55E8B8-20D8-4769-AEB3-77441A1BAEC1}"/>
    <cellStyle name="Normal 6 3 5 5 4" xfId="16037" xr:uid="{61683B07-7DC3-446F-9019-1475CC00E7C8}"/>
    <cellStyle name="Normal 6 3 5 5 4 2" xfId="41529" xr:uid="{7FD5F1A2-A601-4C9B-B53D-C55F150F858B}"/>
    <cellStyle name="Normal 6 3 5 5 5" xfId="28938" xr:uid="{2BFE15C0-4B2F-4C53-8BD3-E3C453B77827}"/>
    <cellStyle name="Normal 6 3 5 6" xfId="4125" xr:uid="{5779EAA2-3197-4CD1-8DBE-205F5782D4DE}"/>
    <cellStyle name="Normal 6 3 5 6 2" xfId="10418" xr:uid="{4DF2C7E1-597F-4DC0-B10A-2165EDE88311}"/>
    <cellStyle name="Normal 6 3 5 6 2 2" xfId="23100" xr:uid="{2204BBD0-FFD0-4B28-AABE-6624CF4DC9DC}"/>
    <cellStyle name="Normal 6 3 5 6 2 2 2" xfId="48592" xr:uid="{A4ECE16D-2DEC-4A43-8277-B004171E9B10}"/>
    <cellStyle name="Normal 6 3 5 6 2 3" xfId="36001" xr:uid="{1162BA79-0D5E-4405-B466-44AE35C8B2E0}"/>
    <cellStyle name="Normal 6 3 5 6 3" xfId="16822" xr:uid="{3617F985-9743-4CE3-B4C3-E911A36E3148}"/>
    <cellStyle name="Normal 6 3 5 6 3 2" xfId="42314" xr:uid="{884AB4CC-E1A6-4EF8-B00D-D960828D1E7B}"/>
    <cellStyle name="Normal 6 3 5 6 4" xfId="29723" xr:uid="{233053AD-F96E-4BED-8D56-5DCF559282C1}"/>
    <cellStyle name="Normal 6 3 5 7" xfId="7279" xr:uid="{731F3414-5F2A-48B3-A367-0CAF88CED3F6}"/>
    <cellStyle name="Normal 6 3 5 7 2" xfId="19961" xr:uid="{F75A26F7-C5C5-4B1C-99CC-84786A2504B2}"/>
    <cellStyle name="Normal 6 3 5 7 2 2" xfId="45453" xr:uid="{747CBE65-A228-48A0-8774-E47D25F40544}"/>
    <cellStyle name="Normal 6 3 5 7 3" xfId="32862" xr:uid="{E75429BB-9DD3-4C71-BDE9-7846252C9984}"/>
    <cellStyle name="Normal 6 3 5 8" xfId="13683" xr:uid="{8AEB4B74-3E87-44F4-AC6A-1350CC7A5729}"/>
    <cellStyle name="Normal 6 3 5 8 2" xfId="39175" xr:uid="{E27D52E5-1C4A-4119-8F50-A17CA240D95E}"/>
    <cellStyle name="Normal 6 3 5 9" xfId="26584" xr:uid="{061236F5-C6CC-45A9-80D7-05C698FF7627}"/>
    <cellStyle name="Normal 6 3 6" xfId="711" xr:uid="{46F2195C-B09D-4C11-847E-71E24B340E1D}"/>
    <cellStyle name="Normal 6 3 6 2" xfId="2018" xr:uid="{2EBA2EDD-7846-44E2-B98C-91846E17F2D2}"/>
    <cellStyle name="Normal 6 3 6 2 2" xfId="5172" xr:uid="{C55D7F0C-25B2-431D-B77B-B3BC86457E86}"/>
    <cellStyle name="Normal 6 3 6 2 2 2" xfId="11465" xr:uid="{359FF6A8-5ABA-4A4E-9E5B-E7FF8087A71C}"/>
    <cellStyle name="Normal 6 3 6 2 2 2 2" xfId="24147" xr:uid="{FEE60BF6-ECCD-4641-85A6-610877AA8079}"/>
    <cellStyle name="Normal 6 3 6 2 2 2 2 2" xfId="49639" xr:uid="{C97FD5BB-BB90-40B8-AABB-10489C5B1605}"/>
    <cellStyle name="Normal 6 3 6 2 2 2 3" xfId="37048" xr:uid="{5AD3F4B1-F147-460E-B4D0-B3EE56BD2D44}"/>
    <cellStyle name="Normal 6 3 6 2 2 3" xfId="17869" xr:uid="{579F4AE2-AB82-4D84-912A-9D6B126B8E5A}"/>
    <cellStyle name="Normal 6 3 6 2 2 3 2" xfId="43361" xr:uid="{5F0B7484-3A2F-4AA6-911C-89376EC8E47A}"/>
    <cellStyle name="Normal 6 3 6 2 2 4" xfId="30770" xr:uid="{3967C50D-1258-45BB-A818-61002A5D823E}"/>
    <cellStyle name="Normal 6 3 6 2 3" xfId="8326" xr:uid="{AC68CFE8-5A25-4DA9-AACB-B83EE0853DB0}"/>
    <cellStyle name="Normal 6 3 6 2 3 2" xfId="21008" xr:uid="{F286BCD1-A3B9-4D38-89F1-3B314D6EE1A1}"/>
    <cellStyle name="Normal 6 3 6 2 3 2 2" xfId="46500" xr:uid="{5537D0F1-0C96-4DD3-9C0E-94F73F72CDD2}"/>
    <cellStyle name="Normal 6 3 6 2 3 3" xfId="33909" xr:uid="{2BD366C2-00A1-4D71-8D8C-AFF8B2FB98DE}"/>
    <cellStyle name="Normal 6 3 6 2 4" xfId="14730" xr:uid="{A9F4143B-118F-4C8D-AAD5-33FC64E94FA2}"/>
    <cellStyle name="Normal 6 3 6 2 4 2" xfId="40222" xr:uid="{4298C97D-54E8-43EE-AC5D-0406FBB4142F}"/>
    <cellStyle name="Normal 6 3 6 2 5" xfId="27631" xr:uid="{DDD8D87B-9113-4E1F-82F0-E5EC28C5D3D2}"/>
    <cellStyle name="Normal 6 3 6 3" xfId="3865" xr:uid="{0D705238-E8C8-4379-8883-3093F140770D}"/>
    <cellStyle name="Normal 6 3 6 3 2" xfId="10158" xr:uid="{F062B67F-5A5F-4A90-8EED-BBE683482725}"/>
    <cellStyle name="Normal 6 3 6 3 2 2" xfId="22840" xr:uid="{96E96F41-714B-4B8B-9E45-9070034D2FE7}"/>
    <cellStyle name="Normal 6 3 6 3 2 2 2" xfId="48332" xr:uid="{691F65AF-3244-4314-85CF-12FDBA1808DC}"/>
    <cellStyle name="Normal 6 3 6 3 2 3" xfId="35741" xr:uid="{54BA9175-D357-40A1-9673-A4B2A2CB470E}"/>
    <cellStyle name="Normal 6 3 6 3 3" xfId="16562" xr:uid="{905AF77E-3214-49B9-8E25-CBE2AEBB9973}"/>
    <cellStyle name="Normal 6 3 6 3 3 2" xfId="42054" xr:uid="{3271FE9C-7CA4-41A3-B721-ED6B6FB926B8}"/>
    <cellStyle name="Normal 6 3 6 3 4" xfId="29463" xr:uid="{CCC71541-9453-4E27-8AA0-ECAD4F56CAED}"/>
    <cellStyle name="Normal 6 3 6 4" xfId="7019" xr:uid="{279C3E3E-F545-4AFB-B79B-7535A7746DDE}"/>
    <cellStyle name="Normal 6 3 6 4 2" xfId="19701" xr:uid="{DB36EAFD-106A-416C-BFF6-D8FFF65AD876}"/>
    <cellStyle name="Normal 6 3 6 4 2 2" xfId="45193" xr:uid="{61F55F73-6C29-4CCD-B8D1-8D77352E13D5}"/>
    <cellStyle name="Normal 6 3 6 4 3" xfId="32602" xr:uid="{A1B1879B-FA3C-445F-B28F-7BF23F1DD24B}"/>
    <cellStyle name="Normal 6 3 6 5" xfId="13423" xr:uid="{2F145586-CC8F-48FF-BBCB-2C52C248F9CC}"/>
    <cellStyle name="Normal 6 3 6 5 2" xfId="38915" xr:uid="{139A44ED-380A-47FE-8B4E-E68EEFB18D55}"/>
    <cellStyle name="Normal 6 3 6 6" xfId="26324" xr:uid="{5CA7CAC0-E4C4-4A2A-8934-D6B9FF7AE723}"/>
    <cellStyle name="Normal 6 3 7" xfId="1756" xr:uid="{DE4DC273-344B-407E-BFD6-2AC8DA9DC228}"/>
    <cellStyle name="Normal 6 3 7 2" xfId="4910" xr:uid="{E22CEF58-8D79-4B18-858E-948FC06517BD}"/>
    <cellStyle name="Normal 6 3 7 2 2" xfId="11203" xr:uid="{7B7201B8-9F98-4EC4-90B3-5DD66DA5F6F8}"/>
    <cellStyle name="Normal 6 3 7 2 2 2" xfId="23885" xr:uid="{36844E52-C070-41FA-A862-1A120944BC97}"/>
    <cellStyle name="Normal 6 3 7 2 2 2 2" xfId="49377" xr:uid="{25E485D0-2097-492E-8EB4-BFA3E0C1B9E7}"/>
    <cellStyle name="Normal 6 3 7 2 2 3" xfId="36786" xr:uid="{45BAA6DA-3EAA-44A4-94C3-26C4F5FC1134}"/>
    <cellStyle name="Normal 6 3 7 2 3" xfId="17607" xr:uid="{D90177A0-39B7-4688-AD91-966153D4CF0C}"/>
    <cellStyle name="Normal 6 3 7 2 3 2" xfId="43099" xr:uid="{9793808C-77D8-401B-B620-C713B0DB48D3}"/>
    <cellStyle name="Normal 6 3 7 2 4" xfId="30508" xr:uid="{594AA8CE-D5AE-4871-8380-3A4040A58549}"/>
    <cellStyle name="Normal 6 3 7 3" xfId="8064" xr:uid="{970FECC3-C8BF-45DD-BA92-BD20614C3D7C}"/>
    <cellStyle name="Normal 6 3 7 3 2" xfId="20746" xr:uid="{41D0E1F6-8287-489A-A5B8-17FAFCA01515}"/>
    <cellStyle name="Normal 6 3 7 3 2 2" xfId="46238" xr:uid="{4C1B0B18-00E9-4BEF-B430-55EBE2B714E6}"/>
    <cellStyle name="Normal 6 3 7 3 3" xfId="33647" xr:uid="{53330437-C6C2-48D3-8D7E-3895601DF084}"/>
    <cellStyle name="Normal 6 3 7 4" xfId="14468" xr:uid="{777646B7-E6F9-427A-B4BF-F7D21743B8DB}"/>
    <cellStyle name="Normal 6 3 7 4 2" xfId="39960" xr:uid="{0164F702-F0BE-4F4B-ACE2-8C1D8C57BCBC}"/>
    <cellStyle name="Normal 6 3 7 5" xfId="27369" xr:uid="{02658CF4-F4B3-4C9F-A98F-737A749C7AB9}"/>
    <cellStyle name="Normal 6 3 8" xfId="1234" xr:uid="{90AF2BF9-45FD-4779-AA71-653CA99247F3}"/>
    <cellStyle name="Normal 6 3 8 2" xfId="4388" xr:uid="{32FB6269-2121-4AE9-A489-A0E3E6C931CA}"/>
    <cellStyle name="Normal 6 3 8 2 2" xfId="10681" xr:uid="{C8F84AF7-1BDD-43A6-BC48-78D594E1F937}"/>
    <cellStyle name="Normal 6 3 8 2 2 2" xfId="23363" xr:uid="{1B42955C-D7D3-42C6-9C09-C7F376451093}"/>
    <cellStyle name="Normal 6 3 8 2 2 2 2" xfId="48855" xr:uid="{E79B966C-7016-4452-85E1-060806B7B119}"/>
    <cellStyle name="Normal 6 3 8 2 2 3" xfId="36264" xr:uid="{D94DDE2B-6A77-4F2D-A35F-D9FEAA95AB6B}"/>
    <cellStyle name="Normal 6 3 8 2 3" xfId="17085" xr:uid="{E672B342-DD00-453E-9244-CBA0B253279A}"/>
    <cellStyle name="Normal 6 3 8 2 3 2" xfId="42577" xr:uid="{CC273C9A-C092-4218-9582-F45DDFB66E00}"/>
    <cellStyle name="Normal 6 3 8 2 4" xfId="29986" xr:uid="{E8276903-AEA5-418F-BA80-E827AD7FE6F5}"/>
    <cellStyle name="Normal 6 3 8 3" xfId="7542" xr:uid="{0DA79412-C79A-4B3C-8B12-1F1EAACB54FD}"/>
    <cellStyle name="Normal 6 3 8 3 2" xfId="20224" xr:uid="{EDA062A5-DCA1-4763-9842-26EBDB789F4E}"/>
    <cellStyle name="Normal 6 3 8 3 2 2" xfId="45716" xr:uid="{D0BBD632-66D5-42EE-9288-26A1A06F98D8}"/>
    <cellStyle name="Normal 6 3 8 3 3" xfId="33125" xr:uid="{C054C2CA-9BA0-48BF-9B3E-CDACE3A2AF1B}"/>
    <cellStyle name="Normal 6 3 8 4" xfId="13946" xr:uid="{C22D1636-0378-4A0C-9809-4D307BF607AE}"/>
    <cellStyle name="Normal 6 3 8 4 2" xfId="39438" xr:uid="{0A3364DF-BED3-484E-8C0D-9CEC3AC21A2B}"/>
    <cellStyle name="Normal 6 3 8 5" xfId="26847" xr:uid="{C89A6686-653F-4439-8552-7D233B9E6AB8}"/>
    <cellStyle name="Normal 6 3 9" xfId="2541" xr:uid="{7CCC7128-EC7A-44DA-BA9B-8A0181E7EA34}"/>
    <cellStyle name="Normal 6 3 9 2" xfId="5695" xr:uid="{B125AE38-5F08-4D45-B9CB-12C2DF328716}"/>
    <cellStyle name="Normal 6 3 9 2 2" xfId="11988" xr:uid="{C08EDB86-1030-447D-9A4E-ABD5ECE72928}"/>
    <cellStyle name="Normal 6 3 9 2 2 2" xfId="24670" xr:uid="{2AD7DBA5-56C2-4A48-8D40-C29A936EDD4C}"/>
    <cellStyle name="Normal 6 3 9 2 2 2 2" xfId="50162" xr:uid="{75E275C3-3AAC-4851-9A3C-7F8F546CED00}"/>
    <cellStyle name="Normal 6 3 9 2 2 3" xfId="37571" xr:uid="{713853A9-2C63-4F5E-9CE9-EC347F0B4788}"/>
    <cellStyle name="Normal 6 3 9 2 3" xfId="18392" xr:uid="{05D0BB60-CDB8-4C40-B743-FD563177C3D6}"/>
    <cellStyle name="Normal 6 3 9 2 3 2" xfId="43884" xr:uid="{21637C7E-50E1-4A38-B283-3E3FDAAB941E}"/>
    <cellStyle name="Normal 6 3 9 2 4" xfId="31293" xr:uid="{DA081837-BDAB-4364-AE5E-E54D1144F46E}"/>
    <cellStyle name="Normal 6 3 9 3" xfId="8849" xr:uid="{991F9CD6-0297-4B2F-B6CF-44FAD64A2C1A}"/>
    <cellStyle name="Normal 6 3 9 3 2" xfId="21531" xr:uid="{812493B2-4A77-4C49-BC9D-019320AEDDEF}"/>
    <cellStyle name="Normal 6 3 9 3 2 2" xfId="47023" xr:uid="{DA32E465-BC9B-449C-A939-A375644F0D63}"/>
    <cellStyle name="Normal 6 3 9 3 3" xfId="34432" xr:uid="{DA42CBD5-794F-47CD-92AA-5331CB13F689}"/>
    <cellStyle name="Normal 6 3 9 4" xfId="15253" xr:uid="{AFE2EE15-34F4-40E3-9A38-CF561948B828}"/>
    <cellStyle name="Normal 6 3 9 4 2" xfId="40745" xr:uid="{1551807E-C2E5-464C-984D-DF16B4BAD2C8}"/>
    <cellStyle name="Normal 6 3 9 5" xfId="28154" xr:uid="{C99E0C38-E3DB-4B82-BAB3-D32124954250}"/>
    <cellStyle name="Normal 6 4" xfId="475" xr:uid="{8409F71D-F7CD-4091-910F-E747C3788DA3}"/>
    <cellStyle name="Normal 6 4 10" xfId="3644" xr:uid="{52FF2F60-7F99-49B2-BA8A-AF3837F2717C}"/>
    <cellStyle name="Normal 6 4 10 2" xfId="9937" xr:uid="{E26FB0BE-A59F-44C4-9A66-28EB8D92D6CB}"/>
    <cellStyle name="Normal 6 4 10 2 2" xfId="22619" xr:uid="{B8F7DAEE-A9DC-4410-98A7-05788B3D61C2}"/>
    <cellStyle name="Normal 6 4 10 2 2 2" xfId="48111" xr:uid="{E3C5736D-6B89-427B-BB15-3FA27E275519}"/>
    <cellStyle name="Normal 6 4 10 2 3" xfId="35520" xr:uid="{96B94328-03D3-4376-9FB6-A78F23F5D91F}"/>
    <cellStyle name="Normal 6 4 10 3" xfId="16341" xr:uid="{A991FD60-07A1-4CD5-93DE-0824DCE67AE2}"/>
    <cellStyle name="Normal 6 4 10 3 2" xfId="41833" xr:uid="{62FB05FB-205E-4B82-83F2-0BB28AE413C9}"/>
    <cellStyle name="Normal 6 4 10 4" xfId="29242" xr:uid="{65ED0E48-6B64-451C-AFC9-DCD6B009137F}"/>
    <cellStyle name="Normal 6 4 11" xfId="6798" xr:uid="{7FE3F0F9-95E5-453C-A75C-E218AA9429F7}"/>
    <cellStyle name="Normal 6 4 11 2" xfId="19480" xr:uid="{C1E4122C-FDC2-4374-BC5C-F2508D67F80E}"/>
    <cellStyle name="Normal 6 4 11 2 2" xfId="44972" xr:uid="{BFA7F8DE-2DE7-47C6-B722-11D033D442F0}"/>
    <cellStyle name="Normal 6 4 11 3" xfId="32381" xr:uid="{FB0057A4-5484-4EA2-B317-D8879D12E6AB}"/>
    <cellStyle name="Normal 6 4 12" xfId="13202" xr:uid="{A8D5EBE0-BDA1-4D6D-8695-D5655C402C2E}"/>
    <cellStyle name="Normal 6 4 12 2" xfId="38694" xr:uid="{734FD0BC-D34D-4B21-895A-739634F2A719}"/>
    <cellStyle name="Normal 6 4 13" xfId="26103" xr:uid="{2B8EC2DE-FEF5-4B6A-9155-15E857383654}"/>
    <cellStyle name="Normal 6 4 2" xfId="634" xr:uid="{05483FA3-BDEE-4DEC-A753-819127EE6F25}"/>
    <cellStyle name="Normal 6 4 2 10" xfId="13361" xr:uid="{AC6FD798-141A-41E4-A643-C7413A40742F}"/>
    <cellStyle name="Normal 6 4 2 10 2" xfId="38853" xr:uid="{29CF96AB-F980-4049-8004-25432CDEB45F}"/>
    <cellStyle name="Normal 6 4 2 11" xfId="26262" xr:uid="{6E3C715E-6B75-4C3C-967E-AB76682FEA09}"/>
    <cellStyle name="Normal 6 4 2 2" xfId="1171" xr:uid="{00F4A4D4-67CE-48B6-88EA-DDD863A2A483}"/>
    <cellStyle name="Normal 6 4 2 2 2" xfId="2478" xr:uid="{894DDA18-8F0B-4D2A-9A68-854AED9A7E46}"/>
    <cellStyle name="Normal 6 4 2 2 2 2" xfId="5632" xr:uid="{5A712002-5F7A-436C-A759-B9E063CBFD94}"/>
    <cellStyle name="Normal 6 4 2 2 2 2 2" xfId="11925" xr:uid="{AD8394CD-1218-4CE8-B716-FDBB58DBE494}"/>
    <cellStyle name="Normal 6 4 2 2 2 2 2 2" xfId="24607" xr:uid="{A333AB25-7DCF-4561-BC91-6D6511EE2704}"/>
    <cellStyle name="Normal 6 4 2 2 2 2 2 2 2" xfId="50099" xr:uid="{4E88D937-EC54-46C1-AE9F-3FD0CB216122}"/>
    <cellStyle name="Normal 6 4 2 2 2 2 2 3" xfId="37508" xr:uid="{2019C358-4434-4E51-BAF4-2892F03EE26D}"/>
    <cellStyle name="Normal 6 4 2 2 2 2 3" xfId="18329" xr:uid="{7DB27A38-9FA6-4AFD-B2D5-47C03207A2C8}"/>
    <cellStyle name="Normal 6 4 2 2 2 2 3 2" xfId="43821" xr:uid="{6380C10F-0FB7-4E19-A3A1-3394E6E27E4C}"/>
    <cellStyle name="Normal 6 4 2 2 2 2 4" xfId="31230" xr:uid="{0BDB92F7-1A0A-4C41-9D0F-AF6D8C1A24BF}"/>
    <cellStyle name="Normal 6 4 2 2 2 3" xfId="8786" xr:uid="{F4F88319-5323-49A0-B681-3F034A3B07E4}"/>
    <cellStyle name="Normal 6 4 2 2 2 3 2" xfId="21468" xr:uid="{B200AC0F-128D-4B9C-920A-A6C132D6D823}"/>
    <cellStyle name="Normal 6 4 2 2 2 3 2 2" xfId="46960" xr:uid="{4CBC5D9C-746A-40BE-AF8A-27F4C250659B}"/>
    <cellStyle name="Normal 6 4 2 2 2 3 3" xfId="34369" xr:uid="{4C4C9FDE-099B-40BA-9682-FBE0A1777456}"/>
    <cellStyle name="Normal 6 4 2 2 2 4" xfId="15190" xr:uid="{CACF87F0-3C87-49EF-A701-B53EEA0BD845}"/>
    <cellStyle name="Normal 6 4 2 2 2 4 2" xfId="40682" xr:uid="{81A809A7-12D5-4A24-B886-0AC7676A6E0B}"/>
    <cellStyle name="Normal 6 4 2 2 2 5" xfId="28091" xr:uid="{256A1E8F-A070-4EA3-BA5C-8DD03472A19B}"/>
    <cellStyle name="Normal 6 4 2 2 3" xfId="1695" xr:uid="{F4FD82EA-C37E-4498-88B7-6E61B1A09F1E}"/>
    <cellStyle name="Normal 6 4 2 2 3 2" xfId="4849" xr:uid="{70316FF1-ECA2-4520-A298-3E8D381BF1D4}"/>
    <cellStyle name="Normal 6 4 2 2 3 2 2" xfId="11142" xr:uid="{B1602AB3-3A2B-405F-9659-7C8B4472992A}"/>
    <cellStyle name="Normal 6 4 2 2 3 2 2 2" xfId="23824" xr:uid="{B0C5D016-145E-41CD-BFB1-F1E07B96FF85}"/>
    <cellStyle name="Normal 6 4 2 2 3 2 2 2 2" xfId="49316" xr:uid="{65D01BCB-AE6B-42A1-9C9E-4AD61A4F913C}"/>
    <cellStyle name="Normal 6 4 2 2 3 2 2 3" xfId="36725" xr:uid="{77EA7CF4-F47F-4E2A-9F4C-5ECCBD02E74D}"/>
    <cellStyle name="Normal 6 4 2 2 3 2 3" xfId="17546" xr:uid="{D969AB46-2976-476E-8020-08149BCB44F7}"/>
    <cellStyle name="Normal 6 4 2 2 3 2 3 2" xfId="43038" xr:uid="{E16185D1-F172-42FA-B357-EACC4DFDE30B}"/>
    <cellStyle name="Normal 6 4 2 2 3 2 4" xfId="30447" xr:uid="{1555434A-658D-4801-A7DA-CC56313663C1}"/>
    <cellStyle name="Normal 6 4 2 2 3 3" xfId="8003" xr:uid="{E18BE2CC-5AA2-4B7B-B908-7751BD4A3C49}"/>
    <cellStyle name="Normal 6 4 2 2 3 3 2" xfId="20685" xr:uid="{59A5ABEC-E9B2-4A5E-8314-E73BA5AE393C}"/>
    <cellStyle name="Normal 6 4 2 2 3 3 2 2" xfId="46177" xr:uid="{2C0F29DA-AF61-48F3-BC6B-E83B5CE3F313}"/>
    <cellStyle name="Normal 6 4 2 2 3 3 3" xfId="33586" xr:uid="{8A611574-D266-4A2B-B82D-CB6750828EC7}"/>
    <cellStyle name="Normal 6 4 2 2 3 4" xfId="14407" xr:uid="{4BF5721B-0CB2-467A-A7EA-74DF7008ECC9}"/>
    <cellStyle name="Normal 6 4 2 2 3 4 2" xfId="39899" xr:uid="{F4AE12D4-6476-4E4A-A4BB-D3EE5A392989}"/>
    <cellStyle name="Normal 6 4 2 2 3 5" xfId="27308" xr:uid="{DE3CCBA8-82B8-4A32-8664-AFBB02BB2D81}"/>
    <cellStyle name="Normal 6 4 2 2 4" xfId="3002" xr:uid="{D33B54B1-1B80-4F6C-A669-8BC36CFA6966}"/>
    <cellStyle name="Normal 6 4 2 2 4 2" xfId="6156" xr:uid="{3636D990-7F14-4DB3-AA45-0FD00411DFEF}"/>
    <cellStyle name="Normal 6 4 2 2 4 2 2" xfId="12449" xr:uid="{34A31ACA-1914-4598-B030-AE00B6BDF704}"/>
    <cellStyle name="Normal 6 4 2 2 4 2 2 2" xfId="25131" xr:uid="{2541EB21-3C9E-4067-8261-E6ED26474566}"/>
    <cellStyle name="Normal 6 4 2 2 4 2 2 2 2" xfId="50623" xr:uid="{76EF9DEE-CD45-4E74-B90B-A3E1AD94DC0C}"/>
    <cellStyle name="Normal 6 4 2 2 4 2 2 3" xfId="38032" xr:uid="{7E4FAC12-19BB-48F3-8501-D8C736F8B9F0}"/>
    <cellStyle name="Normal 6 4 2 2 4 2 3" xfId="18853" xr:uid="{5020FF64-3FC8-4731-B624-CF81BCF864E5}"/>
    <cellStyle name="Normal 6 4 2 2 4 2 3 2" xfId="44345" xr:uid="{30736443-E0B2-4209-943D-7F94FF6151AA}"/>
    <cellStyle name="Normal 6 4 2 2 4 2 4" xfId="31754" xr:uid="{82530EB2-1A56-42AC-9902-1CC5930E33DF}"/>
    <cellStyle name="Normal 6 4 2 2 4 3" xfId="9310" xr:uid="{24A5A900-7A76-4CF1-B3A9-0AE00FC22E25}"/>
    <cellStyle name="Normal 6 4 2 2 4 3 2" xfId="21992" xr:uid="{6999C307-1D61-4C8C-9D56-4CEC4D055013}"/>
    <cellStyle name="Normal 6 4 2 2 4 3 2 2" xfId="47484" xr:uid="{ACCDF0CB-A9D2-4D87-B697-DB3B5378ED5F}"/>
    <cellStyle name="Normal 6 4 2 2 4 3 3" xfId="34893" xr:uid="{732A6F69-4912-4320-9D8B-2DEB3C52CC2B}"/>
    <cellStyle name="Normal 6 4 2 2 4 4" xfId="15714" xr:uid="{392166B7-3891-436E-A485-9071CD3F9DC2}"/>
    <cellStyle name="Normal 6 4 2 2 4 4 2" xfId="41206" xr:uid="{7D741F65-A08B-4F3B-9246-67F0F6841958}"/>
    <cellStyle name="Normal 6 4 2 2 4 5" xfId="28615" xr:uid="{2E137F5B-B4E7-4EF7-9D34-57EFE8041600}"/>
    <cellStyle name="Normal 6 4 2 2 5" xfId="3525" xr:uid="{CA7D0BE2-31A6-473D-8DFF-38F98381F0D9}"/>
    <cellStyle name="Normal 6 4 2 2 5 2" xfId="6679" xr:uid="{89611D18-0EC3-4097-8FD1-259DE8491CDE}"/>
    <cellStyle name="Normal 6 4 2 2 5 2 2" xfId="12972" xr:uid="{C358A000-7475-4683-B95E-22159B2EE65C}"/>
    <cellStyle name="Normal 6 4 2 2 5 2 2 2" xfId="25654" xr:uid="{251F29B1-E155-4A93-AA38-D7D5B4ECE1B0}"/>
    <cellStyle name="Normal 6 4 2 2 5 2 2 2 2" xfId="51146" xr:uid="{8BC5A82D-C95C-4B43-AFCD-64216304BB86}"/>
    <cellStyle name="Normal 6 4 2 2 5 2 2 3" xfId="38555" xr:uid="{584EFF07-D595-4C8B-BFDD-4641407B8D18}"/>
    <cellStyle name="Normal 6 4 2 2 5 2 3" xfId="19376" xr:uid="{70F4E651-ED39-4690-89B1-CCF5D523607A}"/>
    <cellStyle name="Normal 6 4 2 2 5 2 3 2" xfId="44868" xr:uid="{A9920C67-98C7-4885-A3B1-2EA8B5142B04}"/>
    <cellStyle name="Normal 6 4 2 2 5 2 4" xfId="32277" xr:uid="{9EE17457-3150-4008-93B4-491CAC2C335D}"/>
    <cellStyle name="Normal 6 4 2 2 5 3" xfId="9833" xr:uid="{AD4F4F1C-9C63-43A8-BC1D-F7855F97934F}"/>
    <cellStyle name="Normal 6 4 2 2 5 3 2" xfId="22515" xr:uid="{25F9994B-DFA7-4CF5-B010-84199C5A0669}"/>
    <cellStyle name="Normal 6 4 2 2 5 3 2 2" xfId="48007" xr:uid="{064A4D8F-D685-4944-8990-08282168B2B5}"/>
    <cellStyle name="Normal 6 4 2 2 5 3 3" xfId="35416" xr:uid="{C4BAC5B6-B9B9-4BF1-9A3F-799139C79A24}"/>
    <cellStyle name="Normal 6 4 2 2 5 4" xfId="16237" xr:uid="{A3CFBAFE-2F63-4345-907F-7EC1D1F0DD52}"/>
    <cellStyle name="Normal 6 4 2 2 5 4 2" xfId="41729" xr:uid="{89836666-436F-422A-8E2E-9B742DF62776}"/>
    <cellStyle name="Normal 6 4 2 2 5 5" xfId="29138" xr:uid="{EF205DBF-1A0F-47B7-BD6D-FAE19A245BDD}"/>
    <cellStyle name="Normal 6 4 2 2 6" xfId="4325" xr:uid="{DD3FEE99-9DCC-44E9-AFE0-72B03B427482}"/>
    <cellStyle name="Normal 6 4 2 2 6 2" xfId="10618" xr:uid="{EB8EC025-FEAB-4890-BCFC-7484757D6BF7}"/>
    <cellStyle name="Normal 6 4 2 2 6 2 2" xfId="23300" xr:uid="{ACBABA8E-8268-4826-92B3-6FACD8F3FDF7}"/>
    <cellStyle name="Normal 6 4 2 2 6 2 2 2" xfId="48792" xr:uid="{9C6EFB70-ECD2-4EB7-B861-1E66A9BE020C}"/>
    <cellStyle name="Normal 6 4 2 2 6 2 3" xfId="36201" xr:uid="{32C79A7E-0C0D-4A92-B854-6B0B6B36FC22}"/>
    <cellStyle name="Normal 6 4 2 2 6 3" xfId="17022" xr:uid="{F1920232-5FCD-4D1D-BE48-5E5193DC7AD7}"/>
    <cellStyle name="Normal 6 4 2 2 6 3 2" xfId="42514" xr:uid="{693BDD5E-E036-42D7-AA49-47609BD8B6BE}"/>
    <cellStyle name="Normal 6 4 2 2 6 4" xfId="29923" xr:uid="{B8C55D65-1153-474F-B016-3088D48C0D87}"/>
    <cellStyle name="Normal 6 4 2 2 7" xfId="7479" xr:uid="{36862F45-E77A-45DA-9C8E-6F54550B80F6}"/>
    <cellStyle name="Normal 6 4 2 2 7 2" xfId="20161" xr:uid="{5F2228A5-6F23-4FF7-AC5D-9FF8AB631B7D}"/>
    <cellStyle name="Normal 6 4 2 2 7 2 2" xfId="45653" xr:uid="{75DC5936-D08B-4D65-9650-6B8A584A808E}"/>
    <cellStyle name="Normal 6 4 2 2 7 3" xfId="33062" xr:uid="{40DD83EF-1BA7-4B7A-803C-07A4706D25A2}"/>
    <cellStyle name="Normal 6 4 2 2 8" xfId="13883" xr:uid="{83AB1010-DB8F-4F5C-B746-38D7B880F951}"/>
    <cellStyle name="Normal 6 4 2 2 8 2" xfId="39375" xr:uid="{64427CFC-5D8E-4707-B126-E0E8B7F4ECB5}"/>
    <cellStyle name="Normal 6 4 2 2 9" xfId="26784" xr:uid="{A203CEF6-55CC-4E32-9B4F-54F96ACA0623}"/>
    <cellStyle name="Normal 6 4 2 3" xfId="911" xr:uid="{F0E8C04E-CA3C-4D82-8ABC-FCC195C4E8EF}"/>
    <cellStyle name="Normal 6 4 2 3 2" xfId="2218" xr:uid="{B04F1B6C-6B11-44CA-8F28-EBC4FFA716AA}"/>
    <cellStyle name="Normal 6 4 2 3 2 2" xfId="5372" xr:uid="{76751452-2C17-4703-A3FC-822941FE96D0}"/>
    <cellStyle name="Normal 6 4 2 3 2 2 2" xfId="11665" xr:uid="{10F4368E-B887-470B-9031-BC37C22EC85A}"/>
    <cellStyle name="Normal 6 4 2 3 2 2 2 2" xfId="24347" xr:uid="{93C8C712-5C00-44DC-BC71-9A99BCCC24ED}"/>
    <cellStyle name="Normal 6 4 2 3 2 2 2 2 2" xfId="49839" xr:uid="{047F64C8-831F-49F0-A4F9-BCF2A8F3A477}"/>
    <cellStyle name="Normal 6 4 2 3 2 2 2 3" xfId="37248" xr:uid="{6D41A47B-F223-4629-8137-78B53BA38B9D}"/>
    <cellStyle name="Normal 6 4 2 3 2 2 3" xfId="18069" xr:uid="{369C065A-AB02-47C8-8A61-00B80A898CF5}"/>
    <cellStyle name="Normal 6 4 2 3 2 2 3 2" xfId="43561" xr:uid="{550A9E0F-3A05-49FF-87F9-6AABCBE14B9D}"/>
    <cellStyle name="Normal 6 4 2 3 2 2 4" xfId="30970" xr:uid="{4052DFBB-6404-4B05-999C-86308F22FD28}"/>
    <cellStyle name="Normal 6 4 2 3 2 3" xfId="8526" xr:uid="{FC96BAE2-9B09-4D78-9BE4-C0249E74349D}"/>
    <cellStyle name="Normal 6 4 2 3 2 3 2" xfId="21208" xr:uid="{679E29FA-DE79-40D3-A912-700697911C60}"/>
    <cellStyle name="Normal 6 4 2 3 2 3 2 2" xfId="46700" xr:uid="{F481794D-EE9C-4415-957A-26D9853C8628}"/>
    <cellStyle name="Normal 6 4 2 3 2 3 3" xfId="34109" xr:uid="{B8D5577F-8470-4D81-9A93-D0FA22B96B9C}"/>
    <cellStyle name="Normal 6 4 2 3 2 4" xfId="14930" xr:uid="{5C0C7E07-7D69-4171-A685-31F1A71BC384}"/>
    <cellStyle name="Normal 6 4 2 3 2 4 2" xfId="40422" xr:uid="{09189F22-5C28-4E60-98BB-360300E69C66}"/>
    <cellStyle name="Normal 6 4 2 3 2 5" xfId="27831" xr:uid="{3B79F278-552A-42E9-B1E8-5293F4D10EAD}"/>
    <cellStyle name="Normal 6 4 2 3 3" xfId="4065" xr:uid="{25304057-6F1C-4040-AB3E-F3FDEC4BDB77}"/>
    <cellStyle name="Normal 6 4 2 3 3 2" xfId="10358" xr:uid="{82FDE6F1-DAFA-4DDC-A44C-60E985CAB9EF}"/>
    <cellStyle name="Normal 6 4 2 3 3 2 2" xfId="23040" xr:uid="{03FF820C-29CA-4333-AEFD-A6700B6D2A75}"/>
    <cellStyle name="Normal 6 4 2 3 3 2 2 2" xfId="48532" xr:uid="{241DF5EE-A3FE-4C81-B6C7-10785359D851}"/>
    <cellStyle name="Normal 6 4 2 3 3 2 3" xfId="35941" xr:uid="{E4190A0F-362C-46C1-B010-60F23AB42613}"/>
    <cellStyle name="Normal 6 4 2 3 3 3" xfId="16762" xr:uid="{5C326F55-F640-4133-BE54-584708E36722}"/>
    <cellStyle name="Normal 6 4 2 3 3 3 2" xfId="42254" xr:uid="{7C9EFC18-F119-4BAB-89FB-C8AE12F78C4C}"/>
    <cellStyle name="Normal 6 4 2 3 3 4" xfId="29663" xr:uid="{54F661F0-6A01-464F-BEF2-7A406ABAEBDA}"/>
    <cellStyle name="Normal 6 4 2 3 4" xfId="7219" xr:uid="{8C30605F-E5B5-4490-A5BF-22ABCF509BF6}"/>
    <cellStyle name="Normal 6 4 2 3 4 2" xfId="19901" xr:uid="{7A528DAF-D262-416B-B893-6FE0A75C685A}"/>
    <cellStyle name="Normal 6 4 2 3 4 2 2" xfId="45393" xr:uid="{FD759919-E043-49B7-AD85-8D0C8579998F}"/>
    <cellStyle name="Normal 6 4 2 3 4 3" xfId="32802" xr:uid="{05C60BC4-66E3-4BB5-9E9D-CA483AF99A11}"/>
    <cellStyle name="Normal 6 4 2 3 5" xfId="13623" xr:uid="{FBFD7C56-321D-45CE-A25E-B8D7F05E863F}"/>
    <cellStyle name="Normal 6 4 2 3 5 2" xfId="39115" xr:uid="{B5B37555-4F19-48F8-8FB5-D068DA5A9BBF}"/>
    <cellStyle name="Normal 6 4 2 3 6" xfId="26524" xr:uid="{AA9D0900-05C2-4E7B-99C5-62C8B41CACDC}"/>
    <cellStyle name="Normal 6 4 2 4" xfId="1956" xr:uid="{E845B36E-850C-402E-8023-25E6051090CD}"/>
    <cellStyle name="Normal 6 4 2 4 2" xfId="5110" xr:uid="{C51E7321-4D5C-4984-888C-26C9DB5B6762}"/>
    <cellStyle name="Normal 6 4 2 4 2 2" xfId="11403" xr:uid="{8AA86CB1-6EA0-4597-9BC8-A300AD9E5626}"/>
    <cellStyle name="Normal 6 4 2 4 2 2 2" xfId="24085" xr:uid="{40ECDE25-5746-472B-8EB6-EFF714EC5CB6}"/>
    <cellStyle name="Normal 6 4 2 4 2 2 2 2" xfId="49577" xr:uid="{7CB0E735-0BC5-46B9-A7FF-DFFBCB6502D4}"/>
    <cellStyle name="Normal 6 4 2 4 2 2 3" xfId="36986" xr:uid="{B3950936-3F78-4D98-B1CF-6F9C0141B61C}"/>
    <cellStyle name="Normal 6 4 2 4 2 3" xfId="17807" xr:uid="{739F7DF3-92FD-4A2E-9BF2-5953F3C347A3}"/>
    <cellStyle name="Normal 6 4 2 4 2 3 2" xfId="43299" xr:uid="{9AE4556C-3AAF-4489-9C80-C7428E595D14}"/>
    <cellStyle name="Normal 6 4 2 4 2 4" xfId="30708" xr:uid="{C240A6E6-9712-4417-83F0-6A55EF644670}"/>
    <cellStyle name="Normal 6 4 2 4 3" xfId="8264" xr:uid="{AB72FFA2-B2CB-485D-8574-369BFB350AF1}"/>
    <cellStyle name="Normal 6 4 2 4 3 2" xfId="20946" xr:uid="{9F2CCD4D-3FF8-41F3-9491-D0E1BD7CC8C8}"/>
    <cellStyle name="Normal 6 4 2 4 3 2 2" xfId="46438" xr:uid="{A60A7930-DBAF-42F9-B6B6-799F0A5DB3BE}"/>
    <cellStyle name="Normal 6 4 2 4 3 3" xfId="33847" xr:uid="{F54A770B-62B3-45A7-A794-55B1D9B0EDA4}"/>
    <cellStyle name="Normal 6 4 2 4 4" xfId="14668" xr:uid="{B9ABB187-24CD-43A5-A0C5-54FA276BB153}"/>
    <cellStyle name="Normal 6 4 2 4 4 2" xfId="40160" xr:uid="{3C6F6BB9-5FDA-4139-BF81-C9FEC93DF701}"/>
    <cellStyle name="Normal 6 4 2 4 5" xfId="27569" xr:uid="{651EFFA8-958E-4362-8C0D-495435964C2C}"/>
    <cellStyle name="Normal 6 4 2 5" xfId="1434" xr:uid="{D91916AD-607B-4CFE-8250-38C5C1A86486}"/>
    <cellStyle name="Normal 6 4 2 5 2" xfId="4588" xr:uid="{8BD6129D-7350-4C68-A898-AF200CB05B71}"/>
    <cellStyle name="Normal 6 4 2 5 2 2" xfId="10881" xr:uid="{F9341F8A-C628-4C7D-B852-2EB6552DA2B4}"/>
    <cellStyle name="Normal 6 4 2 5 2 2 2" xfId="23563" xr:uid="{68476F89-4E14-4C70-8CBC-3E2C9E217B68}"/>
    <cellStyle name="Normal 6 4 2 5 2 2 2 2" xfId="49055" xr:uid="{AF2343D0-4E14-4AC0-BBA4-F7BDC2C6BBBF}"/>
    <cellStyle name="Normal 6 4 2 5 2 2 3" xfId="36464" xr:uid="{BFAF87D1-4FFC-4494-B86A-26BCF877DE2D}"/>
    <cellStyle name="Normal 6 4 2 5 2 3" xfId="17285" xr:uid="{A33EF813-DA13-4509-9453-E48FBC9966B8}"/>
    <cellStyle name="Normal 6 4 2 5 2 3 2" xfId="42777" xr:uid="{101D434D-BD9E-466C-A67A-1D5F78CF5202}"/>
    <cellStyle name="Normal 6 4 2 5 2 4" xfId="30186" xr:uid="{F4418BF7-7B71-4628-A889-7FE973AB189F}"/>
    <cellStyle name="Normal 6 4 2 5 3" xfId="7742" xr:uid="{A7EC816C-CCDB-4142-A70B-B0EB0C49C156}"/>
    <cellStyle name="Normal 6 4 2 5 3 2" xfId="20424" xr:uid="{93B753A7-6C87-4817-AFCD-5CEC8CD3411D}"/>
    <cellStyle name="Normal 6 4 2 5 3 2 2" xfId="45916" xr:uid="{92AAFBCF-7586-442F-A5C1-DDF374023F63}"/>
    <cellStyle name="Normal 6 4 2 5 3 3" xfId="33325" xr:uid="{DD414C37-9082-4054-A2CF-7B4FD6623C73}"/>
    <cellStyle name="Normal 6 4 2 5 4" xfId="14146" xr:uid="{9458AA6A-E9E5-49F1-B277-69834AD04817}"/>
    <cellStyle name="Normal 6 4 2 5 4 2" xfId="39638" xr:uid="{52F89858-F372-47E8-A0B8-8F7D16AF559B}"/>
    <cellStyle name="Normal 6 4 2 5 5" xfId="27047" xr:uid="{93D084CD-CB5F-43EC-B536-14CF806C962B}"/>
    <cellStyle name="Normal 6 4 2 6" xfId="2741" xr:uid="{056091F3-A9B9-4029-B98B-4563F6ED3566}"/>
    <cellStyle name="Normal 6 4 2 6 2" xfId="5895" xr:uid="{06A74A33-C7A9-4792-827E-21999E684365}"/>
    <cellStyle name="Normal 6 4 2 6 2 2" xfId="12188" xr:uid="{FF8804FC-2B40-4A3D-ABA5-805480E3149F}"/>
    <cellStyle name="Normal 6 4 2 6 2 2 2" xfId="24870" xr:uid="{B43E38FC-AF87-4BE1-B498-39A0BD306B47}"/>
    <cellStyle name="Normal 6 4 2 6 2 2 2 2" xfId="50362" xr:uid="{47B72CCE-659A-46D2-9653-45822F39C0ED}"/>
    <cellStyle name="Normal 6 4 2 6 2 2 3" xfId="37771" xr:uid="{FAAA8294-4B32-4192-8D3F-39A1E2975213}"/>
    <cellStyle name="Normal 6 4 2 6 2 3" xfId="18592" xr:uid="{CCA66173-B6F1-41DA-8B8E-BEAD3FCB606B}"/>
    <cellStyle name="Normal 6 4 2 6 2 3 2" xfId="44084" xr:uid="{6184E7E4-D7BB-457D-8574-083F93C932F8}"/>
    <cellStyle name="Normal 6 4 2 6 2 4" xfId="31493" xr:uid="{6A6FB8A8-9ADF-4C24-93B6-DE5285B5BD55}"/>
    <cellStyle name="Normal 6 4 2 6 3" xfId="9049" xr:uid="{D6E6A3DC-1FFD-4A15-A7A8-FAAC8B442524}"/>
    <cellStyle name="Normal 6 4 2 6 3 2" xfId="21731" xr:uid="{2F72309A-7E22-494C-8254-BD2489B56D8B}"/>
    <cellStyle name="Normal 6 4 2 6 3 2 2" xfId="47223" xr:uid="{ADD364C0-3B96-46ED-A82C-819CC2566A51}"/>
    <cellStyle name="Normal 6 4 2 6 3 3" xfId="34632" xr:uid="{5ABAAFEC-3F89-4C85-ACEC-C2CEDB595710}"/>
    <cellStyle name="Normal 6 4 2 6 4" xfId="15453" xr:uid="{93A26E17-1CE9-4CDB-86B6-056A7CC30E06}"/>
    <cellStyle name="Normal 6 4 2 6 4 2" xfId="40945" xr:uid="{0F26769B-505D-4959-8C05-7C43A1CF77F6}"/>
    <cellStyle name="Normal 6 4 2 6 5" xfId="28354" xr:uid="{42F2081D-C226-4457-878A-E9C563E63821}"/>
    <cellStyle name="Normal 6 4 2 7" xfId="3264" xr:uid="{6B2E38B7-0951-439E-B007-320AC40BDF1A}"/>
    <cellStyle name="Normal 6 4 2 7 2" xfId="6418" xr:uid="{9C28241B-AF10-41CE-AF2B-67391B4649F0}"/>
    <cellStyle name="Normal 6 4 2 7 2 2" xfId="12711" xr:uid="{3DEAF44C-48EA-4E5D-BF35-F11A98332E17}"/>
    <cellStyle name="Normal 6 4 2 7 2 2 2" xfId="25393" xr:uid="{57E345E4-7036-45E0-A673-804E769E7283}"/>
    <cellStyle name="Normal 6 4 2 7 2 2 2 2" xfId="50885" xr:uid="{5ED211F6-C4EC-4EEE-9F88-925A95C364C4}"/>
    <cellStyle name="Normal 6 4 2 7 2 2 3" xfId="38294" xr:uid="{FF6E6EE4-F225-4913-829B-979855F7319D}"/>
    <cellStyle name="Normal 6 4 2 7 2 3" xfId="19115" xr:uid="{766D2495-36AD-4EF2-8293-4594EA65192B}"/>
    <cellStyle name="Normal 6 4 2 7 2 3 2" xfId="44607" xr:uid="{50E6C5C6-5B4B-4C7D-B513-51AADFA0AABC}"/>
    <cellStyle name="Normal 6 4 2 7 2 4" xfId="32016" xr:uid="{4CC02718-2F8F-463B-BE71-839DEEBB1240}"/>
    <cellStyle name="Normal 6 4 2 7 3" xfId="9572" xr:uid="{E4F4029D-05FE-414C-BD76-3DAC48F90FBE}"/>
    <cellStyle name="Normal 6 4 2 7 3 2" xfId="22254" xr:uid="{48527848-24AF-45AA-82E0-A7E2E31FF204}"/>
    <cellStyle name="Normal 6 4 2 7 3 2 2" xfId="47746" xr:uid="{594A3ACD-B710-4D5D-9C8E-20CA16F8A854}"/>
    <cellStyle name="Normal 6 4 2 7 3 3" xfId="35155" xr:uid="{B0AF9689-8F91-423E-B878-72A9BDB17D4F}"/>
    <cellStyle name="Normal 6 4 2 7 4" xfId="15976" xr:uid="{77471241-32C3-4A48-AF15-1C2B20F6532E}"/>
    <cellStyle name="Normal 6 4 2 7 4 2" xfId="41468" xr:uid="{780472B7-4C7D-4033-B35E-7639E4539B5D}"/>
    <cellStyle name="Normal 6 4 2 7 5" xfId="28877" xr:uid="{FC416756-B598-412E-B34F-535D7810A1FB}"/>
    <cellStyle name="Normal 6 4 2 8" xfId="3803" xr:uid="{D2F0AEF1-4035-45D4-9CBF-E890F454B4DD}"/>
    <cellStyle name="Normal 6 4 2 8 2" xfId="10096" xr:uid="{585328C9-645D-4DD3-979D-50252EDEC62F}"/>
    <cellStyle name="Normal 6 4 2 8 2 2" xfId="22778" xr:uid="{77AE0AE1-60C8-4B1D-B8C6-AB7493968236}"/>
    <cellStyle name="Normal 6 4 2 8 2 2 2" xfId="48270" xr:uid="{C9C4A038-91D1-47C8-A3C5-7CC9E2DC2380}"/>
    <cellStyle name="Normal 6 4 2 8 2 3" xfId="35679" xr:uid="{50C5E000-12BF-4EEF-8841-7B6E330B79BA}"/>
    <cellStyle name="Normal 6 4 2 8 3" xfId="16500" xr:uid="{9A4836A6-6CE9-43CD-9CD9-7FC963B4A716}"/>
    <cellStyle name="Normal 6 4 2 8 3 2" xfId="41992" xr:uid="{F9BC4580-1A25-4D84-8DD0-446F14EFD57A}"/>
    <cellStyle name="Normal 6 4 2 8 4" xfId="29401" xr:uid="{C6698DF6-E5D2-48DE-87B3-17FC85F19CC6}"/>
    <cellStyle name="Normal 6 4 2 9" xfId="6957" xr:uid="{7106FC9A-6555-42C1-80FA-8255800AE0C1}"/>
    <cellStyle name="Normal 6 4 2 9 2" xfId="19639" xr:uid="{DE137E59-51B8-4F7A-9793-F704EBAB497B}"/>
    <cellStyle name="Normal 6 4 2 9 2 2" xfId="45131" xr:uid="{498FBEE6-372F-4B9C-93F4-8A581427CA6E}"/>
    <cellStyle name="Normal 6 4 2 9 3" xfId="32540" xr:uid="{E853B2B9-0A1C-4B75-9926-E025696D80FB}"/>
    <cellStyle name="Normal 6 4 3" xfId="534" xr:uid="{78600E93-FF7F-43C0-A900-5BDDD46EBE25}"/>
    <cellStyle name="Normal 6 4 3 10" xfId="13261" xr:uid="{C4193429-C2A4-4B12-A18F-BDAE2F145336}"/>
    <cellStyle name="Normal 6 4 3 10 2" xfId="38753" xr:uid="{7A9E3AA2-740C-4D75-90E5-D40AE38BE297}"/>
    <cellStyle name="Normal 6 4 3 11" xfId="26162" xr:uid="{5552EB8D-7027-403E-8A8B-469BD436C2B5}"/>
    <cellStyle name="Normal 6 4 3 2" xfId="1071" xr:uid="{BB878371-0511-4179-9C3C-8F50F70D3FFC}"/>
    <cellStyle name="Normal 6 4 3 2 2" xfId="2378" xr:uid="{0921F135-C5A2-438B-AE0A-614B4827C1DA}"/>
    <cellStyle name="Normal 6 4 3 2 2 2" xfId="5532" xr:uid="{E5856F9F-2CF0-4E75-9D6B-10F377B8B976}"/>
    <cellStyle name="Normal 6 4 3 2 2 2 2" xfId="11825" xr:uid="{E0D00D6D-FCCA-4AB0-90AE-C049D55673E3}"/>
    <cellStyle name="Normal 6 4 3 2 2 2 2 2" xfId="24507" xr:uid="{5AD1C137-82F3-4105-870D-89395A311170}"/>
    <cellStyle name="Normal 6 4 3 2 2 2 2 2 2" xfId="49999" xr:uid="{2D04B2C4-48F3-47CE-83A3-4859450D83B8}"/>
    <cellStyle name="Normal 6 4 3 2 2 2 2 3" xfId="37408" xr:uid="{2B4CCBB2-7667-488A-A98E-CC0CF53EA354}"/>
    <cellStyle name="Normal 6 4 3 2 2 2 3" xfId="18229" xr:uid="{405A03E3-96B6-4F17-B0E7-23D6CE05D076}"/>
    <cellStyle name="Normal 6 4 3 2 2 2 3 2" xfId="43721" xr:uid="{BBFFBF96-2300-4F14-9184-8FE901D64054}"/>
    <cellStyle name="Normal 6 4 3 2 2 2 4" xfId="31130" xr:uid="{BE2EF0E0-CA7D-4F90-90AD-4955120A2543}"/>
    <cellStyle name="Normal 6 4 3 2 2 3" xfId="8686" xr:uid="{D9636CE2-5CE3-4B13-96A1-594FC0E789AE}"/>
    <cellStyle name="Normal 6 4 3 2 2 3 2" xfId="21368" xr:uid="{988A7A1F-2E80-42D1-B01E-DBFD7B268A4B}"/>
    <cellStyle name="Normal 6 4 3 2 2 3 2 2" xfId="46860" xr:uid="{BB566F46-54BE-4464-B66F-5D54F479AE13}"/>
    <cellStyle name="Normal 6 4 3 2 2 3 3" xfId="34269" xr:uid="{91C1CEAA-F5D1-4F16-A079-2FD1A804DA41}"/>
    <cellStyle name="Normal 6 4 3 2 2 4" xfId="15090" xr:uid="{A79103A4-F887-4174-9DF7-02970719F687}"/>
    <cellStyle name="Normal 6 4 3 2 2 4 2" xfId="40582" xr:uid="{03B886AA-F320-46D9-B921-3BDA0231C1C9}"/>
    <cellStyle name="Normal 6 4 3 2 2 5" xfId="27991" xr:uid="{4117D218-27FE-415C-BB1F-A87BA335F6F5}"/>
    <cellStyle name="Normal 6 4 3 2 3" xfId="1595" xr:uid="{7EEC71E6-273C-463C-8F24-FD5F2B79F3D6}"/>
    <cellStyle name="Normal 6 4 3 2 3 2" xfId="4749" xr:uid="{16B53AA5-F195-4FA3-BC5E-80C43DEE499D}"/>
    <cellStyle name="Normal 6 4 3 2 3 2 2" xfId="11042" xr:uid="{DA22AB63-0CBC-4819-BEE7-AA21B0B6EB3E}"/>
    <cellStyle name="Normal 6 4 3 2 3 2 2 2" xfId="23724" xr:uid="{C8650F44-B30B-46F0-8973-C6246A2B1878}"/>
    <cellStyle name="Normal 6 4 3 2 3 2 2 2 2" xfId="49216" xr:uid="{4F5CC108-179A-484F-96C1-636A42B67587}"/>
    <cellStyle name="Normal 6 4 3 2 3 2 2 3" xfId="36625" xr:uid="{ACC77AB1-69BE-4C55-B522-942886FF5762}"/>
    <cellStyle name="Normal 6 4 3 2 3 2 3" xfId="17446" xr:uid="{E58F4A9E-087C-49FD-8544-7F9A1371C861}"/>
    <cellStyle name="Normal 6 4 3 2 3 2 3 2" xfId="42938" xr:uid="{25CB178E-CEA1-4E56-B48A-08A54CDC1786}"/>
    <cellStyle name="Normal 6 4 3 2 3 2 4" xfId="30347" xr:uid="{39A45E33-9181-43F8-876D-BB38C8055F7E}"/>
    <cellStyle name="Normal 6 4 3 2 3 3" xfId="7903" xr:uid="{71B69A3C-0D23-4758-AF19-78A86A7EF848}"/>
    <cellStyle name="Normal 6 4 3 2 3 3 2" xfId="20585" xr:uid="{9F13FA0A-8093-48E2-A5F3-9EF8A4D04ACB}"/>
    <cellStyle name="Normal 6 4 3 2 3 3 2 2" xfId="46077" xr:uid="{21A9AC8F-B2AA-4DD7-B8CB-6502CE458C6C}"/>
    <cellStyle name="Normal 6 4 3 2 3 3 3" xfId="33486" xr:uid="{67938588-D584-46E6-BC12-0C019B316B8C}"/>
    <cellStyle name="Normal 6 4 3 2 3 4" xfId="14307" xr:uid="{53DC3760-03F3-4992-B9B0-BF199B0867D8}"/>
    <cellStyle name="Normal 6 4 3 2 3 4 2" xfId="39799" xr:uid="{7A507002-A69D-4D09-8B41-777A806FA612}"/>
    <cellStyle name="Normal 6 4 3 2 3 5" xfId="27208" xr:uid="{01E661C3-7E6B-4727-B3C2-F986419706AC}"/>
    <cellStyle name="Normal 6 4 3 2 4" xfId="2902" xr:uid="{D3870642-312E-4225-BDB5-1007CD4821EE}"/>
    <cellStyle name="Normal 6 4 3 2 4 2" xfId="6056" xr:uid="{E06EAD89-1E36-4567-BE67-D948865104FB}"/>
    <cellStyle name="Normal 6 4 3 2 4 2 2" xfId="12349" xr:uid="{33D1F230-87B4-4A25-9FF7-77BFC7FD6FE5}"/>
    <cellStyle name="Normal 6 4 3 2 4 2 2 2" xfId="25031" xr:uid="{B9D905F5-6F72-448F-AA85-02B60A76FF06}"/>
    <cellStyle name="Normal 6 4 3 2 4 2 2 2 2" xfId="50523" xr:uid="{AD62DFEA-0C75-4558-B5D7-2485E89DDB07}"/>
    <cellStyle name="Normal 6 4 3 2 4 2 2 3" xfId="37932" xr:uid="{9A93EBF8-383F-446C-9499-DD453DB5F454}"/>
    <cellStyle name="Normal 6 4 3 2 4 2 3" xfId="18753" xr:uid="{EEF3027E-E3B6-474F-9CAB-477D140A9F7E}"/>
    <cellStyle name="Normal 6 4 3 2 4 2 3 2" xfId="44245" xr:uid="{A66A4EFE-254A-4F2E-B3D8-37355D8914EB}"/>
    <cellStyle name="Normal 6 4 3 2 4 2 4" xfId="31654" xr:uid="{A8F4249E-F583-4CD0-B760-8814C80B39BC}"/>
    <cellStyle name="Normal 6 4 3 2 4 3" xfId="9210" xr:uid="{256E2953-EFAD-4F93-AC8F-D4D2ECAC9406}"/>
    <cellStyle name="Normal 6 4 3 2 4 3 2" xfId="21892" xr:uid="{A4502FF4-9F8E-466C-8584-497B23903BE1}"/>
    <cellStyle name="Normal 6 4 3 2 4 3 2 2" xfId="47384" xr:uid="{C2FB51A8-5D4D-40C6-9439-FD9DA2042A66}"/>
    <cellStyle name="Normal 6 4 3 2 4 3 3" xfId="34793" xr:uid="{4DB3243C-A738-438A-BDB0-FAB568E702D5}"/>
    <cellStyle name="Normal 6 4 3 2 4 4" xfId="15614" xr:uid="{F1BA9059-56F0-49A8-90FF-2E63157C149E}"/>
    <cellStyle name="Normal 6 4 3 2 4 4 2" xfId="41106" xr:uid="{25ADB6CC-AC19-4297-B5F0-E8617A8BF708}"/>
    <cellStyle name="Normal 6 4 3 2 4 5" xfId="28515" xr:uid="{0DA60A25-35FD-4F72-85A9-F2F5E583163E}"/>
    <cellStyle name="Normal 6 4 3 2 5" xfId="3425" xr:uid="{CD53FC20-7E3F-4B0A-BAB4-0EFAB7BFFD3C}"/>
    <cellStyle name="Normal 6 4 3 2 5 2" xfId="6579" xr:uid="{CDD9C654-4D66-4DC0-B4A2-65F837D0B283}"/>
    <cellStyle name="Normal 6 4 3 2 5 2 2" xfId="12872" xr:uid="{21C05BF7-34D3-44F6-B18C-784EB0574CF0}"/>
    <cellStyle name="Normal 6 4 3 2 5 2 2 2" xfId="25554" xr:uid="{F7821916-B954-459F-B517-3A20CC9E1587}"/>
    <cellStyle name="Normal 6 4 3 2 5 2 2 2 2" xfId="51046" xr:uid="{D0B92593-B2D8-4ECC-AA84-87DB77EDFADB}"/>
    <cellStyle name="Normal 6 4 3 2 5 2 2 3" xfId="38455" xr:uid="{4FA6DBA1-2397-486D-80A3-81650FBB6388}"/>
    <cellStyle name="Normal 6 4 3 2 5 2 3" xfId="19276" xr:uid="{F941F74B-905C-4B4D-BD07-93FAD0026E8F}"/>
    <cellStyle name="Normal 6 4 3 2 5 2 3 2" xfId="44768" xr:uid="{1D84A062-1A0C-41ED-BF68-D4F9583DE0FD}"/>
    <cellStyle name="Normal 6 4 3 2 5 2 4" xfId="32177" xr:uid="{955A39C4-D00D-4DAE-BDEF-02FEC098F186}"/>
    <cellStyle name="Normal 6 4 3 2 5 3" xfId="9733" xr:uid="{8A738E84-B254-4C6E-98A2-0024984B5BA6}"/>
    <cellStyle name="Normal 6 4 3 2 5 3 2" xfId="22415" xr:uid="{BD4D7E2A-28C0-478C-A72C-AA09DDDE20C7}"/>
    <cellStyle name="Normal 6 4 3 2 5 3 2 2" xfId="47907" xr:uid="{74A6435C-2D12-4DD6-A18C-7F87E669A104}"/>
    <cellStyle name="Normal 6 4 3 2 5 3 3" xfId="35316" xr:uid="{623B416E-2CE9-4166-80BA-3D4C145E69E1}"/>
    <cellStyle name="Normal 6 4 3 2 5 4" xfId="16137" xr:uid="{4DBC756A-4F1E-4288-9A6E-618D9B7E206C}"/>
    <cellStyle name="Normal 6 4 3 2 5 4 2" xfId="41629" xr:uid="{833D98BE-CF40-41E4-8264-E2F143A27A7B}"/>
    <cellStyle name="Normal 6 4 3 2 5 5" xfId="29038" xr:uid="{B7FE21A1-17CE-4A75-A82E-7E54A0F8DE21}"/>
    <cellStyle name="Normal 6 4 3 2 6" xfId="4225" xr:uid="{EF0F723F-D5E8-4A69-89E9-0448BB1C3504}"/>
    <cellStyle name="Normal 6 4 3 2 6 2" xfId="10518" xr:uid="{D0DAFE15-DA45-4810-8622-B94E1E339456}"/>
    <cellStyle name="Normal 6 4 3 2 6 2 2" xfId="23200" xr:uid="{42EB6AAA-2932-4034-85D8-538434830707}"/>
    <cellStyle name="Normal 6 4 3 2 6 2 2 2" xfId="48692" xr:uid="{C1AB2272-9007-4B1B-BC91-C508B312B55E}"/>
    <cellStyle name="Normal 6 4 3 2 6 2 3" xfId="36101" xr:uid="{B396F21D-D867-47A0-8997-6CE27CEA31DB}"/>
    <cellStyle name="Normal 6 4 3 2 6 3" xfId="16922" xr:uid="{E9DF65DD-8821-4AE6-A7C4-B645E2539901}"/>
    <cellStyle name="Normal 6 4 3 2 6 3 2" xfId="42414" xr:uid="{7CCB7954-AEDF-463C-8C57-7E86995F4273}"/>
    <cellStyle name="Normal 6 4 3 2 6 4" xfId="29823" xr:uid="{FA784EA5-EE31-4140-BF1D-E501F4927844}"/>
    <cellStyle name="Normal 6 4 3 2 7" xfId="7379" xr:uid="{3A28F541-DAB7-4796-95A1-437523FED54F}"/>
    <cellStyle name="Normal 6 4 3 2 7 2" xfId="20061" xr:uid="{97F2581F-F01C-4726-8B72-F2C5D51714ED}"/>
    <cellStyle name="Normal 6 4 3 2 7 2 2" xfId="45553" xr:uid="{A2681676-5F2E-4B5E-BFD6-8B40F7CDBC93}"/>
    <cellStyle name="Normal 6 4 3 2 7 3" xfId="32962" xr:uid="{DA727862-8A22-4E58-82B8-1BAE646D25DA}"/>
    <cellStyle name="Normal 6 4 3 2 8" xfId="13783" xr:uid="{28C49CEB-245F-4474-AB75-3CDFCC15FD16}"/>
    <cellStyle name="Normal 6 4 3 2 8 2" xfId="39275" xr:uid="{DAC604B3-B668-4CAB-A8C3-3779C0016A2B}"/>
    <cellStyle name="Normal 6 4 3 2 9" xfId="26684" xr:uid="{F69E1332-4500-45FB-BC2D-E16B9C26D3F3}"/>
    <cellStyle name="Normal 6 4 3 3" xfId="811" xr:uid="{3BBB4FD7-9D40-4F31-8179-AF3CDBD58BC6}"/>
    <cellStyle name="Normal 6 4 3 3 2" xfId="2118" xr:uid="{E6871544-B286-4242-94E8-9FCA06B6CF85}"/>
    <cellStyle name="Normal 6 4 3 3 2 2" xfId="5272" xr:uid="{A09C9201-BCA0-4D92-B679-1D15D3B5B65F}"/>
    <cellStyle name="Normal 6 4 3 3 2 2 2" xfId="11565" xr:uid="{9F7448DD-B724-4688-9374-AE523BFF7A29}"/>
    <cellStyle name="Normal 6 4 3 3 2 2 2 2" xfId="24247" xr:uid="{4E59A331-362A-4C30-9751-F536229DAFA1}"/>
    <cellStyle name="Normal 6 4 3 3 2 2 2 2 2" xfId="49739" xr:uid="{46AB205B-11CC-4C93-BE47-76417B57B4B5}"/>
    <cellStyle name="Normal 6 4 3 3 2 2 2 3" xfId="37148" xr:uid="{A87699EF-CC78-4B57-90D6-7EC3D4F1DC51}"/>
    <cellStyle name="Normal 6 4 3 3 2 2 3" xfId="17969" xr:uid="{7C9D747C-569F-4B75-A998-27E8EC6760FE}"/>
    <cellStyle name="Normal 6 4 3 3 2 2 3 2" xfId="43461" xr:uid="{4BC7B1C6-3F05-4D0A-8377-293D8741C76F}"/>
    <cellStyle name="Normal 6 4 3 3 2 2 4" xfId="30870" xr:uid="{797CC1A9-D73D-4D41-9D8C-DBF120A26D18}"/>
    <cellStyle name="Normal 6 4 3 3 2 3" xfId="8426" xr:uid="{7204C071-D09B-4DE1-8DF1-E9D0085AC8E5}"/>
    <cellStyle name="Normal 6 4 3 3 2 3 2" xfId="21108" xr:uid="{80D89143-F26C-4A8F-A185-3368B5358EB5}"/>
    <cellStyle name="Normal 6 4 3 3 2 3 2 2" xfId="46600" xr:uid="{499E5012-4FFB-40C2-B6E6-E6FEA225225C}"/>
    <cellStyle name="Normal 6 4 3 3 2 3 3" xfId="34009" xr:uid="{FD7D5B65-1BF8-47AE-86A5-D835F8D9C243}"/>
    <cellStyle name="Normal 6 4 3 3 2 4" xfId="14830" xr:uid="{E34F1927-F71F-46AF-AA1E-E08639F17561}"/>
    <cellStyle name="Normal 6 4 3 3 2 4 2" xfId="40322" xr:uid="{9EF91C00-FE75-4EA5-9836-AB5EFA9128F9}"/>
    <cellStyle name="Normal 6 4 3 3 2 5" xfId="27731" xr:uid="{C945B92C-C8F1-40F9-ABE0-00ED3059409F}"/>
    <cellStyle name="Normal 6 4 3 3 3" xfId="3965" xr:uid="{A2A1F4C1-F889-475C-BC1E-2A123B2FF9D3}"/>
    <cellStyle name="Normal 6 4 3 3 3 2" xfId="10258" xr:uid="{42F7B5C2-4497-4604-B064-E083247D4108}"/>
    <cellStyle name="Normal 6 4 3 3 3 2 2" xfId="22940" xr:uid="{33F31A27-3BD7-44CE-9938-81AFAD6C626B}"/>
    <cellStyle name="Normal 6 4 3 3 3 2 2 2" xfId="48432" xr:uid="{E954ED2C-D187-4801-9906-DE51741AF0DE}"/>
    <cellStyle name="Normal 6 4 3 3 3 2 3" xfId="35841" xr:uid="{D0EB553C-DA61-44B5-859D-336678C5201C}"/>
    <cellStyle name="Normal 6 4 3 3 3 3" xfId="16662" xr:uid="{D71B2602-A938-4300-8184-DBFABAAF1D61}"/>
    <cellStyle name="Normal 6 4 3 3 3 3 2" xfId="42154" xr:uid="{6DBE3A01-4613-46F3-B17F-D602C76B845E}"/>
    <cellStyle name="Normal 6 4 3 3 3 4" xfId="29563" xr:uid="{7FCA7501-7BDB-4D1F-8AEC-76A8A6343395}"/>
    <cellStyle name="Normal 6 4 3 3 4" xfId="7119" xr:uid="{9B67D09C-8949-47B1-BD23-9D664C0C2A2D}"/>
    <cellStyle name="Normal 6 4 3 3 4 2" xfId="19801" xr:uid="{55F1426E-0C8D-4286-B6AA-3216B3538423}"/>
    <cellStyle name="Normal 6 4 3 3 4 2 2" xfId="45293" xr:uid="{80ECC2E9-D41C-43AF-BF96-0FC3E40029BD}"/>
    <cellStyle name="Normal 6 4 3 3 4 3" xfId="32702" xr:uid="{2FE1B8B7-01A2-4E1E-99DF-08C988621049}"/>
    <cellStyle name="Normal 6 4 3 3 5" xfId="13523" xr:uid="{D0562709-19C2-4D71-A36D-238F69CBDD42}"/>
    <cellStyle name="Normal 6 4 3 3 5 2" xfId="39015" xr:uid="{FB220206-AD44-47E3-89CA-31EFFEFE7835}"/>
    <cellStyle name="Normal 6 4 3 3 6" xfId="26424" xr:uid="{CE7217C1-4E30-4B53-A6CB-91D7291526C3}"/>
    <cellStyle name="Normal 6 4 3 4" xfId="1856" xr:uid="{B13D2822-7F6F-46BD-85D1-BBD6EB2C050B}"/>
    <cellStyle name="Normal 6 4 3 4 2" xfId="5010" xr:uid="{C0AA6A15-A2DC-4F00-97CC-EC228E696CC2}"/>
    <cellStyle name="Normal 6 4 3 4 2 2" xfId="11303" xr:uid="{717700EB-359E-41AD-8201-651F584045E8}"/>
    <cellStyle name="Normal 6 4 3 4 2 2 2" xfId="23985" xr:uid="{B269E92C-D1D1-4C86-821F-37F7ADF4F9F9}"/>
    <cellStyle name="Normal 6 4 3 4 2 2 2 2" xfId="49477" xr:uid="{5FCBDBBE-7D34-47C2-B0FF-778D779E513C}"/>
    <cellStyle name="Normal 6 4 3 4 2 2 3" xfId="36886" xr:uid="{B2444DA4-3CD9-4255-9E94-86DFC119EF8E}"/>
    <cellStyle name="Normal 6 4 3 4 2 3" xfId="17707" xr:uid="{D3CC02D4-7516-4A26-AE46-59EDBB1BD60B}"/>
    <cellStyle name="Normal 6 4 3 4 2 3 2" xfId="43199" xr:uid="{4712088C-2D76-4379-AE06-3926C6945750}"/>
    <cellStyle name="Normal 6 4 3 4 2 4" xfId="30608" xr:uid="{3159534A-1B4A-48B0-AD13-7374001F578D}"/>
    <cellStyle name="Normal 6 4 3 4 3" xfId="8164" xr:uid="{20986D2C-EC24-47DD-A9DA-4E89E0AB2578}"/>
    <cellStyle name="Normal 6 4 3 4 3 2" xfId="20846" xr:uid="{CD146398-8C85-486D-803A-C77155F7A1B6}"/>
    <cellStyle name="Normal 6 4 3 4 3 2 2" xfId="46338" xr:uid="{F9CDF4BC-A8B5-4643-B47E-2DCA0A1D78EB}"/>
    <cellStyle name="Normal 6 4 3 4 3 3" xfId="33747" xr:uid="{E2AD9E6C-17FE-4980-9B78-3547E2A3E93C}"/>
    <cellStyle name="Normal 6 4 3 4 4" xfId="14568" xr:uid="{D67C5026-D51C-4ED0-876B-2CB7846C3C90}"/>
    <cellStyle name="Normal 6 4 3 4 4 2" xfId="40060" xr:uid="{2F1C44EE-3D82-426B-A41B-CACB5748582E}"/>
    <cellStyle name="Normal 6 4 3 4 5" xfId="27469" xr:uid="{AAEE9837-801A-4CD5-AF4F-D2C8124575AF}"/>
    <cellStyle name="Normal 6 4 3 5" xfId="1334" xr:uid="{08AD76C8-00BE-46F6-A01B-29D271FD8E99}"/>
    <cellStyle name="Normal 6 4 3 5 2" xfId="4488" xr:uid="{49DBC6FD-4E9C-41AA-85E9-A3F85B455129}"/>
    <cellStyle name="Normal 6 4 3 5 2 2" xfId="10781" xr:uid="{5BAE6817-D79B-4C84-AA3E-5E2E2C525FF4}"/>
    <cellStyle name="Normal 6 4 3 5 2 2 2" xfId="23463" xr:uid="{2ACEC4AD-93B0-474E-8681-EF627745F792}"/>
    <cellStyle name="Normal 6 4 3 5 2 2 2 2" xfId="48955" xr:uid="{4FFC9CB5-21FD-4DF6-8AAD-DB626171BC45}"/>
    <cellStyle name="Normal 6 4 3 5 2 2 3" xfId="36364" xr:uid="{2DF2950A-0D52-40AF-B5B3-6D0F57E382F3}"/>
    <cellStyle name="Normal 6 4 3 5 2 3" xfId="17185" xr:uid="{6E338610-37C7-4BA4-AFE2-22E4C8E99ECE}"/>
    <cellStyle name="Normal 6 4 3 5 2 3 2" xfId="42677" xr:uid="{3ED28D66-9E7A-4FDE-B4CD-323FAF5BAEAE}"/>
    <cellStyle name="Normal 6 4 3 5 2 4" xfId="30086" xr:uid="{A0E8A021-2FAA-489A-8C3E-86C859C793AE}"/>
    <cellStyle name="Normal 6 4 3 5 3" xfId="7642" xr:uid="{B98C42E6-6F74-41F9-A315-B654B4972BD5}"/>
    <cellStyle name="Normal 6 4 3 5 3 2" xfId="20324" xr:uid="{2FB4A7B6-BD55-40D7-A84B-5BA607219CCC}"/>
    <cellStyle name="Normal 6 4 3 5 3 2 2" xfId="45816" xr:uid="{0CD45961-0FA4-4FF2-818B-B4DFE5AC70F0}"/>
    <cellStyle name="Normal 6 4 3 5 3 3" xfId="33225" xr:uid="{8EDB5630-C1D4-4BD5-94F3-41FC07A7DF85}"/>
    <cellStyle name="Normal 6 4 3 5 4" xfId="14046" xr:uid="{AEBFC065-1526-48BA-AA0F-9AC695B70D33}"/>
    <cellStyle name="Normal 6 4 3 5 4 2" xfId="39538" xr:uid="{73E1F09C-3083-4B87-AEDD-52BB67FC886F}"/>
    <cellStyle name="Normal 6 4 3 5 5" xfId="26947" xr:uid="{6505E830-805C-463B-A1FC-9A25A77E695B}"/>
    <cellStyle name="Normal 6 4 3 6" xfId="2641" xr:uid="{0CCBD210-3256-40E5-B059-8DD5DB36E7E7}"/>
    <cellStyle name="Normal 6 4 3 6 2" xfId="5795" xr:uid="{0D39EE9C-528A-42C2-AC9D-FB228367E70A}"/>
    <cellStyle name="Normal 6 4 3 6 2 2" xfId="12088" xr:uid="{8B9825E5-E2D7-414B-86A5-3D3ABA856A29}"/>
    <cellStyle name="Normal 6 4 3 6 2 2 2" xfId="24770" xr:uid="{B2E62591-BC77-4F5B-AC34-582176A5C5C8}"/>
    <cellStyle name="Normal 6 4 3 6 2 2 2 2" xfId="50262" xr:uid="{B70232DF-A71E-42D7-BF11-61B3CC726CE2}"/>
    <cellStyle name="Normal 6 4 3 6 2 2 3" xfId="37671" xr:uid="{B4009127-9FA5-4B8F-905B-565BF5089115}"/>
    <cellStyle name="Normal 6 4 3 6 2 3" xfId="18492" xr:uid="{BA895282-2768-4825-A1C3-FDE1885ED63D}"/>
    <cellStyle name="Normal 6 4 3 6 2 3 2" xfId="43984" xr:uid="{2BDF2C08-8495-47EE-BF6F-32A46C1B53CF}"/>
    <cellStyle name="Normal 6 4 3 6 2 4" xfId="31393" xr:uid="{A8A04E41-D87A-4B2B-BAA7-12C3375C2965}"/>
    <cellStyle name="Normal 6 4 3 6 3" xfId="8949" xr:uid="{E085EDE8-EA67-4E5C-AB63-131811B99361}"/>
    <cellStyle name="Normal 6 4 3 6 3 2" xfId="21631" xr:uid="{D2CB4D0B-EA27-4C82-8BEA-D4A9D159C66B}"/>
    <cellStyle name="Normal 6 4 3 6 3 2 2" xfId="47123" xr:uid="{A7C35760-15FB-40EF-8B43-CF2019926525}"/>
    <cellStyle name="Normal 6 4 3 6 3 3" xfId="34532" xr:uid="{1FC30B02-61D3-4786-981A-E1D3D01AE767}"/>
    <cellStyle name="Normal 6 4 3 6 4" xfId="15353" xr:uid="{ED9B3FEF-7BD0-41EE-A93E-5019962A2A78}"/>
    <cellStyle name="Normal 6 4 3 6 4 2" xfId="40845" xr:uid="{B276BAD7-884D-42CC-8827-33A4AD6AFD05}"/>
    <cellStyle name="Normal 6 4 3 6 5" xfId="28254" xr:uid="{8468D67C-1963-4685-B501-E71256AF6CCA}"/>
    <cellStyle name="Normal 6 4 3 7" xfId="3164" xr:uid="{EB16B375-BD9E-422E-9B0C-18D5AACC877C}"/>
    <cellStyle name="Normal 6 4 3 7 2" xfId="6318" xr:uid="{401EFAC2-A000-4592-9BF6-D374B2D1C729}"/>
    <cellStyle name="Normal 6 4 3 7 2 2" xfId="12611" xr:uid="{5235D82B-2EB1-414E-BAB7-500531F622F6}"/>
    <cellStyle name="Normal 6 4 3 7 2 2 2" xfId="25293" xr:uid="{B87C9CEC-1BC7-49CE-B141-584E9613412C}"/>
    <cellStyle name="Normal 6 4 3 7 2 2 2 2" xfId="50785" xr:uid="{EC8B569F-7C84-4ED4-AA0B-8C1FCF6B0EA2}"/>
    <cellStyle name="Normal 6 4 3 7 2 2 3" xfId="38194" xr:uid="{6D8F5076-D8F8-445F-94FB-E54922533A1B}"/>
    <cellStyle name="Normal 6 4 3 7 2 3" xfId="19015" xr:uid="{689E2F5A-0CBD-4C52-8DB9-9EEB5BB6E45E}"/>
    <cellStyle name="Normal 6 4 3 7 2 3 2" xfId="44507" xr:uid="{38B6375E-73AD-4C37-B2A3-32FB13C52E79}"/>
    <cellStyle name="Normal 6 4 3 7 2 4" xfId="31916" xr:uid="{F248F4B0-F43B-49E5-9618-A47A2F9775D6}"/>
    <cellStyle name="Normal 6 4 3 7 3" xfId="9472" xr:uid="{4B2FE342-F230-476E-9FA0-8E199F7A34D4}"/>
    <cellStyle name="Normal 6 4 3 7 3 2" xfId="22154" xr:uid="{FD167685-9A23-43C7-A44C-49A0CF30140E}"/>
    <cellStyle name="Normal 6 4 3 7 3 2 2" xfId="47646" xr:uid="{0D9F569A-45E8-4C7F-B685-FE1504AF435E}"/>
    <cellStyle name="Normal 6 4 3 7 3 3" xfId="35055" xr:uid="{C09BF72C-77E4-4BE8-8F34-337CC34F4145}"/>
    <cellStyle name="Normal 6 4 3 7 4" xfId="15876" xr:uid="{75238BBB-639B-41AE-9AE6-075E5A2B8A95}"/>
    <cellStyle name="Normal 6 4 3 7 4 2" xfId="41368" xr:uid="{96E73CC8-A250-4046-BCFE-20A213112AA5}"/>
    <cellStyle name="Normal 6 4 3 7 5" xfId="28777" xr:uid="{FB5523FF-28A8-4758-A27B-0666365BC3E7}"/>
    <cellStyle name="Normal 6 4 3 8" xfId="3703" xr:uid="{065900F5-9251-4BA9-B5C6-7B69B2F1C0DE}"/>
    <cellStyle name="Normal 6 4 3 8 2" xfId="9996" xr:uid="{959396C4-BBA9-4041-BE21-62AC7E6799A1}"/>
    <cellStyle name="Normal 6 4 3 8 2 2" xfId="22678" xr:uid="{FFCC6FFB-6B89-4070-8E94-EFA97C04249C}"/>
    <cellStyle name="Normal 6 4 3 8 2 2 2" xfId="48170" xr:uid="{A945617A-38A6-496F-A64D-7FD01089C5C4}"/>
    <cellStyle name="Normal 6 4 3 8 2 3" xfId="35579" xr:uid="{147DD65E-8E4F-4C07-AEA2-86C0E71E574F}"/>
    <cellStyle name="Normal 6 4 3 8 3" xfId="16400" xr:uid="{660A3731-3728-41EA-A3A5-6D4327E7FE2F}"/>
    <cellStyle name="Normal 6 4 3 8 3 2" xfId="41892" xr:uid="{79DE25C6-4D32-423A-8D4A-70F0F3428A3F}"/>
    <cellStyle name="Normal 6 4 3 8 4" xfId="29301" xr:uid="{DFF6CA3C-8BBC-423C-966B-EDB817189563}"/>
    <cellStyle name="Normal 6 4 3 9" xfId="6857" xr:uid="{99267A96-FE1B-4511-A6C0-D0458618E584}"/>
    <cellStyle name="Normal 6 4 3 9 2" xfId="19539" xr:uid="{C7CD2063-0226-44E5-BC96-3AFE4C406990}"/>
    <cellStyle name="Normal 6 4 3 9 2 2" xfId="45031" xr:uid="{2FAC3261-CE24-4C22-BC5B-E577CF219FF5}"/>
    <cellStyle name="Normal 6 4 3 9 3" xfId="32440" xr:uid="{90A45C61-F5E7-4484-91A2-4B50693A53A4}"/>
    <cellStyle name="Normal 6 4 4" xfId="1012" xr:uid="{F37C494A-35E3-4DBB-84CF-AE0ED40A1823}"/>
    <cellStyle name="Normal 6 4 4 2" xfId="2319" xr:uid="{ED81977E-0787-4450-BA1E-BA3FD1B6CF14}"/>
    <cellStyle name="Normal 6 4 4 2 2" xfId="5473" xr:uid="{76ED6EF4-B849-4DBF-AAF7-E164ADC3D72E}"/>
    <cellStyle name="Normal 6 4 4 2 2 2" xfId="11766" xr:uid="{664AA4B5-0B4B-42A3-B0C8-24AC6BF3EF31}"/>
    <cellStyle name="Normal 6 4 4 2 2 2 2" xfId="24448" xr:uid="{1E891BCC-E520-477A-993A-246D3FACD69B}"/>
    <cellStyle name="Normal 6 4 4 2 2 2 2 2" xfId="49940" xr:uid="{364AF0E7-11E5-40A8-BDBF-38A91F2544CA}"/>
    <cellStyle name="Normal 6 4 4 2 2 2 3" xfId="37349" xr:uid="{B17585D3-BBA3-4B60-9B62-24594D912135}"/>
    <cellStyle name="Normal 6 4 4 2 2 3" xfId="18170" xr:uid="{2EBDCA4F-EBFC-4C2F-ACDE-7D4592790F49}"/>
    <cellStyle name="Normal 6 4 4 2 2 3 2" xfId="43662" xr:uid="{CAB7FC9D-98AF-4B38-AF91-0AAB126EF046}"/>
    <cellStyle name="Normal 6 4 4 2 2 4" xfId="31071" xr:uid="{BF063403-6A11-4202-BE6F-A1E8C088791D}"/>
    <cellStyle name="Normal 6 4 4 2 3" xfId="8627" xr:uid="{B40F74E6-2779-419A-9F13-F3F9455DB104}"/>
    <cellStyle name="Normal 6 4 4 2 3 2" xfId="21309" xr:uid="{0A6E7046-D62F-4A55-9A72-01B52A660EB8}"/>
    <cellStyle name="Normal 6 4 4 2 3 2 2" xfId="46801" xr:uid="{5BBA58E9-5EA9-4FF9-BE88-CAFC679B5001}"/>
    <cellStyle name="Normal 6 4 4 2 3 3" xfId="34210" xr:uid="{5805162C-8704-4B5C-A4ED-0D0A213CF536}"/>
    <cellStyle name="Normal 6 4 4 2 4" xfId="15031" xr:uid="{B7E408A4-E4C2-4F68-B08E-970B1758C53B}"/>
    <cellStyle name="Normal 6 4 4 2 4 2" xfId="40523" xr:uid="{1FBC73D1-F356-482D-810D-A77EFD7D53EC}"/>
    <cellStyle name="Normal 6 4 4 2 5" xfId="27932" xr:uid="{B5E86226-6154-4F0A-9FA1-86BD2FF6C592}"/>
    <cellStyle name="Normal 6 4 4 3" xfId="1536" xr:uid="{6F4357DF-31D8-4AB2-A661-A2F0086D68DE}"/>
    <cellStyle name="Normal 6 4 4 3 2" xfId="4690" xr:uid="{F39BFBD8-2268-41FD-A80E-83966DC41818}"/>
    <cellStyle name="Normal 6 4 4 3 2 2" xfId="10983" xr:uid="{5FC7D37F-E149-430B-849D-CE4F099EBE7D}"/>
    <cellStyle name="Normal 6 4 4 3 2 2 2" xfId="23665" xr:uid="{B8C5053B-27F1-42B1-BD1E-6404F6F64A2B}"/>
    <cellStyle name="Normal 6 4 4 3 2 2 2 2" xfId="49157" xr:uid="{4AF053D3-CEE1-4373-83F5-041BFE92B5A4}"/>
    <cellStyle name="Normal 6 4 4 3 2 2 3" xfId="36566" xr:uid="{95DE5928-764C-4A64-9DF8-6C4B8F62342A}"/>
    <cellStyle name="Normal 6 4 4 3 2 3" xfId="17387" xr:uid="{545055B4-5A00-47F3-AF15-2A9240EA22C1}"/>
    <cellStyle name="Normal 6 4 4 3 2 3 2" xfId="42879" xr:uid="{5DB6F686-E378-4E24-968C-D6BCEC4571CC}"/>
    <cellStyle name="Normal 6 4 4 3 2 4" xfId="30288" xr:uid="{71116EF2-24CE-490D-97D8-D9268E47474C}"/>
    <cellStyle name="Normal 6 4 4 3 3" xfId="7844" xr:uid="{B8E870D6-98E3-4E5F-899A-984CD6F78205}"/>
    <cellStyle name="Normal 6 4 4 3 3 2" xfId="20526" xr:uid="{8C236171-D13A-45AD-BCD5-14DBB496AD96}"/>
    <cellStyle name="Normal 6 4 4 3 3 2 2" xfId="46018" xr:uid="{5709753B-9489-4511-8F05-BE56AC524F91}"/>
    <cellStyle name="Normal 6 4 4 3 3 3" xfId="33427" xr:uid="{05F272C6-F791-4ED0-9D91-5043FD4C1CB1}"/>
    <cellStyle name="Normal 6 4 4 3 4" xfId="14248" xr:uid="{EC78A996-E4DC-46A8-BB02-604717213BEA}"/>
    <cellStyle name="Normal 6 4 4 3 4 2" xfId="39740" xr:uid="{D2EBE260-3B74-408B-B5F1-100C1D030AA8}"/>
    <cellStyle name="Normal 6 4 4 3 5" xfId="27149" xr:uid="{84EFF29C-F23F-4812-BB0F-F93B182161F4}"/>
    <cellStyle name="Normal 6 4 4 4" xfId="2843" xr:uid="{C4F16829-3CCA-4984-B9C0-1B4E8E28246B}"/>
    <cellStyle name="Normal 6 4 4 4 2" xfId="5997" xr:uid="{6DB892ED-C1D4-4870-901E-E82C54301A34}"/>
    <cellStyle name="Normal 6 4 4 4 2 2" xfId="12290" xr:uid="{B2082D7D-C735-4DFA-93C4-6A182631E71B}"/>
    <cellStyle name="Normal 6 4 4 4 2 2 2" xfId="24972" xr:uid="{D080B401-64EB-4329-AC84-F64E2CAD8B46}"/>
    <cellStyle name="Normal 6 4 4 4 2 2 2 2" xfId="50464" xr:uid="{59E399FD-5605-4430-BCE0-C43068A9B04B}"/>
    <cellStyle name="Normal 6 4 4 4 2 2 3" xfId="37873" xr:uid="{0E4104FD-35C5-431B-B5DC-F635302AF0F9}"/>
    <cellStyle name="Normal 6 4 4 4 2 3" xfId="18694" xr:uid="{52679849-D5BC-4824-95DD-4623B654464E}"/>
    <cellStyle name="Normal 6 4 4 4 2 3 2" xfId="44186" xr:uid="{00263074-D7C6-4A4E-967A-4A39DADBDA8C}"/>
    <cellStyle name="Normal 6 4 4 4 2 4" xfId="31595" xr:uid="{BB30D4FE-0F2A-4753-B583-1F190A7A561C}"/>
    <cellStyle name="Normal 6 4 4 4 3" xfId="9151" xr:uid="{F975924B-9C5F-4899-87D7-AD3FFE482EBA}"/>
    <cellStyle name="Normal 6 4 4 4 3 2" xfId="21833" xr:uid="{9D47DBA5-FFB1-4A60-AAA5-A1D42F0EF0A2}"/>
    <cellStyle name="Normal 6 4 4 4 3 2 2" xfId="47325" xr:uid="{22942F9D-C833-45F5-B925-B819D561EA7F}"/>
    <cellStyle name="Normal 6 4 4 4 3 3" xfId="34734" xr:uid="{4B0EA943-3667-4B6C-9622-31D7C1DB9ACD}"/>
    <cellStyle name="Normal 6 4 4 4 4" xfId="15555" xr:uid="{29757F5A-7412-4BC5-9F5B-6B2AA9CEE157}"/>
    <cellStyle name="Normal 6 4 4 4 4 2" xfId="41047" xr:uid="{85FF02E8-B70B-4A6C-93B2-6280DAFC8A89}"/>
    <cellStyle name="Normal 6 4 4 4 5" xfId="28456" xr:uid="{088FEAD6-41A6-4DED-8C66-1FCC1A0145CE}"/>
    <cellStyle name="Normal 6 4 4 5" xfId="3366" xr:uid="{5CDDFAD7-EABF-4384-B402-13F7B043266E}"/>
    <cellStyle name="Normal 6 4 4 5 2" xfId="6520" xr:uid="{9DF24112-C865-4E73-9E5D-A570A9BFD552}"/>
    <cellStyle name="Normal 6 4 4 5 2 2" xfId="12813" xr:uid="{8F47A4FE-E588-4F04-A06B-3AD446FADB52}"/>
    <cellStyle name="Normal 6 4 4 5 2 2 2" xfId="25495" xr:uid="{AF4E0B4A-888B-48AF-9128-3FADAB1F8FC7}"/>
    <cellStyle name="Normal 6 4 4 5 2 2 2 2" xfId="50987" xr:uid="{FA39051E-2C84-4719-A47C-16588C1FCBD5}"/>
    <cellStyle name="Normal 6 4 4 5 2 2 3" xfId="38396" xr:uid="{16B7A0CC-7C0A-4E68-9EFC-D8DA947E76EF}"/>
    <cellStyle name="Normal 6 4 4 5 2 3" xfId="19217" xr:uid="{F13257D2-6522-46D2-A376-8A878238EF98}"/>
    <cellStyle name="Normal 6 4 4 5 2 3 2" xfId="44709" xr:uid="{75065A07-5669-483A-AE50-D64FC2C7ADDC}"/>
    <cellStyle name="Normal 6 4 4 5 2 4" xfId="32118" xr:uid="{A67083E2-F54A-4DAA-89D5-C8B1936D0FBD}"/>
    <cellStyle name="Normal 6 4 4 5 3" xfId="9674" xr:uid="{6333DA75-617A-4935-B125-844B7DFF1741}"/>
    <cellStyle name="Normal 6 4 4 5 3 2" xfId="22356" xr:uid="{DEFBCA54-C3A1-43B1-9550-53810C1F2C76}"/>
    <cellStyle name="Normal 6 4 4 5 3 2 2" xfId="47848" xr:uid="{45458813-30F4-4741-87DB-91EFDA5A386D}"/>
    <cellStyle name="Normal 6 4 4 5 3 3" xfId="35257" xr:uid="{4E7997B8-F783-4EF6-B76A-CF00299EC703}"/>
    <cellStyle name="Normal 6 4 4 5 4" xfId="16078" xr:uid="{6F14386E-A39A-4721-B7CD-E8D998415DA2}"/>
    <cellStyle name="Normal 6 4 4 5 4 2" xfId="41570" xr:uid="{7B28DB3E-FC95-4C54-9E8F-2CF710D6F79E}"/>
    <cellStyle name="Normal 6 4 4 5 5" xfId="28979" xr:uid="{814EA23A-D0C2-4772-BE8E-95BC1DAC9863}"/>
    <cellStyle name="Normal 6 4 4 6" xfId="4166" xr:uid="{640A6E52-110B-4E59-8F31-C1F22255614F}"/>
    <cellStyle name="Normal 6 4 4 6 2" xfId="10459" xr:uid="{D9E819C8-A1E1-44C2-A055-EF3A5A113A06}"/>
    <cellStyle name="Normal 6 4 4 6 2 2" xfId="23141" xr:uid="{F3304EFC-B074-4F96-A1D5-92F6813B8AF4}"/>
    <cellStyle name="Normal 6 4 4 6 2 2 2" xfId="48633" xr:uid="{C456A79A-B549-4CEC-9236-0126D7826989}"/>
    <cellStyle name="Normal 6 4 4 6 2 3" xfId="36042" xr:uid="{C790F09A-C3DF-4799-B854-40B9AB1646FB}"/>
    <cellStyle name="Normal 6 4 4 6 3" xfId="16863" xr:uid="{7B5CD14B-2DAC-4879-A34A-EFC74B23BA7C}"/>
    <cellStyle name="Normal 6 4 4 6 3 2" xfId="42355" xr:uid="{96D8B48A-0B73-4544-9FBF-348E30A120E6}"/>
    <cellStyle name="Normal 6 4 4 6 4" xfId="29764" xr:uid="{992CF7D4-FEB9-42E3-9732-3A34BBA5E4D5}"/>
    <cellStyle name="Normal 6 4 4 7" xfId="7320" xr:uid="{F3858C2B-DEEC-4E78-A2D1-2678D07B176B}"/>
    <cellStyle name="Normal 6 4 4 7 2" xfId="20002" xr:uid="{8992B7B9-175B-4919-A543-71BBA3405111}"/>
    <cellStyle name="Normal 6 4 4 7 2 2" xfId="45494" xr:uid="{AEB2EC25-56D9-4B58-B1C3-6FA70FFB8DE9}"/>
    <cellStyle name="Normal 6 4 4 7 3" xfId="32903" xr:uid="{A19271F3-066A-4C63-BC4A-0A7778D7698D}"/>
    <cellStyle name="Normal 6 4 4 8" xfId="13724" xr:uid="{8425CF04-3FFC-47AD-AE96-5B4A7E1A521A}"/>
    <cellStyle name="Normal 6 4 4 8 2" xfId="39216" xr:uid="{AA52891A-8A89-4B2C-B878-ABF4D6F99A94}"/>
    <cellStyle name="Normal 6 4 4 9" xfId="26625" xr:uid="{21AFB3D3-1242-4B03-B10E-8A6CEB35AD43}"/>
    <cellStyle name="Normal 6 4 5" xfId="752" xr:uid="{5BC81E97-9FFB-4749-94DB-BCB4E2C2D61B}"/>
    <cellStyle name="Normal 6 4 5 2" xfId="2059" xr:uid="{38DDFE9A-B017-4165-AFDA-EA8172211328}"/>
    <cellStyle name="Normal 6 4 5 2 2" xfId="5213" xr:uid="{8ABF9291-4599-491F-B6D1-02B5086BA609}"/>
    <cellStyle name="Normal 6 4 5 2 2 2" xfId="11506" xr:uid="{72A8F9BB-FFE9-49FD-A88D-549F927D5B11}"/>
    <cellStyle name="Normal 6 4 5 2 2 2 2" xfId="24188" xr:uid="{1A0C4E71-21E3-4338-A0BD-D6D2D04C4612}"/>
    <cellStyle name="Normal 6 4 5 2 2 2 2 2" xfId="49680" xr:uid="{A0DE1999-948B-4CB9-9EA2-689D7208DDDA}"/>
    <cellStyle name="Normal 6 4 5 2 2 2 3" xfId="37089" xr:uid="{EB530690-E5F0-4960-B071-AFD23875AEF7}"/>
    <cellStyle name="Normal 6 4 5 2 2 3" xfId="17910" xr:uid="{5E083B04-262F-4391-B689-3472C0A2441D}"/>
    <cellStyle name="Normal 6 4 5 2 2 3 2" xfId="43402" xr:uid="{34846DF4-A490-4C90-B003-9CB1C7C6CEB1}"/>
    <cellStyle name="Normal 6 4 5 2 2 4" xfId="30811" xr:uid="{C8F867D4-F9FF-4370-9B96-08041AF9C511}"/>
    <cellStyle name="Normal 6 4 5 2 3" xfId="8367" xr:uid="{E89CA1F2-F632-419C-BAC0-CE6F4E3EC7A5}"/>
    <cellStyle name="Normal 6 4 5 2 3 2" xfId="21049" xr:uid="{29626CDA-389B-4089-B0DC-DBBBCCE164E5}"/>
    <cellStyle name="Normal 6 4 5 2 3 2 2" xfId="46541" xr:uid="{2239F48B-A21F-4009-B38F-2082B5E30604}"/>
    <cellStyle name="Normal 6 4 5 2 3 3" xfId="33950" xr:uid="{074FF69D-1286-4E1A-9BDD-27630F6AF809}"/>
    <cellStyle name="Normal 6 4 5 2 4" xfId="14771" xr:uid="{136761CB-764E-4029-BB98-BB60733C1C59}"/>
    <cellStyle name="Normal 6 4 5 2 4 2" xfId="40263" xr:uid="{864E526D-5D40-49F1-9D2A-1DA615D83650}"/>
    <cellStyle name="Normal 6 4 5 2 5" xfId="27672" xr:uid="{BD618A42-5C43-416E-AD4F-6E4166C0C46F}"/>
    <cellStyle name="Normal 6 4 5 3" xfId="3906" xr:uid="{82A9F097-8523-4674-B59A-39AF2E29E330}"/>
    <cellStyle name="Normal 6 4 5 3 2" xfId="10199" xr:uid="{D7ECB29E-2FF3-4A28-A850-6A0494F0C143}"/>
    <cellStyle name="Normal 6 4 5 3 2 2" xfId="22881" xr:uid="{F2DCEC23-84E0-4D18-95F6-43FF32259E64}"/>
    <cellStyle name="Normal 6 4 5 3 2 2 2" xfId="48373" xr:uid="{D7318A05-8807-47E6-8DA7-A54C739B2899}"/>
    <cellStyle name="Normal 6 4 5 3 2 3" xfId="35782" xr:uid="{673BB485-5BFF-48B5-95FD-E9524E530886}"/>
    <cellStyle name="Normal 6 4 5 3 3" xfId="16603" xr:uid="{8B921CED-A87C-4B75-BF96-3F907D0113E6}"/>
    <cellStyle name="Normal 6 4 5 3 3 2" xfId="42095" xr:uid="{12D7B772-B8EA-4E61-AE4E-246BB4902781}"/>
    <cellStyle name="Normal 6 4 5 3 4" xfId="29504" xr:uid="{EF767435-55FD-4173-8A06-1B4018C74972}"/>
    <cellStyle name="Normal 6 4 5 4" xfId="7060" xr:uid="{5F9DFCB9-D41C-4AD4-A071-5BB02569C941}"/>
    <cellStyle name="Normal 6 4 5 4 2" xfId="19742" xr:uid="{C405CC31-246B-451A-8660-2F642C12730F}"/>
    <cellStyle name="Normal 6 4 5 4 2 2" xfId="45234" xr:uid="{D163EF8C-79A9-4D33-905C-1BD6D5D9A0B9}"/>
    <cellStyle name="Normal 6 4 5 4 3" xfId="32643" xr:uid="{532F47D6-5665-4FE0-B66B-353F427DCDC9}"/>
    <cellStyle name="Normal 6 4 5 5" xfId="13464" xr:uid="{AC218C4E-CCD5-415E-B5EA-6BA954855532}"/>
    <cellStyle name="Normal 6 4 5 5 2" xfId="38956" xr:uid="{23CA346A-83ED-4D5F-97B6-AA937F362401}"/>
    <cellStyle name="Normal 6 4 5 6" xfId="26365" xr:uid="{1AFBDED2-6C0D-4050-8BD6-FE948B941DB1}"/>
    <cellStyle name="Normal 6 4 6" xfId="1797" xr:uid="{9C5ADB8B-ADFF-4ECB-8F69-0D907EA2B2C5}"/>
    <cellStyle name="Normal 6 4 6 2" xfId="4951" xr:uid="{858FFF74-D101-4D44-A67B-C420AC457402}"/>
    <cellStyle name="Normal 6 4 6 2 2" xfId="11244" xr:uid="{26A14140-C22F-413D-854E-E118F49ACB0A}"/>
    <cellStyle name="Normal 6 4 6 2 2 2" xfId="23926" xr:uid="{38AA78A1-7638-4471-9831-FA41C56FA6EA}"/>
    <cellStyle name="Normal 6 4 6 2 2 2 2" xfId="49418" xr:uid="{80A2E27F-6C38-4524-A3CC-EE7A7787E2CC}"/>
    <cellStyle name="Normal 6 4 6 2 2 3" xfId="36827" xr:uid="{E82C3250-8863-486E-BD82-8D68B34AAD73}"/>
    <cellStyle name="Normal 6 4 6 2 3" xfId="17648" xr:uid="{C41302B9-DD62-495D-8036-8A9567678E46}"/>
    <cellStyle name="Normal 6 4 6 2 3 2" xfId="43140" xr:uid="{4DB1A1FF-22C1-4D91-AC24-287C7F6BC17C}"/>
    <cellStyle name="Normal 6 4 6 2 4" xfId="30549" xr:uid="{772080FD-7C4C-40B7-95FF-92D1F4BAB4B3}"/>
    <cellStyle name="Normal 6 4 6 3" xfId="8105" xr:uid="{28EE637D-DC1E-4358-A0B4-C490EB250CBD}"/>
    <cellStyle name="Normal 6 4 6 3 2" xfId="20787" xr:uid="{9FD890C7-C6CD-4C4A-8426-C8D1390AA8C7}"/>
    <cellStyle name="Normal 6 4 6 3 2 2" xfId="46279" xr:uid="{9D4F53CE-2C33-46CE-9447-3208D6FFD6A0}"/>
    <cellStyle name="Normal 6 4 6 3 3" xfId="33688" xr:uid="{1080688E-20A5-4954-844A-0DE29967A9DE}"/>
    <cellStyle name="Normal 6 4 6 4" xfId="14509" xr:uid="{4AB91C65-9160-49B8-B9A7-92CC626A8958}"/>
    <cellStyle name="Normal 6 4 6 4 2" xfId="40001" xr:uid="{11757965-17E6-4EDF-86CE-2AC21B32A0C7}"/>
    <cellStyle name="Normal 6 4 6 5" xfId="27410" xr:uid="{CB048F69-7835-40AA-99CA-CD58C3237DA6}"/>
    <cellStyle name="Normal 6 4 7" xfId="1275" xr:uid="{4316CD0E-0CE6-4794-8F44-0172DF20D8AF}"/>
    <cellStyle name="Normal 6 4 7 2" xfId="4429" xr:uid="{9143642C-DC54-4222-AF7D-BFCAB9829551}"/>
    <cellStyle name="Normal 6 4 7 2 2" xfId="10722" xr:uid="{72F2439E-9626-46BB-82B6-24EEA2F218D4}"/>
    <cellStyle name="Normal 6 4 7 2 2 2" xfId="23404" xr:uid="{321AE308-09A1-4059-9DEC-9CAAED998069}"/>
    <cellStyle name="Normal 6 4 7 2 2 2 2" xfId="48896" xr:uid="{D6C69479-3617-41A4-89FE-54A206E0116D}"/>
    <cellStyle name="Normal 6 4 7 2 2 3" xfId="36305" xr:uid="{83D2A75C-49D4-45AC-BC79-A35186D557CE}"/>
    <cellStyle name="Normal 6 4 7 2 3" xfId="17126" xr:uid="{295B1BB3-94AD-48EF-A44A-9CE32EDB2E72}"/>
    <cellStyle name="Normal 6 4 7 2 3 2" xfId="42618" xr:uid="{A76EB87D-1E83-432C-BBFF-1E15CA08EE29}"/>
    <cellStyle name="Normal 6 4 7 2 4" xfId="30027" xr:uid="{5122F8DF-A025-4C7F-8517-A203381AC276}"/>
    <cellStyle name="Normal 6 4 7 3" xfId="7583" xr:uid="{A0BA82D1-DF72-4CD9-AD20-FA3639F4F2E1}"/>
    <cellStyle name="Normal 6 4 7 3 2" xfId="20265" xr:uid="{59F9F180-AB44-4EC9-91BC-030740B6C3AD}"/>
    <cellStyle name="Normal 6 4 7 3 2 2" xfId="45757" xr:uid="{1DB92BD3-49C4-4E43-B940-C54956B69990}"/>
    <cellStyle name="Normal 6 4 7 3 3" xfId="33166" xr:uid="{85D4F67A-4E97-4500-802B-96C552943C56}"/>
    <cellStyle name="Normal 6 4 7 4" xfId="13987" xr:uid="{A052754E-A975-43A2-A365-EE363390E095}"/>
    <cellStyle name="Normal 6 4 7 4 2" xfId="39479" xr:uid="{210DC107-8693-4C85-9E55-5E88910F1CF6}"/>
    <cellStyle name="Normal 6 4 7 5" xfId="26888" xr:uid="{4BC3FDF1-6AEC-4E00-A2D3-DC0099BF52DD}"/>
    <cellStyle name="Normal 6 4 8" xfId="2582" xr:uid="{2D6EF6C3-2014-4A79-90C4-D39441C208CB}"/>
    <cellStyle name="Normal 6 4 8 2" xfId="5736" xr:uid="{8503389F-00E0-4D7E-9AAD-C6C837F90B23}"/>
    <cellStyle name="Normal 6 4 8 2 2" xfId="12029" xr:uid="{0FBB922E-D675-44B4-BD1D-BBD1A9ABA162}"/>
    <cellStyle name="Normal 6 4 8 2 2 2" xfId="24711" xr:uid="{A3DD5985-18D4-4BB0-997C-C87776B4C5BB}"/>
    <cellStyle name="Normal 6 4 8 2 2 2 2" xfId="50203" xr:uid="{9F4DA413-CF34-4A19-8F79-184E01A21CB6}"/>
    <cellStyle name="Normal 6 4 8 2 2 3" xfId="37612" xr:uid="{69BDEE8C-B0F4-48C4-95E6-585C5B657EEB}"/>
    <cellStyle name="Normal 6 4 8 2 3" xfId="18433" xr:uid="{06768FFB-52C3-46FC-A37C-A4A979D84174}"/>
    <cellStyle name="Normal 6 4 8 2 3 2" xfId="43925" xr:uid="{DEC28D59-0FB5-4490-B6FD-8A57B6585141}"/>
    <cellStyle name="Normal 6 4 8 2 4" xfId="31334" xr:uid="{88EF7FB1-94B7-4CF3-BC00-B935FBC39EFB}"/>
    <cellStyle name="Normal 6 4 8 3" xfId="8890" xr:uid="{85A3E969-9C5A-4996-AE98-CD523E2BF96B}"/>
    <cellStyle name="Normal 6 4 8 3 2" xfId="21572" xr:uid="{181C1373-C6D9-4A7D-AC09-2420A71B4404}"/>
    <cellStyle name="Normal 6 4 8 3 2 2" xfId="47064" xr:uid="{A1E66C24-4783-4421-99B2-BBE99AA64CDE}"/>
    <cellStyle name="Normal 6 4 8 3 3" xfId="34473" xr:uid="{F72E9D87-D814-4884-878F-3FFEA3EF583F}"/>
    <cellStyle name="Normal 6 4 8 4" xfId="15294" xr:uid="{DAF96888-6685-49C0-BAE2-F55C103C7415}"/>
    <cellStyle name="Normal 6 4 8 4 2" xfId="40786" xr:uid="{AEAF8FFC-D7A6-483D-B7B8-7B1AC99BCC98}"/>
    <cellStyle name="Normal 6 4 8 5" xfId="28195" xr:uid="{8159D7C1-46A3-44F7-8C4B-0C9AA92CC8E0}"/>
    <cellStyle name="Normal 6 4 9" xfId="3105" xr:uid="{E96E62CB-635A-4D54-AF18-BC6178D69DAC}"/>
    <cellStyle name="Normal 6 4 9 2" xfId="6259" xr:uid="{FFCAC0E9-0C88-49BC-9457-F619F2416320}"/>
    <cellStyle name="Normal 6 4 9 2 2" xfId="12552" xr:uid="{DA6D7983-90EA-4EB5-A751-89F6B79E6534}"/>
    <cellStyle name="Normal 6 4 9 2 2 2" xfId="25234" xr:uid="{3630F6CB-2710-4141-A7B7-7DD2C8D16DEC}"/>
    <cellStyle name="Normal 6 4 9 2 2 2 2" xfId="50726" xr:uid="{2C2F4FD1-7553-438D-8774-0C556AA8E868}"/>
    <cellStyle name="Normal 6 4 9 2 2 3" xfId="38135" xr:uid="{CC5F85A1-64BE-4BD0-B6EB-32EDB896EB3C}"/>
    <cellStyle name="Normal 6 4 9 2 3" xfId="18956" xr:uid="{F1D8E887-1379-4C45-B0EE-1EABAA06B409}"/>
    <cellStyle name="Normal 6 4 9 2 3 2" xfId="44448" xr:uid="{34C5504E-5D0B-49DC-9153-CB248156A10A}"/>
    <cellStyle name="Normal 6 4 9 2 4" xfId="31857" xr:uid="{FDEF9959-F385-48F5-B611-063252FE6752}"/>
    <cellStyle name="Normal 6 4 9 3" xfId="9413" xr:uid="{499D089D-F23E-4070-B828-22A13BB2687D}"/>
    <cellStyle name="Normal 6 4 9 3 2" xfId="22095" xr:uid="{4C987415-D90D-4714-99E8-5A732C88D6B3}"/>
    <cellStyle name="Normal 6 4 9 3 2 2" xfId="47587" xr:uid="{4259B148-3FC7-41BC-BB46-12EC4CE0FEB9}"/>
    <cellStyle name="Normal 6 4 9 3 3" xfId="34996" xr:uid="{8E8D4977-5CBB-47DE-88D8-E2F2D9D725EE}"/>
    <cellStyle name="Normal 6 4 9 4" xfId="15817" xr:uid="{81B150CA-D362-4356-9C05-F87C1F2367BE}"/>
    <cellStyle name="Normal 6 4 9 4 2" xfId="41309" xr:uid="{2A145C9F-6243-4A24-AD0C-7EA7974E0DE4}"/>
    <cellStyle name="Normal 6 4 9 5" xfId="28718" xr:uid="{DF8D0423-FE3F-4DB8-AFBE-9A4105DF173C}"/>
    <cellStyle name="Normal 6 5" xfId="456" xr:uid="{0D949514-5C60-4CC2-BCF0-2D9E35E64F4D}"/>
    <cellStyle name="Normal 6 5 10" xfId="6779" xr:uid="{8B8AD2BB-A94B-446C-A18A-7CC296AC43CE}"/>
    <cellStyle name="Normal 6 5 10 2" xfId="19461" xr:uid="{C048921D-E396-46CA-B522-50662D71B0C5}"/>
    <cellStyle name="Normal 6 5 10 2 2" xfId="44953" xr:uid="{05B8B9B8-76CB-494A-89DE-1AAD275D793C}"/>
    <cellStyle name="Normal 6 5 10 3" xfId="32362" xr:uid="{BC57A4A8-17BE-407D-87E5-A96AE7945E5B}"/>
    <cellStyle name="Normal 6 5 11" xfId="13183" xr:uid="{964E7E8F-5080-47E8-B1D2-7A919C8CB5DB}"/>
    <cellStyle name="Normal 6 5 11 2" xfId="38675" xr:uid="{0050B2A9-C748-45EC-B9F0-AB9AC3AE04B1}"/>
    <cellStyle name="Normal 6 5 12" xfId="26084" xr:uid="{247E295A-26F9-4F69-84CA-B0FD9FE1B6EA}"/>
    <cellStyle name="Normal 6 5 2" xfId="615" xr:uid="{BD05D930-52D0-4430-80AF-8658ACECDC2F}"/>
    <cellStyle name="Normal 6 5 2 10" xfId="13342" xr:uid="{F98D2F07-7B94-4E85-AA45-D756188997A6}"/>
    <cellStyle name="Normal 6 5 2 10 2" xfId="38834" xr:uid="{5C397D23-8ED4-400C-B09B-A43456084C78}"/>
    <cellStyle name="Normal 6 5 2 11" xfId="26243" xr:uid="{3B823105-7FE3-4829-B4E3-0FC6DCBA09BF}"/>
    <cellStyle name="Normal 6 5 2 2" xfId="1152" xr:uid="{3C312F75-63C6-4AFB-96EB-FE50447A3764}"/>
    <cellStyle name="Normal 6 5 2 2 2" xfId="2459" xr:uid="{54714ACF-B134-46D6-8ECC-D9FB63543269}"/>
    <cellStyle name="Normal 6 5 2 2 2 2" xfId="5613" xr:uid="{8FEF987C-E6DE-4B12-8D8B-D1E5577F4747}"/>
    <cellStyle name="Normal 6 5 2 2 2 2 2" xfId="11906" xr:uid="{63B04DA2-7CA4-4752-8BFD-A5214E48F483}"/>
    <cellStyle name="Normal 6 5 2 2 2 2 2 2" xfId="24588" xr:uid="{874A4854-8205-449D-A790-44B0C58EC72D}"/>
    <cellStyle name="Normal 6 5 2 2 2 2 2 2 2" xfId="50080" xr:uid="{1964AA4C-8ACE-4D68-A540-7F8D1B713482}"/>
    <cellStyle name="Normal 6 5 2 2 2 2 2 3" xfId="37489" xr:uid="{07E06FFC-C767-4B85-850F-01C4FFE23635}"/>
    <cellStyle name="Normal 6 5 2 2 2 2 3" xfId="18310" xr:uid="{CFF78079-E0ED-4389-B7AF-AC3F181FFAD8}"/>
    <cellStyle name="Normal 6 5 2 2 2 2 3 2" xfId="43802" xr:uid="{28AF2C57-FD1D-4D8B-B400-B9CF6ECD5AEE}"/>
    <cellStyle name="Normal 6 5 2 2 2 2 4" xfId="31211" xr:uid="{E310E980-307B-46CA-8B47-CBD5A3FB420E}"/>
    <cellStyle name="Normal 6 5 2 2 2 3" xfId="8767" xr:uid="{5D6CEC97-F4CC-4184-878E-8F32CC0F5CF6}"/>
    <cellStyle name="Normal 6 5 2 2 2 3 2" xfId="21449" xr:uid="{F5E8C42B-AC5E-42FA-8CB5-66E4785C45A2}"/>
    <cellStyle name="Normal 6 5 2 2 2 3 2 2" xfId="46941" xr:uid="{F74D03E0-0C56-4E32-AFA6-49A79935F97A}"/>
    <cellStyle name="Normal 6 5 2 2 2 3 3" xfId="34350" xr:uid="{EB60DC74-34AD-4A3B-87B1-1CFA937270C6}"/>
    <cellStyle name="Normal 6 5 2 2 2 4" xfId="15171" xr:uid="{270AA4F0-E613-4BF4-AB2F-69BFE637B26B}"/>
    <cellStyle name="Normal 6 5 2 2 2 4 2" xfId="40663" xr:uid="{85841655-3CE1-438C-9ADD-BEC66F957870}"/>
    <cellStyle name="Normal 6 5 2 2 2 5" xfId="28072" xr:uid="{622A88EE-434A-4078-869E-3B397FA363C6}"/>
    <cellStyle name="Normal 6 5 2 2 3" xfId="1676" xr:uid="{7D3EE02B-DBF4-4804-85F8-CE4A8C00BFCA}"/>
    <cellStyle name="Normal 6 5 2 2 3 2" xfId="4830" xr:uid="{9445A1A0-665E-4035-95A0-3EF1438BBBA2}"/>
    <cellStyle name="Normal 6 5 2 2 3 2 2" xfId="11123" xr:uid="{AE3A17AD-3D48-4AD6-B2B7-18FB6F6F42EE}"/>
    <cellStyle name="Normal 6 5 2 2 3 2 2 2" xfId="23805" xr:uid="{5FF4F43E-CCC1-448B-A8DA-95C61BFC5ED5}"/>
    <cellStyle name="Normal 6 5 2 2 3 2 2 2 2" xfId="49297" xr:uid="{9BD4B0AE-C85E-40A0-A653-71C273573B1A}"/>
    <cellStyle name="Normal 6 5 2 2 3 2 2 3" xfId="36706" xr:uid="{A6985FCF-D874-4A7B-AC73-8711AF232314}"/>
    <cellStyle name="Normal 6 5 2 2 3 2 3" xfId="17527" xr:uid="{1B90FE2C-D867-4B86-8CA7-10E6436A889C}"/>
    <cellStyle name="Normal 6 5 2 2 3 2 3 2" xfId="43019" xr:uid="{0002881B-3EFE-4E20-909B-A8E9D343FE25}"/>
    <cellStyle name="Normal 6 5 2 2 3 2 4" xfId="30428" xr:uid="{5804DAE5-CDDB-4C98-9E6D-001436D85A33}"/>
    <cellStyle name="Normal 6 5 2 2 3 3" xfId="7984" xr:uid="{8273C7A7-D495-4DA8-A8BF-F4980C32CE29}"/>
    <cellStyle name="Normal 6 5 2 2 3 3 2" xfId="20666" xr:uid="{1BA0B2FD-4E41-4BDB-BD60-669B94F98567}"/>
    <cellStyle name="Normal 6 5 2 2 3 3 2 2" xfId="46158" xr:uid="{D8E33120-B0B7-4117-A5B4-81E9C345BFD3}"/>
    <cellStyle name="Normal 6 5 2 2 3 3 3" xfId="33567" xr:uid="{A4C59F28-D6C6-4662-B0F8-BEBB9580722A}"/>
    <cellStyle name="Normal 6 5 2 2 3 4" xfId="14388" xr:uid="{428187E4-33BC-49C6-B09D-8C14D3223AB1}"/>
    <cellStyle name="Normal 6 5 2 2 3 4 2" xfId="39880" xr:uid="{76EBF6FA-41E4-46C8-B094-7013B74BB3C8}"/>
    <cellStyle name="Normal 6 5 2 2 3 5" xfId="27289" xr:uid="{55B547BD-913C-481D-A254-B6613174C35C}"/>
    <cellStyle name="Normal 6 5 2 2 4" xfId="2983" xr:uid="{26A3F5D8-F7B9-42EF-A23E-74ED64169B0C}"/>
    <cellStyle name="Normal 6 5 2 2 4 2" xfId="6137" xr:uid="{7E7E2C2E-7150-48EA-B2F8-70D2ADF261B0}"/>
    <cellStyle name="Normal 6 5 2 2 4 2 2" xfId="12430" xr:uid="{9E463243-75F7-4485-A2F1-8B9A11A7944D}"/>
    <cellStyle name="Normal 6 5 2 2 4 2 2 2" xfId="25112" xr:uid="{8EAE1720-38D0-4A77-B09E-AC7D2CE0653C}"/>
    <cellStyle name="Normal 6 5 2 2 4 2 2 2 2" xfId="50604" xr:uid="{01A0DBA9-D4E2-4CA6-B88D-F71203575B4E}"/>
    <cellStyle name="Normal 6 5 2 2 4 2 2 3" xfId="38013" xr:uid="{58979AEA-ABAE-4547-90CB-99E97E215491}"/>
    <cellStyle name="Normal 6 5 2 2 4 2 3" xfId="18834" xr:uid="{C4870AED-EAA3-4CD6-BBC6-4B2FDB2E43FB}"/>
    <cellStyle name="Normal 6 5 2 2 4 2 3 2" xfId="44326" xr:uid="{CE41CD90-145C-482D-9867-E134B12AE14F}"/>
    <cellStyle name="Normal 6 5 2 2 4 2 4" xfId="31735" xr:uid="{8083FADB-BF2A-4DC6-BEC4-F97B81263009}"/>
    <cellStyle name="Normal 6 5 2 2 4 3" xfId="9291" xr:uid="{014EB4E0-DC63-469E-B361-9AAC9246F2EA}"/>
    <cellStyle name="Normal 6 5 2 2 4 3 2" xfId="21973" xr:uid="{6ABB04D6-64CF-4057-9D50-B7A7DAF2D316}"/>
    <cellStyle name="Normal 6 5 2 2 4 3 2 2" xfId="47465" xr:uid="{6B22FD9B-F9B1-4929-985A-BF8BE61987A1}"/>
    <cellStyle name="Normal 6 5 2 2 4 3 3" xfId="34874" xr:uid="{ABAEE71D-0618-45A0-8116-33DBE56C27EA}"/>
    <cellStyle name="Normal 6 5 2 2 4 4" xfId="15695" xr:uid="{B5C7C7AC-4F79-49B6-80E8-7E58EBFB556F}"/>
    <cellStyle name="Normal 6 5 2 2 4 4 2" xfId="41187" xr:uid="{5D005B45-8C4B-4F00-B9C9-6B5F5B81CEE0}"/>
    <cellStyle name="Normal 6 5 2 2 4 5" xfId="28596" xr:uid="{8074CD1A-0DAD-41EE-92FE-FB0B89D55776}"/>
    <cellStyle name="Normal 6 5 2 2 5" xfId="3506" xr:uid="{51CBD8AE-A920-4043-8ACA-B5F322F610D1}"/>
    <cellStyle name="Normal 6 5 2 2 5 2" xfId="6660" xr:uid="{76AD026C-67C8-4E89-B131-713212EFFCF2}"/>
    <cellStyle name="Normal 6 5 2 2 5 2 2" xfId="12953" xr:uid="{2E74D632-9790-4A57-973A-DB9C64A99061}"/>
    <cellStyle name="Normal 6 5 2 2 5 2 2 2" xfId="25635" xr:uid="{0A80EFAD-0253-4FC5-A712-8D4C162DB44E}"/>
    <cellStyle name="Normal 6 5 2 2 5 2 2 2 2" xfId="51127" xr:uid="{E5B2B0B9-D7D6-49DE-B43F-47F1962F4CB8}"/>
    <cellStyle name="Normal 6 5 2 2 5 2 2 3" xfId="38536" xr:uid="{54A59283-FCEC-4D83-A562-8239CFCF06DE}"/>
    <cellStyle name="Normal 6 5 2 2 5 2 3" xfId="19357" xr:uid="{6E03365A-C81C-4D3F-850F-EDB81F205842}"/>
    <cellStyle name="Normal 6 5 2 2 5 2 3 2" xfId="44849" xr:uid="{222719EC-907E-4AA7-BA44-112AF80F23D2}"/>
    <cellStyle name="Normal 6 5 2 2 5 2 4" xfId="32258" xr:uid="{A8DF0842-D5DE-4912-9C9F-CFF24D63A43E}"/>
    <cellStyle name="Normal 6 5 2 2 5 3" xfId="9814" xr:uid="{E7E8923B-6DE5-45FE-B461-FBB4DC38DC64}"/>
    <cellStyle name="Normal 6 5 2 2 5 3 2" xfId="22496" xr:uid="{A4B90520-5B96-4E9E-BEE3-130522BAD075}"/>
    <cellStyle name="Normal 6 5 2 2 5 3 2 2" xfId="47988" xr:uid="{26F9A608-CF7D-4CEF-92D4-879D6A0D5F3E}"/>
    <cellStyle name="Normal 6 5 2 2 5 3 3" xfId="35397" xr:uid="{49BE4B7C-F0AE-4D5B-BEC8-B0E7588A2E69}"/>
    <cellStyle name="Normal 6 5 2 2 5 4" xfId="16218" xr:uid="{FAF06ABD-42D1-4856-A11C-605DB9024161}"/>
    <cellStyle name="Normal 6 5 2 2 5 4 2" xfId="41710" xr:uid="{D36A58FF-56F9-421D-A753-37D614780D3B}"/>
    <cellStyle name="Normal 6 5 2 2 5 5" xfId="29119" xr:uid="{E05C4932-992D-4166-8F2B-EF9FFD408E3D}"/>
    <cellStyle name="Normal 6 5 2 2 6" xfId="4306" xr:uid="{A66A5481-7003-4BE0-9273-C2750AF5EDD2}"/>
    <cellStyle name="Normal 6 5 2 2 6 2" xfId="10599" xr:uid="{7301AD60-EE00-48C5-9AA8-9A1F3CC1E005}"/>
    <cellStyle name="Normal 6 5 2 2 6 2 2" xfId="23281" xr:uid="{AC123745-2A6E-4BE0-8893-27D9143CC723}"/>
    <cellStyle name="Normal 6 5 2 2 6 2 2 2" xfId="48773" xr:uid="{9ED62091-636E-4BC1-8BCF-F06BE0984B3C}"/>
    <cellStyle name="Normal 6 5 2 2 6 2 3" xfId="36182" xr:uid="{1713561D-1CF5-4128-86F1-C21DE1ADDA7A}"/>
    <cellStyle name="Normal 6 5 2 2 6 3" xfId="17003" xr:uid="{E7DE352D-C799-419F-936D-2EF8B369F086}"/>
    <cellStyle name="Normal 6 5 2 2 6 3 2" xfId="42495" xr:uid="{F41549AF-08C0-43DC-876D-1E37B7B64EBB}"/>
    <cellStyle name="Normal 6 5 2 2 6 4" xfId="29904" xr:uid="{9D1D337D-103B-490D-9E8F-57BEA2ECF763}"/>
    <cellStyle name="Normal 6 5 2 2 7" xfId="7460" xr:uid="{C8244D6D-2A59-4D88-85AA-9D84D9D60B82}"/>
    <cellStyle name="Normal 6 5 2 2 7 2" xfId="20142" xr:uid="{F57F34FF-FBE4-456C-AF17-2433945C3CEE}"/>
    <cellStyle name="Normal 6 5 2 2 7 2 2" xfId="45634" xr:uid="{7AB77050-020A-4777-ACD9-9FDFC64B9762}"/>
    <cellStyle name="Normal 6 5 2 2 7 3" xfId="33043" xr:uid="{ABCB5574-D2B0-4F06-A2BC-8514532B6F94}"/>
    <cellStyle name="Normal 6 5 2 2 8" xfId="13864" xr:uid="{0EBE56F7-7543-460F-A213-9C34D30B330D}"/>
    <cellStyle name="Normal 6 5 2 2 8 2" xfId="39356" xr:uid="{35D0610A-202C-4F37-9ABF-6A061FF6DF39}"/>
    <cellStyle name="Normal 6 5 2 2 9" xfId="26765" xr:uid="{CD3F384B-9643-43FC-9E96-A4A4A342EA4E}"/>
    <cellStyle name="Normal 6 5 2 3" xfId="892" xr:uid="{30CCF64E-1E1D-454C-A1F3-CEF60F3BD71B}"/>
    <cellStyle name="Normal 6 5 2 3 2" xfId="2199" xr:uid="{39E6A887-8467-4ADD-9106-BDCC8694E367}"/>
    <cellStyle name="Normal 6 5 2 3 2 2" xfId="5353" xr:uid="{BE370249-46C4-4638-9639-0D85BCAB5463}"/>
    <cellStyle name="Normal 6 5 2 3 2 2 2" xfId="11646" xr:uid="{F7BB8B66-82EF-4AB3-8C5A-5D567C2FBDF4}"/>
    <cellStyle name="Normal 6 5 2 3 2 2 2 2" xfId="24328" xr:uid="{F7FB21A4-7873-44F7-997E-F37525618C00}"/>
    <cellStyle name="Normal 6 5 2 3 2 2 2 2 2" xfId="49820" xr:uid="{43CF3AC6-C9F1-4F7D-A9F6-BABDC6E4ED37}"/>
    <cellStyle name="Normal 6 5 2 3 2 2 2 3" xfId="37229" xr:uid="{39C6DE90-FF7B-41D8-B88B-FFCF64BAAAB1}"/>
    <cellStyle name="Normal 6 5 2 3 2 2 3" xfId="18050" xr:uid="{2892F44B-61FC-4057-B8C8-871EB15D2FC7}"/>
    <cellStyle name="Normal 6 5 2 3 2 2 3 2" xfId="43542" xr:uid="{30E6789B-6B5E-4255-B92B-DB5F5218F59E}"/>
    <cellStyle name="Normal 6 5 2 3 2 2 4" xfId="30951" xr:uid="{1153346B-6416-4193-A4AB-6A9D30DD26A0}"/>
    <cellStyle name="Normal 6 5 2 3 2 3" xfId="8507" xr:uid="{FBF719E8-069E-4A8F-AA16-E1602CB38F03}"/>
    <cellStyle name="Normal 6 5 2 3 2 3 2" xfId="21189" xr:uid="{167D8FE0-9E29-4055-8855-C693687BBC44}"/>
    <cellStyle name="Normal 6 5 2 3 2 3 2 2" xfId="46681" xr:uid="{E36482A6-D7F5-44B3-AF0A-FBCDCBBF455D}"/>
    <cellStyle name="Normal 6 5 2 3 2 3 3" xfId="34090" xr:uid="{92117E84-FB18-4AD6-800B-2EA6D1D394E9}"/>
    <cellStyle name="Normal 6 5 2 3 2 4" xfId="14911" xr:uid="{9EC8C92E-F0A7-46FF-9ED3-7B91EDD030C3}"/>
    <cellStyle name="Normal 6 5 2 3 2 4 2" xfId="40403" xr:uid="{90210858-B02F-49A5-B961-05F6BA46B698}"/>
    <cellStyle name="Normal 6 5 2 3 2 5" xfId="27812" xr:uid="{2265CA77-66B0-4128-9DF2-4E2EB838D8AD}"/>
    <cellStyle name="Normal 6 5 2 3 3" xfId="4046" xr:uid="{7FA575A1-E9ED-432C-B629-CC4BEE9D8B6A}"/>
    <cellStyle name="Normal 6 5 2 3 3 2" xfId="10339" xr:uid="{12A98F4E-0D6F-4355-B861-6E6F56A58FB2}"/>
    <cellStyle name="Normal 6 5 2 3 3 2 2" xfId="23021" xr:uid="{F84D3E15-DAED-47E0-8EBD-2315A9FBD7DC}"/>
    <cellStyle name="Normal 6 5 2 3 3 2 2 2" xfId="48513" xr:uid="{10D824D3-46DE-48F4-9C53-992EF022AA76}"/>
    <cellStyle name="Normal 6 5 2 3 3 2 3" xfId="35922" xr:uid="{AA6DCA14-805C-4481-B778-5E5B150B9766}"/>
    <cellStyle name="Normal 6 5 2 3 3 3" xfId="16743" xr:uid="{290F584A-123E-4E7D-A788-AE80FD72C16D}"/>
    <cellStyle name="Normal 6 5 2 3 3 3 2" xfId="42235" xr:uid="{454E6935-7903-41A1-862A-A00BF2CC3E4D}"/>
    <cellStyle name="Normal 6 5 2 3 3 4" xfId="29644" xr:uid="{71F72E03-56E6-45AB-94CC-7F80C38FF16A}"/>
    <cellStyle name="Normal 6 5 2 3 4" xfId="7200" xr:uid="{3C45532C-2320-497B-9FDD-9834CF9B5FFC}"/>
    <cellStyle name="Normal 6 5 2 3 4 2" xfId="19882" xr:uid="{7ED9AD87-63BE-4B6B-B19E-F669662A9CE2}"/>
    <cellStyle name="Normal 6 5 2 3 4 2 2" xfId="45374" xr:uid="{EC5B6396-D62E-4207-8AD5-2FEC9AFCBB89}"/>
    <cellStyle name="Normal 6 5 2 3 4 3" xfId="32783" xr:uid="{CD608DBB-05A4-4A31-AC1D-875DFA4A9FCE}"/>
    <cellStyle name="Normal 6 5 2 3 5" xfId="13604" xr:uid="{2F743B01-8CE8-40EB-BFC8-BA6326475DBD}"/>
    <cellStyle name="Normal 6 5 2 3 5 2" xfId="39096" xr:uid="{DF34A67E-BD8C-42F0-BF6B-714D565CC79F}"/>
    <cellStyle name="Normal 6 5 2 3 6" xfId="26505" xr:uid="{9F60F56B-5037-4548-8968-E2A324A858F0}"/>
    <cellStyle name="Normal 6 5 2 4" xfId="1937" xr:uid="{7765E8F2-E8E8-4788-AC54-FA6BD0C68F4C}"/>
    <cellStyle name="Normal 6 5 2 4 2" xfId="5091" xr:uid="{4CF81FA2-7361-45AB-8E91-35FF04F62895}"/>
    <cellStyle name="Normal 6 5 2 4 2 2" xfId="11384" xr:uid="{DD55A826-5EC7-49B1-A134-9F712C1FF7F1}"/>
    <cellStyle name="Normal 6 5 2 4 2 2 2" xfId="24066" xr:uid="{8BDE81F9-9C09-4EA0-8467-8840846A7F43}"/>
    <cellStyle name="Normal 6 5 2 4 2 2 2 2" xfId="49558" xr:uid="{76395B87-42A0-4F78-949A-31A1ECB39B0D}"/>
    <cellStyle name="Normal 6 5 2 4 2 2 3" xfId="36967" xr:uid="{5ACE5643-872F-4F3C-A9BB-14C70E647E71}"/>
    <cellStyle name="Normal 6 5 2 4 2 3" xfId="17788" xr:uid="{E615EBFC-056B-4A9F-BF17-D1223E1D693F}"/>
    <cellStyle name="Normal 6 5 2 4 2 3 2" xfId="43280" xr:uid="{901B2FFA-ED19-4F71-B043-492D95F0E8B3}"/>
    <cellStyle name="Normal 6 5 2 4 2 4" xfId="30689" xr:uid="{941BDD1C-0026-4CE3-B690-A02E6561F41B}"/>
    <cellStyle name="Normal 6 5 2 4 3" xfId="8245" xr:uid="{656B5877-EC72-4932-94F4-78455DC943BD}"/>
    <cellStyle name="Normal 6 5 2 4 3 2" xfId="20927" xr:uid="{29039BF3-1621-44DD-B7C2-728090FC0D82}"/>
    <cellStyle name="Normal 6 5 2 4 3 2 2" xfId="46419" xr:uid="{3A9B16B3-326E-4757-A063-DBD3A097A7A5}"/>
    <cellStyle name="Normal 6 5 2 4 3 3" xfId="33828" xr:uid="{CC1943EB-FBC4-458C-878E-888D4C7BC0A0}"/>
    <cellStyle name="Normal 6 5 2 4 4" xfId="14649" xr:uid="{BF4530BA-F5CC-4E78-A8D3-F22158F5892B}"/>
    <cellStyle name="Normal 6 5 2 4 4 2" xfId="40141" xr:uid="{E6BDCC48-44BC-4D9F-931D-006B40102BFF}"/>
    <cellStyle name="Normal 6 5 2 4 5" xfId="27550" xr:uid="{5B6B30D5-5E82-4AC3-B3B3-95126E0E2632}"/>
    <cellStyle name="Normal 6 5 2 5" xfId="1415" xr:uid="{B074C180-9586-444C-B731-BF5C5D7FABC6}"/>
    <cellStyle name="Normal 6 5 2 5 2" xfId="4569" xr:uid="{23902400-B6D1-4986-9659-7963C8FF3778}"/>
    <cellStyle name="Normal 6 5 2 5 2 2" xfId="10862" xr:uid="{A8521DA4-025D-49C9-8983-B4505ED4B715}"/>
    <cellStyle name="Normal 6 5 2 5 2 2 2" xfId="23544" xr:uid="{EE3EFFE5-2C4F-4F3A-BB5C-F43A3CD374FD}"/>
    <cellStyle name="Normal 6 5 2 5 2 2 2 2" xfId="49036" xr:uid="{98165216-424C-4F19-B051-37BB4980625F}"/>
    <cellStyle name="Normal 6 5 2 5 2 2 3" xfId="36445" xr:uid="{91CB6D22-0EE5-4697-95B6-05534A81F86A}"/>
    <cellStyle name="Normal 6 5 2 5 2 3" xfId="17266" xr:uid="{3CC91F68-23C1-479C-A56D-88827380F5CA}"/>
    <cellStyle name="Normal 6 5 2 5 2 3 2" xfId="42758" xr:uid="{10CF74D1-48D3-4FE3-8D95-0882DE16A973}"/>
    <cellStyle name="Normal 6 5 2 5 2 4" xfId="30167" xr:uid="{88F6972A-41B7-4EEB-9CBA-B0BB66F401C7}"/>
    <cellStyle name="Normal 6 5 2 5 3" xfId="7723" xr:uid="{28F20FA0-6A7C-4F09-9251-18A5A080A22B}"/>
    <cellStyle name="Normal 6 5 2 5 3 2" xfId="20405" xr:uid="{BF957538-AB5D-417E-93D8-CD81C8A0EAD3}"/>
    <cellStyle name="Normal 6 5 2 5 3 2 2" xfId="45897" xr:uid="{2FD9E4FC-33ED-4962-B7EE-B010959AA33F}"/>
    <cellStyle name="Normal 6 5 2 5 3 3" xfId="33306" xr:uid="{5307C425-DBA8-4E21-B17A-3CE2C6420315}"/>
    <cellStyle name="Normal 6 5 2 5 4" xfId="14127" xr:uid="{8F5B5B1A-78F7-450D-B042-35BF5B500143}"/>
    <cellStyle name="Normal 6 5 2 5 4 2" xfId="39619" xr:uid="{56CE7756-7DB7-467C-BEB0-D380F8518A20}"/>
    <cellStyle name="Normal 6 5 2 5 5" xfId="27028" xr:uid="{F64C0798-064C-4564-9262-F80BE5BD9A30}"/>
    <cellStyle name="Normal 6 5 2 6" xfId="2722" xr:uid="{FAC7DFD8-5161-4584-ABFA-0910A12C0848}"/>
    <cellStyle name="Normal 6 5 2 6 2" xfId="5876" xr:uid="{C684BDC9-E3EA-4A0A-B1CF-48F13CF722C3}"/>
    <cellStyle name="Normal 6 5 2 6 2 2" xfId="12169" xr:uid="{F7C25B4A-22CF-4186-8F57-ABF902C52FA9}"/>
    <cellStyle name="Normal 6 5 2 6 2 2 2" xfId="24851" xr:uid="{F7D7EADD-F9E8-445B-835A-B83791DED778}"/>
    <cellStyle name="Normal 6 5 2 6 2 2 2 2" xfId="50343" xr:uid="{CCCB20F5-9D25-48D7-BF77-5514DAB5526F}"/>
    <cellStyle name="Normal 6 5 2 6 2 2 3" xfId="37752" xr:uid="{D9FB95CD-7234-49EE-A14F-DE513D93DC2B}"/>
    <cellStyle name="Normal 6 5 2 6 2 3" xfId="18573" xr:uid="{506870A3-449C-41CA-8BB3-7C8E281A4DAC}"/>
    <cellStyle name="Normal 6 5 2 6 2 3 2" xfId="44065" xr:uid="{644715EB-8A20-4A2B-92EE-BA93D8B6825E}"/>
    <cellStyle name="Normal 6 5 2 6 2 4" xfId="31474" xr:uid="{2126807D-F59C-4C94-A454-7A506292F1A9}"/>
    <cellStyle name="Normal 6 5 2 6 3" xfId="9030" xr:uid="{3405B3BE-83A0-4820-A328-077D607A4B23}"/>
    <cellStyle name="Normal 6 5 2 6 3 2" xfId="21712" xr:uid="{3F46D3C7-5B0A-409E-95CD-1F4EBF405F06}"/>
    <cellStyle name="Normal 6 5 2 6 3 2 2" xfId="47204" xr:uid="{1A097B5B-0427-4828-BB00-206CCF8DEE7B}"/>
    <cellStyle name="Normal 6 5 2 6 3 3" xfId="34613" xr:uid="{D47835FC-2852-4FC2-92D0-EA9A382F0C59}"/>
    <cellStyle name="Normal 6 5 2 6 4" xfId="15434" xr:uid="{9B2C395B-B5C1-4CF5-B3C8-621CCA30D671}"/>
    <cellStyle name="Normal 6 5 2 6 4 2" xfId="40926" xr:uid="{9DD69336-DE5E-4F0C-AC84-3B848C0578D6}"/>
    <cellStyle name="Normal 6 5 2 6 5" xfId="28335" xr:uid="{9602C133-8A67-4719-AC03-CE597E3DF138}"/>
    <cellStyle name="Normal 6 5 2 7" xfId="3245" xr:uid="{36D4ACA7-7BDD-4CEF-BA1F-37CCE3A7BEC3}"/>
    <cellStyle name="Normal 6 5 2 7 2" xfId="6399" xr:uid="{C4EFF58C-2363-4C01-B203-321E9B61567A}"/>
    <cellStyle name="Normal 6 5 2 7 2 2" xfId="12692" xr:uid="{E65A6D32-ADA4-4926-81A8-6CBE3608D9C4}"/>
    <cellStyle name="Normal 6 5 2 7 2 2 2" xfId="25374" xr:uid="{0FAAD919-AFC2-43FE-9522-4B7809382C7B}"/>
    <cellStyle name="Normal 6 5 2 7 2 2 2 2" xfId="50866" xr:uid="{A3F22546-84A4-4F12-AFD5-022CC8C2C8BB}"/>
    <cellStyle name="Normal 6 5 2 7 2 2 3" xfId="38275" xr:uid="{FF6D5977-1844-4EB7-B9F4-3C80F10DCE05}"/>
    <cellStyle name="Normal 6 5 2 7 2 3" xfId="19096" xr:uid="{FB3853CB-367D-4D76-BE13-4E7D330C893A}"/>
    <cellStyle name="Normal 6 5 2 7 2 3 2" xfId="44588" xr:uid="{07D09F2D-243E-4C4E-B8F8-E6855E48E29A}"/>
    <cellStyle name="Normal 6 5 2 7 2 4" xfId="31997" xr:uid="{843A687A-333C-4458-9905-7BC5473326BE}"/>
    <cellStyle name="Normal 6 5 2 7 3" xfId="9553" xr:uid="{B2109129-4D06-40B6-8A32-1857C0F6785B}"/>
    <cellStyle name="Normal 6 5 2 7 3 2" xfId="22235" xr:uid="{BDBA6A93-15CD-4696-A2DC-BD817D517284}"/>
    <cellStyle name="Normal 6 5 2 7 3 2 2" xfId="47727" xr:uid="{F9F5E59B-0CDE-41D2-BD74-9C5CD0D75171}"/>
    <cellStyle name="Normal 6 5 2 7 3 3" xfId="35136" xr:uid="{5925A924-9B90-4BCF-811A-B9BA717FF24C}"/>
    <cellStyle name="Normal 6 5 2 7 4" xfId="15957" xr:uid="{0F0DE660-F302-4647-BF3E-51BF04098354}"/>
    <cellStyle name="Normal 6 5 2 7 4 2" xfId="41449" xr:uid="{FC98C9A6-D12B-48D6-8161-319F1C300737}"/>
    <cellStyle name="Normal 6 5 2 7 5" xfId="28858" xr:uid="{50CC09E0-A3DB-4B96-BDA2-E5651A3CDC52}"/>
    <cellStyle name="Normal 6 5 2 8" xfId="3784" xr:uid="{4868E6F2-7D0B-4CA8-A8BC-B6A5C6553180}"/>
    <cellStyle name="Normal 6 5 2 8 2" xfId="10077" xr:uid="{AFE8D274-EAAB-44F0-88D6-CE50147FC503}"/>
    <cellStyle name="Normal 6 5 2 8 2 2" xfId="22759" xr:uid="{39342219-D1F6-4FDF-9F5F-74547889CF6F}"/>
    <cellStyle name="Normal 6 5 2 8 2 2 2" xfId="48251" xr:uid="{0039E17D-C716-4575-963A-EA156DFB1DC0}"/>
    <cellStyle name="Normal 6 5 2 8 2 3" xfId="35660" xr:uid="{5BE8E277-58F6-4FB2-ACCB-22B59CB1A86F}"/>
    <cellStyle name="Normal 6 5 2 8 3" xfId="16481" xr:uid="{42EAE835-E25E-416C-A8F5-695D7BAC6F2C}"/>
    <cellStyle name="Normal 6 5 2 8 3 2" xfId="41973" xr:uid="{ED9F0202-4955-469C-BE00-07543311CB50}"/>
    <cellStyle name="Normal 6 5 2 8 4" xfId="29382" xr:uid="{06F85F00-A896-4CA5-A30A-C063034B5CFA}"/>
    <cellStyle name="Normal 6 5 2 9" xfId="6938" xr:uid="{CE7AE5EB-97F2-4ED8-BD8E-6F1DB3C8CDB8}"/>
    <cellStyle name="Normal 6 5 2 9 2" xfId="19620" xr:uid="{5FD8A8B1-8DCF-41C0-8598-050D74BF0879}"/>
    <cellStyle name="Normal 6 5 2 9 2 2" xfId="45112" xr:uid="{C34CDFEB-5EBD-4C39-AE22-F4282DDFE227}"/>
    <cellStyle name="Normal 6 5 2 9 3" xfId="32521" xr:uid="{4BB4DE35-C55B-447D-8135-5284BB9ECA8B}"/>
    <cellStyle name="Normal 6 5 3" xfId="993" xr:uid="{24B2D68E-1CDF-4555-984F-247CFEE672D3}"/>
    <cellStyle name="Normal 6 5 3 2" xfId="2300" xr:uid="{AF581E33-8774-4A42-B0EB-5B4CAAFB9381}"/>
    <cellStyle name="Normal 6 5 3 2 2" xfId="5454" xr:uid="{0924D06C-7FE5-40A7-A3FE-680A09F3AB0B}"/>
    <cellStyle name="Normal 6 5 3 2 2 2" xfId="11747" xr:uid="{8C360AFB-0B54-40AC-8C0B-2B9F00822780}"/>
    <cellStyle name="Normal 6 5 3 2 2 2 2" xfId="24429" xr:uid="{D4D242DA-8155-4B4E-9995-EE564CDA617A}"/>
    <cellStyle name="Normal 6 5 3 2 2 2 2 2" xfId="49921" xr:uid="{9ACABBA8-75B5-4DAA-9EAA-142D67A6EDF9}"/>
    <cellStyle name="Normal 6 5 3 2 2 2 3" xfId="37330" xr:uid="{77BB9EB3-9D6B-4F2F-82AA-6A3AD3BFDFC8}"/>
    <cellStyle name="Normal 6 5 3 2 2 3" xfId="18151" xr:uid="{16145D55-A001-47D2-98CD-9E4C70939993}"/>
    <cellStyle name="Normal 6 5 3 2 2 3 2" xfId="43643" xr:uid="{1E89D850-1910-4E96-98C9-08494109BB33}"/>
    <cellStyle name="Normal 6 5 3 2 2 4" xfId="31052" xr:uid="{F2045E6B-ED93-47DF-A79B-756B65187896}"/>
    <cellStyle name="Normal 6 5 3 2 3" xfId="8608" xr:uid="{43FD485B-DDF7-4489-BBF9-46497F3296E5}"/>
    <cellStyle name="Normal 6 5 3 2 3 2" xfId="21290" xr:uid="{55C833C7-A48F-4162-A397-CBD5E93E5D99}"/>
    <cellStyle name="Normal 6 5 3 2 3 2 2" xfId="46782" xr:uid="{1EECE3C5-E46A-43EE-B05D-1614C59DDA35}"/>
    <cellStyle name="Normal 6 5 3 2 3 3" xfId="34191" xr:uid="{CD8848A3-E8EB-4BDB-BB4D-AC99D6BEDC40}"/>
    <cellStyle name="Normal 6 5 3 2 4" xfId="15012" xr:uid="{DD59A989-C7D3-44A8-9CA4-78BA3D968302}"/>
    <cellStyle name="Normal 6 5 3 2 4 2" xfId="40504" xr:uid="{A3A2BFA1-28E3-4308-968D-463E586195F6}"/>
    <cellStyle name="Normal 6 5 3 2 5" xfId="27913" xr:uid="{10F72690-2446-4420-B1B7-8F327CBBB9F7}"/>
    <cellStyle name="Normal 6 5 3 3" xfId="1517" xr:uid="{D15D3367-CC70-442E-8651-24D944D3A895}"/>
    <cellStyle name="Normal 6 5 3 3 2" xfId="4671" xr:uid="{0892CEF1-F641-4AAA-9589-879E1F4FDCC7}"/>
    <cellStyle name="Normal 6 5 3 3 2 2" xfId="10964" xr:uid="{9D8A2D94-8BE6-480B-950D-58923BC846CA}"/>
    <cellStyle name="Normal 6 5 3 3 2 2 2" xfId="23646" xr:uid="{AF4B02DA-B3B6-49F5-A7F1-11459966279F}"/>
    <cellStyle name="Normal 6 5 3 3 2 2 2 2" xfId="49138" xr:uid="{6C463A85-7457-43B4-AB1F-C3721FDC922A}"/>
    <cellStyle name="Normal 6 5 3 3 2 2 3" xfId="36547" xr:uid="{271786A7-D1C2-47F5-BCD2-AB62D0B7C343}"/>
    <cellStyle name="Normal 6 5 3 3 2 3" xfId="17368" xr:uid="{B638CD93-362B-4C88-9946-F47CB85C5921}"/>
    <cellStyle name="Normal 6 5 3 3 2 3 2" xfId="42860" xr:uid="{CF47C7E3-4877-4E0C-9ADE-5FE3A1211FB7}"/>
    <cellStyle name="Normal 6 5 3 3 2 4" xfId="30269" xr:uid="{45BCB354-67AD-48E7-9206-72352DE569A9}"/>
    <cellStyle name="Normal 6 5 3 3 3" xfId="7825" xr:uid="{2F62691E-6468-4D7F-BB85-4BBE71FC5EB9}"/>
    <cellStyle name="Normal 6 5 3 3 3 2" xfId="20507" xr:uid="{944A7B77-AFB4-4525-8258-0F3F4EFA7C98}"/>
    <cellStyle name="Normal 6 5 3 3 3 2 2" xfId="45999" xr:uid="{E378D9F6-CB5E-4C1E-9C12-06374397BC0E}"/>
    <cellStyle name="Normal 6 5 3 3 3 3" xfId="33408" xr:uid="{B7E3122B-1425-4FEB-A385-BD4124D29F38}"/>
    <cellStyle name="Normal 6 5 3 3 4" xfId="14229" xr:uid="{C8C401C0-EB59-4F62-82A2-85E9E1E12207}"/>
    <cellStyle name="Normal 6 5 3 3 4 2" xfId="39721" xr:uid="{B9C8797B-59D0-47F8-917F-D2072CE6BD76}"/>
    <cellStyle name="Normal 6 5 3 3 5" xfId="27130" xr:uid="{BAE2887A-4F6D-497F-A1C4-582E7271F0F9}"/>
    <cellStyle name="Normal 6 5 3 4" xfId="2824" xr:uid="{6861E3E7-91AF-44C4-A51D-43338077B7A7}"/>
    <cellStyle name="Normal 6 5 3 4 2" xfId="5978" xr:uid="{E8C4BE48-FB10-41A6-ACEE-27EA21572457}"/>
    <cellStyle name="Normal 6 5 3 4 2 2" xfId="12271" xr:uid="{E7AC5DE8-B435-4205-9060-28C0E5766EB9}"/>
    <cellStyle name="Normal 6 5 3 4 2 2 2" xfId="24953" xr:uid="{CEDA654B-654D-4484-9802-1B0934EAC47B}"/>
    <cellStyle name="Normal 6 5 3 4 2 2 2 2" xfId="50445" xr:uid="{D1A7CDF2-8F60-4E02-9024-DEFB7B1F7BAA}"/>
    <cellStyle name="Normal 6 5 3 4 2 2 3" xfId="37854" xr:uid="{CCDE8333-EE92-4DA3-95E5-2E4E0C3E69D5}"/>
    <cellStyle name="Normal 6 5 3 4 2 3" xfId="18675" xr:uid="{1FF512B7-77AB-4B0D-A0C8-0F811F5B32B3}"/>
    <cellStyle name="Normal 6 5 3 4 2 3 2" xfId="44167" xr:uid="{6C4EFDE5-1379-47EF-B885-5F511D291946}"/>
    <cellStyle name="Normal 6 5 3 4 2 4" xfId="31576" xr:uid="{F599927F-842B-492E-95CD-A4E380F8E77C}"/>
    <cellStyle name="Normal 6 5 3 4 3" xfId="9132" xr:uid="{FF66C54B-1943-441C-A564-69F635A3327A}"/>
    <cellStyle name="Normal 6 5 3 4 3 2" xfId="21814" xr:uid="{47EC288F-F90A-4EF6-A42E-E5B9ADA9461C}"/>
    <cellStyle name="Normal 6 5 3 4 3 2 2" xfId="47306" xr:uid="{D4ACEAC8-E6E6-420B-B1EE-5B7CCCF1782B}"/>
    <cellStyle name="Normal 6 5 3 4 3 3" xfId="34715" xr:uid="{D0A96A27-C78C-48B6-9087-2768C876F958}"/>
    <cellStyle name="Normal 6 5 3 4 4" xfId="15536" xr:uid="{9965B167-C35A-4DCC-A4E7-9E05312CCFC3}"/>
    <cellStyle name="Normal 6 5 3 4 4 2" xfId="41028" xr:uid="{17EBA30E-4B35-46AB-AE1A-380CF93ECEA0}"/>
    <cellStyle name="Normal 6 5 3 4 5" xfId="28437" xr:uid="{D54846A1-E45C-4010-AB91-FD5A8763F86B}"/>
    <cellStyle name="Normal 6 5 3 5" xfId="3347" xr:uid="{953E8768-5325-4A13-BC27-873612FABCD8}"/>
    <cellStyle name="Normal 6 5 3 5 2" xfId="6501" xr:uid="{E46D3D31-5C02-4CDF-BCC5-4804CB7FE64A}"/>
    <cellStyle name="Normal 6 5 3 5 2 2" xfId="12794" xr:uid="{CE14C8E4-24F6-4D24-A5BD-F9EDFAEA2244}"/>
    <cellStyle name="Normal 6 5 3 5 2 2 2" xfId="25476" xr:uid="{18C540BE-8742-4243-BFAA-5D844D79E28F}"/>
    <cellStyle name="Normal 6 5 3 5 2 2 2 2" xfId="50968" xr:uid="{F08484B9-4D58-4985-AE7B-9733E67539F3}"/>
    <cellStyle name="Normal 6 5 3 5 2 2 3" xfId="38377" xr:uid="{B122222E-4849-4034-9053-CA6364932906}"/>
    <cellStyle name="Normal 6 5 3 5 2 3" xfId="19198" xr:uid="{FB302C9E-B7A1-4F1E-8A72-90E2DC422249}"/>
    <cellStyle name="Normal 6 5 3 5 2 3 2" xfId="44690" xr:uid="{1C1C52B9-775A-48E3-9CCB-C1DB60ED1C17}"/>
    <cellStyle name="Normal 6 5 3 5 2 4" xfId="32099" xr:uid="{5892DD58-0DCA-4173-BCBB-EF3697487338}"/>
    <cellStyle name="Normal 6 5 3 5 3" xfId="9655" xr:uid="{A3BCF123-43B7-4A58-B4D4-BE35456C3784}"/>
    <cellStyle name="Normal 6 5 3 5 3 2" xfId="22337" xr:uid="{1FE6F991-12F9-4275-A748-079998C8F232}"/>
    <cellStyle name="Normal 6 5 3 5 3 2 2" xfId="47829" xr:uid="{D423B466-E7E5-41BD-93FF-9332E250DDDA}"/>
    <cellStyle name="Normal 6 5 3 5 3 3" xfId="35238" xr:uid="{76AE9806-CFA4-446F-A825-AF2BE1645C4C}"/>
    <cellStyle name="Normal 6 5 3 5 4" xfId="16059" xr:uid="{D102A275-4438-4EB5-BD1C-4442B726F477}"/>
    <cellStyle name="Normal 6 5 3 5 4 2" xfId="41551" xr:uid="{9710D26E-3FDC-46A4-BA6F-A8A79641C25F}"/>
    <cellStyle name="Normal 6 5 3 5 5" xfId="28960" xr:uid="{51FFBD9E-E917-4287-A167-EEDF65D36FCB}"/>
    <cellStyle name="Normal 6 5 3 6" xfId="4147" xr:uid="{98F534FB-10CA-4285-B959-F9D018601406}"/>
    <cellStyle name="Normal 6 5 3 6 2" xfId="10440" xr:uid="{C5F4AA6B-B488-4F31-8FE3-3D136BD49086}"/>
    <cellStyle name="Normal 6 5 3 6 2 2" xfId="23122" xr:uid="{DD1E0284-7CE9-4DC1-9B2C-95D5D400AEFC}"/>
    <cellStyle name="Normal 6 5 3 6 2 2 2" xfId="48614" xr:uid="{A2C0B000-42FC-458F-92DF-56E1659CD986}"/>
    <cellStyle name="Normal 6 5 3 6 2 3" xfId="36023" xr:uid="{43D2ACAB-9CEC-4D04-90AF-34CFE1859CD0}"/>
    <cellStyle name="Normal 6 5 3 6 3" xfId="16844" xr:uid="{42CFA38A-7289-4770-82BD-4B46913013EB}"/>
    <cellStyle name="Normal 6 5 3 6 3 2" xfId="42336" xr:uid="{D418FEEC-2892-49B0-B530-33039B145309}"/>
    <cellStyle name="Normal 6 5 3 6 4" xfId="29745" xr:uid="{858251C5-ADCF-4CF1-94E6-157BDB29DBB5}"/>
    <cellStyle name="Normal 6 5 3 7" xfId="7301" xr:uid="{E03DF7BA-0EF1-4EAE-8C69-3B34B37EDAB3}"/>
    <cellStyle name="Normal 6 5 3 7 2" xfId="19983" xr:uid="{E97C2080-F18A-4098-B0B2-EA99F35F3141}"/>
    <cellStyle name="Normal 6 5 3 7 2 2" xfId="45475" xr:uid="{D5B4F67F-4321-433F-9F2E-6D0EFA48061F}"/>
    <cellStyle name="Normal 6 5 3 7 3" xfId="32884" xr:uid="{BAB4E704-9418-4444-A53B-5C0E57F099AE}"/>
    <cellStyle name="Normal 6 5 3 8" xfId="13705" xr:uid="{ABE5D852-6D24-49D7-9973-229E18863272}"/>
    <cellStyle name="Normal 6 5 3 8 2" xfId="39197" xr:uid="{85C9C249-EF3F-4552-BCB6-8BC9206AB8B1}"/>
    <cellStyle name="Normal 6 5 3 9" xfId="26606" xr:uid="{F0A785D7-1A4B-4C7F-B0B0-88945D555F74}"/>
    <cellStyle name="Normal 6 5 4" xfId="733" xr:uid="{9DD58B79-001A-4522-B9E8-CB9FE3184956}"/>
    <cellStyle name="Normal 6 5 4 2" xfId="2040" xr:uid="{59B9927C-BA6B-49B0-8117-4EA8DAA4FEF6}"/>
    <cellStyle name="Normal 6 5 4 2 2" xfId="5194" xr:uid="{DDDCD014-AAB5-4304-9DD8-81889071C402}"/>
    <cellStyle name="Normal 6 5 4 2 2 2" xfId="11487" xr:uid="{544297C3-6A7A-4C44-BF14-13796D8C98B8}"/>
    <cellStyle name="Normal 6 5 4 2 2 2 2" xfId="24169" xr:uid="{07E0DB57-BDDA-45AD-AE11-44B81E1D8948}"/>
    <cellStyle name="Normal 6 5 4 2 2 2 2 2" xfId="49661" xr:uid="{7B3C073D-6352-4AC5-A60B-A7E29D5F3592}"/>
    <cellStyle name="Normal 6 5 4 2 2 2 3" xfId="37070" xr:uid="{8A7826E4-F05E-4574-84A7-8BE6332CCAD0}"/>
    <cellStyle name="Normal 6 5 4 2 2 3" xfId="17891" xr:uid="{DFEB2DCB-1F26-416E-91BE-2388FC4F7D3C}"/>
    <cellStyle name="Normal 6 5 4 2 2 3 2" xfId="43383" xr:uid="{F342A1AF-40FE-42BB-9438-C1A4D79AC6E6}"/>
    <cellStyle name="Normal 6 5 4 2 2 4" xfId="30792" xr:uid="{057FBDA7-50E6-4BCA-8DCF-5B350A08ADC8}"/>
    <cellStyle name="Normal 6 5 4 2 3" xfId="8348" xr:uid="{FBC0C46F-0BF1-4F82-A5A8-EC8EF1F72026}"/>
    <cellStyle name="Normal 6 5 4 2 3 2" xfId="21030" xr:uid="{A36B3FA5-95DD-48A2-8260-7304EAA0DF9A}"/>
    <cellStyle name="Normal 6 5 4 2 3 2 2" xfId="46522" xr:uid="{7710D151-D8B1-41B6-95D1-E70E25ADC266}"/>
    <cellStyle name="Normal 6 5 4 2 3 3" xfId="33931" xr:uid="{4DEDA7FF-96F0-42AE-A977-4D7C91872105}"/>
    <cellStyle name="Normal 6 5 4 2 4" xfId="14752" xr:uid="{947EC37B-E95D-4D01-B760-9BA8E999C7B2}"/>
    <cellStyle name="Normal 6 5 4 2 4 2" xfId="40244" xr:uid="{B2D28906-3433-4D18-B55A-E922175BDBAE}"/>
    <cellStyle name="Normal 6 5 4 2 5" xfId="27653" xr:uid="{91E99AE4-46AA-4B87-8A05-2FBC50BE72AB}"/>
    <cellStyle name="Normal 6 5 4 3" xfId="3887" xr:uid="{C25D6B59-0537-4FE8-A3A4-6D9F1E28EFF6}"/>
    <cellStyle name="Normal 6 5 4 3 2" xfId="10180" xr:uid="{6F7A5182-B47D-4949-ACF9-B6CCA358349A}"/>
    <cellStyle name="Normal 6 5 4 3 2 2" xfId="22862" xr:uid="{91A184BF-A347-46F4-A02C-B90AB9982D3B}"/>
    <cellStyle name="Normal 6 5 4 3 2 2 2" xfId="48354" xr:uid="{2CA7AD17-982F-45F7-92E8-77A8C51102DB}"/>
    <cellStyle name="Normal 6 5 4 3 2 3" xfId="35763" xr:uid="{D8F38CD2-F035-4C80-8D87-94BDE2698609}"/>
    <cellStyle name="Normal 6 5 4 3 3" xfId="16584" xr:uid="{8D51D4C5-5C26-4BA5-B959-34050DECE380}"/>
    <cellStyle name="Normal 6 5 4 3 3 2" xfId="42076" xr:uid="{557E02C4-50D2-4BFB-9C5A-B74FB9F3900D}"/>
    <cellStyle name="Normal 6 5 4 3 4" xfId="29485" xr:uid="{ABCA0AD9-ACB6-4617-B103-48B597B48073}"/>
    <cellStyle name="Normal 6 5 4 4" xfId="7041" xr:uid="{33E2484F-392C-487F-8AC6-EF648D508669}"/>
    <cellStyle name="Normal 6 5 4 4 2" xfId="19723" xr:uid="{C4A0F363-B417-4270-86DD-BD704DE11CA0}"/>
    <cellStyle name="Normal 6 5 4 4 2 2" xfId="45215" xr:uid="{FBC73185-55F9-4D4E-BA02-7825DD4997B9}"/>
    <cellStyle name="Normal 6 5 4 4 3" xfId="32624" xr:uid="{FC47BBDB-9A25-44F9-ACB8-B56E10EF2AFF}"/>
    <cellStyle name="Normal 6 5 4 5" xfId="13445" xr:uid="{D2D22DBA-825B-4AF8-87B0-C540007C62BA}"/>
    <cellStyle name="Normal 6 5 4 5 2" xfId="38937" xr:uid="{B3361A31-BEEF-4EF4-8650-01EBD29B4E3A}"/>
    <cellStyle name="Normal 6 5 4 6" xfId="26346" xr:uid="{2B348528-85D8-4C18-A9BA-CE246712311D}"/>
    <cellStyle name="Normal 6 5 5" xfId="1778" xr:uid="{B1DB8E5E-CF6A-4756-841F-8A7C8A78DF7F}"/>
    <cellStyle name="Normal 6 5 5 2" xfId="4932" xr:uid="{F4EEA6F0-1D6E-49EE-B4BD-EF34EEC6EA9A}"/>
    <cellStyle name="Normal 6 5 5 2 2" xfId="11225" xr:uid="{C8A20400-CF5A-4B88-A6EA-76B385B161C4}"/>
    <cellStyle name="Normal 6 5 5 2 2 2" xfId="23907" xr:uid="{A6993DB8-3791-4F02-A726-8989055B8F45}"/>
    <cellStyle name="Normal 6 5 5 2 2 2 2" xfId="49399" xr:uid="{F4D62683-E9A0-4FD3-B02F-7A6EEB669C1D}"/>
    <cellStyle name="Normal 6 5 5 2 2 3" xfId="36808" xr:uid="{5501F4A0-0FDC-47AF-9F12-A618C4500691}"/>
    <cellStyle name="Normal 6 5 5 2 3" xfId="17629" xr:uid="{D1035576-39B5-4B27-9B10-A7684FAC10A9}"/>
    <cellStyle name="Normal 6 5 5 2 3 2" xfId="43121" xr:uid="{FC33B0E6-F3D3-48D9-AAC1-5361266DFD9A}"/>
    <cellStyle name="Normal 6 5 5 2 4" xfId="30530" xr:uid="{1FF0A841-1E7A-4746-B291-A09FB2338570}"/>
    <cellStyle name="Normal 6 5 5 3" xfId="8086" xr:uid="{582D028A-84C5-4376-9FA2-E10402F91EC8}"/>
    <cellStyle name="Normal 6 5 5 3 2" xfId="20768" xr:uid="{0F34FBB9-BCBD-48DB-A7BC-55C318162880}"/>
    <cellStyle name="Normal 6 5 5 3 2 2" xfId="46260" xr:uid="{14E19D57-3BE1-49B7-8884-886B498F5528}"/>
    <cellStyle name="Normal 6 5 5 3 3" xfId="33669" xr:uid="{97EDF70B-B8EC-4C1D-9A54-02B9C7859948}"/>
    <cellStyle name="Normal 6 5 5 4" xfId="14490" xr:uid="{BD2E40E7-704E-4811-B0A7-2797E8794C3F}"/>
    <cellStyle name="Normal 6 5 5 4 2" xfId="39982" xr:uid="{C8B56599-7112-4520-8696-EECF1E88BAF1}"/>
    <cellStyle name="Normal 6 5 5 5" xfId="27391" xr:uid="{41D6EABF-4DA9-42E6-A6CE-0D46CB4D0251}"/>
    <cellStyle name="Normal 6 5 6" xfId="1256" xr:uid="{662A22FC-5CF3-44EF-B4D4-399EAC6EB789}"/>
    <cellStyle name="Normal 6 5 6 2" xfId="4410" xr:uid="{D971011E-0D1C-4353-95D1-BD00CF8FFF92}"/>
    <cellStyle name="Normal 6 5 6 2 2" xfId="10703" xr:uid="{6677FCA9-FF9F-4CD3-9854-C99CE38AC55A}"/>
    <cellStyle name="Normal 6 5 6 2 2 2" xfId="23385" xr:uid="{28B27EFA-3C3E-4E4A-8093-69ABF4440BC7}"/>
    <cellStyle name="Normal 6 5 6 2 2 2 2" xfId="48877" xr:uid="{4DA092CC-711D-4BF1-94B9-6159A25431BE}"/>
    <cellStyle name="Normal 6 5 6 2 2 3" xfId="36286" xr:uid="{A42F8BC5-3DC6-4BBC-B9DA-62445F591946}"/>
    <cellStyle name="Normal 6 5 6 2 3" xfId="17107" xr:uid="{8EED27FA-B6BC-4F7B-B017-911A10A7D47D}"/>
    <cellStyle name="Normal 6 5 6 2 3 2" xfId="42599" xr:uid="{8CB163D4-8213-45E8-A568-A32EDFCE728C}"/>
    <cellStyle name="Normal 6 5 6 2 4" xfId="30008" xr:uid="{93DA551B-3B3E-4F3F-B562-1C3AAC0CEF94}"/>
    <cellStyle name="Normal 6 5 6 3" xfId="7564" xr:uid="{CA6C79FE-93F0-4A11-B9C3-A128690CFA69}"/>
    <cellStyle name="Normal 6 5 6 3 2" xfId="20246" xr:uid="{D7E11976-4862-4358-912E-227277586791}"/>
    <cellStyle name="Normal 6 5 6 3 2 2" xfId="45738" xr:uid="{14064DF9-3F7E-4A8B-84FF-E128A16FFAA2}"/>
    <cellStyle name="Normal 6 5 6 3 3" xfId="33147" xr:uid="{4E45A333-F502-4543-8357-AD34D7B97092}"/>
    <cellStyle name="Normal 6 5 6 4" xfId="13968" xr:uid="{0816812D-051E-4BA5-B04F-BE9FDC44E929}"/>
    <cellStyle name="Normal 6 5 6 4 2" xfId="39460" xr:uid="{9A8BEA56-506A-4008-BCE0-56DD34E0C6B6}"/>
    <cellStyle name="Normal 6 5 6 5" xfId="26869" xr:uid="{EC6895B6-4886-4E57-98A0-61B335931079}"/>
    <cellStyle name="Normal 6 5 7" xfId="2563" xr:uid="{DBA7BBE2-4263-4B47-B612-4D90AEFE7FF9}"/>
    <cellStyle name="Normal 6 5 7 2" xfId="5717" xr:uid="{493D1A04-B091-40F0-88B0-9740D2A5B5D6}"/>
    <cellStyle name="Normal 6 5 7 2 2" xfId="12010" xr:uid="{3E46BFDE-2138-4D9D-891D-63F184C168FE}"/>
    <cellStyle name="Normal 6 5 7 2 2 2" xfId="24692" xr:uid="{74CC557F-8B2E-42F6-BA70-9E8ECB902D51}"/>
    <cellStyle name="Normal 6 5 7 2 2 2 2" xfId="50184" xr:uid="{FDF9D961-C76A-48E1-9912-77535D4B0606}"/>
    <cellStyle name="Normal 6 5 7 2 2 3" xfId="37593" xr:uid="{33FDCE37-E644-4AD1-8367-AFB4E1656273}"/>
    <cellStyle name="Normal 6 5 7 2 3" xfId="18414" xr:uid="{BB7E360B-F9EF-4A58-B177-67F9A9CFFF12}"/>
    <cellStyle name="Normal 6 5 7 2 3 2" xfId="43906" xr:uid="{A1E33932-A77C-40E1-A969-F12FC8590C10}"/>
    <cellStyle name="Normal 6 5 7 2 4" xfId="31315" xr:uid="{86CE09EE-AE91-414E-93A7-A0ED24D8F8FB}"/>
    <cellStyle name="Normal 6 5 7 3" xfId="8871" xr:uid="{E2464E3B-259D-4EAC-856F-3FDCF60A5399}"/>
    <cellStyle name="Normal 6 5 7 3 2" xfId="21553" xr:uid="{0FB3B425-7591-48FC-8A07-BFA2DA90D9F1}"/>
    <cellStyle name="Normal 6 5 7 3 2 2" xfId="47045" xr:uid="{47BCB1AF-076A-4028-B019-7804FE786A33}"/>
    <cellStyle name="Normal 6 5 7 3 3" xfId="34454" xr:uid="{31B6CE91-3ADE-4D6C-BBC1-947141C82F78}"/>
    <cellStyle name="Normal 6 5 7 4" xfId="15275" xr:uid="{BE3D2464-2C8F-430F-AFF3-50D5F92E9AF3}"/>
    <cellStyle name="Normal 6 5 7 4 2" xfId="40767" xr:uid="{5087D520-B013-492E-B79A-B7D5AE24DFCC}"/>
    <cellStyle name="Normal 6 5 7 5" xfId="28176" xr:uid="{32390828-7639-460B-8B36-119BEEA99C7D}"/>
    <cellStyle name="Normal 6 5 8" xfId="3086" xr:uid="{11A561D6-F75D-44D1-A18A-2750CBAE681E}"/>
    <cellStyle name="Normal 6 5 8 2" xfId="6240" xr:uid="{8D24A31E-C161-4522-8C07-563563057642}"/>
    <cellStyle name="Normal 6 5 8 2 2" xfId="12533" xr:uid="{912E5D09-E1ED-477F-8521-1108FBD59840}"/>
    <cellStyle name="Normal 6 5 8 2 2 2" xfId="25215" xr:uid="{22ADF236-06D3-4D77-B392-7DAEBF3BAA1D}"/>
    <cellStyle name="Normal 6 5 8 2 2 2 2" xfId="50707" xr:uid="{567AECD0-4823-40C5-B978-C5459DAE0D53}"/>
    <cellStyle name="Normal 6 5 8 2 2 3" xfId="38116" xr:uid="{FC8C8262-4CD6-4620-9EA5-BAB79606061B}"/>
    <cellStyle name="Normal 6 5 8 2 3" xfId="18937" xr:uid="{7C61084A-A5A8-4643-B9C7-0FC7B6C3A650}"/>
    <cellStyle name="Normal 6 5 8 2 3 2" xfId="44429" xr:uid="{8DFB71F1-E9C4-49A9-9BFC-8B4D018C346E}"/>
    <cellStyle name="Normal 6 5 8 2 4" xfId="31838" xr:uid="{7A043DA4-9C60-4956-BA28-7F29F2D292EB}"/>
    <cellStyle name="Normal 6 5 8 3" xfId="9394" xr:uid="{A18B3D00-BFA1-455C-8A9A-04374A2C3200}"/>
    <cellStyle name="Normal 6 5 8 3 2" xfId="22076" xr:uid="{25E9CFD2-2590-4876-8EBC-AFC95830D18C}"/>
    <cellStyle name="Normal 6 5 8 3 2 2" xfId="47568" xr:uid="{2906BAC1-4D37-4D84-943D-324384717629}"/>
    <cellStyle name="Normal 6 5 8 3 3" xfId="34977" xr:uid="{1F2BE9FF-C0C8-4EF5-A37D-78E2EEFA3452}"/>
    <cellStyle name="Normal 6 5 8 4" xfId="15798" xr:uid="{DD54BB8C-4A44-4981-AF77-540E9B6F3A1C}"/>
    <cellStyle name="Normal 6 5 8 4 2" xfId="41290" xr:uid="{F96830DC-FB50-430D-A81B-AA6F2AA711D8}"/>
    <cellStyle name="Normal 6 5 8 5" xfId="28699" xr:uid="{0DA8ABA5-BA58-47B2-83B5-B79E188DDF67}"/>
    <cellStyle name="Normal 6 5 9" xfId="3625" xr:uid="{66965E13-7670-4848-93B7-5A3DBEBB6DEF}"/>
    <cellStyle name="Normal 6 5 9 2" xfId="9918" xr:uid="{967F558A-3CDF-4624-84AB-078EA8A24D3D}"/>
    <cellStyle name="Normal 6 5 9 2 2" xfId="22600" xr:uid="{9B3257CE-678F-4EE4-ADC2-DE2FC4DB6FEA}"/>
    <cellStyle name="Normal 6 5 9 2 2 2" xfId="48092" xr:uid="{F8833837-B083-4259-9543-BBB49045F2B6}"/>
    <cellStyle name="Normal 6 5 9 2 3" xfId="35501" xr:uid="{181C7690-65C8-45BD-9977-2A29271D98EC}"/>
    <cellStyle name="Normal 6 5 9 3" xfId="16322" xr:uid="{FA67CF39-9E0A-4684-B6CB-4E948119500A}"/>
    <cellStyle name="Normal 6 5 9 3 2" xfId="41814" xr:uid="{D073C38E-A4BA-452F-AAD2-3B513E81067F}"/>
    <cellStyle name="Normal 6 5 9 4" xfId="29223" xr:uid="{BE3298A8-6BDF-4552-81D6-D7311F88D6C8}"/>
    <cellStyle name="Normal 6 6" xfId="573" xr:uid="{58879C7B-E227-47F1-9113-0A8466A9D79D}"/>
    <cellStyle name="Normal 6 6 10" xfId="13300" xr:uid="{B3BBA227-11DB-40DF-A5E2-A53137AD3288}"/>
    <cellStyle name="Normal 6 6 10 2" xfId="38792" xr:uid="{C0F06A07-7AC9-48B6-A283-90FB45007F36}"/>
    <cellStyle name="Normal 6 6 11" xfId="26201" xr:uid="{00A53835-32C5-4233-9346-277C37A6BB38}"/>
    <cellStyle name="Normal 6 6 2" xfId="1110" xr:uid="{B53507F0-C0BD-46FB-8801-D00196D92046}"/>
    <cellStyle name="Normal 6 6 2 2" xfId="2417" xr:uid="{AC5B2B52-F65F-4686-9EF6-483C048092F0}"/>
    <cellStyle name="Normal 6 6 2 2 2" xfId="5571" xr:uid="{7DFFDA9B-E2AB-4FE1-9B90-8026A880C91B}"/>
    <cellStyle name="Normal 6 6 2 2 2 2" xfId="11864" xr:uid="{073092A5-68AF-46FB-B744-65EC297C669B}"/>
    <cellStyle name="Normal 6 6 2 2 2 2 2" xfId="24546" xr:uid="{C697FE6F-3683-4B05-A31F-C996E860F944}"/>
    <cellStyle name="Normal 6 6 2 2 2 2 2 2" xfId="50038" xr:uid="{0B4294AA-DF85-4B0F-8A83-4D2EEFEE1D94}"/>
    <cellStyle name="Normal 6 6 2 2 2 2 3" xfId="37447" xr:uid="{5D76B923-EA11-43DB-A0B9-C1E4A63EA494}"/>
    <cellStyle name="Normal 6 6 2 2 2 3" xfId="18268" xr:uid="{10BABD0D-D0AC-4CD7-9D64-C40B9CEFCBBD}"/>
    <cellStyle name="Normal 6 6 2 2 2 3 2" xfId="43760" xr:uid="{89AE1AC4-DB8E-41B6-B4EC-C9DD590492D1}"/>
    <cellStyle name="Normal 6 6 2 2 2 4" xfId="31169" xr:uid="{C94FB598-4F70-4058-A609-0F55CEFE4D7D}"/>
    <cellStyle name="Normal 6 6 2 2 3" xfId="8725" xr:uid="{EAC94A4F-E6F3-4D09-924E-DA0C7AAEAF7F}"/>
    <cellStyle name="Normal 6 6 2 2 3 2" xfId="21407" xr:uid="{D5441381-80CB-4B7E-BFA2-46C287E44371}"/>
    <cellStyle name="Normal 6 6 2 2 3 2 2" xfId="46899" xr:uid="{90C34921-A17D-4B7C-9DFF-9BE67BB94B14}"/>
    <cellStyle name="Normal 6 6 2 2 3 3" xfId="34308" xr:uid="{4C8A61A5-FFC0-419E-9E71-F907BEBDE427}"/>
    <cellStyle name="Normal 6 6 2 2 4" xfId="15129" xr:uid="{2FB796BF-E1FF-4D89-B698-68DBBCB352B4}"/>
    <cellStyle name="Normal 6 6 2 2 4 2" xfId="40621" xr:uid="{BEDC5EB0-EFD7-47CC-B9A3-DAC254EE2333}"/>
    <cellStyle name="Normal 6 6 2 2 5" xfId="28030" xr:uid="{C0FD6615-6F74-4FCB-BBD7-44959702EE41}"/>
    <cellStyle name="Normal 6 6 2 3" xfId="1634" xr:uid="{C49C21BB-E8CC-49C3-9F51-683572FBA4BA}"/>
    <cellStyle name="Normal 6 6 2 3 2" xfId="4788" xr:uid="{648F8371-1D2B-4A32-B4EB-062807D62086}"/>
    <cellStyle name="Normal 6 6 2 3 2 2" xfId="11081" xr:uid="{83A76D76-F48A-47BB-B902-371B32FF039F}"/>
    <cellStyle name="Normal 6 6 2 3 2 2 2" xfId="23763" xr:uid="{328E80B9-BC88-470C-8121-BD3E16569E50}"/>
    <cellStyle name="Normal 6 6 2 3 2 2 2 2" xfId="49255" xr:uid="{A82C6675-0FEA-479F-AE27-C7B08B21B505}"/>
    <cellStyle name="Normal 6 6 2 3 2 2 3" xfId="36664" xr:uid="{1A25254E-7837-4D80-ABBB-A2CB36A26B06}"/>
    <cellStyle name="Normal 6 6 2 3 2 3" xfId="17485" xr:uid="{168C539D-F6F8-41A9-9BE5-19BDA7C8151C}"/>
    <cellStyle name="Normal 6 6 2 3 2 3 2" xfId="42977" xr:uid="{6A02BECE-C7AB-4C9C-A004-5379CC24C3FF}"/>
    <cellStyle name="Normal 6 6 2 3 2 4" xfId="30386" xr:uid="{901F86D2-D8A7-45A4-A75D-86F2B29F8722}"/>
    <cellStyle name="Normal 6 6 2 3 3" xfId="7942" xr:uid="{8535C505-AF93-48ED-90F3-1BECBC6E4286}"/>
    <cellStyle name="Normal 6 6 2 3 3 2" xfId="20624" xr:uid="{F6EBFE09-2AEC-4209-9F7D-7C1317F3439F}"/>
    <cellStyle name="Normal 6 6 2 3 3 2 2" xfId="46116" xr:uid="{2EE64688-FD92-41D4-8C33-723D4E307F0D}"/>
    <cellStyle name="Normal 6 6 2 3 3 3" xfId="33525" xr:uid="{F84C892D-6BE2-4371-ADC5-FFE6AB0314EB}"/>
    <cellStyle name="Normal 6 6 2 3 4" xfId="14346" xr:uid="{ECADB23F-2D89-43E5-B846-F3C19D48D54C}"/>
    <cellStyle name="Normal 6 6 2 3 4 2" xfId="39838" xr:uid="{3416EEB3-F9DC-4C5F-AC84-69BC25F3D940}"/>
    <cellStyle name="Normal 6 6 2 3 5" xfId="27247" xr:uid="{FC36C374-7B01-4334-BB02-908135A41061}"/>
    <cellStyle name="Normal 6 6 2 4" xfId="2941" xr:uid="{98FA7932-91BB-4579-AC4A-EB251ECA0250}"/>
    <cellStyle name="Normal 6 6 2 4 2" xfId="6095" xr:uid="{D7395BBE-1A03-4B3F-916E-CECB7ABF73C5}"/>
    <cellStyle name="Normal 6 6 2 4 2 2" xfId="12388" xr:uid="{C2B63B23-674A-47E3-AAB6-96DF782039C2}"/>
    <cellStyle name="Normal 6 6 2 4 2 2 2" xfId="25070" xr:uid="{A0446004-3D37-4537-88B1-1DD04C46EAB1}"/>
    <cellStyle name="Normal 6 6 2 4 2 2 2 2" xfId="50562" xr:uid="{DED5EF6B-0C86-4064-8126-B58CC97D6129}"/>
    <cellStyle name="Normal 6 6 2 4 2 2 3" xfId="37971" xr:uid="{D4A9C2C2-186B-4CFB-9D65-E1130EE51BEF}"/>
    <cellStyle name="Normal 6 6 2 4 2 3" xfId="18792" xr:uid="{01311551-F838-4E7A-B36B-1E5612C31726}"/>
    <cellStyle name="Normal 6 6 2 4 2 3 2" xfId="44284" xr:uid="{F8BD3A45-97AE-4781-A278-305BB47B1097}"/>
    <cellStyle name="Normal 6 6 2 4 2 4" xfId="31693" xr:uid="{F73C8773-6816-43A4-A174-E1A8E4AD78F4}"/>
    <cellStyle name="Normal 6 6 2 4 3" xfId="9249" xr:uid="{B87697B2-6811-4B37-AB81-B142A5EBA082}"/>
    <cellStyle name="Normal 6 6 2 4 3 2" xfId="21931" xr:uid="{D6D69C8C-E97B-4989-AC24-1824297E63C6}"/>
    <cellStyle name="Normal 6 6 2 4 3 2 2" xfId="47423" xr:uid="{4AB5C3A8-5684-4DCD-AD00-E14C989177A4}"/>
    <cellStyle name="Normal 6 6 2 4 3 3" xfId="34832" xr:uid="{DBCD08CE-6015-4986-968A-01CF17B40BE8}"/>
    <cellStyle name="Normal 6 6 2 4 4" xfId="15653" xr:uid="{37BD6551-DFE2-4024-B482-B7C8DAFE1C49}"/>
    <cellStyle name="Normal 6 6 2 4 4 2" xfId="41145" xr:uid="{29079393-B172-40B4-9300-037F57CD6595}"/>
    <cellStyle name="Normal 6 6 2 4 5" xfId="28554" xr:uid="{595CF3AA-330C-4C8B-BD7F-520DA481A12D}"/>
    <cellStyle name="Normal 6 6 2 5" xfId="3464" xr:uid="{A34C7B9C-8418-4D9B-BBF5-92645B7AB0D5}"/>
    <cellStyle name="Normal 6 6 2 5 2" xfId="6618" xr:uid="{CDE2EC78-7935-483F-8992-FF2E4018C226}"/>
    <cellStyle name="Normal 6 6 2 5 2 2" xfId="12911" xr:uid="{4E2565E3-B7F6-4FCB-9B24-6D84910C95E6}"/>
    <cellStyle name="Normal 6 6 2 5 2 2 2" xfId="25593" xr:uid="{4BD20235-67F7-4DF7-B0B6-0A040426797E}"/>
    <cellStyle name="Normal 6 6 2 5 2 2 2 2" xfId="51085" xr:uid="{019C299F-AB0E-473B-BE4E-B93E51DE5DB4}"/>
    <cellStyle name="Normal 6 6 2 5 2 2 3" xfId="38494" xr:uid="{DDD6C414-3B69-48B1-97C8-FB5F804E74DA}"/>
    <cellStyle name="Normal 6 6 2 5 2 3" xfId="19315" xr:uid="{D978670F-DFD0-4460-9CB2-6315398EBBBC}"/>
    <cellStyle name="Normal 6 6 2 5 2 3 2" xfId="44807" xr:uid="{E9AD08EC-9733-4B53-A85A-992F149D65FF}"/>
    <cellStyle name="Normal 6 6 2 5 2 4" xfId="32216" xr:uid="{06303EFB-0912-406D-AD88-B16429FBFB3F}"/>
    <cellStyle name="Normal 6 6 2 5 3" xfId="9772" xr:uid="{4F652CC4-3C5A-45EF-91A1-C9B4EA290EE7}"/>
    <cellStyle name="Normal 6 6 2 5 3 2" xfId="22454" xr:uid="{73532CD5-D212-4D39-A4B5-2DECD742DC5E}"/>
    <cellStyle name="Normal 6 6 2 5 3 2 2" xfId="47946" xr:uid="{9DDC4971-DB17-49E5-A252-878B578FCF18}"/>
    <cellStyle name="Normal 6 6 2 5 3 3" xfId="35355" xr:uid="{0E2D4421-5F1C-459E-B750-0D0BBAD0AE4E}"/>
    <cellStyle name="Normal 6 6 2 5 4" xfId="16176" xr:uid="{AB21E0F5-6480-474A-BCC0-1B3A5137DE7B}"/>
    <cellStyle name="Normal 6 6 2 5 4 2" xfId="41668" xr:uid="{234C5F10-B10A-49AD-AD03-D55D495AC062}"/>
    <cellStyle name="Normal 6 6 2 5 5" xfId="29077" xr:uid="{78E907EC-79DE-4E5D-8629-0E34B1DEAD1B}"/>
    <cellStyle name="Normal 6 6 2 6" xfId="4264" xr:uid="{D1302B07-A129-4073-B1CC-5FBC7991E1BA}"/>
    <cellStyle name="Normal 6 6 2 6 2" xfId="10557" xr:uid="{4DB1E2A5-7DD9-423E-AA6E-E5433377F7F7}"/>
    <cellStyle name="Normal 6 6 2 6 2 2" xfId="23239" xr:uid="{1FBF1C26-A4D1-4EE2-8CF2-8AE82CCA63CF}"/>
    <cellStyle name="Normal 6 6 2 6 2 2 2" xfId="48731" xr:uid="{43F87C6B-9776-4E71-ADE7-DAA3ABCE9271}"/>
    <cellStyle name="Normal 6 6 2 6 2 3" xfId="36140" xr:uid="{4136B7A4-184E-4456-AFF6-A4E2BC05AEA1}"/>
    <cellStyle name="Normal 6 6 2 6 3" xfId="16961" xr:uid="{C0976D6A-21AA-4326-AD50-6024B8DCF4F4}"/>
    <cellStyle name="Normal 6 6 2 6 3 2" xfId="42453" xr:uid="{B6D932FB-D94B-471F-A203-ABCB57964E33}"/>
    <cellStyle name="Normal 6 6 2 6 4" xfId="29862" xr:uid="{4864BB00-16DD-4BC1-A9FB-2501FAE67BE1}"/>
    <cellStyle name="Normal 6 6 2 7" xfId="7418" xr:uid="{BB77B3D0-BE0B-4835-BF26-72E7BD1C929D}"/>
    <cellStyle name="Normal 6 6 2 7 2" xfId="20100" xr:uid="{A674B5F6-9540-4E8A-80BA-F442B93EABD5}"/>
    <cellStyle name="Normal 6 6 2 7 2 2" xfId="45592" xr:uid="{657AC2D9-FB47-47FE-9263-7E5B86E4AAB1}"/>
    <cellStyle name="Normal 6 6 2 7 3" xfId="33001" xr:uid="{FC301494-E8DD-45EF-8DFE-8D8B0D0DEFEC}"/>
    <cellStyle name="Normal 6 6 2 8" xfId="13822" xr:uid="{4992E282-0BC1-42AE-AA5A-118464A3BB92}"/>
    <cellStyle name="Normal 6 6 2 8 2" xfId="39314" xr:uid="{94D17243-F3D2-4E96-BB3A-870112DB9A08}"/>
    <cellStyle name="Normal 6 6 2 9" xfId="26723" xr:uid="{732E76DE-7DB9-4607-A9E2-3DF9AEB731EA}"/>
    <cellStyle name="Normal 6 6 3" xfId="850" xr:uid="{BD5B442F-2DCA-4C06-86ED-58F0106515AA}"/>
    <cellStyle name="Normal 6 6 3 2" xfId="2157" xr:uid="{263E4621-86FF-4876-BDDD-32ED078B0D97}"/>
    <cellStyle name="Normal 6 6 3 2 2" xfId="5311" xr:uid="{BEC2488B-267D-49A9-9BA3-5884123E4DD5}"/>
    <cellStyle name="Normal 6 6 3 2 2 2" xfId="11604" xr:uid="{A03AE1AF-3B96-41B4-852F-8AD447472EEE}"/>
    <cellStyle name="Normal 6 6 3 2 2 2 2" xfId="24286" xr:uid="{0A74BEA0-B6E7-48D4-BE1C-9A5AA5FE50A8}"/>
    <cellStyle name="Normal 6 6 3 2 2 2 2 2" xfId="49778" xr:uid="{CC82DD1B-F123-4C15-89E7-8B3B09FDAB54}"/>
    <cellStyle name="Normal 6 6 3 2 2 2 3" xfId="37187" xr:uid="{954DA1F7-59A3-4966-A91B-1425F0EE94D9}"/>
    <cellStyle name="Normal 6 6 3 2 2 3" xfId="18008" xr:uid="{51212D01-709A-4073-8B89-B4A9DA4426E9}"/>
    <cellStyle name="Normal 6 6 3 2 2 3 2" xfId="43500" xr:uid="{290F10E1-D652-4825-8560-BF8789618ABC}"/>
    <cellStyle name="Normal 6 6 3 2 2 4" xfId="30909" xr:uid="{18052F44-07D6-46AB-A21E-9797E1C98200}"/>
    <cellStyle name="Normal 6 6 3 2 3" xfId="8465" xr:uid="{9DF72916-CEB4-4FFA-8BE5-AAF05BEA47E8}"/>
    <cellStyle name="Normal 6 6 3 2 3 2" xfId="21147" xr:uid="{5249B878-2C27-4F1A-9622-6BB5B280389E}"/>
    <cellStyle name="Normal 6 6 3 2 3 2 2" xfId="46639" xr:uid="{6D2CA3C0-1B6D-4380-9149-4BA2558CF234}"/>
    <cellStyle name="Normal 6 6 3 2 3 3" xfId="34048" xr:uid="{2D77EA75-9D36-4A21-8587-85E4B67F3624}"/>
    <cellStyle name="Normal 6 6 3 2 4" xfId="14869" xr:uid="{71B509D0-B1DE-4785-8860-DB70B8EDE837}"/>
    <cellStyle name="Normal 6 6 3 2 4 2" xfId="40361" xr:uid="{8F365021-84AD-4360-8602-58EAEF04975C}"/>
    <cellStyle name="Normal 6 6 3 2 5" xfId="27770" xr:uid="{6F8497F0-B5AF-4B06-8FEC-23ECE895F5BD}"/>
    <cellStyle name="Normal 6 6 3 3" xfId="4004" xr:uid="{F3E959F3-4437-4039-8F6B-1605A7779A46}"/>
    <cellStyle name="Normal 6 6 3 3 2" xfId="10297" xr:uid="{DC24C52D-D574-4573-B717-C6F0B37100AE}"/>
    <cellStyle name="Normal 6 6 3 3 2 2" xfId="22979" xr:uid="{D98143C1-4FCB-4B57-9B62-5CFF10313AAE}"/>
    <cellStyle name="Normal 6 6 3 3 2 2 2" xfId="48471" xr:uid="{78542216-53CB-403D-A9A0-CBF782B018D5}"/>
    <cellStyle name="Normal 6 6 3 3 2 3" xfId="35880" xr:uid="{2C94B1C4-1B03-4AB5-B052-C457F95C2C1E}"/>
    <cellStyle name="Normal 6 6 3 3 3" xfId="16701" xr:uid="{194DF2BD-C8F4-4EEF-98AB-2BDFDE3097A6}"/>
    <cellStyle name="Normal 6 6 3 3 3 2" xfId="42193" xr:uid="{E7F9B2FE-5E4E-4B82-9310-0745ED0E94B4}"/>
    <cellStyle name="Normal 6 6 3 3 4" xfId="29602" xr:uid="{E318B903-0250-42DC-AF38-A9BA9F52ECA8}"/>
    <cellStyle name="Normal 6 6 3 4" xfId="7158" xr:uid="{201235E5-A656-4735-91E7-138394E6F3A4}"/>
    <cellStyle name="Normal 6 6 3 4 2" xfId="19840" xr:uid="{3E86FCC0-6EF5-40E1-BFA5-375DB7DC5D7E}"/>
    <cellStyle name="Normal 6 6 3 4 2 2" xfId="45332" xr:uid="{5E09D70E-21C1-4229-B6DF-57939B47D5E2}"/>
    <cellStyle name="Normal 6 6 3 4 3" xfId="32741" xr:uid="{FC530BCC-AB88-46DB-9CD7-CA26E6B41F02}"/>
    <cellStyle name="Normal 6 6 3 5" xfId="13562" xr:uid="{26A5286D-0C72-4C03-BDFE-B1F634B17B46}"/>
    <cellStyle name="Normal 6 6 3 5 2" xfId="39054" xr:uid="{4B5AA35E-7A4C-4C0F-82EF-E5E9076A0EE1}"/>
    <cellStyle name="Normal 6 6 3 6" xfId="26463" xr:uid="{6D26E631-C8CD-424A-ABD4-ACE836BFE13A}"/>
    <cellStyle name="Normal 6 6 4" xfId="1895" xr:uid="{3246E7FA-A4DF-472E-828C-D09348DE28CA}"/>
    <cellStyle name="Normal 6 6 4 2" xfId="5049" xr:uid="{0FF0ED75-3934-44F8-AE08-5550BFB0CC11}"/>
    <cellStyle name="Normal 6 6 4 2 2" xfId="11342" xr:uid="{8B078ED5-3AD5-47FE-A515-CD08EDD55C6E}"/>
    <cellStyle name="Normal 6 6 4 2 2 2" xfId="24024" xr:uid="{B6DF216C-4567-4843-A1ED-86CBED80AEFB}"/>
    <cellStyle name="Normal 6 6 4 2 2 2 2" xfId="49516" xr:uid="{5266B8E9-2705-44FF-B87D-3FE9AD98750E}"/>
    <cellStyle name="Normal 6 6 4 2 2 3" xfId="36925" xr:uid="{05C1876E-FAFA-4663-8370-6B2661036032}"/>
    <cellStyle name="Normal 6 6 4 2 3" xfId="17746" xr:uid="{A7696344-6D69-4E4F-9799-903154789376}"/>
    <cellStyle name="Normal 6 6 4 2 3 2" xfId="43238" xr:uid="{2B9E7746-4DEB-4425-95F0-1C92B6FB8076}"/>
    <cellStyle name="Normal 6 6 4 2 4" xfId="30647" xr:uid="{05E86E56-CDDB-4732-8027-0D7BDB14EAC1}"/>
    <cellStyle name="Normal 6 6 4 3" xfId="8203" xr:uid="{0D3AB919-A97A-4279-9091-9C357B46E2B7}"/>
    <cellStyle name="Normal 6 6 4 3 2" xfId="20885" xr:uid="{0A969C9A-4437-4DB7-BA92-CBD19E6A82B0}"/>
    <cellStyle name="Normal 6 6 4 3 2 2" xfId="46377" xr:uid="{364C2066-D71A-4E05-90EE-1030E0D0D7DC}"/>
    <cellStyle name="Normal 6 6 4 3 3" xfId="33786" xr:uid="{45EDED85-AB3B-442A-BB39-C002AD3264B3}"/>
    <cellStyle name="Normal 6 6 4 4" xfId="14607" xr:uid="{D827F7DD-0CB7-45B6-B094-D1550CBCBB12}"/>
    <cellStyle name="Normal 6 6 4 4 2" xfId="40099" xr:uid="{923C9E08-9BB7-4516-9987-8E23597C70E3}"/>
    <cellStyle name="Normal 6 6 4 5" xfId="27508" xr:uid="{B91E920F-E77A-441E-8C86-D7A15E892E8E}"/>
    <cellStyle name="Normal 6 6 5" xfId="1373" xr:uid="{E4A684CB-02E4-4387-BDF6-3F020A86F8D1}"/>
    <cellStyle name="Normal 6 6 5 2" xfId="4527" xr:uid="{9AD977AE-16E6-4881-B6B9-33BEABCE17C3}"/>
    <cellStyle name="Normal 6 6 5 2 2" xfId="10820" xr:uid="{B84BACFC-F568-4661-9405-699DBC34B35F}"/>
    <cellStyle name="Normal 6 6 5 2 2 2" xfId="23502" xr:uid="{DA64E146-E403-4310-821B-2232C0F45408}"/>
    <cellStyle name="Normal 6 6 5 2 2 2 2" xfId="48994" xr:uid="{3CBC5048-C078-4031-815C-012D6F27C45A}"/>
    <cellStyle name="Normal 6 6 5 2 2 3" xfId="36403" xr:uid="{84149B1E-2EAA-429F-976D-415B5295142A}"/>
    <cellStyle name="Normal 6 6 5 2 3" xfId="17224" xr:uid="{7E152541-3852-4D4A-A4C0-0E04E835C396}"/>
    <cellStyle name="Normal 6 6 5 2 3 2" xfId="42716" xr:uid="{045CA4D1-F705-428C-BFD5-C4470A27DA35}"/>
    <cellStyle name="Normal 6 6 5 2 4" xfId="30125" xr:uid="{4860AA88-DB44-495F-BCD2-EC8582171A1D}"/>
    <cellStyle name="Normal 6 6 5 3" xfId="7681" xr:uid="{25C769E1-64C5-484C-B1D6-457FD5CB74F2}"/>
    <cellStyle name="Normal 6 6 5 3 2" xfId="20363" xr:uid="{14DD0A22-F924-47A6-A465-3C9ED8BF8475}"/>
    <cellStyle name="Normal 6 6 5 3 2 2" xfId="45855" xr:uid="{FC6A94ED-EC20-4228-B8EB-7704FAB15E0B}"/>
    <cellStyle name="Normal 6 6 5 3 3" xfId="33264" xr:uid="{BB2610E5-FF86-45DF-B227-33A92FF7D32E}"/>
    <cellStyle name="Normal 6 6 5 4" xfId="14085" xr:uid="{CDF90686-C64E-434D-A1C9-4679518D6232}"/>
    <cellStyle name="Normal 6 6 5 4 2" xfId="39577" xr:uid="{322E5B55-F1B4-429F-9362-BA2397118D51}"/>
    <cellStyle name="Normal 6 6 5 5" xfId="26986" xr:uid="{8F2249A4-BE63-4038-9C23-5D7939E2847C}"/>
    <cellStyle name="Normal 6 6 6" xfId="2680" xr:uid="{175916D8-4E02-45F8-9CBE-BC84F184636E}"/>
    <cellStyle name="Normal 6 6 6 2" xfId="5834" xr:uid="{E4E89E7F-A656-4128-87E0-0E6E8B34710C}"/>
    <cellStyle name="Normal 6 6 6 2 2" xfId="12127" xr:uid="{27533475-5EBC-4CED-BD48-5C272522E892}"/>
    <cellStyle name="Normal 6 6 6 2 2 2" xfId="24809" xr:uid="{E53AEC92-02A2-44F1-A1C5-E7D84BC9E06A}"/>
    <cellStyle name="Normal 6 6 6 2 2 2 2" xfId="50301" xr:uid="{DA6B505A-F834-4C1B-BF96-DDBC605D2218}"/>
    <cellStyle name="Normal 6 6 6 2 2 3" xfId="37710" xr:uid="{B9EA3FD4-BF8D-4677-8637-E13204AFC0C6}"/>
    <cellStyle name="Normal 6 6 6 2 3" xfId="18531" xr:uid="{C8AD4A1D-74A1-4EA2-8139-A3C74D1A8755}"/>
    <cellStyle name="Normal 6 6 6 2 3 2" xfId="44023" xr:uid="{368E6E08-2380-4A07-BBB4-12AF8F917A84}"/>
    <cellStyle name="Normal 6 6 6 2 4" xfId="31432" xr:uid="{E4B56AD5-71AA-4B3C-AC7B-7B45171942A2}"/>
    <cellStyle name="Normal 6 6 6 3" xfId="8988" xr:uid="{05173355-6E84-458E-97BE-F9FFE2971E41}"/>
    <cellStyle name="Normal 6 6 6 3 2" xfId="21670" xr:uid="{EA45E027-5513-43E4-841D-1A70124CF813}"/>
    <cellStyle name="Normal 6 6 6 3 2 2" xfId="47162" xr:uid="{759AD45F-F0B2-4954-8077-2D35AE8AF10C}"/>
    <cellStyle name="Normal 6 6 6 3 3" xfId="34571" xr:uid="{562F686D-AAC5-41F9-9533-A354939AD6B9}"/>
    <cellStyle name="Normal 6 6 6 4" xfId="15392" xr:uid="{2F5AD11C-4253-46D9-8430-AA125070A04A}"/>
    <cellStyle name="Normal 6 6 6 4 2" xfId="40884" xr:uid="{AB8A30BC-1481-4A52-B78D-C792C124D58E}"/>
    <cellStyle name="Normal 6 6 6 5" xfId="28293" xr:uid="{B61E1A91-9F14-442B-B021-B7F70FE422A3}"/>
    <cellStyle name="Normal 6 6 7" xfId="3203" xr:uid="{FB549EAA-FFAC-4CE5-ABED-17826B3D47BB}"/>
    <cellStyle name="Normal 6 6 7 2" xfId="6357" xr:uid="{D1E7D3FB-1F03-4A93-8449-67FA834E17A8}"/>
    <cellStyle name="Normal 6 6 7 2 2" xfId="12650" xr:uid="{DA064429-D2C5-4C61-AB57-0EB6449F7DED}"/>
    <cellStyle name="Normal 6 6 7 2 2 2" xfId="25332" xr:uid="{C99AC351-2F05-42EC-B699-82F6DBB4C16F}"/>
    <cellStyle name="Normal 6 6 7 2 2 2 2" xfId="50824" xr:uid="{B41C4E80-B07D-4850-A978-1E84662A67C5}"/>
    <cellStyle name="Normal 6 6 7 2 2 3" xfId="38233" xr:uid="{3313AA68-B181-4CB3-BB94-E4341A8865C3}"/>
    <cellStyle name="Normal 6 6 7 2 3" xfId="19054" xr:uid="{CF9B1555-5941-4432-AC12-17016842AF7E}"/>
    <cellStyle name="Normal 6 6 7 2 3 2" xfId="44546" xr:uid="{138A990A-1B44-423B-BAE2-245C2D43AA0F}"/>
    <cellStyle name="Normal 6 6 7 2 4" xfId="31955" xr:uid="{FACD48D6-BFB5-41B4-96A2-B9BB1AA49DF1}"/>
    <cellStyle name="Normal 6 6 7 3" xfId="9511" xr:uid="{41593FFA-86DD-49E8-AA23-5087CC257819}"/>
    <cellStyle name="Normal 6 6 7 3 2" xfId="22193" xr:uid="{9B4B933E-EF35-4017-981C-1E5E9AF9C191}"/>
    <cellStyle name="Normal 6 6 7 3 2 2" xfId="47685" xr:uid="{AE322D2A-78BB-4D65-BEF1-2EA1BD64FE26}"/>
    <cellStyle name="Normal 6 6 7 3 3" xfId="35094" xr:uid="{EDA1CE3E-0840-460F-AE94-E2453F50ED20}"/>
    <cellStyle name="Normal 6 6 7 4" xfId="15915" xr:uid="{97E321F8-BAED-4736-A18C-054D48CCC408}"/>
    <cellStyle name="Normal 6 6 7 4 2" xfId="41407" xr:uid="{DC77E0CE-4C60-40F2-B131-6D449683E12E}"/>
    <cellStyle name="Normal 6 6 7 5" xfId="28816" xr:uid="{DEEA208A-FC30-4348-B6E9-CFAC36A0F9FD}"/>
    <cellStyle name="Normal 6 6 8" xfId="3742" xr:uid="{C9CF7052-F450-4CBE-ADFA-B6B4720352C5}"/>
    <cellStyle name="Normal 6 6 8 2" xfId="10035" xr:uid="{482AD59A-7CAD-4913-BE75-5403BED888C8}"/>
    <cellStyle name="Normal 6 6 8 2 2" xfId="22717" xr:uid="{422C8FA2-6112-40A1-9D52-46D437083EBE}"/>
    <cellStyle name="Normal 6 6 8 2 2 2" xfId="48209" xr:uid="{3C45812A-8ADD-4DE5-BADB-0C587602B516}"/>
    <cellStyle name="Normal 6 6 8 2 3" xfId="35618" xr:uid="{E0CAE677-EDAD-4CAC-8613-FD38382A216A}"/>
    <cellStyle name="Normal 6 6 8 3" xfId="16439" xr:uid="{F190ACC4-19A8-4064-B9DE-92C7AD8E0402}"/>
    <cellStyle name="Normal 6 6 8 3 2" xfId="41931" xr:uid="{0B891668-72A4-4D98-97EA-2938938B8F9C}"/>
    <cellStyle name="Normal 6 6 8 4" xfId="29340" xr:uid="{A61E720E-DE0D-46AA-ACA7-7989EB01936E}"/>
    <cellStyle name="Normal 6 6 9" xfId="6896" xr:uid="{88202D31-F129-4402-B250-3E0BDF54786A}"/>
    <cellStyle name="Normal 6 6 9 2" xfId="19578" xr:uid="{F0E4B7B7-C367-4B7C-9DFB-B6ED1FCC6331}"/>
    <cellStyle name="Normal 6 6 9 2 2" xfId="45070" xr:uid="{F4046F5D-12CE-40AC-87B1-566E32DFC4C1}"/>
    <cellStyle name="Normal 6 6 9 3" xfId="32479" xr:uid="{4C1F2E13-1DBC-4C67-BFA1-4CCB395D84EE}"/>
    <cellStyle name="Normal 6 7" xfId="515" xr:uid="{4B5A1F07-465C-4677-B880-93897F68813E}"/>
    <cellStyle name="Normal 6 7 10" xfId="13242" xr:uid="{AB7AF03F-6828-4A5A-8FB8-C4311493AF1A}"/>
    <cellStyle name="Normal 6 7 10 2" xfId="38734" xr:uid="{B0E3B529-EA1C-4047-B09E-8F34EAD784CF}"/>
    <cellStyle name="Normal 6 7 11" xfId="26143" xr:uid="{2C226076-1502-4DB0-8154-E2DDFF6DCE3C}"/>
    <cellStyle name="Normal 6 7 2" xfId="1052" xr:uid="{879FF99B-1277-4F32-AA2B-2986C0C23CE8}"/>
    <cellStyle name="Normal 6 7 2 2" xfId="2359" xr:uid="{8BEFBA3B-6C59-40D1-B3CE-468BF46257D2}"/>
    <cellStyle name="Normal 6 7 2 2 2" xfId="5513" xr:uid="{8465131B-A2DA-4DBB-AF10-EAC5558E4569}"/>
    <cellStyle name="Normal 6 7 2 2 2 2" xfId="11806" xr:uid="{10AFEC4A-C76C-4DBF-BAF3-DA60D0EDF6FA}"/>
    <cellStyle name="Normal 6 7 2 2 2 2 2" xfId="24488" xr:uid="{E6DFDF21-D8B6-436D-ADF0-6B9AF406ADC7}"/>
    <cellStyle name="Normal 6 7 2 2 2 2 2 2" xfId="49980" xr:uid="{3739EABB-3366-41E8-900F-CC0414DBB53E}"/>
    <cellStyle name="Normal 6 7 2 2 2 2 3" xfId="37389" xr:uid="{2EF449F0-795D-4C44-A858-0D34530E8E15}"/>
    <cellStyle name="Normal 6 7 2 2 2 3" xfId="18210" xr:uid="{77D5A8DE-25C3-45E7-A5E4-389C74C284DB}"/>
    <cellStyle name="Normal 6 7 2 2 2 3 2" xfId="43702" xr:uid="{A722B61E-4E97-4BC5-9816-83FADC76876C}"/>
    <cellStyle name="Normal 6 7 2 2 2 4" xfId="31111" xr:uid="{8E4907A5-FEC9-4FBF-A720-9AE4606592F7}"/>
    <cellStyle name="Normal 6 7 2 2 3" xfId="8667" xr:uid="{BAEBBE25-2530-42FF-B901-FF3D6F923B32}"/>
    <cellStyle name="Normal 6 7 2 2 3 2" xfId="21349" xr:uid="{801A965C-7A2F-41A5-9772-6F5BD3BE4D67}"/>
    <cellStyle name="Normal 6 7 2 2 3 2 2" xfId="46841" xr:uid="{9398745B-7F4B-4A9E-8C55-B3BC0EF5EFF0}"/>
    <cellStyle name="Normal 6 7 2 2 3 3" xfId="34250" xr:uid="{C8167700-0B77-4DCE-A11A-677453F1ABBD}"/>
    <cellStyle name="Normal 6 7 2 2 4" xfId="15071" xr:uid="{FDFC2935-5B45-42DB-8E45-9F913CDC4D80}"/>
    <cellStyle name="Normal 6 7 2 2 4 2" xfId="40563" xr:uid="{86838717-61BC-4D7E-B80E-FA1FC01225B4}"/>
    <cellStyle name="Normal 6 7 2 2 5" xfId="27972" xr:uid="{8D58483B-1770-4EF0-91F1-25F30F9B3E50}"/>
    <cellStyle name="Normal 6 7 2 3" xfId="1576" xr:uid="{5C749713-57EE-4D5F-848D-C432BEC0E262}"/>
    <cellStyle name="Normal 6 7 2 3 2" xfId="4730" xr:uid="{DE516482-1B73-4CC5-9124-FBA0CEB3212A}"/>
    <cellStyle name="Normal 6 7 2 3 2 2" xfId="11023" xr:uid="{12F3CB8A-FF66-407B-AFB0-4AD2BD7223BB}"/>
    <cellStyle name="Normal 6 7 2 3 2 2 2" xfId="23705" xr:uid="{5E8844DE-B84B-4786-A684-A1A1F742AF63}"/>
    <cellStyle name="Normal 6 7 2 3 2 2 2 2" xfId="49197" xr:uid="{7E3AC1A9-87BE-4017-95CC-99CCCE23CD37}"/>
    <cellStyle name="Normal 6 7 2 3 2 2 3" xfId="36606" xr:uid="{F69C13F2-7CD4-4B3D-B813-F0AB22FF41CB}"/>
    <cellStyle name="Normal 6 7 2 3 2 3" xfId="17427" xr:uid="{07884A65-8F3E-4604-A92C-7CF973CC77D4}"/>
    <cellStyle name="Normal 6 7 2 3 2 3 2" xfId="42919" xr:uid="{E8AE43FF-DE8B-491A-890D-5BBDA092863C}"/>
    <cellStyle name="Normal 6 7 2 3 2 4" xfId="30328" xr:uid="{F1361D75-4E32-4859-8EC5-4D33D14021CF}"/>
    <cellStyle name="Normal 6 7 2 3 3" xfId="7884" xr:uid="{8618CE26-085D-46E5-89DA-347EF8B4E648}"/>
    <cellStyle name="Normal 6 7 2 3 3 2" xfId="20566" xr:uid="{20EC3DAB-F6A8-4121-ACD3-946CDB894572}"/>
    <cellStyle name="Normal 6 7 2 3 3 2 2" xfId="46058" xr:uid="{1C9E62BB-3E35-4C81-AC0F-33C2B54A5A4E}"/>
    <cellStyle name="Normal 6 7 2 3 3 3" xfId="33467" xr:uid="{2375272A-8CD1-46C4-BB5C-BA4FA5ED6D03}"/>
    <cellStyle name="Normal 6 7 2 3 4" xfId="14288" xr:uid="{BE02AE3D-55D8-47A3-9F98-7F6B63A6E4D9}"/>
    <cellStyle name="Normal 6 7 2 3 4 2" xfId="39780" xr:uid="{DC51C7DB-5C78-4A4D-AFC9-033A5A29B641}"/>
    <cellStyle name="Normal 6 7 2 3 5" xfId="27189" xr:uid="{BCF48F16-FF3A-412F-A302-FAFCFE820CE1}"/>
    <cellStyle name="Normal 6 7 2 4" xfId="2883" xr:uid="{8C0A5D54-3053-4358-9C81-0C6ACF629477}"/>
    <cellStyle name="Normal 6 7 2 4 2" xfId="6037" xr:uid="{0581BB11-57DA-46BF-9C15-505269D9C64D}"/>
    <cellStyle name="Normal 6 7 2 4 2 2" xfId="12330" xr:uid="{62D928D1-6FB1-49FC-9D4C-5B20AD0915A5}"/>
    <cellStyle name="Normal 6 7 2 4 2 2 2" xfId="25012" xr:uid="{E0477208-F42F-44FD-B41B-FC7C29CD5020}"/>
    <cellStyle name="Normal 6 7 2 4 2 2 2 2" xfId="50504" xr:uid="{38CF6BAB-330C-42EE-B395-BCC7C68F789D}"/>
    <cellStyle name="Normal 6 7 2 4 2 2 3" xfId="37913" xr:uid="{BD6F2B4E-56B0-4DEE-9087-0109D0BCA8AE}"/>
    <cellStyle name="Normal 6 7 2 4 2 3" xfId="18734" xr:uid="{11C094BA-A093-4C55-94CF-C405CCF2BD2E}"/>
    <cellStyle name="Normal 6 7 2 4 2 3 2" xfId="44226" xr:uid="{EA9EF3A4-88D1-4B14-BC22-68436C3AEBE3}"/>
    <cellStyle name="Normal 6 7 2 4 2 4" xfId="31635" xr:uid="{7BB828CF-1E15-4A09-9B5C-31BF45AAF5B4}"/>
    <cellStyle name="Normal 6 7 2 4 3" xfId="9191" xr:uid="{FC29E6E1-9E2F-42CD-A9D3-04983AC251B2}"/>
    <cellStyle name="Normal 6 7 2 4 3 2" xfId="21873" xr:uid="{8CB5131E-7DF7-459D-BC67-93B77E8B3C2A}"/>
    <cellStyle name="Normal 6 7 2 4 3 2 2" xfId="47365" xr:uid="{CB52AE84-DC7E-4479-AEC6-274F11E9A02A}"/>
    <cellStyle name="Normal 6 7 2 4 3 3" xfId="34774" xr:uid="{58C47412-1154-4876-BC97-CB27A7A91A3E}"/>
    <cellStyle name="Normal 6 7 2 4 4" xfId="15595" xr:uid="{F617BEDD-3A92-4AFE-98AB-FC7557A5D5E4}"/>
    <cellStyle name="Normal 6 7 2 4 4 2" xfId="41087" xr:uid="{2E4CD464-549F-4873-B841-862BF9261985}"/>
    <cellStyle name="Normal 6 7 2 4 5" xfId="28496" xr:uid="{C8660A0D-9B69-4CA1-A5D9-DAC4E082D4C9}"/>
    <cellStyle name="Normal 6 7 2 5" xfId="3406" xr:uid="{C815BA09-42D7-4B04-8F47-AC70D992259E}"/>
    <cellStyle name="Normal 6 7 2 5 2" xfId="6560" xr:uid="{E1CAD4A8-B75E-494B-87F9-784495F80527}"/>
    <cellStyle name="Normal 6 7 2 5 2 2" xfId="12853" xr:uid="{CCAF4C8C-CF75-4D1E-982C-DC17A5167B77}"/>
    <cellStyle name="Normal 6 7 2 5 2 2 2" xfId="25535" xr:uid="{510AB6F0-6AAE-4F8D-A67D-CB78BCF95254}"/>
    <cellStyle name="Normal 6 7 2 5 2 2 2 2" xfId="51027" xr:uid="{B6B7CA2E-01FF-4A44-B3BE-4BEAE805A7DD}"/>
    <cellStyle name="Normal 6 7 2 5 2 2 3" xfId="38436" xr:uid="{7E279441-A87C-445D-9BFE-03894B796D1C}"/>
    <cellStyle name="Normal 6 7 2 5 2 3" xfId="19257" xr:uid="{2D650110-3566-413A-9401-CCD519129D77}"/>
    <cellStyle name="Normal 6 7 2 5 2 3 2" xfId="44749" xr:uid="{B12CC463-ED69-4560-8E18-A1D0FCB1A865}"/>
    <cellStyle name="Normal 6 7 2 5 2 4" xfId="32158" xr:uid="{FA8FB91E-EB13-4685-81B4-0B9078CD1978}"/>
    <cellStyle name="Normal 6 7 2 5 3" xfId="9714" xr:uid="{9821EBF9-1014-44FA-BC72-27AD88BC8C0C}"/>
    <cellStyle name="Normal 6 7 2 5 3 2" xfId="22396" xr:uid="{E7ADB3E8-B177-4DB9-92E1-E637C3EA5542}"/>
    <cellStyle name="Normal 6 7 2 5 3 2 2" xfId="47888" xr:uid="{AC864FD4-852B-44E6-87F3-55F5D9687E6A}"/>
    <cellStyle name="Normal 6 7 2 5 3 3" xfId="35297" xr:uid="{C2BF1FBB-5F44-4ABF-B7E5-B995F6DB7CCA}"/>
    <cellStyle name="Normal 6 7 2 5 4" xfId="16118" xr:uid="{AC01BB50-7459-45DA-8C5B-6EAFF50E2AC5}"/>
    <cellStyle name="Normal 6 7 2 5 4 2" xfId="41610" xr:uid="{F7F384E5-1088-4D0E-814E-2CCCFECF11D2}"/>
    <cellStyle name="Normal 6 7 2 5 5" xfId="29019" xr:uid="{6309CF8E-D453-4972-B3D5-4D9F224C155D}"/>
    <cellStyle name="Normal 6 7 2 6" xfId="4206" xr:uid="{C2790961-2B55-4A25-A68F-49FEF4E9257C}"/>
    <cellStyle name="Normal 6 7 2 6 2" xfId="10499" xr:uid="{49B53703-4B36-46B2-BA60-F79946A8C0DC}"/>
    <cellStyle name="Normal 6 7 2 6 2 2" xfId="23181" xr:uid="{9CD30BD2-942F-48AF-932A-01CC30041EE9}"/>
    <cellStyle name="Normal 6 7 2 6 2 2 2" xfId="48673" xr:uid="{63D0434E-703F-4621-BD34-827075211FBE}"/>
    <cellStyle name="Normal 6 7 2 6 2 3" xfId="36082" xr:uid="{77628286-D683-4FCC-B099-E0FA1B31D562}"/>
    <cellStyle name="Normal 6 7 2 6 3" xfId="16903" xr:uid="{11B3D043-C24E-440A-89D1-FF202F26751E}"/>
    <cellStyle name="Normal 6 7 2 6 3 2" xfId="42395" xr:uid="{F107EDA4-8C3F-4FD3-A392-684539755D5E}"/>
    <cellStyle name="Normal 6 7 2 6 4" xfId="29804" xr:uid="{CF991FD2-9138-453B-B4A0-A4977F4E685F}"/>
    <cellStyle name="Normal 6 7 2 7" xfId="7360" xr:uid="{35553BE6-47CD-4DD9-8D86-DFABC9B22DFF}"/>
    <cellStyle name="Normal 6 7 2 7 2" xfId="20042" xr:uid="{4C321F6A-FEEE-4AE1-8AE4-F535692B86AF}"/>
    <cellStyle name="Normal 6 7 2 7 2 2" xfId="45534" xr:uid="{F71F6765-FDAF-4790-BAE1-139DD2987CDF}"/>
    <cellStyle name="Normal 6 7 2 7 3" xfId="32943" xr:uid="{24B634F7-55F2-4B73-8DDC-465E972CC4FE}"/>
    <cellStyle name="Normal 6 7 2 8" xfId="13764" xr:uid="{D08E20F9-D7A8-492C-81EB-741FBDAF5DB2}"/>
    <cellStyle name="Normal 6 7 2 8 2" xfId="39256" xr:uid="{930FA13D-59DE-4C75-A431-C846C8AE04EC}"/>
    <cellStyle name="Normal 6 7 2 9" xfId="26665" xr:uid="{97EF1A5C-243D-4764-A99B-E8BA36C3CD75}"/>
    <cellStyle name="Normal 6 7 3" xfId="792" xr:uid="{98532C6F-3598-43A4-AC4E-909D804722FF}"/>
    <cellStyle name="Normal 6 7 3 2" xfId="2099" xr:uid="{D854FBC5-80B1-4903-85A5-B4660CACF4EB}"/>
    <cellStyle name="Normal 6 7 3 2 2" xfId="5253" xr:uid="{AD232B76-68C3-49EA-99AD-E72A414A8CBA}"/>
    <cellStyle name="Normal 6 7 3 2 2 2" xfId="11546" xr:uid="{6BFA2E71-2006-4C9F-A2CD-444DB67139C4}"/>
    <cellStyle name="Normal 6 7 3 2 2 2 2" xfId="24228" xr:uid="{3DC902CF-9568-453C-ABC8-7060861EB78E}"/>
    <cellStyle name="Normal 6 7 3 2 2 2 2 2" xfId="49720" xr:uid="{E95DF76D-0B78-43AF-95B3-3E12BE6AEC02}"/>
    <cellStyle name="Normal 6 7 3 2 2 2 3" xfId="37129" xr:uid="{8A33A2F0-6A96-466F-81F7-1E08B0B2A837}"/>
    <cellStyle name="Normal 6 7 3 2 2 3" xfId="17950" xr:uid="{DDC721A5-A367-4BE3-8C13-2CFBD22800FB}"/>
    <cellStyle name="Normal 6 7 3 2 2 3 2" xfId="43442" xr:uid="{B11DB417-A6C2-4CC7-88B0-FDAC5637D47C}"/>
    <cellStyle name="Normal 6 7 3 2 2 4" xfId="30851" xr:uid="{60DD46AC-BE37-4D1C-81FE-1C6B0498A6A9}"/>
    <cellStyle name="Normal 6 7 3 2 3" xfId="8407" xr:uid="{19D9464C-5D46-40A0-BC02-778860A49D43}"/>
    <cellStyle name="Normal 6 7 3 2 3 2" xfId="21089" xr:uid="{0F636509-0A06-4979-BAF7-5D6A9BC63338}"/>
    <cellStyle name="Normal 6 7 3 2 3 2 2" xfId="46581" xr:uid="{BA9FEE8C-4724-4AA6-A47F-E46599A3A710}"/>
    <cellStyle name="Normal 6 7 3 2 3 3" xfId="33990" xr:uid="{5C1169A6-6905-438A-8011-E84E2ABB1600}"/>
    <cellStyle name="Normal 6 7 3 2 4" xfId="14811" xr:uid="{33695EFC-2D87-4C69-AC07-CCAD004D9632}"/>
    <cellStyle name="Normal 6 7 3 2 4 2" xfId="40303" xr:uid="{CDC13220-BCFE-486A-9981-DCEE9BBD5967}"/>
    <cellStyle name="Normal 6 7 3 2 5" xfId="27712" xr:uid="{8B88C570-182C-4E7B-98BF-06F22B73F5D3}"/>
    <cellStyle name="Normal 6 7 3 3" xfId="3946" xr:uid="{3B5F5AE8-14BF-45F3-8018-40DCDD1371A6}"/>
    <cellStyle name="Normal 6 7 3 3 2" xfId="10239" xr:uid="{1397632D-0AA1-4106-BA07-F8BADB0A35BB}"/>
    <cellStyle name="Normal 6 7 3 3 2 2" xfId="22921" xr:uid="{3499A5C2-668B-4AFF-9B8C-86E5E2E60632}"/>
    <cellStyle name="Normal 6 7 3 3 2 2 2" xfId="48413" xr:uid="{2D87F81D-9C6D-4329-9A00-723F9FC78DCA}"/>
    <cellStyle name="Normal 6 7 3 3 2 3" xfId="35822" xr:uid="{09D2A8D0-E1D6-4C69-B802-89AE5373CF20}"/>
    <cellStyle name="Normal 6 7 3 3 3" xfId="16643" xr:uid="{D3A94814-3452-46D5-B717-4772C0847B5C}"/>
    <cellStyle name="Normal 6 7 3 3 3 2" xfId="42135" xr:uid="{D9C6D71F-0581-4692-8060-DA4BEF7B67D2}"/>
    <cellStyle name="Normal 6 7 3 3 4" xfId="29544" xr:uid="{8A72B68E-6164-4279-B88A-9C5BEA4CB0D2}"/>
    <cellStyle name="Normal 6 7 3 4" xfId="7100" xr:uid="{F57684BC-5CD2-40ED-99C4-2A827D7F57A7}"/>
    <cellStyle name="Normal 6 7 3 4 2" xfId="19782" xr:uid="{47EB6F05-FDBC-43E4-9393-FCC77C9DD43A}"/>
    <cellStyle name="Normal 6 7 3 4 2 2" xfId="45274" xr:uid="{CE355293-51B1-4786-A3B2-BEA17DB8B24D}"/>
    <cellStyle name="Normal 6 7 3 4 3" xfId="32683" xr:uid="{D33635D8-9D30-4F75-AA18-5001B0F24BEF}"/>
    <cellStyle name="Normal 6 7 3 5" xfId="13504" xr:uid="{5CF20FC8-147B-408C-8A33-620129F8BACF}"/>
    <cellStyle name="Normal 6 7 3 5 2" xfId="38996" xr:uid="{207982FD-E0D4-4E13-8750-284DC99EF16B}"/>
    <cellStyle name="Normal 6 7 3 6" xfId="26405" xr:uid="{42FDAFF1-E331-4BF1-810C-01844133BD37}"/>
    <cellStyle name="Normal 6 7 4" xfId="1837" xr:uid="{3C1D3914-0FF2-4BE4-8DD1-B37BAAD14376}"/>
    <cellStyle name="Normal 6 7 4 2" xfId="4991" xr:uid="{53F3E4A8-75BB-4A2D-8580-729C7E87DB80}"/>
    <cellStyle name="Normal 6 7 4 2 2" xfId="11284" xr:uid="{743A36C1-150B-4F5B-A448-59E688D89C4C}"/>
    <cellStyle name="Normal 6 7 4 2 2 2" xfId="23966" xr:uid="{F771E439-A165-471F-8477-036CD7044268}"/>
    <cellStyle name="Normal 6 7 4 2 2 2 2" xfId="49458" xr:uid="{7925D53D-45D8-4B1B-A4CD-05987648B885}"/>
    <cellStyle name="Normal 6 7 4 2 2 3" xfId="36867" xr:uid="{0642ADA2-E75F-4710-B635-8331F71AB83F}"/>
    <cellStyle name="Normal 6 7 4 2 3" xfId="17688" xr:uid="{1C91DB33-9959-4133-A198-808BB59FEB9F}"/>
    <cellStyle name="Normal 6 7 4 2 3 2" xfId="43180" xr:uid="{D53C6787-EC45-4509-8B9A-D8903051A1E1}"/>
    <cellStyle name="Normal 6 7 4 2 4" xfId="30589" xr:uid="{1AD48026-A58A-486C-BEEE-402507C90C51}"/>
    <cellStyle name="Normal 6 7 4 3" xfId="8145" xr:uid="{399817DF-CCC5-4D4D-B48A-F72C8004E91E}"/>
    <cellStyle name="Normal 6 7 4 3 2" xfId="20827" xr:uid="{01AD2461-AFF0-4F93-88EA-A29CAEEEA3E4}"/>
    <cellStyle name="Normal 6 7 4 3 2 2" xfId="46319" xr:uid="{D642D087-F445-4D0C-95A7-DA5C192C63D0}"/>
    <cellStyle name="Normal 6 7 4 3 3" xfId="33728" xr:uid="{EF29B07E-A27B-4E94-8D40-210BB582B0B8}"/>
    <cellStyle name="Normal 6 7 4 4" xfId="14549" xr:uid="{0A7557EA-ECBD-44E4-8D41-11B8AD7EA898}"/>
    <cellStyle name="Normal 6 7 4 4 2" xfId="40041" xr:uid="{9E2863DA-06DE-48FB-AFE8-E87791FFCF44}"/>
    <cellStyle name="Normal 6 7 4 5" xfId="27450" xr:uid="{2B5F6699-6B0F-4AB5-ACE2-44ACFDE99566}"/>
    <cellStyle name="Normal 6 7 5" xfId="1315" xr:uid="{D76A4BE9-E2ED-47A7-AFBC-4599D55D1EF9}"/>
    <cellStyle name="Normal 6 7 5 2" xfId="4469" xr:uid="{BF103567-4E55-46F8-9E96-AF07EBA13E40}"/>
    <cellStyle name="Normal 6 7 5 2 2" xfId="10762" xr:uid="{C4E338F0-7818-4288-8E94-0AD2FFFA7DB7}"/>
    <cellStyle name="Normal 6 7 5 2 2 2" xfId="23444" xr:uid="{46E5051E-FDA5-4568-9B65-8A35107269AD}"/>
    <cellStyle name="Normal 6 7 5 2 2 2 2" xfId="48936" xr:uid="{1A381E95-6A8B-4830-A7F1-7B650946D77C}"/>
    <cellStyle name="Normal 6 7 5 2 2 3" xfId="36345" xr:uid="{02D12B71-4038-4F59-8461-908AA6926793}"/>
    <cellStyle name="Normal 6 7 5 2 3" xfId="17166" xr:uid="{C9AAB665-1125-43B1-85AC-34B7B99EBF04}"/>
    <cellStyle name="Normal 6 7 5 2 3 2" xfId="42658" xr:uid="{77504488-E115-4E21-BC8E-F5338427BF2B}"/>
    <cellStyle name="Normal 6 7 5 2 4" xfId="30067" xr:uid="{30B05438-4FDC-42D9-8304-9FE9EF6C4387}"/>
    <cellStyle name="Normal 6 7 5 3" xfId="7623" xr:uid="{D6D787C6-771A-4F05-BF1A-FB350FEC7369}"/>
    <cellStyle name="Normal 6 7 5 3 2" xfId="20305" xr:uid="{61D094D3-D580-4689-9B10-28C206F1C49B}"/>
    <cellStyle name="Normal 6 7 5 3 2 2" xfId="45797" xr:uid="{9065735E-FC28-45C9-91DF-AAF4F12E2B3D}"/>
    <cellStyle name="Normal 6 7 5 3 3" xfId="33206" xr:uid="{43A243D7-1C35-45D7-B74B-024717C8A647}"/>
    <cellStyle name="Normal 6 7 5 4" xfId="14027" xr:uid="{C39DC4D2-47B9-4B0E-AEE7-DE121AF1BA36}"/>
    <cellStyle name="Normal 6 7 5 4 2" xfId="39519" xr:uid="{08C989BF-2C69-4730-92B3-45761E210702}"/>
    <cellStyle name="Normal 6 7 5 5" xfId="26928" xr:uid="{ADDEA988-7168-48C8-B6C5-67DF091E37E3}"/>
    <cellStyle name="Normal 6 7 6" xfId="2622" xr:uid="{441AABDB-BA76-4D87-92F4-A576EE4DF49B}"/>
    <cellStyle name="Normal 6 7 6 2" xfId="5776" xr:uid="{092E10DC-3C13-47B4-BE04-43C534B45DC9}"/>
    <cellStyle name="Normal 6 7 6 2 2" xfId="12069" xr:uid="{7DD1F9DF-A7E5-4297-BB64-6AA4B5F7AABB}"/>
    <cellStyle name="Normal 6 7 6 2 2 2" xfId="24751" xr:uid="{F5F0552C-DFA1-4CD2-8983-322196103040}"/>
    <cellStyle name="Normal 6 7 6 2 2 2 2" xfId="50243" xr:uid="{2E84C137-0DEC-4BA0-9753-48D1789FB3DE}"/>
    <cellStyle name="Normal 6 7 6 2 2 3" xfId="37652" xr:uid="{6A7EFAEE-35AA-4402-9180-4C9289A321CC}"/>
    <cellStyle name="Normal 6 7 6 2 3" xfId="18473" xr:uid="{FBEAEA87-1815-4A08-A050-7CCD6068136D}"/>
    <cellStyle name="Normal 6 7 6 2 3 2" xfId="43965" xr:uid="{77E64175-9A9A-4EBC-B91D-8000DAB80138}"/>
    <cellStyle name="Normal 6 7 6 2 4" xfId="31374" xr:uid="{3AAF204B-7C04-4984-A9A5-8EA5FE2C5674}"/>
    <cellStyle name="Normal 6 7 6 3" xfId="8930" xr:uid="{749C5C18-00A0-4586-98CF-23A2F147C0C3}"/>
    <cellStyle name="Normal 6 7 6 3 2" xfId="21612" xr:uid="{064C8B88-A97C-499F-811E-E3D6A80DCF46}"/>
    <cellStyle name="Normal 6 7 6 3 2 2" xfId="47104" xr:uid="{B066982E-AA81-4415-8937-8E87D1035B1D}"/>
    <cellStyle name="Normal 6 7 6 3 3" xfId="34513" xr:uid="{56D077A3-468D-41E7-A823-DE4BC9BAC298}"/>
    <cellStyle name="Normal 6 7 6 4" xfId="15334" xr:uid="{39B9F605-9781-4CCE-BFB6-0D54D144F3D1}"/>
    <cellStyle name="Normal 6 7 6 4 2" xfId="40826" xr:uid="{99BF4B6B-C579-40B6-AF03-3CB46DD88FD0}"/>
    <cellStyle name="Normal 6 7 6 5" xfId="28235" xr:uid="{443CFA44-B759-42A1-B737-1393A3F81793}"/>
    <cellStyle name="Normal 6 7 7" xfId="3145" xr:uid="{A66A8C92-952E-4C60-B8CD-8D824F7FC315}"/>
    <cellStyle name="Normal 6 7 7 2" xfId="6299" xr:uid="{CA9D6DEA-AC21-421B-A5D9-686CFB807CA9}"/>
    <cellStyle name="Normal 6 7 7 2 2" xfId="12592" xr:uid="{802355AE-DC45-4165-A4AD-76E052657045}"/>
    <cellStyle name="Normal 6 7 7 2 2 2" xfId="25274" xr:uid="{D7E54965-FE57-4975-B3E0-6F3DB695AA58}"/>
    <cellStyle name="Normal 6 7 7 2 2 2 2" xfId="50766" xr:uid="{89346173-4083-4373-860A-4E3491494FE5}"/>
    <cellStyle name="Normal 6 7 7 2 2 3" xfId="38175" xr:uid="{2762228C-A35C-4143-BCE7-4BCBDACB404B}"/>
    <cellStyle name="Normal 6 7 7 2 3" xfId="18996" xr:uid="{34F947A5-A9B0-4532-8C7B-C7C3B2321F7A}"/>
    <cellStyle name="Normal 6 7 7 2 3 2" xfId="44488" xr:uid="{1F2728A8-D570-4620-A482-4654B09F66D5}"/>
    <cellStyle name="Normal 6 7 7 2 4" xfId="31897" xr:uid="{8F205B83-5335-45CB-A9C4-DAC807309734}"/>
    <cellStyle name="Normal 6 7 7 3" xfId="9453" xr:uid="{53177128-7672-4D19-9C7E-0856B42F1D5E}"/>
    <cellStyle name="Normal 6 7 7 3 2" xfId="22135" xr:uid="{8DE7D72A-697F-47AB-9822-1350945EE28C}"/>
    <cellStyle name="Normal 6 7 7 3 2 2" xfId="47627" xr:uid="{088700BF-FACA-48D6-8E62-498340C98406}"/>
    <cellStyle name="Normal 6 7 7 3 3" xfId="35036" xr:uid="{017372E8-8CB0-43B0-AD71-4CE20F4230F0}"/>
    <cellStyle name="Normal 6 7 7 4" xfId="15857" xr:uid="{D047F50D-D539-41D3-8B53-FD54257ACBB1}"/>
    <cellStyle name="Normal 6 7 7 4 2" xfId="41349" xr:uid="{A29548E9-4EF5-4A34-8F49-8FF978DD0C42}"/>
    <cellStyle name="Normal 6 7 7 5" xfId="28758" xr:uid="{22E2EE61-BA76-45C8-BF5E-94AD11DA671D}"/>
    <cellStyle name="Normal 6 7 8" xfId="3684" xr:uid="{A1D95BBC-318D-408F-B21C-4DF88BCE3626}"/>
    <cellStyle name="Normal 6 7 8 2" xfId="9977" xr:uid="{1F7CB6D4-BAF3-4314-B9F8-E0A67F107B8D}"/>
    <cellStyle name="Normal 6 7 8 2 2" xfId="22659" xr:uid="{EAB1AD78-7F08-453C-940D-D8F3DA439B98}"/>
    <cellStyle name="Normal 6 7 8 2 2 2" xfId="48151" xr:uid="{BDE176B6-9C0F-4B07-A893-62456749E057}"/>
    <cellStyle name="Normal 6 7 8 2 3" xfId="35560" xr:uid="{62AD9E58-9789-48AC-A9D1-3AA8DDCCBE55}"/>
    <cellStyle name="Normal 6 7 8 3" xfId="16381" xr:uid="{C38F709D-1CC3-4EFB-B457-ED7F58910497}"/>
    <cellStyle name="Normal 6 7 8 3 2" xfId="41873" xr:uid="{D3D67422-BF5F-4184-B4E9-2DD17589CA9A}"/>
    <cellStyle name="Normal 6 7 8 4" xfId="29282" xr:uid="{E0708841-585E-4463-8267-94A0AB9710AE}"/>
    <cellStyle name="Normal 6 7 9" xfId="6838" xr:uid="{23543807-FF47-462C-AD5F-07655AE7F43E}"/>
    <cellStyle name="Normal 6 7 9 2" xfId="19520" xr:uid="{F2108BC6-DEA3-418C-97BC-3DF086B5611C}"/>
    <cellStyle name="Normal 6 7 9 2 2" xfId="45012" xr:uid="{6ACA57FC-56C2-4463-B30E-7A4E9D0A1BD8}"/>
    <cellStyle name="Normal 6 7 9 3" xfId="32421" xr:uid="{C15A4F3C-B8EB-4746-AD8F-62E72DF7A04A}"/>
    <cellStyle name="Normal 6 8" xfId="951" xr:uid="{21F850E2-8DBF-49DE-A5A0-D232EEB3A04C}"/>
    <cellStyle name="Normal 6 8 2" xfId="2258" xr:uid="{D6A66525-ACC6-417F-A6F1-43E3C6A984C5}"/>
    <cellStyle name="Normal 6 8 2 2" xfId="5412" xr:uid="{ABE9EEED-2655-460D-B1CC-8BEFD70FFD65}"/>
    <cellStyle name="Normal 6 8 2 2 2" xfId="11705" xr:uid="{541DC351-BB84-45C4-8AC5-BE030E29B8A6}"/>
    <cellStyle name="Normal 6 8 2 2 2 2" xfId="24387" xr:uid="{80064346-C1E9-48D5-9027-7F5F451FEE13}"/>
    <cellStyle name="Normal 6 8 2 2 2 2 2" xfId="49879" xr:uid="{99DBD7FE-E80A-4725-ADB7-1F00DBFE95E3}"/>
    <cellStyle name="Normal 6 8 2 2 2 3" xfId="37288" xr:uid="{3F622403-AF18-4057-9A5C-D778E97BF109}"/>
    <cellStyle name="Normal 6 8 2 2 3" xfId="18109" xr:uid="{4D4F9882-7445-41BD-8C4F-D93CD028EE5A}"/>
    <cellStyle name="Normal 6 8 2 2 3 2" xfId="43601" xr:uid="{99F83163-912A-40B1-B307-5D3478B598E1}"/>
    <cellStyle name="Normal 6 8 2 2 4" xfId="31010" xr:uid="{905C9183-2016-4656-ABA7-DD04B4D0F8B6}"/>
    <cellStyle name="Normal 6 8 2 3" xfId="8566" xr:uid="{624D93B3-3533-4B86-940F-3EF648F56E1C}"/>
    <cellStyle name="Normal 6 8 2 3 2" xfId="21248" xr:uid="{54CC9EE6-21AA-451F-80F7-F8DEDFE4D53D}"/>
    <cellStyle name="Normal 6 8 2 3 2 2" xfId="46740" xr:uid="{30B1980B-0D54-430B-840A-FEC86698455C}"/>
    <cellStyle name="Normal 6 8 2 3 3" xfId="34149" xr:uid="{98480CAD-7235-41AF-8B16-11CD56C90136}"/>
    <cellStyle name="Normal 6 8 2 4" xfId="14970" xr:uid="{F2A13CFA-AD4B-41D8-97BF-0B3B695DB0F0}"/>
    <cellStyle name="Normal 6 8 2 4 2" xfId="40462" xr:uid="{1B770D66-49E6-46B5-A1C3-F83ED329540F}"/>
    <cellStyle name="Normal 6 8 2 5" xfId="27871" xr:uid="{E9365B0E-8E4C-46E5-ACD0-F490E1C538EF}"/>
    <cellStyle name="Normal 6 8 3" xfId="1475" xr:uid="{51A602D7-9278-4E41-A06C-E456FD1A2D18}"/>
    <cellStyle name="Normal 6 8 3 2" xfId="4629" xr:uid="{A26B5ABF-989E-4EAD-8765-7115C634A0C0}"/>
    <cellStyle name="Normal 6 8 3 2 2" xfId="10922" xr:uid="{3D7D9644-956D-4959-A89D-11C06D1A025E}"/>
    <cellStyle name="Normal 6 8 3 2 2 2" xfId="23604" xr:uid="{4F624619-B957-4FCC-9399-EB224A3D944E}"/>
    <cellStyle name="Normal 6 8 3 2 2 2 2" xfId="49096" xr:uid="{93C91729-B8EC-432B-A8B9-7349D1D8D251}"/>
    <cellStyle name="Normal 6 8 3 2 2 3" xfId="36505" xr:uid="{858C76F0-5743-4A48-B51E-AE166BEF7FF7}"/>
    <cellStyle name="Normal 6 8 3 2 3" xfId="17326" xr:uid="{74CEB068-72F4-4117-9909-8A9EEFEF4241}"/>
    <cellStyle name="Normal 6 8 3 2 3 2" xfId="42818" xr:uid="{D806CBCD-FC62-40EE-9CA6-06B0203AE3E2}"/>
    <cellStyle name="Normal 6 8 3 2 4" xfId="30227" xr:uid="{B6931D68-C47C-4940-A95E-424C4C734DD4}"/>
    <cellStyle name="Normal 6 8 3 3" xfId="7783" xr:uid="{60B89C17-2043-4A88-9B05-4A0D871A7489}"/>
    <cellStyle name="Normal 6 8 3 3 2" xfId="20465" xr:uid="{3A9944CE-0E49-40F1-B205-BF4113C7CA3B}"/>
    <cellStyle name="Normal 6 8 3 3 2 2" xfId="45957" xr:uid="{54628024-8BE9-4C0B-9D5F-458699DB539B}"/>
    <cellStyle name="Normal 6 8 3 3 3" xfId="33366" xr:uid="{EC825891-E833-492E-AA64-C2CF81FF9ED2}"/>
    <cellStyle name="Normal 6 8 3 4" xfId="14187" xr:uid="{F41C2C53-FC5C-422F-8BD0-2005A07EB9EF}"/>
    <cellStyle name="Normal 6 8 3 4 2" xfId="39679" xr:uid="{FE44FB5D-6B63-46DF-B7ED-252B0FF91700}"/>
    <cellStyle name="Normal 6 8 3 5" xfId="27088" xr:uid="{9ED08D28-244A-4935-93C7-FC3117D0B097}"/>
    <cellStyle name="Normal 6 8 4" xfId="2782" xr:uid="{B8249B3C-4519-4DDC-BCA8-538CBB6982B3}"/>
    <cellStyle name="Normal 6 8 4 2" xfId="5936" xr:uid="{062BDE2B-1F9D-476D-A7FB-A0F973942FD0}"/>
    <cellStyle name="Normal 6 8 4 2 2" xfId="12229" xr:uid="{2F4E69D4-E98F-4FA5-82B0-AE8959669640}"/>
    <cellStyle name="Normal 6 8 4 2 2 2" xfId="24911" xr:uid="{2A8D4804-C1BD-4607-973F-A9A3F6986B54}"/>
    <cellStyle name="Normal 6 8 4 2 2 2 2" xfId="50403" xr:uid="{04486E0C-F399-4EC1-80AE-58D59D454D7E}"/>
    <cellStyle name="Normal 6 8 4 2 2 3" xfId="37812" xr:uid="{9B31672B-FE29-4CF1-9E50-F87559CEF5D5}"/>
    <cellStyle name="Normal 6 8 4 2 3" xfId="18633" xr:uid="{77147229-6F4B-4848-A290-3A8EE2EA05E3}"/>
    <cellStyle name="Normal 6 8 4 2 3 2" xfId="44125" xr:uid="{35DE8304-A322-4A93-A9FC-8212BBADFFD4}"/>
    <cellStyle name="Normal 6 8 4 2 4" xfId="31534" xr:uid="{2AC44BA9-B65B-4A56-A15C-4468DF3CDF0D}"/>
    <cellStyle name="Normal 6 8 4 3" xfId="9090" xr:uid="{1E4A93C2-863C-40C4-8EA5-1603AFC95C58}"/>
    <cellStyle name="Normal 6 8 4 3 2" xfId="21772" xr:uid="{13E28C48-AC99-4667-B70C-B73DDA4AAF0C}"/>
    <cellStyle name="Normal 6 8 4 3 2 2" xfId="47264" xr:uid="{80547C61-3E25-404D-9EDD-25DF1A281217}"/>
    <cellStyle name="Normal 6 8 4 3 3" xfId="34673" xr:uid="{E298B7E2-87CA-44BA-A1AC-8BAC31FCFE2A}"/>
    <cellStyle name="Normal 6 8 4 4" xfId="15494" xr:uid="{A16A3196-C1B8-4B76-9F7F-39221B12C76A}"/>
    <cellStyle name="Normal 6 8 4 4 2" xfId="40986" xr:uid="{CB3AC796-4032-4EDF-9C1B-62B59A54F9C8}"/>
    <cellStyle name="Normal 6 8 4 5" xfId="28395" xr:uid="{1853D6E5-F277-49FC-B89F-CD4A6EFE7125}"/>
    <cellStyle name="Normal 6 8 5" xfId="3305" xr:uid="{23931AD9-A08A-4415-A1BE-06FE6948E12B}"/>
    <cellStyle name="Normal 6 8 5 2" xfId="6459" xr:uid="{65256377-DF60-4592-8C4C-5288CF784789}"/>
    <cellStyle name="Normal 6 8 5 2 2" xfId="12752" xr:uid="{09D03E30-ABBE-4606-919C-81BE2A9C592B}"/>
    <cellStyle name="Normal 6 8 5 2 2 2" xfId="25434" xr:uid="{0E20AA30-8976-481E-9D28-2333C39E8D43}"/>
    <cellStyle name="Normal 6 8 5 2 2 2 2" xfId="50926" xr:uid="{17C8AA5D-F9D5-4032-8FC7-AABD13277B77}"/>
    <cellStyle name="Normal 6 8 5 2 2 3" xfId="38335" xr:uid="{D8FE31EA-0C99-4045-9F88-9FD3B4BC13ED}"/>
    <cellStyle name="Normal 6 8 5 2 3" xfId="19156" xr:uid="{B6955D15-5EBC-4B69-ABF1-534E23A530F5}"/>
    <cellStyle name="Normal 6 8 5 2 3 2" xfId="44648" xr:uid="{3CD3B3BB-1BCB-41D8-80AC-66C1713CA1B2}"/>
    <cellStyle name="Normal 6 8 5 2 4" xfId="32057" xr:uid="{CEC4E3FC-502C-417B-AED0-77DA4B8C970E}"/>
    <cellStyle name="Normal 6 8 5 3" xfId="9613" xr:uid="{8820DF94-1522-4A1E-8451-8289CE187FA8}"/>
    <cellStyle name="Normal 6 8 5 3 2" xfId="22295" xr:uid="{645E00EF-3F60-499C-8868-EBA3AC1B56A9}"/>
    <cellStyle name="Normal 6 8 5 3 2 2" xfId="47787" xr:uid="{83949FD2-B154-46A0-8711-6A00DB560C1B}"/>
    <cellStyle name="Normal 6 8 5 3 3" xfId="35196" xr:uid="{46913690-F789-4718-8DC9-031D78DF9726}"/>
    <cellStyle name="Normal 6 8 5 4" xfId="16017" xr:uid="{E9BFED8E-9F7C-4C40-B5EE-B42A936597A9}"/>
    <cellStyle name="Normal 6 8 5 4 2" xfId="41509" xr:uid="{32743A82-F1EC-48A9-AEFF-4F5E8DA58379}"/>
    <cellStyle name="Normal 6 8 5 5" xfId="28918" xr:uid="{93F5FD3D-DF7A-4185-9425-D4738A0F50A8}"/>
    <cellStyle name="Normal 6 8 6" xfId="4105" xr:uid="{6A390992-C53D-4158-BE37-E29E94403B77}"/>
    <cellStyle name="Normal 6 8 6 2" xfId="10398" xr:uid="{5A601D11-E33E-4AC8-BCE5-6BDDCD8272A6}"/>
    <cellStyle name="Normal 6 8 6 2 2" xfId="23080" xr:uid="{73EC221A-A6DB-4FFB-8ACD-A00E0F9B07A2}"/>
    <cellStyle name="Normal 6 8 6 2 2 2" xfId="48572" xr:uid="{24F8F9F7-79C1-4CD5-91DB-7894464994EB}"/>
    <cellStyle name="Normal 6 8 6 2 3" xfId="35981" xr:uid="{0C4A7C9C-B0C0-4464-83E0-4CC2E3511B17}"/>
    <cellStyle name="Normal 6 8 6 3" xfId="16802" xr:uid="{3900FC13-C5B1-4156-B900-351FD0B204E6}"/>
    <cellStyle name="Normal 6 8 6 3 2" xfId="42294" xr:uid="{B5997B62-F23A-480D-A9D6-2F95C9D7C82F}"/>
    <cellStyle name="Normal 6 8 6 4" xfId="29703" xr:uid="{534F9ABA-8B8C-4B1E-B21A-1A7F9D239759}"/>
    <cellStyle name="Normal 6 8 7" xfId="7259" xr:uid="{2335E3F1-0BB6-4246-B73F-7FF911D77E90}"/>
    <cellStyle name="Normal 6 8 7 2" xfId="19941" xr:uid="{21865F83-3AC0-4A74-9DE5-DCB250371982}"/>
    <cellStyle name="Normal 6 8 7 2 2" xfId="45433" xr:uid="{402188BD-DD67-4B1C-A92B-809B8B4D5253}"/>
    <cellStyle name="Normal 6 8 7 3" xfId="32842" xr:uid="{251ABB5D-8890-4EF4-9F29-8DCEE050DC21}"/>
    <cellStyle name="Normal 6 8 8" xfId="13663" xr:uid="{03D6767B-00B2-4292-A9DB-51A4F3CA29D7}"/>
    <cellStyle name="Normal 6 8 8 2" xfId="39155" xr:uid="{127CD133-3151-4D23-82E9-F94AC0BFC100}"/>
    <cellStyle name="Normal 6 8 9" xfId="26564" xr:uid="{9F1877A0-7830-41EB-9D16-9ABDF0E38133}"/>
    <cellStyle name="Normal 6 9" xfId="691" xr:uid="{88A67CC1-52CF-4D7D-B56E-FDEC98524484}"/>
    <cellStyle name="Normal 6 9 2" xfId="1998" xr:uid="{1A911935-8176-4933-AC2F-FBF61FCC434B}"/>
    <cellStyle name="Normal 6 9 2 2" xfId="5152" xr:uid="{94B2C24B-763D-4CE4-AAA8-860AD87DD81D}"/>
    <cellStyle name="Normal 6 9 2 2 2" xfId="11445" xr:uid="{272F9BD3-FDA4-4ACA-B4F8-AE69B65CE34E}"/>
    <cellStyle name="Normal 6 9 2 2 2 2" xfId="24127" xr:uid="{E229497F-C830-4DE1-9298-9EF1370EB060}"/>
    <cellStyle name="Normal 6 9 2 2 2 2 2" xfId="49619" xr:uid="{5FE148B6-85BC-4503-A4E3-C3C3B82BE2E1}"/>
    <cellStyle name="Normal 6 9 2 2 2 3" xfId="37028" xr:uid="{5B5AF9AD-6BAA-4080-AA76-3B938290529B}"/>
    <cellStyle name="Normal 6 9 2 2 3" xfId="17849" xr:uid="{8C580039-0151-4930-8E14-4BD77AA377EA}"/>
    <cellStyle name="Normal 6 9 2 2 3 2" xfId="43341" xr:uid="{E711A241-B1F8-4231-AAB0-DA822CC80189}"/>
    <cellStyle name="Normal 6 9 2 2 4" xfId="30750" xr:uid="{733677D5-0C93-440C-A184-B6BAE313C31C}"/>
    <cellStyle name="Normal 6 9 2 3" xfId="8306" xr:uid="{E8350D5C-0025-4254-9C85-CA22D10B0B7E}"/>
    <cellStyle name="Normal 6 9 2 3 2" xfId="20988" xr:uid="{0E2A7E97-87D2-4FC6-B0CC-70A1FA27C9CC}"/>
    <cellStyle name="Normal 6 9 2 3 2 2" xfId="46480" xr:uid="{BA3F394C-FF52-4526-ABE3-DF162CF6AC1D}"/>
    <cellStyle name="Normal 6 9 2 3 3" xfId="33889" xr:uid="{E6859438-1CFD-4AED-93AC-1497F990C3BE}"/>
    <cellStyle name="Normal 6 9 2 4" xfId="14710" xr:uid="{2BCD28B6-F568-42C7-89CB-DD23E4A35F3F}"/>
    <cellStyle name="Normal 6 9 2 4 2" xfId="40202" xr:uid="{E1CC3C46-A015-454D-84CF-92E00C501F18}"/>
    <cellStyle name="Normal 6 9 2 5" xfId="27611" xr:uid="{39841638-2D87-48AC-A35F-BAE6730B0D4B}"/>
    <cellStyle name="Normal 6 9 3" xfId="3845" xr:uid="{E88EE75D-2779-439C-AD33-C59FB2BA7D32}"/>
    <cellStyle name="Normal 6 9 3 2" xfId="10138" xr:uid="{0C0B192D-6E7F-47F8-86C0-3D841FBCF412}"/>
    <cellStyle name="Normal 6 9 3 2 2" xfId="22820" xr:uid="{C691AF2E-D25C-4E31-88FE-76FF9F8486C2}"/>
    <cellStyle name="Normal 6 9 3 2 2 2" xfId="48312" xr:uid="{7F2673AA-FE6A-4EFB-A08F-14EDBB7206A0}"/>
    <cellStyle name="Normal 6 9 3 2 3" xfId="35721" xr:uid="{CAC4849E-B3E1-4612-91E5-A8A977163330}"/>
    <cellStyle name="Normal 6 9 3 3" xfId="16542" xr:uid="{9F4F8E40-8780-4F1C-861F-4268B592904E}"/>
    <cellStyle name="Normal 6 9 3 3 2" xfId="42034" xr:uid="{312E6359-0717-4641-A561-37EA13B357A2}"/>
    <cellStyle name="Normal 6 9 3 4" xfId="29443" xr:uid="{C84654BF-73E1-4585-8FB4-AA9768F3ACD0}"/>
    <cellStyle name="Normal 6 9 4" xfId="6999" xr:uid="{1E287E42-A37C-49B0-952C-903052D701FC}"/>
    <cellStyle name="Normal 6 9 4 2" xfId="19681" xr:uid="{50BA632D-F84A-4F54-A8B1-BFF8A9DF1C7C}"/>
    <cellStyle name="Normal 6 9 4 2 2" xfId="45173" xr:uid="{591FD203-DE7B-4C43-BA1A-0ADD8A274572}"/>
    <cellStyle name="Normal 6 9 4 3" xfId="32582" xr:uid="{55899792-A580-40D2-B578-042DFC1BB596}"/>
    <cellStyle name="Normal 6 9 5" xfId="13403" xr:uid="{0874A7F0-812D-4C54-8FC4-1220D45EC0DA}"/>
    <cellStyle name="Normal 6 9 5 2" xfId="38895" xr:uid="{51D870CB-DE6B-4EDE-A5A0-AE6BEDE1D25E}"/>
    <cellStyle name="Normal 6 9 6" xfId="26304" xr:uid="{D76E49E9-7C24-4E63-AFEB-2340999D5FF8}"/>
    <cellStyle name="Normal 7" xfId="116" xr:uid="{E628A6A2-8653-4FD7-95CD-C34A7D3F8B26}"/>
    <cellStyle name="Normal 7 2" xfId="225" xr:uid="{1767DBD2-FAB6-4566-8186-FF463DA666F9}"/>
    <cellStyle name="Normal 7 3" xfId="224" xr:uid="{40F0082F-6295-49E0-8F05-8262B425AA9B}"/>
    <cellStyle name="Normal 7_Apuração Custos de Produção_FZPP 02.2013" xfId="226" xr:uid="{46D2DABA-B48F-42FE-9065-D428EB1318E2}"/>
    <cellStyle name="Normal 8" xfId="139" xr:uid="{394E4456-67D9-4123-912F-B16A40B6B8EC}"/>
    <cellStyle name="Normal 8 2" xfId="259" xr:uid="{C10C6A04-8532-4710-BA7D-8838B59ABC98}"/>
    <cellStyle name="Normal 8 3" xfId="13123" xr:uid="{BC7FC3AE-712B-44F7-94B1-1CD8DA31B025}"/>
    <cellStyle name="Normal 8 4" xfId="13055" xr:uid="{CBA65EF6-4DCD-451B-9AC4-BC7FE6E0227F}"/>
    <cellStyle name="Normal 8 4 2" xfId="38598" xr:uid="{BBCFF373-0B6A-4B5F-A7CE-3216C5DAF839}"/>
    <cellStyle name="Normal 8 5" xfId="25979" xr:uid="{4256CF21-8232-467E-A6C8-B168E7134FAA}"/>
    <cellStyle name="Normal 8 6" xfId="26026" xr:uid="{81C110F0-F67A-4063-B466-D5AE702EEA68}"/>
    <cellStyle name="Normal 8 7" xfId="371" xr:uid="{2BDFCDAA-B4D9-4870-97D3-0BAD2E6660D6}"/>
    <cellStyle name="Normal 8 8" xfId="212" xr:uid="{99CAAC1F-0C98-4B07-A73D-8A2C4A22E633}"/>
    <cellStyle name="Normal 9" xfId="140" xr:uid="{F8556855-E5F9-4596-947B-4370741EA5FC}"/>
    <cellStyle name="Normal 9 10" xfId="1224" xr:uid="{676F2E09-58F4-4A19-8222-8202A76C5C2A}"/>
    <cellStyle name="Normal 9 10 2" xfId="4378" xr:uid="{31196896-DB0A-40E2-A73B-BB3F05C5C229}"/>
    <cellStyle name="Normal 9 10 2 2" xfId="10671" xr:uid="{BEDBC96B-70E7-4BFD-A1ED-F7103025999E}"/>
    <cellStyle name="Normal 9 10 2 2 2" xfId="23353" xr:uid="{18503C1D-5DA7-458B-ACE3-9E2368EEB5E6}"/>
    <cellStyle name="Normal 9 10 2 2 2 2" xfId="48845" xr:uid="{7A087FF6-AB57-4975-9696-198697EC7723}"/>
    <cellStyle name="Normal 9 10 2 2 3" xfId="36254" xr:uid="{3BAC2CC9-1CCF-4C7E-985C-30C325CF5DE7}"/>
    <cellStyle name="Normal 9 10 2 3" xfId="17075" xr:uid="{54E34B61-693F-469C-ABFF-D3E3FF91DF29}"/>
    <cellStyle name="Normal 9 10 2 3 2" xfId="42567" xr:uid="{96FC660C-3B87-46A3-B3FC-DE3CC410CC2E}"/>
    <cellStyle name="Normal 9 10 2 4" xfId="29976" xr:uid="{88C4FE1E-FCD2-490C-8980-796E2E63D203}"/>
    <cellStyle name="Normal 9 10 3" xfId="7532" xr:uid="{FAF73983-21AC-4D63-94B4-0F666AA8589B}"/>
    <cellStyle name="Normal 9 10 3 2" xfId="20214" xr:uid="{CEA1CEAB-1D54-42DC-B953-6A80B38A84C8}"/>
    <cellStyle name="Normal 9 10 3 2 2" xfId="45706" xr:uid="{1EA02354-1FD2-46FB-9217-48ECAC42A972}"/>
    <cellStyle name="Normal 9 10 3 3" xfId="33115" xr:uid="{59C9DEB8-DDC8-4D20-AE84-E17D693C5189}"/>
    <cellStyle name="Normal 9 10 4" xfId="13936" xr:uid="{D33BEE09-0ABF-4E81-8AE0-6E0C85A0269F}"/>
    <cellStyle name="Normal 9 10 4 2" xfId="39428" xr:uid="{ED9D87A2-6F6A-4843-A2A0-C535BF75A2E4}"/>
    <cellStyle name="Normal 9 10 5" xfId="26837" xr:uid="{DDA6F52D-EB26-45C2-92F3-48CBA2AA9E75}"/>
    <cellStyle name="Normal 9 11" xfId="2531" xr:uid="{C3E15AB6-954F-4B5A-AF16-AE6C77F4BE18}"/>
    <cellStyle name="Normal 9 11 2" xfId="5685" xr:uid="{21F2FBB9-38ED-4B9A-99AB-A1A7ED9A4640}"/>
    <cellStyle name="Normal 9 11 2 2" xfId="11978" xr:uid="{09C04459-D5BC-42D7-ACFD-8E57707439D0}"/>
    <cellStyle name="Normal 9 11 2 2 2" xfId="24660" xr:uid="{DAC34040-BC42-43CC-A2CD-29C1E146F8AE}"/>
    <cellStyle name="Normal 9 11 2 2 2 2" xfId="50152" xr:uid="{614DCD40-B34F-4D43-8FE2-575C10242092}"/>
    <cellStyle name="Normal 9 11 2 2 3" xfId="37561" xr:uid="{B26C7873-5688-4C2C-8F26-807C91EA8519}"/>
    <cellStyle name="Normal 9 11 2 3" xfId="18382" xr:uid="{A913DF60-1A4E-48AC-9AE9-05B228C99FF8}"/>
    <cellStyle name="Normal 9 11 2 3 2" xfId="43874" xr:uid="{56D1302A-6C8E-4A5B-886A-3EEB27CD4F03}"/>
    <cellStyle name="Normal 9 11 2 4" xfId="31283" xr:uid="{C7C3A1FA-B87F-4358-86E9-D2C7AB2A79E0}"/>
    <cellStyle name="Normal 9 11 3" xfId="8839" xr:uid="{9C476875-DFA7-4597-8E94-0845765ADAB5}"/>
    <cellStyle name="Normal 9 11 3 2" xfId="21521" xr:uid="{F2CD54E2-7E14-4AB0-AB6E-4FEEDEC30086}"/>
    <cellStyle name="Normal 9 11 3 2 2" xfId="47013" xr:uid="{E44563C0-B6A3-4003-A72E-C36ED8997FE5}"/>
    <cellStyle name="Normal 9 11 3 3" xfId="34422" xr:uid="{30502B12-4FDC-4F13-B039-9E36DE507FBF}"/>
    <cellStyle name="Normal 9 11 4" xfId="15243" xr:uid="{133C9B7F-9694-42C9-9FC7-652B572F0CBA}"/>
    <cellStyle name="Normal 9 11 4 2" xfId="40735" xr:uid="{275B449A-FC77-4469-976E-1BD2686CC1AE}"/>
    <cellStyle name="Normal 9 11 5" xfId="28144" xr:uid="{29586DDD-9894-4244-9209-0B150FA948D1}"/>
    <cellStyle name="Normal 9 12" xfId="3054" xr:uid="{A381E95B-FE19-4204-8E17-0B6D97C34514}"/>
    <cellStyle name="Normal 9 12 2" xfId="6208" xr:uid="{DEEA0FD7-94DF-48A0-9811-3CC852A11218}"/>
    <cellStyle name="Normal 9 12 2 2" xfId="12501" xr:uid="{E3484812-9731-4DB1-AB1D-4B0FD8BE8CCD}"/>
    <cellStyle name="Normal 9 12 2 2 2" xfId="25183" xr:uid="{DC6A70F5-D9F8-4992-BAE3-CF1CEBCA7D78}"/>
    <cellStyle name="Normal 9 12 2 2 2 2" xfId="50675" xr:uid="{1E41BCF6-5B31-4842-BCC2-6740EA8503CA}"/>
    <cellStyle name="Normal 9 12 2 2 3" xfId="38084" xr:uid="{6DF2F5AE-14CA-4985-A7DF-A9E433FC903D}"/>
    <cellStyle name="Normal 9 12 2 3" xfId="18905" xr:uid="{6C2D3A74-1ABF-4B12-A629-FAABA30CDC6C}"/>
    <cellStyle name="Normal 9 12 2 3 2" xfId="44397" xr:uid="{EA38553F-838E-4562-9E06-389EFF825B50}"/>
    <cellStyle name="Normal 9 12 2 4" xfId="31806" xr:uid="{2A1F0099-4110-4B8F-A3B8-EBEED3DBC61A}"/>
    <cellStyle name="Normal 9 12 3" xfId="9362" xr:uid="{B89D5053-4D90-450D-80A3-CD50DD11D721}"/>
    <cellStyle name="Normal 9 12 3 2" xfId="22044" xr:uid="{1DF6CA37-608D-47C3-BA42-987023FA03DE}"/>
    <cellStyle name="Normal 9 12 3 2 2" xfId="47536" xr:uid="{18DDDE8F-AFB1-4CE6-BDEC-6E4D0EBDE087}"/>
    <cellStyle name="Normal 9 12 3 3" xfId="34945" xr:uid="{EE23D170-B065-4A5C-91F8-108A8126F142}"/>
    <cellStyle name="Normal 9 12 4" xfId="15766" xr:uid="{38704329-A2E2-4C6E-A15E-B6F7B45C5273}"/>
    <cellStyle name="Normal 9 12 4 2" xfId="41258" xr:uid="{7368B5B4-DE8C-4777-B190-3F5021B39309}"/>
    <cellStyle name="Normal 9 12 5" xfId="28667" xr:uid="{74931016-4017-4D6F-BBA1-07B9DAC27E24}"/>
    <cellStyle name="Normal 9 13" xfId="3593" xr:uid="{68DE6879-82FA-4581-8989-8F70B23D58C0}"/>
    <cellStyle name="Normal 9 13 2" xfId="9886" xr:uid="{1E2D47F1-D04F-448A-8133-AFA0A5B917B5}"/>
    <cellStyle name="Normal 9 13 2 2" xfId="22568" xr:uid="{1DCBDB6A-91EB-4073-99F9-96E54E9FB758}"/>
    <cellStyle name="Normal 9 13 2 2 2" xfId="48060" xr:uid="{4F830518-2D2E-4F77-9335-4ADD407D4C98}"/>
    <cellStyle name="Normal 9 13 2 3" xfId="35469" xr:uid="{17FA5695-24C9-4B4B-ACC6-88A3D4910D4A}"/>
    <cellStyle name="Normal 9 13 3" xfId="16290" xr:uid="{435C86DE-62B9-40CB-B33C-89E5BE5428CD}"/>
    <cellStyle name="Normal 9 13 3 2" xfId="41782" xr:uid="{4A67DEE1-8EF4-4AC2-B07E-288DD7877495}"/>
    <cellStyle name="Normal 9 13 4" xfId="29191" xr:uid="{EE1D4344-F204-4829-9585-8521DA3970CC}"/>
    <cellStyle name="Normal 9 14" xfId="6747" xr:uid="{AE309B5D-6E5F-4E34-B25E-07DC70E9C3A0}"/>
    <cellStyle name="Normal 9 14 2" xfId="19429" xr:uid="{E02A40D2-6906-4B33-9639-C733460B1311}"/>
    <cellStyle name="Normal 9 14 2 2" xfId="44921" xr:uid="{61735A8B-6232-4578-BD8B-6B1AD00613F7}"/>
    <cellStyle name="Normal 9 14 3" xfId="32330" xr:uid="{E9175889-2279-4A30-B8B5-13C9F82D3006}"/>
    <cellStyle name="Normal 9 15" xfId="13149" xr:uid="{8A38AB30-C13D-4C0A-B4C2-5D25E14B54E3}"/>
    <cellStyle name="Normal 9 15 2" xfId="38642" xr:uid="{0E3BDBC1-80A2-4187-A049-E551D54A0A7C}"/>
    <cellStyle name="Normal 9 16" xfId="13063" xr:uid="{1214A6B8-16CD-48FD-AC31-2CA11F78E08B}"/>
    <cellStyle name="Normal 9 16 2" xfId="38599" xr:uid="{298E7C7C-2D9F-4BC2-AA19-95FD310CFFC0}"/>
    <cellStyle name="Normal 9 17" xfId="25980" xr:uid="{BA4247ED-BFF9-4E0D-BDC2-719BA3D123FF}"/>
    <cellStyle name="Normal 9 18" xfId="26051" xr:uid="{4EF0F8AA-A7AA-47C1-A714-E803BFA3ADE0}"/>
    <cellStyle name="Normal 9 19" xfId="409" xr:uid="{C3466DBA-D5AB-47DE-A1AE-44D33304BC69}"/>
    <cellStyle name="Normal 9 2" xfId="260" xr:uid="{C286A0BE-2E2F-4083-87A3-2446E8E16EC0}"/>
    <cellStyle name="Normal 9 2 10" xfId="3074" xr:uid="{64A9CC56-BD9B-4116-9E17-D51A57996DAC}"/>
    <cellStyle name="Normal 9 2 10 2" xfId="6228" xr:uid="{515194E1-6645-44BB-B311-5F94A93D3096}"/>
    <cellStyle name="Normal 9 2 10 2 2" xfId="12521" xr:uid="{4EFECD3A-F289-4DCE-B2A8-1742F147A739}"/>
    <cellStyle name="Normal 9 2 10 2 2 2" xfId="25203" xr:uid="{AE1D8CC7-1FA0-4494-BF94-A8A8E71AD8A4}"/>
    <cellStyle name="Normal 9 2 10 2 2 2 2" xfId="50695" xr:uid="{CB4D9A42-F004-438E-84D8-3FAD8ADEC1BA}"/>
    <cellStyle name="Normal 9 2 10 2 2 3" xfId="38104" xr:uid="{B47D3962-B21E-4EA9-98D5-4067717448BD}"/>
    <cellStyle name="Normal 9 2 10 2 3" xfId="18925" xr:uid="{7BC4C153-08FD-43BA-BB02-E5D61D4F9CE4}"/>
    <cellStyle name="Normal 9 2 10 2 3 2" xfId="44417" xr:uid="{42E39C10-D129-49B6-91FD-4FD17B7BC7DB}"/>
    <cellStyle name="Normal 9 2 10 2 4" xfId="31826" xr:uid="{F4C600A5-5694-4FD4-B4A0-4F06228A60C2}"/>
    <cellStyle name="Normal 9 2 10 3" xfId="9382" xr:uid="{8790AF20-322E-4794-985F-E9382EDB21B1}"/>
    <cellStyle name="Normal 9 2 10 3 2" xfId="22064" xr:uid="{22F97F76-C1A5-4516-99B9-33EA9BEACF23}"/>
    <cellStyle name="Normal 9 2 10 3 2 2" xfId="47556" xr:uid="{2E240E14-B71E-476D-9ADB-A911EECB8AAB}"/>
    <cellStyle name="Normal 9 2 10 3 3" xfId="34965" xr:uid="{63E6D611-926F-42CC-AF57-9BAABE371EDC}"/>
    <cellStyle name="Normal 9 2 10 4" xfId="15786" xr:uid="{3C94277C-B0A9-478A-B6BB-A355C8BD609D}"/>
    <cellStyle name="Normal 9 2 10 4 2" xfId="41278" xr:uid="{ECCF5104-8A06-4FBF-9446-D47B9A6FA99E}"/>
    <cellStyle name="Normal 9 2 10 5" xfId="28687" xr:uid="{3D9F652D-7259-4BE4-8196-F31ECA3D158B}"/>
    <cellStyle name="Normal 9 2 11" xfId="3613" xr:uid="{1041594B-F4D8-430E-B333-EFE2EB31DD52}"/>
    <cellStyle name="Normal 9 2 11 2" xfId="9906" xr:uid="{04F82F56-8214-4090-ACDA-DD88B0B3A442}"/>
    <cellStyle name="Normal 9 2 11 2 2" xfId="22588" xr:uid="{72B21432-3F6D-49E9-A33D-D49D0FE358F0}"/>
    <cellStyle name="Normal 9 2 11 2 2 2" xfId="48080" xr:uid="{742384C9-FACD-4189-8592-0E30BD4D9057}"/>
    <cellStyle name="Normal 9 2 11 2 3" xfId="35489" xr:uid="{2A50C6A7-DAD9-456A-B261-2ED04A6B90A3}"/>
    <cellStyle name="Normal 9 2 11 3" xfId="16310" xr:uid="{79CCF24B-7EE9-4838-BA91-2213FA06CB9E}"/>
    <cellStyle name="Normal 9 2 11 3 2" xfId="41802" xr:uid="{4CA93D3E-46B4-492A-800B-88A6F81D53BE}"/>
    <cellStyle name="Normal 9 2 11 4" xfId="29211" xr:uid="{8589ED97-F156-41AB-95C6-F9243493EA3B}"/>
    <cellStyle name="Normal 9 2 12" xfId="6767" xr:uid="{5B8090CD-B9F3-47A8-AF09-57BBC818DF87}"/>
    <cellStyle name="Normal 9 2 12 2" xfId="19449" xr:uid="{53109BBA-69DA-433F-914A-2A3AEAF6FE75}"/>
    <cellStyle name="Normal 9 2 12 2 2" xfId="44941" xr:uid="{D4BF67DF-6054-4CCB-8842-91AAD4888378}"/>
    <cellStyle name="Normal 9 2 12 3" xfId="32350" xr:uid="{5F13B34B-33B4-490F-A89F-E0873F0504A1}"/>
    <cellStyle name="Normal 9 2 13" xfId="13171" xr:uid="{AF912579-1333-46A7-A3DF-45784A4EF6D1}"/>
    <cellStyle name="Normal 9 2 13 2" xfId="38663" xr:uid="{C54BBA7C-A4BC-4AAF-A3E9-6F185E2C4F8A}"/>
    <cellStyle name="Normal 9 2 14" xfId="13072" xr:uid="{F4728C8D-5F28-4ABE-B453-617089AED96F}"/>
    <cellStyle name="Normal 9 2 15" xfId="26072" xr:uid="{0F4B6267-EE58-4ACB-83D6-A1173E4368DB}"/>
    <cellStyle name="Normal 9 2 16" xfId="444" xr:uid="{0EA5E160-5393-47D9-A11B-2B48186AF2B5}"/>
    <cellStyle name="Normal 9 2 2" xfId="505" xr:uid="{F75DA57D-FFC3-4F45-990A-21F882051B38}"/>
    <cellStyle name="Normal 9 2 2 10" xfId="6828" xr:uid="{E42FE980-6625-4848-800D-5EB6781FD8CB}"/>
    <cellStyle name="Normal 9 2 2 10 2" xfId="19510" xr:uid="{138CB8A7-28D0-4EE5-8E90-ACF46A2E50AB}"/>
    <cellStyle name="Normal 9 2 2 10 2 2" xfId="45002" xr:uid="{96698BC6-2833-4E33-9E17-A4EF653D9A75}"/>
    <cellStyle name="Normal 9 2 2 10 3" xfId="32411" xr:uid="{9E9E2125-593A-4729-9ACE-4525B7395670}"/>
    <cellStyle name="Normal 9 2 2 11" xfId="13232" xr:uid="{8FADAB4E-9D72-4938-8D16-9725FA45AD7A}"/>
    <cellStyle name="Normal 9 2 2 11 2" xfId="38724" xr:uid="{D875E81E-8ED4-41B3-BCD4-7C3A73E01F33}"/>
    <cellStyle name="Normal 9 2 2 12" xfId="26133" xr:uid="{8EB23714-9889-46E1-9B5E-91A824C9C33A}"/>
    <cellStyle name="Normal 9 2 2 2" xfId="664" xr:uid="{B773DA80-40B3-4507-80A0-CE02942B1A7C}"/>
    <cellStyle name="Normal 9 2 2 2 10" xfId="13391" xr:uid="{D388692F-C446-4CA7-9625-20D73B61A9C9}"/>
    <cellStyle name="Normal 9 2 2 2 10 2" xfId="38883" xr:uid="{3ADC1B1C-0ED1-4629-A63D-ED354C92684C}"/>
    <cellStyle name="Normal 9 2 2 2 11" xfId="26292" xr:uid="{060DDFB9-ADAE-4125-9169-D6F82A9177B0}"/>
    <cellStyle name="Normal 9 2 2 2 2" xfId="1201" xr:uid="{3A3D0C81-8456-465A-B80C-1EFDB55B4965}"/>
    <cellStyle name="Normal 9 2 2 2 2 2" xfId="2508" xr:uid="{017056F7-0956-4078-A6DB-A0D1ADD37C8C}"/>
    <cellStyle name="Normal 9 2 2 2 2 2 2" xfId="5662" xr:uid="{06F16883-DB95-4903-AF74-1A0755999241}"/>
    <cellStyle name="Normal 9 2 2 2 2 2 2 2" xfId="11955" xr:uid="{04BA4FE4-3F70-4953-8101-06A5C818382B}"/>
    <cellStyle name="Normal 9 2 2 2 2 2 2 2 2" xfId="24637" xr:uid="{8E3AC2AA-C976-4EE9-91EE-5AF9EF63D281}"/>
    <cellStyle name="Normal 9 2 2 2 2 2 2 2 2 2" xfId="50129" xr:uid="{069BAF95-2DB6-45B5-A86F-C49E60C1346C}"/>
    <cellStyle name="Normal 9 2 2 2 2 2 2 2 3" xfId="37538" xr:uid="{24360092-298F-4A26-A0DA-B6477C5B4851}"/>
    <cellStyle name="Normal 9 2 2 2 2 2 2 3" xfId="18359" xr:uid="{C4932BC0-7CDA-40C9-8E0A-96271919D7C8}"/>
    <cellStyle name="Normal 9 2 2 2 2 2 2 3 2" xfId="43851" xr:uid="{FB30D992-F108-471D-B8C4-6108A252ACF6}"/>
    <cellStyle name="Normal 9 2 2 2 2 2 2 4" xfId="31260" xr:uid="{47F2EEC7-5F4A-44C6-BD24-99E2EFC6365B}"/>
    <cellStyle name="Normal 9 2 2 2 2 2 3" xfId="8816" xr:uid="{CF943761-0993-4B59-ABDD-2F5E59D88FCC}"/>
    <cellStyle name="Normal 9 2 2 2 2 2 3 2" xfId="21498" xr:uid="{76D6010C-2B19-48EB-98BB-EB8907240675}"/>
    <cellStyle name="Normal 9 2 2 2 2 2 3 2 2" xfId="46990" xr:uid="{667BB365-59C8-476E-9ED2-CB1840017B95}"/>
    <cellStyle name="Normal 9 2 2 2 2 2 3 3" xfId="34399" xr:uid="{B4D8E83A-943E-427D-AF8D-96B3B1FCB446}"/>
    <cellStyle name="Normal 9 2 2 2 2 2 4" xfId="15220" xr:uid="{D362CB7F-AD4D-4565-8AFE-AFCADDA53E25}"/>
    <cellStyle name="Normal 9 2 2 2 2 2 4 2" xfId="40712" xr:uid="{7C29EB67-5C64-4ECC-9AD9-19AA0A68ED2E}"/>
    <cellStyle name="Normal 9 2 2 2 2 2 5" xfId="28121" xr:uid="{0A57598B-742C-4E39-B651-7B1FC9AC119C}"/>
    <cellStyle name="Normal 9 2 2 2 2 3" xfId="1725" xr:uid="{4A31DA53-9CAC-4E75-957B-197DDAF759E2}"/>
    <cellStyle name="Normal 9 2 2 2 2 3 2" xfId="4879" xr:uid="{0ED30A6D-5DF7-42B7-B52F-841512049A65}"/>
    <cellStyle name="Normal 9 2 2 2 2 3 2 2" xfId="11172" xr:uid="{70BEC1D3-8999-4A4C-ADA4-9696AC462008}"/>
    <cellStyle name="Normal 9 2 2 2 2 3 2 2 2" xfId="23854" xr:uid="{F558BC82-39EF-4E31-B34B-207E3442DCBE}"/>
    <cellStyle name="Normal 9 2 2 2 2 3 2 2 2 2" xfId="49346" xr:uid="{B5CED345-C872-47CD-A18E-A40F9749FEA6}"/>
    <cellStyle name="Normal 9 2 2 2 2 3 2 2 3" xfId="36755" xr:uid="{DAF1E168-CBF6-4778-8279-CD8BD1559154}"/>
    <cellStyle name="Normal 9 2 2 2 2 3 2 3" xfId="17576" xr:uid="{97846F09-0FEC-46E1-AA37-42D217C0F259}"/>
    <cellStyle name="Normal 9 2 2 2 2 3 2 3 2" xfId="43068" xr:uid="{E0D5F10A-5E84-4DC8-B858-81AD88D7B7E8}"/>
    <cellStyle name="Normal 9 2 2 2 2 3 2 4" xfId="30477" xr:uid="{58802C81-5AEF-4EFA-AF41-642A14FC2D03}"/>
    <cellStyle name="Normal 9 2 2 2 2 3 3" xfId="8033" xr:uid="{F5D92A50-28B6-4935-A509-A80A83925862}"/>
    <cellStyle name="Normal 9 2 2 2 2 3 3 2" xfId="20715" xr:uid="{0F8CC023-DBFD-4488-A851-AA0A95AA96B1}"/>
    <cellStyle name="Normal 9 2 2 2 2 3 3 2 2" xfId="46207" xr:uid="{11BF790D-E5E0-45C6-909B-3CEC5A0A98B8}"/>
    <cellStyle name="Normal 9 2 2 2 2 3 3 3" xfId="33616" xr:uid="{E14BA991-E770-44CE-8DF2-FFA246A8D0AC}"/>
    <cellStyle name="Normal 9 2 2 2 2 3 4" xfId="14437" xr:uid="{0231D0CD-482E-45FC-BE69-4793FD4EF9F2}"/>
    <cellStyle name="Normal 9 2 2 2 2 3 4 2" xfId="39929" xr:uid="{C77DC72E-8AA1-4909-B5A2-797B111B31FB}"/>
    <cellStyle name="Normal 9 2 2 2 2 3 5" xfId="27338" xr:uid="{2B880C31-5C02-496C-B71A-FA5C991A9566}"/>
    <cellStyle name="Normal 9 2 2 2 2 4" xfId="3032" xr:uid="{C94F6FB8-6E44-4938-998C-457E844F6229}"/>
    <cellStyle name="Normal 9 2 2 2 2 4 2" xfId="6186" xr:uid="{4C7C8404-F05E-4DE7-9F5B-06368E85AAC5}"/>
    <cellStyle name="Normal 9 2 2 2 2 4 2 2" xfId="12479" xr:uid="{8C2D5DEE-5C44-4B24-AEA4-C8778007D83F}"/>
    <cellStyle name="Normal 9 2 2 2 2 4 2 2 2" xfId="25161" xr:uid="{E75D67BC-2398-47BD-AF70-1C3477B9D695}"/>
    <cellStyle name="Normal 9 2 2 2 2 4 2 2 2 2" xfId="50653" xr:uid="{C39D14F4-D8FE-4DDB-87FE-71EB861CFEF8}"/>
    <cellStyle name="Normal 9 2 2 2 2 4 2 2 3" xfId="38062" xr:uid="{6CA61C83-0F4E-4061-99F8-D3EBDF9AEF63}"/>
    <cellStyle name="Normal 9 2 2 2 2 4 2 3" xfId="18883" xr:uid="{27C2DD06-3B36-4890-8CB5-91CF214EB3E9}"/>
    <cellStyle name="Normal 9 2 2 2 2 4 2 3 2" xfId="44375" xr:uid="{A0169D2B-89E0-4BA5-9C57-DE3048A50A2C}"/>
    <cellStyle name="Normal 9 2 2 2 2 4 2 4" xfId="31784" xr:uid="{99B0FAB0-27F9-4C4E-A3C3-8445E88074CF}"/>
    <cellStyle name="Normal 9 2 2 2 2 4 3" xfId="9340" xr:uid="{2A7B4B44-DCEC-49C9-A6A3-00F29DD82D2D}"/>
    <cellStyle name="Normal 9 2 2 2 2 4 3 2" xfId="22022" xr:uid="{8F3A5706-1233-4006-B676-5A7416975ED5}"/>
    <cellStyle name="Normal 9 2 2 2 2 4 3 2 2" xfId="47514" xr:uid="{DC80D96A-EF30-4331-993E-7BC0BC1D3A23}"/>
    <cellStyle name="Normal 9 2 2 2 2 4 3 3" xfId="34923" xr:uid="{71427074-4F07-47BC-B3DA-617FAA8E2C6E}"/>
    <cellStyle name="Normal 9 2 2 2 2 4 4" xfId="15744" xr:uid="{91D9ABB5-11DD-42D3-B194-A1A4E52981FA}"/>
    <cellStyle name="Normal 9 2 2 2 2 4 4 2" xfId="41236" xr:uid="{CAE8F956-0968-4DD5-9A2B-0E2D99B987BF}"/>
    <cellStyle name="Normal 9 2 2 2 2 4 5" xfId="28645" xr:uid="{F24784A1-4347-4C39-A355-23BB50D47491}"/>
    <cellStyle name="Normal 9 2 2 2 2 5" xfId="3555" xr:uid="{903EE262-D2E1-4CE9-BBA2-2BA9E986CE78}"/>
    <cellStyle name="Normal 9 2 2 2 2 5 2" xfId="6709" xr:uid="{FD7B278A-0A4E-4DB0-9385-2B0FC07F3621}"/>
    <cellStyle name="Normal 9 2 2 2 2 5 2 2" xfId="13002" xr:uid="{2163D414-FC88-41F0-A0AE-30935C5B3422}"/>
    <cellStyle name="Normal 9 2 2 2 2 5 2 2 2" xfId="25684" xr:uid="{ECCCF4CD-19EB-4DB2-BED8-0A1B2A4D1C65}"/>
    <cellStyle name="Normal 9 2 2 2 2 5 2 2 2 2" xfId="51176" xr:uid="{37722522-4DDF-44AA-A618-EEAA071B1E24}"/>
    <cellStyle name="Normal 9 2 2 2 2 5 2 2 3" xfId="38585" xr:uid="{030BAB25-B445-44AC-98FD-7C0B70F50522}"/>
    <cellStyle name="Normal 9 2 2 2 2 5 2 3" xfId="19406" xr:uid="{56283443-FB05-4ED7-809F-75BD040820A4}"/>
    <cellStyle name="Normal 9 2 2 2 2 5 2 3 2" xfId="44898" xr:uid="{82C28B98-C23A-4565-8AE4-9D6FA0CDFDD1}"/>
    <cellStyle name="Normal 9 2 2 2 2 5 2 4" xfId="32307" xr:uid="{00C53F80-0A91-4BC1-B39A-BE0BEE6A764B}"/>
    <cellStyle name="Normal 9 2 2 2 2 5 3" xfId="9863" xr:uid="{7ADB8A44-A240-41CC-BAA3-0809E19015AA}"/>
    <cellStyle name="Normal 9 2 2 2 2 5 3 2" xfId="22545" xr:uid="{8A65144E-8056-4E6A-ADD0-B712652C8744}"/>
    <cellStyle name="Normal 9 2 2 2 2 5 3 2 2" xfId="48037" xr:uid="{8A26B363-3365-45C9-916D-358034ABBABD}"/>
    <cellStyle name="Normal 9 2 2 2 2 5 3 3" xfId="35446" xr:uid="{2F46355F-2A9A-497A-9F86-B43AD636C791}"/>
    <cellStyle name="Normal 9 2 2 2 2 5 4" xfId="16267" xr:uid="{BA891281-9FC3-4879-B86C-19612F9E785A}"/>
    <cellStyle name="Normal 9 2 2 2 2 5 4 2" xfId="41759" xr:uid="{EF13FF77-31FD-49E3-9126-5688DE8C2E13}"/>
    <cellStyle name="Normal 9 2 2 2 2 5 5" xfId="29168" xr:uid="{84BC3D8F-F831-4D62-952C-ED52C78BDAF4}"/>
    <cellStyle name="Normal 9 2 2 2 2 6" xfId="4355" xr:uid="{4B883CA5-9E27-4C88-9C06-1D295070581F}"/>
    <cellStyle name="Normal 9 2 2 2 2 6 2" xfId="10648" xr:uid="{3D745850-76E9-45CA-A625-0C80526D285A}"/>
    <cellStyle name="Normal 9 2 2 2 2 6 2 2" xfId="23330" xr:uid="{28DF41D8-2E68-4ACC-8F3E-1FB1A1020348}"/>
    <cellStyle name="Normal 9 2 2 2 2 6 2 2 2" xfId="48822" xr:uid="{B150620F-0536-434B-ACAF-D578DE6241C2}"/>
    <cellStyle name="Normal 9 2 2 2 2 6 2 3" xfId="36231" xr:uid="{ABEC0902-D14F-4107-BBBB-66851B9700A4}"/>
    <cellStyle name="Normal 9 2 2 2 2 6 3" xfId="17052" xr:uid="{C8BBE7ED-3D61-4223-B1ED-4F8BCEB6C26A}"/>
    <cellStyle name="Normal 9 2 2 2 2 6 3 2" xfId="42544" xr:uid="{FE68104E-80F5-49A4-B8E1-F51AA75C5566}"/>
    <cellStyle name="Normal 9 2 2 2 2 6 4" xfId="29953" xr:uid="{78D3D3B7-E7C8-4A77-9857-BB8B91BE248B}"/>
    <cellStyle name="Normal 9 2 2 2 2 7" xfId="7509" xr:uid="{98DDCD34-9705-4158-9C26-69673467F60C}"/>
    <cellStyle name="Normal 9 2 2 2 2 7 2" xfId="20191" xr:uid="{FDBD710D-A4B9-481D-AC30-E1E55815CDF5}"/>
    <cellStyle name="Normal 9 2 2 2 2 7 2 2" xfId="45683" xr:uid="{E3B67CDB-39A3-4F9A-ABFF-B8F0B5CBD5FD}"/>
    <cellStyle name="Normal 9 2 2 2 2 7 3" xfId="33092" xr:uid="{B608B5E3-966B-444D-9C91-D35349C28EEE}"/>
    <cellStyle name="Normal 9 2 2 2 2 8" xfId="13913" xr:uid="{3A064A5E-4D33-45BE-99A6-A9E844C7BCCF}"/>
    <cellStyle name="Normal 9 2 2 2 2 8 2" xfId="39405" xr:uid="{FB9DD0E0-E23D-4DE7-A68C-692E1D5F00A2}"/>
    <cellStyle name="Normal 9 2 2 2 2 9" xfId="26814" xr:uid="{D03495AE-5328-4B49-93C5-440C1D49C694}"/>
    <cellStyle name="Normal 9 2 2 2 3" xfId="941" xr:uid="{EA788097-B51A-4C88-9299-2E08A6DF8AB5}"/>
    <cellStyle name="Normal 9 2 2 2 3 2" xfId="2248" xr:uid="{6C9F27F3-E808-4DBE-8060-487B2C464F35}"/>
    <cellStyle name="Normal 9 2 2 2 3 2 2" xfId="5402" xr:uid="{376FECEE-65D8-4149-A5EB-340E142E3241}"/>
    <cellStyle name="Normal 9 2 2 2 3 2 2 2" xfId="11695" xr:uid="{07C57B16-DCC2-473E-AA5F-A69FECAEC665}"/>
    <cellStyle name="Normal 9 2 2 2 3 2 2 2 2" xfId="24377" xr:uid="{C9946649-141F-4FE6-9BAD-6A5F7AEECE37}"/>
    <cellStyle name="Normal 9 2 2 2 3 2 2 2 2 2" xfId="49869" xr:uid="{775EA234-E8E2-4D34-8CBE-2CF5E4B5CF9F}"/>
    <cellStyle name="Normal 9 2 2 2 3 2 2 2 3" xfId="37278" xr:uid="{7FF5E37D-62CA-427F-AB84-F2C1D51185FD}"/>
    <cellStyle name="Normal 9 2 2 2 3 2 2 3" xfId="18099" xr:uid="{7D0A3077-20F0-4529-81CC-41328FC5CDF3}"/>
    <cellStyle name="Normal 9 2 2 2 3 2 2 3 2" xfId="43591" xr:uid="{5CD28514-7410-4F94-8A8E-ED32D899CEB3}"/>
    <cellStyle name="Normal 9 2 2 2 3 2 2 4" xfId="31000" xr:uid="{AFC29ACF-BC21-4066-97E9-C8AF7B0F8FE7}"/>
    <cellStyle name="Normal 9 2 2 2 3 2 3" xfId="8556" xr:uid="{2B0B1A79-AEC4-4001-96EF-85D467418AFC}"/>
    <cellStyle name="Normal 9 2 2 2 3 2 3 2" xfId="21238" xr:uid="{ABA5820C-DB9E-45F9-8C90-841B11249A45}"/>
    <cellStyle name="Normal 9 2 2 2 3 2 3 2 2" xfId="46730" xr:uid="{8B9F8642-8174-4A6A-9C87-90AF3DFFF928}"/>
    <cellStyle name="Normal 9 2 2 2 3 2 3 3" xfId="34139" xr:uid="{AE512E1C-C1F4-4BC3-AD17-9DA9333B2E02}"/>
    <cellStyle name="Normal 9 2 2 2 3 2 4" xfId="14960" xr:uid="{059EBF26-15CC-4574-BA62-F6844939DDEB}"/>
    <cellStyle name="Normal 9 2 2 2 3 2 4 2" xfId="40452" xr:uid="{B0F147F2-B295-4DCF-A646-11992018B057}"/>
    <cellStyle name="Normal 9 2 2 2 3 2 5" xfId="27861" xr:uid="{EA6D129F-DED5-4425-98A5-8CBEE7BF8178}"/>
    <cellStyle name="Normal 9 2 2 2 3 3" xfId="4095" xr:uid="{C00B873E-020C-4D0D-9560-86F1BD08CD4F}"/>
    <cellStyle name="Normal 9 2 2 2 3 3 2" xfId="10388" xr:uid="{FFFF9D09-1991-47BD-BC6E-C5FC1580175D}"/>
    <cellStyle name="Normal 9 2 2 2 3 3 2 2" xfId="23070" xr:uid="{EBFC12C0-5ABA-483A-917F-69C3D60EF63A}"/>
    <cellStyle name="Normal 9 2 2 2 3 3 2 2 2" xfId="48562" xr:uid="{4C3FE54D-FCA9-4D25-8BF4-69C21332800C}"/>
    <cellStyle name="Normal 9 2 2 2 3 3 2 3" xfId="35971" xr:uid="{A7093022-612C-4C31-853D-4995FEC82304}"/>
    <cellStyle name="Normal 9 2 2 2 3 3 3" xfId="16792" xr:uid="{93C3BE8C-6D1A-4DC1-B25E-9622EAB89255}"/>
    <cellStyle name="Normal 9 2 2 2 3 3 3 2" xfId="42284" xr:uid="{A381CA27-A51B-4BF5-9A57-0D369996F396}"/>
    <cellStyle name="Normal 9 2 2 2 3 3 4" xfId="29693" xr:uid="{A356483E-5E45-4703-BEB5-7F8C05F36BC6}"/>
    <cellStyle name="Normal 9 2 2 2 3 4" xfId="7249" xr:uid="{C74A772F-8A6A-437E-9666-7A71554BC43F}"/>
    <cellStyle name="Normal 9 2 2 2 3 4 2" xfId="19931" xr:uid="{58FF63EE-FF15-4143-AB16-1D38FE5BCEFF}"/>
    <cellStyle name="Normal 9 2 2 2 3 4 2 2" xfId="45423" xr:uid="{DF58B8EE-AC7C-4EBF-AE38-237349D1B9AD}"/>
    <cellStyle name="Normal 9 2 2 2 3 4 3" xfId="32832" xr:uid="{0A9E3E1E-1CC9-4E57-9FDF-118E160CF363}"/>
    <cellStyle name="Normal 9 2 2 2 3 5" xfId="13653" xr:uid="{F251C5F7-009C-43F4-B0E2-CA62C6DE3B20}"/>
    <cellStyle name="Normal 9 2 2 2 3 5 2" xfId="39145" xr:uid="{172D7B62-F3F4-4E18-8EB0-148B74785075}"/>
    <cellStyle name="Normal 9 2 2 2 3 6" xfId="26554" xr:uid="{7703A8D3-7902-482E-8491-23DD653F132B}"/>
    <cellStyle name="Normal 9 2 2 2 4" xfId="1986" xr:uid="{F36949D3-3610-4B43-BFAD-3E8100BF94C2}"/>
    <cellStyle name="Normal 9 2 2 2 4 2" xfId="5140" xr:uid="{FC54B4C3-D8C6-4AE9-A7DD-EEDC491AD423}"/>
    <cellStyle name="Normal 9 2 2 2 4 2 2" xfId="11433" xr:uid="{A05DF588-F8F4-40FA-BF1B-02E60E8763F5}"/>
    <cellStyle name="Normal 9 2 2 2 4 2 2 2" xfId="24115" xr:uid="{52006FE1-82AB-4451-90F4-7EA57B1BF8C6}"/>
    <cellStyle name="Normal 9 2 2 2 4 2 2 2 2" xfId="49607" xr:uid="{09EA8A61-27A5-43C7-B726-B310B9AB5EA2}"/>
    <cellStyle name="Normal 9 2 2 2 4 2 2 3" xfId="37016" xr:uid="{88363DF1-4388-4DCE-8CD2-E738AA7F2081}"/>
    <cellStyle name="Normal 9 2 2 2 4 2 3" xfId="17837" xr:uid="{649CCF32-9CE2-48D4-8610-345085BB4B30}"/>
    <cellStyle name="Normal 9 2 2 2 4 2 3 2" xfId="43329" xr:uid="{050B3C02-D52F-4C3E-BD4C-7BACF8B9A8FA}"/>
    <cellStyle name="Normal 9 2 2 2 4 2 4" xfId="30738" xr:uid="{66157E66-75B8-48E7-8606-6D1CE0B16966}"/>
    <cellStyle name="Normal 9 2 2 2 4 3" xfId="8294" xr:uid="{A47C9C2D-919C-432D-9FDB-01CAC7C786D6}"/>
    <cellStyle name="Normal 9 2 2 2 4 3 2" xfId="20976" xr:uid="{0D1B27BA-C2CA-49AF-8BD9-3C04A9FD4365}"/>
    <cellStyle name="Normal 9 2 2 2 4 3 2 2" xfId="46468" xr:uid="{F990F030-3159-4D8E-8A96-CDAA3C3A81DD}"/>
    <cellStyle name="Normal 9 2 2 2 4 3 3" xfId="33877" xr:uid="{C2F54641-0A9A-434F-89DD-E029A1D929C2}"/>
    <cellStyle name="Normal 9 2 2 2 4 4" xfId="14698" xr:uid="{6473A33A-A80A-4A84-8E6B-21868F389DD9}"/>
    <cellStyle name="Normal 9 2 2 2 4 4 2" xfId="40190" xr:uid="{FBC944AD-EB35-46E9-9F4E-3CBB829B265B}"/>
    <cellStyle name="Normal 9 2 2 2 4 5" xfId="27599" xr:uid="{6D7F3C0C-E3A4-4389-96D9-36A4FD0A70E3}"/>
    <cellStyle name="Normal 9 2 2 2 5" xfId="1464" xr:uid="{A7FF6065-CD80-4B12-AFEF-76A29FCAE4F3}"/>
    <cellStyle name="Normal 9 2 2 2 5 2" xfId="4618" xr:uid="{5C8DFC6B-EB1C-4C55-A925-68A1E569E85C}"/>
    <cellStyle name="Normal 9 2 2 2 5 2 2" xfId="10911" xr:uid="{3FE54AA1-60C6-4A61-B335-CF1760A9DF6A}"/>
    <cellStyle name="Normal 9 2 2 2 5 2 2 2" xfId="23593" xr:uid="{02B87130-979D-4C0B-B193-3F97551DC7C4}"/>
    <cellStyle name="Normal 9 2 2 2 5 2 2 2 2" xfId="49085" xr:uid="{D81E927E-EEEF-4E48-99E7-9A8BEDE72610}"/>
    <cellStyle name="Normal 9 2 2 2 5 2 2 3" xfId="36494" xr:uid="{94EF532C-6074-4A72-A647-F81BE4B8B81F}"/>
    <cellStyle name="Normal 9 2 2 2 5 2 3" xfId="17315" xr:uid="{97BCA181-1082-484E-8A5E-35BDDE53C63D}"/>
    <cellStyle name="Normal 9 2 2 2 5 2 3 2" xfId="42807" xr:uid="{89AD89C9-37CE-4399-B69D-4844A760EFD3}"/>
    <cellStyle name="Normal 9 2 2 2 5 2 4" xfId="30216" xr:uid="{EA5DCF48-BA60-4876-9E63-047FABA2C4E6}"/>
    <cellStyle name="Normal 9 2 2 2 5 3" xfId="7772" xr:uid="{C30732EA-88CA-4FF9-A279-67F4E07A5EA2}"/>
    <cellStyle name="Normal 9 2 2 2 5 3 2" xfId="20454" xr:uid="{B748774E-7D36-49B3-900C-CF846DBBBFFC}"/>
    <cellStyle name="Normal 9 2 2 2 5 3 2 2" xfId="45946" xr:uid="{EF43C06B-55AC-4BD5-B984-B983CDDF2D2C}"/>
    <cellStyle name="Normal 9 2 2 2 5 3 3" xfId="33355" xr:uid="{9928AAAB-2BE5-4AE5-B76E-6447EF9C1DDA}"/>
    <cellStyle name="Normal 9 2 2 2 5 4" xfId="14176" xr:uid="{749CCAE3-5263-4CCD-94ED-D7EA328C2119}"/>
    <cellStyle name="Normal 9 2 2 2 5 4 2" xfId="39668" xr:uid="{FDC01E9D-7B7C-4AE8-9D96-91352D324037}"/>
    <cellStyle name="Normal 9 2 2 2 5 5" xfId="27077" xr:uid="{5EF098D9-E02A-448E-8770-A704A01245F7}"/>
    <cellStyle name="Normal 9 2 2 2 6" xfId="2771" xr:uid="{1786A975-9481-41AB-B960-8B9F275F39E4}"/>
    <cellStyle name="Normal 9 2 2 2 6 2" xfId="5925" xr:uid="{75A2D2F6-558D-40BF-807B-DB384D45AA97}"/>
    <cellStyle name="Normal 9 2 2 2 6 2 2" xfId="12218" xr:uid="{B11C2ED2-8C1B-432E-B860-E1D42E5D2931}"/>
    <cellStyle name="Normal 9 2 2 2 6 2 2 2" xfId="24900" xr:uid="{EDF1DA9A-2777-4512-968E-77F27BCCC741}"/>
    <cellStyle name="Normal 9 2 2 2 6 2 2 2 2" xfId="50392" xr:uid="{01C1B030-E21C-48C4-9584-0BC0FF2E7BF3}"/>
    <cellStyle name="Normal 9 2 2 2 6 2 2 3" xfId="37801" xr:uid="{D8A075C9-E1BD-4CE6-9310-FC51F0D6BB52}"/>
    <cellStyle name="Normal 9 2 2 2 6 2 3" xfId="18622" xr:uid="{4D1E6CFF-A2DE-43A5-B561-AABD9FC57F60}"/>
    <cellStyle name="Normal 9 2 2 2 6 2 3 2" xfId="44114" xr:uid="{9A5C690E-C783-4910-87A5-DC769F2BA7B5}"/>
    <cellStyle name="Normal 9 2 2 2 6 2 4" xfId="31523" xr:uid="{549F8FD2-9C90-4BBD-AE0F-8DB2E48D8227}"/>
    <cellStyle name="Normal 9 2 2 2 6 3" xfId="9079" xr:uid="{907620AE-D9B4-4852-AFE7-3866992ABA5B}"/>
    <cellStyle name="Normal 9 2 2 2 6 3 2" xfId="21761" xr:uid="{2D0E5454-C5E4-44E2-BEE3-5D24EE3B32D3}"/>
    <cellStyle name="Normal 9 2 2 2 6 3 2 2" xfId="47253" xr:uid="{13727DE4-E50D-4A42-8AFF-13EF717F1F27}"/>
    <cellStyle name="Normal 9 2 2 2 6 3 3" xfId="34662" xr:uid="{84729341-1A2C-4841-B8C3-A10A9262388E}"/>
    <cellStyle name="Normal 9 2 2 2 6 4" xfId="15483" xr:uid="{E7E6B64B-9A76-42E2-987B-D7791E46E4C9}"/>
    <cellStyle name="Normal 9 2 2 2 6 4 2" xfId="40975" xr:uid="{3B6B4411-EA55-4DB3-B4BE-D0202D2F1C19}"/>
    <cellStyle name="Normal 9 2 2 2 6 5" xfId="28384" xr:uid="{4DF60E42-B1D3-43C1-96FD-960A3BC13458}"/>
    <cellStyle name="Normal 9 2 2 2 7" xfId="3294" xr:uid="{FF6A6C32-2493-480E-B202-E845BB82889B}"/>
    <cellStyle name="Normal 9 2 2 2 7 2" xfId="6448" xr:uid="{0C77FD0C-C482-4CD5-98D6-C20071C55309}"/>
    <cellStyle name="Normal 9 2 2 2 7 2 2" xfId="12741" xr:uid="{6BE3436A-AD58-4168-9253-C6E2C5D8C7B8}"/>
    <cellStyle name="Normal 9 2 2 2 7 2 2 2" xfId="25423" xr:uid="{E66E05E9-1CE2-4C28-B05F-5D819FA28F15}"/>
    <cellStyle name="Normal 9 2 2 2 7 2 2 2 2" xfId="50915" xr:uid="{7DD72C30-7C33-4AA8-A841-B93F088B6100}"/>
    <cellStyle name="Normal 9 2 2 2 7 2 2 3" xfId="38324" xr:uid="{34EB7828-93C1-4597-B9C8-5A37FF055D47}"/>
    <cellStyle name="Normal 9 2 2 2 7 2 3" xfId="19145" xr:uid="{A89ACA8A-8CF7-4FD6-A3D1-11A87C4A223A}"/>
    <cellStyle name="Normal 9 2 2 2 7 2 3 2" xfId="44637" xr:uid="{473D7D7A-2C68-4A84-8324-5FDE85BCF7CC}"/>
    <cellStyle name="Normal 9 2 2 2 7 2 4" xfId="32046" xr:uid="{BBA656BE-D169-4D61-BDC7-36B833F87E6B}"/>
    <cellStyle name="Normal 9 2 2 2 7 3" xfId="9602" xr:uid="{7B72B46A-F39C-44A3-8FDA-BB0F8FF1906B}"/>
    <cellStyle name="Normal 9 2 2 2 7 3 2" xfId="22284" xr:uid="{A10EB01E-1148-4F77-8E7C-43BEFFC28506}"/>
    <cellStyle name="Normal 9 2 2 2 7 3 2 2" xfId="47776" xr:uid="{98BA9E4F-B6F8-4051-B315-F1586A9B5438}"/>
    <cellStyle name="Normal 9 2 2 2 7 3 3" xfId="35185" xr:uid="{7C4B619C-8284-4C8B-919E-13F8A67E4685}"/>
    <cellStyle name="Normal 9 2 2 2 7 4" xfId="16006" xr:uid="{84623224-D4BB-4DF7-9B7F-43628898BAE7}"/>
    <cellStyle name="Normal 9 2 2 2 7 4 2" xfId="41498" xr:uid="{E0BF6444-46FB-4743-ADB0-0D424A0A77C0}"/>
    <cellStyle name="Normal 9 2 2 2 7 5" xfId="28907" xr:uid="{CD83C0DF-8EF3-4A1B-BD2F-214E43BC1A33}"/>
    <cellStyle name="Normal 9 2 2 2 8" xfId="3833" xr:uid="{BB25D235-F1E9-47C1-9549-9C10B2DB2CA7}"/>
    <cellStyle name="Normal 9 2 2 2 8 2" xfId="10126" xr:uid="{F3327E0F-690C-4678-B616-5B2D04F1DE78}"/>
    <cellStyle name="Normal 9 2 2 2 8 2 2" xfId="22808" xr:uid="{F1F13D97-37D6-4BAA-9922-1EBA30C79CA6}"/>
    <cellStyle name="Normal 9 2 2 2 8 2 2 2" xfId="48300" xr:uid="{FA22B883-E4AF-4976-8AE1-A9E4335C435C}"/>
    <cellStyle name="Normal 9 2 2 2 8 2 3" xfId="35709" xr:uid="{D27C6263-E642-40E6-99D6-A38E3898BEEC}"/>
    <cellStyle name="Normal 9 2 2 2 8 3" xfId="16530" xr:uid="{A4ECEBC5-B367-4A2D-84A8-3E05A5475EDD}"/>
    <cellStyle name="Normal 9 2 2 2 8 3 2" xfId="42022" xr:uid="{A8E1EC06-151C-49FC-8847-65D9AD7ABCC3}"/>
    <cellStyle name="Normal 9 2 2 2 8 4" xfId="29431" xr:uid="{26458A00-B027-4211-AF75-4D1D67BFB037}"/>
    <cellStyle name="Normal 9 2 2 2 9" xfId="6987" xr:uid="{FD1C8205-0310-4143-AB6D-4ADDDDBA2052}"/>
    <cellStyle name="Normal 9 2 2 2 9 2" xfId="19669" xr:uid="{372C4AEF-DF78-4705-B413-0E313403C590}"/>
    <cellStyle name="Normal 9 2 2 2 9 2 2" xfId="45161" xr:uid="{D5F97FA6-E9D3-4A00-87A5-C5128A6CDC6A}"/>
    <cellStyle name="Normal 9 2 2 2 9 3" xfId="32570" xr:uid="{D0A6238E-5D8E-4797-BA43-033E31D88FCD}"/>
    <cellStyle name="Normal 9 2 2 3" xfId="1042" xr:uid="{9825FAEA-13E5-4E62-9335-727A3E72268B}"/>
    <cellStyle name="Normal 9 2 2 3 2" xfId="2349" xr:uid="{6ADB9BAB-0609-4D60-92F2-7334F5B44DF0}"/>
    <cellStyle name="Normal 9 2 2 3 2 2" xfId="5503" xr:uid="{0BB88FD4-9EF4-4ABD-9F4B-1F9B73C52221}"/>
    <cellStyle name="Normal 9 2 2 3 2 2 2" xfId="11796" xr:uid="{2A71524F-2611-4397-A7D4-CC281B88AB5A}"/>
    <cellStyle name="Normal 9 2 2 3 2 2 2 2" xfId="24478" xr:uid="{900B6B5A-DB3B-4D63-A694-5A6FCC93DFEA}"/>
    <cellStyle name="Normal 9 2 2 3 2 2 2 2 2" xfId="49970" xr:uid="{66A2843D-FC7F-4404-954E-DB8302E817DE}"/>
    <cellStyle name="Normal 9 2 2 3 2 2 2 3" xfId="37379" xr:uid="{22F080B8-1488-48E4-8913-DD25FAED59C5}"/>
    <cellStyle name="Normal 9 2 2 3 2 2 3" xfId="18200" xr:uid="{BC50D477-6EAB-4FF9-A870-4D77C2D83D11}"/>
    <cellStyle name="Normal 9 2 2 3 2 2 3 2" xfId="43692" xr:uid="{3979ECDF-037E-4E3A-B5C2-02C6BC3138A0}"/>
    <cellStyle name="Normal 9 2 2 3 2 2 4" xfId="31101" xr:uid="{D8212AE3-BBF2-4F24-8F2E-3998BAB32AAE}"/>
    <cellStyle name="Normal 9 2 2 3 2 3" xfId="8657" xr:uid="{D2850865-A191-4658-AF40-17D07C5B5612}"/>
    <cellStyle name="Normal 9 2 2 3 2 3 2" xfId="21339" xr:uid="{C14278F5-CEF1-443C-8F15-21D878170C0A}"/>
    <cellStyle name="Normal 9 2 2 3 2 3 2 2" xfId="46831" xr:uid="{59CE4870-D56E-47E2-A0C5-2CA34562CEFB}"/>
    <cellStyle name="Normal 9 2 2 3 2 3 3" xfId="34240" xr:uid="{8C9BFF35-DF8F-43B6-8032-2A87E58C0429}"/>
    <cellStyle name="Normal 9 2 2 3 2 4" xfId="15061" xr:uid="{84093EA9-2A45-4706-BD19-E0F71527D21C}"/>
    <cellStyle name="Normal 9 2 2 3 2 4 2" xfId="40553" xr:uid="{843CF776-EB89-4AE6-8AFA-C488B6962170}"/>
    <cellStyle name="Normal 9 2 2 3 2 5" xfId="27962" xr:uid="{CD0744E7-6981-4149-A40E-62BFA6828B26}"/>
    <cellStyle name="Normal 9 2 2 3 3" xfId="1566" xr:uid="{836F3AF6-4675-414A-B9A1-CD741440D79A}"/>
    <cellStyle name="Normal 9 2 2 3 3 2" xfId="4720" xr:uid="{B8DE9B8B-7B18-4EC9-8C21-C0A278DEC69A}"/>
    <cellStyle name="Normal 9 2 2 3 3 2 2" xfId="11013" xr:uid="{79DB78E7-77CC-4991-99AC-566EF34BE77F}"/>
    <cellStyle name="Normal 9 2 2 3 3 2 2 2" xfId="23695" xr:uid="{7721EE5C-EE44-49C2-98B2-8BB9827E9AA5}"/>
    <cellStyle name="Normal 9 2 2 3 3 2 2 2 2" xfId="49187" xr:uid="{E56B1F30-BEDB-4A72-B650-E75C21CD251F}"/>
    <cellStyle name="Normal 9 2 2 3 3 2 2 3" xfId="36596" xr:uid="{127D2D88-0C6E-428B-A861-826F4E417679}"/>
    <cellStyle name="Normal 9 2 2 3 3 2 3" xfId="17417" xr:uid="{260EF284-0DB5-4FF8-A41A-0F97FE86F3C6}"/>
    <cellStyle name="Normal 9 2 2 3 3 2 3 2" xfId="42909" xr:uid="{64678B50-844F-49F8-A07D-249788E3C331}"/>
    <cellStyle name="Normal 9 2 2 3 3 2 4" xfId="30318" xr:uid="{1DAC2A59-F4DF-4A59-8386-7B5DA6E9469E}"/>
    <cellStyle name="Normal 9 2 2 3 3 3" xfId="7874" xr:uid="{9741B62E-DA5C-405E-BA6B-1FB7266D44DE}"/>
    <cellStyle name="Normal 9 2 2 3 3 3 2" xfId="20556" xr:uid="{2FD98ABD-F83C-4FC3-B70E-3F2542636464}"/>
    <cellStyle name="Normal 9 2 2 3 3 3 2 2" xfId="46048" xr:uid="{B7908CFA-84E7-4C8B-9C04-02231F9ACE74}"/>
    <cellStyle name="Normal 9 2 2 3 3 3 3" xfId="33457" xr:uid="{30EDEA3B-461A-4060-9D36-5F31607278B8}"/>
    <cellStyle name="Normal 9 2 2 3 3 4" xfId="14278" xr:uid="{20C5C732-85BD-4DFB-B421-92B8F6F41C51}"/>
    <cellStyle name="Normal 9 2 2 3 3 4 2" xfId="39770" xr:uid="{4390D214-C8DD-4444-8673-9B13BB709909}"/>
    <cellStyle name="Normal 9 2 2 3 3 5" xfId="27179" xr:uid="{CB451CE7-CC83-42B7-98F7-E86CAFC67B86}"/>
    <cellStyle name="Normal 9 2 2 3 4" xfId="2873" xr:uid="{A4EA3638-E19C-461B-8A7F-1DFC6BE0DBD9}"/>
    <cellStyle name="Normal 9 2 2 3 4 2" xfId="6027" xr:uid="{E51F3489-15AB-44CF-B524-2BE27818D6C8}"/>
    <cellStyle name="Normal 9 2 2 3 4 2 2" xfId="12320" xr:uid="{44D067F5-A441-415E-8A55-B50A0543E166}"/>
    <cellStyle name="Normal 9 2 2 3 4 2 2 2" xfId="25002" xr:uid="{2689B8CF-C689-462F-8D3D-82F431567BC7}"/>
    <cellStyle name="Normal 9 2 2 3 4 2 2 2 2" xfId="50494" xr:uid="{AEB09D85-F0E0-4799-9F2D-B0D46EA9E75D}"/>
    <cellStyle name="Normal 9 2 2 3 4 2 2 3" xfId="37903" xr:uid="{EFC054EA-C957-44FD-9735-6C56EABD7587}"/>
    <cellStyle name="Normal 9 2 2 3 4 2 3" xfId="18724" xr:uid="{CB1704C0-EF3B-463A-9949-689C42E4475F}"/>
    <cellStyle name="Normal 9 2 2 3 4 2 3 2" xfId="44216" xr:uid="{B6DE798E-EF7B-40F4-A766-12481404E48B}"/>
    <cellStyle name="Normal 9 2 2 3 4 2 4" xfId="31625" xr:uid="{00381056-E4B0-4C1B-B929-FCAC0D5EE709}"/>
    <cellStyle name="Normal 9 2 2 3 4 3" xfId="9181" xr:uid="{F18B0316-33DC-43F5-A6B7-0A52920DEF39}"/>
    <cellStyle name="Normal 9 2 2 3 4 3 2" xfId="21863" xr:uid="{C0C47C3E-3522-4379-BA77-9C19750C90BA}"/>
    <cellStyle name="Normal 9 2 2 3 4 3 2 2" xfId="47355" xr:uid="{5438A0A6-A71C-4D2F-A8E4-FE4CE997A6BA}"/>
    <cellStyle name="Normal 9 2 2 3 4 3 3" xfId="34764" xr:uid="{544F1D0D-0C10-4069-BF40-02FE6954FA5E}"/>
    <cellStyle name="Normal 9 2 2 3 4 4" xfId="15585" xr:uid="{05439E58-488B-4495-837E-D70DDC10084D}"/>
    <cellStyle name="Normal 9 2 2 3 4 4 2" xfId="41077" xr:uid="{3988782B-345D-4D36-8D1F-92CD991D7BC6}"/>
    <cellStyle name="Normal 9 2 2 3 4 5" xfId="28486" xr:uid="{FD64862C-9914-4758-97B1-E9EF24D12D80}"/>
    <cellStyle name="Normal 9 2 2 3 5" xfId="3396" xr:uid="{20076580-BD83-4CB2-9BE1-4DF5C5B7011A}"/>
    <cellStyle name="Normal 9 2 2 3 5 2" xfId="6550" xr:uid="{B8E7D349-42BA-4C97-9365-674E76F3876E}"/>
    <cellStyle name="Normal 9 2 2 3 5 2 2" xfId="12843" xr:uid="{8FEEDE29-D9A9-4A7B-9E21-293770683EFF}"/>
    <cellStyle name="Normal 9 2 2 3 5 2 2 2" xfId="25525" xr:uid="{4253C9D8-8DA6-498D-801F-B1C7A6168867}"/>
    <cellStyle name="Normal 9 2 2 3 5 2 2 2 2" xfId="51017" xr:uid="{432C95B5-A34B-4644-9020-4F0BB4737BBD}"/>
    <cellStyle name="Normal 9 2 2 3 5 2 2 3" xfId="38426" xr:uid="{5E806808-146F-4335-B481-C8170C1D39EF}"/>
    <cellStyle name="Normal 9 2 2 3 5 2 3" xfId="19247" xr:uid="{B177D29F-B6D8-4E6C-8358-F487E115B127}"/>
    <cellStyle name="Normal 9 2 2 3 5 2 3 2" xfId="44739" xr:uid="{900921C7-FBE5-4F1D-B103-AD6344192284}"/>
    <cellStyle name="Normal 9 2 2 3 5 2 4" xfId="32148" xr:uid="{02C917CD-053C-4712-B81C-DFB2C72941C3}"/>
    <cellStyle name="Normal 9 2 2 3 5 3" xfId="9704" xr:uid="{EDD11A6C-6396-4CA2-81D3-B8BF1E247928}"/>
    <cellStyle name="Normal 9 2 2 3 5 3 2" xfId="22386" xr:uid="{D0672AF6-73CC-4931-99DA-6412FF5CAF0A}"/>
    <cellStyle name="Normal 9 2 2 3 5 3 2 2" xfId="47878" xr:uid="{BED98595-02A7-4B85-800D-32BA6E65A73B}"/>
    <cellStyle name="Normal 9 2 2 3 5 3 3" xfId="35287" xr:uid="{A793721F-78A3-44A2-BF16-705F23B5C1CE}"/>
    <cellStyle name="Normal 9 2 2 3 5 4" xfId="16108" xr:uid="{27F0A409-D982-4697-8CB5-BCA11763CF10}"/>
    <cellStyle name="Normal 9 2 2 3 5 4 2" xfId="41600" xr:uid="{9A1A1514-6712-4BD7-8AE6-661E7B264736}"/>
    <cellStyle name="Normal 9 2 2 3 5 5" xfId="29009" xr:uid="{686D7D72-AD38-4DB5-A771-1930828745C5}"/>
    <cellStyle name="Normal 9 2 2 3 6" xfId="4196" xr:uid="{C6727699-327C-417D-ADAF-5390290F5D8C}"/>
    <cellStyle name="Normal 9 2 2 3 6 2" xfId="10489" xr:uid="{1605801A-2834-40D2-A2A6-B4006F44FEE0}"/>
    <cellStyle name="Normal 9 2 2 3 6 2 2" xfId="23171" xr:uid="{89D0422B-47F9-464D-A326-F69E56985525}"/>
    <cellStyle name="Normal 9 2 2 3 6 2 2 2" xfId="48663" xr:uid="{48CFECE1-E71B-491A-9E54-76360E8BF85F}"/>
    <cellStyle name="Normal 9 2 2 3 6 2 3" xfId="36072" xr:uid="{CED59A17-F629-45B1-9D31-C0B01DE52570}"/>
    <cellStyle name="Normal 9 2 2 3 6 3" xfId="16893" xr:uid="{BAE4922B-032F-4A42-BE83-FD4DD364AF34}"/>
    <cellStyle name="Normal 9 2 2 3 6 3 2" xfId="42385" xr:uid="{E9E3FD79-9095-49E9-BB98-BF1300CE7619}"/>
    <cellStyle name="Normal 9 2 2 3 6 4" xfId="29794" xr:uid="{8706F5F3-61CD-4558-85E0-85A22F28E92D}"/>
    <cellStyle name="Normal 9 2 2 3 7" xfId="7350" xr:uid="{7E92F309-A4E4-465B-B569-4AA2DFC8743A}"/>
    <cellStyle name="Normal 9 2 2 3 7 2" xfId="20032" xr:uid="{8EDBB3C7-3C01-4284-8254-1D00E1BD052C}"/>
    <cellStyle name="Normal 9 2 2 3 7 2 2" xfId="45524" xr:uid="{0BA9BC73-7B88-4F66-87A4-FB7D33B19BD4}"/>
    <cellStyle name="Normal 9 2 2 3 7 3" xfId="32933" xr:uid="{E3CB4F5D-DC0A-4765-B3CF-6539C1101063}"/>
    <cellStyle name="Normal 9 2 2 3 8" xfId="13754" xr:uid="{CAA4AABC-482D-4592-B291-D83B820EA3F7}"/>
    <cellStyle name="Normal 9 2 2 3 8 2" xfId="39246" xr:uid="{D8E70B74-433D-4569-9621-27239F4626A0}"/>
    <cellStyle name="Normal 9 2 2 3 9" xfId="26655" xr:uid="{38E3EC4D-0E91-4338-88E4-E7221497147E}"/>
    <cellStyle name="Normal 9 2 2 4" xfId="782" xr:uid="{2CB9D561-5B96-4027-9590-AF05707B5759}"/>
    <cellStyle name="Normal 9 2 2 4 2" xfId="2089" xr:uid="{3D235721-6962-4A3E-912E-15AFF7E06556}"/>
    <cellStyle name="Normal 9 2 2 4 2 2" xfId="5243" xr:uid="{1FFFE9BE-4641-4711-9E88-99DA7EE1AFAF}"/>
    <cellStyle name="Normal 9 2 2 4 2 2 2" xfId="11536" xr:uid="{9C5BD66C-51E3-4716-8A2A-B14F3B8D3739}"/>
    <cellStyle name="Normal 9 2 2 4 2 2 2 2" xfId="24218" xr:uid="{6C0F63CC-0B84-4FED-BFFC-ED91C6B810F2}"/>
    <cellStyle name="Normal 9 2 2 4 2 2 2 2 2" xfId="49710" xr:uid="{5B593C41-BAF7-40AA-8786-69D01B1C6860}"/>
    <cellStyle name="Normal 9 2 2 4 2 2 2 3" xfId="37119" xr:uid="{E84A5645-3703-4796-92AD-44F77828ED85}"/>
    <cellStyle name="Normal 9 2 2 4 2 2 3" xfId="17940" xr:uid="{6CDCE86E-F011-4EE0-B0B2-A8BFBE88A001}"/>
    <cellStyle name="Normal 9 2 2 4 2 2 3 2" xfId="43432" xr:uid="{AB685C71-D061-4321-9132-0F6395C439BF}"/>
    <cellStyle name="Normal 9 2 2 4 2 2 4" xfId="30841" xr:uid="{94CF4D5E-DBB3-4ED5-AB16-94660ADB99D6}"/>
    <cellStyle name="Normal 9 2 2 4 2 3" xfId="8397" xr:uid="{F4BEB5EA-9C26-44B1-A16F-FADFCA26BE7D}"/>
    <cellStyle name="Normal 9 2 2 4 2 3 2" xfId="21079" xr:uid="{012D973B-AB45-4CC7-846D-97656BF2E5AC}"/>
    <cellStyle name="Normal 9 2 2 4 2 3 2 2" xfId="46571" xr:uid="{846A7664-F98A-4B79-A235-8E382AD15EBD}"/>
    <cellStyle name="Normal 9 2 2 4 2 3 3" xfId="33980" xr:uid="{5D32DCA7-1BA3-4AE3-ADE7-B8DCB3C24EDF}"/>
    <cellStyle name="Normal 9 2 2 4 2 4" xfId="14801" xr:uid="{1BCC3A0A-BF6D-49CB-8B29-666BB6E251C7}"/>
    <cellStyle name="Normal 9 2 2 4 2 4 2" xfId="40293" xr:uid="{C4F3DEF3-4D2F-4D29-AA04-5F6927AA6081}"/>
    <cellStyle name="Normal 9 2 2 4 2 5" xfId="27702" xr:uid="{53F755C6-3A63-40CD-8BED-FB173EC76AC4}"/>
    <cellStyle name="Normal 9 2 2 4 3" xfId="3936" xr:uid="{DEE33624-E7D1-440C-A343-22EA6DDA7854}"/>
    <cellStyle name="Normal 9 2 2 4 3 2" xfId="10229" xr:uid="{B39E3C4A-E7C1-44EE-947D-086E254B479F}"/>
    <cellStyle name="Normal 9 2 2 4 3 2 2" xfId="22911" xr:uid="{03A790F2-153A-4887-B825-FA59B5B35C7D}"/>
    <cellStyle name="Normal 9 2 2 4 3 2 2 2" xfId="48403" xr:uid="{08BC2FD0-1A5D-4842-8734-C4B060144A5D}"/>
    <cellStyle name="Normal 9 2 2 4 3 2 3" xfId="35812" xr:uid="{12AF7703-F439-495F-B139-3605E63E7EBB}"/>
    <cellStyle name="Normal 9 2 2 4 3 3" xfId="16633" xr:uid="{1128E2EA-5EFB-446C-8580-DEA9F772C99F}"/>
    <cellStyle name="Normal 9 2 2 4 3 3 2" xfId="42125" xr:uid="{E866B10A-5869-44B0-9E41-49BE612A3EEB}"/>
    <cellStyle name="Normal 9 2 2 4 3 4" xfId="29534" xr:uid="{52B82526-741C-4822-B9CC-042158042C81}"/>
    <cellStyle name="Normal 9 2 2 4 4" xfId="7090" xr:uid="{94899639-ABFB-44C6-B020-A0284B24DC95}"/>
    <cellStyle name="Normal 9 2 2 4 4 2" xfId="19772" xr:uid="{FA700B5A-C1AD-40C1-9ADA-244BFD230B1F}"/>
    <cellStyle name="Normal 9 2 2 4 4 2 2" xfId="45264" xr:uid="{816EC53E-5667-45F5-A238-8B34F080D725}"/>
    <cellStyle name="Normal 9 2 2 4 4 3" xfId="32673" xr:uid="{54C389DF-825B-45A6-BA59-5D3928077A2B}"/>
    <cellStyle name="Normal 9 2 2 4 5" xfId="13494" xr:uid="{88CA2D7C-129C-4A81-83B7-094369C3275A}"/>
    <cellStyle name="Normal 9 2 2 4 5 2" xfId="38986" xr:uid="{8D1F228E-5D34-490C-B8AD-D4D1D89C6AC3}"/>
    <cellStyle name="Normal 9 2 2 4 6" xfId="26395" xr:uid="{ADF5ECD5-86EC-47B3-BA59-B8D15FB2401F}"/>
    <cellStyle name="Normal 9 2 2 5" xfId="1827" xr:uid="{012C017E-0087-45A4-90DA-33B259F41DCD}"/>
    <cellStyle name="Normal 9 2 2 5 2" xfId="4981" xr:uid="{7CFBA51B-6C11-4178-83CE-0A32E9DC3369}"/>
    <cellStyle name="Normal 9 2 2 5 2 2" xfId="11274" xr:uid="{EC0D6DFD-E08F-4B94-A725-4245B35F05FD}"/>
    <cellStyle name="Normal 9 2 2 5 2 2 2" xfId="23956" xr:uid="{4F73B73D-405E-4ECC-82C6-51F839887CA9}"/>
    <cellStyle name="Normal 9 2 2 5 2 2 2 2" xfId="49448" xr:uid="{1FF50A05-86B7-43AE-8F6A-2E05F2A4779A}"/>
    <cellStyle name="Normal 9 2 2 5 2 2 3" xfId="36857" xr:uid="{4F41FB74-F61B-44CB-BC0A-10BD467E9CFC}"/>
    <cellStyle name="Normal 9 2 2 5 2 3" xfId="17678" xr:uid="{41455B36-8495-4454-BDB1-6D3BACD837ED}"/>
    <cellStyle name="Normal 9 2 2 5 2 3 2" xfId="43170" xr:uid="{15A44A62-E4BE-4DC1-8FBD-71301E264AC1}"/>
    <cellStyle name="Normal 9 2 2 5 2 4" xfId="30579" xr:uid="{F01A0DE7-6EE5-419E-AFEE-71BD18AAEAFA}"/>
    <cellStyle name="Normal 9 2 2 5 3" xfId="8135" xr:uid="{78C4B296-5908-40E7-A8E6-CE9953C66D95}"/>
    <cellStyle name="Normal 9 2 2 5 3 2" xfId="20817" xr:uid="{DB7C145A-DC16-45B3-834B-5D7A8C5B6C01}"/>
    <cellStyle name="Normal 9 2 2 5 3 2 2" xfId="46309" xr:uid="{D9E1114B-201D-4A76-9325-04123C28735F}"/>
    <cellStyle name="Normal 9 2 2 5 3 3" xfId="33718" xr:uid="{9DB29AEB-77EC-4AB2-8C2F-1D7A10749488}"/>
    <cellStyle name="Normal 9 2 2 5 4" xfId="14539" xr:uid="{D71C96F6-34D0-4523-840E-DF37E1BFF67D}"/>
    <cellStyle name="Normal 9 2 2 5 4 2" xfId="40031" xr:uid="{E4FAADBC-6464-4A64-987C-3B20B9707D7A}"/>
    <cellStyle name="Normal 9 2 2 5 5" xfId="27440" xr:uid="{7DBC5B6C-DCE0-4D8F-9E4B-D1819AEBBE1A}"/>
    <cellStyle name="Normal 9 2 2 6" xfId="1305" xr:uid="{E2D42A0F-672B-4254-9ACD-C082FB9C2732}"/>
    <cellStyle name="Normal 9 2 2 6 2" xfId="4459" xr:uid="{51166935-47D0-4BC0-AEB3-6508BF06AAB4}"/>
    <cellStyle name="Normal 9 2 2 6 2 2" xfId="10752" xr:uid="{B9AB7D04-F16D-4E5F-8AFA-404C4F7CA72E}"/>
    <cellStyle name="Normal 9 2 2 6 2 2 2" xfId="23434" xr:uid="{619F323C-588E-4F9F-96EE-5FD57E3B3A8E}"/>
    <cellStyle name="Normal 9 2 2 6 2 2 2 2" xfId="48926" xr:uid="{F6A6F4A8-465C-40B4-8B43-BC76AABDA132}"/>
    <cellStyle name="Normal 9 2 2 6 2 2 3" xfId="36335" xr:uid="{067A7466-8C5B-475F-8228-F329190F2504}"/>
    <cellStyle name="Normal 9 2 2 6 2 3" xfId="17156" xr:uid="{6CD9543E-FDBA-479B-B837-AF2EEE5E2539}"/>
    <cellStyle name="Normal 9 2 2 6 2 3 2" xfId="42648" xr:uid="{F59AEC03-0A47-4BFC-9FFD-8BF298E6854E}"/>
    <cellStyle name="Normal 9 2 2 6 2 4" xfId="30057" xr:uid="{88B47C10-DF8F-4D1E-B20A-5B2C823BE4E6}"/>
    <cellStyle name="Normal 9 2 2 6 3" xfId="7613" xr:uid="{C4EDD5AB-591B-4D1E-916B-8CD68E04DB10}"/>
    <cellStyle name="Normal 9 2 2 6 3 2" xfId="20295" xr:uid="{1255B7D6-9549-46E4-8EC5-96CA6B40237B}"/>
    <cellStyle name="Normal 9 2 2 6 3 2 2" xfId="45787" xr:uid="{AE46E890-56A0-460E-8300-C4795EB3FF9C}"/>
    <cellStyle name="Normal 9 2 2 6 3 3" xfId="33196" xr:uid="{684431DF-B1A2-4EF8-A06B-1635C91A7C9F}"/>
    <cellStyle name="Normal 9 2 2 6 4" xfId="14017" xr:uid="{1C2222CB-1115-40B4-B429-4581548229F3}"/>
    <cellStyle name="Normal 9 2 2 6 4 2" xfId="39509" xr:uid="{AF18E8F8-17CA-48FF-A5F8-14351D1763B7}"/>
    <cellStyle name="Normal 9 2 2 6 5" xfId="26918" xr:uid="{8DE3D2B5-627B-43BB-9B95-F1AFADA7580A}"/>
    <cellStyle name="Normal 9 2 2 7" xfId="2612" xr:uid="{56CCE77F-CC0B-4957-BDAC-2478E80229C6}"/>
    <cellStyle name="Normal 9 2 2 7 2" xfId="5766" xr:uid="{882FB2D9-4236-41E6-B8F5-4BDCD5CAA8EC}"/>
    <cellStyle name="Normal 9 2 2 7 2 2" xfId="12059" xr:uid="{F650646F-3794-43FD-8D0E-E59D484F0C88}"/>
    <cellStyle name="Normal 9 2 2 7 2 2 2" xfId="24741" xr:uid="{02994C03-09E2-4BBA-862E-4CD38DE84DF7}"/>
    <cellStyle name="Normal 9 2 2 7 2 2 2 2" xfId="50233" xr:uid="{8F4E2162-CA59-4FFB-BDA2-BEF336779E05}"/>
    <cellStyle name="Normal 9 2 2 7 2 2 3" xfId="37642" xr:uid="{800BFD7E-D5BA-4A9E-A94B-5EE36AEA7FCA}"/>
    <cellStyle name="Normal 9 2 2 7 2 3" xfId="18463" xr:uid="{ABE53E85-ADF4-40CF-B131-641C2FF59863}"/>
    <cellStyle name="Normal 9 2 2 7 2 3 2" xfId="43955" xr:uid="{7A0553B6-C6AE-4C99-88CC-3D4C75872BF7}"/>
    <cellStyle name="Normal 9 2 2 7 2 4" xfId="31364" xr:uid="{CFC74931-5376-4A52-9086-C3CD0BD3F6EF}"/>
    <cellStyle name="Normal 9 2 2 7 3" xfId="8920" xr:uid="{2AEDABE3-9204-41CA-A617-DCABC5F5B0AA}"/>
    <cellStyle name="Normal 9 2 2 7 3 2" xfId="21602" xr:uid="{D584CCB2-A678-4C8B-8086-80ACD394BD29}"/>
    <cellStyle name="Normal 9 2 2 7 3 2 2" xfId="47094" xr:uid="{8DCD7B91-ECFE-43DF-8233-9D682D10363C}"/>
    <cellStyle name="Normal 9 2 2 7 3 3" xfId="34503" xr:uid="{03E71B77-6F82-4DD7-AED0-6261D01EA700}"/>
    <cellStyle name="Normal 9 2 2 7 4" xfId="15324" xr:uid="{B8035659-8DB2-4084-8BD4-EB71A9E1476E}"/>
    <cellStyle name="Normal 9 2 2 7 4 2" xfId="40816" xr:uid="{3ED58B0A-FC8F-4A08-85E8-27FE57DB8537}"/>
    <cellStyle name="Normal 9 2 2 7 5" xfId="28225" xr:uid="{F937EBCD-ACDA-43C0-99C7-F1E3C7D9D03B}"/>
    <cellStyle name="Normal 9 2 2 8" xfId="3135" xr:uid="{1ED7D0A8-8CC9-4E80-B317-E35AA8450501}"/>
    <cellStyle name="Normal 9 2 2 8 2" xfId="6289" xr:uid="{7F9CF9E9-D924-4580-9658-6C4B77017641}"/>
    <cellStyle name="Normal 9 2 2 8 2 2" xfId="12582" xr:uid="{79313672-9205-4534-AF55-0C59661446B7}"/>
    <cellStyle name="Normal 9 2 2 8 2 2 2" xfId="25264" xr:uid="{43EE6A82-C844-43AF-AAD7-B6F93BCD1F36}"/>
    <cellStyle name="Normal 9 2 2 8 2 2 2 2" xfId="50756" xr:uid="{A27FF2DC-7905-4CD2-B66D-49A5783A7EA4}"/>
    <cellStyle name="Normal 9 2 2 8 2 2 3" xfId="38165" xr:uid="{D89286A7-04CA-4E37-8A9A-8D948F9D7760}"/>
    <cellStyle name="Normal 9 2 2 8 2 3" xfId="18986" xr:uid="{496D79E0-C9E8-4909-8AEE-23988EFD95BB}"/>
    <cellStyle name="Normal 9 2 2 8 2 3 2" xfId="44478" xr:uid="{406C3F65-CE49-404A-9BAB-AE808746B0EC}"/>
    <cellStyle name="Normal 9 2 2 8 2 4" xfId="31887" xr:uid="{A3AC22E5-FB60-488F-B176-63EA3B3EB282}"/>
    <cellStyle name="Normal 9 2 2 8 3" xfId="9443" xr:uid="{8D6513FB-8E31-41F4-878D-996B8C65F5C7}"/>
    <cellStyle name="Normal 9 2 2 8 3 2" xfId="22125" xr:uid="{FB9D188C-3345-4029-9A89-D41D6308A719}"/>
    <cellStyle name="Normal 9 2 2 8 3 2 2" xfId="47617" xr:uid="{6B95FE6F-17D6-43B1-9278-F9F0E9622B07}"/>
    <cellStyle name="Normal 9 2 2 8 3 3" xfId="35026" xr:uid="{B516B32D-7C0F-44B0-800E-DC752F2BB836}"/>
    <cellStyle name="Normal 9 2 2 8 4" xfId="15847" xr:uid="{38C1EAA4-C8CE-44A2-93C1-5D311521A24D}"/>
    <cellStyle name="Normal 9 2 2 8 4 2" xfId="41339" xr:uid="{F5155EF0-2E0A-4A42-B99C-063D1064A251}"/>
    <cellStyle name="Normal 9 2 2 8 5" xfId="28748" xr:uid="{C1168865-7B55-456E-B82C-C3A2DCC9590E}"/>
    <cellStyle name="Normal 9 2 2 9" xfId="3674" xr:uid="{8230B33F-B97A-4291-9783-EEAF2A5CD1BB}"/>
    <cellStyle name="Normal 9 2 2 9 2" xfId="9967" xr:uid="{B65B0AA6-DA41-4DE4-8C54-2E6AA29EE2E2}"/>
    <cellStyle name="Normal 9 2 2 9 2 2" xfId="22649" xr:uid="{AB3AAA69-90E1-4C1C-B117-5A138E8A02D9}"/>
    <cellStyle name="Normal 9 2 2 9 2 2 2" xfId="48141" xr:uid="{14EC72D4-3836-4C6E-9515-B93DE78F9D0B}"/>
    <cellStyle name="Normal 9 2 2 9 2 3" xfId="35550" xr:uid="{21CFBA0B-A50A-4231-9BF7-CF5795906B59}"/>
    <cellStyle name="Normal 9 2 2 9 3" xfId="16371" xr:uid="{CFCA6AF3-85E2-4718-B2E8-6A39EF99298E}"/>
    <cellStyle name="Normal 9 2 2 9 3 2" xfId="41863" xr:uid="{40C6BFD0-F4AA-414F-9565-5E273B361DF6}"/>
    <cellStyle name="Normal 9 2 2 9 4" xfId="29272" xr:uid="{C61B7DA0-394F-4664-8BFA-F3C3C6E83366}"/>
    <cellStyle name="Normal 9 2 3" xfId="603" xr:uid="{9A82D16F-744F-4B51-AC58-86227A3E36F5}"/>
    <cellStyle name="Normal 9 2 3 10" xfId="13330" xr:uid="{B5A02DEA-1FEC-4C62-ACB7-8261AD9D38DC}"/>
    <cellStyle name="Normal 9 2 3 10 2" xfId="38822" xr:uid="{F6113059-003E-4FAE-AED1-D6A9B7BF0DE3}"/>
    <cellStyle name="Normal 9 2 3 11" xfId="26231" xr:uid="{183DDDB0-FAAA-4DD5-8ABD-989E7928B68C}"/>
    <cellStyle name="Normal 9 2 3 2" xfId="1140" xr:uid="{E7BDE074-141D-4563-910F-125F2EC1EE66}"/>
    <cellStyle name="Normal 9 2 3 2 2" xfId="2447" xr:uid="{F92A2E52-DF70-4F9F-8712-E93A08AF6BBC}"/>
    <cellStyle name="Normal 9 2 3 2 2 2" xfId="5601" xr:uid="{D46BA600-56FD-4C0E-8A0F-CF52A53B94A3}"/>
    <cellStyle name="Normal 9 2 3 2 2 2 2" xfId="11894" xr:uid="{C6D5C7FA-5748-4323-BDB9-FE369850FCB0}"/>
    <cellStyle name="Normal 9 2 3 2 2 2 2 2" xfId="24576" xr:uid="{AB2FC946-E142-49C2-BAC4-EEF92F0BE2F0}"/>
    <cellStyle name="Normal 9 2 3 2 2 2 2 2 2" xfId="50068" xr:uid="{D0C2EB29-B567-4781-A9A2-32D572C09017}"/>
    <cellStyle name="Normal 9 2 3 2 2 2 2 3" xfId="37477" xr:uid="{C5F045D8-5033-4A46-9A4E-A364A5448119}"/>
    <cellStyle name="Normal 9 2 3 2 2 2 3" xfId="18298" xr:uid="{F2178AFB-72C1-457B-A66F-FD38499D89A4}"/>
    <cellStyle name="Normal 9 2 3 2 2 2 3 2" xfId="43790" xr:uid="{25FA0514-D9D5-4007-A225-778108E26D8D}"/>
    <cellStyle name="Normal 9 2 3 2 2 2 4" xfId="31199" xr:uid="{7880A2DC-5CA1-4223-B64E-67FBD78D8F57}"/>
    <cellStyle name="Normal 9 2 3 2 2 3" xfId="8755" xr:uid="{1D0985BF-E5AF-4EC0-814F-5FB2BBFCA122}"/>
    <cellStyle name="Normal 9 2 3 2 2 3 2" xfId="21437" xr:uid="{C2469431-D994-4524-BF89-BF0D022D1157}"/>
    <cellStyle name="Normal 9 2 3 2 2 3 2 2" xfId="46929" xr:uid="{0B4D4623-8466-4CBD-9BE6-855B19B3A537}"/>
    <cellStyle name="Normal 9 2 3 2 2 3 3" xfId="34338" xr:uid="{9CA8DBE8-B551-4C2B-8A7A-0091D645DDFF}"/>
    <cellStyle name="Normal 9 2 3 2 2 4" xfId="15159" xr:uid="{86C98BE3-A46F-46AD-9D87-43F657F80F18}"/>
    <cellStyle name="Normal 9 2 3 2 2 4 2" xfId="40651" xr:uid="{092BD88E-497B-4660-A5C9-F8BA4C4B45EA}"/>
    <cellStyle name="Normal 9 2 3 2 2 5" xfId="28060" xr:uid="{97E407C2-CCC2-45FC-B26A-0AC232AE1A10}"/>
    <cellStyle name="Normal 9 2 3 2 3" xfId="1664" xr:uid="{8C0DEB66-8220-4EB3-9947-56542B614EA5}"/>
    <cellStyle name="Normal 9 2 3 2 3 2" xfId="4818" xr:uid="{C026AAB8-7004-4322-8E43-74C6B65DDB2F}"/>
    <cellStyle name="Normal 9 2 3 2 3 2 2" xfId="11111" xr:uid="{47DA10EC-4276-4BAF-B906-BC51690BAC8A}"/>
    <cellStyle name="Normal 9 2 3 2 3 2 2 2" xfId="23793" xr:uid="{93B364A4-50C7-40EF-AAD2-E0BA6CD7DA53}"/>
    <cellStyle name="Normal 9 2 3 2 3 2 2 2 2" xfId="49285" xr:uid="{0F89ED2C-5D15-449F-929A-D5BF72037E5C}"/>
    <cellStyle name="Normal 9 2 3 2 3 2 2 3" xfId="36694" xr:uid="{15CCE55F-4648-40DF-84D4-03039E325F2C}"/>
    <cellStyle name="Normal 9 2 3 2 3 2 3" xfId="17515" xr:uid="{AEF777B3-6ECE-40E1-ADD4-37B8DBCC8BA8}"/>
    <cellStyle name="Normal 9 2 3 2 3 2 3 2" xfId="43007" xr:uid="{28AC9AEF-5133-4D5E-B8C7-AF6521DD8925}"/>
    <cellStyle name="Normal 9 2 3 2 3 2 4" xfId="30416" xr:uid="{0C580FAB-5FD5-4577-B69B-40D0B55C5E7C}"/>
    <cellStyle name="Normal 9 2 3 2 3 3" xfId="7972" xr:uid="{89A1D10F-E6F2-4BE3-AC43-24B967E67122}"/>
    <cellStyle name="Normal 9 2 3 2 3 3 2" xfId="20654" xr:uid="{1D9234A6-A9EE-401E-AAF4-11BFA3740979}"/>
    <cellStyle name="Normal 9 2 3 2 3 3 2 2" xfId="46146" xr:uid="{0386468A-BEF7-478C-ADB5-A25D1DD04B1F}"/>
    <cellStyle name="Normal 9 2 3 2 3 3 3" xfId="33555" xr:uid="{D3C43C62-379F-4CC8-BE9A-B68E9DDE1A8F}"/>
    <cellStyle name="Normal 9 2 3 2 3 4" xfId="14376" xr:uid="{5C35D31D-BD5B-40A4-9936-868E5E21FF8E}"/>
    <cellStyle name="Normal 9 2 3 2 3 4 2" xfId="39868" xr:uid="{0B4D5D52-145F-4F81-9BDC-8B350A60B418}"/>
    <cellStyle name="Normal 9 2 3 2 3 5" xfId="27277" xr:uid="{FF1FFBAF-E5EB-4492-BBE1-867F298B7EA7}"/>
    <cellStyle name="Normal 9 2 3 2 4" xfId="2971" xr:uid="{23752CFA-C908-4EF1-B74F-5654306B86D7}"/>
    <cellStyle name="Normal 9 2 3 2 4 2" xfId="6125" xr:uid="{118E33DF-968D-4B9C-99B3-0FA323E5F8B0}"/>
    <cellStyle name="Normal 9 2 3 2 4 2 2" xfId="12418" xr:uid="{0676D386-2877-413F-8459-CA2BF7BDD000}"/>
    <cellStyle name="Normal 9 2 3 2 4 2 2 2" xfId="25100" xr:uid="{B57394FF-9A5C-4E8D-A41A-180F0F935314}"/>
    <cellStyle name="Normal 9 2 3 2 4 2 2 2 2" xfId="50592" xr:uid="{BD513992-946A-4EB7-A2A7-A0B13A13DB49}"/>
    <cellStyle name="Normal 9 2 3 2 4 2 2 3" xfId="38001" xr:uid="{9843E230-0329-4F34-AAAF-4874044641BC}"/>
    <cellStyle name="Normal 9 2 3 2 4 2 3" xfId="18822" xr:uid="{259EF3B0-4E79-4505-837E-C5F3EFDD3A3D}"/>
    <cellStyle name="Normal 9 2 3 2 4 2 3 2" xfId="44314" xr:uid="{7D2F0E23-4AB4-4A28-87F3-5537B675B740}"/>
    <cellStyle name="Normal 9 2 3 2 4 2 4" xfId="31723" xr:uid="{B90495FB-46FF-48B6-82FD-776DDA5DFA4B}"/>
    <cellStyle name="Normal 9 2 3 2 4 3" xfId="9279" xr:uid="{A8B77B87-ED2B-4F00-93DF-05604AEF8EB9}"/>
    <cellStyle name="Normal 9 2 3 2 4 3 2" xfId="21961" xr:uid="{85A3AA0A-DE47-482F-A8F2-A34CFCF820BB}"/>
    <cellStyle name="Normal 9 2 3 2 4 3 2 2" xfId="47453" xr:uid="{1109474F-38A8-450D-A2A3-85A27CE54F6E}"/>
    <cellStyle name="Normal 9 2 3 2 4 3 3" xfId="34862" xr:uid="{9AA6EB9D-AC79-4304-84BC-8853FE28F946}"/>
    <cellStyle name="Normal 9 2 3 2 4 4" xfId="15683" xr:uid="{F0673314-33AE-4117-8A0A-2F4E30A599F4}"/>
    <cellStyle name="Normal 9 2 3 2 4 4 2" xfId="41175" xr:uid="{EC02216D-2C41-4E78-BEB6-E15D3403BF7B}"/>
    <cellStyle name="Normal 9 2 3 2 4 5" xfId="28584" xr:uid="{4CC678C5-8BC0-4168-9E1A-FCA63A9B4BD6}"/>
    <cellStyle name="Normal 9 2 3 2 5" xfId="3494" xr:uid="{4A9F7D8C-0503-402F-A79C-D195287C627C}"/>
    <cellStyle name="Normal 9 2 3 2 5 2" xfId="6648" xr:uid="{1527AF66-3369-4B18-BCB8-52AE0C23D0D6}"/>
    <cellStyle name="Normal 9 2 3 2 5 2 2" xfId="12941" xr:uid="{E6045858-14E2-4EC3-AFF8-8CF469FA7739}"/>
    <cellStyle name="Normal 9 2 3 2 5 2 2 2" xfId="25623" xr:uid="{B820DCCE-C950-4291-A4FD-8A95D0808A13}"/>
    <cellStyle name="Normal 9 2 3 2 5 2 2 2 2" xfId="51115" xr:uid="{43AFB587-E1B4-4C24-882F-38EB6BADA0DB}"/>
    <cellStyle name="Normal 9 2 3 2 5 2 2 3" xfId="38524" xr:uid="{AA8C1335-3D21-4610-A5A5-A647A4E9B9F0}"/>
    <cellStyle name="Normal 9 2 3 2 5 2 3" xfId="19345" xr:uid="{5EDCD1A8-BF3A-4816-B078-EDCE8A589942}"/>
    <cellStyle name="Normal 9 2 3 2 5 2 3 2" xfId="44837" xr:uid="{5F2F742D-7EAA-4BDA-9D2E-323D9C6E3E8F}"/>
    <cellStyle name="Normal 9 2 3 2 5 2 4" xfId="32246" xr:uid="{0DE7C6ED-04E0-4496-94AB-41043C3BA04D}"/>
    <cellStyle name="Normal 9 2 3 2 5 3" xfId="9802" xr:uid="{4CE94F4B-9AB9-4F54-B9BF-C7902A01B05D}"/>
    <cellStyle name="Normal 9 2 3 2 5 3 2" xfId="22484" xr:uid="{EE310BA8-593D-4555-BF2E-088D8E2BEF73}"/>
    <cellStyle name="Normal 9 2 3 2 5 3 2 2" xfId="47976" xr:uid="{DD9CBA59-D1A2-43E5-B70A-319D91805ECD}"/>
    <cellStyle name="Normal 9 2 3 2 5 3 3" xfId="35385" xr:uid="{8AAE7531-C131-45E6-B2E5-EE2D763440FA}"/>
    <cellStyle name="Normal 9 2 3 2 5 4" xfId="16206" xr:uid="{C02AEC6B-E0A2-47E2-A10C-38DD7380851E}"/>
    <cellStyle name="Normal 9 2 3 2 5 4 2" xfId="41698" xr:uid="{0E00AB80-1755-4CF8-B27F-FC88E062AB49}"/>
    <cellStyle name="Normal 9 2 3 2 5 5" xfId="29107" xr:uid="{D999B47F-2F85-4133-B96F-1A68CF94F312}"/>
    <cellStyle name="Normal 9 2 3 2 6" xfId="4294" xr:uid="{32503348-9917-4BF0-AAA7-F8A8E02314ED}"/>
    <cellStyle name="Normal 9 2 3 2 6 2" xfId="10587" xr:uid="{A53754FC-F243-4CDC-94EC-0995DC0AFACA}"/>
    <cellStyle name="Normal 9 2 3 2 6 2 2" xfId="23269" xr:uid="{F1D944BB-F3AC-463D-88B4-CCE897EF07E0}"/>
    <cellStyle name="Normal 9 2 3 2 6 2 2 2" xfId="48761" xr:uid="{BB526054-4C50-43AC-AD98-D9C5CF623429}"/>
    <cellStyle name="Normal 9 2 3 2 6 2 3" xfId="36170" xr:uid="{9B970EF9-D7A8-47FD-9731-CAFFD572F69E}"/>
    <cellStyle name="Normal 9 2 3 2 6 3" xfId="16991" xr:uid="{EAA4EF97-D64C-4C47-B5B6-44129E0F7858}"/>
    <cellStyle name="Normal 9 2 3 2 6 3 2" xfId="42483" xr:uid="{32DA8294-1299-4B75-9289-4E7F7FF043E7}"/>
    <cellStyle name="Normal 9 2 3 2 6 4" xfId="29892" xr:uid="{1802A195-1CED-48DE-A7D0-AE80502CEFD8}"/>
    <cellStyle name="Normal 9 2 3 2 7" xfId="7448" xr:uid="{75D21913-F7FB-4AB4-B86A-E13A137EB274}"/>
    <cellStyle name="Normal 9 2 3 2 7 2" xfId="20130" xr:uid="{5719ECE2-5EB3-4859-8373-D11788F65F46}"/>
    <cellStyle name="Normal 9 2 3 2 7 2 2" xfId="45622" xr:uid="{5D1AB18A-81F8-43B4-A9BB-635D1CD954AB}"/>
    <cellStyle name="Normal 9 2 3 2 7 3" xfId="33031" xr:uid="{CA6D9C18-2E72-4F92-9585-6294A5835A2A}"/>
    <cellStyle name="Normal 9 2 3 2 8" xfId="13852" xr:uid="{59E1C929-C798-438E-BA11-14503816985C}"/>
    <cellStyle name="Normal 9 2 3 2 8 2" xfId="39344" xr:uid="{BD11987A-F280-4361-91CD-F09575223A51}"/>
    <cellStyle name="Normal 9 2 3 2 9" xfId="26753" xr:uid="{D9778286-52F8-497B-A594-A8D4872C1BEE}"/>
    <cellStyle name="Normal 9 2 3 3" xfId="880" xr:uid="{314DED85-98AC-43DC-8DC0-287553D5693F}"/>
    <cellStyle name="Normal 9 2 3 3 2" xfId="2187" xr:uid="{DDDECCB6-7DF7-4B5E-8563-5CBD6290A50F}"/>
    <cellStyle name="Normal 9 2 3 3 2 2" xfId="5341" xr:uid="{FABB10EB-4655-4359-B1FC-4FF47712658B}"/>
    <cellStyle name="Normal 9 2 3 3 2 2 2" xfId="11634" xr:uid="{5A8333A8-76F3-4E84-9C8F-30E21415135F}"/>
    <cellStyle name="Normal 9 2 3 3 2 2 2 2" xfId="24316" xr:uid="{6A844D2F-47C2-4583-A97C-1F0D53CCD233}"/>
    <cellStyle name="Normal 9 2 3 3 2 2 2 2 2" xfId="49808" xr:uid="{32B4C3BF-C413-46FE-A178-B104B153E5AC}"/>
    <cellStyle name="Normal 9 2 3 3 2 2 2 3" xfId="37217" xr:uid="{38EC2A9B-6880-4921-AB35-8118B80C2621}"/>
    <cellStyle name="Normal 9 2 3 3 2 2 3" xfId="18038" xr:uid="{60C21DC5-C152-4A39-AA5D-381D076F0BAA}"/>
    <cellStyle name="Normal 9 2 3 3 2 2 3 2" xfId="43530" xr:uid="{95692B18-2738-4B38-B69F-23CEBBA2F3F2}"/>
    <cellStyle name="Normal 9 2 3 3 2 2 4" xfId="30939" xr:uid="{D9E3F76F-DDB2-4692-8094-CDEE3A10DEDB}"/>
    <cellStyle name="Normal 9 2 3 3 2 3" xfId="8495" xr:uid="{7062D866-8FF0-41BA-A483-4592D33DE742}"/>
    <cellStyle name="Normal 9 2 3 3 2 3 2" xfId="21177" xr:uid="{07201C53-66AF-461F-9BAE-BA8886542B11}"/>
    <cellStyle name="Normal 9 2 3 3 2 3 2 2" xfId="46669" xr:uid="{8DD907DA-3023-416F-89C9-C88EF18CBEC9}"/>
    <cellStyle name="Normal 9 2 3 3 2 3 3" xfId="34078" xr:uid="{393C0D20-80C0-4217-BE82-A76E2AE45F72}"/>
    <cellStyle name="Normal 9 2 3 3 2 4" xfId="14899" xr:uid="{664D6631-F5F2-4170-932F-B9BB7440AE3C}"/>
    <cellStyle name="Normal 9 2 3 3 2 4 2" xfId="40391" xr:uid="{081DEE7B-4757-45D5-84D8-B0E8B8DD6B6D}"/>
    <cellStyle name="Normal 9 2 3 3 2 5" xfId="27800" xr:uid="{F7D37963-4729-4DCF-A5EE-F4CC133C4F1A}"/>
    <cellStyle name="Normal 9 2 3 3 3" xfId="4034" xr:uid="{ABEB82B8-A722-4CFB-BFAE-ABE5CA3F71D0}"/>
    <cellStyle name="Normal 9 2 3 3 3 2" xfId="10327" xr:uid="{1D10748E-CC72-4052-B6FC-102F99109A28}"/>
    <cellStyle name="Normal 9 2 3 3 3 2 2" xfId="23009" xr:uid="{0576E915-57CB-4B0B-A6E1-C5BCFCC8499C}"/>
    <cellStyle name="Normal 9 2 3 3 3 2 2 2" xfId="48501" xr:uid="{F4F10F50-F5DA-442A-A196-E3BF94DFAD5B}"/>
    <cellStyle name="Normal 9 2 3 3 3 2 3" xfId="35910" xr:uid="{5491F760-07C4-4896-AA01-D0B883BAA163}"/>
    <cellStyle name="Normal 9 2 3 3 3 3" xfId="16731" xr:uid="{31CFBD0A-5329-40F6-8D14-9C0BF27BE483}"/>
    <cellStyle name="Normal 9 2 3 3 3 3 2" xfId="42223" xr:uid="{B85A73F6-C2BE-4AFE-A0F2-AF9C05BFC6C1}"/>
    <cellStyle name="Normal 9 2 3 3 3 4" xfId="29632" xr:uid="{0835B623-8CEA-4DA8-A8A5-BBC3B112B9A7}"/>
    <cellStyle name="Normal 9 2 3 3 4" xfId="7188" xr:uid="{1C2736E8-D6D4-4683-9B8A-CEBBD50B9EF0}"/>
    <cellStyle name="Normal 9 2 3 3 4 2" xfId="19870" xr:uid="{8C0BB2CF-B726-4695-B09B-F4F9F594A745}"/>
    <cellStyle name="Normal 9 2 3 3 4 2 2" xfId="45362" xr:uid="{E1B078AE-918D-49F0-B4AD-F222B6E3AB4B}"/>
    <cellStyle name="Normal 9 2 3 3 4 3" xfId="32771" xr:uid="{D5479CA6-CFB4-447D-ADA3-2124290BFBD2}"/>
    <cellStyle name="Normal 9 2 3 3 5" xfId="13592" xr:uid="{0A963211-6E72-4861-9882-9C15500225FE}"/>
    <cellStyle name="Normal 9 2 3 3 5 2" xfId="39084" xr:uid="{836DD21A-BA36-4259-857D-BC054B7A6819}"/>
    <cellStyle name="Normal 9 2 3 3 6" xfId="26493" xr:uid="{92F92AA5-8E3D-4C40-9C75-BB32E0F092B4}"/>
    <cellStyle name="Normal 9 2 3 4" xfId="1925" xr:uid="{3088A0C5-C707-434C-B7DB-A0C94FEFD7F7}"/>
    <cellStyle name="Normal 9 2 3 4 2" xfId="5079" xr:uid="{1A48A982-AC09-44A7-A2E5-401389277E81}"/>
    <cellStyle name="Normal 9 2 3 4 2 2" xfId="11372" xr:uid="{D6599CA4-22C3-4B21-8B70-1A3FD359DE5D}"/>
    <cellStyle name="Normal 9 2 3 4 2 2 2" xfId="24054" xr:uid="{B3C84F7B-C586-45F1-84B6-33278B484C33}"/>
    <cellStyle name="Normal 9 2 3 4 2 2 2 2" xfId="49546" xr:uid="{5987FEED-EC1F-40BD-A2F4-0F49CB0A066D}"/>
    <cellStyle name="Normal 9 2 3 4 2 2 3" xfId="36955" xr:uid="{04519E2A-B62E-4E8E-8AD9-8CEC1DFA04F4}"/>
    <cellStyle name="Normal 9 2 3 4 2 3" xfId="17776" xr:uid="{EFA74AF5-D745-42F7-B6CF-0C11BFD7E5ED}"/>
    <cellStyle name="Normal 9 2 3 4 2 3 2" xfId="43268" xr:uid="{012D92FA-806E-4DB8-9EFE-6595A02DE854}"/>
    <cellStyle name="Normal 9 2 3 4 2 4" xfId="30677" xr:uid="{A190582E-2E83-4ECC-97FA-DA6480748362}"/>
    <cellStyle name="Normal 9 2 3 4 3" xfId="8233" xr:uid="{0418F846-031F-4879-B0A0-0B1025A0FD41}"/>
    <cellStyle name="Normal 9 2 3 4 3 2" xfId="20915" xr:uid="{C7B2F892-FAF0-474B-B769-62B4F68F12A8}"/>
    <cellStyle name="Normal 9 2 3 4 3 2 2" xfId="46407" xr:uid="{C78257F9-6C4D-4531-A9E2-8598813250CE}"/>
    <cellStyle name="Normal 9 2 3 4 3 3" xfId="33816" xr:uid="{E140CD6D-9124-4279-B6F3-BA17CDB9CB82}"/>
    <cellStyle name="Normal 9 2 3 4 4" xfId="14637" xr:uid="{F34FDEFF-8FCF-48AF-AF9D-F7B910913641}"/>
    <cellStyle name="Normal 9 2 3 4 4 2" xfId="40129" xr:uid="{B56D89EE-08E6-4FBF-98F5-4227C47A102D}"/>
    <cellStyle name="Normal 9 2 3 4 5" xfId="27538" xr:uid="{7BAE92DB-9C60-4539-B2C4-45E4A1207293}"/>
    <cellStyle name="Normal 9 2 3 5" xfId="1403" xr:uid="{355C1B1F-059F-41D3-8202-173231A8BA9B}"/>
    <cellStyle name="Normal 9 2 3 5 2" xfId="4557" xr:uid="{59A81584-7F7C-4BFE-8AE8-C9F692E68A08}"/>
    <cellStyle name="Normal 9 2 3 5 2 2" xfId="10850" xr:uid="{FE25378E-6B41-4214-9E47-12513EA037CF}"/>
    <cellStyle name="Normal 9 2 3 5 2 2 2" xfId="23532" xr:uid="{49B5D6A8-E987-4A49-AF78-27F70686E83F}"/>
    <cellStyle name="Normal 9 2 3 5 2 2 2 2" xfId="49024" xr:uid="{2267B855-75C3-481F-A4AA-26ABB964020D}"/>
    <cellStyle name="Normal 9 2 3 5 2 2 3" xfId="36433" xr:uid="{CA34EA3D-8C6E-49F2-8FCC-FCADE48E85E5}"/>
    <cellStyle name="Normal 9 2 3 5 2 3" xfId="17254" xr:uid="{828AD9BD-FE7F-4B18-8739-D07C239BEA0C}"/>
    <cellStyle name="Normal 9 2 3 5 2 3 2" xfId="42746" xr:uid="{27E92B39-B2BE-4F0C-93DD-2B7A0587CDDD}"/>
    <cellStyle name="Normal 9 2 3 5 2 4" xfId="30155" xr:uid="{5584C2B3-A85A-46A5-8D6D-FD410522A3AF}"/>
    <cellStyle name="Normal 9 2 3 5 3" xfId="7711" xr:uid="{5E12DF37-CE85-40AB-B212-0DD5CBD555AE}"/>
    <cellStyle name="Normal 9 2 3 5 3 2" xfId="20393" xr:uid="{BB173289-EE9C-4500-84AF-72E914D865DD}"/>
    <cellStyle name="Normal 9 2 3 5 3 2 2" xfId="45885" xr:uid="{1A99ED54-A282-40A9-8675-B74D0A66336F}"/>
    <cellStyle name="Normal 9 2 3 5 3 3" xfId="33294" xr:uid="{1DD809B8-A803-4589-A105-5DA248C587A8}"/>
    <cellStyle name="Normal 9 2 3 5 4" xfId="14115" xr:uid="{2DDDCFEE-7F62-4D6E-8BC9-395957A4AA5D}"/>
    <cellStyle name="Normal 9 2 3 5 4 2" xfId="39607" xr:uid="{96EEEAC8-F80E-4B5B-8A56-17150510DF08}"/>
    <cellStyle name="Normal 9 2 3 5 5" xfId="27016" xr:uid="{AEF07CBE-2701-44EE-A817-6268D2A1D3D1}"/>
    <cellStyle name="Normal 9 2 3 6" xfId="2710" xr:uid="{9CD8E161-F44D-4D28-8572-6ACD0A674E92}"/>
    <cellStyle name="Normal 9 2 3 6 2" xfId="5864" xr:uid="{3EC4B9A0-F1C3-47D5-88C3-CB98DB5E5ADE}"/>
    <cellStyle name="Normal 9 2 3 6 2 2" xfId="12157" xr:uid="{82E4FB9A-F871-482B-BF5D-59A9256829BF}"/>
    <cellStyle name="Normal 9 2 3 6 2 2 2" xfId="24839" xr:uid="{5AA2CB20-8151-4127-A03F-91156FBB1B8D}"/>
    <cellStyle name="Normal 9 2 3 6 2 2 2 2" xfId="50331" xr:uid="{FECB4AB7-9A3C-4B84-8B27-9BDD724F32AD}"/>
    <cellStyle name="Normal 9 2 3 6 2 2 3" xfId="37740" xr:uid="{F70EC344-34B1-4B93-9AA6-3C207C4FBB34}"/>
    <cellStyle name="Normal 9 2 3 6 2 3" xfId="18561" xr:uid="{77B013FF-0506-485B-BA5B-6E651620EABC}"/>
    <cellStyle name="Normal 9 2 3 6 2 3 2" xfId="44053" xr:uid="{29CE08FA-800E-436F-BC02-BDB36130A2DA}"/>
    <cellStyle name="Normal 9 2 3 6 2 4" xfId="31462" xr:uid="{9F65138D-F8AC-4CF8-830D-6BDFEDCC562F}"/>
    <cellStyle name="Normal 9 2 3 6 3" xfId="9018" xr:uid="{383DFA24-58D3-43CC-BCD4-05F8D9F86A8E}"/>
    <cellStyle name="Normal 9 2 3 6 3 2" xfId="21700" xr:uid="{E7001126-7C32-466C-B5D6-E2E4C64242BD}"/>
    <cellStyle name="Normal 9 2 3 6 3 2 2" xfId="47192" xr:uid="{64ECF98C-6E4E-4800-B4A9-31A355AC9972}"/>
    <cellStyle name="Normal 9 2 3 6 3 3" xfId="34601" xr:uid="{9352EB64-93B8-469F-BE6E-55D0DD162B8A}"/>
    <cellStyle name="Normal 9 2 3 6 4" xfId="15422" xr:uid="{386D80B1-0883-4A42-96CB-503846713789}"/>
    <cellStyle name="Normal 9 2 3 6 4 2" xfId="40914" xr:uid="{C02C5DF8-32FD-4CF1-83D1-86F3A61B9468}"/>
    <cellStyle name="Normal 9 2 3 6 5" xfId="28323" xr:uid="{F21F4076-26B5-4F41-B770-3AD30BB58EAB}"/>
    <cellStyle name="Normal 9 2 3 7" xfId="3233" xr:uid="{B539437A-E97C-4235-B68F-43B6CF58391B}"/>
    <cellStyle name="Normal 9 2 3 7 2" xfId="6387" xr:uid="{69215A91-E728-4FF6-911F-FCA875127D95}"/>
    <cellStyle name="Normal 9 2 3 7 2 2" xfId="12680" xr:uid="{798AE541-7A00-427D-B0B7-4498E183FF4E}"/>
    <cellStyle name="Normal 9 2 3 7 2 2 2" xfId="25362" xr:uid="{506E637D-2979-4282-8D12-B88C82F88174}"/>
    <cellStyle name="Normal 9 2 3 7 2 2 2 2" xfId="50854" xr:uid="{D0643467-9445-49CC-8B88-9B7100B70AA8}"/>
    <cellStyle name="Normal 9 2 3 7 2 2 3" xfId="38263" xr:uid="{43EC9444-BDA5-48A0-AF78-4A7DCCA68363}"/>
    <cellStyle name="Normal 9 2 3 7 2 3" xfId="19084" xr:uid="{66B0432A-9085-4F9A-9875-CFFBE42805B0}"/>
    <cellStyle name="Normal 9 2 3 7 2 3 2" xfId="44576" xr:uid="{F3B3DC55-3C4E-45F3-867D-FFFE26E153EA}"/>
    <cellStyle name="Normal 9 2 3 7 2 4" xfId="31985" xr:uid="{3B6342F8-811A-4BFD-8A1E-535221466165}"/>
    <cellStyle name="Normal 9 2 3 7 3" xfId="9541" xr:uid="{16FF5BFE-831C-44F0-B6C5-9DCB40EE72EE}"/>
    <cellStyle name="Normal 9 2 3 7 3 2" xfId="22223" xr:uid="{FDA5F301-93F9-46CF-B18E-764AD4F43223}"/>
    <cellStyle name="Normal 9 2 3 7 3 2 2" xfId="47715" xr:uid="{0B06E1E0-9090-405A-9A4E-3884133EBDF8}"/>
    <cellStyle name="Normal 9 2 3 7 3 3" xfId="35124" xr:uid="{5CDCDB19-FBD8-42F4-9192-EF5724BDD045}"/>
    <cellStyle name="Normal 9 2 3 7 4" xfId="15945" xr:uid="{ED2E6711-92A7-48D8-B044-06C53850DDE8}"/>
    <cellStyle name="Normal 9 2 3 7 4 2" xfId="41437" xr:uid="{55DC5BCA-BA5E-4F2C-9EF4-567EF6EB0DEC}"/>
    <cellStyle name="Normal 9 2 3 7 5" xfId="28846" xr:uid="{ED5463B9-278E-4EAB-9D7E-3A15854213DD}"/>
    <cellStyle name="Normal 9 2 3 8" xfId="3772" xr:uid="{E9CEC83C-D42A-45C4-BCFF-DF397C4CD80A}"/>
    <cellStyle name="Normal 9 2 3 8 2" xfId="10065" xr:uid="{9DD126B7-7DB1-426E-80E9-1E1CB9FD2F06}"/>
    <cellStyle name="Normal 9 2 3 8 2 2" xfId="22747" xr:uid="{6C89A4A0-2B4E-4B29-B5CB-0A4825A31CEB}"/>
    <cellStyle name="Normal 9 2 3 8 2 2 2" xfId="48239" xr:uid="{E17F7954-E6FC-440B-816E-AA9111C3D134}"/>
    <cellStyle name="Normal 9 2 3 8 2 3" xfId="35648" xr:uid="{E0D154B0-DCFE-4351-817E-86695845E939}"/>
    <cellStyle name="Normal 9 2 3 8 3" xfId="16469" xr:uid="{DE4D82BE-63F4-44EF-9665-EF0FDA4A8998}"/>
    <cellStyle name="Normal 9 2 3 8 3 2" xfId="41961" xr:uid="{63C01E70-5140-40C6-91CE-FF143831A166}"/>
    <cellStyle name="Normal 9 2 3 8 4" xfId="29370" xr:uid="{59823F77-5B25-495B-A30D-FC45E946A765}"/>
    <cellStyle name="Normal 9 2 3 9" xfId="6926" xr:uid="{5225CC53-83B7-4EB1-A996-9B56C51E9DDB}"/>
    <cellStyle name="Normal 9 2 3 9 2" xfId="19608" xr:uid="{46908922-9E76-4323-A998-E30158F8ABED}"/>
    <cellStyle name="Normal 9 2 3 9 2 2" xfId="45100" xr:uid="{743DCB7F-D4F1-4D9A-8B96-C24556846C0B}"/>
    <cellStyle name="Normal 9 2 3 9 3" xfId="32509" xr:uid="{4F0EA72D-3CBE-433F-818F-7D8D96367881}"/>
    <cellStyle name="Normal 9 2 4" xfId="564" xr:uid="{44261472-F4DC-4125-8798-87DD96392039}"/>
    <cellStyle name="Normal 9 2 4 10" xfId="13291" xr:uid="{4C0E418E-DFCE-4C3A-BFB9-0F1DD7370875}"/>
    <cellStyle name="Normal 9 2 4 10 2" xfId="38783" xr:uid="{4ED13FBD-8ABD-4C0C-8ACB-FB74CABE8DCB}"/>
    <cellStyle name="Normal 9 2 4 11" xfId="26192" xr:uid="{1AD3BD13-6919-44B9-9F5B-2F3A15FC19E1}"/>
    <cellStyle name="Normal 9 2 4 2" xfId="1101" xr:uid="{6AF6A700-3D3F-47F6-80E2-826B6EBFF5BA}"/>
    <cellStyle name="Normal 9 2 4 2 2" xfId="2408" xr:uid="{0C82ECEA-33EC-4D6F-9871-5D2FCD7995F8}"/>
    <cellStyle name="Normal 9 2 4 2 2 2" xfId="5562" xr:uid="{1377894F-5409-479A-95A5-4E91D101E580}"/>
    <cellStyle name="Normal 9 2 4 2 2 2 2" xfId="11855" xr:uid="{5F96F85A-6F1B-40A2-ACD6-5E6E86484CDD}"/>
    <cellStyle name="Normal 9 2 4 2 2 2 2 2" xfId="24537" xr:uid="{4B03F49F-1F28-4521-B31B-CA3F5AE44B80}"/>
    <cellStyle name="Normal 9 2 4 2 2 2 2 2 2" xfId="50029" xr:uid="{7609D4A7-FAE4-4D93-B076-CD9B46A9718A}"/>
    <cellStyle name="Normal 9 2 4 2 2 2 2 3" xfId="37438" xr:uid="{9E7A69E9-C031-44D2-8B1A-F0D939CD86EC}"/>
    <cellStyle name="Normal 9 2 4 2 2 2 3" xfId="18259" xr:uid="{9726E9F3-8EF5-45E7-B01A-61A52634D0A0}"/>
    <cellStyle name="Normal 9 2 4 2 2 2 3 2" xfId="43751" xr:uid="{DFEF0EBE-DA37-4699-BEE1-8C98EACDD99A}"/>
    <cellStyle name="Normal 9 2 4 2 2 2 4" xfId="31160" xr:uid="{1A8B5C8B-7F65-4578-89A0-C0B18CEE8A74}"/>
    <cellStyle name="Normal 9 2 4 2 2 3" xfId="8716" xr:uid="{75B28B89-0EA4-4F9B-B554-1C03496F331A}"/>
    <cellStyle name="Normal 9 2 4 2 2 3 2" xfId="21398" xr:uid="{2AFA0DD4-304F-48E9-AE71-3F04352D2016}"/>
    <cellStyle name="Normal 9 2 4 2 2 3 2 2" xfId="46890" xr:uid="{D0758D41-DD65-4D9F-99D2-34405092628B}"/>
    <cellStyle name="Normal 9 2 4 2 2 3 3" xfId="34299" xr:uid="{A4F8215F-A1A7-4771-B490-1780E755CE6B}"/>
    <cellStyle name="Normal 9 2 4 2 2 4" xfId="15120" xr:uid="{959C2F7F-D9AD-4F72-BE9E-2F0869C77D73}"/>
    <cellStyle name="Normal 9 2 4 2 2 4 2" xfId="40612" xr:uid="{06FC4D90-FB4B-4F06-8D09-32A801E938A3}"/>
    <cellStyle name="Normal 9 2 4 2 2 5" xfId="28021" xr:uid="{13C84326-BCF4-42B1-9AD7-2AE956CE5514}"/>
    <cellStyle name="Normal 9 2 4 2 3" xfId="1625" xr:uid="{2802ADB6-D17B-422E-ABDC-E2EA77CE6B17}"/>
    <cellStyle name="Normal 9 2 4 2 3 2" xfId="4779" xr:uid="{B5359D31-E547-4437-A4D0-60106D71F416}"/>
    <cellStyle name="Normal 9 2 4 2 3 2 2" xfId="11072" xr:uid="{F2E53AB8-3C0C-45AC-8A08-73983FD2B8A2}"/>
    <cellStyle name="Normal 9 2 4 2 3 2 2 2" xfId="23754" xr:uid="{2B8F10E1-7160-417D-B4E4-D5244456B218}"/>
    <cellStyle name="Normal 9 2 4 2 3 2 2 2 2" xfId="49246" xr:uid="{EF8C2383-13D2-49EA-953B-29D482D450D6}"/>
    <cellStyle name="Normal 9 2 4 2 3 2 2 3" xfId="36655" xr:uid="{00CDDFAF-5BA2-4607-9B16-E0E1F66DA649}"/>
    <cellStyle name="Normal 9 2 4 2 3 2 3" xfId="17476" xr:uid="{8C00C577-B176-4A08-8583-D2172ED6D7E9}"/>
    <cellStyle name="Normal 9 2 4 2 3 2 3 2" xfId="42968" xr:uid="{52A354D2-2E87-421A-8274-3763749E792B}"/>
    <cellStyle name="Normal 9 2 4 2 3 2 4" xfId="30377" xr:uid="{C58ACED7-BE6A-41F5-9445-F3F4C3354BB2}"/>
    <cellStyle name="Normal 9 2 4 2 3 3" xfId="7933" xr:uid="{473CEEE8-D4C5-4078-8468-E95D029B3EE5}"/>
    <cellStyle name="Normal 9 2 4 2 3 3 2" xfId="20615" xr:uid="{58D93A61-B9DB-4088-B430-291003911B96}"/>
    <cellStyle name="Normal 9 2 4 2 3 3 2 2" xfId="46107" xr:uid="{6C52C288-E74E-42F6-9925-839D1BC9B7B3}"/>
    <cellStyle name="Normal 9 2 4 2 3 3 3" xfId="33516" xr:uid="{A6A4CB01-B079-405D-9E37-A4DC0F9BE74A}"/>
    <cellStyle name="Normal 9 2 4 2 3 4" xfId="14337" xr:uid="{B97F4D86-4AAD-4D2E-A964-FDB1BCCD8A2C}"/>
    <cellStyle name="Normal 9 2 4 2 3 4 2" xfId="39829" xr:uid="{3879882A-8EA0-4B2B-A2F1-5468BD0ECF79}"/>
    <cellStyle name="Normal 9 2 4 2 3 5" xfId="27238" xr:uid="{3C9ABFEE-D509-43B0-91C8-567241CB6270}"/>
    <cellStyle name="Normal 9 2 4 2 4" xfId="2932" xr:uid="{43CCFF27-2309-4E91-A89A-7101DED70C67}"/>
    <cellStyle name="Normal 9 2 4 2 4 2" xfId="6086" xr:uid="{EBAF399A-0A14-4032-AF5A-C0947E9C4C32}"/>
    <cellStyle name="Normal 9 2 4 2 4 2 2" xfId="12379" xr:uid="{2463DCD8-9777-4CF6-A0DA-09DF98B2CA12}"/>
    <cellStyle name="Normal 9 2 4 2 4 2 2 2" xfId="25061" xr:uid="{9DD69405-A9B6-41B2-A503-87036E012A96}"/>
    <cellStyle name="Normal 9 2 4 2 4 2 2 2 2" xfId="50553" xr:uid="{7112AEE2-352B-45BE-85E0-770C148D02BD}"/>
    <cellStyle name="Normal 9 2 4 2 4 2 2 3" xfId="37962" xr:uid="{B2990644-FF46-4301-B982-EA58A675F9EE}"/>
    <cellStyle name="Normal 9 2 4 2 4 2 3" xfId="18783" xr:uid="{06B35990-9FCF-46E6-9872-9F2C63AE1936}"/>
    <cellStyle name="Normal 9 2 4 2 4 2 3 2" xfId="44275" xr:uid="{90C3B2EF-4C54-4AD0-9587-710457036195}"/>
    <cellStyle name="Normal 9 2 4 2 4 2 4" xfId="31684" xr:uid="{5A68CD86-4365-4D7F-AFFD-8EEFA81CD5B0}"/>
    <cellStyle name="Normal 9 2 4 2 4 3" xfId="9240" xr:uid="{117540F2-A8F9-40B3-BA9E-1DE25A200B5F}"/>
    <cellStyle name="Normal 9 2 4 2 4 3 2" xfId="21922" xr:uid="{5FD79E63-84E9-41E4-B70C-9784D6C9D577}"/>
    <cellStyle name="Normal 9 2 4 2 4 3 2 2" xfId="47414" xr:uid="{87A4868F-6AAE-4672-8D3E-D400855B4069}"/>
    <cellStyle name="Normal 9 2 4 2 4 3 3" xfId="34823" xr:uid="{2DDAD80A-8A24-4376-8486-515F5E2E2159}"/>
    <cellStyle name="Normal 9 2 4 2 4 4" xfId="15644" xr:uid="{82FD04B3-3867-43E4-820F-C72571182CC7}"/>
    <cellStyle name="Normal 9 2 4 2 4 4 2" xfId="41136" xr:uid="{1367E4FC-E0DF-4519-B302-BFAD40E60CCF}"/>
    <cellStyle name="Normal 9 2 4 2 4 5" xfId="28545" xr:uid="{18AAE020-AECB-4069-AEAE-F1BB183CFBEB}"/>
    <cellStyle name="Normal 9 2 4 2 5" xfId="3455" xr:uid="{435C31A4-D835-4584-AF48-DDA99D0ADEA1}"/>
    <cellStyle name="Normal 9 2 4 2 5 2" xfId="6609" xr:uid="{AE5EB558-2C23-45F3-8025-B105147513BD}"/>
    <cellStyle name="Normal 9 2 4 2 5 2 2" xfId="12902" xr:uid="{C3DBDE5F-3634-4EDA-9DA5-FC8F2DD4EF20}"/>
    <cellStyle name="Normal 9 2 4 2 5 2 2 2" xfId="25584" xr:uid="{72548A5A-F2A5-4297-A618-4650F2F35195}"/>
    <cellStyle name="Normal 9 2 4 2 5 2 2 2 2" xfId="51076" xr:uid="{137463DB-5E9C-45C9-800E-ADCA046173FC}"/>
    <cellStyle name="Normal 9 2 4 2 5 2 2 3" xfId="38485" xr:uid="{23E11762-5B81-4772-AC4D-3458A7BE802D}"/>
    <cellStyle name="Normal 9 2 4 2 5 2 3" xfId="19306" xr:uid="{F35D2311-69E6-4BDC-B2E5-88E4415006B7}"/>
    <cellStyle name="Normal 9 2 4 2 5 2 3 2" xfId="44798" xr:uid="{4A5F99A6-EFDE-4E7C-B888-F7DF3190611C}"/>
    <cellStyle name="Normal 9 2 4 2 5 2 4" xfId="32207" xr:uid="{658E3520-7F82-42F8-92A8-9BA1CCF5D7B8}"/>
    <cellStyle name="Normal 9 2 4 2 5 3" xfId="9763" xr:uid="{3A27229A-ED27-49CC-9B4F-329D3824A8B8}"/>
    <cellStyle name="Normal 9 2 4 2 5 3 2" xfId="22445" xr:uid="{421DF1FF-6019-43FF-B0C7-A744A9D57E32}"/>
    <cellStyle name="Normal 9 2 4 2 5 3 2 2" xfId="47937" xr:uid="{CB549FFF-3195-472F-9032-36CF9577C755}"/>
    <cellStyle name="Normal 9 2 4 2 5 3 3" xfId="35346" xr:uid="{2188F29F-6506-426C-9393-7D030AD09E92}"/>
    <cellStyle name="Normal 9 2 4 2 5 4" xfId="16167" xr:uid="{B7964680-4899-4C85-9F6B-134D973D2F9C}"/>
    <cellStyle name="Normal 9 2 4 2 5 4 2" xfId="41659" xr:uid="{42060A08-6842-4D75-9740-9FF7E0C86D24}"/>
    <cellStyle name="Normal 9 2 4 2 5 5" xfId="29068" xr:uid="{4F6A1D2E-E24B-41FA-9E4C-8A8F357DA43A}"/>
    <cellStyle name="Normal 9 2 4 2 6" xfId="4255" xr:uid="{A4557F76-F46F-41AB-BB1B-17067D888096}"/>
    <cellStyle name="Normal 9 2 4 2 6 2" xfId="10548" xr:uid="{D01700A0-3EB6-494F-A6A2-27166B0AC74B}"/>
    <cellStyle name="Normal 9 2 4 2 6 2 2" xfId="23230" xr:uid="{51D576D0-3160-4772-B9B9-A4BA1740BB14}"/>
    <cellStyle name="Normal 9 2 4 2 6 2 2 2" xfId="48722" xr:uid="{718D3F8B-0434-4222-9515-9898F81A2285}"/>
    <cellStyle name="Normal 9 2 4 2 6 2 3" xfId="36131" xr:uid="{76BCA2FB-9268-423A-97AD-43E377C04981}"/>
    <cellStyle name="Normal 9 2 4 2 6 3" xfId="16952" xr:uid="{01373A39-FA6E-48FB-A8F6-1439E629E850}"/>
    <cellStyle name="Normal 9 2 4 2 6 3 2" xfId="42444" xr:uid="{1F4C57E9-AFDE-4D96-8E0F-A897F5CDEF21}"/>
    <cellStyle name="Normal 9 2 4 2 6 4" xfId="29853" xr:uid="{8C7578DD-3116-40B6-A188-EFA88026F3F5}"/>
    <cellStyle name="Normal 9 2 4 2 7" xfId="7409" xr:uid="{12AC8DC7-9923-45EC-8C18-642AA90FB6F4}"/>
    <cellStyle name="Normal 9 2 4 2 7 2" xfId="20091" xr:uid="{31029A5B-631E-484A-949D-932B743BC62C}"/>
    <cellStyle name="Normal 9 2 4 2 7 2 2" xfId="45583" xr:uid="{64D3EA94-CE15-40FA-9FA1-58AC5A81D911}"/>
    <cellStyle name="Normal 9 2 4 2 7 3" xfId="32992" xr:uid="{5EE2E04D-88A9-4FF6-91BC-DDA1FC893F38}"/>
    <cellStyle name="Normal 9 2 4 2 8" xfId="13813" xr:uid="{0688C567-87DA-4079-9938-EEDA7953DA40}"/>
    <cellStyle name="Normal 9 2 4 2 8 2" xfId="39305" xr:uid="{04C1686B-4236-4C9E-93F5-64B960AD642E}"/>
    <cellStyle name="Normal 9 2 4 2 9" xfId="26714" xr:uid="{606D6DB1-4E26-4AB8-B5EA-C00E83397D22}"/>
    <cellStyle name="Normal 9 2 4 3" xfId="841" xr:uid="{F0812759-017A-4BC6-9E39-E55C9A8A5D2A}"/>
    <cellStyle name="Normal 9 2 4 3 2" xfId="2148" xr:uid="{87403D7B-0080-4241-872A-80AA74D4B862}"/>
    <cellStyle name="Normal 9 2 4 3 2 2" xfId="5302" xr:uid="{12054D4C-5FC4-452D-BC5E-48ECAF1CC5D6}"/>
    <cellStyle name="Normal 9 2 4 3 2 2 2" xfId="11595" xr:uid="{EA7BF871-56A3-4328-87DA-2D9D0E1591D2}"/>
    <cellStyle name="Normal 9 2 4 3 2 2 2 2" xfId="24277" xr:uid="{7DDFAAC1-455D-4582-A036-063B04174E68}"/>
    <cellStyle name="Normal 9 2 4 3 2 2 2 2 2" xfId="49769" xr:uid="{7F8814D9-FB76-408C-88E4-D1DB11551EC7}"/>
    <cellStyle name="Normal 9 2 4 3 2 2 2 3" xfId="37178" xr:uid="{F742D2CD-4F8C-49A1-A20F-90E925B1C5D4}"/>
    <cellStyle name="Normal 9 2 4 3 2 2 3" xfId="17999" xr:uid="{00D7E705-2AD8-44CA-9506-A25E1C4F2CD2}"/>
    <cellStyle name="Normal 9 2 4 3 2 2 3 2" xfId="43491" xr:uid="{87CA0AF7-2581-4F80-9B5E-5E5BE7A11DA8}"/>
    <cellStyle name="Normal 9 2 4 3 2 2 4" xfId="30900" xr:uid="{E5FAFD26-C84D-4A92-BD16-92A90B02908D}"/>
    <cellStyle name="Normal 9 2 4 3 2 3" xfId="8456" xr:uid="{BDBB7CC6-898B-4070-BEC3-72B825B3286D}"/>
    <cellStyle name="Normal 9 2 4 3 2 3 2" xfId="21138" xr:uid="{13314895-F990-47A0-837D-45D9557A7725}"/>
    <cellStyle name="Normal 9 2 4 3 2 3 2 2" xfId="46630" xr:uid="{1F508598-355B-43D0-863F-E215D58A63FE}"/>
    <cellStyle name="Normal 9 2 4 3 2 3 3" xfId="34039" xr:uid="{4E21DB11-053C-4AFF-8EAA-7C7109791E7A}"/>
    <cellStyle name="Normal 9 2 4 3 2 4" xfId="14860" xr:uid="{9931509E-CBF6-4D44-A6FF-2BD530007045}"/>
    <cellStyle name="Normal 9 2 4 3 2 4 2" xfId="40352" xr:uid="{9A758422-F2A8-4DBE-A72E-F4479D7908D9}"/>
    <cellStyle name="Normal 9 2 4 3 2 5" xfId="27761" xr:uid="{90481382-BE75-4947-949F-872B69C3D092}"/>
    <cellStyle name="Normal 9 2 4 3 3" xfId="3995" xr:uid="{B280ECDB-E261-41C7-B26A-2C284D37BEFE}"/>
    <cellStyle name="Normal 9 2 4 3 3 2" xfId="10288" xr:uid="{2540F943-8836-4E11-897D-C0C50F0D1F18}"/>
    <cellStyle name="Normal 9 2 4 3 3 2 2" xfId="22970" xr:uid="{9FBE5959-7C8C-4C25-B1F8-991E18FC76FA}"/>
    <cellStyle name="Normal 9 2 4 3 3 2 2 2" xfId="48462" xr:uid="{384A717B-269E-4158-AB5C-1019F10BEB30}"/>
    <cellStyle name="Normal 9 2 4 3 3 2 3" xfId="35871" xr:uid="{D3111D38-65F8-4C65-A45A-5580A5E6DDB9}"/>
    <cellStyle name="Normal 9 2 4 3 3 3" xfId="16692" xr:uid="{CB4D106C-A702-4606-A43E-ED9AB43D8C70}"/>
    <cellStyle name="Normal 9 2 4 3 3 3 2" xfId="42184" xr:uid="{08EE1864-6E9C-4F78-9C62-15364DEA5389}"/>
    <cellStyle name="Normal 9 2 4 3 3 4" xfId="29593" xr:uid="{858176B2-9E7C-4E05-B2DD-4233E2813A43}"/>
    <cellStyle name="Normal 9 2 4 3 4" xfId="7149" xr:uid="{53CAAB40-CEDC-46B0-87CB-544BD6658C67}"/>
    <cellStyle name="Normal 9 2 4 3 4 2" xfId="19831" xr:uid="{DEE91D8A-E0CA-4C6B-A596-36E64CB77978}"/>
    <cellStyle name="Normal 9 2 4 3 4 2 2" xfId="45323" xr:uid="{29273C17-735F-4F8B-9AD1-025FD39EF08A}"/>
    <cellStyle name="Normal 9 2 4 3 4 3" xfId="32732" xr:uid="{1D88E273-1EDA-4CDF-A808-D97820CD5D9E}"/>
    <cellStyle name="Normal 9 2 4 3 5" xfId="13553" xr:uid="{4D166792-D89F-48A8-A7AF-30A7C7196335}"/>
    <cellStyle name="Normal 9 2 4 3 5 2" xfId="39045" xr:uid="{B97E7C2C-B973-4486-A4CC-CE18E23B9F89}"/>
    <cellStyle name="Normal 9 2 4 3 6" xfId="26454" xr:uid="{A88B7F4D-21B7-434A-98C7-6AFBE7F9F7C3}"/>
    <cellStyle name="Normal 9 2 4 4" xfId="1886" xr:uid="{DE461DE8-2829-416D-9ED2-A6A371A12243}"/>
    <cellStyle name="Normal 9 2 4 4 2" xfId="5040" xr:uid="{4231DF5B-8FB6-4DAE-AE1C-42F62312B186}"/>
    <cellStyle name="Normal 9 2 4 4 2 2" xfId="11333" xr:uid="{A8C921AC-F35F-48DD-B948-F962D83789ED}"/>
    <cellStyle name="Normal 9 2 4 4 2 2 2" xfId="24015" xr:uid="{A787E0A5-10BD-4408-8229-C5B9BD730A34}"/>
    <cellStyle name="Normal 9 2 4 4 2 2 2 2" xfId="49507" xr:uid="{BA718EF9-45B3-4782-9EAE-4BBD719539A4}"/>
    <cellStyle name="Normal 9 2 4 4 2 2 3" xfId="36916" xr:uid="{649A455A-289A-4C13-A6D7-DBDEED8D00C3}"/>
    <cellStyle name="Normal 9 2 4 4 2 3" xfId="17737" xr:uid="{01A49E9E-A99F-4F55-80DD-48E5A6F74F6E}"/>
    <cellStyle name="Normal 9 2 4 4 2 3 2" xfId="43229" xr:uid="{E6A3EF75-72E7-419A-8E9C-7F4F65D056EE}"/>
    <cellStyle name="Normal 9 2 4 4 2 4" xfId="30638" xr:uid="{5625458A-263C-4212-91C9-39726B6B5EFA}"/>
    <cellStyle name="Normal 9 2 4 4 3" xfId="8194" xr:uid="{0E88BF4F-73E0-44AD-8DE6-0CD1B05D53CB}"/>
    <cellStyle name="Normal 9 2 4 4 3 2" xfId="20876" xr:uid="{7279C410-89C1-4863-B25B-580CB1E17722}"/>
    <cellStyle name="Normal 9 2 4 4 3 2 2" xfId="46368" xr:uid="{41A6F33E-0534-47CB-8457-F97CE1380CC6}"/>
    <cellStyle name="Normal 9 2 4 4 3 3" xfId="33777" xr:uid="{D44CF26A-865C-4BFE-ABE8-0A7A1942A32C}"/>
    <cellStyle name="Normal 9 2 4 4 4" xfId="14598" xr:uid="{CE973EDE-7456-45A1-8254-A96A4A3567F8}"/>
    <cellStyle name="Normal 9 2 4 4 4 2" xfId="40090" xr:uid="{AB83F64F-F515-402B-AC36-8FCA10F12EA0}"/>
    <cellStyle name="Normal 9 2 4 4 5" xfId="27499" xr:uid="{1F2C8A9C-E689-4305-A6DA-C59E7C29A7EC}"/>
    <cellStyle name="Normal 9 2 4 5" xfId="1364" xr:uid="{51ED2F41-C0BC-47E9-8451-30585DF9730B}"/>
    <cellStyle name="Normal 9 2 4 5 2" xfId="4518" xr:uid="{005E6A84-8A90-426F-9C11-917B8C911086}"/>
    <cellStyle name="Normal 9 2 4 5 2 2" xfId="10811" xr:uid="{C0E9B104-8D97-45DC-8282-6ED061DDD804}"/>
    <cellStyle name="Normal 9 2 4 5 2 2 2" xfId="23493" xr:uid="{42E2AD1E-4F79-4E87-95BD-1D3FE7F7C423}"/>
    <cellStyle name="Normal 9 2 4 5 2 2 2 2" xfId="48985" xr:uid="{5953AB4D-7144-4FD9-939F-6A58F1BE6709}"/>
    <cellStyle name="Normal 9 2 4 5 2 2 3" xfId="36394" xr:uid="{442A8FC3-0C07-48D5-8D83-2792AAC30285}"/>
    <cellStyle name="Normal 9 2 4 5 2 3" xfId="17215" xr:uid="{10AEE861-8FD3-4CC3-9A41-18C70E565EC2}"/>
    <cellStyle name="Normal 9 2 4 5 2 3 2" xfId="42707" xr:uid="{183EE166-AE2D-4BEC-ABFA-4CB8E65457CE}"/>
    <cellStyle name="Normal 9 2 4 5 2 4" xfId="30116" xr:uid="{159C8925-58C2-4268-9F3D-ED69E4BDD2B9}"/>
    <cellStyle name="Normal 9 2 4 5 3" xfId="7672" xr:uid="{DD21F5F0-709E-44A1-BB75-F4428F0D86E6}"/>
    <cellStyle name="Normal 9 2 4 5 3 2" xfId="20354" xr:uid="{B5D05681-E119-40CC-92D9-144DA9F5F7C9}"/>
    <cellStyle name="Normal 9 2 4 5 3 2 2" xfId="45846" xr:uid="{E1421C2A-38E0-4B07-9406-490C8B935C8B}"/>
    <cellStyle name="Normal 9 2 4 5 3 3" xfId="33255" xr:uid="{616E8D1C-9612-42A2-919C-01100AA05C2A}"/>
    <cellStyle name="Normal 9 2 4 5 4" xfId="14076" xr:uid="{D2B91DA1-8355-4AC7-B592-6257F3418D76}"/>
    <cellStyle name="Normal 9 2 4 5 4 2" xfId="39568" xr:uid="{4239647D-95C9-4FD3-A9D7-C344DDB8D032}"/>
    <cellStyle name="Normal 9 2 4 5 5" xfId="26977" xr:uid="{C4A786C2-FCA0-449C-8283-B924B55EFF98}"/>
    <cellStyle name="Normal 9 2 4 6" xfId="2671" xr:uid="{46976E6F-A02E-4914-982E-352032CDDD8C}"/>
    <cellStyle name="Normal 9 2 4 6 2" xfId="5825" xr:uid="{6CBAC827-4880-4329-86FD-7D2C0D31E818}"/>
    <cellStyle name="Normal 9 2 4 6 2 2" xfId="12118" xr:uid="{4398D1CF-AE09-4E10-945C-760D7323AAEA}"/>
    <cellStyle name="Normal 9 2 4 6 2 2 2" xfId="24800" xr:uid="{211C41C0-EE78-4538-88C0-BF8B687F047A}"/>
    <cellStyle name="Normal 9 2 4 6 2 2 2 2" xfId="50292" xr:uid="{446240FB-AD16-4134-8E98-E0AD89C2F33A}"/>
    <cellStyle name="Normal 9 2 4 6 2 2 3" xfId="37701" xr:uid="{0CA26512-9393-49DA-A62D-2976C7CBD920}"/>
    <cellStyle name="Normal 9 2 4 6 2 3" xfId="18522" xr:uid="{6A175741-3245-4BBB-9DC2-EE5C0198AD85}"/>
    <cellStyle name="Normal 9 2 4 6 2 3 2" xfId="44014" xr:uid="{ED13E273-2684-4751-828F-6FB935A7BE40}"/>
    <cellStyle name="Normal 9 2 4 6 2 4" xfId="31423" xr:uid="{6A4A1071-9AE4-4CCA-88CF-CDB4555BB8DF}"/>
    <cellStyle name="Normal 9 2 4 6 3" xfId="8979" xr:uid="{F93A3EA3-BC43-40AF-AA72-6F0765611943}"/>
    <cellStyle name="Normal 9 2 4 6 3 2" xfId="21661" xr:uid="{ACC70D55-6498-4293-A2F5-CD0FDE5ACABC}"/>
    <cellStyle name="Normal 9 2 4 6 3 2 2" xfId="47153" xr:uid="{38DE9C65-3043-4DA4-A1E8-48FC7C3AC68D}"/>
    <cellStyle name="Normal 9 2 4 6 3 3" xfId="34562" xr:uid="{7D413F0E-48DA-4A34-9B06-391F4D98A571}"/>
    <cellStyle name="Normal 9 2 4 6 4" xfId="15383" xr:uid="{DB403828-052A-4998-8E7F-6FBF7018C403}"/>
    <cellStyle name="Normal 9 2 4 6 4 2" xfId="40875" xr:uid="{CD6EE919-8807-4DB1-ABD7-6BC8F01211BE}"/>
    <cellStyle name="Normal 9 2 4 6 5" xfId="28284" xr:uid="{2274A615-682F-44CC-9168-F23490E75F1D}"/>
    <cellStyle name="Normal 9 2 4 7" xfId="3194" xr:uid="{622799AB-3F78-45BC-944F-DBA1076CD5B5}"/>
    <cellStyle name="Normal 9 2 4 7 2" xfId="6348" xr:uid="{3A8B3369-00B3-4A04-B643-88D50D3F5649}"/>
    <cellStyle name="Normal 9 2 4 7 2 2" xfId="12641" xr:uid="{B156FF10-78FD-4334-BD10-624D8F9B00F4}"/>
    <cellStyle name="Normal 9 2 4 7 2 2 2" xfId="25323" xr:uid="{3D61F762-C884-4C36-ADCB-62C7FE73398C}"/>
    <cellStyle name="Normal 9 2 4 7 2 2 2 2" xfId="50815" xr:uid="{8634FF06-FE24-4ED1-8120-882EB4858FEF}"/>
    <cellStyle name="Normal 9 2 4 7 2 2 3" xfId="38224" xr:uid="{524B1FF0-4A7F-4B3A-A069-5050C5F7763F}"/>
    <cellStyle name="Normal 9 2 4 7 2 3" xfId="19045" xr:uid="{48D1C546-9320-461C-A76B-96B7D73EF84B}"/>
    <cellStyle name="Normal 9 2 4 7 2 3 2" xfId="44537" xr:uid="{DFB92941-B01F-4B70-BB18-995360333335}"/>
    <cellStyle name="Normal 9 2 4 7 2 4" xfId="31946" xr:uid="{F71A9584-FB0D-4545-A3E6-981AAAF45072}"/>
    <cellStyle name="Normal 9 2 4 7 3" xfId="9502" xr:uid="{40F4BEB2-B196-492C-B742-8DE3037ECF89}"/>
    <cellStyle name="Normal 9 2 4 7 3 2" xfId="22184" xr:uid="{0F1A8F86-A9AC-4426-BD31-32B640984418}"/>
    <cellStyle name="Normal 9 2 4 7 3 2 2" xfId="47676" xr:uid="{9A937973-9E00-47B2-AEEE-1F4DEE48E24F}"/>
    <cellStyle name="Normal 9 2 4 7 3 3" xfId="35085" xr:uid="{5091F6AE-029A-4A91-8B93-793783BECDB3}"/>
    <cellStyle name="Normal 9 2 4 7 4" xfId="15906" xr:uid="{0C1C79A0-8B01-4BDB-BF75-6DBA7A18EE86}"/>
    <cellStyle name="Normal 9 2 4 7 4 2" xfId="41398" xr:uid="{0CB104C3-716D-478E-9722-8E15518FC696}"/>
    <cellStyle name="Normal 9 2 4 7 5" xfId="28807" xr:uid="{140DB979-1F5F-4C71-8CA1-D38D79843D46}"/>
    <cellStyle name="Normal 9 2 4 8" xfId="3733" xr:uid="{1282E9DF-51FE-4C47-AC01-212839D1BF50}"/>
    <cellStyle name="Normal 9 2 4 8 2" xfId="10026" xr:uid="{654DA17F-580D-4CBF-BA50-110F0142D114}"/>
    <cellStyle name="Normal 9 2 4 8 2 2" xfId="22708" xr:uid="{98AD2EB6-31DF-4CE7-B802-F8B1846613D2}"/>
    <cellStyle name="Normal 9 2 4 8 2 2 2" xfId="48200" xr:uid="{F99D07FB-7F0B-4742-A688-2FF21979E9E7}"/>
    <cellStyle name="Normal 9 2 4 8 2 3" xfId="35609" xr:uid="{0D6DC92C-BDD4-411C-A17C-35F21685E42D}"/>
    <cellStyle name="Normal 9 2 4 8 3" xfId="16430" xr:uid="{D125BD18-153C-465D-B315-5B9519FB95C2}"/>
    <cellStyle name="Normal 9 2 4 8 3 2" xfId="41922" xr:uid="{62536AC0-C326-4128-A559-FD4055C19FEE}"/>
    <cellStyle name="Normal 9 2 4 8 4" xfId="29331" xr:uid="{A894BAEF-CE0B-4874-BD8C-8628704392DA}"/>
    <cellStyle name="Normal 9 2 4 9" xfId="6887" xr:uid="{9885C684-FB1E-424B-8F8E-AAAAF93D7185}"/>
    <cellStyle name="Normal 9 2 4 9 2" xfId="19569" xr:uid="{33552C65-50CE-44B7-A0CA-0CAF02E9CCFB}"/>
    <cellStyle name="Normal 9 2 4 9 2 2" xfId="45061" xr:uid="{D464E0C6-F1B9-45C2-B584-E83559A2F11C}"/>
    <cellStyle name="Normal 9 2 4 9 3" xfId="32470" xr:uid="{E9F53D51-D9A5-48E9-933A-E6815B003162}"/>
    <cellStyle name="Normal 9 2 5" xfId="981" xr:uid="{D691DB8F-BB9C-46E7-BB07-DF69BC36974D}"/>
    <cellStyle name="Normal 9 2 5 2" xfId="2288" xr:uid="{7AC6FA22-8EA7-407A-B056-4EB740190F2C}"/>
    <cellStyle name="Normal 9 2 5 2 2" xfId="5442" xr:uid="{263652CE-3E71-4040-BD58-43E7BA048C5E}"/>
    <cellStyle name="Normal 9 2 5 2 2 2" xfId="11735" xr:uid="{0953BB3E-807D-49BC-993B-E2A45AAC3C75}"/>
    <cellStyle name="Normal 9 2 5 2 2 2 2" xfId="24417" xr:uid="{BDA9DF01-40C6-4B07-B01D-7C6C18FC88AD}"/>
    <cellStyle name="Normal 9 2 5 2 2 2 2 2" xfId="49909" xr:uid="{E501F6E9-6456-4116-BA88-8EF5F56E75F9}"/>
    <cellStyle name="Normal 9 2 5 2 2 2 3" xfId="37318" xr:uid="{7731C088-BD3D-4BF9-9E9B-CB37BEC7BE94}"/>
    <cellStyle name="Normal 9 2 5 2 2 3" xfId="18139" xr:uid="{C5C74CC4-BF51-43FE-8E9D-5DE3038AEA14}"/>
    <cellStyle name="Normal 9 2 5 2 2 3 2" xfId="43631" xr:uid="{789BEEA0-2167-4C80-93D5-41984F17470F}"/>
    <cellStyle name="Normal 9 2 5 2 2 4" xfId="31040" xr:uid="{BBF39D62-E52D-473E-88A8-966F37DF06D7}"/>
    <cellStyle name="Normal 9 2 5 2 3" xfId="8596" xr:uid="{F274A3C8-4613-4BD9-BE1A-3C9690A0A0D0}"/>
    <cellStyle name="Normal 9 2 5 2 3 2" xfId="21278" xr:uid="{203E0DCE-CB20-45DB-B84C-6FE2687FC3C4}"/>
    <cellStyle name="Normal 9 2 5 2 3 2 2" xfId="46770" xr:uid="{AB600E72-0B6A-4E00-8DB8-EFBE99E97DFA}"/>
    <cellStyle name="Normal 9 2 5 2 3 3" xfId="34179" xr:uid="{BEBE93D5-6E45-40C8-A2C9-B1BCAD63BA46}"/>
    <cellStyle name="Normal 9 2 5 2 4" xfId="15000" xr:uid="{7A0DAD4F-FEC1-4CD9-A5BA-796AF6283FBF}"/>
    <cellStyle name="Normal 9 2 5 2 4 2" xfId="40492" xr:uid="{AD13D4FF-B137-4479-9601-A36D2236DAD0}"/>
    <cellStyle name="Normal 9 2 5 2 5" xfId="27901" xr:uid="{7CD832A5-35FD-4B78-BBDB-4E72A655A72F}"/>
    <cellStyle name="Normal 9 2 5 3" xfId="1505" xr:uid="{97D56CD2-474F-4F31-BECC-558FF74C9467}"/>
    <cellStyle name="Normal 9 2 5 3 2" xfId="4659" xr:uid="{79ECC66D-C7C2-4648-B875-A2B0CCCCB3A0}"/>
    <cellStyle name="Normal 9 2 5 3 2 2" xfId="10952" xr:uid="{D68589B4-94D6-4C91-B8F5-B29FCC655227}"/>
    <cellStyle name="Normal 9 2 5 3 2 2 2" xfId="23634" xr:uid="{766A4212-7885-4CD6-B2F7-013F62DD6806}"/>
    <cellStyle name="Normal 9 2 5 3 2 2 2 2" xfId="49126" xr:uid="{E42E0694-DD35-4525-A649-C770F9F4F70D}"/>
    <cellStyle name="Normal 9 2 5 3 2 2 3" xfId="36535" xr:uid="{DF4716CB-F5DE-4FA3-B5B0-D5D5A338DA4E}"/>
    <cellStyle name="Normal 9 2 5 3 2 3" xfId="17356" xr:uid="{AD5F4691-9691-4616-830A-89FB9C9C7A55}"/>
    <cellStyle name="Normal 9 2 5 3 2 3 2" xfId="42848" xr:uid="{92C0A352-1A96-44BB-A8FD-0220D4D34AB6}"/>
    <cellStyle name="Normal 9 2 5 3 2 4" xfId="30257" xr:uid="{7A753656-6696-4115-8150-87BA98EF5E1D}"/>
    <cellStyle name="Normal 9 2 5 3 3" xfId="7813" xr:uid="{D4D1DE3A-6347-4247-BA39-2E0CE8300D4C}"/>
    <cellStyle name="Normal 9 2 5 3 3 2" xfId="20495" xr:uid="{ACC4F977-7F84-470B-9DDA-BF43E3164C6F}"/>
    <cellStyle name="Normal 9 2 5 3 3 2 2" xfId="45987" xr:uid="{5B8705D8-E60B-4F70-A85E-7139B0894CEF}"/>
    <cellStyle name="Normal 9 2 5 3 3 3" xfId="33396" xr:uid="{7A0468E7-6843-4BBC-9005-4C45B06E481E}"/>
    <cellStyle name="Normal 9 2 5 3 4" xfId="14217" xr:uid="{9719A091-A27E-49F6-9222-0328CD6C7738}"/>
    <cellStyle name="Normal 9 2 5 3 4 2" xfId="39709" xr:uid="{C4392100-C7F3-4C2F-BFED-3A50732806F8}"/>
    <cellStyle name="Normal 9 2 5 3 5" xfId="27118" xr:uid="{F617184C-5829-41A4-9D6D-EEDD0BAFB893}"/>
    <cellStyle name="Normal 9 2 5 4" xfId="2812" xr:uid="{20B4DDD9-F32F-432C-9FFD-2D2D99300796}"/>
    <cellStyle name="Normal 9 2 5 4 2" xfId="5966" xr:uid="{0661D226-03B0-4669-B9D2-9162830D97F2}"/>
    <cellStyle name="Normal 9 2 5 4 2 2" xfId="12259" xr:uid="{00BFC5F6-6F0C-450B-99D8-75329AAE8067}"/>
    <cellStyle name="Normal 9 2 5 4 2 2 2" xfId="24941" xr:uid="{00FCD7AA-B8F7-46C1-BEC9-08A7267E4C65}"/>
    <cellStyle name="Normal 9 2 5 4 2 2 2 2" xfId="50433" xr:uid="{300B5C65-5D29-4D86-86C4-5D1680DFF717}"/>
    <cellStyle name="Normal 9 2 5 4 2 2 3" xfId="37842" xr:uid="{9BFF2D59-55C5-4249-84EC-7A3DED91148A}"/>
    <cellStyle name="Normal 9 2 5 4 2 3" xfId="18663" xr:uid="{74F4490E-1CB9-42EC-8CF2-29D3D23151D4}"/>
    <cellStyle name="Normal 9 2 5 4 2 3 2" xfId="44155" xr:uid="{50DCCF3F-67BC-4ABC-8EB3-854ABAF7DE49}"/>
    <cellStyle name="Normal 9 2 5 4 2 4" xfId="31564" xr:uid="{AE9593F8-E1B3-4F65-809F-15387E52D009}"/>
    <cellStyle name="Normal 9 2 5 4 3" xfId="9120" xr:uid="{6F620FE3-EDE3-4185-8D13-877110D1D774}"/>
    <cellStyle name="Normal 9 2 5 4 3 2" xfId="21802" xr:uid="{37A4CE6D-FBF7-47E9-8F0B-45E32EC3C4B1}"/>
    <cellStyle name="Normal 9 2 5 4 3 2 2" xfId="47294" xr:uid="{AB5B0474-4FB1-45FC-BC20-0F11D4737026}"/>
    <cellStyle name="Normal 9 2 5 4 3 3" xfId="34703" xr:uid="{5A862D81-F7AD-4C24-A22B-541AC53BFE09}"/>
    <cellStyle name="Normal 9 2 5 4 4" xfId="15524" xr:uid="{6CB45BCB-9A1F-4809-BC08-D603DCC1C157}"/>
    <cellStyle name="Normal 9 2 5 4 4 2" xfId="41016" xr:uid="{F3D146E7-2E69-472D-BA7E-6629B7016B3C}"/>
    <cellStyle name="Normal 9 2 5 4 5" xfId="28425" xr:uid="{F7B03739-64AC-4B5A-B22C-239F46C9A37B}"/>
    <cellStyle name="Normal 9 2 5 5" xfId="3335" xr:uid="{7B15030F-7BCD-4625-89C9-B7E473F3C714}"/>
    <cellStyle name="Normal 9 2 5 5 2" xfId="6489" xr:uid="{59D90F18-2395-4B67-ABBD-2F484D2B0E1B}"/>
    <cellStyle name="Normal 9 2 5 5 2 2" xfId="12782" xr:uid="{CF620B10-C6E5-49F6-B04F-903AA4CAB0D6}"/>
    <cellStyle name="Normal 9 2 5 5 2 2 2" xfId="25464" xr:uid="{612B4378-FAC5-4729-AC2F-7FC31545A8F8}"/>
    <cellStyle name="Normal 9 2 5 5 2 2 2 2" xfId="50956" xr:uid="{7B6C218D-7E47-4A35-A2F7-0BC446F0AC8E}"/>
    <cellStyle name="Normal 9 2 5 5 2 2 3" xfId="38365" xr:uid="{016E31A5-00B5-4347-B3AA-14A707B81157}"/>
    <cellStyle name="Normal 9 2 5 5 2 3" xfId="19186" xr:uid="{9BD91D24-7BAD-4CAE-BFDA-5F3113AF81DA}"/>
    <cellStyle name="Normal 9 2 5 5 2 3 2" xfId="44678" xr:uid="{13209941-6534-4CFE-BD4B-C4A7DF667296}"/>
    <cellStyle name="Normal 9 2 5 5 2 4" xfId="32087" xr:uid="{EEB174ED-082B-4F2D-849C-FE91C2AF7128}"/>
    <cellStyle name="Normal 9 2 5 5 3" xfId="9643" xr:uid="{BB4ED17E-08B6-4772-A131-7D1D1ADABBFE}"/>
    <cellStyle name="Normal 9 2 5 5 3 2" xfId="22325" xr:uid="{52040463-EE8A-44EE-82D7-974C9C2EEAF8}"/>
    <cellStyle name="Normal 9 2 5 5 3 2 2" xfId="47817" xr:uid="{6B859B42-4C22-4D64-AFB6-264ECAD9E891}"/>
    <cellStyle name="Normal 9 2 5 5 3 3" xfId="35226" xr:uid="{EE4E68C2-3DBB-4343-BF5F-C08FB1EFEB2B}"/>
    <cellStyle name="Normal 9 2 5 5 4" xfId="16047" xr:uid="{4365F570-E6F6-43A4-BDC4-601A3CD74E8C}"/>
    <cellStyle name="Normal 9 2 5 5 4 2" xfId="41539" xr:uid="{90D94258-A017-4A7F-8503-B3EE31698D84}"/>
    <cellStyle name="Normal 9 2 5 5 5" xfId="28948" xr:uid="{DBEE8B36-3DBE-470A-855F-3EBDB9C67647}"/>
    <cellStyle name="Normal 9 2 5 6" xfId="4135" xr:uid="{FF8375EB-EEEF-433D-B0D4-8B14F309CEC5}"/>
    <cellStyle name="Normal 9 2 5 6 2" xfId="10428" xr:uid="{FA492444-7CAD-413E-AFBB-CA56DB487C9E}"/>
    <cellStyle name="Normal 9 2 5 6 2 2" xfId="23110" xr:uid="{8CB81289-3535-4CF8-AFAC-11A8F98D7356}"/>
    <cellStyle name="Normal 9 2 5 6 2 2 2" xfId="48602" xr:uid="{3FED34E1-3632-456A-8614-E801EC9CCBA2}"/>
    <cellStyle name="Normal 9 2 5 6 2 3" xfId="36011" xr:uid="{72584829-0FCE-4471-8AAA-C85BBFD93A5F}"/>
    <cellStyle name="Normal 9 2 5 6 3" xfId="16832" xr:uid="{CE970F51-CDBB-4BF4-B674-3BBC8A2AD80C}"/>
    <cellStyle name="Normal 9 2 5 6 3 2" xfId="42324" xr:uid="{34B32EAA-EAC7-49BD-930E-00A57E612AB0}"/>
    <cellStyle name="Normal 9 2 5 6 4" xfId="29733" xr:uid="{ED1ED1B6-1B1F-4AE9-BA7D-BD301A229462}"/>
    <cellStyle name="Normal 9 2 5 7" xfId="7289" xr:uid="{10D65299-914B-4A9F-AFF4-42E59A6E6B40}"/>
    <cellStyle name="Normal 9 2 5 7 2" xfId="19971" xr:uid="{0A2721C0-B654-42AD-A42C-1AB1BAA104CE}"/>
    <cellStyle name="Normal 9 2 5 7 2 2" xfId="45463" xr:uid="{C7D8798C-2881-4AE4-B7B2-CEBBA29725A6}"/>
    <cellStyle name="Normal 9 2 5 7 3" xfId="32872" xr:uid="{666411A7-8391-4BBE-A8FD-AB2F5C8A028F}"/>
    <cellStyle name="Normal 9 2 5 8" xfId="13693" xr:uid="{B4A1DC6B-034C-4BE9-B533-B735BECAC42E}"/>
    <cellStyle name="Normal 9 2 5 8 2" xfId="39185" xr:uid="{7D49DF59-56AA-4996-85E0-286A2094E344}"/>
    <cellStyle name="Normal 9 2 5 9" xfId="26594" xr:uid="{23A7BAB8-AE92-4D81-B718-3240EA251FB1}"/>
    <cellStyle name="Normal 9 2 6" xfId="721" xr:uid="{B72EEB4A-5194-4FE6-AAFD-D428BF33416C}"/>
    <cellStyle name="Normal 9 2 6 2" xfId="2028" xr:uid="{22DE6FA8-B001-480A-AEC3-8917F1FBD57A}"/>
    <cellStyle name="Normal 9 2 6 2 2" xfId="5182" xr:uid="{9A5B37A8-3EB1-4F39-AB91-CA188A679AE8}"/>
    <cellStyle name="Normal 9 2 6 2 2 2" xfId="11475" xr:uid="{6C9F2030-74A6-4A20-8FE9-65B8810EB5FD}"/>
    <cellStyle name="Normal 9 2 6 2 2 2 2" xfId="24157" xr:uid="{670BD2EF-094E-4883-8831-FA1CADBD1499}"/>
    <cellStyle name="Normal 9 2 6 2 2 2 2 2" xfId="49649" xr:uid="{9ADCD323-6064-4CDE-84AF-1D943A6FEBA0}"/>
    <cellStyle name="Normal 9 2 6 2 2 2 3" xfId="37058" xr:uid="{42F560B1-6EC8-40AE-9881-E923D2775728}"/>
    <cellStyle name="Normal 9 2 6 2 2 3" xfId="17879" xr:uid="{3529A54E-F572-4077-847C-7F9C4F149B39}"/>
    <cellStyle name="Normal 9 2 6 2 2 3 2" xfId="43371" xr:uid="{4D77F7A6-463E-4275-831A-DD1F8446F49E}"/>
    <cellStyle name="Normal 9 2 6 2 2 4" xfId="30780" xr:uid="{CA57C502-0CD2-48BC-997A-A08593F0E5B8}"/>
    <cellStyle name="Normal 9 2 6 2 3" xfId="8336" xr:uid="{9869476B-AB06-4846-B9AC-6A55C0771893}"/>
    <cellStyle name="Normal 9 2 6 2 3 2" xfId="21018" xr:uid="{67B3ED77-F56B-4BD5-8023-EB568AFFD436}"/>
    <cellStyle name="Normal 9 2 6 2 3 2 2" xfId="46510" xr:uid="{17B6B675-9CA1-4EF4-8FB3-0699650265CD}"/>
    <cellStyle name="Normal 9 2 6 2 3 3" xfId="33919" xr:uid="{31962EEF-E6D7-4963-8125-B5FE8CA9ABBA}"/>
    <cellStyle name="Normal 9 2 6 2 4" xfId="14740" xr:uid="{A1BC4650-FC44-4FC1-8AD4-F266D33CFCB5}"/>
    <cellStyle name="Normal 9 2 6 2 4 2" xfId="40232" xr:uid="{E3F47FFD-83FD-4A5D-9D68-D0DC553DA3DF}"/>
    <cellStyle name="Normal 9 2 6 2 5" xfId="27641" xr:uid="{AF2D564D-5796-4BD2-8E81-55D60349CB3F}"/>
    <cellStyle name="Normal 9 2 6 3" xfId="3875" xr:uid="{97FFD660-68E9-478F-B08D-A25C0EA1916B}"/>
    <cellStyle name="Normal 9 2 6 3 2" xfId="10168" xr:uid="{FEC410B0-5C82-4340-8B77-F17D04927BBA}"/>
    <cellStyle name="Normal 9 2 6 3 2 2" xfId="22850" xr:uid="{103AD33B-E966-47BD-943F-A44172FF3E52}"/>
    <cellStyle name="Normal 9 2 6 3 2 2 2" xfId="48342" xr:uid="{83A787F8-3FD3-4144-8688-34582A911812}"/>
    <cellStyle name="Normal 9 2 6 3 2 3" xfId="35751" xr:uid="{EC6ABEA5-9886-4A50-AE4E-E162A02E7847}"/>
    <cellStyle name="Normal 9 2 6 3 3" xfId="16572" xr:uid="{D53F5E25-AB27-4B39-9891-A7CA5BCDDFCF}"/>
    <cellStyle name="Normal 9 2 6 3 3 2" xfId="42064" xr:uid="{8FF8A005-5761-407B-A64F-D078486A7CDF}"/>
    <cellStyle name="Normal 9 2 6 3 4" xfId="29473" xr:uid="{193B66AE-3944-4F6E-A123-6F3A3DEE7517}"/>
    <cellStyle name="Normal 9 2 6 4" xfId="7029" xr:uid="{8315ECA3-B8CE-481F-8D22-4A58D0E00CED}"/>
    <cellStyle name="Normal 9 2 6 4 2" xfId="19711" xr:uid="{8DF60CE4-3FF6-458B-B5DF-A7B4DFE91726}"/>
    <cellStyle name="Normal 9 2 6 4 2 2" xfId="45203" xr:uid="{8DA5952E-CDED-4CCC-8A71-8E39D60D7FAC}"/>
    <cellStyle name="Normal 9 2 6 4 3" xfId="32612" xr:uid="{F7465F4A-657D-4B67-BA77-05B0D2602A0E}"/>
    <cellStyle name="Normal 9 2 6 5" xfId="13433" xr:uid="{5F0CAB4B-ECDC-404B-9E16-A0BA643A55A7}"/>
    <cellStyle name="Normal 9 2 6 5 2" xfId="38925" xr:uid="{931B5905-368E-4F84-B925-09107177A86F}"/>
    <cellStyle name="Normal 9 2 6 6" xfId="26334" xr:uid="{C340B957-85FE-4007-8CD1-C4C630069A72}"/>
    <cellStyle name="Normal 9 2 7" xfId="1766" xr:uid="{7BA04015-3F75-4011-B890-A996E739E67C}"/>
    <cellStyle name="Normal 9 2 7 2" xfId="4920" xr:uid="{6121AC0A-EA8E-42F3-94A1-01565916659B}"/>
    <cellStyle name="Normal 9 2 7 2 2" xfId="11213" xr:uid="{2B4A1DC0-E28F-4486-A270-9CA6954025C7}"/>
    <cellStyle name="Normal 9 2 7 2 2 2" xfId="23895" xr:uid="{117DBC16-3868-42A5-8446-B7D229D87370}"/>
    <cellStyle name="Normal 9 2 7 2 2 2 2" xfId="49387" xr:uid="{8D195DEE-6AA4-4833-8857-10F9232CA67F}"/>
    <cellStyle name="Normal 9 2 7 2 2 3" xfId="36796" xr:uid="{B395D0F9-7A50-4A1E-9B90-C30FFB1F2F4C}"/>
    <cellStyle name="Normal 9 2 7 2 3" xfId="17617" xr:uid="{05C7F2B4-A7DC-4170-9C38-2FB89EA1F71C}"/>
    <cellStyle name="Normal 9 2 7 2 3 2" xfId="43109" xr:uid="{C3D8E20B-E231-4ED0-9216-00624F658DC3}"/>
    <cellStyle name="Normal 9 2 7 2 4" xfId="30518" xr:uid="{7AF85873-33F5-49ED-99C8-569BA31F0D80}"/>
    <cellStyle name="Normal 9 2 7 3" xfId="8074" xr:uid="{49BC7F20-69F5-4E26-B6F6-3A13AEB4BC98}"/>
    <cellStyle name="Normal 9 2 7 3 2" xfId="20756" xr:uid="{8B8A3E08-CD59-4212-8483-021F5E432F80}"/>
    <cellStyle name="Normal 9 2 7 3 2 2" xfId="46248" xr:uid="{CAE908D6-095C-4A53-B16D-47BF9E624409}"/>
    <cellStyle name="Normal 9 2 7 3 3" xfId="33657" xr:uid="{F3C8747E-BC94-4BCB-B64F-6E11E76DD804}"/>
    <cellStyle name="Normal 9 2 7 4" xfId="14478" xr:uid="{55B5FB80-D145-4045-A3B2-04564C65EFC9}"/>
    <cellStyle name="Normal 9 2 7 4 2" xfId="39970" xr:uid="{813AA32B-A69C-4F4E-9EFA-4F6FD7AE5048}"/>
    <cellStyle name="Normal 9 2 7 5" xfId="27379" xr:uid="{3FCF5CEE-424B-45DB-B8C7-BAC0F5AACF75}"/>
    <cellStyle name="Normal 9 2 8" xfId="1244" xr:uid="{A174D266-5064-4140-9C44-1755195B990E}"/>
    <cellStyle name="Normal 9 2 8 2" xfId="4398" xr:uid="{0A73954C-2627-4E8A-ABFF-047D29C91B2A}"/>
    <cellStyle name="Normal 9 2 8 2 2" xfId="10691" xr:uid="{BBF0CF73-72B5-4636-9244-3AADE126DC4C}"/>
    <cellStyle name="Normal 9 2 8 2 2 2" xfId="23373" xr:uid="{41E1D319-529C-4927-9C03-2B6C8BE56C11}"/>
    <cellStyle name="Normal 9 2 8 2 2 2 2" xfId="48865" xr:uid="{747476F8-C732-4B4F-AB5D-3C5E5CEE0A63}"/>
    <cellStyle name="Normal 9 2 8 2 2 3" xfId="36274" xr:uid="{0B8F4081-2600-4189-92F7-CF1FA7385A5E}"/>
    <cellStyle name="Normal 9 2 8 2 3" xfId="17095" xr:uid="{A1167A2E-013D-4699-B1C2-CC5013AB4909}"/>
    <cellStyle name="Normal 9 2 8 2 3 2" xfId="42587" xr:uid="{2508C32F-3D08-409F-9C12-778BFAD7DA03}"/>
    <cellStyle name="Normal 9 2 8 2 4" xfId="29996" xr:uid="{A926B360-3A42-455E-ABDF-20798AE397D8}"/>
    <cellStyle name="Normal 9 2 8 3" xfId="7552" xr:uid="{D3493CDB-90A3-4646-A718-5F916F991E59}"/>
    <cellStyle name="Normal 9 2 8 3 2" xfId="20234" xr:uid="{39925D17-76FF-453F-AAF4-C5866445F8D1}"/>
    <cellStyle name="Normal 9 2 8 3 2 2" xfId="45726" xr:uid="{988DA15D-29F6-404B-AEA1-1F8EE9839FC8}"/>
    <cellStyle name="Normal 9 2 8 3 3" xfId="33135" xr:uid="{B14A592A-64B9-4427-9577-2280EEC4EA13}"/>
    <cellStyle name="Normal 9 2 8 4" xfId="13956" xr:uid="{37FD15B1-6318-4D2A-BF6B-3C10E6CF39E2}"/>
    <cellStyle name="Normal 9 2 8 4 2" xfId="39448" xr:uid="{955D6F25-20A7-468C-835A-154E1BE57B51}"/>
    <cellStyle name="Normal 9 2 8 5" xfId="26857" xr:uid="{98FABAE4-51A6-405B-B6C0-5E70BC34EB56}"/>
    <cellStyle name="Normal 9 2 9" xfId="2551" xr:uid="{31692CE7-0E3B-4726-B082-0C51B9D999CA}"/>
    <cellStyle name="Normal 9 2 9 2" xfId="5705" xr:uid="{5E019A94-EA6B-4E54-BB9C-A6E4E1001AC4}"/>
    <cellStyle name="Normal 9 2 9 2 2" xfId="11998" xr:uid="{B5525A7B-5FF4-43EA-9893-8A392C255922}"/>
    <cellStyle name="Normal 9 2 9 2 2 2" xfId="24680" xr:uid="{62AA29DB-9908-4E8E-B281-349AAF703944}"/>
    <cellStyle name="Normal 9 2 9 2 2 2 2" xfId="50172" xr:uid="{8A92DBEF-A84E-4DC9-B6A6-9BC2C0114A48}"/>
    <cellStyle name="Normal 9 2 9 2 2 3" xfId="37581" xr:uid="{F924C2E4-C866-47E2-A8FE-83E09D8917BA}"/>
    <cellStyle name="Normal 9 2 9 2 3" xfId="18402" xr:uid="{8DFF75EC-1482-4B0B-B44A-C0AF5F75A27E}"/>
    <cellStyle name="Normal 9 2 9 2 3 2" xfId="43894" xr:uid="{2B9B6F5C-0336-43DD-B400-4812E5C7F045}"/>
    <cellStyle name="Normal 9 2 9 2 4" xfId="31303" xr:uid="{7E41FB39-C08F-4458-B3EF-FDB36FB1E0A7}"/>
    <cellStyle name="Normal 9 2 9 3" xfId="8859" xr:uid="{F0597C48-DEF7-4E04-A806-2322973BDA7A}"/>
    <cellStyle name="Normal 9 2 9 3 2" xfId="21541" xr:uid="{F0053267-2408-485A-846B-022FA61BB149}"/>
    <cellStyle name="Normal 9 2 9 3 2 2" xfId="47033" xr:uid="{5AEAD294-D9D3-44FC-8349-6EECD47AB977}"/>
    <cellStyle name="Normal 9 2 9 3 3" xfId="34442" xr:uid="{C5DBDA09-05BA-4CD9-978F-9834FA85467B}"/>
    <cellStyle name="Normal 9 2 9 4" xfId="15263" xr:uid="{927C7085-3B7C-4F19-8A73-7C40DDF751E0}"/>
    <cellStyle name="Normal 9 2 9 4 2" xfId="40755" xr:uid="{142A6604-524C-4A2B-AC6B-EF246CAA3EE0}"/>
    <cellStyle name="Normal 9 2 9 5" xfId="28164" xr:uid="{2979E669-364E-4154-8551-7078D71D0C0A}"/>
    <cellStyle name="Normal 9 20" xfId="234" xr:uid="{1592FBD2-E00C-4466-B8A7-F36594E9F35B}"/>
    <cellStyle name="Normal 9 3" xfId="485" xr:uid="{BD0890FA-6CD0-478A-A20F-00403E9DA9EB}"/>
    <cellStyle name="Normal 9 3 10" xfId="3654" xr:uid="{7A286D00-5719-4354-93B0-9703310B5263}"/>
    <cellStyle name="Normal 9 3 10 2" xfId="9947" xr:uid="{D334CCC0-AC62-47A5-8A72-260EDD87F4A4}"/>
    <cellStyle name="Normal 9 3 10 2 2" xfId="22629" xr:uid="{87FB4277-7AFF-4B66-BCA8-3873CED1E79B}"/>
    <cellStyle name="Normal 9 3 10 2 2 2" xfId="48121" xr:uid="{AF03FFA6-DB1D-45C5-ACAF-1A8F998F4BFE}"/>
    <cellStyle name="Normal 9 3 10 2 3" xfId="35530" xr:uid="{167EC727-397E-4E62-B5CE-5C6163319CCB}"/>
    <cellStyle name="Normal 9 3 10 3" xfId="16351" xr:uid="{6EF4294C-DDF6-44FE-99D2-DF1F1BFE2FF6}"/>
    <cellStyle name="Normal 9 3 10 3 2" xfId="41843" xr:uid="{21BCC2A3-C857-43CF-960F-F7F846140757}"/>
    <cellStyle name="Normal 9 3 10 4" xfId="29252" xr:uid="{77154B65-D600-48C7-9922-A5AF27D23433}"/>
    <cellStyle name="Normal 9 3 11" xfId="6808" xr:uid="{A8936C2E-7A0C-4C38-A35D-557F0015275A}"/>
    <cellStyle name="Normal 9 3 11 2" xfId="19490" xr:uid="{D2DB6AE4-4010-4576-B361-53D7DFE77B19}"/>
    <cellStyle name="Normal 9 3 11 2 2" xfId="44982" xr:uid="{5F5A9772-BABD-4C1B-A6F0-15D2DB6F1D50}"/>
    <cellStyle name="Normal 9 3 11 3" xfId="32391" xr:uid="{0015DAE6-57C2-450F-AF9F-6D3433D9E5BA}"/>
    <cellStyle name="Normal 9 3 12" xfId="13212" xr:uid="{EFEC5404-ACB4-4C33-A5C2-5C1C5CF9A94C}"/>
    <cellStyle name="Normal 9 3 12 2" xfId="38704" xr:uid="{0EAE79B9-A909-4064-83A7-95BBE114DF32}"/>
    <cellStyle name="Normal 9 3 13" xfId="26113" xr:uid="{7CBC5DCC-ABC7-4BD8-AD53-5A7C5012E1C0}"/>
    <cellStyle name="Normal 9 3 2" xfId="644" xr:uid="{ACE91145-E27B-4E6B-9B5F-E87CBAFBE0F5}"/>
    <cellStyle name="Normal 9 3 2 10" xfId="13371" xr:uid="{35213AA1-07B2-4681-8D45-D66DBC5652D6}"/>
    <cellStyle name="Normal 9 3 2 10 2" xfId="38863" xr:uid="{256CB9A5-B2E2-4FF6-8B9F-6F8ED4D2868A}"/>
    <cellStyle name="Normal 9 3 2 11" xfId="26272" xr:uid="{D57BE5AD-7D78-48DD-AF6F-5DDDBFA65B57}"/>
    <cellStyle name="Normal 9 3 2 2" xfId="1181" xr:uid="{4BEE82EE-2DE2-4164-B1CE-48B711A752D5}"/>
    <cellStyle name="Normal 9 3 2 2 2" xfId="2488" xr:uid="{528F1284-9605-4A82-B8FF-527B95544493}"/>
    <cellStyle name="Normal 9 3 2 2 2 2" xfId="5642" xr:uid="{94A80839-ADB4-4FC6-B173-6B0C15B2A4E0}"/>
    <cellStyle name="Normal 9 3 2 2 2 2 2" xfId="11935" xr:uid="{89269113-61C6-43F9-AAEB-DDD5258B54FB}"/>
    <cellStyle name="Normal 9 3 2 2 2 2 2 2" xfId="24617" xr:uid="{D4F2A402-4147-4FE4-8939-D13A8BC04FC2}"/>
    <cellStyle name="Normal 9 3 2 2 2 2 2 2 2" xfId="50109" xr:uid="{24F28BB3-F882-4D40-93FF-FE1E57067D01}"/>
    <cellStyle name="Normal 9 3 2 2 2 2 2 3" xfId="37518" xr:uid="{650DA39C-3619-4189-8EEA-5FE346381CA7}"/>
    <cellStyle name="Normal 9 3 2 2 2 2 3" xfId="18339" xr:uid="{F9E3D00A-9B73-4E12-A667-8B6D75703286}"/>
    <cellStyle name="Normal 9 3 2 2 2 2 3 2" xfId="43831" xr:uid="{26AD8EB8-3994-49C0-B0E3-E6F7ECC6D4C2}"/>
    <cellStyle name="Normal 9 3 2 2 2 2 4" xfId="31240" xr:uid="{D79FC55E-E016-4814-B16D-FFDD83480A44}"/>
    <cellStyle name="Normal 9 3 2 2 2 3" xfId="8796" xr:uid="{18618FF8-17C1-4D80-A282-C8C7D0585C90}"/>
    <cellStyle name="Normal 9 3 2 2 2 3 2" xfId="21478" xr:uid="{54E036A3-E1D6-457B-8EF4-CB20142F1D7A}"/>
    <cellStyle name="Normal 9 3 2 2 2 3 2 2" xfId="46970" xr:uid="{DC5D2183-48CF-4396-9366-6AFCE780BD41}"/>
    <cellStyle name="Normal 9 3 2 2 2 3 3" xfId="34379" xr:uid="{D5A299BC-4B82-424F-A414-221DBC33114C}"/>
    <cellStyle name="Normal 9 3 2 2 2 4" xfId="15200" xr:uid="{FDD5D9DA-346F-4D83-ACCB-B1B0B2E60431}"/>
    <cellStyle name="Normal 9 3 2 2 2 4 2" xfId="40692" xr:uid="{4B80E0D1-FF4C-4822-9420-C9EEB124C6AA}"/>
    <cellStyle name="Normal 9 3 2 2 2 5" xfId="28101" xr:uid="{FE149BE0-67D6-4664-889D-58C33E59737A}"/>
    <cellStyle name="Normal 9 3 2 2 3" xfId="1705" xr:uid="{A326F293-773F-4B04-AF52-7035EA793A99}"/>
    <cellStyle name="Normal 9 3 2 2 3 2" xfId="4859" xr:uid="{7E42E1FD-BC89-4629-8D0A-613314DA3F49}"/>
    <cellStyle name="Normal 9 3 2 2 3 2 2" xfId="11152" xr:uid="{B7F3E76D-42E0-49F5-8E7C-815D0A13A8FA}"/>
    <cellStyle name="Normal 9 3 2 2 3 2 2 2" xfId="23834" xr:uid="{7416E065-9BD0-49D9-8FA0-CA8A0AC8B436}"/>
    <cellStyle name="Normal 9 3 2 2 3 2 2 2 2" xfId="49326" xr:uid="{829C7943-38D1-4770-986B-CD7F248CCFE9}"/>
    <cellStyle name="Normal 9 3 2 2 3 2 2 3" xfId="36735" xr:uid="{33ED5D75-0A9F-4022-B66D-7E8F87BD3629}"/>
    <cellStyle name="Normal 9 3 2 2 3 2 3" xfId="17556" xr:uid="{52A3FDB8-F362-4C9A-8A6C-1A6A9BCE0AB8}"/>
    <cellStyle name="Normal 9 3 2 2 3 2 3 2" xfId="43048" xr:uid="{40179E5D-3DC8-456C-96C9-890BDAB44973}"/>
    <cellStyle name="Normal 9 3 2 2 3 2 4" xfId="30457" xr:uid="{F592202D-61BD-47DD-A116-D19DE8C788BA}"/>
    <cellStyle name="Normal 9 3 2 2 3 3" xfId="8013" xr:uid="{BFAAB048-5610-458E-8FC7-1933715EA1AF}"/>
    <cellStyle name="Normal 9 3 2 2 3 3 2" xfId="20695" xr:uid="{148CB8B0-9EE5-46A6-8147-9C2D5F373A28}"/>
    <cellStyle name="Normal 9 3 2 2 3 3 2 2" xfId="46187" xr:uid="{F6C783F6-4A78-490F-896C-ECC9BC068A4C}"/>
    <cellStyle name="Normal 9 3 2 2 3 3 3" xfId="33596" xr:uid="{CADCE888-3B39-493B-A11B-ECFF9F11B467}"/>
    <cellStyle name="Normal 9 3 2 2 3 4" xfId="14417" xr:uid="{193743A8-6406-4F26-BD25-A67E435D9BF9}"/>
    <cellStyle name="Normal 9 3 2 2 3 4 2" xfId="39909" xr:uid="{FFC1A89C-3961-47F9-8751-EB5A8DD52CBB}"/>
    <cellStyle name="Normal 9 3 2 2 3 5" xfId="27318" xr:uid="{D9FED92B-E9E2-4869-9CC3-C12901E9C994}"/>
    <cellStyle name="Normal 9 3 2 2 4" xfId="3012" xr:uid="{A7F5DEA5-C69B-4071-B739-F24618FD1564}"/>
    <cellStyle name="Normal 9 3 2 2 4 2" xfId="6166" xr:uid="{60B2EFCA-C77C-4C99-BA17-E1D8E6636A27}"/>
    <cellStyle name="Normal 9 3 2 2 4 2 2" xfId="12459" xr:uid="{CE7C56DB-BA8A-4B29-90EE-916D5636A050}"/>
    <cellStyle name="Normal 9 3 2 2 4 2 2 2" xfId="25141" xr:uid="{2F739EC6-5701-4B5E-8712-AA6AD3EF7133}"/>
    <cellStyle name="Normal 9 3 2 2 4 2 2 2 2" xfId="50633" xr:uid="{34531D27-EBBB-434A-8736-A30D23913656}"/>
    <cellStyle name="Normal 9 3 2 2 4 2 2 3" xfId="38042" xr:uid="{9E2C7672-846A-4651-895A-942EA83E6760}"/>
    <cellStyle name="Normal 9 3 2 2 4 2 3" xfId="18863" xr:uid="{FB5B613D-1F52-42A3-85AB-5C980B8DC74C}"/>
    <cellStyle name="Normal 9 3 2 2 4 2 3 2" xfId="44355" xr:uid="{967E5E73-01D8-4B9A-BB82-20AF94234FA6}"/>
    <cellStyle name="Normal 9 3 2 2 4 2 4" xfId="31764" xr:uid="{76057E9F-5B32-4AD4-80E7-5EB5224C40C5}"/>
    <cellStyle name="Normal 9 3 2 2 4 3" xfId="9320" xr:uid="{08BF559F-A23F-45EF-80B5-C265D26D9031}"/>
    <cellStyle name="Normal 9 3 2 2 4 3 2" xfId="22002" xr:uid="{E8976651-0433-49B9-A72F-0D50EAEB01FA}"/>
    <cellStyle name="Normal 9 3 2 2 4 3 2 2" xfId="47494" xr:uid="{9B7792CF-1A4E-4B45-A77A-0B121EF13FC5}"/>
    <cellStyle name="Normal 9 3 2 2 4 3 3" xfId="34903" xr:uid="{B8222FEE-2B5F-4640-BA8C-8422D469E490}"/>
    <cellStyle name="Normal 9 3 2 2 4 4" xfId="15724" xr:uid="{E504BDD3-B68E-433D-AC50-7FF92AD5ABBE}"/>
    <cellStyle name="Normal 9 3 2 2 4 4 2" xfId="41216" xr:uid="{59A467CB-BDA4-4CBC-B89E-1B0F544B9390}"/>
    <cellStyle name="Normal 9 3 2 2 4 5" xfId="28625" xr:uid="{36B3CEE8-9C42-4119-BD57-066C8B66B067}"/>
    <cellStyle name="Normal 9 3 2 2 5" xfId="3535" xr:uid="{A1FA1625-54A7-4360-A149-48815DDAD1EA}"/>
    <cellStyle name="Normal 9 3 2 2 5 2" xfId="6689" xr:uid="{3A522938-4F4C-4602-8A7B-37D1A11B1FE3}"/>
    <cellStyle name="Normal 9 3 2 2 5 2 2" xfId="12982" xr:uid="{9CBAF78B-78C0-4F54-9AC7-E3F2B89AF456}"/>
    <cellStyle name="Normal 9 3 2 2 5 2 2 2" xfId="25664" xr:uid="{2281A5BE-B18E-4DAB-A176-27F0365C5D82}"/>
    <cellStyle name="Normal 9 3 2 2 5 2 2 2 2" xfId="51156" xr:uid="{FF3663F3-634C-449A-9FF7-7C712079DA75}"/>
    <cellStyle name="Normal 9 3 2 2 5 2 2 3" xfId="38565" xr:uid="{5614B497-FE9E-4629-B997-4FB826F4AFB3}"/>
    <cellStyle name="Normal 9 3 2 2 5 2 3" xfId="19386" xr:uid="{03BEE743-815B-40F3-9215-C78985AF1C5D}"/>
    <cellStyle name="Normal 9 3 2 2 5 2 3 2" xfId="44878" xr:uid="{F6D36C07-38CA-490F-AA5E-6CDA7697DA9D}"/>
    <cellStyle name="Normal 9 3 2 2 5 2 4" xfId="32287" xr:uid="{5F2E1317-004E-4C79-8A9C-B609C30409D5}"/>
    <cellStyle name="Normal 9 3 2 2 5 3" xfId="9843" xr:uid="{7E48037F-DC81-4EC8-BB44-39AF46173E61}"/>
    <cellStyle name="Normal 9 3 2 2 5 3 2" xfId="22525" xr:uid="{BBD769CD-1FA5-4EC7-814C-31FB9D6E063B}"/>
    <cellStyle name="Normal 9 3 2 2 5 3 2 2" xfId="48017" xr:uid="{8104E04F-E891-4998-883D-0AB0E9A05D64}"/>
    <cellStyle name="Normal 9 3 2 2 5 3 3" xfId="35426" xr:uid="{220FE17C-DD48-4CFC-8621-8E1E622C2467}"/>
    <cellStyle name="Normal 9 3 2 2 5 4" xfId="16247" xr:uid="{21833B3E-6C8D-4EBF-959F-8FF9A34AD64E}"/>
    <cellStyle name="Normal 9 3 2 2 5 4 2" xfId="41739" xr:uid="{C564ACC4-D85A-447B-A4AF-07D51ADA9392}"/>
    <cellStyle name="Normal 9 3 2 2 5 5" xfId="29148" xr:uid="{562D3277-D972-4303-A35E-72F19B5F5CF8}"/>
    <cellStyle name="Normal 9 3 2 2 6" xfId="4335" xr:uid="{33CB4DFD-64BF-4383-A748-8568573753C2}"/>
    <cellStyle name="Normal 9 3 2 2 6 2" xfId="10628" xr:uid="{33688DAA-E96B-42DC-9F78-F5FD87655C90}"/>
    <cellStyle name="Normal 9 3 2 2 6 2 2" xfId="23310" xr:uid="{146EE9CE-AF80-4242-A213-2624D2C1DEE6}"/>
    <cellStyle name="Normal 9 3 2 2 6 2 2 2" xfId="48802" xr:uid="{279712A1-DC0D-4AE1-9B82-398422242FCB}"/>
    <cellStyle name="Normal 9 3 2 2 6 2 3" xfId="36211" xr:uid="{ADD66464-CCF4-4608-9E8A-8784AEC05FA7}"/>
    <cellStyle name="Normal 9 3 2 2 6 3" xfId="17032" xr:uid="{BF57AF01-DF76-46D1-8C5F-C8E9048D7BFE}"/>
    <cellStyle name="Normal 9 3 2 2 6 3 2" xfId="42524" xr:uid="{7122C580-55EF-4ACD-B444-D8557CF9AB9B}"/>
    <cellStyle name="Normal 9 3 2 2 6 4" xfId="29933" xr:uid="{8A39B9A4-FA02-4DCE-9324-B5021CDE06B4}"/>
    <cellStyle name="Normal 9 3 2 2 7" xfId="7489" xr:uid="{1E71F2DC-4088-469C-8198-7332329D1009}"/>
    <cellStyle name="Normal 9 3 2 2 7 2" xfId="20171" xr:uid="{DD504F06-DB31-4794-8DD0-E4B1CBF38D6E}"/>
    <cellStyle name="Normal 9 3 2 2 7 2 2" xfId="45663" xr:uid="{378E07F6-5985-4A9B-872A-AD7261B2BC1F}"/>
    <cellStyle name="Normal 9 3 2 2 7 3" xfId="33072" xr:uid="{1506BD76-6149-4222-88A0-5B1DFA7DA011}"/>
    <cellStyle name="Normal 9 3 2 2 8" xfId="13893" xr:uid="{8CE4643D-71EB-446B-B0CE-A8A4E87320F8}"/>
    <cellStyle name="Normal 9 3 2 2 8 2" xfId="39385" xr:uid="{207DC380-268F-47A5-84DC-26BC2A8C01F5}"/>
    <cellStyle name="Normal 9 3 2 2 9" xfId="26794" xr:uid="{B79CF228-6422-4BEA-B212-7471D9BEA2E4}"/>
    <cellStyle name="Normal 9 3 2 3" xfId="921" xr:uid="{A1C4119C-D2DF-4A9D-A1F0-C3C2FBB4A576}"/>
    <cellStyle name="Normal 9 3 2 3 2" xfId="2228" xr:uid="{6B250474-6D5F-49A0-A305-04D97813617D}"/>
    <cellStyle name="Normal 9 3 2 3 2 2" xfId="5382" xr:uid="{2BCFA18B-4583-4D49-A784-242B0798B34E}"/>
    <cellStyle name="Normal 9 3 2 3 2 2 2" xfId="11675" xr:uid="{7855536A-5369-4097-9F7B-386530C29362}"/>
    <cellStyle name="Normal 9 3 2 3 2 2 2 2" xfId="24357" xr:uid="{1D4CD2DE-ECB0-4456-A0BA-9125F34C44B3}"/>
    <cellStyle name="Normal 9 3 2 3 2 2 2 2 2" xfId="49849" xr:uid="{961ED1AA-248D-49F1-A01F-ED8A70B72250}"/>
    <cellStyle name="Normal 9 3 2 3 2 2 2 3" xfId="37258" xr:uid="{42B7D037-C223-4798-9397-A93B7D8BB3BC}"/>
    <cellStyle name="Normal 9 3 2 3 2 2 3" xfId="18079" xr:uid="{5EA78C5D-0D2C-471C-9986-792581DCF997}"/>
    <cellStyle name="Normal 9 3 2 3 2 2 3 2" xfId="43571" xr:uid="{D6780DD6-7534-400C-8D1A-842D3C19F33F}"/>
    <cellStyle name="Normal 9 3 2 3 2 2 4" xfId="30980" xr:uid="{79975911-A4D9-4DDE-8890-5E3A24F6AF83}"/>
    <cellStyle name="Normal 9 3 2 3 2 3" xfId="8536" xr:uid="{89E2F117-8AC2-42CD-96C1-19AE2C523C2D}"/>
    <cellStyle name="Normal 9 3 2 3 2 3 2" xfId="21218" xr:uid="{345F7F9C-5288-4876-954B-5A97BAE8F6AF}"/>
    <cellStyle name="Normal 9 3 2 3 2 3 2 2" xfId="46710" xr:uid="{EFC6070D-B709-45E9-9B34-990E5F7FF21E}"/>
    <cellStyle name="Normal 9 3 2 3 2 3 3" xfId="34119" xr:uid="{3F139E99-56BD-4B28-968E-BBEE6D37131E}"/>
    <cellStyle name="Normal 9 3 2 3 2 4" xfId="14940" xr:uid="{E316CF04-7526-4A90-9AC0-9C7C5A6277E7}"/>
    <cellStyle name="Normal 9 3 2 3 2 4 2" xfId="40432" xr:uid="{0CA9B3ED-5157-44B6-B3B3-172338E1F3FF}"/>
    <cellStyle name="Normal 9 3 2 3 2 5" xfId="27841" xr:uid="{0704DEC0-81F1-4194-9005-DB9AD90659FC}"/>
    <cellStyle name="Normal 9 3 2 3 3" xfId="4075" xr:uid="{07CA271F-782C-493B-B1D4-CACEBFD5D998}"/>
    <cellStyle name="Normal 9 3 2 3 3 2" xfId="10368" xr:uid="{4435697B-3E11-4875-80F7-9BF5BE59FDE7}"/>
    <cellStyle name="Normal 9 3 2 3 3 2 2" xfId="23050" xr:uid="{3309F755-0096-4435-85F7-6EAA38D6F255}"/>
    <cellStyle name="Normal 9 3 2 3 3 2 2 2" xfId="48542" xr:uid="{36866F3F-2390-4028-9968-7E4F905A5A1A}"/>
    <cellStyle name="Normal 9 3 2 3 3 2 3" xfId="35951" xr:uid="{C7344C42-9CA1-4D51-BBE2-1F884D86C5D3}"/>
    <cellStyle name="Normal 9 3 2 3 3 3" xfId="16772" xr:uid="{73BF142F-675B-4FC7-909D-B6D8BCD2DE5A}"/>
    <cellStyle name="Normal 9 3 2 3 3 3 2" xfId="42264" xr:uid="{928D6B78-D817-4C21-92C8-4D11BBFF4000}"/>
    <cellStyle name="Normal 9 3 2 3 3 4" xfId="29673" xr:uid="{71A69040-B16B-4AD8-B024-B5D72A122647}"/>
    <cellStyle name="Normal 9 3 2 3 4" xfId="7229" xr:uid="{76EEBC47-A11E-4DA7-A05B-A62A328631BF}"/>
    <cellStyle name="Normal 9 3 2 3 4 2" xfId="19911" xr:uid="{4E9E3621-519E-49EE-8000-EC2565FD669B}"/>
    <cellStyle name="Normal 9 3 2 3 4 2 2" xfId="45403" xr:uid="{3EC67FF7-D4F8-415A-8564-69568FF85673}"/>
    <cellStyle name="Normal 9 3 2 3 4 3" xfId="32812" xr:uid="{70109A84-1C01-492D-9A18-AECFE9559A3F}"/>
    <cellStyle name="Normal 9 3 2 3 5" xfId="13633" xr:uid="{6FC6FFCD-6CEE-42DD-8888-A97F246C29BA}"/>
    <cellStyle name="Normal 9 3 2 3 5 2" xfId="39125" xr:uid="{392BE45F-D10C-406A-8FDA-5861F8975DCD}"/>
    <cellStyle name="Normal 9 3 2 3 6" xfId="26534" xr:uid="{523FE4A3-F7CE-4E55-96A1-D52F5538FF52}"/>
    <cellStyle name="Normal 9 3 2 4" xfId="1966" xr:uid="{85AB77D8-1FD4-4ECA-97FE-B7045F4853C4}"/>
    <cellStyle name="Normal 9 3 2 4 2" xfId="5120" xr:uid="{AAD452CC-316D-4E6C-8BC2-4B4F9F67B069}"/>
    <cellStyle name="Normal 9 3 2 4 2 2" xfId="11413" xr:uid="{FF10C6D3-22AC-4CDD-B965-9DBE2BF58C68}"/>
    <cellStyle name="Normal 9 3 2 4 2 2 2" xfId="24095" xr:uid="{DD054126-2FEB-4630-808E-815A3CD45686}"/>
    <cellStyle name="Normal 9 3 2 4 2 2 2 2" xfId="49587" xr:uid="{23126E1E-AD34-444F-87A6-22806B11A669}"/>
    <cellStyle name="Normal 9 3 2 4 2 2 3" xfId="36996" xr:uid="{164B612E-37CD-47F6-9816-5A1F1960D82E}"/>
    <cellStyle name="Normal 9 3 2 4 2 3" xfId="17817" xr:uid="{B2DF1FF1-44B1-4C83-8D6D-E9EC6B3DBBE7}"/>
    <cellStyle name="Normal 9 3 2 4 2 3 2" xfId="43309" xr:uid="{61DB0C66-FEBF-4B15-B12C-106BA37CCB71}"/>
    <cellStyle name="Normal 9 3 2 4 2 4" xfId="30718" xr:uid="{1D3C3AB1-2A0E-45CA-A47C-044193180EA1}"/>
    <cellStyle name="Normal 9 3 2 4 3" xfId="8274" xr:uid="{777CD8F7-05D7-435F-BF5A-ABC66E444F6B}"/>
    <cellStyle name="Normal 9 3 2 4 3 2" xfId="20956" xr:uid="{BA781862-A961-4CBC-84DB-6FF9D17608C3}"/>
    <cellStyle name="Normal 9 3 2 4 3 2 2" xfId="46448" xr:uid="{348E6641-31C2-434E-A2DB-B3BD0CE85A27}"/>
    <cellStyle name="Normal 9 3 2 4 3 3" xfId="33857" xr:uid="{0233FA57-EE7A-4D12-97A4-C6EE693799DF}"/>
    <cellStyle name="Normal 9 3 2 4 4" xfId="14678" xr:uid="{897A59F5-FC6E-4684-A4A4-390D342091EB}"/>
    <cellStyle name="Normal 9 3 2 4 4 2" xfId="40170" xr:uid="{E746C9B5-A376-40DF-99C6-B541D55B859F}"/>
    <cellStyle name="Normal 9 3 2 4 5" xfId="27579" xr:uid="{5169D6DA-57A6-40FD-B8A3-B02281C1D049}"/>
    <cellStyle name="Normal 9 3 2 5" xfId="1444" xr:uid="{233C75ED-DA47-4F0A-890E-7DE35896AF87}"/>
    <cellStyle name="Normal 9 3 2 5 2" xfId="4598" xr:uid="{4800C764-C4C1-4892-B1DF-A90C648BFF76}"/>
    <cellStyle name="Normal 9 3 2 5 2 2" xfId="10891" xr:uid="{A51B7DF8-0842-444F-8FA7-ABEB7973B4DC}"/>
    <cellStyle name="Normal 9 3 2 5 2 2 2" xfId="23573" xr:uid="{BB4C3257-1EF0-495E-96A0-8B90DF2C7D39}"/>
    <cellStyle name="Normal 9 3 2 5 2 2 2 2" xfId="49065" xr:uid="{0726677C-D852-42E6-A8EE-CD314F996E54}"/>
    <cellStyle name="Normal 9 3 2 5 2 2 3" xfId="36474" xr:uid="{4A09E59A-A95F-4185-9B58-0B5B4A10F682}"/>
    <cellStyle name="Normal 9 3 2 5 2 3" xfId="17295" xr:uid="{7B0BB94F-087E-471F-84A3-ED910B674FCB}"/>
    <cellStyle name="Normal 9 3 2 5 2 3 2" xfId="42787" xr:uid="{638F8D25-4DDA-4FF2-9693-C07EF34853F6}"/>
    <cellStyle name="Normal 9 3 2 5 2 4" xfId="30196" xr:uid="{6E6B6B6A-B9AA-46B2-B9E6-A0449E12B367}"/>
    <cellStyle name="Normal 9 3 2 5 3" xfId="7752" xr:uid="{1C9AEBC2-5F83-44E9-BC30-B957157B5597}"/>
    <cellStyle name="Normal 9 3 2 5 3 2" xfId="20434" xr:uid="{DCFE0FD0-40E3-4A21-893A-CB139D4E9682}"/>
    <cellStyle name="Normal 9 3 2 5 3 2 2" xfId="45926" xr:uid="{1BC0816B-6969-4B1B-8AB3-D15B5606A4EB}"/>
    <cellStyle name="Normal 9 3 2 5 3 3" xfId="33335" xr:uid="{69C04B33-886B-4C6A-927C-19CEB4FF68EB}"/>
    <cellStyle name="Normal 9 3 2 5 4" xfId="14156" xr:uid="{00D74393-05FA-4520-8BAD-1DF3DB800EC5}"/>
    <cellStyle name="Normal 9 3 2 5 4 2" xfId="39648" xr:uid="{403F9B05-CCC5-4531-AF10-8456BCE09994}"/>
    <cellStyle name="Normal 9 3 2 5 5" xfId="27057" xr:uid="{E43DFF2C-D76C-47A7-88D5-8B830214D273}"/>
    <cellStyle name="Normal 9 3 2 6" xfId="2751" xr:uid="{78339D50-7EEA-4E3D-BCDD-89CA495471C2}"/>
    <cellStyle name="Normal 9 3 2 6 2" xfId="5905" xr:uid="{75D07C98-27ED-4684-8154-380721D8468F}"/>
    <cellStyle name="Normal 9 3 2 6 2 2" xfId="12198" xr:uid="{BE502A19-0308-4B50-86C2-C154832993C9}"/>
    <cellStyle name="Normal 9 3 2 6 2 2 2" xfId="24880" xr:uid="{CF43D446-3614-41EE-8EE4-CCA9D7D04C8E}"/>
    <cellStyle name="Normal 9 3 2 6 2 2 2 2" xfId="50372" xr:uid="{7A3D7B8E-123F-43DD-BF18-4F3A308F8569}"/>
    <cellStyle name="Normal 9 3 2 6 2 2 3" xfId="37781" xr:uid="{A9901B3A-CA0B-4F21-99BF-6CF144903D01}"/>
    <cellStyle name="Normal 9 3 2 6 2 3" xfId="18602" xr:uid="{A70FAC13-CA43-46A2-8939-01EE40699D28}"/>
    <cellStyle name="Normal 9 3 2 6 2 3 2" xfId="44094" xr:uid="{F2131A61-1BAC-441C-A51D-E8811C1C5A1E}"/>
    <cellStyle name="Normal 9 3 2 6 2 4" xfId="31503" xr:uid="{5273A970-68E1-4AB7-83F7-A4ED782EAAB0}"/>
    <cellStyle name="Normal 9 3 2 6 3" xfId="9059" xr:uid="{33FC5D32-B46C-49BE-B5D2-0757C6836826}"/>
    <cellStyle name="Normal 9 3 2 6 3 2" xfId="21741" xr:uid="{3DD82FAF-C9B5-4796-9A8D-E3E565F35A98}"/>
    <cellStyle name="Normal 9 3 2 6 3 2 2" xfId="47233" xr:uid="{D43ED391-1741-4827-B93C-E9D92E40A083}"/>
    <cellStyle name="Normal 9 3 2 6 3 3" xfId="34642" xr:uid="{77706121-9976-4B25-8CBA-B305F302D97E}"/>
    <cellStyle name="Normal 9 3 2 6 4" xfId="15463" xr:uid="{AF425549-EA30-43A2-81F4-B79EF2D0FD50}"/>
    <cellStyle name="Normal 9 3 2 6 4 2" xfId="40955" xr:uid="{E0DF9B44-2F0F-4D82-90EF-9702B6814D52}"/>
    <cellStyle name="Normal 9 3 2 6 5" xfId="28364" xr:uid="{D359D0A0-A982-440D-8DD3-E03DFC8B0617}"/>
    <cellStyle name="Normal 9 3 2 7" xfId="3274" xr:uid="{71D653BE-1990-400A-8B7E-2AD6A8391B2A}"/>
    <cellStyle name="Normal 9 3 2 7 2" xfId="6428" xr:uid="{2EA0A375-D1D2-43D2-9B95-FA28637D6B06}"/>
    <cellStyle name="Normal 9 3 2 7 2 2" xfId="12721" xr:uid="{851A4302-724B-4174-8817-B69161326CF1}"/>
    <cellStyle name="Normal 9 3 2 7 2 2 2" xfId="25403" xr:uid="{C221FBC5-27EB-463F-A804-D50716E4FA57}"/>
    <cellStyle name="Normal 9 3 2 7 2 2 2 2" xfId="50895" xr:uid="{A78610E5-DA8C-4956-B9CA-3C81420B89ED}"/>
    <cellStyle name="Normal 9 3 2 7 2 2 3" xfId="38304" xr:uid="{DF8CC8D7-DD6A-4EA7-AAE3-1AF42C11320C}"/>
    <cellStyle name="Normal 9 3 2 7 2 3" xfId="19125" xr:uid="{237BAA4D-5B5B-4031-B407-DBB7E5B2D0EB}"/>
    <cellStyle name="Normal 9 3 2 7 2 3 2" xfId="44617" xr:uid="{E1056479-7594-4E13-A842-92B58A87898F}"/>
    <cellStyle name="Normal 9 3 2 7 2 4" xfId="32026" xr:uid="{D300465A-B094-423B-BE7A-CBC597F34EF1}"/>
    <cellStyle name="Normal 9 3 2 7 3" xfId="9582" xr:uid="{A5FCCAE6-16E1-44AF-873E-213DA0ADD653}"/>
    <cellStyle name="Normal 9 3 2 7 3 2" xfId="22264" xr:uid="{E91D67F3-128C-499F-A2E1-3431D1C75998}"/>
    <cellStyle name="Normal 9 3 2 7 3 2 2" xfId="47756" xr:uid="{5F3EBD79-5289-4B87-B479-F6C7612E7D0F}"/>
    <cellStyle name="Normal 9 3 2 7 3 3" xfId="35165" xr:uid="{9B93DC52-176A-4AC7-BD18-BEE860E13E6A}"/>
    <cellStyle name="Normal 9 3 2 7 4" xfId="15986" xr:uid="{33B07926-553E-45C1-A209-B2E757E6BBE7}"/>
    <cellStyle name="Normal 9 3 2 7 4 2" xfId="41478" xr:uid="{893E9E3C-0E76-43AB-92BC-FEF5116F7F4E}"/>
    <cellStyle name="Normal 9 3 2 7 5" xfId="28887" xr:uid="{6DF6327C-06D9-4831-A418-CEEC06F3838C}"/>
    <cellStyle name="Normal 9 3 2 8" xfId="3813" xr:uid="{2AC781E7-C3DC-4ED3-A251-F70ED085ABE9}"/>
    <cellStyle name="Normal 9 3 2 8 2" xfId="10106" xr:uid="{73C64B89-DB5F-4A89-A761-4ABF19041891}"/>
    <cellStyle name="Normal 9 3 2 8 2 2" xfId="22788" xr:uid="{BADD6D9B-020A-4BF5-B652-D17B83851074}"/>
    <cellStyle name="Normal 9 3 2 8 2 2 2" xfId="48280" xr:uid="{C9617ECB-E88A-4A91-B1AF-33F1EC92A5DF}"/>
    <cellStyle name="Normal 9 3 2 8 2 3" xfId="35689" xr:uid="{2740D515-3507-4CF7-9607-F09893E60DE6}"/>
    <cellStyle name="Normal 9 3 2 8 3" xfId="16510" xr:uid="{672E3E1B-6BAC-4C07-A43C-405D7B29EC02}"/>
    <cellStyle name="Normal 9 3 2 8 3 2" xfId="42002" xr:uid="{45B085B4-95C5-4DEF-B284-9591E6B51BD1}"/>
    <cellStyle name="Normal 9 3 2 8 4" xfId="29411" xr:uid="{12966F4B-E706-4353-BE61-6D4DE0A6CA13}"/>
    <cellStyle name="Normal 9 3 2 9" xfId="6967" xr:uid="{0C36DC13-1843-45ED-9047-2D5FDD038F5E}"/>
    <cellStyle name="Normal 9 3 2 9 2" xfId="19649" xr:uid="{687C6DA9-08D4-4B2D-97B9-CF9F4BC04E31}"/>
    <cellStyle name="Normal 9 3 2 9 2 2" xfId="45141" xr:uid="{773EF535-9CF1-4F9C-B199-070576D14A03}"/>
    <cellStyle name="Normal 9 3 2 9 3" xfId="32550" xr:uid="{38B4FAE0-C01A-4250-9916-0658178926AA}"/>
    <cellStyle name="Normal 9 3 3" xfId="544" xr:uid="{1F164B3D-E554-406C-B191-4B5C114F7B25}"/>
    <cellStyle name="Normal 9 3 3 10" xfId="13271" xr:uid="{61FCB2BF-1EE8-4A82-A64C-24C977E7E937}"/>
    <cellStyle name="Normal 9 3 3 10 2" xfId="38763" xr:uid="{E2313F90-427F-4727-9B9F-09CDCD5BBB0C}"/>
    <cellStyle name="Normal 9 3 3 11" xfId="26172" xr:uid="{897E1CFE-6FC8-4EC2-808D-4A9A5FCA0E96}"/>
    <cellStyle name="Normal 9 3 3 2" xfId="1081" xr:uid="{5385F4E2-9E45-4CD2-A2D1-E58D55C94C8D}"/>
    <cellStyle name="Normal 9 3 3 2 2" xfId="2388" xr:uid="{790333F6-5C08-42AF-923A-7953CF76E9A7}"/>
    <cellStyle name="Normal 9 3 3 2 2 2" xfId="5542" xr:uid="{87A2570F-4B5D-44C6-91AD-8340C958C6FB}"/>
    <cellStyle name="Normal 9 3 3 2 2 2 2" xfId="11835" xr:uid="{EAE67C43-BC38-4E9D-9ED4-83444328AE83}"/>
    <cellStyle name="Normal 9 3 3 2 2 2 2 2" xfId="24517" xr:uid="{734E8818-86FB-40EC-B405-D2C807D689B9}"/>
    <cellStyle name="Normal 9 3 3 2 2 2 2 2 2" xfId="50009" xr:uid="{B8E421DB-C704-4957-8A6C-F89212A0C498}"/>
    <cellStyle name="Normal 9 3 3 2 2 2 2 3" xfId="37418" xr:uid="{5E6651DD-8581-4484-9F5A-BD84AFC83A1E}"/>
    <cellStyle name="Normal 9 3 3 2 2 2 3" xfId="18239" xr:uid="{62C140B0-65A2-4090-A7B7-C0E141E871AF}"/>
    <cellStyle name="Normal 9 3 3 2 2 2 3 2" xfId="43731" xr:uid="{447F857E-C55E-43F4-8BE3-801F7152ECAA}"/>
    <cellStyle name="Normal 9 3 3 2 2 2 4" xfId="31140" xr:uid="{8CE28236-C94B-4D59-B557-A17896FB0E4C}"/>
    <cellStyle name="Normal 9 3 3 2 2 3" xfId="8696" xr:uid="{F2E6BB71-00D1-442C-98A5-DBF5AC49881C}"/>
    <cellStyle name="Normal 9 3 3 2 2 3 2" xfId="21378" xr:uid="{3192C5A6-E173-44C5-A91E-C0841BF65536}"/>
    <cellStyle name="Normal 9 3 3 2 2 3 2 2" xfId="46870" xr:uid="{FCCE3DA3-1433-412B-A975-62AC7881FCDF}"/>
    <cellStyle name="Normal 9 3 3 2 2 3 3" xfId="34279" xr:uid="{50997660-14BB-43C4-B07E-21C7DCAED16E}"/>
    <cellStyle name="Normal 9 3 3 2 2 4" xfId="15100" xr:uid="{FF49A069-7677-400B-8E51-D8640E6589F5}"/>
    <cellStyle name="Normal 9 3 3 2 2 4 2" xfId="40592" xr:uid="{54B2E370-F120-4840-99DC-94F0F584D18F}"/>
    <cellStyle name="Normal 9 3 3 2 2 5" xfId="28001" xr:uid="{FF732B95-4AF0-462C-857A-82ACF92CA828}"/>
    <cellStyle name="Normal 9 3 3 2 3" xfId="1605" xr:uid="{38751021-9D0D-472F-8BB3-24DFDEE47B66}"/>
    <cellStyle name="Normal 9 3 3 2 3 2" xfId="4759" xr:uid="{B46C2A06-2510-4FB9-9A7D-6EF9BE5BE0E3}"/>
    <cellStyle name="Normal 9 3 3 2 3 2 2" xfId="11052" xr:uid="{1BE13359-BDA9-4879-BEC8-96CB67B2FE70}"/>
    <cellStyle name="Normal 9 3 3 2 3 2 2 2" xfId="23734" xr:uid="{72C906CF-A178-4748-B331-1C88A28058D0}"/>
    <cellStyle name="Normal 9 3 3 2 3 2 2 2 2" xfId="49226" xr:uid="{9BFA1D6D-DBEB-469F-A3B9-79BAA3D18704}"/>
    <cellStyle name="Normal 9 3 3 2 3 2 2 3" xfId="36635" xr:uid="{3636ABEB-286B-45EF-98DF-00D9E18E006D}"/>
    <cellStyle name="Normal 9 3 3 2 3 2 3" xfId="17456" xr:uid="{CDBB4783-E204-42C4-B55B-DCDFCE334B66}"/>
    <cellStyle name="Normal 9 3 3 2 3 2 3 2" xfId="42948" xr:uid="{39B508A0-06AD-437B-8EB0-DA8D70568CF1}"/>
    <cellStyle name="Normal 9 3 3 2 3 2 4" xfId="30357" xr:uid="{D03C25E1-BA29-4790-B1BD-0FE39D6D9188}"/>
    <cellStyle name="Normal 9 3 3 2 3 3" xfId="7913" xr:uid="{ECD1BDD3-FF33-45CF-8FC5-454E82C79F59}"/>
    <cellStyle name="Normal 9 3 3 2 3 3 2" xfId="20595" xr:uid="{1FCAD39D-3B4F-4A81-85C1-C8D13BE945A2}"/>
    <cellStyle name="Normal 9 3 3 2 3 3 2 2" xfId="46087" xr:uid="{BAAED601-DE84-4A0B-8E92-519B7A70CA8A}"/>
    <cellStyle name="Normal 9 3 3 2 3 3 3" xfId="33496" xr:uid="{F2FECB73-4240-4119-B05D-CF3D6BDE74DE}"/>
    <cellStyle name="Normal 9 3 3 2 3 4" xfId="14317" xr:uid="{B2929603-AD97-4447-A398-5DB42D53F8EF}"/>
    <cellStyle name="Normal 9 3 3 2 3 4 2" xfId="39809" xr:uid="{3479682A-640D-484A-9F5B-522B5735957C}"/>
    <cellStyle name="Normal 9 3 3 2 3 5" xfId="27218" xr:uid="{722EAE7B-17E5-4061-8542-382320342283}"/>
    <cellStyle name="Normal 9 3 3 2 4" xfId="2912" xr:uid="{14426261-EB75-49D3-BDFC-793C436C658C}"/>
    <cellStyle name="Normal 9 3 3 2 4 2" xfId="6066" xr:uid="{B9425276-E96D-46C7-BA56-C1F2E2F078A9}"/>
    <cellStyle name="Normal 9 3 3 2 4 2 2" xfId="12359" xr:uid="{B8D121DE-0FD0-4905-9E91-E82C6F920DBE}"/>
    <cellStyle name="Normal 9 3 3 2 4 2 2 2" xfId="25041" xr:uid="{E525AF7B-E6D1-4BE7-8EBD-C13AA2F08D64}"/>
    <cellStyle name="Normal 9 3 3 2 4 2 2 2 2" xfId="50533" xr:uid="{A542987C-BA33-43DF-9D96-9F206D4E62F4}"/>
    <cellStyle name="Normal 9 3 3 2 4 2 2 3" xfId="37942" xr:uid="{2049B70D-4BA3-4A86-A17C-23CD4979C58C}"/>
    <cellStyle name="Normal 9 3 3 2 4 2 3" xfId="18763" xr:uid="{1A39966B-D105-4D43-BB4E-AC1E2F428FAA}"/>
    <cellStyle name="Normal 9 3 3 2 4 2 3 2" xfId="44255" xr:uid="{78BF00F6-2EF5-42F7-A993-B88ED2EAEF9A}"/>
    <cellStyle name="Normal 9 3 3 2 4 2 4" xfId="31664" xr:uid="{87F285D6-EAAB-4A70-AD2E-0EB2B55B64F2}"/>
    <cellStyle name="Normal 9 3 3 2 4 3" xfId="9220" xr:uid="{D6A5D2B0-EFB2-46BD-86E5-8800EE73BDF5}"/>
    <cellStyle name="Normal 9 3 3 2 4 3 2" xfId="21902" xr:uid="{B9E718D9-DC8E-4753-AC5B-2871A03FCCE8}"/>
    <cellStyle name="Normal 9 3 3 2 4 3 2 2" xfId="47394" xr:uid="{3E0F04A5-A319-4EE7-A996-796B7FAFE8C1}"/>
    <cellStyle name="Normal 9 3 3 2 4 3 3" xfId="34803" xr:uid="{2C6EFE54-88ED-4CDE-BB09-3DEDD69A1B64}"/>
    <cellStyle name="Normal 9 3 3 2 4 4" xfId="15624" xr:uid="{9E615095-22E1-4081-8556-6A72E18D145D}"/>
    <cellStyle name="Normal 9 3 3 2 4 4 2" xfId="41116" xr:uid="{A302D446-0E66-4DAF-A02A-9B1FDE131025}"/>
    <cellStyle name="Normal 9 3 3 2 4 5" xfId="28525" xr:uid="{DCBB44F8-D594-459B-8FDC-BC453F4B9154}"/>
    <cellStyle name="Normal 9 3 3 2 5" xfId="3435" xr:uid="{FA4609EC-A9B7-4C30-835D-F59E6B3CFA6B}"/>
    <cellStyle name="Normal 9 3 3 2 5 2" xfId="6589" xr:uid="{6515607E-2C65-4503-AAA5-DBD4AEDDA7A2}"/>
    <cellStyle name="Normal 9 3 3 2 5 2 2" xfId="12882" xr:uid="{1F197AE5-FA42-4289-A9AA-4A7139414306}"/>
    <cellStyle name="Normal 9 3 3 2 5 2 2 2" xfId="25564" xr:uid="{5CE376E5-C850-41EA-80A6-CC3E7E487DF9}"/>
    <cellStyle name="Normal 9 3 3 2 5 2 2 2 2" xfId="51056" xr:uid="{08CF316D-943E-49F9-831E-5F14B8BCD68B}"/>
    <cellStyle name="Normal 9 3 3 2 5 2 2 3" xfId="38465" xr:uid="{F153B58E-8368-40E4-A2A0-B528447780A3}"/>
    <cellStyle name="Normal 9 3 3 2 5 2 3" xfId="19286" xr:uid="{16584985-736A-4ECF-B95D-E469282E0F16}"/>
    <cellStyle name="Normal 9 3 3 2 5 2 3 2" xfId="44778" xr:uid="{E4B2C17A-A5CD-499C-AC35-2720CE7BB7BA}"/>
    <cellStyle name="Normal 9 3 3 2 5 2 4" xfId="32187" xr:uid="{FA5363DE-77CB-4D1B-9B8A-039C21DA5667}"/>
    <cellStyle name="Normal 9 3 3 2 5 3" xfId="9743" xr:uid="{52989D4A-4A1F-4D88-9A72-AECEF483D1C9}"/>
    <cellStyle name="Normal 9 3 3 2 5 3 2" xfId="22425" xr:uid="{87F842CE-C28B-40E8-B3FD-E86F9CE4595A}"/>
    <cellStyle name="Normal 9 3 3 2 5 3 2 2" xfId="47917" xr:uid="{9D484FD1-F071-4483-8DCD-B69BE51C6CEC}"/>
    <cellStyle name="Normal 9 3 3 2 5 3 3" xfId="35326" xr:uid="{4397CE74-1CFD-4D34-A6D6-0091169602B7}"/>
    <cellStyle name="Normal 9 3 3 2 5 4" xfId="16147" xr:uid="{FA0E443C-9700-4367-AEB8-E5E27A4278DD}"/>
    <cellStyle name="Normal 9 3 3 2 5 4 2" xfId="41639" xr:uid="{23F351FD-EABA-4F32-9644-D370C1A78929}"/>
    <cellStyle name="Normal 9 3 3 2 5 5" xfId="29048" xr:uid="{097A6F86-EA76-4BFD-B544-3EE7A8EFDF5B}"/>
    <cellStyle name="Normal 9 3 3 2 6" xfId="4235" xr:uid="{59C38FC8-5A63-4548-8A1C-DCFD54952F0A}"/>
    <cellStyle name="Normal 9 3 3 2 6 2" xfId="10528" xr:uid="{23B01674-3650-453C-943A-E1028B45C270}"/>
    <cellStyle name="Normal 9 3 3 2 6 2 2" xfId="23210" xr:uid="{50014CBD-1358-4DCA-B7AC-A538065C5BD1}"/>
    <cellStyle name="Normal 9 3 3 2 6 2 2 2" xfId="48702" xr:uid="{7BA5D09C-9146-49DB-9F23-F4DD1BDD67C9}"/>
    <cellStyle name="Normal 9 3 3 2 6 2 3" xfId="36111" xr:uid="{B3711088-9C85-4943-ADBE-5EA8167A7CA1}"/>
    <cellStyle name="Normal 9 3 3 2 6 3" xfId="16932" xr:uid="{DC173DFF-8ADB-4207-A9E1-20B9C09C12A2}"/>
    <cellStyle name="Normal 9 3 3 2 6 3 2" xfId="42424" xr:uid="{3F2F35F9-A4A6-47C0-96A6-823A6F80BDF9}"/>
    <cellStyle name="Normal 9 3 3 2 6 4" xfId="29833" xr:uid="{83E76058-3DAB-4C52-A6C2-098C891E1634}"/>
    <cellStyle name="Normal 9 3 3 2 7" xfId="7389" xr:uid="{AFB545C0-2DB4-4BD8-82F2-B94552089A20}"/>
    <cellStyle name="Normal 9 3 3 2 7 2" xfId="20071" xr:uid="{CDF0A0FD-F73D-4DD5-81CB-A714ECEA8304}"/>
    <cellStyle name="Normal 9 3 3 2 7 2 2" xfId="45563" xr:uid="{564E115E-1643-4407-83F6-95B872B31C8A}"/>
    <cellStyle name="Normal 9 3 3 2 7 3" xfId="32972" xr:uid="{40140BDA-B965-4405-8168-3256DFA84819}"/>
    <cellStyle name="Normal 9 3 3 2 8" xfId="13793" xr:uid="{F680B773-08B4-4169-A5C7-A0D7C2FBBDF8}"/>
    <cellStyle name="Normal 9 3 3 2 8 2" xfId="39285" xr:uid="{65899515-D63B-428F-A864-39AA0C358388}"/>
    <cellStyle name="Normal 9 3 3 2 9" xfId="26694" xr:uid="{0B270EA1-9888-4CF3-8DDC-AB0ED2B0EA52}"/>
    <cellStyle name="Normal 9 3 3 3" xfId="821" xr:uid="{73AE3F9B-6BB5-4620-9675-F68A08EC611C}"/>
    <cellStyle name="Normal 9 3 3 3 2" xfId="2128" xr:uid="{B460991C-CAF5-44D2-A822-6BBBCF67F88C}"/>
    <cellStyle name="Normal 9 3 3 3 2 2" xfId="5282" xr:uid="{D12E02DF-974B-441F-869F-2178744D9421}"/>
    <cellStyle name="Normal 9 3 3 3 2 2 2" xfId="11575" xr:uid="{36294148-A123-4344-B662-C5BADBF7B624}"/>
    <cellStyle name="Normal 9 3 3 3 2 2 2 2" xfId="24257" xr:uid="{ED13EC5F-A8E0-495B-8890-D02DF80F95E5}"/>
    <cellStyle name="Normal 9 3 3 3 2 2 2 2 2" xfId="49749" xr:uid="{A401A899-AC72-4C40-9C20-37F694971AF1}"/>
    <cellStyle name="Normal 9 3 3 3 2 2 2 3" xfId="37158" xr:uid="{0AB5E94D-BB70-465D-9063-4C6ADAD53F07}"/>
    <cellStyle name="Normal 9 3 3 3 2 2 3" xfId="17979" xr:uid="{8A369139-312A-4F08-A31F-D4660291780E}"/>
    <cellStyle name="Normal 9 3 3 3 2 2 3 2" xfId="43471" xr:uid="{1907D365-02D6-4CC2-8E89-AB8EF7B8F7D0}"/>
    <cellStyle name="Normal 9 3 3 3 2 2 4" xfId="30880" xr:uid="{1CD030BF-0960-4FEC-9F96-7875C785E0CC}"/>
    <cellStyle name="Normal 9 3 3 3 2 3" xfId="8436" xr:uid="{6909EC8B-D9CD-4D46-9366-39058A870189}"/>
    <cellStyle name="Normal 9 3 3 3 2 3 2" xfId="21118" xr:uid="{4E8412FC-7070-4D77-8239-A3612225B82A}"/>
    <cellStyle name="Normal 9 3 3 3 2 3 2 2" xfId="46610" xr:uid="{10EB03F1-C497-44E6-B51E-F53A1AA39538}"/>
    <cellStyle name="Normal 9 3 3 3 2 3 3" xfId="34019" xr:uid="{C0925D5F-45F9-4D70-8511-B2441A66772B}"/>
    <cellStyle name="Normal 9 3 3 3 2 4" xfId="14840" xr:uid="{4B2E0DEE-F019-4A7F-8D4A-772683084F1D}"/>
    <cellStyle name="Normal 9 3 3 3 2 4 2" xfId="40332" xr:uid="{07CFA041-0D95-4770-A271-DD64B8BB4979}"/>
    <cellStyle name="Normal 9 3 3 3 2 5" xfId="27741" xr:uid="{41C0F06E-48DE-4828-963B-BE2812AF4518}"/>
    <cellStyle name="Normal 9 3 3 3 3" xfId="3975" xr:uid="{EDE47933-3EBF-4AF2-ADF7-7B1C93F295CA}"/>
    <cellStyle name="Normal 9 3 3 3 3 2" xfId="10268" xr:uid="{93559D45-AAFD-46A7-A779-9F351DD91683}"/>
    <cellStyle name="Normal 9 3 3 3 3 2 2" xfId="22950" xr:uid="{773575E3-48FE-4487-A400-4EF35ECE8DC0}"/>
    <cellStyle name="Normal 9 3 3 3 3 2 2 2" xfId="48442" xr:uid="{52174670-3A4F-450C-9523-921DE7C0B7B4}"/>
    <cellStyle name="Normal 9 3 3 3 3 2 3" xfId="35851" xr:uid="{24F99C04-BD8E-488D-BC8B-6F5CAA8C483E}"/>
    <cellStyle name="Normal 9 3 3 3 3 3" xfId="16672" xr:uid="{B1923154-EBA7-4B94-B4F2-ABDB59E4EEF1}"/>
    <cellStyle name="Normal 9 3 3 3 3 3 2" xfId="42164" xr:uid="{00EDB9E7-A3CD-4A0D-B5C5-A286C40A1F91}"/>
    <cellStyle name="Normal 9 3 3 3 3 4" xfId="29573" xr:uid="{EF1A8EFC-A4D2-407F-B0F2-3D4A8FF8C70B}"/>
    <cellStyle name="Normal 9 3 3 3 4" xfId="7129" xr:uid="{9C8F2D60-C18E-4473-AF67-AE8982C5E71F}"/>
    <cellStyle name="Normal 9 3 3 3 4 2" xfId="19811" xr:uid="{8FEDB809-7311-41F2-A428-B8D264325470}"/>
    <cellStyle name="Normal 9 3 3 3 4 2 2" xfId="45303" xr:uid="{E32206C7-4868-4ED3-AC61-951318535B78}"/>
    <cellStyle name="Normal 9 3 3 3 4 3" xfId="32712" xr:uid="{D686DD38-1066-45AA-9559-4AE19C95DA9B}"/>
    <cellStyle name="Normal 9 3 3 3 5" xfId="13533" xr:uid="{C9362377-3465-46D0-A503-4C056366924B}"/>
    <cellStyle name="Normal 9 3 3 3 5 2" xfId="39025" xr:uid="{F16B7F84-A2DD-4DF9-91DB-E932D71B570F}"/>
    <cellStyle name="Normal 9 3 3 3 6" xfId="26434" xr:uid="{C0D2CB82-7C1E-41E9-A8AA-A9BBD9324345}"/>
    <cellStyle name="Normal 9 3 3 4" xfId="1866" xr:uid="{F2416677-B300-4DB0-B5DB-758816194FE5}"/>
    <cellStyle name="Normal 9 3 3 4 2" xfId="5020" xr:uid="{A8CB80DA-D1DF-4213-BE5E-88E8FC64DC87}"/>
    <cellStyle name="Normal 9 3 3 4 2 2" xfId="11313" xr:uid="{92002A81-5D41-4099-8494-CCE3D05DE779}"/>
    <cellStyle name="Normal 9 3 3 4 2 2 2" xfId="23995" xr:uid="{DA53962E-D750-44CF-B35D-3BAA27BA9410}"/>
    <cellStyle name="Normal 9 3 3 4 2 2 2 2" xfId="49487" xr:uid="{78B6AD14-05A5-4A98-B32E-92CE53057033}"/>
    <cellStyle name="Normal 9 3 3 4 2 2 3" xfId="36896" xr:uid="{C707A53C-76AF-4DBB-9B5B-A1E179EB777B}"/>
    <cellStyle name="Normal 9 3 3 4 2 3" xfId="17717" xr:uid="{590FAFFB-4C16-4029-A53B-5EE671AC34D3}"/>
    <cellStyle name="Normal 9 3 3 4 2 3 2" xfId="43209" xr:uid="{714C69B0-4E24-4DF8-8A97-C3AE8DBA47F6}"/>
    <cellStyle name="Normal 9 3 3 4 2 4" xfId="30618" xr:uid="{AA8C8DFA-5B20-4085-AAB0-01BB964B9898}"/>
    <cellStyle name="Normal 9 3 3 4 3" xfId="8174" xr:uid="{5EB7181A-5A60-47F4-9110-2FBDA891873B}"/>
    <cellStyle name="Normal 9 3 3 4 3 2" xfId="20856" xr:uid="{718ADBA6-7D45-47CC-A377-324818B4FFD9}"/>
    <cellStyle name="Normal 9 3 3 4 3 2 2" xfId="46348" xr:uid="{B6A4E039-878D-4F97-B00F-1B2823C3A275}"/>
    <cellStyle name="Normal 9 3 3 4 3 3" xfId="33757" xr:uid="{A7602E2E-2DA4-467D-ACCC-17744D53BBFC}"/>
    <cellStyle name="Normal 9 3 3 4 4" xfId="14578" xr:uid="{979771C6-98C1-4A63-9D26-B983DD447BCC}"/>
    <cellStyle name="Normal 9 3 3 4 4 2" xfId="40070" xr:uid="{32CF80B7-DB31-4D6E-AAD5-FFE58A6AA981}"/>
    <cellStyle name="Normal 9 3 3 4 5" xfId="27479" xr:uid="{623A5421-1323-484B-A6FA-9E66D7F5F5F4}"/>
    <cellStyle name="Normal 9 3 3 5" xfId="1344" xr:uid="{71CBCFE6-1814-46CC-AD1A-C061FF025E0A}"/>
    <cellStyle name="Normal 9 3 3 5 2" xfId="4498" xr:uid="{8E9E9D77-52EF-4911-B320-7FDBC12FAC04}"/>
    <cellStyle name="Normal 9 3 3 5 2 2" xfId="10791" xr:uid="{D928309E-BA03-417C-9EC4-AC4E34BE4B06}"/>
    <cellStyle name="Normal 9 3 3 5 2 2 2" xfId="23473" xr:uid="{5C8F3CC7-61F1-41C9-8A23-8B87F619FB1F}"/>
    <cellStyle name="Normal 9 3 3 5 2 2 2 2" xfId="48965" xr:uid="{62F98642-EB1C-407C-9893-D57039760097}"/>
    <cellStyle name="Normal 9 3 3 5 2 2 3" xfId="36374" xr:uid="{0A049D60-736F-4FEE-9211-6BCD33BEC028}"/>
    <cellStyle name="Normal 9 3 3 5 2 3" xfId="17195" xr:uid="{A0FF81AA-6C8B-4D0B-9300-3408CF221CB3}"/>
    <cellStyle name="Normal 9 3 3 5 2 3 2" xfId="42687" xr:uid="{38D54D93-A1ED-4610-9DE9-CCE8CDD6547B}"/>
    <cellStyle name="Normal 9 3 3 5 2 4" xfId="30096" xr:uid="{8EC6184A-A820-4D41-A98D-841BA793F807}"/>
    <cellStyle name="Normal 9 3 3 5 3" xfId="7652" xr:uid="{DDBA64C8-DE7B-485C-A1C6-FCD39CCA62CB}"/>
    <cellStyle name="Normal 9 3 3 5 3 2" xfId="20334" xr:uid="{17A57D95-4F7D-4351-B66D-702AC4042A25}"/>
    <cellStyle name="Normal 9 3 3 5 3 2 2" xfId="45826" xr:uid="{DC88DC5C-DBDD-48DA-9D85-0BDD0F386594}"/>
    <cellStyle name="Normal 9 3 3 5 3 3" xfId="33235" xr:uid="{CAA503BB-A9E4-4ADE-9059-4B44700A2575}"/>
    <cellStyle name="Normal 9 3 3 5 4" xfId="14056" xr:uid="{5462CC25-DE47-4D4C-9246-1FB2929E6559}"/>
    <cellStyle name="Normal 9 3 3 5 4 2" xfId="39548" xr:uid="{12F4D028-9A27-46FC-9072-A994BDDCD908}"/>
    <cellStyle name="Normal 9 3 3 5 5" xfId="26957" xr:uid="{50350BED-6C9D-45FA-9E7C-E4AC77AE6C45}"/>
    <cellStyle name="Normal 9 3 3 6" xfId="2651" xr:uid="{B9578843-C884-4989-A3B2-612054DFB034}"/>
    <cellStyle name="Normal 9 3 3 6 2" xfId="5805" xr:uid="{C6942B81-A023-482D-8849-D62AD773BFAD}"/>
    <cellStyle name="Normal 9 3 3 6 2 2" xfId="12098" xr:uid="{DB36E530-FB53-4014-8091-A57D43528DFE}"/>
    <cellStyle name="Normal 9 3 3 6 2 2 2" xfId="24780" xr:uid="{51031AEE-4FC1-47B8-925A-D5EFD1547840}"/>
    <cellStyle name="Normal 9 3 3 6 2 2 2 2" xfId="50272" xr:uid="{E3761888-9B3E-473C-B970-35BD2792117F}"/>
    <cellStyle name="Normal 9 3 3 6 2 2 3" xfId="37681" xr:uid="{4ED4672F-872D-40A0-AD38-5AFD0D96DDD5}"/>
    <cellStyle name="Normal 9 3 3 6 2 3" xfId="18502" xr:uid="{F2B24CDA-399A-47AF-89C1-BC5133BDD236}"/>
    <cellStyle name="Normal 9 3 3 6 2 3 2" xfId="43994" xr:uid="{670F04F4-32E8-454B-A4C2-AA9DEE85BE7F}"/>
    <cellStyle name="Normal 9 3 3 6 2 4" xfId="31403" xr:uid="{587C6A26-22AD-483F-BE1E-B65E2BF30D7C}"/>
    <cellStyle name="Normal 9 3 3 6 3" xfId="8959" xr:uid="{305647C3-1D6E-4877-B671-3529BD3001B5}"/>
    <cellStyle name="Normal 9 3 3 6 3 2" xfId="21641" xr:uid="{1961B4E2-7F84-4A26-B526-0DB2D83971F4}"/>
    <cellStyle name="Normal 9 3 3 6 3 2 2" xfId="47133" xr:uid="{2DFC3F5B-39E5-4BF9-B3DD-72AD8A211025}"/>
    <cellStyle name="Normal 9 3 3 6 3 3" xfId="34542" xr:uid="{6E4B0C20-4F33-4CF6-8294-5FE54880A4E5}"/>
    <cellStyle name="Normal 9 3 3 6 4" xfId="15363" xr:uid="{B112A5C7-9C17-4109-8005-F0E56FF9AFD0}"/>
    <cellStyle name="Normal 9 3 3 6 4 2" xfId="40855" xr:uid="{5F796E76-834D-441F-B4E2-E76C429797E5}"/>
    <cellStyle name="Normal 9 3 3 6 5" xfId="28264" xr:uid="{DA77ABDB-719B-4AE5-B953-84555FFAB2AF}"/>
    <cellStyle name="Normal 9 3 3 7" xfId="3174" xr:uid="{1F130A5D-BEE8-47FA-A2A4-04BACD945F4A}"/>
    <cellStyle name="Normal 9 3 3 7 2" xfId="6328" xr:uid="{53BB93DE-2F17-44FD-9D6A-ABA5CB925557}"/>
    <cellStyle name="Normal 9 3 3 7 2 2" xfId="12621" xr:uid="{5B596106-B166-4950-A815-740A6D2D563F}"/>
    <cellStyle name="Normal 9 3 3 7 2 2 2" xfId="25303" xr:uid="{E66E7718-4816-4C24-AF46-B1D07BBF8720}"/>
    <cellStyle name="Normal 9 3 3 7 2 2 2 2" xfId="50795" xr:uid="{A4A71986-820C-463E-9E33-96BC206EF29D}"/>
    <cellStyle name="Normal 9 3 3 7 2 2 3" xfId="38204" xr:uid="{EBCE9CDC-8AF5-413F-92DB-E1DAEEB1526A}"/>
    <cellStyle name="Normal 9 3 3 7 2 3" xfId="19025" xr:uid="{285BD50C-5A6F-4346-B086-06D584312F30}"/>
    <cellStyle name="Normal 9 3 3 7 2 3 2" xfId="44517" xr:uid="{69E8BF77-20AD-47F5-946F-B22C0D90E343}"/>
    <cellStyle name="Normal 9 3 3 7 2 4" xfId="31926" xr:uid="{3BA31405-AEEB-4BA1-A554-45FAAD1DE8FF}"/>
    <cellStyle name="Normal 9 3 3 7 3" xfId="9482" xr:uid="{C4882E36-470C-47D7-B790-1C0631D331FB}"/>
    <cellStyle name="Normal 9 3 3 7 3 2" xfId="22164" xr:uid="{913B3EA0-FB93-4D58-BDF1-C7083F6F7C34}"/>
    <cellStyle name="Normal 9 3 3 7 3 2 2" xfId="47656" xr:uid="{78213F87-181E-42F2-991D-C6E19747820A}"/>
    <cellStyle name="Normal 9 3 3 7 3 3" xfId="35065" xr:uid="{50DEF10C-7932-4378-BFE1-EFE6AA83EF5D}"/>
    <cellStyle name="Normal 9 3 3 7 4" xfId="15886" xr:uid="{B30A1692-58A7-4C0B-98D4-F1C34F348CC5}"/>
    <cellStyle name="Normal 9 3 3 7 4 2" xfId="41378" xr:uid="{E4071AFD-7685-42C9-9576-B932B04F9617}"/>
    <cellStyle name="Normal 9 3 3 7 5" xfId="28787" xr:uid="{2D96FBF6-1359-43B5-B149-728CE6BB1B5E}"/>
    <cellStyle name="Normal 9 3 3 8" xfId="3713" xr:uid="{7B9F8FAE-9600-4D7C-AB1D-9002E6EE30EF}"/>
    <cellStyle name="Normal 9 3 3 8 2" xfId="10006" xr:uid="{75BFF3BF-E748-47DC-BBF4-358FD709449E}"/>
    <cellStyle name="Normal 9 3 3 8 2 2" xfId="22688" xr:uid="{2BF4116E-7631-4168-9DAA-6309485701D8}"/>
    <cellStyle name="Normal 9 3 3 8 2 2 2" xfId="48180" xr:uid="{27008F4D-79A7-454F-A556-1474B8160E87}"/>
    <cellStyle name="Normal 9 3 3 8 2 3" xfId="35589" xr:uid="{2580FF38-7C7E-4F24-B077-19912659B80D}"/>
    <cellStyle name="Normal 9 3 3 8 3" xfId="16410" xr:uid="{D5D08445-927A-435C-A0A2-CC2DD70BDFF7}"/>
    <cellStyle name="Normal 9 3 3 8 3 2" xfId="41902" xr:uid="{94328D04-EF48-40B6-AD01-95692DFA61FD}"/>
    <cellStyle name="Normal 9 3 3 8 4" xfId="29311" xr:uid="{0D50A5AA-87A5-4426-ABEE-1025ACCA0AE2}"/>
    <cellStyle name="Normal 9 3 3 9" xfId="6867" xr:uid="{36DBFB38-55E5-4218-99EE-C0ED5F382F54}"/>
    <cellStyle name="Normal 9 3 3 9 2" xfId="19549" xr:uid="{1EC0F17F-CEA2-4FDF-959A-BECB73383091}"/>
    <cellStyle name="Normal 9 3 3 9 2 2" xfId="45041" xr:uid="{22BA62E5-FDF9-49A7-AE18-D45B1D9238C0}"/>
    <cellStyle name="Normal 9 3 3 9 3" xfId="32450" xr:uid="{F02812A0-5ED1-4C25-AE46-2A90881552C2}"/>
    <cellStyle name="Normal 9 3 4" xfId="1022" xr:uid="{803A081E-3E8A-4A86-878B-F9B3743EEF1C}"/>
    <cellStyle name="Normal 9 3 4 2" xfId="2329" xr:uid="{912A4303-3413-47EC-9276-611D68A01084}"/>
    <cellStyle name="Normal 9 3 4 2 2" xfId="5483" xr:uid="{D0FAB9D8-27FC-40AE-9416-B58F7CE97BA2}"/>
    <cellStyle name="Normal 9 3 4 2 2 2" xfId="11776" xr:uid="{61759288-E6D7-43AE-B318-986F2CF2E2D1}"/>
    <cellStyle name="Normal 9 3 4 2 2 2 2" xfId="24458" xr:uid="{DB671113-C624-46C1-81E4-2B9EB076FBF6}"/>
    <cellStyle name="Normal 9 3 4 2 2 2 2 2" xfId="49950" xr:uid="{E15C871E-0152-46DD-97B3-4F193ADA9A9B}"/>
    <cellStyle name="Normal 9 3 4 2 2 2 3" xfId="37359" xr:uid="{BC293164-3657-40F9-B401-FDDB712B0446}"/>
    <cellStyle name="Normal 9 3 4 2 2 3" xfId="18180" xr:uid="{D0305EA0-7861-4046-B89E-7E46C860E35A}"/>
    <cellStyle name="Normal 9 3 4 2 2 3 2" xfId="43672" xr:uid="{3C047636-3E25-4829-96CF-7A766B8DFC13}"/>
    <cellStyle name="Normal 9 3 4 2 2 4" xfId="31081" xr:uid="{A257B429-5ADB-46C1-BB9E-729075186C19}"/>
    <cellStyle name="Normal 9 3 4 2 3" xfId="8637" xr:uid="{885D5199-7F1A-449E-8B61-D1EC47D88241}"/>
    <cellStyle name="Normal 9 3 4 2 3 2" xfId="21319" xr:uid="{5F4304A2-9181-44D4-9022-4A7D2099B622}"/>
    <cellStyle name="Normal 9 3 4 2 3 2 2" xfId="46811" xr:uid="{EFFF4D83-58DC-4C11-AE0C-DBA0EC1D6131}"/>
    <cellStyle name="Normal 9 3 4 2 3 3" xfId="34220" xr:uid="{4AF42463-6564-4A2A-99C4-24343FF77C2B}"/>
    <cellStyle name="Normal 9 3 4 2 4" xfId="15041" xr:uid="{1DF7C4CD-BED7-4F02-80E2-5C7D4117C558}"/>
    <cellStyle name="Normal 9 3 4 2 4 2" xfId="40533" xr:uid="{07A13F80-54C3-4095-90A3-E1A64BCB2804}"/>
    <cellStyle name="Normal 9 3 4 2 5" xfId="27942" xr:uid="{DB777EB8-B5B1-4D94-8F3C-5AAD34864407}"/>
    <cellStyle name="Normal 9 3 4 3" xfId="1546" xr:uid="{58D05F8C-5A8B-4FCB-916A-EE0DD9151225}"/>
    <cellStyle name="Normal 9 3 4 3 2" xfId="4700" xr:uid="{4C274E5A-155E-4267-8354-7FEFD831B0D4}"/>
    <cellStyle name="Normal 9 3 4 3 2 2" xfId="10993" xr:uid="{024DBECC-C729-4E55-A658-4A0109EC3E9B}"/>
    <cellStyle name="Normal 9 3 4 3 2 2 2" xfId="23675" xr:uid="{C0BCBBB2-AA05-4F6D-9E8E-815723ECE057}"/>
    <cellStyle name="Normal 9 3 4 3 2 2 2 2" xfId="49167" xr:uid="{429B38E0-2896-4E5E-B483-881004EE51B2}"/>
    <cellStyle name="Normal 9 3 4 3 2 2 3" xfId="36576" xr:uid="{9C629AB4-989B-4BE8-A055-354FF6BB4062}"/>
    <cellStyle name="Normal 9 3 4 3 2 3" xfId="17397" xr:uid="{B38BEF0A-5317-4024-9E7D-0FCE6432CEB4}"/>
    <cellStyle name="Normal 9 3 4 3 2 3 2" xfId="42889" xr:uid="{2B881A5D-0E92-4FB2-9A0B-70CB4F054D1C}"/>
    <cellStyle name="Normal 9 3 4 3 2 4" xfId="30298" xr:uid="{E0FA32ED-1078-4459-B8B0-F161D36EEBAD}"/>
    <cellStyle name="Normal 9 3 4 3 3" xfId="7854" xr:uid="{C48FF822-2832-4577-85BB-EEA02E31C713}"/>
    <cellStyle name="Normal 9 3 4 3 3 2" xfId="20536" xr:uid="{BE906248-FF1B-4B27-A2FF-AA78D435C535}"/>
    <cellStyle name="Normal 9 3 4 3 3 2 2" xfId="46028" xr:uid="{76F53FCE-67E2-4113-A043-4B079A678B9B}"/>
    <cellStyle name="Normal 9 3 4 3 3 3" xfId="33437" xr:uid="{0788DEB4-866B-4FC9-A908-C0F77CF92115}"/>
    <cellStyle name="Normal 9 3 4 3 4" xfId="14258" xr:uid="{A65482D5-9114-4EAB-BE7E-0A35A70972A6}"/>
    <cellStyle name="Normal 9 3 4 3 4 2" xfId="39750" xr:uid="{7D53AD83-E204-4180-B4AC-055BAA973B93}"/>
    <cellStyle name="Normal 9 3 4 3 5" xfId="27159" xr:uid="{56AC858E-111D-434C-9F0B-3A47BFA5FB5F}"/>
    <cellStyle name="Normal 9 3 4 4" xfId="2853" xr:uid="{3618389A-8156-44F6-BA39-574C819419CA}"/>
    <cellStyle name="Normal 9 3 4 4 2" xfId="6007" xr:uid="{ED2504E5-2723-40C6-BFE6-89A0033F2997}"/>
    <cellStyle name="Normal 9 3 4 4 2 2" xfId="12300" xr:uid="{B8B83227-2241-411B-9563-E681CC1B1A4D}"/>
    <cellStyle name="Normal 9 3 4 4 2 2 2" xfId="24982" xr:uid="{69132DC4-21FF-4892-8C46-B28E21419EB8}"/>
    <cellStyle name="Normal 9 3 4 4 2 2 2 2" xfId="50474" xr:uid="{81AAB83F-685D-4607-91A4-F971BBE67F53}"/>
    <cellStyle name="Normal 9 3 4 4 2 2 3" xfId="37883" xr:uid="{52FFD1D8-7CCF-46E7-8F20-300345B59ABE}"/>
    <cellStyle name="Normal 9 3 4 4 2 3" xfId="18704" xr:uid="{9E6D3633-B32D-4223-AA7B-B8F025E8547F}"/>
    <cellStyle name="Normal 9 3 4 4 2 3 2" xfId="44196" xr:uid="{143BFF8F-9E96-47EB-83F6-8980E0089DDB}"/>
    <cellStyle name="Normal 9 3 4 4 2 4" xfId="31605" xr:uid="{1FFF9ED9-3969-457B-8F58-26F13F3C8FD9}"/>
    <cellStyle name="Normal 9 3 4 4 3" xfId="9161" xr:uid="{65224D3E-90D6-4E74-83F2-A8F27758ADA4}"/>
    <cellStyle name="Normal 9 3 4 4 3 2" xfId="21843" xr:uid="{9319A01F-5150-4957-879E-95B975ECAE76}"/>
    <cellStyle name="Normal 9 3 4 4 3 2 2" xfId="47335" xr:uid="{BE6C26C1-5CA0-4A06-A4D2-D4F77CF8FA59}"/>
    <cellStyle name="Normal 9 3 4 4 3 3" xfId="34744" xr:uid="{DDC6518C-850E-4197-902A-292EA1E013BB}"/>
    <cellStyle name="Normal 9 3 4 4 4" xfId="15565" xr:uid="{B7AD1163-14DC-4CAC-B446-262902FAA070}"/>
    <cellStyle name="Normal 9 3 4 4 4 2" xfId="41057" xr:uid="{0B63AC9B-46F9-4A41-9EAF-A97FA7C557F8}"/>
    <cellStyle name="Normal 9 3 4 4 5" xfId="28466" xr:uid="{F14E734E-0735-47D5-9487-1D279E38FE39}"/>
    <cellStyle name="Normal 9 3 4 5" xfId="3376" xr:uid="{CAF36AAE-9E64-4644-A6C0-0E4BDCE2B0E0}"/>
    <cellStyle name="Normal 9 3 4 5 2" xfId="6530" xr:uid="{FED134DD-F979-4285-93DB-D6B05390CFE8}"/>
    <cellStyle name="Normal 9 3 4 5 2 2" xfId="12823" xr:uid="{23F8A061-A466-4E27-8F57-2972C22D6848}"/>
    <cellStyle name="Normal 9 3 4 5 2 2 2" xfId="25505" xr:uid="{024B0F7D-2392-4ACA-B32C-92759BB0DF21}"/>
    <cellStyle name="Normal 9 3 4 5 2 2 2 2" xfId="50997" xr:uid="{8295F8C2-FC1A-484C-8339-A7B7EA84330D}"/>
    <cellStyle name="Normal 9 3 4 5 2 2 3" xfId="38406" xr:uid="{9A70E4D8-AEBE-419F-BFFC-1CF45BC0ECAD}"/>
    <cellStyle name="Normal 9 3 4 5 2 3" xfId="19227" xr:uid="{B2F552E7-3E95-403D-BDDC-652F0AC11CCA}"/>
    <cellStyle name="Normal 9 3 4 5 2 3 2" xfId="44719" xr:uid="{E4AC0469-1ACA-4094-948A-F75966DB9993}"/>
    <cellStyle name="Normal 9 3 4 5 2 4" xfId="32128" xr:uid="{80D6526D-5E3B-4EC7-BB19-07520797D914}"/>
    <cellStyle name="Normal 9 3 4 5 3" xfId="9684" xr:uid="{74ED8AAC-B2E3-4607-8785-D02AB6EBF78E}"/>
    <cellStyle name="Normal 9 3 4 5 3 2" xfId="22366" xr:uid="{17CB05D2-5A1F-4A6E-B068-BA8758A88364}"/>
    <cellStyle name="Normal 9 3 4 5 3 2 2" xfId="47858" xr:uid="{06BD1476-EA92-4B84-85E2-C7E5D112B883}"/>
    <cellStyle name="Normal 9 3 4 5 3 3" xfId="35267" xr:uid="{7C91B35D-E17C-4235-AA22-040AECFC6668}"/>
    <cellStyle name="Normal 9 3 4 5 4" xfId="16088" xr:uid="{D961D717-0F9D-461E-BE57-95B3D7C68D39}"/>
    <cellStyle name="Normal 9 3 4 5 4 2" xfId="41580" xr:uid="{9F57E8F1-F934-443C-B305-B08482AD1597}"/>
    <cellStyle name="Normal 9 3 4 5 5" xfId="28989" xr:uid="{20AD8AEA-FDA7-4C35-8749-50D701EC4E66}"/>
    <cellStyle name="Normal 9 3 4 6" xfId="4176" xr:uid="{1E4B12D6-C16A-434A-ACF0-D2E29300AFE7}"/>
    <cellStyle name="Normal 9 3 4 6 2" xfId="10469" xr:uid="{380D5D58-8AB2-4DC7-9E2D-F04501F2A5CD}"/>
    <cellStyle name="Normal 9 3 4 6 2 2" xfId="23151" xr:uid="{DF688270-4816-476C-8E2A-A0731E687878}"/>
    <cellStyle name="Normal 9 3 4 6 2 2 2" xfId="48643" xr:uid="{FD44FB92-2230-45CE-B8A9-0F225CD4D0E4}"/>
    <cellStyle name="Normal 9 3 4 6 2 3" xfId="36052" xr:uid="{7383A1F7-3781-4373-A87B-4C60F3E4935D}"/>
    <cellStyle name="Normal 9 3 4 6 3" xfId="16873" xr:uid="{40CACC88-3267-473A-BC70-7F9383AF0DBD}"/>
    <cellStyle name="Normal 9 3 4 6 3 2" xfId="42365" xr:uid="{2D968DEB-790F-4F10-992B-4B878C38309D}"/>
    <cellStyle name="Normal 9 3 4 6 4" xfId="29774" xr:uid="{A4FBCF5B-EC58-4C98-A434-A832BA8C49A8}"/>
    <cellStyle name="Normal 9 3 4 7" xfId="7330" xr:uid="{BC6DB544-456D-46E7-A09D-05572076774D}"/>
    <cellStyle name="Normal 9 3 4 7 2" xfId="20012" xr:uid="{6D101241-349D-4424-ACA6-CB7A0056BE5D}"/>
    <cellStyle name="Normal 9 3 4 7 2 2" xfId="45504" xr:uid="{5A5679FB-5964-48D3-B837-EC0032DF4292}"/>
    <cellStyle name="Normal 9 3 4 7 3" xfId="32913" xr:uid="{64285F37-85F8-4F3C-AAE6-C3D9BD4F0310}"/>
    <cellStyle name="Normal 9 3 4 8" xfId="13734" xr:uid="{81E17794-77C0-4C50-83F1-7D6372A707C3}"/>
    <cellStyle name="Normal 9 3 4 8 2" xfId="39226" xr:uid="{53A65719-7D82-4CCE-A055-B92A9EAD7193}"/>
    <cellStyle name="Normal 9 3 4 9" xfId="26635" xr:uid="{7ECA62C7-53AB-4CC9-83A1-F3CE7B43BAF6}"/>
    <cellStyle name="Normal 9 3 5" xfId="762" xr:uid="{AB6B554D-511D-4E26-AF3A-800514990C7A}"/>
    <cellStyle name="Normal 9 3 5 2" xfId="2069" xr:uid="{B593962D-EAF0-4E7F-A51B-B2957687B643}"/>
    <cellStyle name="Normal 9 3 5 2 2" xfId="5223" xr:uid="{87D9660D-3C2B-41EE-A2CC-301C637C7611}"/>
    <cellStyle name="Normal 9 3 5 2 2 2" xfId="11516" xr:uid="{F857EEB6-FBDA-48CA-B60C-7828A86BB538}"/>
    <cellStyle name="Normal 9 3 5 2 2 2 2" xfId="24198" xr:uid="{92D82255-72AD-44C8-8549-3368A38AC72E}"/>
    <cellStyle name="Normal 9 3 5 2 2 2 2 2" xfId="49690" xr:uid="{817C1A18-CC35-40FE-8A93-4302354B94EF}"/>
    <cellStyle name="Normal 9 3 5 2 2 2 3" xfId="37099" xr:uid="{14FAD344-5DD7-4559-8588-7E51E1395B1A}"/>
    <cellStyle name="Normal 9 3 5 2 2 3" xfId="17920" xr:uid="{9BE406C2-A6CF-4911-9C36-02B12432C5F1}"/>
    <cellStyle name="Normal 9 3 5 2 2 3 2" xfId="43412" xr:uid="{55B2E112-ECD2-43D3-AB43-856FCAFE6A8C}"/>
    <cellStyle name="Normal 9 3 5 2 2 4" xfId="30821" xr:uid="{5358EB36-E9D7-482B-99B1-EEB7DAD735F0}"/>
    <cellStyle name="Normal 9 3 5 2 3" xfId="8377" xr:uid="{1F40E3BC-AE2B-4E94-A9D5-6244C44FA17B}"/>
    <cellStyle name="Normal 9 3 5 2 3 2" xfId="21059" xr:uid="{6C5C9112-039D-4675-A13A-4B3ACBE3299C}"/>
    <cellStyle name="Normal 9 3 5 2 3 2 2" xfId="46551" xr:uid="{9137AEAB-04DE-4ADE-8464-88A70A00D58D}"/>
    <cellStyle name="Normal 9 3 5 2 3 3" xfId="33960" xr:uid="{9BC2B7FC-817D-4749-A5F7-231C70168DCD}"/>
    <cellStyle name="Normal 9 3 5 2 4" xfId="14781" xr:uid="{DF9C8198-2782-4C6B-B6FB-1514817EAAA7}"/>
    <cellStyle name="Normal 9 3 5 2 4 2" xfId="40273" xr:uid="{7B5E0751-2A7C-4C14-80C1-AD11FB12276A}"/>
    <cellStyle name="Normal 9 3 5 2 5" xfId="27682" xr:uid="{8D8490C5-99DB-4D09-B754-E32FEB248FB9}"/>
    <cellStyle name="Normal 9 3 5 3" xfId="3916" xr:uid="{CDAE7A9F-94D8-48E4-AB74-62772019A1E8}"/>
    <cellStyle name="Normal 9 3 5 3 2" xfId="10209" xr:uid="{5BADCE90-7AF3-4DD1-821D-07B0649CAB10}"/>
    <cellStyle name="Normal 9 3 5 3 2 2" xfId="22891" xr:uid="{B842BE3E-A7EF-4EF0-B72F-66CC66B97BD0}"/>
    <cellStyle name="Normal 9 3 5 3 2 2 2" xfId="48383" xr:uid="{DA05CAB3-F45B-4A63-B97C-3F3E5149A7F1}"/>
    <cellStyle name="Normal 9 3 5 3 2 3" xfId="35792" xr:uid="{D0BD9EF3-1DB3-4EBD-9730-4813A7DB44E0}"/>
    <cellStyle name="Normal 9 3 5 3 3" xfId="16613" xr:uid="{0587F07B-A539-4B0A-8AF1-C877847D258A}"/>
    <cellStyle name="Normal 9 3 5 3 3 2" xfId="42105" xr:uid="{63590F84-4243-4303-9404-74976B4BC555}"/>
    <cellStyle name="Normal 9 3 5 3 4" xfId="29514" xr:uid="{F9B75989-FE8F-4DBF-A4BB-AFBA00D16741}"/>
    <cellStyle name="Normal 9 3 5 4" xfId="7070" xr:uid="{F22E5F15-150E-4C3D-9CF2-37657DE7B45A}"/>
    <cellStyle name="Normal 9 3 5 4 2" xfId="19752" xr:uid="{52C14C0C-3096-49BD-A853-BBFB34C5C1A1}"/>
    <cellStyle name="Normal 9 3 5 4 2 2" xfId="45244" xr:uid="{CA0ED80A-3184-4158-8EFF-21AA2EC4560A}"/>
    <cellStyle name="Normal 9 3 5 4 3" xfId="32653" xr:uid="{010D12D7-18F3-4AC6-80BF-4FF31BBD2DB4}"/>
    <cellStyle name="Normal 9 3 5 5" xfId="13474" xr:uid="{859BDE17-A9C2-4D92-8DF1-59037C7F839D}"/>
    <cellStyle name="Normal 9 3 5 5 2" xfId="38966" xr:uid="{18686FA3-12DA-40DF-AE95-E544BB6AC242}"/>
    <cellStyle name="Normal 9 3 5 6" xfId="26375" xr:uid="{1C685382-0FA8-4FCC-8F3F-AEB87C8521DA}"/>
    <cellStyle name="Normal 9 3 6" xfId="1807" xr:uid="{355D5FBA-A5D2-42A3-BE4C-83A7D08A04C1}"/>
    <cellStyle name="Normal 9 3 6 2" xfId="4961" xr:uid="{A01FD40C-F686-41EE-AEBB-2E17C571E5D2}"/>
    <cellStyle name="Normal 9 3 6 2 2" xfId="11254" xr:uid="{1B6A168A-6656-4FED-9039-C46650BB6F4E}"/>
    <cellStyle name="Normal 9 3 6 2 2 2" xfId="23936" xr:uid="{59722A44-0F46-4295-A3A9-166BC23EC52C}"/>
    <cellStyle name="Normal 9 3 6 2 2 2 2" xfId="49428" xr:uid="{9058B36C-BA5A-4A41-98D9-0E1E6759FD5E}"/>
    <cellStyle name="Normal 9 3 6 2 2 3" xfId="36837" xr:uid="{E2CCA756-3E6A-4E9B-A289-213F654C847A}"/>
    <cellStyle name="Normal 9 3 6 2 3" xfId="17658" xr:uid="{6B76C3D7-CA2D-445E-8378-E8EF535A0359}"/>
    <cellStyle name="Normal 9 3 6 2 3 2" xfId="43150" xr:uid="{C1F09BE0-1AB1-48CA-8EF1-2733F7F02F45}"/>
    <cellStyle name="Normal 9 3 6 2 4" xfId="30559" xr:uid="{0E3C7421-FAE4-41E3-A783-5A7153AC3012}"/>
    <cellStyle name="Normal 9 3 6 3" xfId="8115" xr:uid="{77F2E4D7-E750-46BA-8DA4-40EF712E54F4}"/>
    <cellStyle name="Normal 9 3 6 3 2" xfId="20797" xr:uid="{386664CF-2D57-4CA3-A9B8-4AC8B375911E}"/>
    <cellStyle name="Normal 9 3 6 3 2 2" xfId="46289" xr:uid="{2728E565-DFE8-4E1B-905A-F0B4441BB1EA}"/>
    <cellStyle name="Normal 9 3 6 3 3" xfId="33698" xr:uid="{F591C105-82DF-4F4C-81CD-F26B2F27A625}"/>
    <cellStyle name="Normal 9 3 6 4" xfId="14519" xr:uid="{85E73A51-3886-45F1-B7F0-E49CBC9D7035}"/>
    <cellStyle name="Normal 9 3 6 4 2" xfId="40011" xr:uid="{983D62E4-083A-4B42-88FB-501232E248BC}"/>
    <cellStyle name="Normal 9 3 6 5" xfId="27420" xr:uid="{1A367192-AC20-471C-9218-A24DAE150654}"/>
    <cellStyle name="Normal 9 3 7" xfId="1285" xr:uid="{B4142DE9-E8B5-4F9B-B9E6-43F79A1F318D}"/>
    <cellStyle name="Normal 9 3 7 2" xfId="4439" xr:uid="{C952280F-CB9B-4DAD-AE30-1B19CC59594C}"/>
    <cellStyle name="Normal 9 3 7 2 2" xfId="10732" xr:uid="{09D1AE3F-6D0B-4925-BFE2-644DC1973B5B}"/>
    <cellStyle name="Normal 9 3 7 2 2 2" xfId="23414" xr:uid="{8C526E22-B5CE-4DE0-8B20-C617A3EB772C}"/>
    <cellStyle name="Normal 9 3 7 2 2 2 2" xfId="48906" xr:uid="{778F8286-C315-4505-9313-F1B56FE327E6}"/>
    <cellStyle name="Normal 9 3 7 2 2 3" xfId="36315" xr:uid="{0C42229B-C254-4FC2-91B5-AAF4AE86EE96}"/>
    <cellStyle name="Normal 9 3 7 2 3" xfId="17136" xr:uid="{AED22EEA-BFE6-4E10-8D47-D7D900B4DF10}"/>
    <cellStyle name="Normal 9 3 7 2 3 2" xfId="42628" xr:uid="{9648DE30-7DD0-40E0-A667-5884C1511CF4}"/>
    <cellStyle name="Normal 9 3 7 2 4" xfId="30037" xr:uid="{DC734350-B0CC-4E64-9BFF-E2B8E282F67F}"/>
    <cellStyle name="Normal 9 3 7 3" xfId="7593" xr:uid="{846D4F0F-B526-4893-AE68-B25A96032430}"/>
    <cellStyle name="Normal 9 3 7 3 2" xfId="20275" xr:uid="{626B8A6A-928B-4EFF-86D3-B7F5B4996A65}"/>
    <cellStyle name="Normal 9 3 7 3 2 2" xfId="45767" xr:uid="{349C7505-42AB-4802-9D3E-C7A4F403E43C}"/>
    <cellStyle name="Normal 9 3 7 3 3" xfId="33176" xr:uid="{1C1EAE1A-A665-4089-AF30-4F6BD18A03C2}"/>
    <cellStyle name="Normal 9 3 7 4" xfId="13997" xr:uid="{09C9832F-8F6D-443B-9D4D-6D1A0F7E6AC4}"/>
    <cellStyle name="Normal 9 3 7 4 2" xfId="39489" xr:uid="{9188D237-550B-48E9-8348-7BC268C561ED}"/>
    <cellStyle name="Normal 9 3 7 5" xfId="26898" xr:uid="{AB60F8C9-101C-4DDB-9855-17EA43D4630C}"/>
    <cellStyle name="Normal 9 3 8" xfId="2592" xr:uid="{4E7A9B95-8A68-4678-84D9-482C118F5B5B}"/>
    <cellStyle name="Normal 9 3 8 2" xfId="5746" xr:uid="{EAF8BAC1-2774-4453-BFA4-89BA7D7353E2}"/>
    <cellStyle name="Normal 9 3 8 2 2" xfId="12039" xr:uid="{93CDFBCA-942F-4EC8-9E32-5946BA8096E3}"/>
    <cellStyle name="Normal 9 3 8 2 2 2" xfId="24721" xr:uid="{571049B8-8984-4D3A-8A07-965AA489FF80}"/>
    <cellStyle name="Normal 9 3 8 2 2 2 2" xfId="50213" xr:uid="{8268CBA2-D95A-4387-998F-22BE4FD819C4}"/>
    <cellStyle name="Normal 9 3 8 2 2 3" xfId="37622" xr:uid="{938BB150-57BF-4B94-A33C-7C6E721B5650}"/>
    <cellStyle name="Normal 9 3 8 2 3" xfId="18443" xr:uid="{8FAC364C-2775-4909-9C77-7AE9AA7AA89C}"/>
    <cellStyle name="Normal 9 3 8 2 3 2" xfId="43935" xr:uid="{CAFEDFAA-E78E-40BA-B512-90C5E1CB3A7A}"/>
    <cellStyle name="Normal 9 3 8 2 4" xfId="31344" xr:uid="{DB207D32-D9E4-41AF-95A8-1A671786C35C}"/>
    <cellStyle name="Normal 9 3 8 3" xfId="8900" xr:uid="{0F84F5C1-E65F-4C67-8C4B-6E809C16ABC4}"/>
    <cellStyle name="Normal 9 3 8 3 2" xfId="21582" xr:uid="{3D3143B0-D853-4817-8770-B5631A98E137}"/>
    <cellStyle name="Normal 9 3 8 3 2 2" xfId="47074" xr:uid="{B5299866-A067-4230-9A41-7C813EA5BCA7}"/>
    <cellStyle name="Normal 9 3 8 3 3" xfId="34483" xr:uid="{5ADA40F8-7A15-425B-8856-25F15E211E84}"/>
    <cellStyle name="Normal 9 3 8 4" xfId="15304" xr:uid="{7F85FA38-305B-4546-9858-D86F73660A0E}"/>
    <cellStyle name="Normal 9 3 8 4 2" xfId="40796" xr:uid="{7FD4357C-0B32-47D7-9740-E9F1748BD708}"/>
    <cellStyle name="Normal 9 3 8 5" xfId="28205" xr:uid="{EFC7628F-0B96-473B-8BEE-27746EDE78DE}"/>
    <cellStyle name="Normal 9 3 9" xfId="3115" xr:uid="{41C7F42C-B55F-4913-8F9F-35146E8227C3}"/>
    <cellStyle name="Normal 9 3 9 2" xfId="6269" xr:uid="{C2223F89-6E69-4FA8-B13E-4DAB7A534B2D}"/>
    <cellStyle name="Normal 9 3 9 2 2" xfId="12562" xr:uid="{8C2AB043-D0BC-42F6-890A-1C3256663F47}"/>
    <cellStyle name="Normal 9 3 9 2 2 2" xfId="25244" xr:uid="{56D4A859-61CC-4129-9557-4CCBCD0235CA}"/>
    <cellStyle name="Normal 9 3 9 2 2 2 2" xfId="50736" xr:uid="{7BF986BA-A292-4096-80D1-5B72D90F54EE}"/>
    <cellStyle name="Normal 9 3 9 2 2 3" xfId="38145" xr:uid="{77FADB89-E0CD-4F25-8A96-9F7C9EDECC43}"/>
    <cellStyle name="Normal 9 3 9 2 3" xfId="18966" xr:uid="{15A9BE54-109C-45C8-88EB-55F6747D952B}"/>
    <cellStyle name="Normal 9 3 9 2 3 2" xfId="44458" xr:uid="{38F5AB5F-7C6E-48BC-B2CF-993D39E760BC}"/>
    <cellStyle name="Normal 9 3 9 2 4" xfId="31867" xr:uid="{6DEA6633-4C5C-4D18-BF12-F4120CDC5A98}"/>
    <cellStyle name="Normal 9 3 9 3" xfId="9423" xr:uid="{13F7DC51-A95A-43E1-9BC3-D363B79C810D}"/>
    <cellStyle name="Normal 9 3 9 3 2" xfId="22105" xr:uid="{91F774D3-83CE-4BE1-A507-C039A7CB5DB3}"/>
    <cellStyle name="Normal 9 3 9 3 2 2" xfId="47597" xr:uid="{F39C658A-900F-4041-99C8-ABD23C37FB50}"/>
    <cellStyle name="Normal 9 3 9 3 3" xfId="35006" xr:uid="{E27E4C11-B098-45C1-BC65-7E14479102FC}"/>
    <cellStyle name="Normal 9 3 9 4" xfId="15827" xr:uid="{1E91D1E3-2CB4-4A97-952A-7DFB6A96EF17}"/>
    <cellStyle name="Normal 9 3 9 4 2" xfId="41319" xr:uid="{A05590A9-BB68-4EBA-9FA2-5B0B54EF9622}"/>
    <cellStyle name="Normal 9 3 9 5" xfId="28728" xr:uid="{3DBEA571-06D0-4397-A69D-EAF7934A7D5B}"/>
    <cellStyle name="Normal 9 4" xfId="466" xr:uid="{D92C9ACA-1142-4BF6-A010-B10AD65B029D}"/>
    <cellStyle name="Normal 9 4 10" xfId="6789" xr:uid="{FD0911F0-9D48-4E45-8348-533D6CF27F41}"/>
    <cellStyle name="Normal 9 4 10 2" xfId="19471" xr:uid="{60AD9B9C-FF44-4783-96BB-23FF0FA267D4}"/>
    <cellStyle name="Normal 9 4 10 2 2" xfId="44963" xr:uid="{5BF97D47-897F-41EA-921C-482E1F2A3972}"/>
    <cellStyle name="Normal 9 4 10 3" xfId="32372" xr:uid="{D8E899AF-57F7-40E3-AF5E-8535C6B74BBA}"/>
    <cellStyle name="Normal 9 4 11" xfId="13193" xr:uid="{7366C02C-8211-4384-B41A-47440286621A}"/>
    <cellStyle name="Normal 9 4 11 2" xfId="38685" xr:uid="{3D9A5264-178A-41AD-9070-C53EF004242F}"/>
    <cellStyle name="Normal 9 4 12" xfId="26094" xr:uid="{16BBC94A-8765-48BB-89C6-59EF321B6EFD}"/>
    <cellStyle name="Normal 9 4 2" xfId="625" xr:uid="{B51C1C60-2A16-4C88-A3B2-32222AB6DD34}"/>
    <cellStyle name="Normal 9 4 2 10" xfId="13352" xr:uid="{37A4F060-9E9E-42BF-BB10-15450D0F3EA0}"/>
    <cellStyle name="Normal 9 4 2 10 2" xfId="38844" xr:uid="{12994E42-4BCA-43A1-ACEC-D60F584DE3BA}"/>
    <cellStyle name="Normal 9 4 2 11" xfId="26253" xr:uid="{E5042387-5989-4488-9457-99580FDCE264}"/>
    <cellStyle name="Normal 9 4 2 2" xfId="1162" xr:uid="{2DD69BE0-20E1-40CA-9FD4-177EE9276C5B}"/>
    <cellStyle name="Normal 9 4 2 2 2" xfId="2469" xr:uid="{9514EFAF-0EF0-450D-8001-4B240BD9AB7D}"/>
    <cellStyle name="Normal 9 4 2 2 2 2" xfId="5623" xr:uid="{049C3CCB-4960-494C-9A5C-1C485F48FDBB}"/>
    <cellStyle name="Normal 9 4 2 2 2 2 2" xfId="11916" xr:uid="{CD45509E-1CD7-4780-8643-C52AF4BA1E9D}"/>
    <cellStyle name="Normal 9 4 2 2 2 2 2 2" xfId="24598" xr:uid="{25A0DABC-1A41-4BC1-9DBB-801821B24EED}"/>
    <cellStyle name="Normal 9 4 2 2 2 2 2 2 2" xfId="50090" xr:uid="{DDB3093C-7A0C-427D-AC78-F358ACB14CEC}"/>
    <cellStyle name="Normal 9 4 2 2 2 2 2 3" xfId="37499" xr:uid="{246129B6-CC91-4765-AB95-F6600C8EE6B6}"/>
    <cellStyle name="Normal 9 4 2 2 2 2 3" xfId="18320" xr:uid="{4CA7CE49-8DBE-4A5E-ACE6-6341A5E6A68B}"/>
    <cellStyle name="Normal 9 4 2 2 2 2 3 2" xfId="43812" xr:uid="{F387B825-D9CB-4BC9-AB1B-AE3916F2647A}"/>
    <cellStyle name="Normal 9 4 2 2 2 2 4" xfId="31221" xr:uid="{141FEE35-B34F-4243-BB78-6D83B32816C4}"/>
    <cellStyle name="Normal 9 4 2 2 2 3" xfId="8777" xr:uid="{1933F764-4CC2-4EF5-832C-01233139480A}"/>
    <cellStyle name="Normal 9 4 2 2 2 3 2" xfId="21459" xr:uid="{5CAFBBB5-8DFD-41A1-8F90-76254F73907E}"/>
    <cellStyle name="Normal 9 4 2 2 2 3 2 2" xfId="46951" xr:uid="{F7F0CB96-386D-4631-B458-7BE6169B3124}"/>
    <cellStyle name="Normal 9 4 2 2 2 3 3" xfId="34360" xr:uid="{20ECAC0B-C2FB-4238-BACD-E13297406095}"/>
    <cellStyle name="Normal 9 4 2 2 2 4" xfId="15181" xr:uid="{E6391C26-14DD-43B4-A2B1-C88140E1D317}"/>
    <cellStyle name="Normal 9 4 2 2 2 4 2" xfId="40673" xr:uid="{20DD51C8-93F2-42DA-A0E6-F6FF579EA263}"/>
    <cellStyle name="Normal 9 4 2 2 2 5" xfId="28082" xr:uid="{AFF6CEE0-E7B8-4D33-B2DE-391BAB38FBBC}"/>
    <cellStyle name="Normal 9 4 2 2 3" xfId="1686" xr:uid="{6A6F10F4-18DC-4E00-998B-4F986627420F}"/>
    <cellStyle name="Normal 9 4 2 2 3 2" xfId="4840" xr:uid="{CF865EF8-584E-487A-8BCE-81B4327F883E}"/>
    <cellStyle name="Normal 9 4 2 2 3 2 2" xfId="11133" xr:uid="{2EC2B828-5552-4C8F-8EA8-97D360EB96B4}"/>
    <cellStyle name="Normal 9 4 2 2 3 2 2 2" xfId="23815" xr:uid="{48A6E54E-9AF9-4BD0-8644-1456D646F2A2}"/>
    <cellStyle name="Normal 9 4 2 2 3 2 2 2 2" xfId="49307" xr:uid="{EB3BCAFC-7777-4C48-A6E6-86A1941524BF}"/>
    <cellStyle name="Normal 9 4 2 2 3 2 2 3" xfId="36716" xr:uid="{6C830DE2-07C9-467D-B0C9-2BCA617832A9}"/>
    <cellStyle name="Normal 9 4 2 2 3 2 3" xfId="17537" xr:uid="{1BD762C5-52A8-4A95-BD0F-F19751267389}"/>
    <cellStyle name="Normal 9 4 2 2 3 2 3 2" xfId="43029" xr:uid="{586BCFF5-08EA-4C66-A172-13CB49B6B8A2}"/>
    <cellStyle name="Normal 9 4 2 2 3 2 4" xfId="30438" xr:uid="{488DCBE4-236D-40DC-B86F-33EF49CBC4BF}"/>
    <cellStyle name="Normal 9 4 2 2 3 3" xfId="7994" xr:uid="{9C33E591-1950-4978-8E49-701BDC43ED5B}"/>
    <cellStyle name="Normal 9 4 2 2 3 3 2" xfId="20676" xr:uid="{AC5CB1E2-AB90-46A0-BE58-8EF4556280BD}"/>
    <cellStyle name="Normal 9 4 2 2 3 3 2 2" xfId="46168" xr:uid="{10029041-5AAE-4607-9C41-C0A3E4C9A156}"/>
    <cellStyle name="Normal 9 4 2 2 3 3 3" xfId="33577" xr:uid="{D982E5A5-5A40-449B-A2DE-B5524CF0985C}"/>
    <cellStyle name="Normal 9 4 2 2 3 4" xfId="14398" xr:uid="{7887EE53-7C70-4791-8932-E8C9BD678156}"/>
    <cellStyle name="Normal 9 4 2 2 3 4 2" xfId="39890" xr:uid="{55CB2595-D6BA-4F27-8922-24A3F46C9E10}"/>
    <cellStyle name="Normal 9 4 2 2 3 5" xfId="27299" xr:uid="{2C0911E4-927B-4975-B1DE-11AA2E969068}"/>
    <cellStyle name="Normal 9 4 2 2 4" xfId="2993" xr:uid="{A7BF7640-FAA2-40DD-BBF1-180C672ACF52}"/>
    <cellStyle name="Normal 9 4 2 2 4 2" xfId="6147" xr:uid="{ABF129AB-8327-435B-B692-6B7CD33A03FC}"/>
    <cellStyle name="Normal 9 4 2 2 4 2 2" xfId="12440" xr:uid="{CB2C7F0D-4968-40CB-86F5-794398A8E8FD}"/>
    <cellStyle name="Normal 9 4 2 2 4 2 2 2" xfId="25122" xr:uid="{4DAAA452-71CB-4CB7-BF1C-661D2FE0B174}"/>
    <cellStyle name="Normal 9 4 2 2 4 2 2 2 2" xfId="50614" xr:uid="{AE4BB189-1F2C-4292-803D-592AA7B303C4}"/>
    <cellStyle name="Normal 9 4 2 2 4 2 2 3" xfId="38023" xr:uid="{90400451-094F-4D88-85B1-D156F59695AC}"/>
    <cellStyle name="Normal 9 4 2 2 4 2 3" xfId="18844" xr:uid="{758CF325-6E8C-4580-A9C6-043CF8E5A17D}"/>
    <cellStyle name="Normal 9 4 2 2 4 2 3 2" xfId="44336" xr:uid="{64853F2A-3B18-430E-B3B0-D1DE22D91DC9}"/>
    <cellStyle name="Normal 9 4 2 2 4 2 4" xfId="31745" xr:uid="{4CAE9097-47D7-4E6A-9B2D-12CF65D4006E}"/>
    <cellStyle name="Normal 9 4 2 2 4 3" xfId="9301" xr:uid="{5ACCB4DE-E0B0-432C-992C-8F762CE62C5C}"/>
    <cellStyle name="Normal 9 4 2 2 4 3 2" xfId="21983" xr:uid="{2F11FA0D-6938-4418-B880-D123E2A357B7}"/>
    <cellStyle name="Normal 9 4 2 2 4 3 2 2" xfId="47475" xr:uid="{58ADE4C5-3681-48CF-80AB-47EF332848C6}"/>
    <cellStyle name="Normal 9 4 2 2 4 3 3" xfId="34884" xr:uid="{2011D237-F0A5-43F5-9021-89B4585D1B31}"/>
    <cellStyle name="Normal 9 4 2 2 4 4" xfId="15705" xr:uid="{CCE13242-8A24-407C-9DDE-AF593186EECB}"/>
    <cellStyle name="Normal 9 4 2 2 4 4 2" xfId="41197" xr:uid="{E8E55B25-9690-48AE-8CF7-426CC44CD291}"/>
    <cellStyle name="Normal 9 4 2 2 4 5" xfId="28606" xr:uid="{38DBDB64-F4EC-4D51-B1B9-D9D8EDB40F59}"/>
    <cellStyle name="Normal 9 4 2 2 5" xfId="3516" xr:uid="{82E3FC04-B627-4E14-84C8-57BE5B70B58A}"/>
    <cellStyle name="Normal 9 4 2 2 5 2" xfId="6670" xr:uid="{0F4E88CE-5F5D-49E8-BD4D-B3341D4EBD21}"/>
    <cellStyle name="Normal 9 4 2 2 5 2 2" xfId="12963" xr:uid="{65270013-7D6C-46E9-B5C8-F001FEC98D80}"/>
    <cellStyle name="Normal 9 4 2 2 5 2 2 2" xfId="25645" xr:uid="{7024E984-51B7-478B-A24D-4FE52F0A773E}"/>
    <cellStyle name="Normal 9 4 2 2 5 2 2 2 2" xfId="51137" xr:uid="{18FB7F2E-2B63-423F-A361-6AD58D48CB59}"/>
    <cellStyle name="Normal 9 4 2 2 5 2 2 3" xfId="38546" xr:uid="{5F5E5611-5604-45A3-BC4C-B00E8D0DC136}"/>
    <cellStyle name="Normal 9 4 2 2 5 2 3" xfId="19367" xr:uid="{926F992F-CEFA-4EC9-BAFC-9070E6ADD8B4}"/>
    <cellStyle name="Normal 9 4 2 2 5 2 3 2" xfId="44859" xr:uid="{FB955E32-EE26-4028-8050-7016C385E748}"/>
    <cellStyle name="Normal 9 4 2 2 5 2 4" xfId="32268" xr:uid="{A4CAAC80-7555-4862-B5B9-79FE9FFF1753}"/>
    <cellStyle name="Normal 9 4 2 2 5 3" xfId="9824" xr:uid="{707F3E99-6B83-476E-857D-B6E248508C36}"/>
    <cellStyle name="Normal 9 4 2 2 5 3 2" xfId="22506" xr:uid="{ACB82CA3-71BB-4EBC-AD3D-DF09BF2AF539}"/>
    <cellStyle name="Normal 9 4 2 2 5 3 2 2" xfId="47998" xr:uid="{F8268DD8-1DE9-4D91-82F5-FE631E5C31D7}"/>
    <cellStyle name="Normal 9 4 2 2 5 3 3" xfId="35407" xr:uid="{82195775-AC41-4EBA-84B5-B5B401D6F927}"/>
    <cellStyle name="Normal 9 4 2 2 5 4" xfId="16228" xr:uid="{C02AF09D-395B-4F9B-AE4D-FB9AE8F7BBD2}"/>
    <cellStyle name="Normal 9 4 2 2 5 4 2" xfId="41720" xr:uid="{10082723-46A6-421F-89A0-A76A3621BA92}"/>
    <cellStyle name="Normal 9 4 2 2 5 5" xfId="29129" xr:uid="{5C95C0E5-36F2-4763-9FA3-893AE8AAE83F}"/>
    <cellStyle name="Normal 9 4 2 2 6" xfId="4316" xr:uid="{03B15DC3-2779-4FCC-8743-7F79FE49E32F}"/>
    <cellStyle name="Normal 9 4 2 2 6 2" xfId="10609" xr:uid="{21250105-8E77-48E2-96FF-162F49BFFD09}"/>
    <cellStyle name="Normal 9 4 2 2 6 2 2" xfId="23291" xr:uid="{2E17E5B8-4D4E-461E-8326-263B7C94A9FD}"/>
    <cellStyle name="Normal 9 4 2 2 6 2 2 2" xfId="48783" xr:uid="{1F4A4BB5-6A0D-44FC-AD20-43DFBDAEA950}"/>
    <cellStyle name="Normal 9 4 2 2 6 2 3" xfId="36192" xr:uid="{9A373BA3-7F89-4B3A-A198-543B6BFA13ED}"/>
    <cellStyle name="Normal 9 4 2 2 6 3" xfId="17013" xr:uid="{D608E2D3-5F0D-4D49-AD1A-D0BAD1B1A908}"/>
    <cellStyle name="Normal 9 4 2 2 6 3 2" xfId="42505" xr:uid="{A361083B-72C8-499B-9EEB-C5BA710F891B}"/>
    <cellStyle name="Normal 9 4 2 2 6 4" xfId="29914" xr:uid="{B34E7AFC-474F-42F4-8957-3F0D61A02D83}"/>
    <cellStyle name="Normal 9 4 2 2 7" xfId="7470" xr:uid="{CB8862BE-06C2-400F-9131-2256D5BA80F5}"/>
    <cellStyle name="Normal 9 4 2 2 7 2" xfId="20152" xr:uid="{39F75448-4B8C-45FE-9431-DEEA708B2FD5}"/>
    <cellStyle name="Normal 9 4 2 2 7 2 2" xfId="45644" xr:uid="{656A06A1-5C2E-4080-9248-DE881A3AB91E}"/>
    <cellStyle name="Normal 9 4 2 2 7 3" xfId="33053" xr:uid="{2F0039D8-80EE-481E-A15D-3589102F2AA7}"/>
    <cellStyle name="Normal 9 4 2 2 8" xfId="13874" xr:uid="{DA766B80-22C1-4CDC-A3E6-88EB06105BB6}"/>
    <cellStyle name="Normal 9 4 2 2 8 2" xfId="39366" xr:uid="{29A72401-5BB5-44CF-89BC-32787A7B35AB}"/>
    <cellStyle name="Normal 9 4 2 2 9" xfId="26775" xr:uid="{C7E02B0B-F6F0-4C6B-A456-54DEA66D12C5}"/>
    <cellStyle name="Normal 9 4 2 3" xfId="902" xr:uid="{F78DBA66-51EB-4F5F-85B8-6B856F8518CE}"/>
    <cellStyle name="Normal 9 4 2 3 2" xfId="2209" xr:uid="{77AE6BE1-3386-4441-B386-1D96A4C588EF}"/>
    <cellStyle name="Normal 9 4 2 3 2 2" xfId="5363" xr:uid="{EE88268B-3872-499B-95BC-8CDDE3A76AD9}"/>
    <cellStyle name="Normal 9 4 2 3 2 2 2" xfId="11656" xr:uid="{BC1119DC-0C9A-42A5-834F-1731AF6A2B6D}"/>
    <cellStyle name="Normal 9 4 2 3 2 2 2 2" xfId="24338" xr:uid="{1F9DE164-7EE3-429E-A066-8F4D554EF88E}"/>
    <cellStyle name="Normal 9 4 2 3 2 2 2 2 2" xfId="49830" xr:uid="{28545C86-F914-42BA-B30F-99842689B47A}"/>
    <cellStyle name="Normal 9 4 2 3 2 2 2 3" xfId="37239" xr:uid="{0AF16B4D-1263-4A4B-89FB-3CC4C1A173E4}"/>
    <cellStyle name="Normal 9 4 2 3 2 2 3" xfId="18060" xr:uid="{AC049A95-ACF1-4D34-87C5-7B9060A1893F}"/>
    <cellStyle name="Normal 9 4 2 3 2 2 3 2" xfId="43552" xr:uid="{A96F75A7-F197-4F57-86B2-AC2EA435FB95}"/>
    <cellStyle name="Normal 9 4 2 3 2 2 4" xfId="30961" xr:uid="{2BB7AFD7-2918-48C6-B537-8172484DFB3E}"/>
    <cellStyle name="Normal 9 4 2 3 2 3" xfId="8517" xr:uid="{FF058BF1-A6A9-433C-81FA-17D3182BB089}"/>
    <cellStyle name="Normal 9 4 2 3 2 3 2" xfId="21199" xr:uid="{BDD019CB-E03A-4D78-BFAB-A68FADDAE917}"/>
    <cellStyle name="Normal 9 4 2 3 2 3 2 2" xfId="46691" xr:uid="{C93B1952-1D88-4312-8CB4-B63952F24817}"/>
    <cellStyle name="Normal 9 4 2 3 2 3 3" xfId="34100" xr:uid="{CDDDAE18-209F-493D-8060-ED90F40D1D33}"/>
    <cellStyle name="Normal 9 4 2 3 2 4" xfId="14921" xr:uid="{8D549D06-8341-4A56-9CBB-D867898B4C63}"/>
    <cellStyle name="Normal 9 4 2 3 2 4 2" xfId="40413" xr:uid="{4EFA001E-0805-4987-ABA3-A3B815BAF7C4}"/>
    <cellStyle name="Normal 9 4 2 3 2 5" xfId="27822" xr:uid="{DB3C72D8-EFA0-4AAB-A53B-20A403003C20}"/>
    <cellStyle name="Normal 9 4 2 3 3" xfId="4056" xr:uid="{5D3B2BEF-18FE-406B-AC9C-9E3DB0B25276}"/>
    <cellStyle name="Normal 9 4 2 3 3 2" xfId="10349" xr:uid="{81B9F747-C091-43C7-A940-CA46335E5B8A}"/>
    <cellStyle name="Normal 9 4 2 3 3 2 2" xfId="23031" xr:uid="{C6383573-6AA2-4C30-9019-F08B8E3440C0}"/>
    <cellStyle name="Normal 9 4 2 3 3 2 2 2" xfId="48523" xr:uid="{229960E6-EB16-4A66-9DE1-C6C2A5E4C393}"/>
    <cellStyle name="Normal 9 4 2 3 3 2 3" xfId="35932" xr:uid="{0874E1C8-C57A-4007-A6D8-F370E1EC738E}"/>
    <cellStyle name="Normal 9 4 2 3 3 3" xfId="16753" xr:uid="{0390450C-AEA0-4854-A9A9-38231E01F978}"/>
    <cellStyle name="Normal 9 4 2 3 3 3 2" xfId="42245" xr:uid="{4E90F0E1-3371-4A69-B30E-511003F3804B}"/>
    <cellStyle name="Normal 9 4 2 3 3 4" xfId="29654" xr:uid="{E62B3FA5-9465-4625-AC3E-C762C6FBC130}"/>
    <cellStyle name="Normal 9 4 2 3 4" xfId="7210" xr:uid="{D748E6D8-15B2-4DD3-B923-6247228CC527}"/>
    <cellStyle name="Normal 9 4 2 3 4 2" xfId="19892" xr:uid="{2EDF509B-C736-4AFE-ABB8-606A39FBD970}"/>
    <cellStyle name="Normal 9 4 2 3 4 2 2" xfId="45384" xr:uid="{E2B10A2F-4F90-4013-BFEA-2E1A1CC01532}"/>
    <cellStyle name="Normal 9 4 2 3 4 3" xfId="32793" xr:uid="{61D2D011-0AAD-4354-AD66-D41DA702BBEE}"/>
    <cellStyle name="Normal 9 4 2 3 5" xfId="13614" xr:uid="{37917F11-4E27-4936-8DD9-AD71CCEFD1D2}"/>
    <cellStyle name="Normal 9 4 2 3 5 2" xfId="39106" xr:uid="{BB428648-1F45-4728-AB03-9524405372CF}"/>
    <cellStyle name="Normal 9 4 2 3 6" xfId="26515" xr:uid="{196CBD88-A8E1-4201-8565-C2A37FA782C0}"/>
    <cellStyle name="Normal 9 4 2 4" xfId="1947" xr:uid="{FDA9000F-8E3E-40EE-859B-37D03B0741F0}"/>
    <cellStyle name="Normal 9 4 2 4 2" xfId="5101" xr:uid="{DC9133FE-3A9C-42A8-A5A2-D8294984969A}"/>
    <cellStyle name="Normal 9 4 2 4 2 2" xfId="11394" xr:uid="{37CF195F-AE4B-40EE-A9FF-C4D86D05626D}"/>
    <cellStyle name="Normal 9 4 2 4 2 2 2" xfId="24076" xr:uid="{CD775740-6FCA-4C4E-A10F-F3C94F951AF0}"/>
    <cellStyle name="Normal 9 4 2 4 2 2 2 2" xfId="49568" xr:uid="{9F0FA60A-9C06-43C2-894B-3194712F0F50}"/>
    <cellStyle name="Normal 9 4 2 4 2 2 3" xfId="36977" xr:uid="{1760FC49-50F7-4BC4-99B3-A919BA6E7AD9}"/>
    <cellStyle name="Normal 9 4 2 4 2 3" xfId="17798" xr:uid="{6D43EA0D-A30C-4D73-B4CA-F6ABE34988D8}"/>
    <cellStyle name="Normal 9 4 2 4 2 3 2" xfId="43290" xr:uid="{3BDF29FD-3B96-450A-9239-66B179E822AC}"/>
    <cellStyle name="Normal 9 4 2 4 2 4" xfId="30699" xr:uid="{F1EF2007-A4CB-43AE-9E78-AEFD73A7950F}"/>
    <cellStyle name="Normal 9 4 2 4 3" xfId="8255" xr:uid="{FC2B2BFA-2F59-4BE3-BC5F-CC5003E8216D}"/>
    <cellStyle name="Normal 9 4 2 4 3 2" xfId="20937" xr:uid="{6546725A-0D82-4DCB-AF04-4227A146D9DA}"/>
    <cellStyle name="Normal 9 4 2 4 3 2 2" xfId="46429" xr:uid="{3FA51C7F-EED7-47DC-88C1-037D6C167F35}"/>
    <cellStyle name="Normal 9 4 2 4 3 3" xfId="33838" xr:uid="{2395040D-71C2-4C29-9351-9189DDBB2B28}"/>
    <cellStyle name="Normal 9 4 2 4 4" xfId="14659" xr:uid="{BD2B6CEB-AABD-436E-B7CE-72B1772BDC8F}"/>
    <cellStyle name="Normal 9 4 2 4 4 2" xfId="40151" xr:uid="{751FBC4B-72B2-42A6-9FF7-68499101F3B4}"/>
    <cellStyle name="Normal 9 4 2 4 5" xfId="27560" xr:uid="{E97E6C65-AA2A-467C-B11F-8CFCAF6027A5}"/>
    <cellStyle name="Normal 9 4 2 5" xfId="1425" xr:uid="{B0E147FD-F8E3-4204-BDAC-8872A8C7B0EA}"/>
    <cellStyle name="Normal 9 4 2 5 2" xfId="4579" xr:uid="{1FD3350F-2F3E-45D8-B3A1-E2874ED37895}"/>
    <cellStyle name="Normal 9 4 2 5 2 2" xfId="10872" xr:uid="{2E607818-2404-46B7-B346-9C3DB4895CB3}"/>
    <cellStyle name="Normal 9 4 2 5 2 2 2" xfId="23554" xr:uid="{241EAC4F-D5BA-4CEF-A4D9-DB5CEEB287F2}"/>
    <cellStyle name="Normal 9 4 2 5 2 2 2 2" xfId="49046" xr:uid="{9E0F0E9F-CC40-4460-9A5D-F649680CFFD0}"/>
    <cellStyle name="Normal 9 4 2 5 2 2 3" xfId="36455" xr:uid="{C2BE5CEF-F6DE-498D-8B87-1F7D8D683120}"/>
    <cellStyle name="Normal 9 4 2 5 2 3" xfId="17276" xr:uid="{DE0E7445-AF1C-4CEB-BB4C-0AE7B3BBE2F9}"/>
    <cellStyle name="Normal 9 4 2 5 2 3 2" xfId="42768" xr:uid="{3C80C9A8-C897-4231-9540-6AA09B4C7605}"/>
    <cellStyle name="Normal 9 4 2 5 2 4" xfId="30177" xr:uid="{E6C82046-B10A-44E0-87B6-BE27FFC6D0CD}"/>
    <cellStyle name="Normal 9 4 2 5 3" xfId="7733" xr:uid="{3A10C057-1361-4783-A85C-A201B4CA7284}"/>
    <cellStyle name="Normal 9 4 2 5 3 2" xfId="20415" xr:uid="{6E2C7A80-6251-4E67-81D6-8C91B205AE2E}"/>
    <cellStyle name="Normal 9 4 2 5 3 2 2" xfId="45907" xr:uid="{FA431F36-94BB-4D4E-8F1A-6CE057CB7D95}"/>
    <cellStyle name="Normal 9 4 2 5 3 3" xfId="33316" xr:uid="{0FD9FEA9-563E-4886-82F9-30D582213D3A}"/>
    <cellStyle name="Normal 9 4 2 5 4" xfId="14137" xr:uid="{9A0A0704-39FA-479B-9EC5-AD0FFA2C4357}"/>
    <cellStyle name="Normal 9 4 2 5 4 2" xfId="39629" xr:uid="{E6253287-4905-4E76-8398-149D2150BB1F}"/>
    <cellStyle name="Normal 9 4 2 5 5" xfId="27038" xr:uid="{79D5B677-79B5-40FD-8E09-5C8B3CD879A1}"/>
    <cellStyle name="Normal 9 4 2 6" xfId="2732" xr:uid="{A9D05B14-E175-43E0-894E-3DFA790E750A}"/>
    <cellStyle name="Normal 9 4 2 6 2" xfId="5886" xr:uid="{DB992303-72D8-4394-9762-F2407C30CF26}"/>
    <cellStyle name="Normal 9 4 2 6 2 2" xfId="12179" xr:uid="{EE5400FE-B208-4A34-A0E3-5EE43DC039F6}"/>
    <cellStyle name="Normal 9 4 2 6 2 2 2" xfId="24861" xr:uid="{EFEA2265-FE05-477C-AB8B-1F9EF5EF1918}"/>
    <cellStyle name="Normal 9 4 2 6 2 2 2 2" xfId="50353" xr:uid="{AE4B4F8A-B404-4222-891E-2ACE4D721C08}"/>
    <cellStyle name="Normal 9 4 2 6 2 2 3" xfId="37762" xr:uid="{74A04216-5B29-4F97-A3CD-9EC42A0EAC77}"/>
    <cellStyle name="Normal 9 4 2 6 2 3" xfId="18583" xr:uid="{C559D505-C9DA-4D0F-803B-F72A3E8310F3}"/>
    <cellStyle name="Normal 9 4 2 6 2 3 2" xfId="44075" xr:uid="{6522919D-C493-4E7B-B1DE-01E9EB66FCD6}"/>
    <cellStyle name="Normal 9 4 2 6 2 4" xfId="31484" xr:uid="{21F1578E-B538-4594-84E1-0DA229D699D0}"/>
    <cellStyle name="Normal 9 4 2 6 3" xfId="9040" xr:uid="{ACD3C0E3-E230-4983-989F-E6EE385C3D8C}"/>
    <cellStyle name="Normal 9 4 2 6 3 2" xfId="21722" xr:uid="{B61B0F14-82AE-4C92-A72C-18BEFC7B9C4B}"/>
    <cellStyle name="Normal 9 4 2 6 3 2 2" xfId="47214" xr:uid="{DE67BBA1-B0D6-4F40-965E-AED018401824}"/>
    <cellStyle name="Normal 9 4 2 6 3 3" xfId="34623" xr:uid="{643CA5E0-EB36-4FEF-9B3D-603829D0D5ED}"/>
    <cellStyle name="Normal 9 4 2 6 4" xfId="15444" xr:uid="{2876A75C-3D92-46A5-94F3-1419E5597C0F}"/>
    <cellStyle name="Normal 9 4 2 6 4 2" xfId="40936" xr:uid="{21A22E64-068F-4285-89C4-C6EA6D0846BE}"/>
    <cellStyle name="Normal 9 4 2 6 5" xfId="28345" xr:uid="{364FCB02-658C-43B5-9022-C8B9CAD37937}"/>
    <cellStyle name="Normal 9 4 2 7" xfId="3255" xr:uid="{DA31CD52-BA4A-408B-9A6C-53E6E561B842}"/>
    <cellStyle name="Normal 9 4 2 7 2" xfId="6409" xr:uid="{85850C7C-5CD1-4365-9D6B-BC06AAB88B16}"/>
    <cellStyle name="Normal 9 4 2 7 2 2" xfId="12702" xr:uid="{E1FE3A2A-7E39-417A-90DC-D8E7C87B0003}"/>
    <cellStyle name="Normal 9 4 2 7 2 2 2" xfId="25384" xr:uid="{729B0789-7938-4D25-A5FE-8465DBDFE4E7}"/>
    <cellStyle name="Normal 9 4 2 7 2 2 2 2" xfId="50876" xr:uid="{CA56F63B-B6A4-44CF-A92C-954DA9FB9A84}"/>
    <cellStyle name="Normal 9 4 2 7 2 2 3" xfId="38285" xr:uid="{6397EB6C-D9F3-4AE8-9C5D-9B81109DC1FF}"/>
    <cellStyle name="Normal 9 4 2 7 2 3" xfId="19106" xr:uid="{DAD8815B-6BDD-4635-9977-3C6693A7B675}"/>
    <cellStyle name="Normal 9 4 2 7 2 3 2" xfId="44598" xr:uid="{43E2A224-BC85-4B04-BB03-3FD6269B4989}"/>
    <cellStyle name="Normal 9 4 2 7 2 4" xfId="32007" xr:uid="{AD5ACD84-776B-4F94-A641-8369B7C27382}"/>
    <cellStyle name="Normal 9 4 2 7 3" xfId="9563" xr:uid="{1C737D75-ABEB-408B-BBE9-621B570017DA}"/>
    <cellStyle name="Normal 9 4 2 7 3 2" xfId="22245" xr:uid="{20EF48BA-3F32-43D0-962C-40FF92A78192}"/>
    <cellStyle name="Normal 9 4 2 7 3 2 2" xfId="47737" xr:uid="{E4739765-0DBB-4712-A279-73B6D2DD2425}"/>
    <cellStyle name="Normal 9 4 2 7 3 3" xfId="35146" xr:uid="{587624B0-F43E-4DF8-BFF5-F83C86313151}"/>
    <cellStyle name="Normal 9 4 2 7 4" xfId="15967" xr:uid="{D6D13A02-1EFE-42BF-8107-7ACD22FF0294}"/>
    <cellStyle name="Normal 9 4 2 7 4 2" xfId="41459" xr:uid="{70BDCA2D-29D5-4A49-A831-E9CA52B57284}"/>
    <cellStyle name="Normal 9 4 2 7 5" xfId="28868" xr:uid="{32DB4E56-CF2B-4CD4-B07D-CA0E6F34D34C}"/>
    <cellStyle name="Normal 9 4 2 8" xfId="3794" xr:uid="{028A0293-650F-4FA3-A2B5-7C009EA79370}"/>
    <cellStyle name="Normal 9 4 2 8 2" xfId="10087" xr:uid="{8BB03F55-BDE7-42F2-A86B-94D107D6A2D5}"/>
    <cellStyle name="Normal 9 4 2 8 2 2" xfId="22769" xr:uid="{D03B2AB2-24C6-4862-AD29-657AA73E577F}"/>
    <cellStyle name="Normal 9 4 2 8 2 2 2" xfId="48261" xr:uid="{3C360EF1-0BF4-495D-AEB5-CD04642A837E}"/>
    <cellStyle name="Normal 9 4 2 8 2 3" xfId="35670" xr:uid="{CCCB876C-69DD-4866-87D4-DF15F341845F}"/>
    <cellStyle name="Normal 9 4 2 8 3" xfId="16491" xr:uid="{35191EC0-5E83-47B1-B641-CFF763C6A7BD}"/>
    <cellStyle name="Normal 9 4 2 8 3 2" xfId="41983" xr:uid="{A94E0DB5-12F5-4533-876F-330D6B0FDCA2}"/>
    <cellStyle name="Normal 9 4 2 8 4" xfId="29392" xr:uid="{D1AD7E7E-CAED-424D-A666-00028D35A996}"/>
    <cellStyle name="Normal 9 4 2 9" xfId="6948" xr:uid="{181A0B58-150C-47F3-8058-EEBB18ADB73F}"/>
    <cellStyle name="Normal 9 4 2 9 2" xfId="19630" xr:uid="{5D02F00F-E581-4B38-B33F-755AF03F3B3A}"/>
    <cellStyle name="Normal 9 4 2 9 2 2" xfId="45122" xr:uid="{E85E2A53-7663-4814-BC2A-0878DD14B82C}"/>
    <cellStyle name="Normal 9 4 2 9 3" xfId="32531" xr:uid="{9EF7188C-A063-4B73-8262-EF46B330BEBC}"/>
    <cellStyle name="Normal 9 4 3" xfId="1003" xr:uid="{40C2556F-9C85-4956-833B-BF04FEC4A682}"/>
    <cellStyle name="Normal 9 4 3 2" xfId="2310" xr:uid="{BB031A53-C211-4539-9D09-DE5FEB8F0BD0}"/>
    <cellStyle name="Normal 9 4 3 2 2" xfId="5464" xr:uid="{D90CA98F-66E9-4E02-A831-5474C4F4F4B2}"/>
    <cellStyle name="Normal 9 4 3 2 2 2" xfId="11757" xr:uid="{6A7A808B-5122-4E77-8399-A78C14C860BA}"/>
    <cellStyle name="Normal 9 4 3 2 2 2 2" xfId="24439" xr:uid="{01E1BB8A-390D-42C3-A298-2BE3B8FBCCA1}"/>
    <cellStyle name="Normal 9 4 3 2 2 2 2 2" xfId="49931" xr:uid="{F45453DF-BB80-43DA-A4D3-DF90BCFC8868}"/>
    <cellStyle name="Normal 9 4 3 2 2 2 3" xfId="37340" xr:uid="{4F2FC56E-5F17-4DFC-9F48-0D55EF285FB6}"/>
    <cellStyle name="Normal 9 4 3 2 2 3" xfId="18161" xr:uid="{596D50D8-DFD6-4920-ACE4-991B8532E189}"/>
    <cellStyle name="Normal 9 4 3 2 2 3 2" xfId="43653" xr:uid="{6BF5552A-5BCD-47DE-8994-4689520C8461}"/>
    <cellStyle name="Normal 9 4 3 2 2 4" xfId="31062" xr:uid="{B72277D6-5C3D-44E8-A26D-A698EC1577C8}"/>
    <cellStyle name="Normal 9 4 3 2 3" xfId="8618" xr:uid="{C5B10C7E-E650-42A8-9C37-62CC338FE554}"/>
    <cellStyle name="Normal 9 4 3 2 3 2" xfId="21300" xr:uid="{F511CF00-5DF4-4632-9A2A-48AD94E3E38D}"/>
    <cellStyle name="Normal 9 4 3 2 3 2 2" xfId="46792" xr:uid="{4B45BF1F-33D6-4855-9CA5-849FAEF1CE1B}"/>
    <cellStyle name="Normal 9 4 3 2 3 3" xfId="34201" xr:uid="{8B0AEAFA-CD8A-4C49-B637-DC9DD444D78B}"/>
    <cellStyle name="Normal 9 4 3 2 4" xfId="15022" xr:uid="{CD83BFD7-365B-4F49-906D-D5BD7FC9F082}"/>
    <cellStyle name="Normal 9 4 3 2 4 2" xfId="40514" xr:uid="{E8240931-6127-4BFF-9D2E-308ECCFE7CFE}"/>
    <cellStyle name="Normal 9 4 3 2 5" xfId="27923" xr:uid="{FCBE081A-D132-47DA-9065-08BEEC9B639E}"/>
    <cellStyle name="Normal 9 4 3 3" xfId="1527" xr:uid="{DD5DFD60-A298-4913-A981-B92FCE54444C}"/>
    <cellStyle name="Normal 9 4 3 3 2" xfId="4681" xr:uid="{0B574BD4-8BEE-414B-8B92-A02DD482324A}"/>
    <cellStyle name="Normal 9 4 3 3 2 2" xfId="10974" xr:uid="{0D27CBE6-C1D3-45BE-8D8B-30D98C5FBF6B}"/>
    <cellStyle name="Normal 9 4 3 3 2 2 2" xfId="23656" xr:uid="{CE972BBF-1A9D-4706-936E-0D826860402E}"/>
    <cellStyle name="Normal 9 4 3 3 2 2 2 2" xfId="49148" xr:uid="{EDE304CA-514C-4D82-A91C-E4D810823669}"/>
    <cellStyle name="Normal 9 4 3 3 2 2 3" xfId="36557" xr:uid="{FEF2EFEF-B00C-4173-85EF-6EFF016611C2}"/>
    <cellStyle name="Normal 9 4 3 3 2 3" xfId="17378" xr:uid="{34A644FA-D936-4E55-A50F-85D0E680067A}"/>
    <cellStyle name="Normal 9 4 3 3 2 3 2" xfId="42870" xr:uid="{19803324-D890-4172-93B0-9F5DBA203B88}"/>
    <cellStyle name="Normal 9 4 3 3 2 4" xfId="30279" xr:uid="{05E691EC-CFB3-4562-AAB6-7E47BF5A014A}"/>
    <cellStyle name="Normal 9 4 3 3 3" xfId="7835" xr:uid="{B5B8E9E4-C1A9-4753-8D13-D787E644DB93}"/>
    <cellStyle name="Normal 9 4 3 3 3 2" xfId="20517" xr:uid="{B7A36062-D8D7-4BC1-A5A4-6BC2626A8DDB}"/>
    <cellStyle name="Normal 9 4 3 3 3 2 2" xfId="46009" xr:uid="{6DC46376-59C8-4012-A6FA-AA56719C7F34}"/>
    <cellStyle name="Normal 9 4 3 3 3 3" xfId="33418" xr:uid="{A9B347B0-17E4-4E13-84FB-D28D06EF0EF7}"/>
    <cellStyle name="Normal 9 4 3 3 4" xfId="14239" xr:uid="{1FBBBD38-C329-4E7F-A4FB-DC7D309BD815}"/>
    <cellStyle name="Normal 9 4 3 3 4 2" xfId="39731" xr:uid="{0508536D-8870-480E-A8B6-1F3A29F5E798}"/>
    <cellStyle name="Normal 9 4 3 3 5" xfId="27140" xr:uid="{A7FE9C0C-BBBF-49C6-BE1F-5A00D5B1BAC4}"/>
    <cellStyle name="Normal 9 4 3 4" xfId="2834" xr:uid="{22FBC7FC-A1C4-4402-BA0B-38CC2EFE2D84}"/>
    <cellStyle name="Normal 9 4 3 4 2" xfId="5988" xr:uid="{1A28ECAF-73D5-4FE3-B528-E3B300C16764}"/>
    <cellStyle name="Normal 9 4 3 4 2 2" xfId="12281" xr:uid="{214B669F-3C3F-494F-8339-2BEB973C8B1B}"/>
    <cellStyle name="Normal 9 4 3 4 2 2 2" xfId="24963" xr:uid="{AC3B95FB-5AE4-4807-9225-7213DCF4AE45}"/>
    <cellStyle name="Normal 9 4 3 4 2 2 2 2" xfId="50455" xr:uid="{4F16A71A-D5CE-40A3-B0BC-E26465DD4B06}"/>
    <cellStyle name="Normal 9 4 3 4 2 2 3" xfId="37864" xr:uid="{3ABDC712-F3B6-4C8E-A5F6-FF001E903314}"/>
    <cellStyle name="Normal 9 4 3 4 2 3" xfId="18685" xr:uid="{652BBFFD-5A1A-45D1-943C-DB1CB62E1A64}"/>
    <cellStyle name="Normal 9 4 3 4 2 3 2" xfId="44177" xr:uid="{CA20B8D5-1098-40D8-90A1-8EFE28405A95}"/>
    <cellStyle name="Normal 9 4 3 4 2 4" xfId="31586" xr:uid="{C0C48CC6-80F4-42CF-BEBF-E200EB3E027B}"/>
    <cellStyle name="Normal 9 4 3 4 3" xfId="9142" xr:uid="{178B29B8-821B-40DF-9973-5E5A447E9BE6}"/>
    <cellStyle name="Normal 9 4 3 4 3 2" xfId="21824" xr:uid="{CF6B7B00-1A3D-437A-8350-6EB8334A42A2}"/>
    <cellStyle name="Normal 9 4 3 4 3 2 2" xfId="47316" xr:uid="{5B95674E-874C-410E-851B-AA00D2931EA5}"/>
    <cellStyle name="Normal 9 4 3 4 3 3" xfId="34725" xr:uid="{C0723FC5-824A-4591-AD0C-38A12DD35AC3}"/>
    <cellStyle name="Normal 9 4 3 4 4" xfId="15546" xr:uid="{F9CA96B8-593F-4C01-958E-E69CF7316C40}"/>
    <cellStyle name="Normal 9 4 3 4 4 2" xfId="41038" xr:uid="{6BB02A24-3D05-43CA-A2DF-4978C9439540}"/>
    <cellStyle name="Normal 9 4 3 4 5" xfId="28447" xr:uid="{752DA8C2-7F1D-464C-96BC-4CF3C76C9526}"/>
    <cellStyle name="Normal 9 4 3 5" xfId="3357" xr:uid="{FAE7D1D3-9705-4D5D-A1F9-10F704ED0E64}"/>
    <cellStyle name="Normal 9 4 3 5 2" xfId="6511" xr:uid="{93017202-2E92-4D49-B9A9-028E4BB3BA2A}"/>
    <cellStyle name="Normal 9 4 3 5 2 2" xfId="12804" xr:uid="{639CD338-3DF3-474D-95D9-1B7AB03397F1}"/>
    <cellStyle name="Normal 9 4 3 5 2 2 2" xfId="25486" xr:uid="{F85240C1-C8F2-40A2-8771-7B393215B893}"/>
    <cellStyle name="Normal 9 4 3 5 2 2 2 2" xfId="50978" xr:uid="{563841E6-DE2B-4786-BEFF-3CFCDE6BF129}"/>
    <cellStyle name="Normal 9 4 3 5 2 2 3" xfId="38387" xr:uid="{FC939E47-5F9E-4B1E-8959-47D9A3CFA8D0}"/>
    <cellStyle name="Normal 9 4 3 5 2 3" xfId="19208" xr:uid="{E62E3913-48CC-4872-9A87-0FA1A7171A54}"/>
    <cellStyle name="Normal 9 4 3 5 2 3 2" xfId="44700" xr:uid="{B080FB12-6330-4208-9AA1-8A1B51EA660E}"/>
    <cellStyle name="Normal 9 4 3 5 2 4" xfId="32109" xr:uid="{35098B89-29BE-4947-A6BD-ADCDF8C1B4D9}"/>
    <cellStyle name="Normal 9 4 3 5 3" xfId="9665" xr:uid="{19C489B5-2720-42CB-9465-18F377014E7E}"/>
    <cellStyle name="Normal 9 4 3 5 3 2" xfId="22347" xr:uid="{425DD2A7-6D6D-4CEE-A443-D638A8BFFA07}"/>
    <cellStyle name="Normal 9 4 3 5 3 2 2" xfId="47839" xr:uid="{5788AEBB-3E37-43EE-9998-E6C8ADA29D97}"/>
    <cellStyle name="Normal 9 4 3 5 3 3" xfId="35248" xr:uid="{21A3434E-4E8C-435F-B5E0-A1D504CE0047}"/>
    <cellStyle name="Normal 9 4 3 5 4" xfId="16069" xr:uid="{851F309A-7915-463D-B8F9-5DD86B226D67}"/>
    <cellStyle name="Normal 9 4 3 5 4 2" xfId="41561" xr:uid="{70616B58-57AC-4611-A9AF-7047C8D64A5C}"/>
    <cellStyle name="Normal 9 4 3 5 5" xfId="28970" xr:uid="{C52E0868-8C97-4E04-BBFA-B2EDE994C2FA}"/>
    <cellStyle name="Normal 9 4 3 6" xfId="4157" xr:uid="{64B3F720-F4F7-4CC8-8D46-358E56785A6E}"/>
    <cellStyle name="Normal 9 4 3 6 2" xfId="10450" xr:uid="{A532323E-0C42-41B7-B13A-061D361A9F26}"/>
    <cellStyle name="Normal 9 4 3 6 2 2" xfId="23132" xr:uid="{74DFADBF-39A1-4452-89CE-4BD88009D2DD}"/>
    <cellStyle name="Normal 9 4 3 6 2 2 2" xfId="48624" xr:uid="{B9A46203-6AAF-4296-85A5-48249BD00456}"/>
    <cellStyle name="Normal 9 4 3 6 2 3" xfId="36033" xr:uid="{127439C1-19CE-41C3-A9BA-5D1099E758AE}"/>
    <cellStyle name="Normal 9 4 3 6 3" xfId="16854" xr:uid="{77318216-9AC9-46B3-844C-EF787AB9E77D}"/>
    <cellStyle name="Normal 9 4 3 6 3 2" xfId="42346" xr:uid="{53826E6E-3BBA-4DA4-866A-20960EBE6B40}"/>
    <cellStyle name="Normal 9 4 3 6 4" xfId="29755" xr:uid="{B055D08A-8356-4C6E-97DD-B690EBAA7042}"/>
    <cellStyle name="Normal 9 4 3 7" xfId="7311" xr:uid="{5A1EFB03-14AD-463B-A611-8C783A0EAEAE}"/>
    <cellStyle name="Normal 9 4 3 7 2" xfId="19993" xr:uid="{113F11A2-A5E9-43F0-B6D8-5801FE5FEBE7}"/>
    <cellStyle name="Normal 9 4 3 7 2 2" xfId="45485" xr:uid="{DDCE5DAA-77B7-4CAA-917A-500A2B3BCF4E}"/>
    <cellStyle name="Normal 9 4 3 7 3" xfId="32894" xr:uid="{30DF07C6-94F7-4DB7-8EED-6476BE3CDA9B}"/>
    <cellStyle name="Normal 9 4 3 8" xfId="13715" xr:uid="{3FD8EEBD-E94E-4EA5-827B-C8107B9E8915}"/>
    <cellStyle name="Normal 9 4 3 8 2" xfId="39207" xr:uid="{93DE8E25-65F3-4214-B215-1ECACC7DEF23}"/>
    <cellStyle name="Normal 9 4 3 9" xfId="26616" xr:uid="{85FAD109-E64D-4363-BFA7-12FECA22B02F}"/>
    <cellStyle name="Normal 9 4 4" xfId="743" xr:uid="{BF37C921-DA40-49FE-8D41-D814F7EB14B6}"/>
    <cellStyle name="Normal 9 4 4 2" xfId="2050" xr:uid="{B424A272-8BD4-4F62-B9F3-4895F7A22A81}"/>
    <cellStyle name="Normal 9 4 4 2 2" xfId="5204" xr:uid="{92675C85-4B83-49E6-ADA1-360E6CE78DE0}"/>
    <cellStyle name="Normal 9 4 4 2 2 2" xfId="11497" xr:uid="{DF5D661B-06A2-49ED-BC88-FE71E289C250}"/>
    <cellStyle name="Normal 9 4 4 2 2 2 2" xfId="24179" xr:uid="{F7E3D863-5FBD-4D57-BCBE-D315CE1C016C}"/>
    <cellStyle name="Normal 9 4 4 2 2 2 2 2" xfId="49671" xr:uid="{D06ACEB8-6699-4E22-BB6C-753F9475D734}"/>
    <cellStyle name="Normal 9 4 4 2 2 2 3" xfId="37080" xr:uid="{C72F7021-1656-4E7D-8E2B-41507D09EA40}"/>
    <cellStyle name="Normal 9 4 4 2 2 3" xfId="17901" xr:uid="{98669502-5901-41C3-A557-08F932D5FF27}"/>
    <cellStyle name="Normal 9 4 4 2 2 3 2" xfId="43393" xr:uid="{941D2769-0D80-4F3D-A4D2-4AD68CB8DDCE}"/>
    <cellStyle name="Normal 9 4 4 2 2 4" xfId="30802" xr:uid="{939EABAF-E556-4C18-8D9C-247FF70779C1}"/>
    <cellStyle name="Normal 9 4 4 2 3" xfId="8358" xr:uid="{1447D61C-8EA3-4B13-A8AB-4E6AAE9D211A}"/>
    <cellStyle name="Normal 9 4 4 2 3 2" xfId="21040" xr:uid="{CB5B44CD-8A78-44F4-8ADB-63DEAB6E979F}"/>
    <cellStyle name="Normal 9 4 4 2 3 2 2" xfId="46532" xr:uid="{9D40F9D5-9AFB-452A-A18D-EA2AF84BCC81}"/>
    <cellStyle name="Normal 9 4 4 2 3 3" xfId="33941" xr:uid="{44E63593-E4F2-4993-9F5B-9E3208C30DEE}"/>
    <cellStyle name="Normal 9 4 4 2 4" xfId="14762" xr:uid="{C2BA44D5-3252-4595-AD6F-5881B967CD7D}"/>
    <cellStyle name="Normal 9 4 4 2 4 2" xfId="40254" xr:uid="{8F08151E-C5D5-4F63-9254-BC91600CAFCB}"/>
    <cellStyle name="Normal 9 4 4 2 5" xfId="27663" xr:uid="{DDCD650B-5D9A-4B98-A94C-26B8CB40EA70}"/>
    <cellStyle name="Normal 9 4 4 3" xfId="3897" xr:uid="{B0E66889-7126-4CE4-80D1-3A163C32315B}"/>
    <cellStyle name="Normal 9 4 4 3 2" xfId="10190" xr:uid="{9EC640E9-3C30-4DC4-ABD0-F03906E71790}"/>
    <cellStyle name="Normal 9 4 4 3 2 2" xfId="22872" xr:uid="{22385486-DF91-4D34-BA42-667D49989735}"/>
    <cellStyle name="Normal 9 4 4 3 2 2 2" xfId="48364" xr:uid="{58DB277B-2822-41F9-A745-5A9F0D44C0E4}"/>
    <cellStyle name="Normal 9 4 4 3 2 3" xfId="35773" xr:uid="{7C2EB251-3B36-4C01-8A9B-C5B8081BD675}"/>
    <cellStyle name="Normal 9 4 4 3 3" xfId="16594" xr:uid="{83662321-64F7-4D82-B1D1-8DE27C85474C}"/>
    <cellStyle name="Normal 9 4 4 3 3 2" xfId="42086" xr:uid="{299B6D42-2983-4C7B-A173-CFB3F1892AC6}"/>
    <cellStyle name="Normal 9 4 4 3 4" xfId="29495" xr:uid="{0B449BCE-C7E5-4217-A167-A37673AC03C3}"/>
    <cellStyle name="Normal 9 4 4 4" xfId="7051" xr:uid="{5C3DAFC5-3ED9-4BD7-A616-9B55A557FD91}"/>
    <cellStyle name="Normal 9 4 4 4 2" xfId="19733" xr:uid="{47C875FE-02BD-4C08-9545-CA84EE6CCB7C}"/>
    <cellStyle name="Normal 9 4 4 4 2 2" xfId="45225" xr:uid="{35358BFA-C23D-4790-9FF0-6F858429432C}"/>
    <cellStyle name="Normal 9 4 4 4 3" xfId="32634" xr:uid="{D53DE8B8-3647-48FF-B8E3-F2793E3346DF}"/>
    <cellStyle name="Normal 9 4 4 5" xfId="13455" xr:uid="{207D5A9C-09B4-4E14-98BD-AE5D117DBA59}"/>
    <cellStyle name="Normal 9 4 4 5 2" xfId="38947" xr:uid="{9D5FA78E-DDFC-4427-8363-33773E4F822B}"/>
    <cellStyle name="Normal 9 4 4 6" xfId="26356" xr:uid="{1FDB7340-FDDF-48E1-992A-A914F11AB8B8}"/>
    <cellStyle name="Normal 9 4 5" xfId="1788" xr:uid="{C5E72425-844C-4F9B-8573-4AADA6B392E0}"/>
    <cellStyle name="Normal 9 4 5 2" xfId="4942" xr:uid="{9C4CB48F-8C32-4959-9088-CCC1BA879E50}"/>
    <cellStyle name="Normal 9 4 5 2 2" xfId="11235" xr:uid="{7DAE9495-4EC7-4DB1-BBBF-E4BED2D8CCAD}"/>
    <cellStyle name="Normal 9 4 5 2 2 2" xfId="23917" xr:uid="{3439781E-37FF-418B-8B02-70094014158E}"/>
    <cellStyle name="Normal 9 4 5 2 2 2 2" xfId="49409" xr:uid="{D0A8DCD0-9F28-44ED-8EDF-88F07270E43A}"/>
    <cellStyle name="Normal 9 4 5 2 2 3" xfId="36818" xr:uid="{2D98BD74-4334-40C2-BFF7-3DAEBE493C5A}"/>
    <cellStyle name="Normal 9 4 5 2 3" xfId="17639" xr:uid="{B630D357-F29E-432E-AC47-F22CF4A869E1}"/>
    <cellStyle name="Normal 9 4 5 2 3 2" xfId="43131" xr:uid="{D493CE9D-952E-46DE-A678-14DDE976B2FC}"/>
    <cellStyle name="Normal 9 4 5 2 4" xfId="30540" xr:uid="{34672B28-4139-48B3-A60D-F68063E2ADB2}"/>
    <cellStyle name="Normal 9 4 5 3" xfId="8096" xr:uid="{D76B9B54-9C7B-4FBB-9CFF-1080339BDE6D}"/>
    <cellStyle name="Normal 9 4 5 3 2" xfId="20778" xr:uid="{6D19BF27-FC48-4364-9089-30DC6476CDA5}"/>
    <cellStyle name="Normal 9 4 5 3 2 2" xfId="46270" xr:uid="{191CE9E8-A37D-43DA-B9CE-F799DFBB094C}"/>
    <cellStyle name="Normal 9 4 5 3 3" xfId="33679" xr:uid="{F6DCFB03-A859-4D75-8741-E3359E3807EF}"/>
    <cellStyle name="Normal 9 4 5 4" xfId="14500" xr:uid="{0F787BA8-20DA-4EE8-8E7A-5E082B9ADBDB}"/>
    <cellStyle name="Normal 9 4 5 4 2" xfId="39992" xr:uid="{E8BF08DC-3A6C-442B-B11A-ED184D477E80}"/>
    <cellStyle name="Normal 9 4 5 5" xfId="27401" xr:uid="{36F73368-170C-4735-9F1E-C78A590869B8}"/>
    <cellStyle name="Normal 9 4 6" xfId="1266" xr:uid="{905BF529-E7A2-4CF2-ACB3-6596C85D1A88}"/>
    <cellStyle name="Normal 9 4 6 2" xfId="4420" xr:uid="{2A4762DB-2BA4-4C8A-9D7A-1C03A5E0C920}"/>
    <cellStyle name="Normal 9 4 6 2 2" xfId="10713" xr:uid="{6D9F45C8-6C67-4FAE-977A-F0C3F4103688}"/>
    <cellStyle name="Normal 9 4 6 2 2 2" xfId="23395" xr:uid="{C8E4D4E7-1D49-44E1-8614-7883F68AFEBF}"/>
    <cellStyle name="Normal 9 4 6 2 2 2 2" xfId="48887" xr:uid="{F6C6F754-D3D2-4CA7-B3E4-48207C171ED4}"/>
    <cellStyle name="Normal 9 4 6 2 2 3" xfId="36296" xr:uid="{193350DF-EC12-46E4-9A78-2332C89D8CEA}"/>
    <cellStyle name="Normal 9 4 6 2 3" xfId="17117" xr:uid="{52CC09B8-D9FC-4E9B-8BE7-397215290A7C}"/>
    <cellStyle name="Normal 9 4 6 2 3 2" xfId="42609" xr:uid="{D0DB91B3-C837-4D4D-9131-3501C7682222}"/>
    <cellStyle name="Normal 9 4 6 2 4" xfId="30018" xr:uid="{16A8DED4-41FA-4AD8-96F1-CD93B0D53A50}"/>
    <cellStyle name="Normal 9 4 6 3" xfId="7574" xr:uid="{825F509C-B058-4D8B-B2E5-9CC9C324BB15}"/>
    <cellStyle name="Normal 9 4 6 3 2" xfId="20256" xr:uid="{3E7C47A6-86BE-4E1D-9106-91E3D514E44C}"/>
    <cellStyle name="Normal 9 4 6 3 2 2" xfId="45748" xr:uid="{8BCEC08E-B026-47A4-B7CA-4FFFA2AC9B43}"/>
    <cellStyle name="Normal 9 4 6 3 3" xfId="33157" xr:uid="{DDA116B7-728D-4006-B73E-35E19077B24E}"/>
    <cellStyle name="Normal 9 4 6 4" xfId="13978" xr:uid="{B549FDA4-86A3-48F8-87E9-2664B05F43FF}"/>
    <cellStyle name="Normal 9 4 6 4 2" xfId="39470" xr:uid="{6E33BCB5-60A6-4981-A01D-50F06D90451C}"/>
    <cellStyle name="Normal 9 4 6 5" xfId="26879" xr:uid="{B94E00B9-6191-4A05-9351-24628A1BFB9A}"/>
    <cellStyle name="Normal 9 4 7" xfId="2573" xr:uid="{A23DFCC1-9F78-4E3D-A948-306C92BAF7E8}"/>
    <cellStyle name="Normal 9 4 7 2" xfId="5727" xr:uid="{35483CF2-C949-4355-AA83-0BD57E690803}"/>
    <cellStyle name="Normal 9 4 7 2 2" xfId="12020" xr:uid="{3E08F626-16BA-4D3F-8977-E996081D7E52}"/>
    <cellStyle name="Normal 9 4 7 2 2 2" xfId="24702" xr:uid="{7B895942-1F5B-411A-B21A-D4E0CAF3AD8C}"/>
    <cellStyle name="Normal 9 4 7 2 2 2 2" xfId="50194" xr:uid="{19F3A67F-1193-4DCE-99FE-52B8A2317F11}"/>
    <cellStyle name="Normal 9 4 7 2 2 3" xfId="37603" xr:uid="{F16D7F00-3D18-4AFF-9D31-EC53301962FB}"/>
    <cellStyle name="Normal 9 4 7 2 3" xfId="18424" xr:uid="{9EFD4C07-C52C-42D7-B4BF-A716135DB35C}"/>
    <cellStyle name="Normal 9 4 7 2 3 2" xfId="43916" xr:uid="{EDC4A823-F215-4791-A8B5-955A6D79575D}"/>
    <cellStyle name="Normal 9 4 7 2 4" xfId="31325" xr:uid="{40D573AE-D79C-4B5C-84A9-9AAEBE34A18E}"/>
    <cellStyle name="Normal 9 4 7 3" xfId="8881" xr:uid="{6D997B93-0F3B-4ABE-B256-EC1341C43A90}"/>
    <cellStyle name="Normal 9 4 7 3 2" xfId="21563" xr:uid="{C6C6E941-098D-4A72-AAD6-35193C3A8C86}"/>
    <cellStyle name="Normal 9 4 7 3 2 2" xfId="47055" xr:uid="{088FAEAE-7E2D-43C1-8BC3-559A19E5D789}"/>
    <cellStyle name="Normal 9 4 7 3 3" xfId="34464" xr:uid="{4EC0890E-CE7D-458A-9D3A-AC0234919A80}"/>
    <cellStyle name="Normal 9 4 7 4" xfId="15285" xr:uid="{F2FF2A72-A2E2-44B4-A632-1EC413F449B8}"/>
    <cellStyle name="Normal 9 4 7 4 2" xfId="40777" xr:uid="{E7727585-1D04-4D3C-8727-226AF18F0D40}"/>
    <cellStyle name="Normal 9 4 7 5" xfId="28186" xr:uid="{A4A39B8B-82E1-45BF-8156-8174F65A5514}"/>
    <cellStyle name="Normal 9 4 8" xfId="3096" xr:uid="{7D15F205-5B34-4472-9EED-26B0518801D4}"/>
    <cellStyle name="Normal 9 4 8 2" xfId="6250" xr:uid="{52C2D795-F1DC-4FC7-B90F-F1111EE5D2C8}"/>
    <cellStyle name="Normal 9 4 8 2 2" xfId="12543" xr:uid="{9B8BBBDF-7836-4A4A-981F-7E874A53E9BC}"/>
    <cellStyle name="Normal 9 4 8 2 2 2" xfId="25225" xr:uid="{F06B58A0-0059-42B0-9EA5-0DB261845C42}"/>
    <cellStyle name="Normal 9 4 8 2 2 2 2" xfId="50717" xr:uid="{1BAF1EAE-011B-4C73-B969-9F7FF4BE4A5A}"/>
    <cellStyle name="Normal 9 4 8 2 2 3" xfId="38126" xr:uid="{B0D2804F-A646-4705-8049-7E8B6D38DC3C}"/>
    <cellStyle name="Normal 9 4 8 2 3" xfId="18947" xr:uid="{4D5D5480-B81C-4616-8FF4-DF1E25BF129C}"/>
    <cellStyle name="Normal 9 4 8 2 3 2" xfId="44439" xr:uid="{CCA028BC-97AE-48D6-9FB6-A007A2695816}"/>
    <cellStyle name="Normal 9 4 8 2 4" xfId="31848" xr:uid="{183970A0-CB97-456E-AC79-1C9F837CBE41}"/>
    <cellStyle name="Normal 9 4 8 3" xfId="9404" xr:uid="{F22C2F46-F5DA-4988-9052-7AC40CEF3610}"/>
    <cellStyle name="Normal 9 4 8 3 2" xfId="22086" xr:uid="{4D84BB7B-5ACD-44ED-AF8F-A3E8CCE65B37}"/>
    <cellStyle name="Normal 9 4 8 3 2 2" xfId="47578" xr:uid="{B799B907-E950-4BA0-87FF-1F408B9DA54B}"/>
    <cellStyle name="Normal 9 4 8 3 3" xfId="34987" xr:uid="{56A2FCC9-FCA2-46DD-9F79-775C2142BF13}"/>
    <cellStyle name="Normal 9 4 8 4" xfId="15808" xr:uid="{B57D192A-5AB8-4CE1-9B35-00D3152607B5}"/>
    <cellStyle name="Normal 9 4 8 4 2" xfId="41300" xr:uid="{2AC7E35C-CD6B-4A84-B239-E316CA9FCC6B}"/>
    <cellStyle name="Normal 9 4 8 5" xfId="28709" xr:uid="{AE72DD58-6CDB-4707-9D47-21AAC348F161}"/>
    <cellStyle name="Normal 9 4 9" xfId="3635" xr:uid="{91BBC4A0-63AC-44DC-A84F-A9A41465C356}"/>
    <cellStyle name="Normal 9 4 9 2" xfId="9928" xr:uid="{852794F9-8F0E-41E7-BD23-F00FE264F05F}"/>
    <cellStyle name="Normal 9 4 9 2 2" xfId="22610" xr:uid="{D793865A-21D4-4792-87A6-47F7D234DE1F}"/>
    <cellStyle name="Normal 9 4 9 2 2 2" xfId="48102" xr:uid="{13112E09-3C4C-439B-BB5E-01456A35EE04}"/>
    <cellStyle name="Normal 9 4 9 2 3" xfId="35511" xr:uid="{86EEC135-8674-415F-97E8-716718BC8223}"/>
    <cellStyle name="Normal 9 4 9 3" xfId="16332" xr:uid="{CD1737C3-83B0-419F-9F98-2F804586C2FA}"/>
    <cellStyle name="Normal 9 4 9 3 2" xfId="41824" xr:uid="{3D5B62E1-006D-49E7-9E02-1FA355DF888B}"/>
    <cellStyle name="Normal 9 4 9 4" xfId="29233" xr:uid="{57931AE6-94B3-4448-8203-778AE0BE193C}"/>
    <cellStyle name="Normal 9 5" xfId="583" xr:uid="{60C5F72C-CBE8-43B7-8BCA-DA578B500F9A}"/>
    <cellStyle name="Normal 9 5 10" xfId="13310" xr:uid="{7F82791D-9527-4A39-AFE2-BDC18DAF4BB4}"/>
    <cellStyle name="Normal 9 5 10 2" xfId="38802" xr:uid="{F2C8A507-797E-4898-B6C9-A4BFA13FEB29}"/>
    <cellStyle name="Normal 9 5 11" xfId="26211" xr:uid="{4F9EB3F2-B435-4465-8E42-B2EEB691A1B5}"/>
    <cellStyle name="Normal 9 5 2" xfId="1120" xr:uid="{7525AF9F-9F30-4015-9D59-6DFEDF0CAF73}"/>
    <cellStyle name="Normal 9 5 2 2" xfId="2427" xr:uid="{8FEF270E-8D28-4E5C-A93F-8B10ADF0AD16}"/>
    <cellStyle name="Normal 9 5 2 2 2" xfId="5581" xr:uid="{6853E29E-93B2-487A-982F-CADF0C4CB711}"/>
    <cellStyle name="Normal 9 5 2 2 2 2" xfId="11874" xr:uid="{F952AD3B-192F-4E55-9EFF-3023E9FFF971}"/>
    <cellStyle name="Normal 9 5 2 2 2 2 2" xfId="24556" xr:uid="{7A4FA3F2-65F1-4ED4-9912-F049DEDD8DA0}"/>
    <cellStyle name="Normal 9 5 2 2 2 2 2 2" xfId="50048" xr:uid="{398586D1-FEF6-4C03-84E9-E648C5667D8B}"/>
    <cellStyle name="Normal 9 5 2 2 2 2 3" xfId="37457" xr:uid="{3376043C-E88D-45AA-B5F0-AA42DC4A5D86}"/>
    <cellStyle name="Normal 9 5 2 2 2 3" xfId="18278" xr:uid="{C3F860F4-6946-47B6-9815-26D88A3936BE}"/>
    <cellStyle name="Normal 9 5 2 2 2 3 2" xfId="43770" xr:uid="{C17FEFB6-D506-48AA-A06A-9E814743ACD3}"/>
    <cellStyle name="Normal 9 5 2 2 2 4" xfId="31179" xr:uid="{4D4C8E4F-E845-4965-9DE2-B098E5750C4F}"/>
    <cellStyle name="Normal 9 5 2 2 3" xfId="8735" xr:uid="{8EE615AB-64AF-487A-960E-FA1AE9F42E52}"/>
    <cellStyle name="Normal 9 5 2 2 3 2" xfId="21417" xr:uid="{71A5F9CB-2E51-41DC-958E-502E6F1E3790}"/>
    <cellStyle name="Normal 9 5 2 2 3 2 2" xfId="46909" xr:uid="{4B5972A8-C9FB-48D6-B935-26A346CCEF3B}"/>
    <cellStyle name="Normal 9 5 2 2 3 3" xfId="34318" xr:uid="{928459E8-B9D9-4CF0-9B0A-C805DDE4926A}"/>
    <cellStyle name="Normal 9 5 2 2 4" xfId="15139" xr:uid="{814D71FC-B95C-4EE2-870A-D72133056CB9}"/>
    <cellStyle name="Normal 9 5 2 2 4 2" xfId="40631" xr:uid="{559FE649-149A-4357-9B1C-E897A5D8BD85}"/>
    <cellStyle name="Normal 9 5 2 2 5" xfId="28040" xr:uid="{FF0E11E5-5A7F-40DF-9300-8F39A4C41958}"/>
    <cellStyle name="Normal 9 5 2 3" xfId="1644" xr:uid="{9070A088-4CFE-4B63-AE92-4424CBB53F4D}"/>
    <cellStyle name="Normal 9 5 2 3 2" xfId="4798" xr:uid="{B1F0F1CE-94EC-4D76-8714-9CB3EBD9020B}"/>
    <cellStyle name="Normal 9 5 2 3 2 2" xfId="11091" xr:uid="{FEC622C4-FEDA-4CF5-9FCC-EB036181E40F}"/>
    <cellStyle name="Normal 9 5 2 3 2 2 2" xfId="23773" xr:uid="{46EF6B3F-12D9-49D0-861B-949FB09A792A}"/>
    <cellStyle name="Normal 9 5 2 3 2 2 2 2" xfId="49265" xr:uid="{1EEF32C3-52F3-44CB-8E13-6A06E5EA07BF}"/>
    <cellStyle name="Normal 9 5 2 3 2 2 3" xfId="36674" xr:uid="{76955732-2644-45BF-8B10-176437E0D995}"/>
    <cellStyle name="Normal 9 5 2 3 2 3" xfId="17495" xr:uid="{7C4127AF-913C-4989-8966-2B106F9F6947}"/>
    <cellStyle name="Normal 9 5 2 3 2 3 2" xfId="42987" xr:uid="{D8A60F71-5B8B-444D-A02A-85317F8723D3}"/>
    <cellStyle name="Normal 9 5 2 3 2 4" xfId="30396" xr:uid="{F9F7B2B6-5EBC-4BAE-A62F-E81D9DDF225A}"/>
    <cellStyle name="Normal 9 5 2 3 3" xfId="7952" xr:uid="{05A935E9-B097-4D91-9BFB-18FE50CA024C}"/>
    <cellStyle name="Normal 9 5 2 3 3 2" xfId="20634" xr:uid="{5050021C-4B6A-44C5-9EE7-581180AFEC40}"/>
    <cellStyle name="Normal 9 5 2 3 3 2 2" xfId="46126" xr:uid="{C2C995F6-75D4-4CB0-A2EB-22F2026CB055}"/>
    <cellStyle name="Normal 9 5 2 3 3 3" xfId="33535" xr:uid="{4E2F5EC2-C1A4-4B80-8C76-0CC35C47261B}"/>
    <cellStyle name="Normal 9 5 2 3 4" xfId="14356" xr:uid="{89D5AEC1-9E7B-4483-B906-130DD0AC1445}"/>
    <cellStyle name="Normal 9 5 2 3 4 2" xfId="39848" xr:uid="{DD7358D2-A6A3-489C-A234-5DB59B3C552A}"/>
    <cellStyle name="Normal 9 5 2 3 5" xfId="27257" xr:uid="{5455C3BA-4C34-461A-8E79-E5D8571AB46D}"/>
    <cellStyle name="Normal 9 5 2 4" xfId="2951" xr:uid="{87F4A357-7802-4922-BE92-7456CDF0865F}"/>
    <cellStyle name="Normal 9 5 2 4 2" xfId="6105" xr:uid="{CB23A0C8-7A63-425B-9727-5D780AEE1399}"/>
    <cellStyle name="Normal 9 5 2 4 2 2" xfId="12398" xr:uid="{46CD4373-70FA-4476-9617-7F1AD0A2F855}"/>
    <cellStyle name="Normal 9 5 2 4 2 2 2" xfId="25080" xr:uid="{FE22FAA5-A8EE-4F23-91FB-3FD66FA0D1A3}"/>
    <cellStyle name="Normal 9 5 2 4 2 2 2 2" xfId="50572" xr:uid="{54D220CA-9CA6-4D86-B82C-322401DA2FE5}"/>
    <cellStyle name="Normal 9 5 2 4 2 2 3" xfId="37981" xr:uid="{84C38770-61EE-4DC7-BF4F-2F011575DD8C}"/>
    <cellStyle name="Normal 9 5 2 4 2 3" xfId="18802" xr:uid="{B2603F67-5947-4479-A69A-82E489E10C03}"/>
    <cellStyle name="Normal 9 5 2 4 2 3 2" xfId="44294" xr:uid="{3FA6B8F1-3210-4EF3-AE5D-BE875CB0961D}"/>
    <cellStyle name="Normal 9 5 2 4 2 4" xfId="31703" xr:uid="{7145D885-C653-458D-B3FC-22A7C3B264A9}"/>
    <cellStyle name="Normal 9 5 2 4 3" xfId="9259" xr:uid="{ED1D6929-41AF-4D67-9403-CD0834684A39}"/>
    <cellStyle name="Normal 9 5 2 4 3 2" xfId="21941" xr:uid="{F1D69A2F-D3F6-4392-9EA7-AF64B5620C51}"/>
    <cellStyle name="Normal 9 5 2 4 3 2 2" xfId="47433" xr:uid="{B545036F-C3F1-4CF0-8BB6-FCB908A5D430}"/>
    <cellStyle name="Normal 9 5 2 4 3 3" xfId="34842" xr:uid="{BE53A2F3-6806-4900-BFB8-3262458C5291}"/>
    <cellStyle name="Normal 9 5 2 4 4" xfId="15663" xr:uid="{1CBB4F26-0FC9-4F87-976D-546ABA6B3AA3}"/>
    <cellStyle name="Normal 9 5 2 4 4 2" xfId="41155" xr:uid="{7FB55E5E-D127-4405-B3D1-FF9C3402D2F6}"/>
    <cellStyle name="Normal 9 5 2 4 5" xfId="28564" xr:uid="{29D6B186-C2E8-4824-B09E-CC5D6CA2B021}"/>
    <cellStyle name="Normal 9 5 2 5" xfId="3474" xr:uid="{381E0ACB-279B-4547-8C34-1391DBC78E16}"/>
    <cellStyle name="Normal 9 5 2 5 2" xfId="6628" xr:uid="{87FED225-DEF7-4C1E-99F6-1A6B31C092AE}"/>
    <cellStyle name="Normal 9 5 2 5 2 2" xfId="12921" xr:uid="{B4AF72B7-DBDD-4405-830F-9479106164D2}"/>
    <cellStyle name="Normal 9 5 2 5 2 2 2" xfId="25603" xr:uid="{1835D8DE-3CAF-4851-ACD1-CFF5223BE800}"/>
    <cellStyle name="Normal 9 5 2 5 2 2 2 2" xfId="51095" xr:uid="{1B7DD6A1-01C5-4D3A-A592-443917646D07}"/>
    <cellStyle name="Normal 9 5 2 5 2 2 3" xfId="38504" xr:uid="{874E357B-E478-433E-AB44-9DA363997568}"/>
    <cellStyle name="Normal 9 5 2 5 2 3" xfId="19325" xr:uid="{E985D1D3-69CF-4A32-85AD-77ACA7DAEC09}"/>
    <cellStyle name="Normal 9 5 2 5 2 3 2" xfId="44817" xr:uid="{AE227975-4ACA-4D40-95C1-5CBA90FDA182}"/>
    <cellStyle name="Normal 9 5 2 5 2 4" xfId="32226" xr:uid="{FCFF7983-0913-4E0C-8B82-EE5972C700D3}"/>
    <cellStyle name="Normal 9 5 2 5 3" xfId="9782" xr:uid="{C57E0E7E-641E-4B98-8DAB-9867D1BFE6F2}"/>
    <cellStyle name="Normal 9 5 2 5 3 2" xfId="22464" xr:uid="{D3F72264-03FC-41B0-90F0-D0DBABA2A642}"/>
    <cellStyle name="Normal 9 5 2 5 3 2 2" xfId="47956" xr:uid="{FCC2CB3E-629B-4A12-A07C-8C61E138D919}"/>
    <cellStyle name="Normal 9 5 2 5 3 3" xfId="35365" xr:uid="{4BBA35D1-067B-4FE5-835F-DD0C13A7A535}"/>
    <cellStyle name="Normal 9 5 2 5 4" xfId="16186" xr:uid="{EFB50251-621E-437D-A48B-D8AA35CC220B}"/>
    <cellStyle name="Normal 9 5 2 5 4 2" xfId="41678" xr:uid="{59556D76-F884-4F14-AADC-2B869C339420}"/>
    <cellStyle name="Normal 9 5 2 5 5" xfId="29087" xr:uid="{0A787B46-DA3F-48F6-8A6A-F3539FC2B46A}"/>
    <cellStyle name="Normal 9 5 2 6" xfId="4274" xr:uid="{2CF38BAE-8DC2-47BC-A192-9F033AB54E95}"/>
    <cellStyle name="Normal 9 5 2 6 2" xfId="10567" xr:uid="{608FB192-D355-463F-A359-5CC3F7CD2FEA}"/>
    <cellStyle name="Normal 9 5 2 6 2 2" xfId="23249" xr:uid="{A90E860F-F45D-4262-8D6B-9535B3C4966D}"/>
    <cellStyle name="Normal 9 5 2 6 2 2 2" xfId="48741" xr:uid="{48EF2361-9E20-4222-ACFF-21B9D180C762}"/>
    <cellStyle name="Normal 9 5 2 6 2 3" xfId="36150" xr:uid="{2146A45C-9A73-42F5-B7D0-BE15C447D54D}"/>
    <cellStyle name="Normal 9 5 2 6 3" xfId="16971" xr:uid="{B39CF274-34DE-4C0D-B9E5-08B5F76E9FA0}"/>
    <cellStyle name="Normal 9 5 2 6 3 2" xfId="42463" xr:uid="{DBF1A0CF-F9B3-46C9-8CCE-DD1377A6C32D}"/>
    <cellStyle name="Normal 9 5 2 6 4" xfId="29872" xr:uid="{B40B1840-1681-45E8-BC05-722CC8593BA5}"/>
    <cellStyle name="Normal 9 5 2 7" xfId="7428" xr:uid="{0E7043A6-CE72-4046-B2BB-80D1A5FBEE6C}"/>
    <cellStyle name="Normal 9 5 2 7 2" xfId="20110" xr:uid="{4003AE23-8C09-47EF-B5F1-9944F2BE98B5}"/>
    <cellStyle name="Normal 9 5 2 7 2 2" xfId="45602" xr:uid="{595F65D2-CC7F-4747-A590-E3D01E819556}"/>
    <cellStyle name="Normal 9 5 2 7 3" xfId="33011" xr:uid="{5E2AF2A0-D5E4-454A-8ADB-DB0B5E93D49A}"/>
    <cellStyle name="Normal 9 5 2 8" xfId="13832" xr:uid="{935A8563-8606-49C3-BE27-CB30AAE18202}"/>
    <cellStyle name="Normal 9 5 2 8 2" xfId="39324" xr:uid="{4E47C3EA-B24B-432E-AB2E-D18309F35448}"/>
    <cellStyle name="Normal 9 5 2 9" xfId="26733" xr:uid="{E19D91AB-71CB-40A7-A4C8-67C13C6C0E11}"/>
    <cellStyle name="Normal 9 5 3" xfId="860" xr:uid="{FCFA9DF3-7168-4320-854B-BF33BCDDBFAC}"/>
    <cellStyle name="Normal 9 5 3 2" xfId="2167" xr:uid="{C119A7EB-6502-4BEF-BDAA-09915DDBE7F8}"/>
    <cellStyle name="Normal 9 5 3 2 2" xfId="5321" xr:uid="{DC6236BA-27BC-4F7E-B5C9-ECCD38336131}"/>
    <cellStyle name="Normal 9 5 3 2 2 2" xfId="11614" xr:uid="{A2A5DE75-718A-4ED4-9543-91FDD8D30A7F}"/>
    <cellStyle name="Normal 9 5 3 2 2 2 2" xfId="24296" xr:uid="{94E316B1-4898-4A9D-8B5C-E4BF6CB750A4}"/>
    <cellStyle name="Normal 9 5 3 2 2 2 2 2" xfId="49788" xr:uid="{5B2102E1-3804-4045-82CC-173B5C5EF3A5}"/>
    <cellStyle name="Normal 9 5 3 2 2 2 3" xfId="37197" xr:uid="{7514F74E-80BF-4222-9C0A-2F2169CEF510}"/>
    <cellStyle name="Normal 9 5 3 2 2 3" xfId="18018" xr:uid="{615AD9B5-F9E3-4DD7-96E3-44267EB0DC6B}"/>
    <cellStyle name="Normal 9 5 3 2 2 3 2" xfId="43510" xr:uid="{0B017F34-6259-4518-86BE-4390F031DDE5}"/>
    <cellStyle name="Normal 9 5 3 2 2 4" xfId="30919" xr:uid="{C52C10AD-0564-46D3-98CE-9D26ECDCE01D}"/>
    <cellStyle name="Normal 9 5 3 2 3" xfId="8475" xr:uid="{9860267F-F45D-462A-A5CD-F188E2EDFF7B}"/>
    <cellStyle name="Normal 9 5 3 2 3 2" xfId="21157" xr:uid="{BAC6B8CD-F555-43D6-826C-CF2DEA6A04F0}"/>
    <cellStyle name="Normal 9 5 3 2 3 2 2" xfId="46649" xr:uid="{5B771E78-9729-494C-9573-830BF80AF6A9}"/>
    <cellStyle name="Normal 9 5 3 2 3 3" xfId="34058" xr:uid="{612A655C-3022-4B30-AE8A-1E7661C8DC8E}"/>
    <cellStyle name="Normal 9 5 3 2 4" xfId="14879" xr:uid="{E2CA8AFF-BC80-4E24-AE43-ABF48D8FC98C}"/>
    <cellStyle name="Normal 9 5 3 2 4 2" xfId="40371" xr:uid="{19014012-3CEB-4CC1-BCE1-2BC4C8600CA1}"/>
    <cellStyle name="Normal 9 5 3 2 5" xfId="27780" xr:uid="{F212E6B4-B9CB-4D24-90CE-FFAED1213A4A}"/>
    <cellStyle name="Normal 9 5 3 3" xfId="4014" xr:uid="{3812F948-B30D-4F04-80B8-07426601F74B}"/>
    <cellStyle name="Normal 9 5 3 3 2" xfId="10307" xr:uid="{0ADB8597-AE7F-49B4-B930-12B383FBBC16}"/>
    <cellStyle name="Normal 9 5 3 3 2 2" xfId="22989" xr:uid="{B5636D94-2CB7-4663-AD9B-825A2DE8F804}"/>
    <cellStyle name="Normal 9 5 3 3 2 2 2" xfId="48481" xr:uid="{1A9D6C1C-3A3E-44CC-8B66-E51FE89FACF6}"/>
    <cellStyle name="Normal 9 5 3 3 2 3" xfId="35890" xr:uid="{955C589C-F13C-48EC-B643-1A2E73F8C30A}"/>
    <cellStyle name="Normal 9 5 3 3 3" xfId="16711" xr:uid="{CE1D8189-B8FE-4C91-A25E-F6B0F1025756}"/>
    <cellStyle name="Normal 9 5 3 3 3 2" xfId="42203" xr:uid="{AC8283FF-F40D-4EF9-B4F6-2FA953A41812}"/>
    <cellStyle name="Normal 9 5 3 3 4" xfId="29612" xr:uid="{71A996AE-4D5C-4877-9D34-CAE9BF0CD03F}"/>
    <cellStyle name="Normal 9 5 3 4" xfId="7168" xr:uid="{22D4AB31-5C61-4D1F-9524-509887ABABEE}"/>
    <cellStyle name="Normal 9 5 3 4 2" xfId="19850" xr:uid="{EFCCC20E-002A-40E2-A2AA-0924136DAE1D}"/>
    <cellStyle name="Normal 9 5 3 4 2 2" xfId="45342" xr:uid="{DAAD4E3B-F8A8-4631-A218-CC309E694DB0}"/>
    <cellStyle name="Normal 9 5 3 4 3" xfId="32751" xr:uid="{48DC8743-BFE8-46E4-91EB-F37DEAB2F65D}"/>
    <cellStyle name="Normal 9 5 3 5" xfId="13572" xr:uid="{12E398F3-EF42-4805-A2D0-9A784C68FAA0}"/>
    <cellStyle name="Normal 9 5 3 5 2" xfId="39064" xr:uid="{710CDFA3-C841-4B39-A0F0-5567CB1C0BCE}"/>
    <cellStyle name="Normal 9 5 3 6" xfId="26473" xr:uid="{0B18054E-E571-4546-98FC-FB986FCA9180}"/>
    <cellStyle name="Normal 9 5 4" xfId="1905" xr:uid="{405C3286-E5D2-487B-A7FC-84CC32210538}"/>
    <cellStyle name="Normal 9 5 4 2" xfId="5059" xr:uid="{97E9EB25-FDB5-47A9-919B-A55E7A468AED}"/>
    <cellStyle name="Normal 9 5 4 2 2" xfId="11352" xr:uid="{A63A5581-F335-4749-A539-173930317E32}"/>
    <cellStyle name="Normal 9 5 4 2 2 2" xfId="24034" xr:uid="{52CE3368-435E-4C6B-8E86-BFA5E4C43784}"/>
    <cellStyle name="Normal 9 5 4 2 2 2 2" xfId="49526" xr:uid="{F49FED0A-1A9C-4DEC-AAF6-8BDA6DAB5D7A}"/>
    <cellStyle name="Normal 9 5 4 2 2 3" xfId="36935" xr:uid="{39EAB369-8FD5-4ACD-86A4-A4AFBFA454BA}"/>
    <cellStyle name="Normal 9 5 4 2 3" xfId="17756" xr:uid="{9E156918-9C35-449A-9D29-9CAB6159B505}"/>
    <cellStyle name="Normal 9 5 4 2 3 2" xfId="43248" xr:uid="{F4FE0AF9-BA66-4E46-B9DB-B4BD16A5F163}"/>
    <cellStyle name="Normal 9 5 4 2 4" xfId="30657" xr:uid="{45FA8490-52C2-4F69-B02E-476260AF0CFF}"/>
    <cellStyle name="Normal 9 5 4 3" xfId="8213" xr:uid="{B160A11F-BCF5-414E-BF3C-91D0A8783A6F}"/>
    <cellStyle name="Normal 9 5 4 3 2" xfId="20895" xr:uid="{22429C4C-B1D7-4D90-B32A-DED67EEA309C}"/>
    <cellStyle name="Normal 9 5 4 3 2 2" xfId="46387" xr:uid="{35130BB7-9D53-4BDD-82D3-0A20A6C330D6}"/>
    <cellStyle name="Normal 9 5 4 3 3" xfId="33796" xr:uid="{E8B5014E-225D-4C14-852F-9DC5828EC234}"/>
    <cellStyle name="Normal 9 5 4 4" xfId="14617" xr:uid="{E45FF515-90EA-4205-AC34-971B50246D23}"/>
    <cellStyle name="Normal 9 5 4 4 2" xfId="40109" xr:uid="{9682E7F3-2AB4-4AE0-8390-63F22359635B}"/>
    <cellStyle name="Normal 9 5 4 5" xfId="27518" xr:uid="{EFBD20CE-0C8F-474D-A904-0C83AE83EE1C}"/>
    <cellStyle name="Normal 9 5 5" xfId="1383" xr:uid="{5CCA2C73-C919-4F88-9730-0B72D3A0B599}"/>
    <cellStyle name="Normal 9 5 5 2" xfId="4537" xr:uid="{DB1634CE-19CE-419B-A84B-CCB754C77737}"/>
    <cellStyle name="Normal 9 5 5 2 2" xfId="10830" xr:uid="{617ADF0A-A70F-49D2-A887-18191D20915B}"/>
    <cellStyle name="Normal 9 5 5 2 2 2" xfId="23512" xr:uid="{77D81B3A-F03B-4C49-9D4F-CFB0A336B43B}"/>
    <cellStyle name="Normal 9 5 5 2 2 2 2" xfId="49004" xr:uid="{23AC3532-893A-4D34-8907-37BBF466E5A2}"/>
    <cellStyle name="Normal 9 5 5 2 2 3" xfId="36413" xr:uid="{720E1063-1AFF-480A-B533-3004A8DD9E57}"/>
    <cellStyle name="Normal 9 5 5 2 3" xfId="17234" xr:uid="{1CB9D701-E658-4002-98A4-D46A90AB9309}"/>
    <cellStyle name="Normal 9 5 5 2 3 2" xfId="42726" xr:uid="{5BCCC627-30F4-4AF9-A4CD-0F0079A46C9E}"/>
    <cellStyle name="Normal 9 5 5 2 4" xfId="30135" xr:uid="{ACBE49FA-DCEA-41DD-B00E-3C6E3EC2420C}"/>
    <cellStyle name="Normal 9 5 5 3" xfId="7691" xr:uid="{DDE0B8C7-1E6C-4ABB-8672-C0A47BCAE05D}"/>
    <cellStyle name="Normal 9 5 5 3 2" xfId="20373" xr:uid="{508701AF-E4BE-4C91-9068-3ACB6E9C2BBE}"/>
    <cellStyle name="Normal 9 5 5 3 2 2" xfId="45865" xr:uid="{EEDCD081-6DD8-483E-A70F-FFEC961557AB}"/>
    <cellStyle name="Normal 9 5 5 3 3" xfId="33274" xr:uid="{3F9486A1-3DA3-4185-B96B-C375DED30E67}"/>
    <cellStyle name="Normal 9 5 5 4" xfId="14095" xr:uid="{EA083368-48A3-4258-93D1-C72EC590FD40}"/>
    <cellStyle name="Normal 9 5 5 4 2" xfId="39587" xr:uid="{7BD5D7CE-1097-4EF6-93C6-7FBC1AF41570}"/>
    <cellStyle name="Normal 9 5 5 5" xfId="26996" xr:uid="{7AE5B6A6-6EA3-460B-89D2-9EB2CDF36ED8}"/>
    <cellStyle name="Normal 9 5 6" xfId="2690" xr:uid="{D07DC557-A721-4CF0-8EFE-FF87ADC9A785}"/>
    <cellStyle name="Normal 9 5 6 2" xfId="5844" xr:uid="{F867BBB3-A52A-4371-82A0-649666192DEC}"/>
    <cellStyle name="Normal 9 5 6 2 2" xfId="12137" xr:uid="{05AA6FB9-B29D-4E08-A1A9-4179E4DC8E95}"/>
    <cellStyle name="Normal 9 5 6 2 2 2" xfId="24819" xr:uid="{2074688A-92AB-4F9C-BC71-06945C7DD3DC}"/>
    <cellStyle name="Normal 9 5 6 2 2 2 2" xfId="50311" xr:uid="{F886ED87-C70B-4893-9220-A5EC9681B634}"/>
    <cellStyle name="Normal 9 5 6 2 2 3" xfId="37720" xr:uid="{FAA8DC7C-F037-4CD3-AFFA-E9E401EDB55F}"/>
    <cellStyle name="Normal 9 5 6 2 3" xfId="18541" xr:uid="{FB8D02E6-3775-406F-A12C-4A0D1445CACC}"/>
    <cellStyle name="Normal 9 5 6 2 3 2" xfId="44033" xr:uid="{1FE73246-2ABF-4535-AD39-0A4836972F4D}"/>
    <cellStyle name="Normal 9 5 6 2 4" xfId="31442" xr:uid="{FDB19732-A7B6-482E-B132-A9D8925BF0C1}"/>
    <cellStyle name="Normal 9 5 6 3" xfId="8998" xr:uid="{8B42D970-0F4F-4513-B019-5A862955201E}"/>
    <cellStyle name="Normal 9 5 6 3 2" xfId="21680" xr:uid="{B91FD102-C145-4C22-996F-7A6B4A9B4678}"/>
    <cellStyle name="Normal 9 5 6 3 2 2" xfId="47172" xr:uid="{5992B76B-F414-401B-9B4D-51BEA3E7FE39}"/>
    <cellStyle name="Normal 9 5 6 3 3" xfId="34581" xr:uid="{93C859C8-DDC6-443C-B236-F1F5B886DD9E}"/>
    <cellStyle name="Normal 9 5 6 4" xfId="15402" xr:uid="{09F430B3-4C30-4F89-9EB1-DB7E25386027}"/>
    <cellStyle name="Normal 9 5 6 4 2" xfId="40894" xr:uid="{C567D900-F3E3-4BF5-B867-BABF13C3CB19}"/>
    <cellStyle name="Normal 9 5 6 5" xfId="28303" xr:uid="{48C67F4E-6BC8-435C-A26E-BBDCB823832D}"/>
    <cellStyle name="Normal 9 5 7" xfId="3213" xr:uid="{9B134543-3210-46BE-8748-E1951FB99CC0}"/>
    <cellStyle name="Normal 9 5 7 2" xfId="6367" xr:uid="{B0EACCAA-4DA6-43A5-A54F-3B418408452D}"/>
    <cellStyle name="Normal 9 5 7 2 2" xfId="12660" xr:uid="{1ED04DE3-C302-458A-A04E-036593B7C252}"/>
    <cellStyle name="Normal 9 5 7 2 2 2" xfId="25342" xr:uid="{2E3DD63C-C7A1-4004-A30C-F3B02F6D30FF}"/>
    <cellStyle name="Normal 9 5 7 2 2 2 2" xfId="50834" xr:uid="{60AE5F19-22FF-4C4A-8759-97C3E18C7519}"/>
    <cellStyle name="Normal 9 5 7 2 2 3" xfId="38243" xr:uid="{F6F51DDD-969D-4EE4-B326-84A83D5D0C74}"/>
    <cellStyle name="Normal 9 5 7 2 3" xfId="19064" xr:uid="{8904D5C2-9DD0-4635-8B2B-7CE7EC4AF3FD}"/>
    <cellStyle name="Normal 9 5 7 2 3 2" xfId="44556" xr:uid="{C058D63B-C038-4C00-BD6D-D925B25978F6}"/>
    <cellStyle name="Normal 9 5 7 2 4" xfId="31965" xr:uid="{3144F3A4-A25B-4D43-AC18-971BDE3E015A}"/>
    <cellStyle name="Normal 9 5 7 3" xfId="9521" xr:uid="{EDB004AD-807B-4731-B476-DF69BDF579E7}"/>
    <cellStyle name="Normal 9 5 7 3 2" xfId="22203" xr:uid="{B6A66224-B03D-40E9-8589-68800ABA8FC9}"/>
    <cellStyle name="Normal 9 5 7 3 2 2" xfId="47695" xr:uid="{7F97B8FD-2A7C-4D48-9ADB-0C60E3536BCF}"/>
    <cellStyle name="Normal 9 5 7 3 3" xfId="35104" xr:uid="{DEC4C258-1BD3-439E-A0AF-DDA15785F3DC}"/>
    <cellStyle name="Normal 9 5 7 4" xfId="15925" xr:uid="{C8847CF3-BCC3-425C-8990-AB978B07AADD}"/>
    <cellStyle name="Normal 9 5 7 4 2" xfId="41417" xr:uid="{53D65054-8D60-4EB1-9344-765C37A646D3}"/>
    <cellStyle name="Normal 9 5 7 5" xfId="28826" xr:uid="{AC252B2A-86F7-4027-89EA-26627DF7D6CE}"/>
    <cellStyle name="Normal 9 5 8" xfId="3752" xr:uid="{DBFE3356-DB84-4777-9562-FB2B400C9857}"/>
    <cellStyle name="Normal 9 5 8 2" xfId="10045" xr:uid="{3E6AC4E1-CF36-4693-AD89-B983FD13369B}"/>
    <cellStyle name="Normal 9 5 8 2 2" xfId="22727" xr:uid="{B1BDD275-300B-4F45-8888-07A244A96089}"/>
    <cellStyle name="Normal 9 5 8 2 2 2" xfId="48219" xr:uid="{39721538-53CE-4A21-8299-BFF1B0FD22F2}"/>
    <cellStyle name="Normal 9 5 8 2 3" xfId="35628" xr:uid="{D13A2667-1021-49D5-8CF1-B5310C6C2862}"/>
    <cellStyle name="Normal 9 5 8 3" xfId="16449" xr:uid="{BB39C12B-0CEA-46A4-8A68-F5293B62BD77}"/>
    <cellStyle name="Normal 9 5 8 3 2" xfId="41941" xr:uid="{24E7E5F6-0BA6-47C1-8B94-37A3AF97BC63}"/>
    <cellStyle name="Normal 9 5 8 4" xfId="29350" xr:uid="{9F7BE0CE-874E-471A-B26C-7A4C23245490}"/>
    <cellStyle name="Normal 9 5 9" xfId="6906" xr:uid="{745A6024-7053-461A-BC75-3E5A0D4D1A13}"/>
    <cellStyle name="Normal 9 5 9 2" xfId="19588" xr:uid="{D999F69D-FBFE-4A0D-8AE3-727B6ABC6A7E}"/>
    <cellStyle name="Normal 9 5 9 2 2" xfId="45080" xr:uid="{42A69E0C-D319-46D4-AC6C-37784FFA2CD5}"/>
    <cellStyle name="Normal 9 5 9 3" xfId="32489" xr:uid="{C4641886-508E-40A6-AA17-8DCF9C5A3A58}"/>
    <cellStyle name="Normal 9 6" xfId="525" xr:uid="{55D8D50C-E9D7-49FE-B21A-0329403B19B9}"/>
    <cellStyle name="Normal 9 6 10" xfId="13252" xr:uid="{6B63FB13-CB75-4DA2-890A-036C08571F25}"/>
    <cellStyle name="Normal 9 6 10 2" xfId="38744" xr:uid="{C8A57E7A-94FF-46E8-BFB1-ABAC1377A428}"/>
    <cellStyle name="Normal 9 6 11" xfId="26153" xr:uid="{80864D6B-D173-4693-9400-D5CBE5F4AB4F}"/>
    <cellStyle name="Normal 9 6 2" xfId="1062" xr:uid="{A89EBC85-7547-4F6B-9435-3371E0C5ABD3}"/>
    <cellStyle name="Normal 9 6 2 2" xfId="2369" xr:uid="{1D4ABF29-37B8-4176-84F5-B4BE3393E5A2}"/>
    <cellStyle name="Normal 9 6 2 2 2" xfId="5523" xr:uid="{732B4CBF-2A0D-4EFC-9CF0-9990F994E21D}"/>
    <cellStyle name="Normal 9 6 2 2 2 2" xfId="11816" xr:uid="{484923BB-86E0-46F0-BD9B-F460DDAE42BF}"/>
    <cellStyle name="Normal 9 6 2 2 2 2 2" xfId="24498" xr:uid="{40556D0D-ABD1-4159-9B7D-5A5465ECE8D0}"/>
    <cellStyle name="Normal 9 6 2 2 2 2 2 2" xfId="49990" xr:uid="{CB6F230E-3F07-4171-A908-91944DA204A2}"/>
    <cellStyle name="Normal 9 6 2 2 2 2 3" xfId="37399" xr:uid="{DC1E4835-4018-480F-AFC2-9D1510437B4E}"/>
    <cellStyle name="Normal 9 6 2 2 2 3" xfId="18220" xr:uid="{E4C4715B-E288-4BC9-AFCC-8857F45E34DB}"/>
    <cellStyle name="Normal 9 6 2 2 2 3 2" xfId="43712" xr:uid="{87C2ECA0-56A2-40AE-AEA0-A9D0B4F99E60}"/>
    <cellStyle name="Normal 9 6 2 2 2 4" xfId="31121" xr:uid="{3CA7BB1C-833A-47D9-8BA5-EDC0D44FAAB0}"/>
    <cellStyle name="Normal 9 6 2 2 3" xfId="8677" xr:uid="{4872A732-775A-4039-8C18-F5E238B052FA}"/>
    <cellStyle name="Normal 9 6 2 2 3 2" xfId="21359" xr:uid="{C5F5F95C-DDAC-44A1-BD3E-AF0264E9B71D}"/>
    <cellStyle name="Normal 9 6 2 2 3 2 2" xfId="46851" xr:uid="{0D4A7020-0160-416F-A1BD-356C577115CB}"/>
    <cellStyle name="Normal 9 6 2 2 3 3" xfId="34260" xr:uid="{028DED6F-81FD-4773-9DA3-88D9A203D547}"/>
    <cellStyle name="Normal 9 6 2 2 4" xfId="15081" xr:uid="{C94B682A-17BA-4320-8E90-5C664DEEBD3D}"/>
    <cellStyle name="Normal 9 6 2 2 4 2" xfId="40573" xr:uid="{12465EDF-17FD-4D8F-9BC7-E18FBBBA9834}"/>
    <cellStyle name="Normal 9 6 2 2 5" xfId="27982" xr:uid="{DDB0E2D0-9C75-4662-BF5C-D5BCB5704A52}"/>
    <cellStyle name="Normal 9 6 2 3" xfId="1586" xr:uid="{8F436A79-B8EC-4682-8E29-939DBAE5CD2E}"/>
    <cellStyle name="Normal 9 6 2 3 2" xfId="4740" xr:uid="{584A58F1-F875-4DDD-98C5-71C2F7C4C184}"/>
    <cellStyle name="Normal 9 6 2 3 2 2" xfId="11033" xr:uid="{DB3ABDDB-27C5-48F3-9DA0-11FA2A488788}"/>
    <cellStyle name="Normal 9 6 2 3 2 2 2" xfId="23715" xr:uid="{E98E643D-C61A-4D2E-A645-FBE0790A31E6}"/>
    <cellStyle name="Normal 9 6 2 3 2 2 2 2" xfId="49207" xr:uid="{FD08D1A0-3B2A-47A5-B69E-3D80BA3F4DF0}"/>
    <cellStyle name="Normal 9 6 2 3 2 2 3" xfId="36616" xr:uid="{5E672571-F4A3-429D-969C-182968339F3F}"/>
    <cellStyle name="Normal 9 6 2 3 2 3" xfId="17437" xr:uid="{32AC5DCA-3E2B-43FF-9BE8-B800121A7ADE}"/>
    <cellStyle name="Normal 9 6 2 3 2 3 2" xfId="42929" xr:uid="{68FB44D3-F4D6-4622-A068-1A774BEBC473}"/>
    <cellStyle name="Normal 9 6 2 3 2 4" xfId="30338" xr:uid="{7475203D-1C3B-4A2B-8099-8953F76E4CB6}"/>
    <cellStyle name="Normal 9 6 2 3 3" xfId="7894" xr:uid="{92404D1F-865F-4966-8074-5804137EA0BE}"/>
    <cellStyle name="Normal 9 6 2 3 3 2" xfId="20576" xr:uid="{9ED25668-9222-425F-A70D-494B358F6F32}"/>
    <cellStyle name="Normal 9 6 2 3 3 2 2" xfId="46068" xr:uid="{612F2762-535B-4B36-8370-8CE2197207D7}"/>
    <cellStyle name="Normal 9 6 2 3 3 3" xfId="33477" xr:uid="{6C95B752-AA8C-4837-B1E6-CCB8B8581467}"/>
    <cellStyle name="Normal 9 6 2 3 4" xfId="14298" xr:uid="{77093535-CDBB-4FDF-9111-930CE57CDA96}"/>
    <cellStyle name="Normal 9 6 2 3 4 2" xfId="39790" xr:uid="{823BF374-625C-40F5-8867-394624DC4C52}"/>
    <cellStyle name="Normal 9 6 2 3 5" xfId="27199" xr:uid="{EA4FB17D-D8D7-4E05-BEC4-C390FA6ACB17}"/>
    <cellStyle name="Normal 9 6 2 4" xfId="2893" xr:uid="{AEC43841-9B73-46FC-99ED-416CC7328014}"/>
    <cellStyle name="Normal 9 6 2 4 2" xfId="6047" xr:uid="{30BA5450-30A6-4419-9323-59A52052E951}"/>
    <cellStyle name="Normal 9 6 2 4 2 2" xfId="12340" xr:uid="{6634844E-1A42-45BF-9356-AD308D31FE3E}"/>
    <cellStyle name="Normal 9 6 2 4 2 2 2" xfId="25022" xr:uid="{16362C3C-1A11-449F-A311-9629E78C41A9}"/>
    <cellStyle name="Normal 9 6 2 4 2 2 2 2" xfId="50514" xr:uid="{A1B6DFEC-C62B-4DA4-932E-CD6C1F8436C7}"/>
    <cellStyle name="Normal 9 6 2 4 2 2 3" xfId="37923" xr:uid="{5CD8A07A-2400-47F3-ACD7-E1E8AEE3310B}"/>
    <cellStyle name="Normal 9 6 2 4 2 3" xfId="18744" xr:uid="{A659DBAC-CD86-46BF-90C0-1CFD47F7C0FF}"/>
    <cellStyle name="Normal 9 6 2 4 2 3 2" xfId="44236" xr:uid="{A9DED697-1BFF-4E8A-BE87-854636A00D8D}"/>
    <cellStyle name="Normal 9 6 2 4 2 4" xfId="31645" xr:uid="{CAA30FCC-0DC9-4346-AEF0-DA65113AAA71}"/>
    <cellStyle name="Normal 9 6 2 4 3" xfId="9201" xr:uid="{04F39D69-79D8-4310-AA53-8DA3892D50F9}"/>
    <cellStyle name="Normal 9 6 2 4 3 2" xfId="21883" xr:uid="{1B219D04-BFEE-416F-BA1B-86BC21E08047}"/>
    <cellStyle name="Normal 9 6 2 4 3 2 2" xfId="47375" xr:uid="{D5606057-140D-40CD-9387-2042A368C595}"/>
    <cellStyle name="Normal 9 6 2 4 3 3" xfId="34784" xr:uid="{13F2AE5F-0742-4801-8C16-7AB9A6B9EB8B}"/>
    <cellStyle name="Normal 9 6 2 4 4" xfId="15605" xr:uid="{66EBF439-1CE6-46A9-BE68-2BD3680D79EC}"/>
    <cellStyle name="Normal 9 6 2 4 4 2" xfId="41097" xr:uid="{A06BD74D-3F69-4772-BD30-43CBDFB98418}"/>
    <cellStyle name="Normal 9 6 2 4 5" xfId="28506" xr:uid="{6331A192-2F10-46B1-86F9-BCFBB3AEC578}"/>
    <cellStyle name="Normal 9 6 2 5" xfId="3416" xr:uid="{241D441C-07AF-4C17-B939-1AB93CC7F2FD}"/>
    <cellStyle name="Normal 9 6 2 5 2" xfId="6570" xr:uid="{58A0D2C4-4C68-480E-B0E5-C77DF5000712}"/>
    <cellStyle name="Normal 9 6 2 5 2 2" xfId="12863" xr:uid="{9DFD7678-1BCD-4D89-82EA-1B0B58814631}"/>
    <cellStyle name="Normal 9 6 2 5 2 2 2" xfId="25545" xr:uid="{809D9FE5-0389-4155-9C17-BEB96DD25BC5}"/>
    <cellStyle name="Normal 9 6 2 5 2 2 2 2" xfId="51037" xr:uid="{32580560-B83C-4517-B22A-2EB98883B602}"/>
    <cellStyle name="Normal 9 6 2 5 2 2 3" xfId="38446" xr:uid="{10F57055-8DC9-44F8-9122-934F0EC6AFCF}"/>
    <cellStyle name="Normal 9 6 2 5 2 3" xfId="19267" xr:uid="{C19218F8-07F7-470B-B416-B02D985A182D}"/>
    <cellStyle name="Normal 9 6 2 5 2 3 2" xfId="44759" xr:uid="{126AAEF4-2B57-4A7F-9001-13E8814207DD}"/>
    <cellStyle name="Normal 9 6 2 5 2 4" xfId="32168" xr:uid="{1CD67B1B-5717-4B76-93EC-0891D9CFFFF8}"/>
    <cellStyle name="Normal 9 6 2 5 3" xfId="9724" xr:uid="{B0A65C94-ED52-4E2B-B342-E2B5F211E4F8}"/>
    <cellStyle name="Normal 9 6 2 5 3 2" xfId="22406" xr:uid="{26A93CA3-B505-4A60-AD95-74FA4A448945}"/>
    <cellStyle name="Normal 9 6 2 5 3 2 2" xfId="47898" xr:uid="{50EBA362-ED0C-4BFD-AEE8-0D9E424F8901}"/>
    <cellStyle name="Normal 9 6 2 5 3 3" xfId="35307" xr:uid="{85C63A75-D7B9-479D-AAC3-F0EAEA393DA8}"/>
    <cellStyle name="Normal 9 6 2 5 4" xfId="16128" xr:uid="{B3DFBB8C-B442-4F4E-AA67-60F98604156F}"/>
    <cellStyle name="Normal 9 6 2 5 4 2" xfId="41620" xr:uid="{B69AB005-F2AB-47B4-A272-1E52BDCF0EF9}"/>
    <cellStyle name="Normal 9 6 2 5 5" xfId="29029" xr:uid="{7AE4CE32-EA10-4F25-A1FC-EA7424521305}"/>
    <cellStyle name="Normal 9 6 2 6" xfId="4216" xr:uid="{9D086FB9-1EB9-461F-ABED-90F1890D3B86}"/>
    <cellStyle name="Normal 9 6 2 6 2" xfId="10509" xr:uid="{8AA5CC9B-68E6-4522-877E-3DD90224F692}"/>
    <cellStyle name="Normal 9 6 2 6 2 2" xfId="23191" xr:uid="{C231B2E5-6C3B-4CF0-BC3D-BC8BCCF0EFC0}"/>
    <cellStyle name="Normal 9 6 2 6 2 2 2" xfId="48683" xr:uid="{FBE5A65B-AE4C-48CD-B6C6-318E10790284}"/>
    <cellStyle name="Normal 9 6 2 6 2 3" xfId="36092" xr:uid="{D4E09AD4-E4B4-42BB-869D-1AA2C2F04E86}"/>
    <cellStyle name="Normal 9 6 2 6 3" xfId="16913" xr:uid="{AF4EC493-433F-487B-A306-A2E2BA4129B5}"/>
    <cellStyle name="Normal 9 6 2 6 3 2" xfId="42405" xr:uid="{12946895-E0C1-42C3-8276-FF3E92FDEB1E}"/>
    <cellStyle name="Normal 9 6 2 6 4" xfId="29814" xr:uid="{D6CCA6E0-31B5-4A06-8BE8-5F7C0FD77613}"/>
    <cellStyle name="Normal 9 6 2 7" xfId="7370" xr:uid="{3642B065-9850-4A0E-AA9B-615ED95322CE}"/>
    <cellStyle name="Normal 9 6 2 7 2" xfId="20052" xr:uid="{155232A4-8992-4107-833F-FAF253DDA350}"/>
    <cellStyle name="Normal 9 6 2 7 2 2" xfId="45544" xr:uid="{28AC5C63-F420-4F09-A715-6E64D4B9CE79}"/>
    <cellStyle name="Normal 9 6 2 7 3" xfId="32953" xr:uid="{07C969E7-7D32-4739-B6E7-1897720FD3F7}"/>
    <cellStyle name="Normal 9 6 2 8" xfId="13774" xr:uid="{A8B225F8-2268-46E1-B082-2C53E01D56BE}"/>
    <cellStyle name="Normal 9 6 2 8 2" xfId="39266" xr:uid="{54F4A5B6-653C-4C7C-A1D3-31BDE871C065}"/>
    <cellStyle name="Normal 9 6 2 9" xfId="26675" xr:uid="{7D51553A-C21F-47C4-B2EC-2FFD0583D605}"/>
    <cellStyle name="Normal 9 6 3" xfId="802" xr:uid="{3527D488-F4FF-4AC2-ADB4-B7EE45EB722E}"/>
    <cellStyle name="Normal 9 6 3 2" xfId="2109" xr:uid="{C6A522ED-5B1D-41AE-B52E-FD207E36AF45}"/>
    <cellStyle name="Normal 9 6 3 2 2" xfId="5263" xr:uid="{1E1F869E-0035-4B7D-A0E2-14F569248CC5}"/>
    <cellStyle name="Normal 9 6 3 2 2 2" xfId="11556" xr:uid="{2D0CEBD5-2D0C-479D-A8BB-E65E1B160E4A}"/>
    <cellStyle name="Normal 9 6 3 2 2 2 2" xfId="24238" xr:uid="{820E7F6F-9E97-4BAC-80E7-7E67DD396C43}"/>
    <cellStyle name="Normal 9 6 3 2 2 2 2 2" xfId="49730" xr:uid="{4EA08B86-DEDB-4FF9-B71B-545894C8A975}"/>
    <cellStyle name="Normal 9 6 3 2 2 2 3" xfId="37139" xr:uid="{EC3E5718-BE49-4FB5-82A6-6D9B9BD8C018}"/>
    <cellStyle name="Normal 9 6 3 2 2 3" xfId="17960" xr:uid="{C6AA8D44-5C6E-4C57-9CB2-86831340CCD3}"/>
    <cellStyle name="Normal 9 6 3 2 2 3 2" xfId="43452" xr:uid="{AA96464B-D221-4544-9310-0542737124A4}"/>
    <cellStyle name="Normal 9 6 3 2 2 4" xfId="30861" xr:uid="{A48DF6CA-DFD6-469F-B224-26492031AFBA}"/>
    <cellStyle name="Normal 9 6 3 2 3" xfId="8417" xr:uid="{D7B9EDF9-8903-45BB-811D-E3897F687B6E}"/>
    <cellStyle name="Normal 9 6 3 2 3 2" xfId="21099" xr:uid="{3A121F8E-3428-40FB-ADE4-ED8ABAE46437}"/>
    <cellStyle name="Normal 9 6 3 2 3 2 2" xfId="46591" xr:uid="{8D723365-4AEF-4AD7-8DEA-EF3FDDCC7FBC}"/>
    <cellStyle name="Normal 9 6 3 2 3 3" xfId="34000" xr:uid="{82B8ECF2-E649-4E10-95C0-F089478BF536}"/>
    <cellStyle name="Normal 9 6 3 2 4" xfId="14821" xr:uid="{32D45DC0-A950-486E-8084-02D318108D08}"/>
    <cellStyle name="Normal 9 6 3 2 4 2" xfId="40313" xr:uid="{E613849F-1CFF-46D5-87B9-18D85F48E97B}"/>
    <cellStyle name="Normal 9 6 3 2 5" xfId="27722" xr:uid="{2DF7BA86-823E-49E7-B19B-F46F38271844}"/>
    <cellStyle name="Normal 9 6 3 3" xfId="3956" xr:uid="{20DC9B3C-6A25-4E27-BA5B-615B6A9FA9C6}"/>
    <cellStyle name="Normal 9 6 3 3 2" xfId="10249" xr:uid="{B774B69C-6A6B-400E-A2BB-A2F35B579C71}"/>
    <cellStyle name="Normal 9 6 3 3 2 2" xfId="22931" xr:uid="{A24DE0EC-B298-446D-B750-5F98E98CA4C3}"/>
    <cellStyle name="Normal 9 6 3 3 2 2 2" xfId="48423" xr:uid="{3D08B953-A12C-4F83-A53F-7E703BC24BB2}"/>
    <cellStyle name="Normal 9 6 3 3 2 3" xfId="35832" xr:uid="{9CF991F6-33E4-4C2E-91F7-B11CF92CDA7E}"/>
    <cellStyle name="Normal 9 6 3 3 3" xfId="16653" xr:uid="{B8A29ACB-F0E7-4385-B41B-3E15D63B6737}"/>
    <cellStyle name="Normal 9 6 3 3 3 2" xfId="42145" xr:uid="{137358B9-EBE7-4201-BE4D-03103132F61C}"/>
    <cellStyle name="Normal 9 6 3 3 4" xfId="29554" xr:uid="{2374222E-D23A-4B35-9E98-854E733E1240}"/>
    <cellStyle name="Normal 9 6 3 4" xfId="7110" xr:uid="{E26D740F-FEBA-4EE2-9E80-0FEF7385C86C}"/>
    <cellStyle name="Normal 9 6 3 4 2" xfId="19792" xr:uid="{D73744B2-5BD3-482F-8B8D-36F35F59BB50}"/>
    <cellStyle name="Normal 9 6 3 4 2 2" xfId="45284" xr:uid="{CF1062D7-8D22-4FD6-811D-8352ED09F6A9}"/>
    <cellStyle name="Normal 9 6 3 4 3" xfId="32693" xr:uid="{E2B4C49E-B46D-477A-9A76-115B3CF9EAE8}"/>
    <cellStyle name="Normal 9 6 3 5" xfId="13514" xr:uid="{43A6E984-E57C-46F3-8492-1216F191E278}"/>
    <cellStyle name="Normal 9 6 3 5 2" xfId="39006" xr:uid="{96710DC3-71E1-4799-B527-64E5C45408A0}"/>
    <cellStyle name="Normal 9 6 3 6" xfId="26415" xr:uid="{49350293-6366-4843-8694-703D5C39EE51}"/>
    <cellStyle name="Normal 9 6 4" xfId="1847" xr:uid="{FAAD9E9C-8DE5-4C98-8654-04D82A009895}"/>
    <cellStyle name="Normal 9 6 4 2" xfId="5001" xr:uid="{BE4EDC65-6253-47EC-ADCE-F6A7DCBD03EF}"/>
    <cellStyle name="Normal 9 6 4 2 2" xfId="11294" xr:uid="{31C68932-FF93-41F6-BD1B-79A6AF17A229}"/>
    <cellStyle name="Normal 9 6 4 2 2 2" xfId="23976" xr:uid="{8077D56C-3B7A-41C6-B4EE-34DC606DB2EF}"/>
    <cellStyle name="Normal 9 6 4 2 2 2 2" xfId="49468" xr:uid="{6A1F714F-E109-46D3-8CAA-860464717DDD}"/>
    <cellStyle name="Normal 9 6 4 2 2 3" xfId="36877" xr:uid="{5A030BCD-69AC-4115-9F2A-55AADF5CDE54}"/>
    <cellStyle name="Normal 9 6 4 2 3" xfId="17698" xr:uid="{A92FC5EA-41A6-4A5F-B426-5047B6F0D213}"/>
    <cellStyle name="Normal 9 6 4 2 3 2" xfId="43190" xr:uid="{8E171353-B727-49AC-BA8F-9FEB88BEDDA8}"/>
    <cellStyle name="Normal 9 6 4 2 4" xfId="30599" xr:uid="{EC30CC50-9548-42AF-B9E2-F50F16662CA9}"/>
    <cellStyle name="Normal 9 6 4 3" xfId="8155" xr:uid="{AE58BAE8-645A-4948-ABF4-F4C53D004DA5}"/>
    <cellStyle name="Normal 9 6 4 3 2" xfId="20837" xr:uid="{9413B21C-A551-4EDC-80A2-C68EF0020489}"/>
    <cellStyle name="Normal 9 6 4 3 2 2" xfId="46329" xr:uid="{3808588A-6477-4D2D-A5A3-33ED29C3FC60}"/>
    <cellStyle name="Normal 9 6 4 3 3" xfId="33738" xr:uid="{6D698003-8503-41B5-A910-C6696444F015}"/>
    <cellStyle name="Normal 9 6 4 4" xfId="14559" xr:uid="{B633FCB3-9B6C-4131-AF8B-E56AED8335D6}"/>
    <cellStyle name="Normal 9 6 4 4 2" xfId="40051" xr:uid="{461C9178-BC2F-4200-AF9B-D9BB8867CE49}"/>
    <cellStyle name="Normal 9 6 4 5" xfId="27460" xr:uid="{3A4027E7-DC65-41CA-BEAA-6956E4995FD9}"/>
    <cellStyle name="Normal 9 6 5" xfId="1325" xr:uid="{9E2822BE-7A09-49FE-93DE-37FF4F63B7CB}"/>
    <cellStyle name="Normal 9 6 5 2" xfId="4479" xr:uid="{DD51E6ED-F871-4B47-B548-3AF5B705F5BD}"/>
    <cellStyle name="Normal 9 6 5 2 2" xfId="10772" xr:uid="{FF8C4294-8E55-453E-85F3-8A5681882BAF}"/>
    <cellStyle name="Normal 9 6 5 2 2 2" xfId="23454" xr:uid="{C79068BA-F5E4-47FB-9224-43FA669D8C52}"/>
    <cellStyle name="Normal 9 6 5 2 2 2 2" xfId="48946" xr:uid="{F1997521-F9F1-45B0-AF6D-3F875AAA49D1}"/>
    <cellStyle name="Normal 9 6 5 2 2 3" xfId="36355" xr:uid="{844FAA42-B76F-4050-9F0A-4FA40F2C539A}"/>
    <cellStyle name="Normal 9 6 5 2 3" xfId="17176" xr:uid="{EB418F6A-BCD6-427B-9B10-F3718ACAD089}"/>
    <cellStyle name="Normal 9 6 5 2 3 2" xfId="42668" xr:uid="{5F13A2A3-7CA9-4429-A627-63CD87B7A2A7}"/>
    <cellStyle name="Normal 9 6 5 2 4" xfId="30077" xr:uid="{7D313B65-47D2-4E40-AFC1-C5422D3F2A99}"/>
    <cellStyle name="Normal 9 6 5 3" xfId="7633" xr:uid="{636493E0-2F5D-4F5B-A5A2-B57450DDDAD3}"/>
    <cellStyle name="Normal 9 6 5 3 2" xfId="20315" xr:uid="{0921DE6D-8B1B-413A-B85D-3F1F339FEF6C}"/>
    <cellStyle name="Normal 9 6 5 3 2 2" xfId="45807" xr:uid="{E94FE7C0-BF04-4AC0-8C1D-1F5F7E83FDCF}"/>
    <cellStyle name="Normal 9 6 5 3 3" xfId="33216" xr:uid="{1BB6B4B7-5A3F-4BD7-BC50-E5276106B989}"/>
    <cellStyle name="Normal 9 6 5 4" xfId="14037" xr:uid="{BE88DAFE-B29E-4915-9271-1DE4722FCF53}"/>
    <cellStyle name="Normal 9 6 5 4 2" xfId="39529" xr:uid="{209FBF8A-E355-4096-83D4-BFADE8D5A6A8}"/>
    <cellStyle name="Normal 9 6 5 5" xfId="26938" xr:uid="{B39A7C26-403C-48CB-A339-C71308FF35B7}"/>
    <cellStyle name="Normal 9 6 6" xfId="2632" xr:uid="{BC1446F0-A136-4FB5-A157-7BFE8B76D3C5}"/>
    <cellStyle name="Normal 9 6 6 2" xfId="5786" xr:uid="{08E23D59-F2A6-462C-A72E-F35D8161BB67}"/>
    <cellStyle name="Normal 9 6 6 2 2" xfId="12079" xr:uid="{D938F93C-CFD1-4DB7-9A48-59C9E829B612}"/>
    <cellStyle name="Normal 9 6 6 2 2 2" xfId="24761" xr:uid="{9D438476-B17A-4A4C-B9BA-39167998531C}"/>
    <cellStyle name="Normal 9 6 6 2 2 2 2" xfId="50253" xr:uid="{A10B4829-A6B2-4A85-993F-92DD1796D04F}"/>
    <cellStyle name="Normal 9 6 6 2 2 3" xfId="37662" xr:uid="{53FA877C-7F4E-47BC-AEC0-BFDE3DE80FA3}"/>
    <cellStyle name="Normal 9 6 6 2 3" xfId="18483" xr:uid="{CEEA3208-B6A6-485F-88B9-34B321F2A2F9}"/>
    <cellStyle name="Normal 9 6 6 2 3 2" xfId="43975" xr:uid="{5A532A66-9FDA-4ED3-8D94-962B2A9AE60B}"/>
    <cellStyle name="Normal 9 6 6 2 4" xfId="31384" xr:uid="{1E3B29DC-1D72-4C97-AD4F-C41B0A081EDD}"/>
    <cellStyle name="Normal 9 6 6 3" xfId="8940" xr:uid="{AE570A1B-4C28-4BE2-B513-F77A4C32A322}"/>
    <cellStyle name="Normal 9 6 6 3 2" xfId="21622" xr:uid="{10F7220D-E020-4638-9062-6D383064FB94}"/>
    <cellStyle name="Normal 9 6 6 3 2 2" xfId="47114" xr:uid="{44D6D275-D3D1-41E2-BB2C-7A99BB01B37D}"/>
    <cellStyle name="Normal 9 6 6 3 3" xfId="34523" xr:uid="{D2417E27-B799-4FD5-82DD-42774CC70C95}"/>
    <cellStyle name="Normal 9 6 6 4" xfId="15344" xr:uid="{64462196-B9C9-4E75-AABA-3AE5F40A3B26}"/>
    <cellStyle name="Normal 9 6 6 4 2" xfId="40836" xr:uid="{C7C211DA-ACB2-438C-8B1E-46143F77F598}"/>
    <cellStyle name="Normal 9 6 6 5" xfId="28245" xr:uid="{314B74F6-29D2-4AB9-859B-9AC50E6F7231}"/>
    <cellStyle name="Normal 9 6 7" xfId="3155" xr:uid="{CA0DF74C-C9D4-4560-82D2-91834A2072E0}"/>
    <cellStyle name="Normal 9 6 7 2" xfId="6309" xr:uid="{6907E537-E93A-4210-BF15-A1E9875AD1FD}"/>
    <cellStyle name="Normal 9 6 7 2 2" xfId="12602" xr:uid="{0D0C9B67-5D5F-4539-A80C-48B800617985}"/>
    <cellStyle name="Normal 9 6 7 2 2 2" xfId="25284" xr:uid="{D9243CED-3179-4BB5-94FB-70833E32E6E2}"/>
    <cellStyle name="Normal 9 6 7 2 2 2 2" xfId="50776" xr:uid="{FA7944D6-6DD4-419C-AEAF-48FEA52FEDED}"/>
    <cellStyle name="Normal 9 6 7 2 2 3" xfId="38185" xr:uid="{828FAF0D-9D58-4FBD-9B7F-FEA00BC1570E}"/>
    <cellStyle name="Normal 9 6 7 2 3" xfId="19006" xr:uid="{F9AF2B15-F9B1-4735-A263-ECF8329A1D02}"/>
    <cellStyle name="Normal 9 6 7 2 3 2" xfId="44498" xr:uid="{712D07F4-764E-48F8-BA79-A62A8AC2948B}"/>
    <cellStyle name="Normal 9 6 7 2 4" xfId="31907" xr:uid="{B2619880-CBE8-42C6-963A-338705B2C652}"/>
    <cellStyle name="Normal 9 6 7 3" xfId="9463" xr:uid="{E4644278-3525-4FF5-8EEB-23840C7ED9E2}"/>
    <cellStyle name="Normal 9 6 7 3 2" xfId="22145" xr:uid="{FFD1D028-AFEA-433C-BE34-EBBA5089CA01}"/>
    <cellStyle name="Normal 9 6 7 3 2 2" xfId="47637" xr:uid="{1D74E43A-33F7-492D-9FEC-4A6C5E3A86CC}"/>
    <cellStyle name="Normal 9 6 7 3 3" xfId="35046" xr:uid="{D22BE519-5768-49D7-9C2E-61B48D45B47E}"/>
    <cellStyle name="Normal 9 6 7 4" xfId="15867" xr:uid="{C3E65A17-2EA2-4CCE-9C83-90729F743315}"/>
    <cellStyle name="Normal 9 6 7 4 2" xfId="41359" xr:uid="{4FBEE62F-2500-4469-A304-E01B9D9DC490}"/>
    <cellStyle name="Normal 9 6 7 5" xfId="28768" xr:uid="{AB905E22-F8C1-40CA-B5D7-81E5BCBADE3C}"/>
    <cellStyle name="Normal 9 6 8" xfId="3694" xr:uid="{40DC5623-049C-4EBC-A029-94EF10D1BF77}"/>
    <cellStyle name="Normal 9 6 8 2" xfId="9987" xr:uid="{7C89412C-F74A-4E7E-9B81-96B932F55464}"/>
    <cellStyle name="Normal 9 6 8 2 2" xfId="22669" xr:uid="{8D1A25CC-409F-4C21-B6EE-727BC01BC055}"/>
    <cellStyle name="Normal 9 6 8 2 2 2" xfId="48161" xr:uid="{6A0F8FF9-E432-420F-8A37-6CE0B9C10658}"/>
    <cellStyle name="Normal 9 6 8 2 3" xfId="35570" xr:uid="{39650BB6-05E9-406B-94FB-87D8CC707218}"/>
    <cellStyle name="Normal 9 6 8 3" xfId="16391" xr:uid="{47CF421D-FAA6-4CF9-A58C-452E2901B23D}"/>
    <cellStyle name="Normal 9 6 8 3 2" xfId="41883" xr:uid="{4BC62FFD-A138-4336-BE8D-654C1D246CA1}"/>
    <cellStyle name="Normal 9 6 8 4" xfId="29292" xr:uid="{2DB3D5C9-2B5D-41F2-8F4F-7F0E930F5F14}"/>
    <cellStyle name="Normal 9 6 9" xfId="6848" xr:uid="{D138AB8A-A45B-4159-9DEC-5B84F3C73DCE}"/>
    <cellStyle name="Normal 9 6 9 2" xfId="19530" xr:uid="{36092474-A2F7-4E9C-901E-F9A9C5B4277F}"/>
    <cellStyle name="Normal 9 6 9 2 2" xfId="45022" xr:uid="{9CA3428C-7CCC-48FE-953F-6FA29F8129AD}"/>
    <cellStyle name="Normal 9 6 9 3" xfId="32431" xr:uid="{D3AFF6F0-78C8-44FF-81A3-650C2374F7B7}"/>
    <cellStyle name="Normal 9 7" xfId="961" xr:uid="{8B8A6132-06C9-4236-AD77-B6588F3F9445}"/>
    <cellStyle name="Normal 9 7 2" xfId="2268" xr:uid="{EB4E08B7-18DA-471F-A30C-384FA7ACCAD1}"/>
    <cellStyle name="Normal 9 7 2 2" xfId="5422" xr:uid="{58425BD7-60D6-48D9-B483-ACB880B54EB0}"/>
    <cellStyle name="Normal 9 7 2 2 2" xfId="11715" xr:uid="{EC8ADD8B-7F03-4487-B1AD-0025EBB02067}"/>
    <cellStyle name="Normal 9 7 2 2 2 2" xfId="24397" xr:uid="{CAF40A63-971E-4EA4-BCF2-DFE2FE5D80AC}"/>
    <cellStyle name="Normal 9 7 2 2 2 2 2" xfId="49889" xr:uid="{F04FD389-999D-47D9-B3FC-72B9CA4A9015}"/>
    <cellStyle name="Normal 9 7 2 2 2 3" xfId="37298" xr:uid="{AF2AD57B-0345-41A4-B324-8D4C3C21349E}"/>
    <cellStyle name="Normal 9 7 2 2 3" xfId="18119" xr:uid="{CF8E52D2-33D1-48AE-B6DE-9A07B71F85BA}"/>
    <cellStyle name="Normal 9 7 2 2 3 2" xfId="43611" xr:uid="{775D778D-7CD2-4DD1-909A-B05A944D2BEF}"/>
    <cellStyle name="Normal 9 7 2 2 4" xfId="31020" xr:uid="{16F94AD1-791C-4E60-B45C-F3AF5D0A50C4}"/>
    <cellStyle name="Normal 9 7 2 3" xfId="8576" xr:uid="{48FF7FF8-E7D9-4590-8522-64D4F10128F2}"/>
    <cellStyle name="Normal 9 7 2 3 2" xfId="21258" xr:uid="{757FB3CD-234C-4EAC-9F48-7371B4F4452D}"/>
    <cellStyle name="Normal 9 7 2 3 2 2" xfId="46750" xr:uid="{ABE6A9C1-174C-48F5-B706-E9C4168F7980}"/>
    <cellStyle name="Normal 9 7 2 3 3" xfId="34159" xr:uid="{B9FE8268-8F3E-4149-B1D8-7497FF406075}"/>
    <cellStyle name="Normal 9 7 2 4" xfId="14980" xr:uid="{C8274CB1-5C72-44C5-A040-43C2B45E7B6D}"/>
    <cellStyle name="Normal 9 7 2 4 2" xfId="40472" xr:uid="{3576A1B0-E142-40BB-92E6-BF1B107D12A0}"/>
    <cellStyle name="Normal 9 7 2 5" xfId="27881" xr:uid="{39956F87-7A4A-4597-9983-876CB9ADA27F}"/>
    <cellStyle name="Normal 9 7 3" xfId="1485" xr:uid="{53BCA479-78BD-4031-8A77-FB466B21407C}"/>
    <cellStyle name="Normal 9 7 3 2" xfId="4639" xr:uid="{6A5D691B-8188-4743-886A-568CC607784E}"/>
    <cellStyle name="Normal 9 7 3 2 2" xfId="10932" xr:uid="{946C2144-6203-4B3D-BB18-B3FE189ECD60}"/>
    <cellStyle name="Normal 9 7 3 2 2 2" xfId="23614" xr:uid="{CBD9D8C8-B2CC-4F3F-9AF2-6A352EC36C27}"/>
    <cellStyle name="Normal 9 7 3 2 2 2 2" xfId="49106" xr:uid="{39F12322-3716-40F6-973B-839778F9A0B2}"/>
    <cellStyle name="Normal 9 7 3 2 2 3" xfId="36515" xr:uid="{07F85D14-E852-4DEF-80EE-8C289F35C89E}"/>
    <cellStyle name="Normal 9 7 3 2 3" xfId="17336" xr:uid="{709E4C9F-01CC-403E-9986-62E83C657007}"/>
    <cellStyle name="Normal 9 7 3 2 3 2" xfId="42828" xr:uid="{E81DD7BB-100D-402B-B2D1-20A023931883}"/>
    <cellStyle name="Normal 9 7 3 2 4" xfId="30237" xr:uid="{54F519B2-0D93-48B1-92B5-D1725FC6F19A}"/>
    <cellStyle name="Normal 9 7 3 3" xfId="7793" xr:uid="{B75D14E1-74C7-49E0-841B-478314527D8D}"/>
    <cellStyle name="Normal 9 7 3 3 2" xfId="20475" xr:uid="{71697930-0F0A-442B-A811-95E2E752F726}"/>
    <cellStyle name="Normal 9 7 3 3 2 2" xfId="45967" xr:uid="{D773DBED-F098-4557-B5A6-FF41200F4319}"/>
    <cellStyle name="Normal 9 7 3 3 3" xfId="33376" xr:uid="{8468B9A8-78B2-4654-9C6C-3D094DF6F4F6}"/>
    <cellStyle name="Normal 9 7 3 4" xfId="14197" xr:uid="{0005473C-B0A2-4AAE-8BE8-184FDDE5D57D}"/>
    <cellStyle name="Normal 9 7 3 4 2" xfId="39689" xr:uid="{D33188B3-67E0-442C-AF8E-555A9900541F}"/>
    <cellStyle name="Normal 9 7 3 5" xfId="27098" xr:uid="{2CDA9DEF-1DE4-4136-B966-481632D970C3}"/>
    <cellStyle name="Normal 9 7 4" xfId="2792" xr:uid="{6BC34E20-59AC-4B38-B8EE-BEC20B874C98}"/>
    <cellStyle name="Normal 9 7 4 2" xfId="5946" xr:uid="{5DD2FD3B-AD53-4265-9B78-06A69103E98A}"/>
    <cellStyle name="Normal 9 7 4 2 2" xfId="12239" xr:uid="{091CCAA7-B415-414C-9654-395B4395D70F}"/>
    <cellStyle name="Normal 9 7 4 2 2 2" xfId="24921" xr:uid="{D77BE96C-0956-4F33-9920-3100F4AB40B2}"/>
    <cellStyle name="Normal 9 7 4 2 2 2 2" xfId="50413" xr:uid="{5A4D4FB5-D79C-4A7D-9603-6711953FCFC8}"/>
    <cellStyle name="Normal 9 7 4 2 2 3" xfId="37822" xr:uid="{1821516B-1BD8-4A17-ABEA-5117DCBA3E53}"/>
    <cellStyle name="Normal 9 7 4 2 3" xfId="18643" xr:uid="{B73B32CD-DABE-4BB8-990B-01BB49B81757}"/>
    <cellStyle name="Normal 9 7 4 2 3 2" xfId="44135" xr:uid="{D8C708A9-708E-4DD1-8D8C-BCFADE7F8A1B}"/>
    <cellStyle name="Normal 9 7 4 2 4" xfId="31544" xr:uid="{C9917F9E-41EF-4285-9053-55E0556E930A}"/>
    <cellStyle name="Normal 9 7 4 3" xfId="9100" xr:uid="{8BA88D1F-04E7-4710-9244-FA1B3E171513}"/>
    <cellStyle name="Normal 9 7 4 3 2" xfId="21782" xr:uid="{5802AA48-8DB5-4FAF-BD5C-ABEF558DDB38}"/>
    <cellStyle name="Normal 9 7 4 3 2 2" xfId="47274" xr:uid="{E0BC6CBB-E38A-4ED7-BF09-2F282F0E3E14}"/>
    <cellStyle name="Normal 9 7 4 3 3" xfId="34683" xr:uid="{EF673600-ADAA-4177-81E9-89565B350BD9}"/>
    <cellStyle name="Normal 9 7 4 4" xfId="15504" xr:uid="{EC72133A-CCBD-4592-A4C9-0487F86D3560}"/>
    <cellStyle name="Normal 9 7 4 4 2" xfId="40996" xr:uid="{D1BEF99B-108F-42A5-826C-861FD6C74646}"/>
    <cellStyle name="Normal 9 7 4 5" xfId="28405" xr:uid="{A0122A68-F29F-4AB2-BE86-8ADD4C104501}"/>
    <cellStyle name="Normal 9 7 5" xfId="3315" xr:uid="{73CD1B78-8041-4E42-85F9-D365554A24E0}"/>
    <cellStyle name="Normal 9 7 5 2" xfId="6469" xr:uid="{D26C4292-47FB-4F35-93F4-75630A06B379}"/>
    <cellStyle name="Normal 9 7 5 2 2" xfId="12762" xr:uid="{86962DCF-E30A-403B-B819-9819FDB4B667}"/>
    <cellStyle name="Normal 9 7 5 2 2 2" xfId="25444" xr:uid="{09818951-DB45-4D3B-9025-88709BD44409}"/>
    <cellStyle name="Normal 9 7 5 2 2 2 2" xfId="50936" xr:uid="{D2A4A6F9-079B-4965-9243-5189D930F290}"/>
    <cellStyle name="Normal 9 7 5 2 2 3" xfId="38345" xr:uid="{C4D1129A-FFCF-4F48-97A6-67ED3489185F}"/>
    <cellStyle name="Normal 9 7 5 2 3" xfId="19166" xr:uid="{39DACEB9-89F2-4EAF-8908-275F6BCEF343}"/>
    <cellStyle name="Normal 9 7 5 2 3 2" xfId="44658" xr:uid="{0E21278D-6B06-4BF3-97E2-098188FC51BD}"/>
    <cellStyle name="Normal 9 7 5 2 4" xfId="32067" xr:uid="{A5D75E4B-C15A-4F60-B33F-E9CC0BB7DEDE}"/>
    <cellStyle name="Normal 9 7 5 3" xfId="9623" xr:uid="{1CA829D7-D266-4F75-AC77-313CA4FFDD71}"/>
    <cellStyle name="Normal 9 7 5 3 2" xfId="22305" xr:uid="{A301EA0D-97ED-460F-B8AF-CDC3333D7C6D}"/>
    <cellStyle name="Normal 9 7 5 3 2 2" xfId="47797" xr:uid="{81637D42-D243-42CE-8524-46CD1AD4E10C}"/>
    <cellStyle name="Normal 9 7 5 3 3" xfId="35206" xr:uid="{103B62BD-AC3C-4583-9153-0E0B80ABD927}"/>
    <cellStyle name="Normal 9 7 5 4" xfId="16027" xr:uid="{BB499C89-3DC9-41B9-BF52-F670EAA873EA}"/>
    <cellStyle name="Normal 9 7 5 4 2" xfId="41519" xr:uid="{138C25E5-A623-43D1-ABF0-2E73910B6EA5}"/>
    <cellStyle name="Normal 9 7 5 5" xfId="28928" xr:uid="{37276681-A668-4805-BA9B-3EC59E5A2DCC}"/>
    <cellStyle name="Normal 9 7 6" xfId="4115" xr:uid="{BDCC2162-9E71-4ECE-9D91-057ED5767EC2}"/>
    <cellStyle name="Normal 9 7 6 2" xfId="10408" xr:uid="{43C9F9F0-84E6-466D-9701-6989ACAC651B}"/>
    <cellStyle name="Normal 9 7 6 2 2" xfId="23090" xr:uid="{5C782F21-8DF1-4E9F-BD1B-B20DC905815E}"/>
    <cellStyle name="Normal 9 7 6 2 2 2" xfId="48582" xr:uid="{0F75966E-516A-437D-A826-9F747C51E210}"/>
    <cellStyle name="Normal 9 7 6 2 3" xfId="35991" xr:uid="{FF4F26FF-73EF-4D9B-974C-344B1DA6D06D}"/>
    <cellStyle name="Normal 9 7 6 3" xfId="16812" xr:uid="{2CE61C70-6244-4C3E-A711-29701A42BE08}"/>
    <cellStyle name="Normal 9 7 6 3 2" xfId="42304" xr:uid="{2BBCA99F-B7D3-4098-BE72-440ED2F6702C}"/>
    <cellStyle name="Normal 9 7 6 4" xfId="29713" xr:uid="{E07D8D63-B993-4624-BBF7-795827BAD9FA}"/>
    <cellStyle name="Normal 9 7 7" xfId="7269" xr:uid="{D066F1D5-AB93-4EC3-A10F-784E6E103DEB}"/>
    <cellStyle name="Normal 9 7 7 2" xfId="19951" xr:uid="{99E5BC49-7C31-4CCD-B513-96479675AF52}"/>
    <cellStyle name="Normal 9 7 7 2 2" xfId="45443" xr:uid="{78811574-5DF3-4ECB-90B4-AFFBE315F8DB}"/>
    <cellStyle name="Normal 9 7 7 3" xfId="32852" xr:uid="{E52DEBD1-28B4-40D6-9DDC-8E99A88FEF42}"/>
    <cellStyle name="Normal 9 7 8" xfId="13673" xr:uid="{27F6F33D-06F1-44B9-9DB9-AAF41B48A286}"/>
    <cellStyle name="Normal 9 7 8 2" xfId="39165" xr:uid="{DC1F5B84-0899-43BF-9CEC-51B9B3779596}"/>
    <cellStyle name="Normal 9 7 9" xfId="26574" xr:uid="{0170BF7E-6FB6-4FC7-AF58-560EDC0E5189}"/>
    <cellStyle name="Normal 9 8" xfId="701" xr:uid="{28420D0C-10F6-481C-A280-59EE3F6D9646}"/>
    <cellStyle name="Normal 9 8 2" xfId="2008" xr:uid="{92082B7C-BC14-43B0-BE8C-79B445D3F0C7}"/>
    <cellStyle name="Normal 9 8 2 2" xfId="5162" xr:uid="{98A73E66-AD2E-42E6-B2A1-32CD0E62F8BF}"/>
    <cellStyle name="Normal 9 8 2 2 2" xfId="11455" xr:uid="{D6DDD7E8-BCB8-4EC6-AA7E-496229084E82}"/>
    <cellStyle name="Normal 9 8 2 2 2 2" xfId="24137" xr:uid="{96715346-3462-4B06-9D57-F38CCFBC833A}"/>
    <cellStyle name="Normal 9 8 2 2 2 2 2" xfId="49629" xr:uid="{FFB24DD7-F53C-4743-BE09-3AB48E445674}"/>
    <cellStyle name="Normal 9 8 2 2 2 3" xfId="37038" xr:uid="{A802E2C6-8956-4B21-9D52-5B8CF7676B00}"/>
    <cellStyle name="Normal 9 8 2 2 3" xfId="17859" xr:uid="{197631B3-7BC9-4E26-8B38-9592E4F387C9}"/>
    <cellStyle name="Normal 9 8 2 2 3 2" xfId="43351" xr:uid="{AE7E0A50-D8A5-4AF9-9D02-E8E605BE0567}"/>
    <cellStyle name="Normal 9 8 2 2 4" xfId="30760" xr:uid="{9DB7587A-22AA-4A6B-B662-AFF08B043CB6}"/>
    <cellStyle name="Normal 9 8 2 3" xfId="8316" xr:uid="{7F8FD8C4-73EC-467B-8D12-964926CC417A}"/>
    <cellStyle name="Normal 9 8 2 3 2" xfId="20998" xr:uid="{A63A37ED-4CDA-42E0-88F0-89E93083FDF6}"/>
    <cellStyle name="Normal 9 8 2 3 2 2" xfId="46490" xr:uid="{CC4A7215-2367-43AE-BBB0-A8037CE69071}"/>
    <cellStyle name="Normal 9 8 2 3 3" xfId="33899" xr:uid="{247FBA34-D865-4DAA-AC07-BEB9E65A4DCD}"/>
    <cellStyle name="Normal 9 8 2 4" xfId="14720" xr:uid="{C06618CD-17A3-4A1B-B045-1EBBB7A89876}"/>
    <cellStyle name="Normal 9 8 2 4 2" xfId="40212" xr:uid="{5C294A27-8813-4AC2-BD52-2327724B5AC3}"/>
    <cellStyle name="Normal 9 8 2 5" xfId="27621" xr:uid="{3381C74E-65D9-40DA-8B4E-E1C54C805F8E}"/>
    <cellStyle name="Normal 9 8 3" xfId="3855" xr:uid="{5FBE128C-7249-4B3E-899C-35CA516FFD21}"/>
    <cellStyle name="Normal 9 8 3 2" xfId="10148" xr:uid="{D2E29651-D80C-42C9-A42D-EBA997DB7704}"/>
    <cellStyle name="Normal 9 8 3 2 2" xfId="22830" xr:uid="{49BE4045-4C07-42DC-8C30-409F4BF4D69D}"/>
    <cellStyle name="Normal 9 8 3 2 2 2" xfId="48322" xr:uid="{49E74D1E-5879-4BBE-B06D-4EE27A492AFC}"/>
    <cellStyle name="Normal 9 8 3 2 3" xfId="35731" xr:uid="{FA3CA3D8-FF6F-4EB9-BA49-2D68E4994AFB}"/>
    <cellStyle name="Normal 9 8 3 3" xfId="16552" xr:uid="{81173A28-2861-47CE-A409-E1A685A4D6D2}"/>
    <cellStyle name="Normal 9 8 3 3 2" xfId="42044" xr:uid="{633DAB59-D71D-41C2-B332-2BBC1182A709}"/>
    <cellStyle name="Normal 9 8 3 4" xfId="29453" xr:uid="{FBECE846-4966-4070-B5A2-709D71D8D725}"/>
    <cellStyle name="Normal 9 8 4" xfId="7009" xr:uid="{342D1554-AF2A-4D91-8F59-2F2C89D528A3}"/>
    <cellStyle name="Normal 9 8 4 2" xfId="19691" xr:uid="{84048C0F-8A53-4D16-88BA-00FA0203081C}"/>
    <cellStyle name="Normal 9 8 4 2 2" xfId="45183" xr:uid="{77738ECB-4C06-4C20-AB53-9DFCC721C98E}"/>
    <cellStyle name="Normal 9 8 4 3" xfId="32592" xr:uid="{FBDCF5AF-5388-406C-98FB-4050B86D2A74}"/>
    <cellStyle name="Normal 9 8 5" xfId="13413" xr:uid="{5B393CF9-3D3F-43D5-9C23-A3D26BE89766}"/>
    <cellStyle name="Normal 9 8 5 2" xfId="38905" xr:uid="{29BCF551-D1DD-45A3-81BE-15EF19EF9DD8}"/>
    <cellStyle name="Normal 9 8 6" xfId="26314" xr:uid="{05A895C5-5B16-4D3C-960F-14FF375C0A3E}"/>
    <cellStyle name="Normal 9 9" xfId="1746" xr:uid="{0FBFDC81-64B9-44C5-A64F-BDC69669CC74}"/>
    <cellStyle name="Normal 9 9 2" xfId="4900" xr:uid="{3EAB5C4C-BD0F-4377-8EA6-2206A68EF562}"/>
    <cellStyle name="Normal 9 9 2 2" xfId="11193" xr:uid="{386E8AA1-573B-4D11-83B5-DDD6CBBE2D50}"/>
    <cellStyle name="Normal 9 9 2 2 2" xfId="23875" xr:uid="{7CF4E7EC-2607-40D6-AF8A-D04811A7A21E}"/>
    <cellStyle name="Normal 9 9 2 2 2 2" xfId="49367" xr:uid="{CE7C7BB3-7CC5-4C92-9A96-5716EDCA2C9E}"/>
    <cellStyle name="Normal 9 9 2 2 3" xfId="36776" xr:uid="{309C735B-7A25-494C-9BA3-1488896B13A4}"/>
    <cellStyle name="Normal 9 9 2 3" xfId="17597" xr:uid="{83A2B917-E372-4DC9-84ED-67C68FD679EC}"/>
    <cellStyle name="Normal 9 9 2 3 2" xfId="43089" xr:uid="{3C5A62F4-A42D-4CD9-A6E8-09E49FE6DB1D}"/>
    <cellStyle name="Normal 9 9 2 4" xfId="30498" xr:uid="{4B6996A3-4539-4599-B8C5-F5F3941BD256}"/>
    <cellStyle name="Normal 9 9 3" xfId="8054" xr:uid="{C513A3B6-EBD2-4FC4-8EF2-501BE5E05F6D}"/>
    <cellStyle name="Normal 9 9 3 2" xfId="20736" xr:uid="{14DE3AFA-13BE-404B-9EDA-4A65631F9675}"/>
    <cellStyle name="Normal 9 9 3 2 2" xfId="46228" xr:uid="{263C8226-798C-46B5-B577-ECC0E5338ACA}"/>
    <cellStyle name="Normal 9 9 3 3" xfId="33637" xr:uid="{354E7A6D-3F99-495F-8EB7-E09F88320A33}"/>
    <cellStyle name="Normal 9 9 4" xfId="14458" xr:uid="{AD13B920-A8F7-4DA3-812E-6ED5A0FEBB1B}"/>
    <cellStyle name="Normal 9 9 4 2" xfId="39950" xr:uid="{E63CFCC9-3514-4D5C-854D-406F2E829FA9}"/>
    <cellStyle name="Normal 9 9 5" xfId="27359" xr:uid="{EE5699B1-1C49-42EA-B9EF-D4CDEF34A66E}"/>
    <cellStyle name="Nota 10" xfId="13040" xr:uid="{7CB5E296-E495-4BB7-9760-8CF033112576}"/>
    <cellStyle name="Nota 10 2" xfId="25713" xr:uid="{4F227FF3-C85A-4691-BDBF-77B7F1B15C3C}"/>
    <cellStyle name="Nota 10 2 2" xfId="25727" xr:uid="{F0505030-8063-4093-B704-4FFB99D23664}"/>
    <cellStyle name="Nota 10 2 2 2" xfId="51186" xr:uid="{580ED81B-ABFC-40AF-92B0-2615F05EE911}"/>
    <cellStyle name="Nota 10 2 3" xfId="25739" xr:uid="{A51AC9D6-186A-4475-AF34-4E4DEEA21A67}"/>
    <cellStyle name="Nota 10 2 3 2" xfId="51195" xr:uid="{3349587B-AE9E-4C28-B841-339A8CF84356}"/>
    <cellStyle name="Nota 10 2 4" xfId="25969" xr:uid="{E646E948-3530-4139-AD0D-C9C57B70F6D8}"/>
    <cellStyle name="Nota 10 3" xfId="25889" xr:uid="{F8D1827B-484B-4BD6-9AAE-FA39B099DDE0}"/>
    <cellStyle name="Nota 10 3 2" xfId="51308" xr:uid="{9F96DD00-2287-43B2-B3A8-E33E49D0DED9}"/>
    <cellStyle name="Nota 10 4" xfId="25771" xr:uid="{63397E48-0D8E-40C7-8988-2DA91B6B22F6}"/>
    <cellStyle name="Nota 10 4 2" xfId="51217" xr:uid="{33E7A123-6B09-4A7E-A866-B69664817C70}"/>
    <cellStyle name="Nota 10 5" xfId="25858" xr:uid="{6A0F96B0-6670-48FA-959B-9B88C17D7ED1}"/>
    <cellStyle name="Nota 11" xfId="13027" xr:uid="{197E00AB-20BA-4325-BCBA-CDC838A0253B}"/>
    <cellStyle name="Nota 11 2" xfId="25813" xr:uid="{2CD45D23-7ACD-4133-A8FC-16A7F8158AFA}"/>
    <cellStyle name="Nota 11 2 2" xfId="51251" xr:uid="{232ABDF3-FDF7-4DFF-9EB9-34D3C7E104DD}"/>
    <cellStyle name="Nota 11 3" xfId="25809" xr:uid="{10CD03B0-EC16-41C7-9527-264CF667892B}"/>
    <cellStyle name="Nota 11 3 2" xfId="51249" xr:uid="{6FB64695-A1AD-4C29-8DB4-CBDB6321CD00}"/>
    <cellStyle name="Nota 11 4" xfId="25745" xr:uid="{16E79A21-21B1-4192-BCE7-9DF33BF0231B}"/>
    <cellStyle name="Nota 12" xfId="13115" xr:uid="{38D3121D-B0EF-4DB0-A60D-1F49ADA48602}"/>
    <cellStyle name="Nota 12 2" xfId="25826" xr:uid="{6EADD25B-33DC-4467-9F80-B7DE40AD7A6E}"/>
    <cellStyle name="Nota 12 2 2" xfId="51262" xr:uid="{A9C4B720-0DEE-4724-8DCF-11FF9673EBE5}"/>
    <cellStyle name="Nota 12 3" xfId="25912" xr:uid="{00FAA196-2350-4EE0-96EB-085638C4377C}"/>
    <cellStyle name="Nota 12 3 2" xfId="51325" xr:uid="{72C32607-B9BE-4A01-9198-EDE6B23B622E}"/>
    <cellStyle name="Nota 12 4" xfId="25765" xr:uid="{801ED97B-FCE1-4E8F-AAFA-86085F9CC68B}"/>
    <cellStyle name="Nota 13" xfId="25849" xr:uid="{93F0201B-DBDD-4DF4-9374-EF4FC5538F9F}"/>
    <cellStyle name="Nota 13 2" xfId="51282" xr:uid="{62760C18-CD54-4E0E-A41E-76E1C9E77536}"/>
    <cellStyle name="Nota 14" xfId="25939" xr:uid="{C17935C9-8714-46C3-A188-B863F1AE791A}"/>
    <cellStyle name="Nota 14 2" xfId="51344" xr:uid="{5883ACBB-051A-406D-AD48-DAD3B5A49E7F}"/>
    <cellStyle name="Nota 15" xfId="25755" xr:uid="{3BBE36AE-6B4C-483C-939B-5384DAA0AA58}"/>
    <cellStyle name="Nota 16" xfId="26018" xr:uid="{51DC2064-223B-4074-AF14-EC0BCCF53C41}"/>
    <cellStyle name="Nota 17" xfId="363" xr:uid="{46A6904A-C67C-43CE-9F84-93BEF9AEE2F9}"/>
    <cellStyle name="Nota 18" xfId="199" xr:uid="{9F4D9AC0-0381-4898-BAEC-6FFD2ED26A01}"/>
    <cellStyle name="Nota 19" xfId="51368" xr:uid="{C29B8D09-0341-4206-A4EF-C05FBBEB544F}"/>
    <cellStyle name="Nota 2" xfId="324" xr:uid="{86A48B14-8313-41DA-8D74-8689E1951117}"/>
    <cellStyle name="Nota 2 10" xfId="401" xr:uid="{DA9A5D36-6425-46CE-9140-6B690B76AE70}"/>
    <cellStyle name="Nota 2 2" xfId="13042" xr:uid="{2093D639-7BBA-47E2-94C1-F9EC85D8DCB1}"/>
    <cellStyle name="Nota 2 2 2" xfId="25714" xr:uid="{552C5577-6365-4370-B9C1-3857D3E3AF6A}"/>
    <cellStyle name="Nota 2 2 2 2" xfId="13153" xr:uid="{EBAACC8F-2925-432D-BA8A-95A4677C2CB6}"/>
    <cellStyle name="Nota 2 2 2 2 2" xfId="38645" xr:uid="{2185E21E-6C48-4861-9FAC-A93D9164F3AC}"/>
    <cellStyle name="Nota 2 2 2 3" xfId="25929" xr:uid="{F84E7DCC-08EC-4E36-A58C-17A758C9BB03}"/>
    <cellStyle name="Nota 2 2 2 3 2" xfId="51338" xr:uid="{6C6C1F62-7E6E-455B-92A1-49F245C9F072}"/>
    <cellStyle name="Nota 2 2 2 4" xfId="25970" xr:uid="{B891A350-3AEE-48D5-BAC5-BD4844EDED35}"/>
    <cellStyle name="Nota 2 2 3" xfId="25831" xr:uid="{2D1B3CAD-2BE8-40BC-91D8-8D84C598368E}"/>
    <cellStyle name="Nota 2 2 3 2" xfId="51265" xr:uid="{1F48C721-C006-41FD-82C2-3A90285B5E4D}"/>
    <cellStyle name="Nota 2 2 4" xfId="25825" xr:uid="{76FC3BEC-84DA-4340-8B1C-ADDDF245BC47}"/>
    <cellStyle name="Nota 2 2 4 2" xfId="51261" xr:uid="{45F1419A-20E7-42A7-ADE1-DA62575763A0}"/>
    <cellStyle name="Nota 2 2 5" xfId="25744" xr:uid="{475844FA-1382-4700-A949-D2D0C61440A8}"/>
    <cellStyle name="Nota 2 3" xfId="13047" xr:uid="{9894C75C-34D9-4BC2-BFB8-A2E449B43923}"/>
    <cellStyle name="Nota 2 3 2" xfId="25719" xr:uid="{943653C1-9369-41E8-A84A-21CC4999A9CF}"/>
    <cellStyle name="Nota 2 3 2 2" xfId="25946" xr:uid="{61C39A28-0F51-4547-9D7B-79BD8A52D7C3}"/>
    <cellStyle name="Nota 2 3 2 2 2" xfId="51349" xr:uid="{75609C39-0029-4020-9E94-8AC5CBD75B5A}"/>
    <cellStyle name="Nota 2 3 2 3" xfId="25804" xr:uid="{7D74212D-CC08-41C9-8431-989AFA605EF2}"/>
    <cellStyle name="Nota 2 3 2 3 2" xfId="51244" xr:uid="{4F6D0DE2-307F-4B3E-BAFA-F2E294FDFFD5}"/>
    <cellStyle name="Nota 2 3 2 4" xfId="25975" xr:uid="{38A28EFE-A762-42AC-91B3-8E379AA41308}"/>
    <cellStyle name="Nota 2 3 3" xfId="25794" xr:uid="{1093AD1C-1410-452E-BCFB-637C45E4170F}"/>
    <cellStyle name="Nota 2 3 3 2" xfId="51236" xr:uid="{9FA6ABC1-4E3F-494A-8F90-04F0B55C7D72}"/>
    <cellStyle name="Nota 2 3 4" xfId="25753" xr:uid="{5352F4A8-25D0-4D9E-8A93-8874B714E152}"/>
    <cellStyle name="Nota 2 3 4 2" xfId="51206" xr:uid="{4523BAB5-F2AF-44F3-8AA7-4671F60D91C8}"/>
    <cellStyle name="Nota 2 3 5" xfId="25877" xr:uid="{C57201EF-9CEC-4B6A-AA93-E745BAA17505}"/>
    <cellStyle name="Nota 2 4" xfId="13025" xr:uid="{691E120C-9869-463F-8511-18B106617962}"/>
    <cellStyle name="Nota 2 4 2" xfId="25702" xr:uid="{C4FD7CF5-221C-4F28-B48A-66E90D236C9E}"/>
    <cellStyle name="Nota 2 4 2 2" xfId="13124" xr:uid="{1DD97614-6365-49DF-9A56-9AE0519821FD}"/>
    <cellStyle name="Nota 2 4 2 2 2" xfId="38632" xr:uid="{A547E24B-2E89-418F-BF55-DBAFA9A75A91}"/>
    <cellStyle name="Nota 2 4 2 3" xfId="25894" xr:uid="{4D743C98-57E2-475C-86A9-0D144485CCDD}"/>
    <cellStyle name="Nota 2 4 2 3 2" xfId="51311" xr:uid="{E82ADC74-8A4C-4B4C-B285-22EAF4BEB3F5}"/>
    <cellStyle name="Nota 2 4 2 4" xfId="25960" xr:uid="{4D462ADA-6B3A-4737-AA61-E8AD203D2B6F}"/>
    <cellStyle name="Nota 2 4 3" xfId="25870" xr:uid="{3C7E28FB-92B7-4985-A905-D09E906DD50B}"/>
    <cellStyle name="Nota 2 4 3 2" xfId="51297" xr:uid="{5C7F6E78-5C94-4142-8A77-2EDFAEACBEFD}"/>
    <cellStyle name="Nota 2 4 4" xfId="25806" xr:uid="{DF2F7514-B475-4F0A-B8DB-B811CFE0D843}"/>
    <cellStyle name="Nota 2 4 4 2" xfId="51246" xr:uid="{9BE203B0-B5A4-4864-B187-E8EFB9B0A51A}"/>
    <cellStyle name="Nota 2 4 5" xfId="25766" xr:uid="{BC1D97BE-12B0-4835-8D25-50251BC08DF8}"/>
    <cellStyle name="Nota 2 5" xfId="13032" xr:uid="{7DFEB99A-B377-4996-AB75-72E955B20EEA}"/>
    <cellStyle name="Nota 2 5 2" xfId="25892" xr:uid="{D3F92FAF-B0FE-460A-BE70-97C9BAE35CB0}"/>
    <cellStyle name="Nota 2 5 2 2" xfId="51310" xr:uid="{84B7C41B-4EC9-4684-9AF4-48DB6ACE7AE6}"/>
    <cellStyle name="Nota 2 5 3" xfId="25823" xr:uid="{36874962-7BBF-433D-98D5-4F1ECFAACCD2}"/>
    <cellStyle name="Nota 2 5 3 2" xfId="51259" xr:uid="{F386C4E6-6227-43BC-857A-D2C331EFCD19}"/>
    <cellStyle name="Nota 2 5 4" xfId="25787" xr:uid="{7FA814F8-78B2-4F59-AF1D-B7DBE2BA7302}"/>
    <cellStyle name="Nota 2 6" xfId="13141" xr:uid="{DF894C27-77AB-4AF1-8F00-54A14FB0AD60}"/>
    <cellStyle name="Nota 2 6 2" xfId="25886" xr:uid="{344CA1EE-4434-4ED8-9123-1BFC4CDC3087}"/>
    <cellStyle name="Nota 2 6 2 2" xfId="51305" xr:uid="{4102E60F-6974-4E29-9399-544380983003}"/>
    <cellStyle name="Nota 2 6 3" xfId="25783" xr:uid="{3540F742-6E1F-4ADC-BFDB-92EE19CECEE2}"/>
    <cellStyle name="Nota 2 6 3 2" xfId="51228" xr:uid="{DB9387A9-5C73-4306-8029-DCEC365D4BBA}"/>
    <cellStyle name="Nota 2 6 4" xfId="25738" xr:uid="{AA8015C2-85A2-45A0-A264-8F760EBC185B}"/>
    <cellStyle name="Nota 2 7" xfId="13092" xr:uid="{4A265BAC-A48E-444B-8593-22473FE1E13E}"/>
    <cellStyle name="Nota 2 7 2" xfId="38618" xr:uid="{E9DCF3F4-358E-455C-828A-1054A4C5FFE4}"/>
    <cellStyle name="Nota 2 8" xfId="25999" xr:uid="{239636EB-4C30-4F2F-89AE-B00263C77AE6}"/>
    <cellStyle name="Nota 2 9" xfId="26043" xr:uid="{AB712C93-378A-4220-AB24-1F99CE6EB0C4}"/>
    <cellStyle name="Nota 3" xfId="386" xr:uid="{CD344AC2-F5E0-4465-9146-69E7D6A3D741}"/>
    <cellStyle name="Nota 3 2" xfId="13048" xr:uid="{BD96BB32-BDE1-428C-8618-277526B66183}"/>
    <cellStyle name="Nota 3 2 2" xfId="25720" xr:uid="{AE8A842C-42B9-4B25-9DAB-BA87DD119150}"/>
    <cellStyle name="Nota 3 2 2 2" xfId="25947" xr:uid="{60D7AA3D-F6DF-4747-999F-46164B58B303}"/>
    <cellStyle name="Nota 3 2 2 2 2" xfId="51350" xr:uid="{94C50B08-D386-4CA9-BBBB-B71B9AB81A80}"/>
    <cellStyle name="Nota 3 2 2 3" xfId="25768" xr:uid="{A0F53F4A-4E7F-4869-B405-B00866630B8A}"/>
    <cellStyle name="Nota 3 2 2 3 2" xfId="51215" xr:uid="{5A63E775-A733-459E-98D8-3441C81E9CFE}"/>
    <cellStyle name="Nota 3 2 2 4" xfId="25976" xr:uid="{8D929B11-60E8-418F-A2DB-F4F6E3A09EB9}"/>
    <cellStyle name="Nota 3 2 3" xfId="25871" xr:uid="{185EAD6D-F466-493C-90AB-51D549EEDB2A}"/>
    <cellStyle name="Nota 3 2 3 2" xfId="51298" xr:uid="{BE980AA8-7878-4AD4-B5FB-A712D6C784A1}"/>
    <cellStyle name="Nota 3 2 4" xfId="25920" xr:uid="{2BF0DED7-4A0B-4E1D-A5D4-2C9EC05549DD}"/>
    <cellStyle name="Nota 3 2 4 2" xfId="51331" xr:uid="{C5CA4275-BF18-4526-AA46-65F5BE357A39}"/>
    <cellStyle name="Nota 3 2 5" xfId="25925" xr:uid="{F58664C1-A3A3-449D-8B46-8FA6CB7DFAF2}"/>
    <cellStyle name="Nota 3 3" xfId="13043" xr:uid="{98F2C836-EAEB-4665-8F3C-6287C1CAD112}"/>
    <cellStyle name="Nota 3 3 2" xfId="25715" xr:uid="{BD45ED29-9923-4C27-8770-0E7B47FE3510}"/>
    <cellStyle name="Nota 3 3 2 2" xfId="25722" xr:uid="{F054EFCB-E002-4DCF-B0EA-906DD8414DE8}"/>
    <cellStyle name="Nota 3 3 2 2 2" xfId="51181" xr:uid="{8D36C2B8-8A8F-4A78-8CF2-120A0ED9BC5D}"/>
    <cellStyle name="Nota 3 3 2 3" xfId="25812" xr:uid="{57E25F62-86BB-4740-87DB-1A5072462DF8}"/>
    <cellStyle name="Nota 3 3 2 3 2" xfId="51250" xr:uid="{0325BB74-84BD-4097-9EF2-01EABF1920FF}"/>
    <cellStyle name="Nota 3 3 2 4" xfId="25971" xr:uid="{F8604C5B-7124-4376-B778-FCB1B27D16EF}"/>
    <cellStyle name="Nota 3 3 3" xfId="25781" xr:uid="{EA468E67-B75C-4B56-9CD3-5CDFBA5F3C76}"/>
    <cellStyle name="Nota 3 3 3 2" xfId="51227" xr:uid="{2F6F6F49-27A3-4B1B-8BD7-7BE706854E8F}"/>
    <cellStyle name="Nota 3 3 4" xfId="25819" xr:uid="{B384328F-8874-4039-8F9D-709E8A945AB3}"/>
    <cellStyle name="Nota 3 3 4 2" xfId="51255" xr:uid="{115CA330-CF0A-4F03-8B9D-E4B25E1761A6}"/>
    <cellStyle name="Nota 3 3 5" xfId="25866" xr:uid="{D930EEFA-2894-4072-A53F-3651C2766C20}"/>
    <cellStyle name="Nota 3 4" xfId="13011" xr:uid="{35EF1E45-7253-49E9-8AF1-115AEF4C6D71}"/>
    <cellStyle name="Nota 3 4 2" xfId="25693" xr:uid="{B5B059C8-3F2F-4070-BB5F-616145BD7A0C}"/>
    <cellStyle name="Nota 3 4 2 2" xfId="25790" xr:uid="{89B3E273-212F-473E-B15A-0D74B3AB9873}"/>
    <cellStyle name="Nota 3 4 2 2 2" xfId="51233" xr:uid="{67AEB154-C619-48AB-BAE1-58A678BE0B0C}"/>
    <cellStyle name="Nota 3 4 2 3" xfId="25817" xr:uid="{07F9B6CE-3977-4056-8402-A6552DFB2AFD}"/>
    <cellStyle name="Nota 3 4 2 3 2" xfId="51253" xr:uid="{CCB81314-41F0-4DC4-8013-B5315B19A7E6}"/>
    <cellStyle name="Nota 3 4 2 4" xfId="25953" xr:uid="{3838EAC7-922A-4746-811A-7C63E96EF297}"/>
    <cellStyle name="Nota 3 4 3" xfId="25821" xr:uid="{557A2648-7597-46AE-B737-E84131B55222}"/>
    <cellStyle name="Nota 3 4 3 2" xfId="51257" xr:uid="{397DC7A7-23E5-48E6-B331-B602AC21000A}"/>
    <cellStyle name="Nota 3 4 4" xfId="25834" xr:uid="{BD4F5556-986B-483D-A17A-58A0E92FF831}"/>
    <cellStyle name="Nota 3 4 4 2" xfId="51268" xr:uid="{3BF7DD61-44E6-4818-A441-0B66BB6910B7}"/>
    <cellStyle name="Nota 3 4 5" xfId="25879" xr:uid="{72877492-60FD-4E2A-AD83-911119BF0F1B}"/>
    <cellStyle name="Nota 3 5" xfId="13029" xr:uid="{6601EF34-45CA-496D-9957-A20FED526C69}"/>
    <cellStyle name="Nota 3 5 2" xfId="25869" xr:uid="{4BD27925-50C8-4988-B3BA-E7484A813C7E}"/>
    <cellStyle name="Nota 3 5 2 2" xfId="51296" xr:uid="{89D4536A-5091-4932-9807-6D0D21289F4A}"/>
    <cellStyle name="Nota 3 5 3" xfId="25932" xr:uid="{8838D264-1BA6-4C13-BCAB-13014BBC65E3}"/>
    <cellStyle name="Nota 3 5 3 2" xfId="51341" xr:uid="{43260071-639D-44DC-BBE3-2C11E1AFA9B6}"/>
    <cellStyle name="Nota 3 5 4" xfId="25733" xr:uid="{D4BF16AE-8807-4581-A5FE-56D6C6C243E3}"/>
    <cellStyle name="Nota 3 6" xfId="25930" xr:uid="{5A41ABB7-6CD8-40AC-902E-C8FDE0946086}"/>
    <cellStyle name="Nota 3 6 2" xfId="51339" xr:uid="{414AA063-44CD-4624-8203-0268ECD3066F}"/>
    <cellStyle name="Nota 3 7" xfId="25867" xr:uid="{F6F30627-684E-4C57-86CD-319109E231C3}"/>
    <cellStyle name="Nota 3 7 2" xfId="51294" xr:uid="{9AE067DF-8869-4FDC-AAC9-93F5D47F5F2F}"/>
    <cellStyle name="Nota 3 8" xfId="25795" xr:uid="{C44093A2-89E9-4610-8712-534FC2738DE4}"/>
    <cellStyle name="Nota 4" xfId="426" xr:uid="{DE2903C3-53B8-4AD9-9ED8-06AE76F9B898}"/>
    <cellStyle name="Nota 4 2" xfId="13030" xr:uid="{288AC861-3613-455B-B9FA-24F33490DD31}"/>
    <cellStyle name="Nota 4 2 2" xfId="25705" xr:uid="{28F3DD3E-AF9C-4A81-86A1-AFEA8E3B0B61}"/>
    <cellStyle name="Nota 4 2 2 2" xfId="25789" xr:uid="{1D287231-B8F0-4306-9ED8-A4506F6D5DC3}"/>
    <cellStyle name="Nota 4 2 2 2 2" xfId="51232" xr:uid="{32EFB738-4A27-4C2F-BD21-09C28CAC59CF}"/>
    <cellStyle name="Nota 4 2 2 3" xfId="25751" xr:uid="{EE9E5EC3-38FD-4FD6-AAD9-91A3F22EA1F4}"/>
    <cellStyle name="Nota 4 2 2 3 2" xfId="51204" xr:uid="{C7B4EF44-B365-46DB-B29D-A07641959CAF}"/>
    <cellStyle name="Nota 4 2 2 4" xfId="25963" xr:uid="{D31F8EDA-9FE3-4021-946A-C0991007EF60}"/>
    <cellStyle name="Nota 4 2 3" xfId="25915" xr:uid="{1964AE86-5132-4504-9E96-A0824FEC1FF5}"/>
    <cellStyle name="Nota 4 2 3 2" xfId="51327" xr:uid="{A5C5A625-0BD5-4681-8110-88B52BE935B9}"/>
    <cellStyle name="Nota 4 2 4" xfId="25743" xr:uid="{CC45FA1C-4F68-4601-A52A-E3265F2D647B}"/>
    <cellStyle name="Nota 4 2 4 2" xfId="51199" xr:uid="{CE7005BB-390E-4C0D-896C-922AE8690CC0}"/>
    <cellStyle name="Nota 4 2 5" xfId="25899" xr:uid="{AA636A59-AD93-43C6-9718-20EBB691DC9E}"/>
    <cellStyle name="Nota 4 3" xfId="13034" xr:uid="{9CE33D2A-ECBB-43B2-BB54-0147C3C5698B}"/>
    <cellStyle name="Nota 4 3 2" xfId="25707" xr:uid="{360DA852-155D-42C4-BF1E-3FFACE85FE0D}"/>
    <cellStyle name="Nota 4 3 2 2" xfId="25735" xr:uid="{D755FD34-6EDC-4B8E-9BCD-9701D6A7B779}"/>
    <cellStyle name="Nota 4 3 2 2 2" xfId="51192" xr:uid="{D6B8B48F-3341-4127-9FC4-8A88F0A6C5DE}"/>
    <cellStyle name="Nota 4 3 2 3" xfId="25762" xr:uid="{4D5FDD15-7F6C-4DAF-B304-16D9EFBB4600}"/>
    <cellStyle name="Nota 4 3 2 3 2" xfId="51211" xr:uid="{B5689A87-5576-4039-872B-0E8E34A038F1}"/>
    <cellStyle name="Nota 4 3 2 4" xfId="25965" xr:uid="{D705D3D1-41DC-41C2-9EC4-1907CF350F18}"/>
    <cellStyle name="Nota 4 3 3" xfId="25835" xr:uid="{D587A147-68AF-4CC1-94B9-2887BFF7C6F9}"/>
    <cellStyle name="Nota 4 3 3 2" xfId="51269" xr:uid="{046DB755-E5D4-417C-836B-95C6A4884B3F}"/>
    <cellStyle name="Nota 4 3 4" xfId="25890" xr:uid="{2364265C-8C71-43C8-B8D7-A70E6400DB92}"/>
    <cellStyle name="Nota 4 3 4 2" xfId="51309" xr:uid="{7665B703-2C47-446F-8FB7-FCD294430D9A}"/>
    <cellStyle name="Nota 4 3 5" xfId="25927" xr:uid="{A9650000-CF7B-428E-A3A9-33E8B45F2750}"/>
    <cellStyle name="Nota 4 4" xfId="13018" xr:uid="{F4E79B83-0D35-47CD-9899-B2758E3C068B}"/>
    <cellStyle name="Nota 4 4 2" xfId="25697" xr:uid="{067A2EB1-2EAD-43B1-8276-BBA3BE8DFBBF}"/>
    <cellStyle name="Nota 4 4 2 2" xfId="25732" xr:uid="{8FDFF2C0-54D6-4DB3-B054-EA3276DAB3BC}"/>
    <cellStyle name="Nota 4 4 2 2 2" xfId="51191" xr:uid="{72C4CCA5-8FBB-48EF-944F-3513C0E9AC9D}"/>
    <cellStyle name="Nota 4 4 2 3" xfId="25847" xr:uid="{9C4E474A-372C-4A91-A40A-9CB610866970}"/>
    <cellStyle name="Nota 4 4 2 3 2" xfId="51281" xr:uid="{D04E72B0-DDEB-45B9-818F-3E3913E8B9F1}"/>
    <cellStyle name="Nota 4 4 2 4" xfId="25956" xr:uid="{C520B5BC-12AF-4077-8AE6-9104D27B0910}"/>
    <cellStyle name="Nota 4 4 3" xfId="25926" xr:uid="{A6656C4B-8885-4451-9F1D-0D6A72B3DF2E}"/>
    <cellStyle name="Nota 4 4 3 2" xfId="51336" xr:uid="{9688DCC4-0FA6-4B1C-9552-2B1AF74B61C6}"/>
    <cellStyle name="Nota 4 4 4" xfId="25746" xr:uid="{FBA1A56B-49D8-4AD5-88F2-C95C448AA361}"/>
    <cellStyle name="Nota 4 4 4 2" xfId="51200" xr:uid="{30CE4D37-A679-458A-8551-A926A880495F}"/>
    <cellStyle name="Nota 4 4 5" xfId="25756" xr:uid="{761156EA-09D4-456C-9A74-4BB9A12E5962}"/>
    <cellStyle name="Nota 4 5" xfId="13015" xr:uid="{1C6F890A-CE1B-4B01-A771-CC053D869214}"/>
    <cellStyle name="Nota 4 5 2" xfId="25908" xr:uid="{D2CFA247-53E2-48AD-B594-446843B203C5}"/>
    <cellStyle name="Nota 4 5 2 2" xfId="51321" xr:uid="{DAAED6A1-EC1B-4134-954E-E3C77BA2BEFA}"/>
    <cellStyle name="Nota 4 5 3" xfId="25814" xr:uid="{ACBB849E-5E95-4759-B0C9-D96F0C6CE406}"/>
    <cellStyle name="Nota 4 5 3 2" xfId="51252" xr:uid="{475EBD36-6AE6-4584-8766-3A0CB9167CB5}"/>
    <cellStyle name="Nota 4 5 4" xfId="25881" xr:uid="{8067E047-287F-44D0-88A7-C6862970E037}"/>
    <cellStyle name="Nota 4 6" xfId="25830" xr:uid="{ADC850A4-7CDF-4AF9-A86D-D03578331D23}"/>
    <cellStyle name="Nota 4 6 2" xfId="51264" xr:uid="{CF78515D-494D-468F-9419-25E7B727FBD0}"/>
    <cellStyle name="Nota 4 7" xfId="25857" xr:uid="{051FE4E7-BDA3-4A4B-9129-CF0D57EBA9DC}"/>
    <cellStyle name="Nota 4 7 2" xfId="51287" xr:uid="{9AF1F155-AF57-4827-B692-CC97E66F6D1B}"/>
    <cellStyle name="Nota 4 8" xfId="25856" xr:uid="{1DE1F1ED-3AD1-4417-8BD9-ED3FE70EFC24}"/>
    <cellStyle name="Nota 5" xfId="683" xr:uid="{A3DB0E26-D21D-4F4F-A7F0-1F8C5FF0AD17}"/>
    <cellStyle name="Nota 5 2" xfId="13044" xr:uid="{FACE1089-CA2D-4D63-BA2A-514E6ACE0242}"/>
    <cellStyle name="Nota 5 2 2" xfId="25716" xr:uid="{81BA204C-3849-44BF-8C8A-D401F9A2E1E1}"/>
    <cellStyle name="Nota 5 2 2 2" xfId="25943" xr:uid="{1ADA911C-15E8-4C6C-9ED3-74B5A3FAB67C}"/>
    <cellStyle name="Nota 5 2 2 2 2" xfId="51346" xr:uid="{4D3CA180-3E93-4EA4-AACF-5662D35A062F}"/>
    <cellStyle name="Nota 5 2 2 3" xfId="25802" xr:uid="{89230267-12CA-45B3-BDEA-28F8E119E9C1}"/>
    <cellStyle name="Nota 5 2 2 3 2" xfId="51242" xr:uid="{CCF7385C-26AA-46EE-9E2C-13749EE777BF}"/>
    <cellStyle name="Nota 5 2 2 4" xfId="25972" xr:uid="{B9600BCC-3B36-4E6C-9060-C61FD47429FE}"/>
    <cellStyle name="Nota 5 2 3" xfId="25750" xr:uid="{F091CE02-6A78-4CC4-9FA3-125BBD27F910}"/>
    <cellStyle name="Nota 5 2 3 2" xfId="51203" xr:uid="{50D690F5-1D52-4262-8F0E-26E898931700}"/>
    <cellStyle name="Nota 5 2 4" xfId="25883" xr:uid="{4D790DDC-C1EC-4AAC-B648-F18CFE5E4611}"/>
    <cellStyle name="Nota 5 2 4 2" xfId="51303" xr:uid="{A16F128F-26F6-4976-BA2B-34FE71DB25C4}"/>
    <cellStyle name="Nota 5 2 5" xfId="25941" xr:uid="{4A4752C7-F283-4EB0-8162-5C8C726CDEF1}"/>
    <cellStyle name="Nota 5 3" xfId="13046" xr:uid="{3567D3AC-D4C1-46D1-9F18-1927BDE361B7}"/>
    <cellStyle name="Nota 5 3 2" xfId="25718" xr:uid="{F8E22BE7-41DB-4C9F-859E-461768EDEAAC}"/>
    <cellStyle name="Nota 5 3 2 2" xfId="25945" xr:uid="{762A4611-246E-482A-8F7A-F5D0BC10444A}"/>
    <cellStyle name="Nota 5 3 2 2 2" xfId="51348" xr:uid="{AEC5CFC9-DC78-4496-9A31-F752C774C3B5}"/>
    <cellStyle name="Nota 5 3 2 3" xfId="25921" xr:uid="{887CC135-9761-4A2F-A871-2F0F2AE16C0B}"/>
    <cellStyle name="Nota 5 3 2 3 2" xfId="51332" xr:uid="{3D7DD91F-93FA-436E-9122-1293C12EF739}"/>
    <cellStyle name="Nota 5 3 2 4" xfId="25974" xr:uid="{EC6CA63A-2C3A-4E05-9977-7DB2A092F404}"/>
    <cellStyle name="Nota 5 3 3" xfId="25901" xr:uid="{AAA9F23D-29FC-4FB9-97FC-30A6A80EA49A}"/>
    <cellStyle name="Nota 5 3 3 2" xfId="51316" xr:uid="{6B1B734A-9FD4-47EA-B926-B0FB50234E51}"/>
    <cellStyle name="Nota 5 3 4" xfId="25873" xr:uid="{F1679841-062F-4225-889F-EC362782D77D}"/>
    <cellStyle name="Nota 5 3 4 2" xfId="51300" xr:uid="{8209B407-1AE3-4C27-A5BF-77E74605F605}"/>
    <cellStyle name="Nota 5 3 5" xfId="25884" xr:uid="{BB8588F9-9D18-4914-952A-5F5CFB7B9ABE}"/>
    <cellStyle name="Nota 5 4" xfId="13045" xr:uid="{3E72DB00-5E16-4D0E-856D-3706181D7B37}"/>
    <cellStyle name="Nota 5 4 2" xfId="25717" xr:uid="{819A828B-92BA-4831-B4BB-5F2C63264F3F}"/>
    <cellStyle name="Nota 5 4 2 2" xfId="25944" xr:uid="{904679DD-BD2A-46DA-AEB0-EEEB5AF667E5}"/>
    <cellStyle name="Nota 5 4 2 2 2" xfId="51347" xr:uid="{447E289D-F2C8-42EF-9A26-BE1CFF9FFDE0}"/>
    <cellStyle name="Nota 5 4 2 3" xfId="25777" xr:uid="{AD8A99D5-E600-41C5-B7D3-666F2F03D12E}"/>
    <cellStyle name="Nota 5 4 2 3 2" xfId="51223" xr:uid="{FEA84C75-64AA-4E09-98C5-583ED83829B9}"/>
    <cellStyle name="Nota 5 4 2 4" xfId="25973" xr:uid="{EA7509D0-35B1-4EDE-A1F5-39FC3DB74F1A}"/>
    <cellStyle name="Nota 5 4 3" xfId="25853" xr:uid="{6B03F2E6-C490-49E8-BDD9-0D03B7E22B73}"/>
    <cellStyle name="Nota 5 4 3 2" xfId="51285" xr:uid="{01FED2C1-559D-40DC-85D8-69C5D0172CB3}"/>
    <cellStyle name="Nota 5 4 4" xfId="25822" xr:uid="{0DD13D4B-FC8C-4D01-8449-1F0F963674F8}"/>
    <cellStyle name="Nota 5 4 4 2" xfId="51258" xr:uid="{8BDCCCC1-0968-4542-95E2-AC5615BEA845}"/>
    <cellStyle name="Nota 5 4 5" xfId="25810" xr:uid="{612A1FD9-EA76-41A5-8D28-1FBE44DECA51}"/>
    <cellStyle name="Nota 5 5" xfId="13024" xr:uid="{96FBE608-CEAB-4BCF-A11B-1EAE28D795E1}"/>
    <cellStyle name="Nota 5 5 2" xfId="25791" xr:uid="{94E69F81-1611-4BBD-AEDC-F836F80D0E2F}"/>
    <cellStyle name="Nota 5 5 2 2" xfId="51234" xr:uid="{B52A2223-C528-415A-B184-A780A0433E87}"/>
    <cellStyle name="Nota 5 5 3" xfId="25845" xr:uid="{CE3541EB-8164-4B74-A701-BC728E2161F9}"/>
    <cellStyle name="Nota 5 5 3 2" xfId="51279" xr:uid="{3EB13D1C-7CAB-46E6-8A26-F0A973CADFC1}"/>
    <cellStyle name="Nota 5 5 4" xfId="25782" xr:uid="{639BCE71-6340-4AF4-B356-9255181A07F6}"/>
    <cellStyle name="Nota 5 6" xfId="25909" xr:uid="{76443C26-1F08-4A27-94A2-59C7C1C29567}"/>
    <cellStyle name="Nota 5 6 2" xfId="51322" xr:uid="{8D537275-242A-4F2C-874E-16B697C20D65}"/>
    <cellStyle name="Nota 5 7" xfId="25895" xr:uid="{CBBF3940-584E-4C59-A5CA-F3232A62B7D8}"/>
    <cellStyle name="Nota 5 7 2" xfId="51312" xr:uid="{006A4E63-48BC-4CA9-84B8-32C62ED94BCB}"/>
    <cellStyle name="Nota 5 8" xfId="25917" xr:uid="{1FBB3FE2-A1DB-4B2F-A6B0-C1D2CA8135BB}"/>
    <cellStyle name="Nota 6" xfId="3575" xr:uid="{609836A2-15D6-49BB-A368-10C6069DCC7B}"/>
    <cellStyle name="Nota 6 2" xfId="13013" xr:uid="{69E40C34-1E23-4BE8-AE52-767A2B85514B}"/>
    <cellStyle name="Nota 6 2 2" xfId="25694" xr:uid="{07939A61-FC9A-43F0-810D-CB371A0874F2}"/>
    <cellStyle name="Nota 6 2 2 2" xfId="25761" xr:uid="{48E07BBF-550A-4B41-9ADC-C6B47B7B37B4}"/>
    <cellStyle name="Nota 6 2 2 2 2" xfId="51210" xr:uid="{D8DC00D2-B2E0-4E87-8F95-403B61FCA164}"/>
    <cellStyle name="Nota 6 2 2 3" xfId="25820" xr:uid="{628B0257-B5B2-43C0-9708-E0C41B76E649}"/>
    <cellStyle name="Nota 6 2 2 3 2" xfId="51256" xr:uid="{BB98D822-5764-4E8C-A7DC-A154861F9B84}"/>
    <cellStyle name="Nota 6 2 2 4" xfId="25954" xr:uid="{AA173E53-BC87-4820-8378-B5A6B2DC9F82}"/>
    <cellStyle name="Nota 6 2 3" xfId="25741" xr:uid="{B89DC11E-1AE3-471A-9E62-7EF9CFF343CD}"/>
    <cellStyle name="Nota 6 2 3 2" xfId="51197" xr:uid="{E15E1330-CC28-4EB0-8992-ADBE06C4DF97}"/>
    <cellStyle name="Nota 6 2 4" xfId="25872" xr:uid="{D473D8B1-7F78-443D-BE27-053BDB827F1A}"/>
    <cellStyle name="Nota 6 2 4 2" xfId="51299" xr:uid="{CD07309D-C2F0-4200-8ACA-4EB01A9C0FA9}"/>
    <cellStyle name="Nota 6 2 5" xfId="25829" xr:uid="{535049D5-0406-4AFB-8991-5E4996FC3C1F}"/>
    <cellStyle name="Nota 6 3" xfId="13049" xr:uid="{BD20AE4C-294F-4D90-994C-3D36E077CC39}"/>
    <cellStyle name="Nota 6 3 2" xfId="25721" xr:uid="{6FF1C6A4-7885-4006-8F01-D3DCBEC050AB}"/>
    <cellStyle name="Nota 6 3 2 2" xfId="25948" xr:uid="{DDE28EFC-7AF2-4319-AFA4-D643C824F80A}"/>
    <cellStyle name="Nota 6 3 2 2 2" xfId="51351" xr:uid="{4568D7F2-FBC5-423C-B5A3-0C6AF17B6837}"/>
    <cellStyle name="Nota 6 3 2 3" xfId="25885" xr:uid="{017EAD1E-7176-43F9-BC40-10EE73E98D36}"/>
    <cellStyle name="Nota 6 3 2 3 2" xfId="51304" xr:uid="{0BD1AEDE-6329-4EC4-97D4-98AA5F5921B3}"/>
    <cellStyle name="Nota 6 3 2 4" xfId="25977" xr:uid="{740A62BB-4822-41D8-84D8-92A6DD9153E5}"/>
    <cellStyle name="Nota 6 3 3" xfId="25923" xr:uid="{5578F9A9-3070-42A0-A5C8-340FFD3F72A9}"/>
    <cellStyle name="Nota 6 3 3 2" xfId="51334" xr:uid="{3A05BC24-EA62-4B26-96E4-50AFC270700C}"/>
    <cellStyle name="Nota 6 3 4" xfId="25772" xr:uid="{20390D61-CDE5-41E3-8153-12EFD18DFF12}"/>
    <cellStyle name="Nota 6 3 4 2" xfId="51218" xr:uid="{70579328-75F0-4AC7-98D2-F9786F3E5862}"/>
    <cellStyle name="Nota 6 3 5" xfId="25876" xr:uid="{A9734154-D10A-479B-A2BA-ED29C7AA382C}"/>
    <cellStyle name="Nota 6 4" xfId="13031" xr:uid="{2D2A0A9C-BE71-4532-A8F8-42AF531E4155}"/>
    <cellStyle name="Nota 6 4 2" xfId="25706" xr:uid="{BAE39CA4-D9A4-4032-B5C6-846A204CA803}"/>
    <cellStyle name="Nota 6 4 2 2" xfId="25760" xr:uid="{419DA4B9-451F-4E65-9D13-C18D09DF250A}"/>
    <cellStyle name="Nota 6 4 2 2 2" xfId="51209" xr:uid="{9EBBFBAC-C006-4414-88FB-3A42CC0F248F}"/>
    <cellStyle name="Nota 6 4 2 3" xfId="25910" xr:uid="{F5742B6B-9AB2-45CC-B4A9-8527A4F6E334}"/>
    <cellStyle name="Nota 6 4 2 3 2" xfId="51323" xr:uid="{35B211F0-2EDE-4BD9-84A3-2EB58EBE1EC7}"/>
    <cellStyle name="Nota 6 4 2 4" xfId="25964" xr:uid="{37CCE00A-C4FA-4BC7-B48B-092BEBDB2663}"/>
    <cellStyle name="Nota 6 4 3" xfId="25808" xr:uid="{7B3797C6-FD7D-42C6-B525-717AD1D91440}"/>
    <cellStyle name="Nota 6 4 3 2" xfId="51248" xr:uid="{86969F31-E555-4DEF-ACA0-2040D983D3AB}"/>
    <cellStyle name="Nota 6 4 4" xfId="25786" xr:uid="{EBFFA92C-76F5-4842-92D0-C5618781F180}"/>
    <cellStyle name="Nota 6 4 4 2" xfId="51230" xr:uid="{25796DEE-5814-4D96-AAF7-6406846FA23E}"/>
    <cellStyle name="Nota 6 4 5" xfId="25734" xr:uid="{145576F8-6F36-4E01-957B-4876FB6218CF}"/>
    <cellStyle name="Nota 6 5" xfId="13022" xr:uid="{F815328F-0612-47C7-B823-C5882A0385C0}"/>
    <cellStyle name="Nota 6 5 2" xfId="25740" xr:uid="{95D45E84-E3E4-41B1-8981-A07B70B42308}"/>
    <cellStyle name="Nota 6 5 2 2" xfId="51196" xr:uid="{B1B42114-9D1A-4C18-975F-101BB2ED8748}"/>
    <cellStyle name="Nota 6 5 3" xfId="25742" xr:uid="{CDC0E347-3080-4D29-971D-E6813F2FBD8F}"/>
    <cellStyle name="Nota 6 5 3 2" xfId="51198" xr:uid="{56873EF9-458F-4C66-B4E7-C3DD41C93855}"/>
    <cellStyle name="Nota 6 5 4" xfId="25854" xr:uid="{ABED9EAD-B2B4-4901-A49C-5F78A5049D04}"/>
    <cellStyle name="Nota 6 6" xfId="25763" xr:uid="{4A3307AC-53CB-4C06-BF2F-431106D65EC5}"/>
    <cellStyle name="Nota 6 6 2" xfId="51212" xr:uid="{050899A0-6923-4A66-A17B-AB9923827C0E}"/>
    <cellStyle name="Nota 6 7" xfId="25888" xr:uid="{B27E07BB-6B66-45D9-B1CA-A4D30CFEAC6A}"/>
    <cellStyle name="Nota 6 7 2" xfId="51307" xr:uid="{4EF8D7AB-4E9F-4E5C-8D49-B6FFB16FD934}"/>
    <cellStyle name="Nota 6 8" xfId="25785" xr:uid="{B972BF92-28BA-4031-9434-72C5374D732C}"/>
    <cellStyle name="Nota 7" xfId="6729" xr:uid="{EEC55521-E667-4AA4-ABB5-E29DC88D0394}"/>
    <cellStyle name="Nota 7 2" xfId="13026" xr:uid="{DD486DCB-8F36-4E13-A523-1B21C3502E10}"/>
    <cellStyle name="Nota 7 2 2" xfId="25703" xr:uid="{1DC76558-DB06-4552-9C78-BE158AB6EAFB}"/>
    <cellStyle name="Nota 7 2 2 2" xfId="13054" xr:uid="{70C260F4-70B6-42B8-882B-17705A743D25}"/>
    <cellStyle name="Nota 7 2 2 2 2" xfId="38597" xr:uid="{02E518ED-311F-41D9-9C9E-01903129F58C}"/>
    <cellStyle name="Nota 7 2 2 3" xfId="25860" xr:uid="{AA14201E-00BF-4F46-A96D-043F54CBE93B}"/>
    <cellStyle name="Nota 7 2 2 3 2" xfId="51289" xr:uid="{DA018B2C-EE55-4E70-B748-E6916A01B7A0}"/>
    <cellStyle name="Nota 7 2 2 4" xfId="25961" xr:uid="{B3007AA6-0653-4A3E-8CA1-40130C88695B}"/>
    <cellStyle name="Nota 7 2 3" xfId="25916" xr:uid="{FF0F2918-AB50-43DF-8704-475A095744C9}"/>
    <cellStyle name="Nota 7 2 3 2" xfId="51328" xr:uid="{D3ED639A-B18C-446F-B9A5-9B248D805815}"/>
    <cellStyle name="Nota 7 2 4" xfId="25803" xr:uid="{49C15948-89BF-48F7-B60A-168389D41F61}"/>
    <cellStyle name="Nota 7 2 4 2" xfId="51243" xr:uid="{B4F26B29-DB56-44CA-91B2-9129AB76AA26}"/>
    <cellStyle name="Nota 7 2 5" xfId="25936" xr:uid="{9E7CF878-E18F-4A01-B5C0-29EEEB52A812}"/>
    <cellStyle name="Nota 7 3" xfId="13038" xr:uid="{34439FB9-71B6-4068-8467-1832275F7ECF}"/>
    <cellStyle name="Nota 7 3 2" xfId="25711" xr:uid="{6E54C3ED-5756-43A2-9A71-1BDEF1A0646D}"/>
    <cellStyle name="Nota 7 3 2 2" xfId="25725" xr:uid="{BCEE575F-AE1C-4AD0-96EC-0858B6C837C4}"/>
    <cellStyle name="Nota 7 3 2 2 2" xfId="51184" xr:uid="{39A69FA4-6664-43B2-BE23-E8CE5C362FBD}"/>
    <cellStyle name="Nota 7 3 2 3" xfId="25905" xr:uid="{0E9D8902-76CF-4F32-892E-E8722A27D117}"/>
    <cellStyle name="Nota 7 3 2 3 2" xfId="51319" xr:uid="{1BE97360-C173-4095-9FB7-D80F77365962}"/>
    <cellStyle name="Nota 7 3 2 4" xfId="25967" xr:uid="{22713AC8-5CD0-4DE7-83C7-A81BCEE678ED}"/>
    <cellStyle name="Nota 7 3 3" xfId="25911" xr:uid="{0E45FE02-4318-4772-BC25-AF66D19E9D02}"/>
    <cellStyle name="Nota 7 3 3 2" xfId="51324" xr:uid="{652393EF-3F6F-466F-9072-C992FEB7EFB9}"/>
    <cellStyle name="Nota 7 3 4" xfId="25864" xr:uid="{F7206F29-1457-4320-8919-51867814A94D}"/>
    <cellStyle name="Nota 7 3 4 2" xfId="51293" xr:uid="{6EE7F23B-FC36-4301-80A4-4B4D0FE5BB60}"/>
    <cellStyle name="Nota 7 3 5" xfId="25758" xr:uid="{EB39D23A-4AAB-4E00-A1FB-A171AA12D726}"/>
    <cellStyle name="Nota 7 4" xfId="13021" xr:uid="{76FACDDA-65F3-47ED-94C1-2D077855ECDD}"/>
    <cellStyle name="Nota 7 4 2" xfId="25700" xr:uid="{1682522B-C56A-4882-8399-1E3091BF1224}"/>
    <cellStyle name="Nota 7 4 2 2" xfId="25728" xr:uid="{D9A421F4-D622-4196-B4CE-62060A78B967}"/>
    <cellStyle name="Nota 7 4 2 2 2" xfId="51187" xr:uid="{A0CEA767-6CEA-4089-B11F-5384E3085316}"/>
    <cellStyle name="Nota 7 4 2 3" xfId="25832" xr:uid="{1885A23D-EFB9-4246-8FF5-E50C68B20F30}"/>
    <cellStyle name="Nota 7 4 2 3 2" xfId="51266" xr:uid="{986A08F5-7627-47E3-B198-54475655A930}"/>
    <cellStyle name="Nota 7 4 2 4" xfId="25959" xr:uid="{8EEF579D-DAE4-4831-BEA3-55AA40DB8104}"/>
    <cellStyle name="Nota 7 4 3" xfId="25747" xr:uid="{134EB781-7647-452B-A84F-A5A1CF568A48}"/>
    <cellStyle name="Nota 7 4 3 2" xfId="51201" xr:uid="{133A3055-017C-4FB9-A416-96F3CA7BB966}"/>
    <cellStyle name="Nota 7 4 4" xfId="25799" xr:uid="{9A53592F-60D8-49AF-8615-F2E18401EB10}"/>
    <cellStyle name="Nota 7 4 4 2" xfId="51239" xr:uid="{A6B18493-5428-4AC3-85C6-BD3A4479CC93}"/>
    <cellStyle name="Nota 7 4 5" xfId="25850" xr:uid="{E4F1C2C8-8EF2-4F72-B24C-7741F9B4BA81}"/>
    <cellStyle name="Nota 7 5" xfId="13033" xr:uid="{A5835C6A-34EC-4855-8FBC-2DCD2EDBB59C}"/>
    <cellStyle name="Nota 7 5 2" xfId="25937" xr:uid="{79C9A3AD-D85C-4AE9-B7D8-6DF6DE7301F4}"/>
    <cellStyle name="Nota 7 5 2 2" xfId="51343" xr:uid="{945FC2DB-2838-4323-BEAF-F78513C4D0FA}"/>
    <cellStyle name="Nota 7 5 3" xfId="25788" xr:uid="{1B065603-77EA-4622-8E43-E40327963D30}"/>
    <cellStyle name="Nota 7 5 3 2" xfId="51231" xr:uid="{7E5C5C19-161A-410B-9D5F-79948C9B554C}"/>
    <cellStyle name="Nota 7 5 4" xfId="25815" xr:uid="{21DAA2D6-4CEA-47B2-8DFF-9E1EA923295A}"/>
    <cellStyle name="Nota 7 6" xfId="25933" xr:uid="{D4FA52EF-E729-4CD6-80F0-DE5E89D645CB}"/>
    <cellStyle name="Nota 7 6 2" xfId="51342" xr:uid="{954B680C-AE95-418F-A5D0-270605B9693F}"/>
    <cellStyle name="Nota 7 7" xfId="25846" xr:uid="{4D72B5D3-0895-4BC6-9187-E24621FE221A}"/>
    <cellStyle name="Nota 7 7 2" xfId="51280" xr:uid="{F0CCC203-9A15-4908-95EE-CD83A90810A9}"/>
    <cellStyle name="Nota 7 8" xfId="25827" xr:uid="{7D9A042D-CE32-4113-A964-58694998AC86}"/>
    <cellStyle name="Nota 8" xfId="13016" xr:uid="{A9762384-7CC6-4306-B224-61473D5137FC}"/>
    <cellStyle name="Nota 8 2" xfId="25695" xr:uid="{609E3449-A4C3-4F8B-A39D-B094FDB1F905}"/>
    <cellStyle name="Nota 8 2 2" xfId="25736" xr:uid="{7AD469E5-6099-4D76-A649-703B6928D062}"/>
    <cellStyle name="Nota 8 2 2 2" xfId="51193" xr:uid="{D8F5C2C9-4300-4E78-B699-F8319CC97093}"/>
    <cellStyle name="Nota 8 2 3" xfId="25807" xr:uid="{6EB6813C-72E5-45A1-9F79-72BF119A50AA}"/>
    <cellStyle name="Nota 8 2 3 2" xfId="51247" xr:uid="{60C83E10-9321-424E-AFD6-813EA7DE12E0}"/>
    <cellStyle name="Nota 8 2 4" xfId="25955" xr:uid="{E69DABE6-4C44-4823-BD09-5F46B03BF8A1}"/>
    <cellStyle name="Nota 8 3" xfId="25801" xr:uid="{1D71A5AD-4AC6-44F3-A1D2-208B9748E70E}"/>
    <cellStyle name="Nota 8 3 2" xfId="51241" xr:uid="{ABD84ECD-ECFE-46A2-B834-00FDAD25EFCD}"/>
    <cellStyle name="Nota 8 4" xfId="25852" xr:uid="{5D6784BE-CF5C-4651-BC6B-2E6FDB9A77C0}"/>
    <cellStyle name="Nota 8 4 2" xfId="51284" xr:uid="{AD55CF16-ADFA-44BE-AA67-8FEAC7D479EA}"/>
    <cellStyle name="Nota 8 5" xfId="25848" xr:uid="{355346C9-F400-4AE6-859D-B0DD0D03FDCC}"/>
    <cellStyle name="Nota 9" xfId="13028" xr:uid="{47301EA7-840D-4B33-8AE1-AC381C196FAA}"/>
    <cellStyle name="Nota 9 2" xfId="25704" xr:uid="{1B856066-06D4-4D24-8444-BF53B81B18BB}"/>
    <cellStyle name="Nota 9 2 2" xfId="25723" xr:uid="{226D61D3-AD74-4D6C-8FE9-493C0AAE1E1E}"/>
    <cellStyle name="Nota 9 2 2 2" xfId="51182" xr:uid="{F211FDA8-15D2-4475-990D-CD52BFBC0D7C}"/>
    <cellStyle name="Nota 9 2 3" xfId="25878" xr:uid="{707F8E0B-442F-41AD-9331-CF459720BC26}"/>
    <cellStyle name="Nota 9 2 3 2" xfId="51302" xr:uid="{26466827-7315-416A-B48A-8D96B7769D39}"/>
    <cellStyle name="Nota 9 2 4" xfId="25962" xr:uid="{DDE744EB-D2FA-4E83-A9D7-AE61D16C8601}"/>
    <cellStyle name="Nota 9 3" xfId="25764" xr:uid="{C5B18D28-9205-4F3F-A59C-243740694090}"/>
    <cellStyle name="Nota 9 3 2" xfId="51213" xr:uid="{EE4390F8-351A-4FB1-9579-1058BB1F8D46}"/>
    <cellStyle name="Nota 9 4" xfId="25833" xr:uid="{391B7B9F-C612-48E9-87B8-FD6ADBFC65E2}"/>
    <cellStyle name="Nota 9 4 2" xfId="51267" xr:uid="{CDC9FD4B-D2E5-4FEB-B63E-282DB13738BF}"/>
    <cellStyle name="Nota 9 5" xfId="25938" xr:uid="{27B69FA8-E624-4D03-A977-BC962C017262}"/>
    <cellStyle name="Note" xfId="100" xr:uid="{F4DFCA56-A54D-4406-8E7F-20EFA6779F4D}"/>
    <cellStyle name="Œ…‹æØ‚è_!!!GO" xfId="261" xr:uid="{9CD09CD7-124F-4FDD-8C55-391250A68167}"/>
    <cellStyle name="Output" xfId="101" xr:uid="{94D6B20C-18AE-425B-AA82-76BF471744C0}"/>
    <cellStyle name="Porcentagem" xfId="6" builtinId="5"/>
    <cellStyle name="Porcentagem 2" xfId="7" xr:uid="{00000000-0005-0000-0000-000007000000}"/>
    <cellStyle name="Porcentagem 2 2" xfId="102" xr:uid="{654BE143-984E-488E-96DC-9D705882285F}"/>
    <cellStyle name="Porcentagem 2 2 2" xfId="262" xr:uid="{BE128BEE-687A-4109-A0A6-AAD4A18B175C}"/>
    <cellStyle name="Porcentagem 2 3" xfId="263" xr:uid="{394E711B-850F-4938-A9F6-C99AD345A03C}"/>
    <cellStyle name="Porcentagem 2 4" xfId="264" xr:uid="{93D3AB13-C435-48BA-AB21-2685C88E62C9}"/>
    <cellStyle name="Porcentagem 3" xfId="103" xr:uid="{6D0EA87B-D643-4DB4-835C-D5DA0E173F92}"/>
    <cellStyle name="Porcentagem 3 2" xfId="104" xr:uid="{CC7F2FE1-CF4E-47E5-BDE8-645AAC967F0D}"/>
    <cellStyle name="Porcentagem 3 2 2" xfId="229" xr:uid="{5417D1B1-716C-4262-8A6C-33707C940235}"/>
    <cellStyle name="Porcentagem 3 3" xfId="132" xr:uid="{9F5ABC7C-1A2A-404C-B4C1-DB3AEEAF8029}"/>
    <cellStyle name="Porcentagem 3 4" xfId="228" xr:uid="{9F329670-5347-4915-A292-4DC3C29E843D}"/>
    <cellStyle name="Porcentagem 4" xfId="105" xr:uid="{C235F928-B334-43B8-B234-B0671B7FD08C}"/>
    <cellStyle name="Porcentagem 4 2" xfId="133" xr:uid="{5771D930-4797-4129-A541-D62DA5D5A954}"/>
    <cellStyle name="Porcentagem 4 2 2" xfId="280" xr:uid="{A560D6B5-F57C-42A6-847C-A6C3B84EB5FE}"/>
    <cellStyle name="Porcentagem 4 2 3" xfId="266" xr:uid="{F5E7C75E-BD1F-49B8-8CE8-A44E1F1DEB66}"/>
    <cellStyle name="Porcentagem 4 3" xfId="200" xr:uid="{8FCDE63C-02D0-4FAB-8C11-500DFC0B3E07}"/>
    <cellStyle name="Porcentagem 5" xfId="106" xr:uid="{409DDE2D-2A48-4053-A462-C5F2023C73C2}"/>
    <cellStyle name="Porcentagem 5 2" xfId="134" xr:uid="{387AB904-C65F-4ED3-8EF9-A29BDA56D270}"/>
    <cellStyle name="Porcentagem 5 2 2" xfId="25841" xr:uid="{723EF165-7A8A-4B73-967E-DC30F8E1EFBC}"/>
    <cellStyle name="Porcentagem 5 2 2 2" xfId="51275" xr:uid="{B5AEC5E9-B30A-404C-A4C4-E0CAEAC6BBDC}"/>
    <cellStyle name="Porcentagem 5 2 3" xfId="26002" xr:uid="{B2B3A58E-6ACC-4855-AA9D-0F3E23E6B0DE}"/>
    <cellStyle name="Porcentagem 5 2 4" xfId="38621" xr:uid="{D14D4FAB-3F17-46F5-B588-690B4234D5A0}"/>
    <cellStyle name="Porcentagem 5 2 5" xfId="13098" xr:uid="{C3380D97-EF6B-4783-870F-CB8110D55C02}"/>
    <cellStyle name="Porcentagem 5 2 6" xfId="338" xr:uid="{F0D18F6B-16EA-43B1-8DD5-035215234CB5}"/>
    <cellStyle name="Porcentagem 5 3" xfId="267" xr:uid="{A2279CD4-2A6B-443F-9E80-6EBF90EE024B}"/>
    <cellStyle name="Porcentagem 6" xfId="163" xr:uid="{2C5C1A5C-78DE-4FED-B6D0-A11CD2EB484E}"/>
    <cellStyle name="Porcentagem 6 2" xfId="268" xr:uid="{2885A187-CAC0-4998-BFEE-D6CC2AFBAA46}"/>
    <cellStyle name="Porcentagem 6 3" xfId="323" xr:uid="{0B0B6AAF-3995-47A4-B5D2-C7EEAA04F1E3}"/>
    <cellStyle name="Porcentagem 6 3 2" xfId="13127" xr:uid="{2695203A-EA1D-436E-BB83-A5593F994867}"/>
    <cellStyle name="Porcentagem 6 3 3" xfId="13091" xr:uid="{C822B865-E261-423A-A192-64F6A8A25835}"/>
    <cellStyle name="Porcentagem 6 3 3 2" xfId="38617" xr:uid="{6957A755-CCF6-47AC-9DBE-DE83599AB3E6}"/>
    <cellStyle name="Porcentagem 6 3 4" xfId="25998" xr:uid="{D72DD6D0-360F-44AA-82EF-C01FFA084E3A}"/>
    <cellStyle name="Porcentagem 6 3 5" xfId="26029" xr:uid="{4403DCFC-F6A9-4FA1-B685-F9B9AE3CE3D1}"/>
    <cellStyle name="Porcentagem 6 3 6" xfId="387" xr:uid="{2D092252-09E6-446E-A1A5-E453FE1AE1E7}"/>
    <cellStyle name="Porcentagem 6 4" xfId="427" xr:uid="{3E30D062-CE27-49F7-9460-31C1787BA08E}"/>
    <cellStyle name="Porcentagem 6 5" xfId="684" xr:uid="{006899CF-B2C8-4504-B0D2-72D007D3D10A}"/>
    <cellStyle name="Porcentagem 6 6" xfId="3576" xr:uid="{9E07F520-E693-4F13-99AB-72002EFF4E22}"/>
    <cellStyle name="Porcentagem 6 7" xfId="6730" xr:uid="{A6F021E6-1D1B-47F8-990F-64ED526BA453}"/>
    <cellStyle name="Porcentagem 6 8" xfId="201" xr:uid="{410B70DA-5F45-4831-97F7-7F9957F5C5C3}"/>
    <cellStyle name="Porcentagem 7" xfId="51384" xr:uid="{74DBD2E5-F040-424C-8A19-88F5D840573D}"/>
    <cellStyle name="Resultado 1" xfId="269" xr:uid="{6DC78F46-CC19-4AB0-90DF-7E1CEDEAD9E1}"/>
    <cellStyle name="Resultado do Assistente de dados" xfId="270" xr:uid="{874FC0E0-7807-4CE2-BE36-9547D8707C6E}"/>
    <cellStyle name="Resultado do Assistente de dados 2" xfId="271" xr:uid="{43C37A1C-CB65-4A64-9003-AC67086812B8}"/>
    <cellStyle name="Resultado do Assistente de dados 3" xfId="272" xr:uid="{E24F3858-1F6D-43EA-AE64-ECF61F5F98B9}"/>
    <cellStyle name="Ruim" xfId="23" builtinId="27" customBuiltin="1"/>
    <cellStyle name="Ruim 2" xfId="195" xr:uid="{365F3383-7CA7-4F7C-97F1-9601599EE0BA}"/>
    <cellStyle name="Saída" xfId="26" builtinId="21" customBuiltin="1"/>
    <cellStyle name="Saída 2" xfId="325" xr:uid="{87998C0C-21ED-4E1B-947C-EDB980F32495}"/>
    <cellStyle name="Saída 2 2" xfId="25696" xr:uid="{CB1FF67D-EB3B-4817-96C0-D5E20AF81362}"/>
    <cellStyle name="Saída 2 2 2" xfId="25887" xr:uid="{EC2AB579-D410-40B0-86CF-8913B9689FF4}"/>
    <cellStyle name="Saída 2 2 2 2" xfId="51306" xr:uid="{7B128E77-56CE-4908-A904-A205157D92C6}"/>
    <cellStyle name="Saída 2 2 3" xfId="25754" xr:uid="{DDA20AEE-3FAF-4F00-A492-1EF9C1ECD43C}"/>
    <cellStyle name="Saída 2 2 3 2" xfId="51207" xr:uid="{4138B6FF-7BCC-40FE-ABFC-9BC5007D6B52}"/>
    <cellStyle name="Saída 2 2 4" xfId="25865" xr:uid="{6EC7A1A3-0B37-443B-A0C9-94A18645FC6E}"/>
    <cellStyle name="Saída 2 3" xfId="13093" xr:uid="{00252797-1972-46D0-9578-25C9AD98D424}"/>
    <cellStyle name="Saída 2 4" xfId="38590" xr:uid="{E06CA5FC-99FA-4DBB-A529-72E998A10537}"/>
    <cellStyle name="Saída 2 5" xfId="13017" xr:uid="{F3770094-D5DB-4F92-91AE-8E1C2553A270}"/>
    <cellStyle name="Saída 3" xfId="13019" xr:uid="{CC42176E-FD16-4E98-90E3-6027552E69BC}"/>
    <cellStyle name="Saída 3 2" xfId="25698" xr:uid="{CF318F49-E6BB-4EFD-B5B8-7984F823CEDE}"/>
    <cellStyle name="Saída 3 2 2" xfId="25726" xr:uid="{D4E494AC-65D6-4C95-BC96-326B4AA418FA}"/>
    <cellStyle name="Saída 3 2 2 2" xfId="51185" xr:uid="{2AAE64A3-DC12-4E15-B807-5ECAC490A4E6}"/>
    <cellStyle name="Saída 3 2 3" xfId="25737" xr:uid="{FBC63631-B6A6-44E0-9CF6-BEFFC26C777D}"/>
    <cellStyle name="Saída 3 2 3 2" xfId="51194" xr:uid="{890EEFAC-CE7D-4935-BB2F-96F0F2042235}"/>
    <cellStyle name="Saída 3 2 4" xfId="25957" xr:uid="{3CA7C97D-224B-4BAA-A02E-5A97C28ABBBF}"/>
    <cellStyle name="Saída 3 3" xfId="25828" xr:uid="{C6FD5FE5-1CD7-46E5-A38A-01DD915C51E2}"/>
    <cellStyle name="Saída 3 3 2" xfId="51263" xr:uid="{4D213BA0-6873-43AA-A45D-D70F1570AF61}"/>
    <cellStyle name="Saída 3 4" xfId="25780" xr:uid="{E57EDF48-FEF6-4F51-A72B-3D3762C92FFF}"/>
    <cellStyle name="Saída 3 4 2" xfId="51226" xr:uid="{14B15902-D5C8-45A3-B612-6780848F9707}"/>
    <cellStyle name="Saída 3 5" xfId="25913" xr:uid="{6E971A48-14BF-4370-A012-008024B2EC37}"/>
    <cellStyle name="Saída 4" xfId="13010" xr:uid="{6FFC8FEB-18AC-4121-B34E-3D1A4921B36A}"/>
    <cellStyle name="Saída 4 2" xfId="25692" xr:uid="{973B2AAD-79A7-427A-A48D-7D28172D2E21}"/>
    <cellStyle name="Saída 4 2 2" xfId="25724" xr:uid="{2FE47299-0775-44B9-B77C-AB183FDEEA26}"/>
    <cellStyle name="Saída 4 2 2 2" xfId="51183" xr:uid="{B9BC7FCC-CF76-4708-9CF9-BBFD78866736}"/>
    <cellStyle name="Saída 4 2 3" xfId="25906" xr:uid="{1CC5D641-2C81-4ADE-9F78-7440E9E1976B}"/>
    <cellStyle name="Saída 4 2 3 2" xfId="51320" xr:uid="{A107C164-6A74-40A9-A190-17742757DA88}"/>
    <cellStyle name="Saída 4 2 4" xfId="25952" xr:uid="{D5537BA2-B99E-470F-87A3-B8DD46241001}"/>
    <cellStyle name="Saída 4 3" xfId="25924" xr:uid="{6F4668ED-9981-4EB7-9C80-A98B15CD1456}"/>
    <cellStyle name="Saída 4 3 2" xfId="51335" xr:uid="{1C2F4622-E2E6-42D1-930C-66827A0F8D9F}"/>
    <cellStyle name="Saída 4 4" xfId="25774" xr:uid="{B3CD593A-59FF-4D39-8A30-1B100B8DF809}"/>
    <cellStyle name="Saída 4 4 2" xfId="51220" xr:uid="{9845F967-86AB-4A87-9A88-477235F5DD22}"/>
    <cellStyle name="Saída 4 5" xfId="25882" xr:uid="{530D3469-EE19-420E-BB6D-F93AF546F230}"/>
    <cellStyle name="Saída 5" xfId="13014" xr:uid="{99E44E1C-E712-493E-9B58-E6956D54EDB4}"/>
    <cellStyle name="Saída 5 2" xfId="25859" xr:uid="{BA64B567-4E0F-4465-A01A-D847B4EF6454}"/>
    <cellStyle name="Saída 5 2 2" xfId="51288" xr:uid="{E8FE8CE7-91EF-4F4C-AE20-450A2382F0B0}"/>
    <cellStyle name="Saída 5 3" xfId="25914" xr:uid="{D7F5394F-5621-43BC-936C-304A5CAEC371}"/>
    <cellStyle name="Saída 5 3 2" xfId="51326" xr:uid="{A6B78A90-55F4-4A3D-9A03-2A50401FA0C1}"/>
    <cellStyle name="Saída 5 4" xfId="25875" xr:uid="{10098E5D-81BE-46AF-80B4-59C90011EA11}"/>
    <cellStyle name="Saída 6" xfId="25919" xr:uid="{D01FDE22-DFDF-4DC3-BDFF-5BDDC972E101}"/>
    <cellStyle name="Saída 6 2" xfId="51330" xr:uid="{B15514F8-D60C-4CD9-A3D7-131229A6BB30}"/>
    <cellStyle name="Saída 7" xfId="25855" xr:uid="{455773E7-409B-45EC-8927-2C83F4F736B6}"/>
    <cellStyle name="Saída 7 2" xfId="51286" xr:uid="{7DA5A128-5149-4D55-9AE7-C1F4A8D7043E}"/>
    <cellStyle name="Saída 8" xfId="25759" xr:uid="{C311E5D4-B6C4-4831-9A30-443A43F54452}"/>
    <cellStyle name="Saída 9" xfId="202" xr:uid="{A2C943F8-40D9-4051-949A-896E43550CB2}"/>
    <cellStyle name="Separador de milhares 2" xfId="8" xr:uid="{00000000-0005-0000-0000-000008000000}"/>
    <cellStyle name="Separador de milhares 2 2" xfId="14" xr:uid="{54811C22-DCB3-41EC-8123-8591E56C2E79}"/>
    <cellStyle name="Separador de milhares 2 2 2" xfId="340" xr:uid="{7A96611E-0EFB-4C48-85A9-C0AD320FBC76}"/>
    <cellStyle name="Separador de milhares 2 2 3" xfId="273" xr:uid="{76E3F365-E392-4C58-9B75-3A1EA7C2D973}"/>
    <cellStyle name="Separador de milhares 2 3" xfId="274" xr:uid="{D83C94BE-D7E5-47F9-8CA8-4EF029C54A98}"/>
    <cellStyle name="Separador de milhares 2 3 2" xfId="341" xr:uid="{841491DA-7977-43C2-9E80-D8DF2C595494}"/>
    <cellStyle name="Separador de milhares 2 4" xfId="275" xr:uid="{6AFB35F6-3120-4E03-9BAC-AF46955A4BDF}"/>
    <cellStyle name="Separador de milhares 2 4 2" xfId="342" xr:uid="{1BF1308A-6C45-4CB9-A998-9D347987882B}"/>
    <cellStyle name="Separador de milhares 2 5" xfId="339" xr:uid="{90E3FD48-4D70-4846-8430-9E7270B0B29A}"/>
    <cellStyle name="Separador de milhares 2 6" xfId="231" xr:uid="{B8C3341E-70E8-4A55-BE07-9921894D4449}"/>
    <cellStyle name="Separador de milhares 2 7" xfId="107" xr:uid="{F373B080-2AFF-42E4-8FED-CD8271129EAE}"/>
    <cellStyle name="Separador de milhares 3" xfId="9" xr:uid="{00000000-0005-0000-0000-000009000000}"/>
    <cellStyle name="Separador de milhares 3 2" xfId="109" xr:uid="{4BE0BE5C-458F-447E-B87E-1471376CE0AA}"/>
    <cellStyle name="Separador de milhares 3 2 2" xfId="276" xr:uid="{F243310F-D595-4F21-BA71-D4414056D351}"/>
    <cellStyle name="Separador de milhares 3 2 3" xfId="233" xr:uid="{E2C792F4-4A04-42CC-8616-3298562F3473}"/>
    <cellStyle name="Separador de milhares 3 3" xfId="277" xr:uid="{6BC666B5-4628-4BBB-8B91-CCE702AC1895}"/>
    <cellStyle name="Separador de milhares 3 4" xfId="278" xr:uid="{013DD86A-CAB2-4CF6-B4C3-20FF9A663C7B}"/>
    <cellStyle name="Separador de milhares 3 5" xfId="279" xr:uid="{593E1DC2-54EB-468D-9BE3-8972477F74FB}"/>
    <cellStyle name="Separador de milhares 3 6" xfId="343" xr:uid="{06193458-D146-4669-92D0-C432EE9826EC}"/>
    <cellStyle name="Separador de milhares 3 7" xfId="232" xr:uid="{BC072EE1-7C72-4B9D-ABCA-FE69B784F48B}"/>
    <cellStyle name="Separador de milhares 3 8" xfId="108" xr:uid="{99B62BDF-EA21-463E-8BEF-F88D72B7CBC8}"/>
    <cellStyle name="Separador de milhares 4" xfId="10" xr:uid="{00000000-0005-0000-0000-00000A000000}"/>
    <cellStyle name="Separador de milhares 4 2" xfId="15" xr:uid="{759A2137-9491-403F-9C5B-630CE6D03550}"/>
    <cellStyle name="Separador de milhares 4 2 2" xfId="51376" xr:uid="{D1A71516-9F09-4BBA-B0D7-26C9B33B3AA4}"/>
    <cellStyle name="Separador de milhares 4 2 3" xfId="110" xr:uid="{52F8AE3B-BB2B-4E77-AD82-683367DD0820}"/>
    <cellStyle name="Separador de milhares 4 3" xfId="135" xr:uid="{48E9F49D-47C6-42B7-AB60-497A6BCFF1C4}"/>
    <cellStyle name="Separador de milhares 4 4" xfId="203" xr:uid="{D1C301F9-3954-42BA-B8A8-D7084CBFBF65}"/>
    <cellStyle name="Separador de milhares 5" xfId="111" xr:uid="{CD3BCA5C-4CCD-4E10-8F54-2F2F2A7A7D0A}"/>
    <cellStyle name="Separador de milhares 5 2" xfId="136" xr:uid="{70F81A09-2429-45B3-9FAA-563DC29DB907}"/>
    <cellStyle name="Separador de milhares 5 2 2" xfId="326" xr:uid="{A0A38112-3212-4EC0-8A79-67C4F39C1B6F}"/>
    <cellStyle name="Separador de milhares 5 2 3" xfId="25837" xr:uid="{BB3E2DA6-8C44-4985-B57C-DEF9F3D3E628}"/>
    <cellStyle name="Separador de milhares 5 2 3 2" xfId="51271" xr:uid="{B3EAD611-3826-4245-80EA-E8C33631CD71}"/>
    <cellStyle name="Separador de milhares 5 2 4" xfId="25983" xr:uid="{BDD27F4A-B2A6-433F-B7AD-8B4C3810F5E0}"/>
    <cellStyle name="Separador de milhares 5 2 5" xfId="38602" xr:uid="{064C9E71-B6D5-49C8-980F-BE393CCB94A9}"/>
    <cellStyle name="Separador de milhares 5 2 6" xfId="13073" xr:uid="{42D460E1-7A20-4C15-BFA8-5F2E4E1373CC}"/>
    <cellStyle name="Separador de milhares 5 2 7" xfId="265" xr:uid="{D50FBDE0-1501-42F1-B1B0-53C7839C360A}"/>
    <cellStyle name="Separador de milhares 5 3" xfId="348" xr:uid="{8D8AC42C-F783-4C43-87BE-A5D6F7D628AB}"/>
    <cellStyle name="Separador de milhares 5 3 2" xfId="25843" xr:uid="{E62CC58B-1B0A-4BC7-9540-DAF28549EFFD}"/>
    <cellStyle name="Separador de milhares 5 3 2 2" xfId="51277" xr:uid="{FF3E8CBA-DEEA-40B6-AB4D-3AA497076D21}"/>
    <cellStyle name="Separador de milhares 5 3 3" xfId="26004" xr:uid="{F232A3A0-41A1-46BB-A269-EE96DECE8D4B}"/>
    <cellStyle name="Separador de milhares 5 3 4" xfId="38623" xr:uid="{819A67FF-A2BC-4975-8EF7-2F195F94590E}"/>
    <cellStyle name="Separador de milhares 5 3 5" xfId="13100" xr:uid="{C1DC84BE-5412-4C22-8C8E-DC7E7833775B}"/>
    <cellStyle name="Separador de milhares 5 4" xfId="235" xr:uid="{FB27812D-5B83-4AAF-BCB5-2B051EC45689}"/>
    <cellStyle name="Separador de milhares 6" xfId="112" xr:uid="{5364F4F1-EEA5-4762-9BE7-385FDBD3EC89}"/>
    <cellStyle name="Separador de milhares 6 2" xfId="137" xr:uid="{C821A41A-88E7-484B-9BD3-F04CAD9D8CDD}"/>
    <cellStyle name="Separador de milhares 6 2 2" xfId="25840" xr:uid="{9F57B939-F6E0-4EFE-AD25-5C1C3039636C}"/>
    <cellStyle name="Separador de milhares 6 2 2 2" xfId="51274" xr:uid="{4709660F-C31F-4B64-9D15-62A679362BEE}"/>
    <cellStyle name="Separador de milhares 6 2 3" xfId="26000" xr:uid="{60B55FC3-F362-4D18-B720-CBD2520DCF5E}"/>
    <cellStyle name="Separador de milhares 6 2 4" xfId="38619" xr:uid="{8F43B19A-B2A0-41D6-AE00-603C15167AC6}"/>
    <cellStyle name="Separador de milhares 6 2 5" xfId="13094" xr:uid="{9F25BDB5-4D58-4F6A-AA12-03E51C90AB3A}"/>
    <cellStyle name="Separador de milhares 6 2 6" xfId="327" xr:uid="{43C998A2-A2B6-4E55-9C3A-018505BE950F}"/>
    <cellStyle name="Separador de milhares 6 3" xfId="344" xr:uid="{3F720667-B3EE-4851-B0B3-53DE15088CBD}"/>
    <cellStyle name="Separador de milhares 6 4" xfId="25836" xr:uid="{F0C86CE6-8CE0-44C6-94E9-128BFB945BC3}"/>
    <cellStyle name="Separador de milhares 6 4 2" xfId="51270" xr:uid="{5E506A5C-9A6D-41E0-A0FB-C4E6C1143E14}"/>
    <cellStyle name="Separador de milhares 6 5" xfId="25981" xr:uid="{F0EA4813-0C30-4898-A131-4E4C6FB7108E}"/>
    <cellStyle name="Separador de milhares 6 6" xfId="38600" xr:uid="{6C3439D8-2B55-41A1-833E-3E080F6AE99D}"/>
    <cellStyle name="Separador de milhares 6 7" xfId="13064" xr:uid="{21F0B715-6888-4D2A-A85E-D7C91C709E4D}"/>
    <cellStyle name="Separador de milhares 6 8" xfId="236" xr:uid="{7CD0E092-3D6F-4353-9AC7-375228268EC8}"/>
    <cellStyle name="Separador de milhares 7" xfId="113" xr:uid="{0E700E79-1F6A-4A55-B64C-76D1B9C38264}"/>
    <cellStyle name="Separador de milhares 7 2" xfId="138" xr:uid="{65A2AC72-5ECB-45EC-8123-EF04D84ADF01}"/>
    <cellStyle name="Separador de milhares 7 3" xfId="345" xr:uid="{2C9DB5A9-A63D-4272-89C2-662A5743A486}"/>
    <cellStyle name="Separador de milhares 8" xfId="117" xr:uid="{C01E5BC3-B70D-4E42-B28E-5EF8D229FFCE}"/>
    <cellStyle name="Separador de milhares 8 2" xfId="346" xr:uid="{201D3D1F-8639-42BF-AED4-0E43EA398E7E}"/>
    <cellStyle name="Separador de milhares 9" xfId="347" xr:uid="{701BE806-92A4-4F47-9146-629053316266}"/>
    <cellStyle name="Separador de milhares 9 2" xfId="25842" xr:uid="{779133A4-61E9-4A1A-B92F-EBA77C7CD6A6}"/>
    <cellStyle name="Separador de milhares 9 2 2" xfId="51276" xr:uid="{2DC0090C-CABB-4E45-80A3-FC0D36B162FA}"/>
    <cellStyle name="Separador de milhares 9 3" xfId="26003" xr:uid="{7A08A02B-7C63-49F9-8918-3C7886C6F642}"/>
    <cellStyle name="Separador de milhares 9 4" xfId="38622" xr:uid="{E07671F2-BD4C-4E5F-913F-431373464BC7}"/>
    <cellStyle name="Separador de milhares 9 5" xfId="13099" xr:uid="{4E6A1DED-65AE-4E02-8222-A169D6A96D12}"/>
    <cellStyle name="Texto de Aviso" xfId="30" builtinId="11" customBuiltin="1"/>
    <cellStyle name="Texto de Aviso 2" xfId="328" xr:uid="{D25E514E-FE0E-47A5-B3E9-24EF119FCC29}"/>
    <cellStyle name="Texto de Aviso 3" xfId="204" xr:uid="{AD1DF22F-BDFF-4DAC-91E3-A08ADAC8A83D}"/>
    <cellStyle name="Texto Explicativo" xfId="31" builtinId="53" customBuiltin="1"/>
    <cellStyle name="Texto Explicativo 2" xfId="329" xr:uid="{6D0AA0F6-6E05-4834-B679-BB6ACB7542AE}"/>
    <cellStyle name="Texto Explicativo 3" xfId="205" xr:uid="{D2E422B4-1F02-4F67-9EA5-D9A7604C16B4}"/>
    <cellStyle name="Title" xfId="114" xr:uid="{AFB8797E-722A-4C9B-8FA7-A18724F40A19}"/>
    <cellStyle name="Título" xfId="17" builtinId="15" customBuiltin="1"/>
    <cellStyle name="Título 1" xfId="18" builtinId="16" customBuiltin="1"/>
    <cellStyle name="Título 1 2" xfId="330" xr:uid="{D9473175-B9CB-4A45-96FE-CEA475F985A3}"/>
    <cellStyle name="Título 1 3" xfId="207" xr:uid="{8A26B318-04CC-4DA3-BEFD-EAB67AEDDBD4}"/>
    <cellStyle name="Título 2" xfId="19" builtinId="17" customBuiltin="1"/>
    <cellStyle name="Título 2 2" xfId="331" xr:uid="{CF889467-C315-4A2B-9426-88D0E46B004B}"/>
    <cellStyle name="Título 2 3" xfId="208" xr:uid="{C3A9CD0C-52EA-49C4-9609-E050B7F9822E}"/>
    <cellStyle name="Título 3" xfId="20" builtinId="18" customBuiltin="1"/>
    <cellStyle name="Título 3 2" xfId="332" xr:uid="{3A0584A8-F906-4F89-9399-703EFED15C97}"/>
    <cellStyle name="Título 3 3" xfId="209" xr:uid="{8CE0F194-A400-4CE9-B9A4-A908CAF7D818}"/>
    <cellStyle name="Título 4" xfId="21" builtinId="19" customBuiltin="1"/>
    <cellStyle name="Título 4 2" xfId="333" xr:uid="{743314B7-A5C4-4128-B5A3-1532E7661440}"/>
    <cellStyle name="Título 4 3" xfId="210" xr:uid="{DEAF6FF7-2399-46DC-9D8A-71F00E1B61A6}"/>
    <cellStyle name="Título 5" xfId="334" xr:uid="{E7C5DABF-5F44-491F-8371-779D4C947E5C}"/>
    <cellStyle name="Título 6" xfId="206" xr:uid="{90FBE574-6F62-426B-9ADF-B88207B0C166}"/>
    <cellStyle name="Título do Assistente de dados" xfId="281" xr:uid="{2C4919BE-BD88-4621-933C-84BCEB49F07A}"/>
    <cellStyle name="Título do Assistente de dados 2" xfId="282" xr:uid="{F85AA616-FE71-4CE1-BE35-55712A738120}"/>
    <cellStyle name="Título do Assistente de dados 3" xfId="283" xr:uid="{5EE73C4A-F23F-4EBF-A298-4AC465502068}"/>
    <cellStyle name="Total" xfId="32" builtinId="25" customBuiltin="1"/>
    <cellStyle name="Total 2" xfId="335" xr:uid="{DE295C38-DB41-42F8-AC59-037541001329}"/>
    <cellStyle name="Total 2 2" xfId="25708" xr:uid="{7B55049F-BEFF-4877-B13F-50986D0C8027}"/>
    <cellStyle name="Total 2 2 2" xfId="25784" xr:uid="{59C189D7-0DD4-4898-8CA9-CF7A0734912D}"/>
    <cellStyle name="Total 2 2 2 2" xfId="51229" xr:uid="{6F638DD4-549A-42BB-9FC9-8FC26FEC9048}"/>
    <cellStyle name="Total 2 2 3" xfId="25730" xr:uid="{97C44F80-6642-473A-A3A1-1E1471BCE1A2}"/>
    <cellStyle name="Total 2 2 3 2" xfId="51189" xr:uid="{60FC88A9-A35D-45AC-B436-6AF8B83524E6}"/>
    <cellStyle name="Total 2 2 4" xfId="25934" xr:uid="{3BC114E1-35F5-4517-ADCA-43FE8E1A9125}"/>
    <cellStyle name="Total 2 3" xfId="13095" xr:uid="{C8B5D301-DA46-436E-9958-571CA72ABFDC}"/>
    <cellStyle name="Total 2 4" xfId="38592" xr:uid="{24D939E8-DA90-41F6-B360-AFA1482D8ABA}"/>
    <cellStyle name="Total 2 5" xfId="13035" xr:uid="{1CC4ECF6-AE49-4BDB-A491-42DA3DA8CE1E}"/>
    <cellStyle name="Total 3" xfId="13020" xr:uid="{31CA2353-932C-480B-8E70-0F0FB2CA300A}"/>
    <cellStyle name="Total 3 2" xfId="25699" xr:uid="{6A733730-649F-4D62-9994-551FA204672E}"/>
    <cellStyle name="Total 3 2 2" xfId="25839" xr:uid="{736866B4-708D-4181-9C34-DE6F640EAA10}"/>
    <cellStyle name="Total 3 2 2 2" xfId="51273" xr:uid="{63DDE6D0-7FF7-45EC-B2A1-C4CD3EC235EB}"/>
    <cellStyle name="Total 3 2 3" xfId="25898" xr:uid="{43937161-FAE5-42E7-B0C8-19AFE4B1F4A8}"/>
    <cellStyle name="Total 3 2 3 2" xfId="51315" xr:uid="{544327EA-E994-4442-A022-49EAEFDC60F1}"/>
    <cellStyle name="Total 3 2 4" xfId="25958" xr:uid="{4F3A419D-FB4F-4325-899F-18270C290A54}"/>
    <cellStyle name="Total 3 3" xfId="25778" xr:uid="{7E509538-507C-4110-AC81-3328A3232914}"/>
    <cellStyle name="Total 3 3 2" xfId="51224" xr:uid="{AC057FE8-330A-4A74-B190-969D6A16C2DF}"/>
    <cellStyle name="Total 3 4" xfId="25942" xr:uid="{6F46A49B-2C5D-4318-BBB5-1FAA00A74A08}"/>
    <cellStyle name="Total 3 4 2" xfId="51345" xr:uid="{B790A0FF-43A7-46A3-8069-88083FE2B393}"/>
    <cellStyle name="Total 3 5" xfId="25900" xr:uid="{3C125FEF-10E4-4C68-9767-C797237B85CF}"/>
    <cellStyle name="Total 4" xfId="13007" xr:uid="{AA964C49-3EAC-433C-9EF9-361E1C7D6402}"/>
    <cellStyle name="Total 4 2" xfId="25689" xr:uid="{5DCC2A9D-A15F-40EB-9B3B-551763F5C0F2}"/>
    <cellStyle name="Total 4 2 2" xfId="25729" xr:uid="{63C75B3E-975D-434B-92B8-78F5BA3AFA17}"/>
    <cellStyle name="Total 4 2 2 2" xfId="51188" xr:uid="{C223CD76-79D6-44F9-A612-9E77E21F780D}"/>
    <cellStyle name="Total 4 2 3" xfId="25861" xr:uid="{1751053C-880E-4877-B70B-C002048EBC27}"/>
    <cellStyle name="Total 4 2 3 2" xfId="51290" xr:uid="{C86EB253-2E44-46D1-904F-B3AD3C421B11}"/>
    <cellStyle name="Total 4 2 4" xfId="25949" xr:uid="{D0792462-F994-443C-95AC-0F563BFFF610}"/>
    <cellStyle name="Total 4 3" xfId="25902" xr:uid="{2256E57F-5304-4B1D-8312-590B97B98DF7}"/>
    <cellStyle name="Total 4 3 2" xfId="51317" xr:uid="{6A1D544D-DED7-4F39-B634-D5CF2FA69772}"/>
    <cellStyle name="Total 4 4" xfId="25769" xr:uid="{4C43B4D0-6D57-405E-BE04-555B120F46CD}"/>
    <cellStyle name="Total 4 4 2" xfId="51216" xr:uid="{98A51244-0BF5-45EF-BB7C-F59B28C6FD51}"/>
    <cellStyle name="Total 4 5" xfId="25903" xr:uid="{06988F0D-121F-45EF-94F8-962A98B6B4B7}"/>
    <cellStyle name="Total 5" xfId="13050" xr:uid="{F9EB71BE-7627-4640-8326-C5B1A5C54069}"/>
    <cellStyle name="Total 5 2" xfId="25818" xr:uid="{34C455CF-4E07-4811-9E0E-B1C5FB9DE761}"/>
    <cellStyle name="Total 5 2 2" xfId="51254" xr:uid="{59D81753-6E81-4201-A3FD-FBD8C7CC10D4}"/>
    <cellStyle name="Total 5 3" xfId="25862" xr:uid="{47149501-DDB9-4502-AAF1-8FAB3435180E}"/>
    <cellStyle name="Total 5 3 2" xfId="51291" xr:uid="{63240717-5FAB-49B3-8FBB-7F98B1CDBA59}"/>
    <cellStyle name="Total 5 4" xfId="25797" xr:uid="{47C96169-FA66-4F3F-B5AD-F9B3528ED675}"/>
    <cellStyle name="Total 6" xfId="25776" xr:uid="{98F52C93-B8E7-42B0-949D-73127EC86BFC}"/>
    <cellStyle name="Total 6 2" xfId="51222" xr:uid="{0011540F-5DDA-41E0-8F00-8E5E8E8878F3}"/>
    <cellStyle name="Total 7" xfId="25844" xr:uid="{7336B536-0564-410E-89A8-713932916747}"/>
    <cellStyle name="Total 7 2" xfId="51278" xr:uid="{3362D856-C179-4354-A90C-27194922973C}"/>
    <cellStyle name="Total 8" xfId="25749" xr:uid="{66029F01-587F-488D-AFED-2E41E5AEADD8}"/>
    <cellStyle name="Total 9" xfId="211" xr:uid="{2B0FBF34-37FB-4079-A55F-B896F015BEDA}"/>
    <cellStyle name="Valor do Assistente de dados" xfId="284" xr:uid="{D951DCD5-D778-48DD-BAB9-1F053388205A}"/>
    <cellStyle name="Valor do Assistente de dados 2" xfId="285" xr:uid="{2EB1C910-0478-49C9-95B2-A29C8ECEC7E7}"/>
    <cellStyle name="Valor do Assistente de dados 3" xfId="286" xr:uid="{55A6178D-271D-435E-BC64-9C75B5820E87}"/>
    <cellStyle name="Vírgula" xfId="11" builtinId="3"/>
    <cellStyle name="Vírgula 10" xfId="51372" xr:uid="{01DDAA47-E9F5-4403-9AAF-7C16570EF6E1}"/>
    <cellStyle name="Vírgula 11" xfId="51380" xr:uid="{BE7DCDCF-D07E-46D4-A2B5-106D0D7C9E81}"/>
    <cellStyle name="Vírgula 12" xfId="51377" xr:uid="{F2CE8855-9287-4CC2-82C3-78970F5A1B2E}"/>
    <cellStyle name="Vírgula 13" xfId="51382" xr:uid="{7EDD0467-2E18-479C-AB31-CFCA41A3BB73}"/>
    <cellStyle name="Vírgula 14" xfId="51392" xr:uid="{1EFDCEF8-15FD-44C0-ADAA-A6CDB8E310B6}"/>
    <cellStyle name="Vírgula 15" xfId="51394" xr:uid="{DC2218F6-BA2C-4498-A775-8F86BBF078F4}"/>
    <cellStyle name="Vírgula 16" xfId="51396" xr:uid="{56E059BF-0A10-4612-A8FE-8AF698FBF498}"/>
    <cellStyle name="Vírgula 2" xfId="16" xr:uid="{F4F07B19-F49E-4D5C-86DA-3899CB306309}"/>
    <cellStyle name="Vírgula 2 10" xfId="1732" xr:uid="{135AE629-69A3-4144-B016-C628F4CAA9D9}"/>
    <cellStyle name="Vírgula 2 10 2" xfId="4886" xr:uid="{197DABE9-3632-4F2F-8330-A30DF2F67AE5}"/>
    <cellStyle name="Vírgula 2 10 2 2" xfId="11179" xr:uid="{851A6DA7-1C32-47A9-A72E-BE39B8FC3C38}"/>
    <cellStyle name="Vírgula 2 10 2 2 2" xfId="23861" xr:uid="{E132AF2A-5B8F-4F35-B5F9-A08E9089B596}"/>
    <cellStyle name="Vírgula 2 10 2 2 2 2" xfId="49353" xr:uid="{839B14D1-F2D0-4BCD-8D14-12B9E2A62522}"/>
    <cellStyle name="Vírgula 2 10 2 2 3" xfId="36762" xr:uid="{56F54C10-1B06-4B68-927C-613E6F5F29CC}"/>
    <cellStyle name="Vírgula 2 10 2 3" xfId="17583" xr:uid="{825B67DE-6D57-4F8F-A824-9ADD1D6730A5}"/>
    <cellStyle name="Vírgula 2 10 2 3 2" xfId="43075" xr:uid="{8E06875E-7ABA-4962-ACF9-338A39D7A235}"/>
    <cellStyle name="Vírgula 2 10 2 4" xfId="30484" xr:uid="{00301631-6524-4486-AE99-9809F786EAA9}"/>
    <cellStyle name="Vírgula 2 10 3" xfId="8040" xr:uid="{46AE2219-7CAB-4C12-B2BB-DC68622BCA3A}"/>
    <cellStyle name="Vírgula 2 10 3 2" xfId="20722" xr:uid="{A37845EB-544F-4B30-A69E-83E10E6BC249}"/>
    <cellStyle name="Vírgula 2 10 3 2 2" xfId="46214" xr:uid="{8E25BB6D-2EDD-4278-BA35-587D8AD1FA61}"/>
    <cellStyle name="Vírgula 2 10 3 3" xfId="33623" xr:uid="{C11EEC5E-E839-4778-9E9B-FC8214C33195}"/>
    <cellStyle name="Vírgula 2 10 4" xfId="14444" xr:uid="{1F2B308B-A999-48D2-8B80-AB0DBC6A8746}"/>
    <cellStyle name="Vírgula 2 10 4 2" xfId="39936" xr:uid="{51EF5401-C2EA-4E56-8B26-134CA2752116}"/>
    <cellStyle name="Vírgula 2 10 5" xfId="27345" xr:uid="{363BB0B6-7428-4F5E-BF41-1A0DD47A2E1B}"/>
    <cellStyle name="Vírgula 2 11" xfId="1210" xr:uid="{F1460C3F-9F3A-4E84-91A7-D3F09D881CEA}"/>
    <cellStyle name="Vírgula 2 11 2" xfId="4364" xr:uid="{CF12224E-2CED-4607-A1B5-C6EF9557E415}"/>
    <cellStyle name="Vírgula 2 11 2 2" xfId="10657" xr:uid="{3D59CFD1-660F-4DE0-9C5B-9BC0387757BA}"/>
    <cellStyle name="Vírgula 2 11 2 2 2" xfId="23339" xr:uid="{11743A71-0355-42F1-941D-B1E610031CB3}"/>
    <cellStyle name="Vírgula 2 11 2 2 2 2" xfId="48831" xr:uid="{313EFD9C-9AAE-4896-9447-5B9246070D3E}"/>
    <cellStyle name="Vírgula 2 11 2 2 3" xfId="36240" xr:uid="{0FC2A2F7-229E-45E5-B5E4-77F4EE039534}"/>
    <cellStyle name="Vírgula 2 11 2 3" xfId="17061" xr:uid="{41BF6F7B-14B1-47D1-862B-A027650ACB19}"/>
    <cellStyle name="Vírgula 2 11 2 3 2" xfId="42553" xr:uid="{B3B33771-CB88-4EE9-AAC3-A7ABF4613BB8}"/>
    <cellStyle name="Vírgula 2 11 2 4" xfId="29962" xr:uid="{593636F2-5720-4C1F-A291-144351F5FE17}"/>
    <cellStyle name="Vírgula 2 11 3" xfId="7518" xr:uid="{8E561166-5806-4E2E-A4BB-99B6CF1E1B9D}"/>
    <cellStyle name="Vírgula 2 11 3 2" xfId="20200" xr:uid="{90E57D67-3674-45CE-98CF-2A277CD20976}"/>
    <cellStyle name="Vírgula 2 11 3 2 2" xfId="45692" xr:uid="{E2F93F55-C042-4F8F-B9A9-2FD9F7057001}"/>
    <cellStyle name="Vírgula 2 11 3 3" xfId="33101" xr:uid="{637743BF-7AF9-416F-99DC-0EC09D4A6964}"/>
    <cellStyle name="Vírgula 2 11 4" xfId="13922" xr:uid="{2316C66E-02EF-4F39-B1C4-8FE441EA6826}"/>
    <cellStyle name="Vírgula 2 11 4 2" xfId="39414" xr:uid="{9C828635-E8FF-47D6-8A7D-32254AC6B233}"/>
    <cellStyle name="Vírgula 2 11 5" xfId="26823" xr:uid="{434603E1-68F7-4B9F-A91A-86133E7BBB78}"/>
    <cellStyle name="Vírgula 2 12" xfId="2517" xr:uid="{A52B075E-7510-4FF8-AA26-2C96986D0A48}"/>
    <cellStyle name="Vírgula 2 12 2" xfId="5671" xr:uid="{2329EA4B-3B75-465B-8BA7-A3461FAD51D0}"/>
    <cellStyle name="Vírgula 2 12 2 2" xfId="11964" xr:uid="{7E138F90-D03E-4D1C-8D21-F89313D6A60D}"/>
    <cellStyle name="Vírgula 2 12 2 2 2" xfId="24646" xr:uid="{CF395ED3-776D-40AB-B16B-712B64B4C81C}"/>
    <cellStyle name="Vírgula 2 12 2 2 2 2" xfId="50138" xr:uid="{8A2CEB4C-709B-4419-AC65-47EFA231017F}"/>
    <cellStyle name="Vírgula 2 12 2 2 3" xfId="37547" xr:uid="{D2C74F41-F2B2-4EB8-BDA1-F520DA9963C3}"/>
    <cellStyle name="Vírgula 2 12 2 3" xfId="18368" xr:uid="{7169A695-9AD4-4B3B-8316-E94D11C193CB}"/>
    <cellStyle name="Vírgula 2 12 2 3 2" xfId="43860" xr:uid="{97713036-2BDB-44A5-880B-0C3F7A7453E7}"/>
    <cellStyle name="Vírgula 2 12 2 4" xfId="31269" xr:uid="{12DF4466-85AF-42F4-AF21-D994663F602C}"/>
    <cellStyle name="Vírgula 2 12 3" xfId="8825" xr:uid="{475FBF04-C7C9-4B23-93D8-4C793073628B}"/>
    <cellStyle name="Vírgula 2 12 3 2" xfId="21507" xr:uid="{BEC46A02-4540-4C20-9CD0-919F816E3B6A}"/>
    <cellStyle name="Vírgula 2 12 3 2 2" xfId="46999" xr:uid="{18C3CE2F-F80F-490D-8FB3-B3F8582FD026}"/>
    <cellStyle name="Vírgula 2 12 3 3" xfId="34408" xr:uid="{7A9F3AFD-14D8-4679-A464-AA1612388391}"/>
    <cellStyle name="Vírgula 2 12 4" xfId="15229" xr:uid="{A58E6626-2926-4D3B-85BD-AC28D5858F22}"/>
    <cellStyle name="Vírgula 2 12 4 2" xfId="40721" xr:uid="{1CFD2D26-B46E-4F67-AEFB-D71DCA6E14F4}"/>
    <cellStyle name="Vírgula 2 12 5" xfId="28130" xr:uid="{C64F734D-C42E-4656-B251-0D6C24692530}"/>
    <cellStyle name="Vírgula 2 13" xfId="3040" xr:uid="{51BBC671-6AF0-4BCC-A8F6-2CDE91261E10}"/>
    <cellStyle name="Vírgula 2 13 2" xfId="6194" xr:uid="{9293377F-62BE-4B09-B21F-81CFFD621D76}"/>
    <cellStyle name="Vírgula 2 13 2 2" xfId="12487" xr:uid="{4A320887-643C-42C2-8005-811E12313E06}"/>
    <cellStyle name="Vírgula 2 13 2 2 2" xfId="25169" xr:uid="{3A181518-FC25-488C-89DE-A2175856E368}"/>
    <cellStyle name="Vírgula 2 13 2 2 2 2" xfId="50661" xr:uid="{B88FF043-0536-431B-9E76-21DFB6671611}"/>
    <cellStyle name="Vírgula 2 13 2 2 3" xfId="38070" xr:uid="{CFC50AA9-7769-48DF-8607-39CCBA084DEB}"/>
    <cellStyle name="Vírgula 2 13 2 3" xfId="18891" xr:uid="{3DD55646-B44A-4EAF-A152-47FA41536C31}"/>
    <cellStyle name="Vírgula 2 13 2 3 2" xfId="44383" xr:uid="{D545E22F-3F2B-4BA9-80F8-8D882F931096}"/>
    <cellStyle name="Vírgula 2 13 2 4" xfId="31792" xr:uid="{C7C1C015-8210-4842-8E3F-0EBF4A40E3B3}"/>
    <cellStyle name="Vírgula 2 13 3" xfId="9348" xr:uid="{3C78D84F-7EC2-4AC3-B8FF-25DEC3C7C103}"/>
    <cellStyle name="Vírgula 2 13 3 2" xfId="22030" xr:uid="{842A1F66-13EB-40C2-8939-1C931B8B5803}"/>
    <cellStyle name="Vírgula 2 13 3 2 2" xfId="47522" xr:uid="{F180262B-3EF2-4035-BDD8-EB90C3638079}"/>
    <cellStyle name="Vírgula 2 13 3 3" xfId="34931" xr:uid="{1ABACFAD-52BC-4304-9DC8-7FDE78842FD0}"/>
    <cellStyle name="Vírgula 2 13 4" xfId="15752" xr:uid="{76824A1B-DD80-40BE-9D27-E0473793BD5A}"/>
    <cellStyle name="Vírgula 2 13 4 2" xfId="41244" xr:uid="{A7AD26AE-9D6F-4753-BBF4-8C182385B1B9}"/>
    <cellStyle name="Vírgula 2 13 5" xfId="28653" xr:uid="{1406F853-4AD4-41CA-91A4-4A7794834885}"/>
    <cellStyle name="Vírgula 2 14" xfId="3579" xr:uid="{AF094394-21C3-4845-8CC2-35609BB52269}"/>
    <cellStyle name="Vírgula 2 14 2" xfId="9872" xr:uid="{99E24C26-170D-4E94-8589-6D8800102900}"/>
    <cellStyle name="Vírgula 2 14 2 2" xfId="22554" xr:uid="{2112E1BC-7835-4436-A67E-286460C79E9F}"/>
    <cellStyle name="Vírgula 2 14 2 2 2" xfId="48046" xr:uid="{AE8F7176-1C62-40A8-9B60-6EF3E33F86AE}"/>
    <cellStyle name="Vírgula 2 14 2 3" xfId="35455" xr:uid="{36121DCF-F90E-4E28-8BDD-AAD76A28EC37}"/>
    <cellStyle name="Vírgula 2 14 3" xfId="16276" xr:uid="{59F1C190-1AEF-4D47-9043-E50600F1E924}"/>
    <cellStyle name="Vírgula 2 14 3 2" xfId="41768" xr:uid="{8EB7B7E0-653D-47FA-AD38-81111B78DA0F}"/>
    <cellStyle name="Vírgula 2 14 4" xfId="29177" xr:uid="{3165EAFC-1D50-4247-8CF6-B0BF95D50DF9}"/>
    <cellStyle name="Vírgula 2 15" xfId="6733" xr:uid="{9C51BDBC-CB96-4891-8D20-FCEF1D6A59AE}"/>
    <cellStyle name="Vírgula 2 15 2" xfId="19415" xr:uid="{4CA799D9-D517-4392-BD15-9E6CDD839C3A}"/>
    <cellStyle name="Vírgula 2 15 2 2" xfId="44907" xr:uid="{BE844275-F965-446B-A6D5-FFE308C4E647}"/>
    <cellStyle name="Vírgula 2 15 3" xfId="32316" xr:uid="{8374D98F-B3B6-48DE-ADCB-F4C41D2BD2E0}"/>
    <cellStyle name="Vírgula 2 16" xfId="13118" xr:uid="{8C54F640-558E-4698-A5A7-BBD2B7FDAE5D}"/>
    <cellStyle name="Vírgula 2 16 2" xfId="38627" xr:uid="{D956ADA1-AD19-4D57-BF91-B4026539BAED}"/>
    <cellStyle name="Vírgula 2 17" xfId="13065" xr:uid="{ED27409C-FDDA-4877-B264-E7DA1B43B1A7}"/>
    <cellStyle name="Vírgula 2 18" xfId="26021" xr:uid="{845FC0D6-57D0-4C42-8296-61237586E172}"/>
    <cellStyle name="Vírgula 2 19" xfId="366" xr:uid="{BF0EBFC9-ADDB-4E8A-8C53-1FE46B1F8C12}"/>
    <cellStyle name="Vírgula 2 2" xfId="287" xr:uid="{8F72D449-C033-498E-9E2C-3D605021528E}"/>
    <cellStyle name="Vírgula 2 2 10" xfId="1219" xr:uid="{5BA2DD86-0B17-43AC-BCD6-05E04C4A73CB}"/>
    <cellStyle name="Vírgula 2 2 10 2" xfId="4373" xr:uid="{0D68DAC4-7F0C-47FF-A0FC-9F963529C302}"/>
    <cellStyle name="Vírgula 2 2 10 2 2" xfId="10666" xr:uid="{AF90732F-7FC5-4D83-A105-8F38D021CD2B}"/>
    <cellStyle name="Vírgula 2 2 10 2 2 2" xfId="23348" xr:uid="{C3036BF9-4892-449C-880A-42CBA4FCF2E9}"/>
    <cellStyle name="Vírgula 2 2 10 2 2 2 2" xfId="48840" xr:uid="{A7585640-3475-421D-ABD4-B88547C72F06}"/>
    <cellStyle name="Vírgula 2 2 10 2 2 3" xfId="36249" xr:uid="{347781C0-2D15-415C-82DD-6713A6B299C0}"/>
    <cellStyle name="Vírgula 2 2 10 2 3" xfId="17070" xr:uid="{D4DCE5CE-C315-4C55-A1BA-01B8E2A79BFC}"/>
    <cellStyle name="Vírgula 2 2 10 2 3 2" xfId="42562" xr:uid="{ACA97C8D-FB7B-4134-88CC-C56ED73834A2}"/>
    <cellStyle name="Vírgula 2 2 10 2 4" xfId="29971" xr:uid="{72D3FA33-A528-4AE2-B7A6-EEA4C3D6AC20}"/>
    <cellStyle name="Vírgula 2 2 10 3" xfId="7527" xr:uid="{E481695D-D4D9-440A-8F66-80B833BF78B2}"/>
    <cellStyle name="Vírgula 2 2 10 3 2" xfId="20209" xr:uid="{153A3126-8696-4BFD-974C-ED4F61E8FDC0}"/>
    <cellStyle name="Vírgula 2 2 10 3 2 2" xfId="45701" xr:uid="{3296279F-832E-4C7A-908E-F8F7F0F2E51C}"/>
    <cellStyle name="Vírgula 2 2 10 3 3" xfId="33110" xr:uid="{012F302F-1D5E-4C0A-BE83-AA2B6897A573}"/>
    <cellStyle name="Vírgula 2 2 10 4" xfId="13931" xr:uid="{7959FDDE-D8F1-4C9D-84BC-B611E6F0D00B}"/>
    <cellStyle name="Vírgula 2 2 10 4 2" xfId="39423" xr:uid="{A18D8454-AAB5-473E-9381-0A734B5E1AA5}"/>
    <cellStyle name="Vírgula 2 2 10 5" xfId="26832" xr:uid="{1C19A10B-E02A-4488-8278-4C674433F8FD}"/>
    <cellStyle name="Vírgula 2 2 11" xfId="2526" xr:uid="{C78F6AC8-79FF-4CE7-9479-9C0C0BD2E018}"/>
    <cellStyle name="Vírgula 2 2 11 2" xfId="5680" xr:uid="{7024C7B5-A0D4-4F08-8076-36BFD8796580}"/>
    <cellStyle name="Vírgula 2 2 11 2 2" xfId="11973" xr:uid="{A464EEA1-9155-4325-8E35-1F514078EC4E}"/>
    <cellStyle name="Vírgula 2 2 11 2 2 2" xfId="24655" xr:uid="{9FE67F82-2391-4A59-B117-2266F15C0102}"/>
    <cellStyle name="Vírgula 2 2 11 2 2 2 2" xfId="50147" xr:uid="{FB012A66-13E9-4ADF-8ADC-18EE07D97DF3}"/>
    <cellStyle name="Vírgula 2 2 11 2 2 3" xfId="37556" xr:uid="{C5D72131-2820-4848-A328-6B8B20BE5AE0}"/>
    <cellStyle name="Vírgula 2 2 11 2 3" xfId="18377" xr:uid="{2E32C9EF-3A69-4311-A68B-96BB0B97D084}"/>
    <cellStyle name="Vírgula 2 2 11 2 3 2" xfId="43869" xr:uid="{9E17FFB8-4D07-44F8-9294-DCDD0706587B}"/>
    <cellStyle name="Vírgula 2 2 11 2 4" xfId="31278" xr:uid="{93B8666E-3D96-454C-8BDB-D81AD891D1EB}"/>
    <cellStyle name="Vírgula 2 2 11 3" xfId="8834" xr:uid="{77CE728D-BA8E-4A29-8133-EE34F30DB219}"/>
    <cellStyle name="Vírgula 2 2 11 3 2" xfId="21516" xr:uid="{9FDE41D7-0B6B-48A7-8768-3BA2B0066D5D}"/>
    <cellStyle name="Vírgula 2 2 11 3 2 2" xfId="47008" xr:uid="{8F8063D9-727C-4601-823E-ACF4CA32FAAF}"/>
    <cellStyle name="Vírgula 2 2 11 3 3" xfId="34417" xr:uid="{0627044C-593C-438B-B332-54EB909C4A86}"/>
    <cellStyle name="Vírgula 2 2 11 4" xfId="15238" xr:uid="{AB296F68-CBF7-4068-9242-BED39EF3E57F}"/>
    <cellStyle name="Vírgula 2 2 11 4 2" xfId="40730" xr:uid="{36E37A2E-35BB-4886-9437-1C3802A55EBD}"/>
    <cellStyle name="Vírgula 2 2 11 5" xfId="28139" xr:uid="{9847E90B-2EA8-452B-A85E-DD924AE8DA23}"/>
    <cellStyle name="Vírgula 2 2 12" xfId="3049" xr:uid="{52DE2A56-7680-4676-BB58-6A98F7CF187A}"/>
    <cellStyle name="Vírgula 2 2 12 2" xfId="6203" xr:uid="{20B8DBEF-4E30-46C9-AAA1-8601EC760B17}"/>
    <cellStyle name="Vírgula 2 2 12 2 2" xfId="12496" xr:uid="{F36200AC-A660-43F9-841D-C9E59AF91332}"/>
    <cellStyle name="Vírgula 2 2 12 2 2 2" xfId="25178" xr:uid="{EAE7B500-B6B3-4715-8011-AF6BD0170D7E}"/>
    <cellStyle name="Vírgula 2 2 12 2 2 2 2" xfId="50670" xr:uid="{55B4DA0D-62BC-49A7-85C1-93060F86BB04}"/>
    <cellStyle name="Vírgula 2 2 12 2 2 3" xfId="38079" xr:uid="{84420257-7405-46A6-A35E-15FF1455B57C}"/>
    <cellStyle name="Vírgula 2 2 12 2 3" xfId="18900" xr:uid="{042485AE-B2F8-4C5E-9DFA-7C3E9A0B5CD7}"/>
    <cellStyle name="Vírgula 2 2 12 2 3 2" xfId="44392" xr:uid="{74FD4E94-874D-41A0-8F32-5798391D9CB1}"/>
    <cellStyle name="Vírgula 2 2 12 2 4" xfId="31801" xr:uid="{FAEB3BEB-E91D-490E-9A78-B024DD223AB7}"/>
    <cellStyle name="Vírgula 2 2 12 3" xfId="9357" xr:uid="{1E73E604-AC1E-4AF8-9082-2BBD108DE1A5}"/>
    <cellStyle name="Vírgula 2 2 12 3 2" xfId="22039" xr:uid="{A10E844F-2834-4410-9751-3A9E78F4CA72}"/>
    <cellStyle name="Vírgula 2 2 12 3 2 2" xfId="47531" xr:uid="{C8C6BC53-574D-40BE-B4FC-21CB9B9D050B}"/>
    <cellStyle name="Vírgula 2 2 12 3 3" xfId="34940" xr:uid="{59FF80F3-4AAE-43B6-97C2-FC777F1B3AA3}"/>
    <cellStyle name="Vírgula 2 2 12 4" xfId="15761" xr:uid="{49D9EAFC-A142-499B-B8B5-B135C1B119B4}"/>
    <cellStyle name="Vírgula 2 2 12 4 2" xfId="41253" xr:uid="{D2410639-14DE-46DB-99D2-EB369FEC90CC}"/>
    <cellStyle name="Vírgula 2 2 12 5" xfId="28662" xr:uid="{F2F050DC-4C53-4961-87C3-D3E2D7C2BE7E}"/>
    <cellStyle name="Vírgula 2 2 13" xfId="3588" xr:uid="{E4CA44FD-626C-4E2A-AC54-B5D8824C4021}"/>
    <cellStyle name="Vírgula 2 2 13 2" xfId="9881" xr:uid="{687F0BEC-B502-4FCA-AB1A-9F0219675593}"/>
    <cellStyle name="Vírgula 2 2 13 2 2" xfId="22563" xr:uid="{C78283DD-7437-4452-B758-918543CC179D}"/>
    <cellStyle name="Vírgula 2 2 13 2 2 2" xfId="48055" xr:uid="{253AD3B3-36FF-4CAB-A051-A9169F62DAF4}"/>
    <cellStyle name="Vírgula 2 2 13 2 3" xfId="35464" xr:uid="{72360F8F-0095-423C-B3BA-2FD5BB2E1809}"/>
    <cellStyle name="Vírgula 2 2 13 3" xfId="16285" xr:uid="{20051556-4B3A-45D7-B8FA-FE5D17D2A228}"/>
    <cellStyle name="Vírgula 2 2 13 3 2" xfId="41777" xr:uid="{F4F6E210-8835-4354-9E14-731435CF4572}"/>
    <cellStyle name="Vírgula 2 2 13 4" xfId="29186" xr:uid="{68CC29FB-211D-436E-9629-A3D23E0E3D4E}"/>
    <cellStyle name="Vírgula 2 2 14" xfId="6742" xr:uid="{FADCCB7E-042D-48A0-A127-6FFB30CB07CE}"/>
    <cellStyle name="Vírgula 2 2 14 2" xfId="19424" xr:uid="{57755A7F-B351-4482-A9D0-92934D8360DE}"/>
    <cellStyle name="Vírgula 2 2 14 2 2" xfId="44916" xr:uid="{4E8F17EF-D8B2-4959-8B29-6F5834EBD79B}"/>
    <cellStyle name="Vírgula 2 2 14 3" xfId="32325" xr:uid="{AB770AB0-328E-46B9-9492-8D4EE763BEA3}"/>
    <cellStyle name="Vírgula 2 2 15" xfId="13144" xr:uid="{F0BB2395-8B72-4740-8810-374AF16BDAD7}"/>
    <cellStyle name="Vírgula 2 2 15 2" xfId="38637" xr:uid="{9A8CAAD4-C316-4E9B-A7A9-14FA44A5190B}"/>
    <cellStyle name="Vírgula 2 2 16" xfId="13074" xr:uid="{0E4E08A2-0E4D-409D-B942-C52D2FAAE9D0}"/>
    <cellStyle name="Vírgula 2 2 16 2" xfId="38603" xr:uid="{1163C2F4-8E68-47F5-A4AF-A7C93687AA87}"/>
    <cellStyle name="Vírgula 2 2 17" xfId="25984" xr:uid="{A3E6933F-42E8-4607-AFFE-626C8DC76C31}"/>
    <cellStyle name="Vírgula 2 2 18" xfId="26046" xr:uid="{E3CBC121-9625-4600-80E4-AD6B6F6D6A27}"/>
    <cellStyle name="Vírgula 2 2 19" xfId="404" xr:uid="{475D8045-2681-4DEC-AB98-61CFD5018E86}"/>
    <cellStyle name="Vírgula 2 2 2" xfId="439" xr:uid="{8CB45009-E55A-4A58-992D-DCB6D7122B45}"/>
    <cellStyle name="Vírgula 2 2 2 10" xfId="3069" xr:uid="{190AC6DF-6BAF-4FE6-BA7D-629CF0E085D2}"/>
    <cellStyle name="Vírgula 2 2 2 10 2" xfId="6223" xr:uid="{0F8AC2F4-8C76-4BF4-B5C9-1EE73F9EE0C9}"/>
    <cellStyle name="Vírgula 2 2 2 10 2 2" xfId="12516" xr:uid="{89263657-7EBD-4729-9BC2-EC0738A26E16}"/>
    <cellStyle name="Vírgula 2 2 2 10 2 2 2" xfId="25198" xr:uid="{61566249-36AB-4D55-903B-C3E73D3C2DA7}"/>
    <cellStyle name="Vírgula 2 2 2 10 2 2 2 2" xfId="50690" xr:uid="{3F686067-5DDE-4A7E-8EC9-B30AE4428CC2}"/>
    <cellStyle name="Vírgula 2 2 2 10 2 2 3" xfId="38099" xr:uid="{F8B2E265-7860-42EB-B898-947CFF91774D}"/>
    <cellStyle name="Vírgula 2 2 2 10 2 3" xfId="18920" xr:uid="{ABFE4D93-2C1A-4D21-AE84-F6589CED131E}"/>
    <cellStyle name="Vírgula 2 2 2 10 2 3 2" xfId="44412" xr:uid="{D2025A21-CBA0-4720-A801-C0DF39E681DE}"/>
    <cellStyle name="Vírgula 2 2 2 10 2 4" xfId="31821" xr:uid="{7EEA7AF6-4A8A-46BC-BE40-10FBA3B34BFB}"/>
    <cellStyle name="Vírgula 2 2 2 10 3" xfId="9377" xr:uid="{AC23803F-BC7B-483E-B1AB-E5C6226A445F}"/>
    <cellStyle name="Vírgula 2 2 2 10 3 2" xfId="22059" xr:uid="{9BAB6302-E6B1-47EC-B9D1-C220EC4A1140}"/>
    <cellStyle name="Vírgula 2 2 2 10 3 2 2" xfId="47551" xr:uid="{82F3B499-9F36-42B3-AD7B-D77F915DCAF3}"/>
    <cellStyle name="Vírgula 2 2 2 10 3 3" xfId="34960" xr:uid="{F98C83EE-7F9F-496C-92A0-8CC9B2D6AE66}"/>
    <cellStyle name="Vírgula 2 2 2 10 4" xfId="15781" xr:uid="{72F90622-08DC-4995-84B4-545F190959DF}"/>
    <cellStyle name="Vírgula 2 2 2 10 4 2" xfId="41273" xr:uid="{89F87A38-D002-4017-AB98-3A43F1EC72B0}"/>
    <cellStyle name="Vírgula 2 2 2 10 5" xfId="28682" xr:uid="{4831D066-E30C-45E9-9E08-8E380B807659}"/>
    <cellStyle name="Vírgula 2 2 2 11" xfId="3608" xr:uid="{B387DC36-1429-47BD-A7D4-B6D4AFAA0483}"/>
    <cellStyle name="Vírgula 2 2 2 11 2" xfId="9901" xr:uid="{91E5A8DC-D91A-4BEC-809A-44A8962AC79B}"/>
    <cellStyle name="Vírgula 2 2 2 11 2 2" xfId="22583" xr:uid="{E19242BF-F088-474D-85E5-A377F79557C5}"/>
    <cellStyle name="Vírgula 2 2 2 11 2 2 2" xfId="48075" xr:uid="{2ECC0E10-077C-4B72-B10F-D098B96FB7A4}"/>
    <cellStyle name="Vírgula 2 2 2 11 2 3" xfId="35484" xr:uid="{51AF7086-85E0-4410-94AB-9B0A5EAC0DA0}"/>
    <cellStyle name="Vírgula 2 2 2 11 3" xfId="16305" xr:uid="{3DF2EB06-4AE0-4915-92B1-8E1BA9D6BB83}"/>
    <cellStyle name="Vírgula 2 2 2 11 3 2" xfId="41797" xr:uid="{E8E77DD4-C54F-4FD0-B986-1DF17AB87C16}"/>
    <cellStyle name="Vírgula 2 2 2 11 4" xfId="29206" xr:uid="{9D1B103C-4606-476D-AE60-BB403AA1EC70}"/>
    <cellStyle name="Vírgula 2 2 2 12" xfId="6762" xr:uid="{1979846A-0BA8-4509-A6CF-8EBF436DFA70}"/>
    <cellStyle name="Vírgula 2 2 2 12 2" xfId="19444" xr:uid="{5DBAD067-2D0C-44CD-94BB-90924BF35FBA}"/>
    <cellStyle name="Vírgula 2 2 2 12 2 2" xfId="44936" xr:uid="{1F355261-4DDC-414C-88C4-49E88C25AF19}"/>
    <cellStyle name="Vírgula 2 2 2 12 3" xfId="32345" xr:uid="{D58F2D3E-C0C5-420B-A729-13A34ED5E8D5}"/>
    <cellStyle name="Vírgula 2 2 2 13" xfId="13166" xr:uid="{2E6ED4F3-1407-4AC1-B651-C6A2263E01A5}"/>
    <cellStyle name="Vírgula 2 2 2 13 2" xfId="38658" xr:uid="{E87691CB-F7D7-4973-8A55-335F66BBE324}"/>
    <cellStyle name="Vírgula 2 2 2 14" xfId="26067" xr:uid="{E459D1A9-BA71-4026-AD4E-8CF2CA29EE4A}"/>
    <cellStyle name="Vírgula 2 2 2 2" xfId="500" xr:uid="{9F902552-B05A-4B23-8D62-8E5C036A0B5E}"/>
    <cellStyle name="Vírgula 2 2 2 2 10" xfId="6823" xr:uid="{B4B8B4DA-A741-4CB0-B259-CBF517107E20}"/>
    <cellStyle name="Vírgula 2 2 2 2 10 2" xfId="19505" xr:uid="{E91A75CD-0707-4473-B805-330088474595}"/>
    <cellStyle name="Vírgula 2 2 2 2 10 2 2" xfId="44997" xr:uid="{F0037054-A4D3-4054-9363-C5F77FDC52B4}"/>
    <cellStyle name="Vírgula 2 2 2 2 10 3" xfId="32406" xr:uid="{2FD36F37-2720-4F1C-89D1-03DEF2D07471}"/>
    <cellStyle name="Vírgula 2 2 2 2 11" xfId="13227" xr:uid="{612216A5-AD06-4CE1-91B8-2C5FF1A5632F}"/>
    <cellStyle name="Vírgula 2 2 2 2 11 2" xfId="38719" xr:uid="{3061E6FE-4C08-4CBC-B396-51B51ADB6EFC}"/>
    <cellStyle name="Vírgula 2 2 2 2 12" xfId="26128" xr:uid="{AD6B8C5F-3C10-40EE-BAE6-7EABB297F1CD}"/>
    <cellStyle name="Vírgula 2 2 2 2 2" xfId="659" xr:uid="{8B19C6C7-1430-4977-B4DB-45D569E1505A}"/>
    <cellStyle name="Vírgula 2 2 2 2 2 10" xfId="13386" xr:uid="{D21F4316-97FD-48A6-BF20-FC2A734317C0}"/>
    <cellStyle name="Vírgula 2 2 2 2 2 10 2" xfId="38878" xr:uid="{1E670830-9ABB-4D79-AAF9-DA52569B6F90}"/>
    <cellStyle name="Vírgula 2 2 2 2 2 11" xfId="26287" xr:uid="{9E0C18A1-689F-4AFF-8B0A-B24DCCE71721}"/>
    <cellStyle name="Vírgula 2 2 2 2 2 2" xfId="1196" xr:uid="{7650920E-29AE-47AB-87BE-1A6850B7FD3F}"/>
    <cellStyle name="Vírgula 2 2 2 2 2 2 2" xfId="2503" xr:uid="{1C1F4983-C551-45E8-B84B-8D36EFFDD0E8}"/>
    <cellStyle name="Vírgula 2 2 2 2 2 2 2 2" xfId="5657" xr:uid="{E4E50553-B30D-41E6-BFE6-4E8FD393BC87}"/>
    <cellStyle name="Vírgula 2 2 2 2 2 2 2 2 2" xfId="11950" xr:uid="{666755E9-CADD-49D6-BBC2-1A09614BA535}"/>
    <cellStyle name="Vírgula 2 2 2 2 2 2 2 2 2 2" xfId="24632" xr:uid="{F24CA766-4EE7-4B8F-A0A0-3C808836840B}"/>
    <cellStyle name="Vírgula 2 2 2 2 2 2 2 2 2 2 2" xfId="50124" xr:uid="{A5D921B3-ACC4-4CB9-8093-B15DFD4A4B75}"/>
    <cellStyle name="Vírgula 2 2 2 2 2 2 2 2 2 3" xfId="37533" xr:uid="{11C9C609-B338-487D-8917-1714A3091788}"/>
    <cellStyle name="Vírgula 2 2 2 2 2 2 2 2 3" xfId="18354" xr:uid="{3808D019-7A03-45EB-BED7-3C7E75F99248}"/>
    <cellStyle name="Vírgula 2 2 2 2 2 2 2 2 3 2" xfId="43846" xr:uid="{37D43756-B274-4350-B51B-76299220D23E}"/>
    <cellStyle name="Vírgula 2 2 2 2 2 2 2 2 4" xfId="31255" xr:uid="{44E3EC5E-CBC2-4B5F-BA38-ABDC02FF3F69}"/>
    <cellStyle name="Vírgula 2 2 2 2 2 2 2 3" xfId="8811" xr:uid="{01788C3C-9C1B-413F-A4AE-CEA8A3E0958B}"/>
    <cellStyle name="Vírgula 2 2 2 2 2 2 2 3 2" xfId="21493" xr:uid="{7274A85B-8452-4195-9760-C2A9494FFE6D}"/>
    <cellStyle name="Vírgula 2 2 2 2 2 2 2 3 2 2" xfId="46985" xr:uid="{3B850EE2-3471-4C0D-88BF-E9A158C61741}"/>
    <cellStyle name="Vírgula 2 2 2 2 2 2 2 3 3" xfId="34394" xr:uid="{E174D973-4BF8-4FD9-8019-BF870FD49ACA}"/>
    <cellStyle name="Vírgula 2 2 2 2 2 2 2 4" xfId="15215" xr:uid="{310642B6-8382-4375-9124-B8E0406B394B}"/>
    <cellStyle name="Vírgula 2 2 2 2 2 2 2 4 2" xfId="40707" xr:uid="{DE1E02FE-4775-46B9-819A-484310306F7E}"/>
    <cellStyle name="Vírgula 2 2 2 2 2 2 2 5" xfId="28116" xr:uid="{6618653C-B60C-4362-85DB-3A4720B4D41A}"/>
    <cellStyle name="Vírgula 2 2 2 2 2 2 3" xfId="1720" xr:uid="{5B917AEE-5D8E-4D15-9554-69B6E017559D}"/>
    <cellStyle name="Vírgula 2 2 2 2 2 2 3 2" xfId="4874" xr:uid="{C401FF76-B9DF-43A6-B6BC-FCD6468096D6}"/>
    <cellStyle name="Vírgula 2 2 2 2 2 2 3 2 2" xfId="11167" xr:uid="{DC672A8E-E5F4-4FCA-ADCE-C9E973914999}"/>
    <cellStyle name="Vírgula 2 2 2 2 2 2 3 2 2 2" xfId="23849" xr:uid="{07E6FF9E-4E54-4E38-9545-1DD4AAC3B923}"/>
    <cellStyle name="Vírgula 2 2 2 2 2 2 3 2 2 2 2" xfId="49341" xr:uid="{2A47A4FF-BA89-4ABE-BF43-2876C6087F7B}"/>
    <cellStyle name="Vírgula 2 2 2 2 2 2 3 2 2 3" xfId="36750" xr:uid="{38B2FC1D-6BA8-4E9B-8D69-73A8AC3E573F}"/>
    <cellStyle name="Vírgula 2 2 2 2 2 2 3 2 3" xfId="17571" xr:uid="{091334AD-C859-4266-8814-4339D19A1D45}"/>
    <cellStyle name="Vírgula 2 2 2 2 2 2 3 2 3 2" xfId="43063" xr:uid="{7B5EBB35-2AC6-4A3D-B64A-4C5B92E8AE40}"/>
    <cellStyle name="Vírgula 2 2 2 2 2 2 3 2 4" xfId="30472" xr:uid="{BD385755-E647-4002-A210-6AC69558B1D6}"/>
    <cellStyle name="Vírgula 2 2 2 2 2 2 3 3" xfId="8028" xr:uid="{13CD80F6-8FD4-4AE1-9206-79C25E08F4DD}"/>
    <cellStyle name="Vírgula 2 2 2 2 2 2 3 3 2" xfId="20710" xr:uid="{3501FC8B-E3FB-44ED-9EEF-F561FA803657}"/>
    <cellStyle name="Vírgula 2 2 2 2 2 2 3 3 2 2" xfId="46202" xr:uid="{7C68BF21-CAD8-4B29-B380-9DC1D7F5A1E4}"/>
    <cellStyle name="Vírgula 2 2 2 2 2 2 3 3 3" xfId="33611" xr:uid="{90357365-0076-4E4E-B2CB-458F7C88E7E6}"/>
    <cellStyle name="Vírgula 2 2 2 2 2 2 3 4" xfId="14432" xr:uid="{7C600419-66E8-4C10-A19F-FC43E769B6E0}"/>
    <cellStyle name="Vírgula 2 2 2 2 2 2 3 4 2" xfId="39924" xr:uid="{601080A1-812C-4304-9E8E-404F8514CE41}"/>
    <cellStyle name="Vírgula 2 2 2 2 2 2 3 5" xfId="27333" xr:uid="{EDC45FB9-BC2F-4BBD-B9B0-19F41A2B625E}"/>
    <cellStyle name="Vírgula 2 2 2 2 2 2 4" xfId="3027" xr:uid="{4589BC41-5BE5-4416-BEF9-C0B3DEB2B0F1}"/>
    <cellStyle name="Vírgula 2 2 2 2 2 2 4 2" xfId="6181" xr:uid="{59BB0E16-5718-406B-8363-5655064FD318}"/>
    <cellStyle name="Vírgula 2 2 2 2 2 2 4 2 2" xfId="12474" xr:uid="{6E62F406-8B9C-4DDC-87C6-1B9ECCF3AF1A}"/>
    <cellStyle name="Vírgula 2 2 2 2 2 2 4 2 2 2" xfId="25156" xr:uid="{9C232C13-89EF-4B31-AA42-A6F55601B543}"/>
    <cellStyle name="Vírgula 2 2 2 2 2 2 4 2 2 2 2" xfId="50648" xr:uid="{C42942D7-22C1-434B-8EDB-DC421C46334B}"/>
    <cellStyle name="Vírgula 2 2 2 2 2 2 4 2 2 3" xfId="38057" xr:uid="{FD265797-4DED-48AC-A726-994C09EEA008}"/>
    <cellStyle name="Vírgula 2 2 2 2 2 2 4 2 3" xfId="18878" xr:uid="{1BEAC34B-3293-4A2D-A749-AFF754FADA47}"/>
    <cellStyle name="Vírgula 2 2 2 2 2 2 4 2 3 2" xfId="44370" xr:uid="{726DCCC4-31C4-4C2C-8F76-9ABA58E4D45A}"/>
    <cellStyle name="Vírgula 2 2 2 2 2 2 4 2 4" xfId="31779" xr:uid="{B902F638-7432-458D-BC31-13BA581A8DEB}"/>
    <cellStyle name="Vírgula 2 2 2 2 2 2 4 3" xfId="9335" xr:uid="{61E831F9-61BE-4E97-B29F-E2DA3F36EEAC}"/>
    <cellStyle name="Vírgula 2 2 2 2 2 2 4 3 2" xfId="22017" xr:uid="{0EB0DC68-C758-42C6-A945-4342A159538E}"/>
    <cellStyle name="Vírgula 2 2 2 2 2 2 4 3 2 2" xfId="47509" xr:uid="{59B3FBC7-3F7F-41B8-A5CE-A98AF6CAE0AE}"/>
    <cellStyle name="Vírgula 2 2 2 2 2 2 4 3 3" xfId="34918" xr:uid="{C976CB7F-CEBB-4E73-8CDE-6BA5CA91B82E}"/>
    <cellStyle name="Vírgula 2 2 2 2 2 2 4 4" xfId="15739" xr:uid="{22ECDEA0-AFCE-437F-BBF5-51BA57707BB6}"/>
    <cellStyle name="Vírgula 2 2 2 2 2 2 4 4 2" xfId="41231" xr:uid="{649873C1-B8A2-4D28-9341-E11FBC9E55B5}"/>
    <cellStyle name="Vírgula 2 2 2 2 2 2 4 5" xfId="28640" xr:uid="{2229911A-BAB9-4278-B8B6-5C3C6648A1F7}"/>
    <cellStyle name="Vírgula 2 2 2 2 2 2 5" xfId="3550" xr:uid="{550CAC68-BAFD-47C0-A3DC-5CB4AA295617}"/>
    <cellStyle name="Vírgula 2 2 2 2 2 2 5 2" xfId="6704" xr:uid="{89CAB670-8042-43C5-B2ED-627A51E63433}"/>
    <cellStyle name="Vírgula 2 2 2 2 2 2 5 2 2" xfId="12997" xr:uid="{0ECFAE0A-2F98-494D-852A-28A01480A0F1}"/>
    <cellStyle name="Vírgula 2 2 2 2 2 2 5 2 2 2" xfId="25679" xr:uid="{61CA6730-976E-4C62-A7D5-B27BD0069F6F}"/>
    <cellStyle name="Vírgula 2 2 2 2 2 2 5 2 2 2 2" xfId="51171" xr:uid="{8F7D77FD-378D-4B40-A6E7-5C1C8FACFFE2}"/>
    <cellStyle name="Vírgula 2 2 2 2 2 2 5 2 2 3" xfId="38580" xr:uid="{28013F69-CC9E-4620-AD9B-39FB78F2A52A}"/>
    <cellStyle name="Vírgula 2 2 2 2 2 2 5 2 3" xfId="19401" xr:uid="{7197C0B8-C48C-4FB7-A7B4-76EDE62BD092}"/>
    <cellStyle name="Vírgula 2 2 2 2 2 2 5 2 3 2" xfId="44893" xr:uid="{608E928E-D824-4A87-BA7B-DFB9D66483D4}"/>
    <cellStyle name="Vírgula 2 2 2 2 2 2 5 2 4" xfId="32302" xr:uid="{D2F0CF13-E36F-4C8A-8F01-19B6CAEEEE18}"/>
    <cellStyle name="Vírgula 2 2 2 2 2 2 5 3" xfId="9858" xr:uid="{EC3DC2BF-2024-4C09-A3AF-C7C8CAC53FD2}"/>
    <cellStyle name="Vírgula 2 2 2 2 2 2 5 3 2" xfId="22540" xr:uid="{38FF1305-B4E3-43C3-A615-47B149B2631A}"/>
    <cellStyle name="Vírgula 2 2 2 2 2 2 5 3 2 2" xfId="48032" xr:uid="{E0752DE5-744A-43A9-8E4D-34E98D5F7490}"/>
    <cellStyle name="Vírgula 2 2 2 2 2 2 5 3 3" xfId="35441" xr:uid="{944487E7-B99B-406E-B0D3-242176E3C51F}"/>
    <cellStyle name="Vírgula 2 2 2 2 2 2 5 4" xfId="16262" xr:uid="{3D737A2A-C0AB-459C-8758-D53ABCA87A40}"/>
    <cellStyle name="Vírgula 2 2 2 2 2 2 5 4 2" xfId="41754" xr:uid="{86A5874E-4083-4ED8-AA64-29B4D8FA0E98}"/>
    <cellStyle name="Vírgula 2 2 2 2 2 2 5 5" xfId="29163" xr:uid="{4BDAE293-AFAC-4A3F-A1BE-790D804B1A36}"/>
    <cellStyle name="Vírgula 2 2 2 2 2 2 6" xfId="4350" xr:uid="{97B720A5-A870-4728-98C3-D17D90CE8C66}"/>
    <cellStyle name="Vírgula 2 2 2 2 2 2 6 2" xfId="10643" xr:uid="{6E93BD2A-F34F-40E1-B141-0D7CEFB3CA94}"/>
    <cellStyle name="Vírgula 2 2 2 2 2 2 6 2 2" xfId="23325" xr:uid="{D01A6D73-D499-4B93-984C-780D9F176F4F}"/>
    <cellStyle name="Vírgula 2 2 2 2 2 2 6 2 2 2" xfId="48817" xr:uid="{D48C1E25-4EFB-47F1-A415-C7C1F742BA57}"/>
    <cellStyle name="Vírgula 2 2 2 2 2 2 6 2 3" xfId="36226" xr:uid="{25CF5ED7-065F-457B-9595-1CDDFB8B25F8}"/>
    <cellStyle name="Vírgula 2 2 2 2 2 2 6 3" xfId="17047" xr:uid="{29DEED79-701E-4E31-AE0A-9347326EE414}"/>
    <cellStyle name="Vírgula 2 2 2 2 2 2 6 3 2" xfId="42539" xr:uid="{4D473275-E94D-4877-8310-5BB2562D65F9}"/>
    <cellStyle name="Vírgula 2 2 2 2 2 2 6 4" xfId="29948" xr:uid="{3C528B20-B292-48AC-8E6F-AB8CF20E859B}"/>
    <cellStyle name="Vírgula 2 2 2 2 2 2 7" xfId="7504" xr:uid="{3EB9D840-01C6-4A1C-A562-C9BE6F143053}"/>
    <cellStyle name="Vírgula 2 2 2 2 2 2 7 2" xfId="20186" xr:uid="{BE78B06F-391B-454C-811B-2061E2668B6F}"/>
    <cellStyle name="Vírgula 2 2 2 2 2 2 7 2 2" xfId="45678" xr:uid="{A7A53E78-E365-4217-8A3A-98A074576E5D}"/>
    <cellStyle name="Vírgula 2 2 2 2 2 2 7 3" xfId="33087" xr:uid="{B0DC81F9-4700-4A39-B175-4A6213658485}"/>
    <cellStyle name="Vírgula 2 2 2 2 2 2 8" xfId="13908" xr:uid="{FB960F2C-1BE6-4C4B-B920-D92C10880E6F}"/>
    <cellStyle name="Vírgula 2 2 2 2 2 2 8 2" xfId="39400" xr:uid="{A74DD643-510D-4150-9935-C84C1D13F437}"/>
    <cellStyle name="Vírgula 2 2 2 2 2 2 9" xfId="26809" xr:uid="{2D4B379C-BF2E-4E5D-B673-CFB92C6985CF}"/>
    <cellStyle name="Vírgula 2 2 2 2 2 3" xfId="936" xr:uid="{0416CB8A-4859-4715-9E8E-E453B435A976}"/>
    <cellStyle name="Vírgula 2 2 2 2 2 3 2" xfId="2243" xr:uid="{8F7306EE-6BB0-4DD4-9989-C5140C9C8B4D}"/>
    <cellStyle name="Vírgula 2 2 2 2 2 3 2 2" xfId="5397" xr:uid="{FAA1C733-6D6F-4D73-B5C9-FD5BAF18190B}"/>
    <cellStyle name="Vírgula 2 2 2 2 2 3 2 2 2" xfId="11690" xr:uid="{AA9FE681-6C0D-4C3C-B2AB-9B19F8E8AACA}"/>
    <cellStyle name="Vírgula 2 2 2 2 2 3 2 2 2 2" xfId="24372" xr:uid="{EE1FE0B1-2CCD-4424-BC16-1D32BAA44EFF}"/>
    <cellStyle name="Vírgula 2 2 2 2 2 3 2 2 2 2 2" xfId="49864" xr:uid="{A9871E3D-CA2A-4A23-B153-39A15B87C01E}"/>
    <cellStyle name="Vírgula 2 2 2 2 2 3 2 2 2 3" xfId="37273" xr:uid="{6CCF1BFA-96E0-431E-AEED-7E9AF90F0F8D}"/>
    <cellStyle name="Vírgula 2 2 2 2 2 3 2 2 3" xfId="18094" xr:uid="{E4958287-838B-466E-8862-F350E335D68E}"/>
    <cellStyle name="Vírgula 2 2 2 2 2 3 2 2 3 2" xfId="43586" xr:uid="{64F5AE1A-93D4-411C-92FE-FF4A28B221AC}"/>
    <cellStyle name="Vírgula 2 2 2 2 2 3 2 2 4" xfId="30995" xr:uid="{2E84D280-AA4D-47F4-BA39-B9BFAD93CA27}"/>
    <cellStyle name="Vírgula 2 2 2 2 2 3 2 3" xfId="8551" xr:uid="{911AF3B8-9329-483B-94C7-EF6D34959771}"/>
    <cellStyle name="Vírgula 2 2 2 2 2 3 2 3 2" xfId="21233" xr:uid="{8591905D-A812-4830-B155-B09D0EC3CDAA}"/>
    <cellStyle name="Vírgula 2 2 2 2 2 3 2 3 2 2" xfId="46725" xr:uid="{A32658B7-4111-4959-A589-53A94C721B99}"/>
    <cellStyle name="Vírgula 2 2 2 2 2 3 2 3 3" xfId="34134" xr:uid="{EEE2DEA4-0C36-4802-A303-8A0564CF06F4}"/>
    <cellStyle name="Vírgula 2 2 2 2 2 3 2 4" xfId="14955" xr:uid="{5FC683E5-3FEF-418E-A2F6-3CC4FE41FE5B}"/>
    <cellStyle name="Vírgula 2 2 2 2 2 3 2 4 2" xfId="40447" xr:uid="{DC6BFB38-C402-4A7D-9E7B-EF62D8FD9290}"/>
    <cellStyle name="Vírgula 2 2 2 2 2 3 2 5" xfId="27856" xr:uid="{66178006-B386-45CA-B684-BAF40A833C25}"/>
    <cellStyle name="Vírgula 2 2 2 2 2 3 3" xfId="4090" xr:uid="{76A5E527-E9B7-472F-AD2F-CB4658D29061}"/>
    <cellStyle name="Vírgula 2 2 2 2 2 3 3 2" xfId="10383" xr:uid="{C11FADDA-39CE-4F92-9957-DED06A0DEF72}"/>
    <cellStyle name="Vírgula 2 2 2 2 2 3 3 2 2" xfId="23065" xr:uid="{E243C6FE-A4CB-4BE0-B85A-12B997F03CF5}"/>
    <cellStyle name="Vírgula 2 2 2 2 2 3 3 2 2 2" xfId="48557" xr:uid="{31276809-DFC4-4034-B0F1-8B24B5619A51}"/>
    <cellStyle name="Vírgula 2 2 2 2 2 3 3 2 3" xfId="35966" xr:uid="{F997953C-A1F4-406F-92E5-90990C40C0B4}"/>
    <cellStyle name="Vírgula 2 2 2 2 2 3 3 3" xfId="16787" xr:uid="{03C1391F-05F0-4AA1-9553-C2F6BC3D3C67}"/>
    <cellStyle name="Vírgula 2 2 2 2 2 3 3 3 2" xfId="42279" xr:uid="{B85F5DCA-AFBB-4486-BD95-CC7B63490474}"/>
    <cellStyle name="Vírgula 2 2 2 2 2 3 3 4" xfId="29688" xr:uid="{FB3D5867-84D9-4FF7-B1C5-8B937BF016CD}"/>
    <cellStyle name="Vírgula 2 2 2 2 2 3 4" xfId="7244" xr:uid="{C6B69F5D-BFFF-408B-93DC-FBA911704789}"/>
    <cellStyle name="Vírgula 2 2 2 2 2 3 4 2" xfId="19926" xr:uid="{F909DE62-ACE3-44EE-8BB6-61584457BE7C}"/>
    <cellStyle name="Vírgula 2 2 2 2 2 3 4 2 2" xfId="45418" xr:uid="{57C009E6-940B-4847-AD9A-7E140F8A225F}"/>
    <cellStyle name="Vírgula 2 2 2 2 2 3 4 3" xfId="32827" xr:uid="{E0BB391E-7884-49DD-B355-CED179B06C99}"/>
    <cellStyle name="Vírgula 2 2 2 2 2 3 5" xfId="13648" xr:uid="{AFE0DBFC-76A6-43B6-8224-1FA7453685CB}"/>
    <cellStyle name="Vírgula 2 2 2 2 2 3 5 2" xfId="39140" xr:uid="{4D28704B-B3FE-43E9-A78E-A719E3AFDD70}"/>
    <cellStyle name="Vírgula 2 2 2 2 2 3 6" xfId="26549" xr:uid="{8D66B966-2F18-4FC5-BD9B-6A99AB176037}"/>
    <cellStyle name="Vírgula 2 2 2 2 2 4" xfId="1981" xr:uid="{8C181BE3-8459-46D4-AC47-D82CE915B15E}"/>
    <cellStyle name="Vírgula 2 2 2 2 2 4 2" xfId="5135" xr:uid="{6EB3B802-3EC7-40B0-AB6B-9C48F839F125}"/>
    <cellStyle name="Vírgula 2 2 2 2 2 4 2 2" xfId="11428" xr:uid="{9562608D-80C2-4B57-A36A-52D94B43B284}"/>
    <cellStyle name="Vírgula 2 2 2 2 2 4 2 2 2" xfId="24110" xr:uid="{319F9FD5-06F8-4DAB-8D41-9010EAB98798}"/>
    <cellStyle name="Vírgula 2 2 2 2 2 4 2 2 2 2" xfId="49602" xr:uid="{67273DD5-D614-4DC6-81BB-E5CAB8F8DBF2}"/>
    <cellStyle name="Vírgula 2 2 2 2 2 4 2 2 3" xfId="37011" xr:uid="{83F4CC4B-99C4-4709-85DA-B398383D61D2}"/>
    <cellStyle name="Vírgula 2 2 2 2 2 4 2 3" xfId="17832" xr:uid="{2CA0514B-F1CA-41B2-B142-C7F4F1397CC7}"/>
    <cellStyle name="Vírgula 2 2 2 2 2 4 2 3 2" xfId="43324" xr:uid="{303ADA2A-D788-4FF0-8638-8C4AB7D9AB1A}"/>
    <cellStyle name="Vírgula 2 2 2 2 2 4 2 4" xfId="30733" xr:uid="{1D0BD01F-9A28-4023-BEC6-0ADC0B99F3E0}"/>
    <cellStyle name="Vírgula 2 2 2 2 2 4 3" xfId="8289" xr:uid="{F12A22F2-406D-426C-A0B4-43E455D0D2AE}"/>
    <cellStyle name="Vírgula 2 2 2 2 2 4 3 2" xfId="20971" xr:uid="{F863BC51-40E7-463A-AF51-41A906A34AD1}"/>
    <cellStyle name="Vírgula 2 2 2 2 2 4 3 2 2" xfId="46463" xr:uid="{8ED521B1-034C-4310-AD3A-01C3D1879122}"/>
    <cellStyle name="Vírgula 2 2 2 2 2 4 3 3" xfId="33872" xr:uid="{410612B6-9BB7-400A-B0D8-C9F164957B9B}"/>
    <cellStyle name="Vírgula 2 2 2 2 2 4 4" xfId="14693" xr:uid="{630ABE88-BC27-4811-9B93-53BF141F78E3}"/>
    <cellStyle name="Vírgula 2 2 2 2 2 4 4 2" xfId="40185" xr:uid="{789F90A3-35E3-421B-B95B-AFB88304BCCF}"/>
    <cellStyle name="Vírgula 2 2 2 2 2 4 5" xfId="27594" xr:uid="{6A66934D-1B49-4BA1-B365-7F57D71D338C}"/>
    <cellStyle name="Vírgula 2 2 2 2 2 5" xfId="1459" xr:uid="{CD8440DB-BBCE-46CE-A275-D359699885D1}"/>
    <cellStyle name="Vírgula 2 2 2 2 2 5 2" xfId="4613" xr:uid="{2DBB6F15-7873-494A-A6E1-CDBB4E3FB75F}"/>
    <cellStyle name="Vírgula 2 2 2 2 2 5 2 2" xfId="10906" xr:uid="{A891CAC7-9114-42A2-93D9-242B59E74FCC}"/>
    <cellStyle name="Vírgula 2 2 2 2 2 5 2 2 2" xfId="23588" xr:uid="{5C7CFDAC-F80A-46AF-979D-F713BDD8CCAB}"/>
    <cellStyle name="Vírgula 2 2 2 2 2 5 2 2 2 2" xfId="49080" xr:uid="{DF0027C1-813C-44D0-B89A-D360214A6895}"/>
    <cellStyle name="Vírgula 2 2 2 2 2 5 2 2 3" xfId="36489" xr:uid="{BC1B8243-D17C-4501-BA51-81933BA3C09D}"/>
    <cellStyle name="Vírgula 2 2 2 2 2 5 2 3" xfId="17310" xr:uid="{A0AB1E2A-25B4-4612-8E1A-4EADF96868BA}"/>
    <cellStyle name="Vírgula 2 2 2 2 2 5 2 3 2" xfId="42802" xr:uid="{4762C4A7-E47F-484D-B5DA-3758F6A94D3A}"/>
    <cellStyle name="Vírgula 2 2 2 2 2 5 2 4" xfId="30211" xr:uid="{F78A95A5-2A0D-4457-B5B8-E0553A9CD7BF}"/>
    <cellStyle name="Vírgula 2 2 2 2 2 5 3" xfId="7767" xr:uid="{E6A4B26B-AC3B-443C-B022-1B2BCB202556}"/>
    <cellStyle name="Vírgula 2 2 2 2 2 5 3 2" xfId="20449" xr:uid="{7B5DC6A9-17B0-4FC5-95B8-754A3229958C}"/>
    <cellStyle name="Vírgula 2 2 2 2 2 5 3 2 2" xfId="45941" xr:uid="{BEB2F144-4D2D-419B-A125-9750FDF3CC76}"/>
    <cellStyle name="Vírgula 2 2 2 2 2 5 3 3" xfId="33350" xr:uid="{EDC16A55-C5B6-4E47-B95B-B3D9B5C8AEBC}"/>
    <cellStyle name="Vírgula 2 2 2 2 2 5 4" xfId="14171" xr:uid="{3DC3043B-F401-492F-BD24-A655AF3EF209}"/>
    <cellStyle name="Vírgula 2 2 2 2 2 5 4 2" xfId="39663" xr:uid="{80B3E0C8-97DC-4E29-91B7-3D593E5541A0}"/>
    <cellStyle name="Vírgula 2 2 2 2 2 5 5" xfId="27072" xr:uid="{65C9875F-1270-476B-8739-B190FDB623FF}"/>
    <cellStyle name="Vírgula 2 2 2 2 2 6" xfId="2766" xr:uid="{1CEDE30F-2386-4054-8FD1-C6ACEC3037C5}"/>
    <cellStyle name="Vírgula 2 2 2 2 2 6 2" xfId="5920" xr:uid="{32966FF0-FE35-4383-868B-922D7D0D570B}"/>
    <cellStyle name="Vírgula 2 2 2 2 2 6 2 2" xfId="12213" xr:uid="{52F426EE-6909-4298-90DD-70CAEF93D80E}"/>
    <cellStyle name="Vírgula 2 2 2 2 2 6 2 2 2" xfId="24895" xr:uid="{BE478517-FF36-45BA-B25A-E23C3DC1EA02}"/>
    <cellStyle name="Vírgula 2 2 2 2 2 6 2 2 2 2" xfId="50387" xr:uid="{B2398901-A348-4CD3-9FF0-F68312ED2DD9}"/>
    <cellStyle name="Vírgula 2 2 2 2 2 6 2 2 3" xfId="37796" xr:uid="{A09B2431-C003-448A-9F42-3BCB0726EBC8}"/>
    <cellStyle name="Vírgula 2 2 2 2 2 6 2 3" xfId="18617" xr:uid="{76C2B955-157F-4CAB-8134-637144FDBBFC}"/>
    <cellStyle name="Vírgula 2 2 2 2 2 6 2 3 2" xfId="44109" xr:uid="{143084B2-BA88-4FF4-A00E-135B312F2ED0}"/>
    <cellStyle name="Vírgula 2 2 2 2 2 6 2 4" xfId="31518" xr:uid="{361E1FD3-48C8-4927-A69B-D885C4A1BD2C}"/>
    <cellStyle name="Vírgula 2 2 2 2 2 6 3" xfId="9074" xr:uid="{74B20365-54CA-4170-8B16-F0A966321D23}"/>
    <cellStyle name="Vírgula 2 2 2 2 2 6 3 2" xfId="21756" xr:uid="{8F9632FA-E25D-4EB8-A29C-F00968D589B3}"/>
    <cellStyle name="Vírgula 2 2 2 2 2 6 3 2 2" xfId="47248" xr:uid="{3E1ED3F5-41A0-4DF9-AB93-746C73C6304A}"/>
    <cellStyle name="Vírgula 2 2 2 2 2 6 3 3" xfId="34657" xr:uid="{26B3830B-113B-4C54-B77F-C4082E31A16A}"/>
    <cellStyle name="Vírgula 2 2 2 2 2 6 4" xfId="15478" xr:uid="{BCE9C9DC-912C-44CE-8583-6D74A4D450FA}"/>
    <cellStyle name="Vírgula 2 2 2 2 2 6 4 2" xfId="40970" xr:uid="{9C64EE61-ED41-4F82-8D37-B5B67D56218F}"/>
    <cellStyle name="Vírgula 2 2 2 2 2 6 5" xfId="28379" xr:uid="{7DED2DBC-AC68-4103-A896-A9AC9F5E2BF6}"/>
    <cellStyle name="Vírgula 2 2 2 2 2 7" xfId="3289" xr:uid="{FA6887F6-DFD7-4451-BB48-8A6D61136349}"/>
    <cellStyle name="Vírgula 2 2 2 2 2 7 2" xfId="6443" xr:uid="{EDDB95E0-5069-45F5-A17D-0CFCDA555419}"/>
    <cellStyle name="Vírgula 2 2 2 2 2 7 2 2" xfId="12736" xr:uid="{FA96F3A1-D34A-4A85-981E-6EB032ED4AC2}"/>
    <cellStyle name="Vírgula 2 2 2 2 2 7 2 2 2" xfId="25418" xr:uid="{6FD955AA-EF9D-4D43-856C-AE112665802A}"/>
    <cellStyle name="Vírgula 2 2 2 2 2 7 2 2 2 2" xfId="50910" xr:uid="{3EAC3E3B-2621-49CD-9505-69678321E805}"/>
    <cellStyle name="Vírgula 2 2 2 2 2 7 2 2 3" xfId="38319" xr:uid="{4C554FD7-9114-44A4-B640-68E116E1A36F}"/>
    <cellStyle name="Vírgula 2 2 2 2 2 7 2 3" xfId="19140" xr:uid="{7F79A58E-306F-4866-AA98-AA161C05A3C2}"/>
    <cellStyle name="Vírgula 2 2 2 2 2 7 2 3 2" xfId="44632" xr:uid="{0AE1CE37-2B01-4248-8E57-23F5EFB5039B}"/>
    <cellStyle name="Vírgula 2 2 2 2 2 7 2 4" xfId="32041" xr:uid="{5467612C-F516-425C-BF1A-D08E180B7164}"/>
    <cellStyle name="Vírgula 2 2 2 2 2 7 3" xfId="9597" xr:uid="{CBD94555-A24A-4CC6-81A6-73E1969495CF}"/>
    <cellStyle name="Vírgula 2 2 2 2 2 7 3 2" xfId="22279" xr:uid="{0425C047-FE78-4E1E-B993-B69ACA26EFF4}"/>
    <cellStyle name="Vírgula 2 2 2 2 2 7 3 2 2" xfId="47771" xr:uid="{5A40C7FF-59A2-4121-8857-7C69D1056EC3}"/>
    <cellStyle name="Vírgula 2 2 2 2 2 7 3 3" xfId="35180" xr:uid="{CD79A9BC-18E7-4443-BCDC-17FE6C020B93}"/>
    <cellStyle name="Vírgula 2 2 2 2 2 7 4" xfId="16001" xr:uid="{4C977319-220E-4F4F-837F-21A953643DBD}"/>
    <cellStyle name="Vírgula 2 2 2 2 2 7 4 2" xfId="41493" xr:uid="{CDCC3AED-79C1-4831-BFF5-FC889AD50704}"/>
    <cellStyle name="Vírgula 2 2 2 2 2 7 5" xfId="28902" xr:uid="{93875F9E-FE59-47B8-8EDB-646D9D3821EA}"/>
    <cellStyle name="Vírgula 2 2 2 2 2 8" xfId="3828" xr:uid="{0BB6BBFB-666C-4B02-8EEB-D81403F3E6AE}"/>
    <cellStyle name="Vírgula 2 2 2 2 2 8 2" xfId="10121" xr:uid="{F51C24E5-8A3D-49C3-813B-3E33F7134341}"/>
    <cellStyle name="Vírgula 2 2 2 2 2 8 2 2" xfId="22803" xr:uid="{16FFD87A-7D4E-4DEF-B2E7-08E6646223AB}"/>
    <cellStyle name="Vírgula 2 2 2 2 2 8 2 2 2" xfId="48295" xr:uid="{AA4B22AD-055B-486A-9914-FFB16440D513}"/>
    <cellStyle name="Vírgula 2 2 2 2 2 8 2 3" xfId="35704" xr:uid="{7BEFD4DA-28C8-4735-ACC3-257334D0C096}"/>
    <cellStyle name="Vírgula 2 2 2 2 2 8 3" xfId="16525" xr:uid="{B045BB0E-6907-44FB-B3C0-FA610C28DA7E}"/>
    <cellStyle name="Vírgula 2 2 2 2 2 8 3 2" xfId="42017" xr:uid="{2BA1E5C7-DFA1-480C-81AC-BEA0F59CA000}"/>
    <cellStyle name="Vírgula 2 2 2 2 2 8 4" xfId="29426" xr:uid="{EAA5EFB4-3599-4E41-87E2-FF1FFE8B40C9}"/>
    <cellStyle name="Vírgula 2 2 2 2 2 9" xfId="6982" xr:uid="{B03A52A1-A8FC-4240-886F-E421A9F76203}"/>
    <cellStyle name="Vírgula 2 2 2 2 2 9 2" xfId="19664" xr:uid="{E2085138-81A9-4985-91AB-EE6F029D38A4}"/>
    <cellStyle name="Vírgula 2 2 2 2 2 9 2 2" xfId="45156" xr:uid="{CB3A13CC-5CDA-4F2C-B63C-828121304EDE}"/>
    <cellStyle name="Vírgula 2 2 2 2 2 9 3" xfId="32565" xr:uid="{FFADF083-D319-4919-A176-17A3E98FE56A}"/>
    <cellStyle name="Vírgula 2 2 2 2 3" xfId="1037" xr:uid="{6196EE48-0F96-4931-88F1-83AAA8E1E3C5}"/>
    <cellStyle name="Vírgula 2 2 2 2 3 2" xfId="2344" xr:uid="{BF4DA6F5-3F78-4981-8A18-4D98683FA260}"/>
    <cellStyle name="Vírgula 2 2 2 2 3 2 2" xfId="5498" xr:uid="{CFD5992C-8635-4CCA-AF3F-789AE2EFB312}"/>
    <cellStyle name="Vírgula 2 2 2 2 3 2 2 2" xfId="11791" xr:uid="{FB57389B-18E2-4BDD-8A01-CC0A7A16F7B0}"/>
    <cellStyle name="Vírgula 2 2 2 2 3 2 2 2 2" xfId="24473" xr:uid="{66BF4900-F95D-48BB-98F6-861DC26B119A}"/>
    <cellStyle name="Vírgula 2 2 2 2 3 2 2 2 2 2" xfId="49965" xr:uid="{A217938A-2485-4684-BE45-8D54D7C5A335}"/>
    <cellStyle name="Vírgula 2 2 2 2 3 2 2 2 3" xfId="37374" xr:uid="{B08A6B25-148A-42D9-A379-9869EC017702}"/>
    <cellStyle name="Vírgula 2 2 2 2 3 2 2 3" xfId="18195" xr:uid="{C7789414-2A45-4C77-A967-02B1FF828FE6}"/>
    <cellStyle name="Vírgula 2 2 2 2 3 2 2 3 2" xfId="43687" xr:uid="{249391A7-AE95-4E4D-AADA-2FB841EAEB59}"/>
    <cellStyle name="Vírgula 2 2 2 2 3 2 2 4" xfId="31096" xr:uid="{2B3C2040-87BE-436B-BB2E-E4C87704D4A9}"/>
    <cellStyle name="Vírgula 2 2 2 2 3 2 3" xfId="8652" xr:uid="{0BDAF2DC-EE71-4038-B7B2-7B474E7D38E6}"/>
    <cellStyle name="Vírgula 2 2 2 2 3 2 3 2" xfId="21334" xr:uid="{5C32E994-55E0-4140-AB82-E96B48199023}"/>
    <cellStyle name="Vírgula 2 2 2 2 3 2 3 2 2" xfId="46826" xr:uid="{9542DFA7-333E-42A8-A09D-11B65A25015F}"/>
    <cellStyle name="Vírgula 2 2 2 2 3 2 3 3" xfId="34235" xr:uid="{CE67CD49-B7B5-402C-AB4E-C68F7B712638}"/>
    <cellStyle name="Vírgula 2 2 2 2 3 2 4" xfId="15056" xr:uid="{A6CFFA5E-D8F3-45B9-8957-0076C9BE7BE7}"/>
    <cellStyle name="Vírgula 2 2 2 2 3 2 4 2" xfId="40548" xr:uid="{8ED253BA-B443-446E-B5C3-A660F25C3A08}"/>
    <cellStyle name="Vírgula 2 2 2 2 3 2 5" xfId="27957" xr:uid="{22F22525-AAAB-4648-B3EB-1E5083C83831}"/>
    <cellStyle name="Vírgula 2 2 2 2 3 3" xfId="1561" xr:uid="{2661BC3B-4462-406D-A072-84DB691A8904}"/>
    <cellStyle name="Vírgula 2 2 2 2 3 3 2" xfId="4715" xr:uid="{D2E36A55-0874-4C9F-B721-4B564E10B8C8}"/>
    <cellStyle name="Vírgula 2 2 2 2 3 3 2 2" xfId="11008" xr:uid="{8CA15E46-2994-4F35-8F2A-B6710CE737F5}"/>
    <cellStyle name="Vírgula 2 2 2 2 3 3 2 2 2" xfId="23690" xr:uid="{F773C2D8-59CC-4B30-A361-BA641867047C}"/>
    <cellStyle name="Vírgula 2 2 2 2 3 3 2 2 2 2" xfId="49182" xr:uid="{8B633BBA-A3BD-4452-B34E-19B18CAAFCA9}"/>
    <cellStyle name="Vírgula 2 2 2 2 3 3 2 2 3" xfId="36591" xr:uid="{5A416FE6-DF7B-4326-A9AD-E23AB87380C2}"/>
    <cellStyle name="Vírgula 2 2 2 2 3 3 2 3" xfId="17412" xr:uid="{6C9FD167-47D4-436B-A567-7B54626FDE90}"/>
    <cellStyle name="Vírgula 2 2 2 2 3 3 2 3 2" xfId="42904" xr:uid="{93B6BDE4-AB58-41B1-8556-F89A4C12B7AA}"/>
    <cellStyle name="Vírgula 2 2 2 2 3 3 2 4" xfId="30313" xr:uid="{36D65AD3-771D-4E2F-B436-8FA2A6EF74A0}"/>
    <cellStyle name="Vírgula 2 2 2 2 3 3 3" xfId="7869" xr:uid="{FF475351-3D12-4B82-BCA5-FD23DBBB2D9A}"/>
    <cellStyle name="Vírgula 2 2 2 2 3 3 3 2" xfId="20551" xr:uid="{B2184DD4-ECF7-424A-B057-BD4E76F4FFCE}"/>
    <cellStyle name="Vírgula 2 2 2 2 3 3 3 2 2" xfId="46043" xr:uid="{75533AEA-CE36-44E5-B8B3-863A517F2926}"/>
    <cellStyle name="Vírgula 2 2 2 2 3 3 3 3" xfId="33452" xr:uid="{9FD8A31D-9E2B-41B7-A798-4372EB073584}"/>
    <cellStyle name="Vírgula 2 2 2 2 3 3 4" xfId="14273" xr:uid="{3F40003C-C6AE-4DFF-A19F-8B3710624FAF}"/>
    <cellStyle name="Vírgula 2 2 2 2 3 3 4 2" xfId="39765" xr:uid="{9A6E9177-6FE5-41A8-AD2E-D4C8CCBB1BC8}"/>
    <cellStyle name="Vírgula 2 2 2 2 3 3 5" xfId="27174" xr:uid="{415E06CE-54DC-429F-AB2A-D598190D7C49}"/>
    <cellStyle name="Vírgula 2 2 2 2 3 4" xfId="2868" xr:uid="{1F07A456-7228-4822-8B8C-1AC602064A92}"/>
    <cellStyle name="Vírgula 2 2 2 2 3 4 2" xfId="6022" xr:uid="{8414BFE2-B7A9-47C8-A1C8-7348D79AC227}"/>
    <cellStyle name="Vírgula 2 2 2 2 3 4 2 2" xfId="12315" xr:uid="{3F731565-DD2B-4B72-A422-A63846FF6FC7}"/>
    <cellStyle name="Vírgula 2 2 2 2 3 4 2 2 2" xfId="24997" xr:uid="{A14E9A7B-4E22-4066-BBF7-DA9BF8022730}"/>
    <cellStyle name="Vírgula 2 2 2 2 3 4 2 2 2 2" xfId="50489" xr:uid="{7039CEDD-C38B-41B5-840D-231CD97EA343}"/>
    <cellStyle name="Vírgula 2 2 2 2 3 4 2 2 3" xfId="37898" xr:uid="{53CCAC33-A77B-4724-B7DF-770E960E58A3}"/>
    <cellStyle name="Vírgula 2 2 2 2 3 4 2 3" xfId="18719" xr:uid="{D7FCE960-C4BC-4F26-A77B-F5DA76588742}"/>
    <cellStyle name="Vírgula 2 2 2 2 3 4 2 3 2" xfId="44211" xr:uid="{60311276-33AE-47C2-9864-6588576FD2C7}"/>
    <cellStyle name="Vírgula 2 2 2 2 3 4 2 4" xfId="31620" xr:uid="{0A2BC183-F278-4F65-B3AC-F01333D8C6EA}"/>
    <cellStyle name="Vírgula 2 2 2 2 3 4 3" xfId="9176" xr:uid="{88AAD774-A0E5-483A-B729-01EB3D04FD71}"/>
    <cellStyle name="Vírgula 2 2 2 2 3 4 3 2" xfId="21858" xr:uid="{921379C0-6D93-469E-8709-D657DC94E48E}"/>
    <cellStyle name="Vírgula 2 2 2 2 3 4 3 2 2" xfId="47350" xr:uid="{94C9C897-9292-43FE-8A3E-7F3ACD303AAF}"/>
    <cellStyle name="Vírgula 2 2 2 2 3 4 3 3" xfId="34759" xr:uid="{119CC6A4-FD38-4CDD-9E1C-4662604342AB}"/>
    <cellStyle name="Vírgula 2 2 2 2 3 4 4" xfId="15580" xr:uid="{C5A25B2C-810D-497C-8A46-B42623A20202}"/>
    <cellStyle name="Vírgula 2 2 2 2 3 4 4 2" xfId="41072" xr:uid="{0D2175D3-F9E5-442A-A169-0BB01A5F66B1}"/>
    <cellStyle name="Vírgula 2 2 2 2 3 4 5" xfId="28481" xr:uid="{5AC18A56-0928-4540-B995-B828DE640CA4}"/>
    <cellStyle name="Vírgula 2 2 2 2 3 5" xfId="3391" xr:uid="{DA8F31F6-3ECD-4118-97AE-A2DD5056E52E}"/>
    <cellStyle name="Vírgula 2 2 2 2 3 5 2" xfId="6545" xr:uid="{254A5194-8236-4E58-9064-08A1025F5641}"/>
    <cellStyle name="Vírgula 2 2 2 2 3 5 2 2" xfId="12838" xr:uid="{574DBF74-6A3F-4A19-80EF-E883BCD3781F}"/>
    <cellStyle name="Vírgula 2 2 2 2 3 5 2 2 2" xfId="25520" xr:uid="{DF4A575F-ED5E-4CE9-A439-400DEB679617}"/>
    <cellStyle name="Vírgula 2 2 2 2 3 5 2 2 2 2" xfId="51012" xr:uid="{571A4853-2C39-474A-BAC6-44CEBAF08C78}"/>
    <cellStyle name="Vírgula 2 2 2 2 3 5 2 2 3" xfId="38421" xr:uid="{CFA06D9A-76AE-4DDF-81B8-9D3D52693495}"/>
    <cellStyle name="Vírgula 2 2 2 2 3 5 2 3" xfId="19242" xr:uid="{1231499B-241B-409B-B8D6-FB0E1FE79BF4}"/>
    <cellStyle name="Vírgula 2 2 2 2 3 5 2 3 2" xfId="44734" xr:uid="{1DA1F07B-ADE3-4A6F-BB75-E624B1D1DA81}"/>
    <cellStyle name="Vírgula 2 2 2 2 3 5 2 4" xfId="32143" xr:uid="{C9AA4B9D-DE12-4727-95DC-91C207B865D5}"/>
    <cellStyle name="Vírgula 2 2 2 2 3 5 3" xfId="9699" xr:uid="{9497EF1A-BF7F-44A6-A8E7-D2B0000BD834}"/>
    <cellStyle name="Vírgula 2 2 2 2 3 5 3 2" xfId="22381" xr:uid="{FBAC3862-8AEC-4572-9768-77DBFE513822}"/>
    <cellStyle name="Vírgula 2 2 2 2 3 5 3 2 2" xfId="47873" xr:uid="{DE87FE17-7C22-497E-A082-29599CA295B3}"/>
    <cellStyle name="Vírgula 2 2 2 2 3 5 3 3" xfId="35282" xr:uid="{2444DB29-3BF9-4CE8-B62B-89A9012C1BE3}"/>
    <cellStyle name="Vírgula 2 2 2 2 3 5 4" xfId="16103" xr:uid="{F7CC106C-81B7-44FF-9416-3A203FF5A869}"/>
    <cellStyle name="Vírgula 2 2 2 2 3 5 4 2" xfId="41595" xr:uid="{D9198F13-05B1-4F4D-829E-E1C99F4DC4EF}"/>
    <cellStyle name="Vírgula 2 2 2 2 3 5 5" xfId="29004" xr:uid="{2DF3DD5F-DC52-472C-8025-D5930157FCEA}"/>
    <cellStyle name="Vírgula 2 2 2 2 3 6" xfId="4191" xr:uid="{43FFB8A5-17EE-4819-90F5-618F4D60A14F}"/>
    <cellStyle name="Vírgula 2 2 2 2 3 6 2" xfId="10484" xr:uid="{FA831366-5E6D-493E-BFFA-054B794129BE}"/>
    <cellStyle name="Vírgula 2 2 2 2 3 6 2 2" xfId="23166" xr:uid="{BECD5EFC-756D-4465-9095-77202E806E94}"/>
    <cellStyle name="Vírgula 2 2 2 2 3 6 2 2 2" xfId="48658" xr:uid="{CDACCEE7-63EC-4944-99F8-E924CB17A2C8}"/>
    <cellStyle name="Vírgula 2 2 2 2 3 6 2 3" xfId="36067" xr:uid="{AD695598-7787-45B4-B936-623E4BB9184C}"/>
    <cellStyle name="Vírgula 2 2 2 2 3 6 3" xfId="16888" xr:uid="{11067678-8FB0-491C-8AB7-EABD1F1F57FD}"/>
    <cellStyle name="Vírgula 2 2 2 2 3 6 3 2" xfId="42380" xr:uid="{C32D1BB0-DC3B-4410-9E3B-333A03F676CC}"/>
    <cellStyle name="Vírgula 2 2 2 2 3 6 4" xfId="29789" xr:uid="{42D9ED22-8497-47BA-952B-9965F30EFC48}"/>
    <cellStyle name="Vírgula 2 2 2 2 3 7" xfId="7345" xr:uid="{4335D79E-50BC-4B15-8F0C-C763AE163540}"/>
    <cellStyle name="Vírgula 2 2 2 2 3 7 2" xfId="20027" xr:uid="{AB123C44-937E-4C6B-B828-DDBAE020A2E2}"/>
    <cellStyle name="Vírgula 2 2 2 2 3 7 2 2" xfId="45519" xr:uid="{9DB225FE-4936-4D07-A2D6-75F8690FEDA0}"/>
    <cellStyle name="Vírgula 2 2 2 2 3 7 3" xfId="32928" xr:uid="{455BB60A-F9D2-48F3-900B-B2D6668B3B8B}"/>
    <cellStyle name="Vírgula 2 2 2 2 3 8" xfId="13749" xr:uid="{3D5E0063-1775-43D5-9A55-4E6EE3D5B639}"/>
    <cellStyle name="Vírgula 2 2 2 2 3 8 2" xfId="39241" xr:uid="{B5027658-5F56-4435-8344-E4534622E1C4}"/>
    <cellStyle name="Vírgula 2 2 2 2 3 9" xfId="26650" xr:uid="{F85103E8-10EA-4697-BA01-308EF9A061F7}"/>
    <cellStyle name="Vírgula 2 2 2 2 4" xfId="777" xr:uid="{3433A2BC-ED5F-44C4-8AA9-3A6D32D66E7E}"/>
    <cellStyle name="Vírgula 2 2 2 2 4 2" xfId="2084" xr:uid="{DBFBCDDF-CACF-4B07-89C0-FA3E62A885D9}"/>
    <cellStyle name="Vírgula 2 2 2 2 4 2 2" xfId="5238" xr:uid="{4CD9E747-DF2A-45A4-A55E-8DAE15D8890D}"/>
    <cellStyle name="Vírgula 2 2 2 2 4 2 2 2" xfId="11531" xr:uid="{A5E8E72F-F816-4BB4-B790-AD4918BD83D8}"/>
    <cellStyle name="Vírgula 2 2 2 2 4 2 2 2 2" xfId="24213" xr:uid="{D5CFEF3C-E997-48B2-AFDC-45C0E13D45F9}"/>
    <cellStyle name="Vírgula 2 2 2 2 4 2 2 2 2 2" xfId="49705" xr:uid="{E2BF4A54-9A7E-4B55-986A-BB0D3B3E1E39}"/>
    <cellStyle name="Vírgula 2 2 2 2 4 2 2 2 3" xfId="37114" xr:uid="{401DA8A3-5B57-449C-81A2-0D9435161F94}"/>
    <cellStyle name="Vírgula 2 2 2 2 4 2 2 3" xfId="17935" xr:uid="{62DE5A80-7950-4145-B582-D5359B664C64}"/>
    <cellStyle name="Vírgula 2 2 2 2 4 2 2 3 2" xfId="43427" xr:uid="{E00853F4-179E-495E-9512-BB83D59DFC24}"/>
    <cellStyle name="Vírgula 2 2 2 2 4 2 2 4" xfId="30836" xr:uid="{04B8E4A2-D42D-47A4-B490-1A103BE87642}"/>
    <cellStyle name="Vírgula 2 2 2 2 4 2 3" xfId="8392" xr:uid="{3E8D8E60-E481-4796-BA24-84B3EDF29E05}"/>
    <cellStyle name="Vírgula 2 2 2 2 4 2 3 2" xfId="21074" xr:uid="{125600FF-9FE9-472E-91C8-A7DFB9B865BE}"/>
    <cellStyle name="Vírgula 2 2 2 2 4 2 3 2 2" xfId="46566" xr:uid="{0A4CA2DA-99E9-470F-8EE2-8F7CE751CCB7}"/>
    <cellStyle name="Vírgula 2 2 2 2 4 2 3 3" xfId="33975" xr:uid="{9AD24384-4935-432A-B4FD-0949968C5AE3}"/>
    <cellStyle name="Vírgula 2 2 2 2 4 2 4" xfId="14796" xr:uid="{0A5A51FF-63C8-421F-BBE0-7F6A24CA227E}"/>
    <cellStyle name="Vírgula 2 2 2 2 4 2 4 2" xfId="40288" xr:uid="{93D97FD5-16C3-4E10-A5DA-3CFB01797B7E}"/>
    <cellStyle name="Vírgula 2 2 2 2 4 2 5" xfId="27697" xr:uid="{1AD1008E-5BE9-4AC1-9CDF-C9178DAD7604}"/>
    <cellStyle name="Vírgula 2 2 2 2 4 3" xfId="3931" xr:uid="{EC48B2D0-0698-44EF-A560-02A218B1499F}"/>
    <cellStyle name="Vírgula 2 2 2 2 4 3 2" xfId="10224" xr:uid="{A949E09B-9EA1-4073-A1B3-0B894932E423}"/>
    <cellStyle name="Vírgula 2 2 2 2 4 3 2 2" xfId="22906" xr:uid="{FC94C1FA-8CD2-4CA2-AE33-2E2037E1FFEB}"/>
    <cellStyle name="Vírgula 2 2 2 2 4 3 2 2 2" xfId="48398" xr:uid="{20EA11B1-AB41-470B-B949-AC1282C91F85}"/>
    <cellStyle name="Vírgula 2 2 2 2 4 3 2 3" xfId="35807" xr:uid="{0BDA4B53-3E41-4468-B685-ED0816E300BF}"/>
    <cellStyle name="Vírgula 2 2 2 2 4 3 3" xfId="16628" xr:uid="{8327EE0B-4B89-4F1D-AE57-669CF1B24D9E}"/>
    <cellStyle name="Vírgula 2 2 2 2 4 3 3 2" xfId="42120" xr:uid="{5F4DB582-6611-4B0A-BD83-CC441D60B0B3}"/>
    <cellStyle name="Vírgula 2 2 2 2 4 3 4" xfId="29529" xr:uid="{901B3517-51CF-45D8-B049-F83CE6DECE5E}"/>
    <cellStyle name="Vírgula 2 2 2 2 4 4" xfId="7085" xr:uid="{36E4F096-EFB2-4D02-9BB8-B0BAF651FF9D}"/>
    <cellStyle name="Vírgula 2 2 2 2 4 4 2" xfId="19767" xr:uid="{1049AB63-0392-4F63-B181-D24C9A269AC9}"/>
    <cellStyle name="Vírgula 2 2 2 2 4 4 2 2" xfId="45259" xr:uid="{0F772124-6F7A-484F-93E9-DECF95AEAC37}"/>
    <cellStyle name="Vírgula 2 2 2 2 4 4 3" xfId="32668" xr:uid="{A177772D-017D-48DD-91C2-009877FB8236}"/>
    <cellStyle name="Vírgula 2 2 2 2 4 5" xfId="13489" xr:uid="{9BB47BAD-0C68-4B55-B401-DAD928CAA269}"/>
    <cellStyle name="Vírgula 2 2 2 2 4 5 2" xfId="38981" xr:uid="{FAE9D86F-F4B6-4BD4-8405-5AB4C0DA0CCD}"/>
    <cellStyle name="Vírgula 2 2 2 2 4 6" xfId="26390" xr:uid="{8CA28A24-0B07-4E7C-B305-39B3D0CAA093}"/>
    <cellStyle name="Vírgula 2 2 2 2 5" xfId="1822" xr:uid="{19DD92E3-A682-47FC-B066-835A2EB8A0F7}"/>
    <cellStyle name="Vírgula 2 2 2 2 5 2" xfId="4976" xr:uid="{9CB431E1-E450-40AB-A5FD-0B93C51DB4DA}"/>
    <cellStyle name="Vírgula 2 2 2 2 5 2 2" xfId="11269" xr:uid="{36D2F8BA-B17F-4EEA-9263-A9A98FC94D42}"/>
    <cellStyle name="Vírgula 2 2 2 2 5 2 2 2" xfId="23951" xr:uid="{4ADD5554-D8A7-4BD2-A575-89F97655BFE4}"/>
    <cellStyle name="Vírgula 2 2 2 2 5 2 2 2 2" xfId="49443" xr:uid="{3E43271B-ACE1-44FA-BA70-127C5475A053}"/>
    <cellStyle name="Vírgula 2 2 2 2 5 2 2 3" xfId="36852" xr:uid="{A2C6768B-A368-4ABE-B01C-164564765295}"/>
    <cellStyle name="Vírgula 2 2 2 2 5 2 3" xfId="17673" xr:uid="{0E5B74E2-94FA-4EF1-BB2D-8B9973795C59}"/>
    <cellStyle name="Vírgula 2 2 2 2 5 2 3 2" xfId="43165" xr:uid="{81529447-65AB-4BEC-9CCB-25CF895A1FE2}"/>
    <cellStyle name="Vírgula 2 2 2 2 5 2 4" xfId="30574" xr:uid="{447A520D-14A3-4018-87CF-53414C449FC0}"/>
    <cellStyle name="Vírgula 2 2 2 2 5 3" xfId="8130" xr:uid="{335331D2-C145-4314-A6AE-09B6347E9814}"/>
    <cellStyle name="Vírgula 2 2 2 2 5 3 2" xfId="20812" xr:uid="{BDC37F39-5831-439A-95BA-2ED0464E2623}"/>
    <cellStyle name="Vírgula 2 2 2 2 5 3 2 2" xfId="46304" xr:uid="{763C6DCB-11BE-4B29-91CB-7EA83CA1D8B8}"/>
    <cellStyle name="Vírgula 2 2 2 2 5 3 3" xfId="33713" xr:uid="{0152CE82-F4BB-40CB-BC22-2800DC1C54BD}"/>
    <cellStyle name="Vírgula 2 2 2 2 5 4" xfId="14534" xr:uid="{0EEEE5D4-7A70-4B6E-9A83-F19E3E2300C9}"/>
    <cellStyle name="Vírgula 2 2 2 2 5 4 2" xfId="40026" xr:uid="{8B9DECD0-8895-4F1C-A76F-3FF4D0DB3520}"/>
    <cellStyle name="Vírgula 2 2 2 2 5 5" xfId="27435" xr:uid="{BD175259-D8D4-42DA-AE6C-AF1510FDC0D6}"/>
    <cellStyle name="Vírgula 2 2 2 2 6" xfId="1300" xr:uid="{440F7820-70BB-49C0-BEB3-B9D5AEF00014}"/>
    <cellStyle name="Vírgula 2 2 2 2 6 2" xfId="4454" xr:uid="{D511DF6D-A3DE-473A-821F-2A915C53201C}"/>
    <cellStyle name="Vírgula 2 2 2 2 6 2 2" xfId="10747" xr:uid="{53A81BEA-58BA-4981-919F-E262D565B787}"/>
    <cellStyle name="Vírgula 2 2 2 2 6 2 2 2" xfId="23429" xr:uid="{B18CD477-5259-493A-A155-9D3CB565BCA1}"/>
    <cellStyle name="Vírgula 2 2 2 2 6 2 2 2 2" xfId="48921" xr:uid="{E7E0B8A7-E422-421D-9286-E1E3CFC2E548}"/>
    <cellStyle name="Vírgula 2 2 2 2 6 2 2 3" xfId="36330" xr:uid="{15F15267-6AE8-42D4-B071-A5012D414D98}"/>
    <cellStyle name="Vírgula 2 2 2 2 6 2 3" xfId="17151" xr:uid="{C6824B24-AB45-4164-87C6-A3F760F7FD5E}"/>
    <cellStyle name="Vírgula 2 2 2 2 6 2 3 2" xfId="42643" xr:uid="{7ED2369B-3DDE-4155-A380-63EC0D4D6CCF}"/>
    <cellStyle name="Vírgula 2 2 2 2 6 2 4" xfId="30052" xr:uid="{452A54EB-C2A9-4CA5-ADFA-57918DC10B4D}"/>
    <cellStyle name="Vírgula 2 2 2 2 6 3" xfId="7608" xr:uid="{B4B6C05A-FEEC-4C0C-8356-8F684F84E7D0}"/>
    <cellStyle name="Vírgula 2 2 2 2 6 3 2" xfId="20290" xr:uid="{A7100AEC-0A7F-471A-A83F-DA6C8132A166}"/>
    <cellStyle name="Vírgula 2 2 2 2 6 3 2 2" xfId="45782" xr:uid="{E1CF03F1-207B-471E-BD5A-36BB7B58D281}"/>
    <cellStyle name="Vírgula 2 2 2 2 6 3 3" xfId="33191" xr:uid="{B9A764E4-B73C-435A-BBCC-2089C3281E55}"/>
    <cellStyle name="Vírgula 2 2 2 2 6 4" xfId="14012" xr:uid="{F9A4D324-A58C-474C-A1B1-4FBD57F7A4D7}"/>
    <cellStyle name="Vírgula 2 2 2 2 6 4 2" xfId="39504" xr:uid="{32DB801C-6765-4C0C-B0C0-7857316B4F24}"/>
    <cellStyle name="Vírgula 2 2 2 2 6 5" xfId="26913" xr:uid="{5E1F6312-C3DD-4F81-8D4C-0793F69FB0C6}"/>
    <cellStyle name="Vírgula 2 2 2 2 7" xfId="2607" xr:uid="{D317ACF5-BE19-43EA-91E3-D5BDC4177A85}"/>
    <cellStyle name="Vírgula 2 2 2 2 7 2" xfId="5761" xr:uid="{5B81B7EC-E97F-4BA8-B942-81EAEF04E2E2}"/>
    <cellStyle name="Vírgula 2 2 2 2 7 2 2" xfId="12054" xr:uid="{C72C36FB-D25F-4DFB-86B0-AE7C3E9F02BC}"/>
    <cellStyle name="Vírgula 2 2 2 2 7 2 2 2" xfId="24736" xr:uid="{6746FB5A-26F9-47E7-9155-21316D14A70C}"/>
    <cellStyle name="Vírgula 2 2 2 2 7 2 2 2 2" xfId="50228" xr:uid="{A3311156-FDE3-498E-82BF-777FB555A4DE}"/>
    <cellStyle name="Vírgula 2 2 2 2 7 2 2 3" xfId="37637" xr:uid="{C5A3610D-0076-4629-B6CB-55851AD0B856}"/>
    <cellStyle name="Vírgula 2 2 2 2 7 2 3" xfId="18458" xr:uid="{BA8D59C4-D1B8-4DC6-A759-25FD1CDCA8AF}"/>
    <cellStyle name="Vírgula 2 2 2 2 7 2 3 2" xfId="43950" xr:uid="{FD577AD4-489A-42D9-A2DE-7FEA1D83F1C8}"/>
    <cellStyle name="Vírgula 2 2 2 2 7 2 4" xfId="31359" xr:uid="{2189B7B3-7219-495B-A242-5FF43CFDFDFA}"/>
    <cellStyle name="Vírgula 2 2 2 2 7 3" xfId="8915" xr:uid="{F94D08B0-47A8-42C9-9904-44436F5E8684}"/>
    <cellStyle name="Vírgula 2 2 2 2 7 3 2" xfId="21597" xr:uid="{0074DE7D-FA30-43F5-B986-174DD5C1657E}"/>
    <cellStyle name="Vírgula 2 2 2 2 7 3 2 2" xfId="47089" xr:uid="{F43ABF50-B889-4860-808E-980F7A132C7C}"/>
    <cellStyle name="Vírgula 2 2 2 2 7 3 3" xfId="34498" xr:uid="{1F4A5660-0AA5-49C7-9088-E10197F61067}"/>
    <cellStyle name="Vírgula 2 2 2 2 7 4" xfId="15319" xr:uid="{2B614C9E-CBB7-4AFA-9F88-9BAFF80AECF9}"/>
    <cellStyle name="Vírgula 2 2 2 2 7 4 2" xfId="40811" xr:uid="{82C984E2-C468-4EB5-8358-F50DD30F1A14}"/>
    <cellStyle name="Vírgula 2 2 2 2 7 5" xfId="28220" xr:uid="{77DA1250-9224-4B03-8965-1E3C4DF4A00B}"/>
    <cellStyle name="Vírgula 2 2 2 2 8" xfId="3130" xr:uid="{AD9F7009-B203-483C-B017-6299DE0BD35E}"/>
    <cellStyle name="Vírgula 2 2 2 2 8 2" xfId="6284" xr:uid="{B9542EC4-610A-402D-9F3F-6381EB6851B9}"/>
    <cellStyle name="Vírgula 2 2 2 2 8 2 2" xfId="12577" xr:uid="{E9D42BF7-1431-48D0-889F-F9D0CA8E3FA5}"/>
    <cellStyle name="Vírgula 2 2 2 2 8 2 2 2" xfId="25259" xr:uid="{25C7B8DF-7C9A-4B11-865B-861FDEF5C967}"/>
    <cellStyle name="Vírgula 2 2 2 2 8 2 2 2 2" xfId="50751" xr:uid="{1DF4E5E9-BDCB-43F0-851E-4779471E469F}"/>
    <cellStyle name="Vírgula 2 2 2 2 8 2 2 3" xfId="38160" xr:uid="{7B76458B-A9C6-4F82-8476-E4E8FC14D088}"/>
    <cellStyle name="Vírgula 2 2 2 2 8 2 3" xfId="18981" xr:uid="{FDD1BC14-1B27-44DD-8496-1EF3B0E3118A}"/>
    <cellStyle name="Vírgula 2 2 2 2 8 2 3 2" xfId="44473" xr:uid="{B290CB12-44EC-42F0-982C-437F9CF59944}"/>
    <cellStyle name="Vírgula 2 2 2 2 8 2 4" xfId="31882" xr:uid="{B70F5029-F305-459D-AB83-A540BE1559CF}"/>
    <cellStyle name="Vírgula 2 2 2 2 8 3" xfId="9438" xr:uid="{1CDF49AB-EF70-4168-871A-6ADD6C8E1343}"/>
    <cellStyle name="Vírgula 2 2 2 2 8 3 2" xfId="22120" xr:uid="{389780E7-8BB8-4812-BAEF-7DB9DC36E17B}"/>
    <cellStyle name="Vírgula 2 2 2 2 8 3 2 2" xfId="47612" xr:uid="{8B23782B-4C38-44B9-91DD-51D6A909DF90}"/>
    <cellStyle name="Vírgula 2 2 2 2 8 3 3" xfId="35021" xr:uid="{DD4D5BC6-C399-488E-B02A-6E5B5195F2C3}"/>
    <cellStyle name="Vírgula 2 2 2 2 8 4" xfId="15842" xr:uid="{6AC5C1F0-69AF-441D-A5B1-9457B842FEFE}"/>
    <cellStyle name="Vírgula 2 2 2 2 8 4 2" xfId="41334" xr:uid="{6B6F02AA-D849-454A-9BDB-EEBC65105FBE}"/>
    <cellStyle name="Vírgula 2 2 2 2 8 5" xfId="28743" xr:uid="{936D7889-D462-4248-A9EE-8D77E00CF012}"/>
    <cellStyle name="Vírgula 2 2 2 2 9" xfId="3669" xr:uid="{A54513F9-1FBF-4023-AF5B-43F6A1B59224}"/>
    <cellStyle name="Vírgula 2 2 2 2 9 2" xfId="9962" xr:uid="{EBF108E3-6304-41F6-892E-99B8E7DAC827}"/>
    <cellStyle name="Vírgula 2 2 2 2 9 2 2" xfId="22644" xr:uid="{AFF1D7CC-D302-4624-8F29-FC0A95A29973}"/>
    <cellStyle name="Vírgula 2 2 2 2 9 2 2 2" xfId="48136" xr:uid="{BCB5E477-B457-4BC5-88D7-838C011EDE90}"/>
    <cellStyle name="Vírgula 2 2 2 2 9 2 3" xfId="35545" xr:uid="{FA8C1148-75A0-4E06-850F-2A1FC3B341EC}"/>
    <cellStyle name="Vírgula 2 2 2 2 9 3" xfId="16366" xr:uid="{754AFA92-751E-4F9C-B6F1-BFE302526839}"/>
    <cellStyle name="Vírgula 2 2 2 2 9 3 2" xfId="41858" xr:uid="{124FFB04-5C98-4748-B942-3BD1EDC61CFC}"/>
    <cellStyle name="Vírgula 2 2 2 2 9 4" xfId="29267" xr:uid="{5C482C6E-EF5E-4628-8BB6-7FC6D0EF141C}"/>
    <cellStyle name="Vírgula 2 2 2 3" xfId="598" xr:uid="{4B76FD49-0294-463A-B903-21602EB8695B}"/>
    <cellStyle name="Vírgula 2 2 2 3 10" xfId="13325" xr:uid="{DC31094D-E4CC-4413-9224-067BCD0A50C6}"/>
    <cellStyle name="Vírgula 2 2 2 3 10 2" xfId="38817" xr:uid="{7E00CA27-DAF3-41DB-B951-A0B67EC007E8}"/>
    <cellStyle name="Vírgula 2 2 2 3 11" xfId="26226" xr:uid="{AA295408-1217-410D-A454-C811C38F9E7C}"/>
    <cellStyle name="Vírgula 2 2 2 3 2" xfId="1135" xr:uid="{B9F22ACF-BAEF-4AB3-B6A8-967C3605AA24}"/>
    <cellStyle name="Vírgula 2 2 2 3 2 2" xfId="2442" xr:uid="{1D74052C-C8BA-4A83-9DF3-A99A99057FF3}"/>
    <cellStyle name="Vírgula 2 2 2 3 2 2 2" xfId="5596" xr:uid="{F3EA1FBB-41A5-4D53-94EC-C6BC70536E10}"/>
    <cellStyle name="Vírgula 2 2 2 3 2 2 2 2" xfId="11889" xr:uid="{8E4F55B5-914C-47ED-8363-85DA27BEBE83}"/>
    <cellStyle name="Vírgula 2 2 2 3 2 2 2 2 2" xfId="24571" xr:uid="{6ADC3822-B21B-48BF-BC5D-9A5F6BF86FE1}"/>
    <cellStyle name="Vírgula 2 2 2 3 2 2 2 2 2 2" xfId="50063" xr:uid="{35AA10B4-831F-4952-9E5A-9A77C054A88A}"/>
    <cellStyle name="Vírgula 2 2 2 3 2 2 2 2 3" xfId="37472" xr:uid="{565D0F2C-5972-4577-8790-1BE76C2CAD0C}"/>
    <cellStyle name="Vírgula 2 2 2 3 2 2 2 3" xfId="18293" xr:uid="{BB66C463-1F6C-4605-AD5B-E699DEFB8A56}"/>
    <cellStyle name="Vírgula 2 2 2 3 2 2 2 3 2" xfId="43785" xr:uid="{D56012BB-A007-4BAC-AFD0-F5A127A033AA}"/>
    <cellStyle name="Vírgula 2 2 2 3 2 2 2 4" xfId="31194" xr:uid="{A2106299-0EE8-4878-8461-33AA6D9DBF9E}"/>
    <cellStyle name="Vírgula 2 2 2 3 2 2 3" xfId="8750" xr:uid="{4DCAD587-78E4-4B73-AD96-D3BB2862C1C6}"/>
    <cellStyle name="Vírgula 2 2 2 3 2 2 3 2" xfId="21432" xr:uid="{FC46B9C8-7DFC-4BF3-BF05-3D2E8AF90251}"/>
    <cellStyle name="Vírgula 2 2 2 3 2 2 3 2 2" xfId="46924" xr:uid="{FC431D3F-1970-4198-B4C0-D83C648399E5}"/>
    <cellStyle name="Vírgula 2 2 2 3 2 2 3 3" xfId="34333" xr:uid="{AB139062-1997-451A-8ABA-14E50E6EABE3}"/>
    <cellStyle name="Vírgula 2 2 2 3 2 2 4" xfId="15154" xr:uid="{0CAD7AB5-FCAE-44D6-BFD1-A1F15E368F50}"/>
    <cellStyle name="Vírgula 2 2 2 3 2 2 4 2" xfId="40646" xr:uid="{B4A624F2-29C9-4CF7-AFFC-F4B2FC2C50D8}"/>
    <cellStyle name="Vírgula 2 2 2 3 2 2 5" xfId="28055" xr:uid="{495F003A-796E-4607-A43D-86056C67C5BB}"/>
    <cellStyle name="Vírgula 2 2 2 3 2 3" xfId="1659" xr:uid="{496673CE-5E00-45BD-A385-5E3820F34FC2}"/>
    <cellStyle name="Vírgula 2 2 2 3 2 3 2" xfId="4813" xr:uid="{CC4CA66C-247F-4B89-8BBE-681557DFFE49}"/>
    <cellStyle name="Vírgula 2 2 2 3 2 3 2 2" xfId="11106" xr:uid="{F60D4C00-1A33-4B4D-9A87-BFDC9F7A9E08}"/>
    <cellStyle name="Vírgula 2 2 2 3 2 3 2 2 2" xfId="23788" xr:uid="{B326A1F8-02D4-4AD8-9CE2-C135410A5247}"/>
    <cellStyle name="Vírgula 2 2 2 3 2 3 2 2 2 2" xfId="49280" xr:uid="{8FE1DE4B-40B8-44C3-BDC2-2D1514A68586}"/>
    <cellStyle name="Vírgula 2 2 2 3 2 3 2 2 3" xfId="36689" xr:uid="{BE3ABBA0-614B-4482-8E65-3591A52D45AB}"/>
    <cellStyle name="Vírgula 2 2 2 3 2 3 2 3" xfId="17510" xr:uid="{C8C6457D-51B9-437E-910F-95DCBF90BE81}"/>
    <cellStyle name="Vírgula 2 2 2 3 2 3 2 3 2" xfId="43002" xr:uid="{F238D60D-0963-4629-9050-E73CC37CAAB9}"/>
    <cellStyle name="Vírgula 2 2 2 3 2 3 2 4" xfId="30411" xr:uid="{453DC01A-D0BE-48D8-BEC3-5B142B235E24}"/>
    <cellStyle name="Vírgula 2 2 2 3 2 3 3" xfId="7967" xr:uid="{4C9788A0-702C-4AB2-AF2E-8FAF0DF7D403}"/>
    <cellStyle name="Vírgula 2 2 2 3 2 3 3 2" xfId="20649" xr:uid="{B8CD5FCF-0988-4041-9892-FBF4DCF8A102}"/>
    <cellStyle name="Vírgula 2 2 2 3 2 3 3 2 2" xfId="46141" xr:uid="{C8690778-B8CE-418E-BDA8-A0CE1F53BE3D}"/>
    <cellStyle name="Vírgula 2 2 2 3 2 3 3 3" xfId="33550" xr:uid="{BF88F515-5E2B-4ECA-AB33-74F6CCF15A99}"/>
    <cellStyle name="Vírgula 2 2 2 3 2 3 4" xfId="14371" xr:uid="{729A6777-70E9-4C97-BD3C-5F32C71FDF24}"/>
    <cellStyle name="Vírgula 2 2 2 3 2 3 4 2" xfId="39863" xr:uid="{5CAC984A-2B69-4827-A336-890594CD8616}"/>
    <cellStyle name="Vírgula 2 2 2 3 2 3 5" xfId="27272" xr:uid="{711388EE-7934-4126-BEB5-9E3CCA63A2DF}"/>
    <cellStyle name="Vírgula 2 2 2 3 2 4" xfId="2966" xr:uid="{EB7DC09E-E04A-4CED-BD2A-C51478CA0C2D}"/>
    <cellStyle name="Vírgula 2 2 2 3 2 4 2" xfId="6120" xr:uid="{5CA40225-0EB2-4EAB-BA35-58B4C0A9A992}"/>
    <cellStyle name="Vírgula 2 2 2 3 2 4 2 2" xfId="12413" xr:uid="{3139BF0B-C6D4-4400-9AF4-BD662304204B}"/>
    <cellStyle name="Vírgula 2 2 2 3 2 4 2 2 2" xfId="25095" xr:uid="{75922837-769E-4662-BF78-11B9878EDE54}"/>
    <cellStyle name="Vírgula 2 2 2 3 2 4 2 2 2 2" xfId="50587" xr:uid="{39D09F25-3465-450F-B5FD-4BDABEC0CEBB}"/>
    <cellStyle name="Vírgula 2 2 2 3 2 4 2 2 3" xfId="37996" xr:uid="{1A36C043-A3C5-4B1A-86E5-8BBFE4C93335}"/>
    <cellStyle name="Vírgula 2 2 2 3 2 4 2 3" xfId="18817" xr:uid="{73A3546E-36BC-45CB-A587-E92719428F15}"/>
    <cellStyle name="Vírgula 2 2 2 3 2 4 2 3 2" xfId="44309" xr:uid="{A45358B2-EB52-4DC4-9123-07CD958E0781}"/>
    <cellStyle name="Vírgula 2 2 2 3 2 4 2 4" xfId="31718" xr:uid="{D86032F3-4169-4D02-9079-A73E5FCC97C3}"/>
    <cellStyle name="Vírgula 2 2 2 3 2 4 3" xfId="9274" xr:uid="{F9339465-847B-41F8-BBBB-4A222D4848C7}"/>
    <cellStyle name="Vírgula 2 2 2 3 2 4 3 2" xfId="21956" xr:uid="{BF5A6A8D-7025-4DDF-B2AB-10BA044FD3AB}"/>
    <cellStyle name="Vírgula 2 2 2 3 2 4 3 2 2" xfId="47448" xr:uid="{A2F9A3DD-378D-47E3-8AF2-4A5FC205F7AC}"/>
    <cellStyle name="Vírgula 2 2 2 3 2 4 3 3" xfId="34857" xr:uid="{4D5EBA5A-C740-48BA-ABB7-EE0BB1F56DE6}"/>
    <cellStyle name="Vírgula 2 2 2 3 2 4 4" xfId="15678" xr:uid="{B021A441-B414-4FBD-BCB5-DC52B7E71C26}"/>
    <cellStyle name="Vírgula 2 2 2 3 2 4 4 2" xfId="41170" xr:uid="{9DC651BF-65F6-492E-A6AE-7F1223E6C76E}"/>
    <cellStyle name="Vírgula 2 2 2 3 2 4 5" xfId="28579" xr:uid="{AAC68FF4-958C-4FF1-9667-DF808078AFA0}"/>
    <cellStyle name="Vírgula 2 2 2 3 2 5" xfId="3489" xr:uid="{BC4CAAD1-7F91-4B63-99FB-292869F9B021}"/>
    <cellStyle name="Vírgula 2 2 2 3 2 5 2" xfId="6643" xr:uid="{57AEBB9F-D263-44CA-908D-3B1AD527EB3A}"/>
    <cellStyle name="Vírgula 2 2 2 3 2 5 2 2" xfId="12936" xr:uid="{6095A8FB-A164-4612-8171-0EE36A909C03}"/>
    <cellStyle name="Vírgula 2 2 2 3 2 5 2 2 2" xfId="25618" xr:uid="{CDBB98D8-D354-4413-9278-E87891B5A421}"/>
    <cellStyle name="Vírgula 2 2 2 3 2 5 2 2 2 2" xfId="51110" xr:uid="{06CFD1F6-FD1E-4543-8E3A-D5F753F104A9}"/>
    <cellStyle name="Vírgula 2 2 2 3 2 5 2 2 3" xfId="38519" xr:uid="{86DD51D8-2D8F-44D8-96C9-C1F09A241140}"/>
    <cellStyle name="Vírgula 2 2 2 3 2 5 2 3" xfId="19340" xr:uid="{70E891C8-5379-45CB-836C-10B514BC80A4}"/>
    <cellStyle name="Vírgula 2 2 2 3 2 5 2 3 2" xfId="44832" xr:uid="{04EFED12-647B-409E-A7E5-CAFF65041F5F}"/>
    <cellStyle name="Vírgula 2 2 2 3 2 5 2 4" xfId="32241" xr:uid="{788E14D6-C752-44FF-B021-F1FCCA65B386}"/>
    <cellStyle name="Vírgula 2 2 2 3 2 5 3" xfId="9797" xr:uid="{8AA65CC3-0FE9-4CB3-BBFA-D3C322FEC569}"/>
    <cellStyle name="Vírgula 2 2 2 3 2 5 3 2" xfId="22479" xr:uid="{3E2E38F1-D7A2-4859-BE96-F4F2121C12FE}"/>
    <cellStyle name="Vírgula 2 2 2 3 2 5 3 2 2" xfId="47971" xr:uid="{E21491D7-73B1-4209-9614-B8190402E5FE}"/>
    <cellStyle name="Vírgula 2 2 2 3 2 5 3 3" xfId="35380" xr:uid="{6A417A09-5F72-4943-BD4F-B9CFCCA67F44}"/>
    <cellStyle name="Vírgula 2 2 2 3 2 5 4" xfId="16201" xr:uid="{A348890A-62F6-4DCA-9EE1-7F2D91D12308}"/>
    <cellStyle name="Vírgula 2 2 2 3 2 5 4 2" xfId="41693" xr:uid="{999F6ECC-2A1C-4789-8DF4-832E15FADDB7}"/>
    <cellStyle name="Vírgula 2 2 2 3 2 5 5" xfId="29102" xr:uid="{58A09C76-CF02-4340-84B4-3BE542799103}"/>
    <cellStyle name="Vírgula 2 2 2 3 2 6" xfId="4289" xr:uid="{705A53D8-9870-4724-A911-0805E9C88D43}"/>
    <cellStyle name="Vírgula 2 2 2 3 2 6 2" xfId="10582" xr:uid="{DCCF4C99-F818-4EA6-989F-90AE17D16716}"/>
    <cellStyle name="Vírgula 2 2 2 3 2 6 2 2" xfId="23264" xr:uid="{72E3E63D-B32D-4540-A32D-1308FD58758F}"/>
    <cellStyle name="Vírgula 2 2 2 3 2 6 2 2 2" xfId="48756" xr:uid="{2D268639-C196-4883-B8CB-34676A9F107D}"/>
    <cellStyle name="Vírgula 2 2 2 3 2 6 2 3" xfId="36165" xr:uid="{C893997F-6DD1-4193-89BF-BC650E99BF95}"/>
    <cellStyle name="Vírgula 2 2 2 3 2 6 3" xfId="16986" xr:uid="{CC03FC25-6653-4338-9D28-1221FA069BCF}"/>
    <cellStyle name="Vírgula 2 2 2 3 2 6 3 2" xfId="42478" xr:uid="{CD111AF7-C7B5-47DD-A865-DB410E767A11}"/>
    <cellStyle name="Vírgula 2 2 2 3 2 6 4" xfId="29887" xr:uid="{967C359A-9366-4619-85C7-6E48C1F88BA0}"/>
    <cellStyle name="Vírgula 2 2 2 3 2 7" xfId="7443" xr:uid="{9E7807AA-A4E0-4D77-9CC4-A3A93E4E620F}"/>
    <cellStyle name="Vírgula 2 2 2 3 2 7 2" xfId="20125" xr:uid="{4939CE67-D2F5-4BB0-B6AD-9EA70BF6CFD3}"/>
    <cellStyle name="Vírgula 2 2 2 3 2 7 2 2" xfId="45617" xr:uid="{DB70CEA1-B159-4AC0-A552-E5439A7E5BE0}"/>
    <cellStyle name="Vírgula 2 2 2 3 2 7 3" xfId="33026" xr:uid="{71DF7B30-B931-4702-8E1A-93B6145C800F}"/>
    <cellStyle name="Vírgula 2 2 2 3 2 8" xfId="13847" xr:uid="{556387FE-FF86-46F1-BD14-CFA0387700B7}"/>
    <cellStyle name="Vírgula 2 2 2 3 2 8 2" xfId="39339" xr:uid="{E080AEDA-67DE-42E9-9338-36A29235443A}"/>
    <cellStyle name="Vírgula 2 2 2 3 2 9" xfId="26748" xr:uid="{19ACE08E-D382-4769-B3B6-A5262383B1B5}"/>
    <cellStyle name="Vírgula 2 2 2 3 3" xfId="875" xr:uid="{A0C870CA-9403-4F52-8D6E-64E5F143C557}"/>
    <cellStyle name="Vírgula 2 2 2 3 3 2" xfId="2182" xr:uid="{08CD740C-1900-4BF2-8E45-BD966305873E}"/>
    <cellStyle name="Vírgula 2 2 2 3 3 2 2" xfId="5336" xr:uid="{3697A601-8799-40CC-BDE3-ADD5DEC30A56}"/>
    <cellStyle name="Vírgula 2 2 2 3 3 2 2 2" xfId="11629" xr:uid="{AB6030DE-EBD3-4EB1-A1D2-21BC72F312FF}"/>
    <cellStyle name="Vírgula 2 2 2 3 3 2 2 2 2" xfId="24311" xr:uid="{D928E7B5-8AB4-4D28-A157-1E30A83D71D2}"/>
    <cellStyle name="Vírgula 2 2 2 3 3 2 2 2 2 2" xfId="49803" xr:uid="{A1144D44-A284-4A28-B057-2819FF20345B}"/>
    <cellStyle name="Vírgula 2 2 2 3 3 2 2 2 3" xfId="37212" xr:uid="{E20946E2-2E8C-4D86-B8E9-D5677432ABFD}"/>
    <cellStyle name="Vírgula 2 2 2 3 3 2 2 3" xfId="18033" xr:uid="{6BB6A314-E6E0-4639-A251-46D0C7A67301}"/>
    <cellStyle name="Vírgula 2 2 2 3 3 2 2 3 2" xfId="43525" xr:uid="{A8E499B1-0698-4F77-A62A-4A82C688B6C6}"/>
    <cellStyle name="Vírgula 2 2 2 3 3 2 2 4" xfId="30934" xr:uid="{6BBC89B9-DC1A-4BFC-BBB5-31F85D9F1277}"/>
    <cellStyle name="Vírgula 2 2 2 3 3 2 3" xfId="8490" xr:uid="{6515DE38-6C94-4DEC-BAC3-E9E5F716D1A2}"/>
    <cellStyle name="Vírgula 2 2 2 3 3 2 3 2" xfId="21172" xr:uid="{027D6D18-7F5E-492A-B47B-13296169D6A9}"/>
    <cellStyle name="Vírgula 2 2 2 3 3 2 3 2 2" xfId="46664" xr:uid="{D33832F0-14DF-40F0-BC02-820360FFD4F3}"/>
    <cellStyle name="Vírgula 2 2 2 3 3 2 3 3" xfId="34073" xr:uid="{6BA14EBD-BCD8-4748-9052-A4AB3FA3E3B1}"/>
    <cellStyle name="Vírgula 2 2 2 3 3 2 4" xfId="14894" xr:uid="{EEB5060E-C8F3-421A-8FD2-857F0AC5ACD9}"/>
    <cellStyle name="Vírgula 2 2 2 3 3 2 4 2" xfId="40386" xr:uid="{8CF1B61C-DEE8-4BDB-8D5B-06A2E9DAED6B}"/>
    <cellStyle name="Vírgula 2 2 2 3 3 2 5" xfId="27795" xr:uid="{E0FFEC50-647F-434C-ABF3-516B01785C04}"/>
    <cellStyle name="Vírgula 2 2 2 3 3 3" xfId="4029" xr:uid="{E4EC62DE-22F1-412E-AA04-C3FF73C03157}"/>
    <cellStyle name="Vírgula 2 2 2 3 3 3 2" xfId="10322" xr:uid="{90826109-C729-4579-A787-79F386A7CFD6}"/>
    <cellStyle name="Vírgula 2 2 2 3 3 3 2 2" xfId="23004" xr:uid="{2C175164-5942-4E6B-8D3A-17A79334A22F}"/>
    <cellStyle name="Vírgula 2 2 2 3 3 3 2 2 2" xfId="48496" xr:uid="{98AA2619-264D-43CD-9707-1AF5DF62B944}"/>
    <cellStyle name="Vírgula 2 2 2 3 3 3 2 3" xfId="35905" xr:uid="{A4759966-DB7B-4C4F-8FDE-8E2A4E5927F1}"/>
    <cellStyle name="Vírgula 2 2 2 3 3 3 3" xfId="16726" xr:uid="{68DDC344-39F1-47F2-9B6A-125DC306F540}"/>
    <cellStyle name="Vírgula 2 2 2 3 3 3 3 2" xfId="42218" xr:uid="{57C12A00-80F5-40D4-A274-D421C604A63A}"/>
    <cellStyle name="Vírgula 2 2 2 3 3 3 4" xfId="29627" xr:uid="{9B918137-D9F1-4290-8F23-B4DDA779AF10}"/>
    <cellStyle name="Vírgula 2 2 2 3 3 4" xfId="7183" xr:uid="{40752D72-6422-422A-97C2-58DD2604F24E}"/>
    <cellStyle name="Vírgula 2 2 2 3 3 4 2" xfId="19865" xr:uid="{0BCB88E9-D3E9-4D0E-81E9-0E3B840869A7}"/>
    <cellStyle name="Vírgula 2 2 2 3 3 4 2 2" xfId="45357" xr:uid="{331A86CB-B7D9-40ED-832F-EFD4CA879E3B}"/>
    <cellStyle name="Vírgula 2 2 2 3 3 4 3" xfId="32766" xr:uid="{9D027B4B-397B-4A82-A0A3-5BBE62B4CA8E}"/>
    <cellStyle name="Vírgula 2 2 2 3 3 5" xfId="13587" xr:uid="{1A237124-FD29-442E-B4C7-DEF81C3142EA}"/>
    <cellStyle name="Vírgula 2 2 2 3 3 5 2" xfId="39079" xr:uid="{9F790C84-95BD-4CB2-983F-234E2843EA13}"/>
    <cellStyle name="Vírgula 2 2 2 3 3 6" xfId="26488" xr:uid="{71C8712E-FC3E-444F-93C2-B9A05BEC606C}"/>
    <cellStyle name="Vírgula 2 2 2 3 4" xfId="1920" xr:uid="{84B1B276-22A6-4C91-AD4A-B06B6B3AC29E}"/>
    <cellStyle name="Vírgula 2 2 2 3 4 2" xfId="5074" xr:uid="{2134FBDB-511B-4E9F-A4C8-1DA90FD78397}"/>
    <cellStyle name="Vírgula 2 2 2 3 4 2 2" xfId="11367" xr:uid="{68565CAD-16EA-4517-9BEA-E9B4F7B19188}"/>
    <cellStyle name="Vírgula 2 2 2 3 4 2 2 2" xfId="24049" xr:uid="{199F2E13-3D3A-4BBF-80DA-6D630B336FFD}"/>
    <cellStyle name="Vírgula 2 2 2 3 4 2 2 2 2" xfId="49541" xr:uid="{AB386521-E1AC-4E2D-A592-E03026ED74FF}"/>
    <cellStyle name="Vírgula 2 2 2 3 4 2 2 3" xfId="36950" xr:uid="{C7DE4A78-2E58-40C7-948E-5CD47128ED54}"/>
    <cellStyle name="Vírgula 2 2 2 3 4 2 3" xfId="17771" xr:uid="{AE997299-3530-4891-A933-77A5D4A757E2}"/>
    <cellStyle name="Vírgula 2 2 2 3 4 2 3 2" xfId="43263" xr:uid="{D0A79A85-AB13-4F5E-B823-709E142ABA89}"/>
    <cellStyle name="Vírgula 2 2 2 3 4 2 4" xfId="30672" xr:uid="{8E63191E-986C-45F4-8E12-85BB05DD9468}"/>
    <cellStyle name="Vírgula 2 2 2 3 4 3" xfId="8228" xr:uid="{146006D3-97D9-41ED-B45F-D8A2EF2316FF}"/>
    <cellStyle name="Vírgula 2 2 2 3 4 3 2" xfId="20910" xr:uid="{99004C75-4C27-4359-8C7B-62A566CBAD43}"/>
    <cellStyle name="Vírgula 2 2 2 3 4 3 2 2" xfId="46402" xr:uid="{BF113DEF-DFD6-40AE-BB5D-61DD1F5A4F56}"/>
    <cellStyle name="Vírgula 2 2 2 3 4 3 3" xfId="33811" xr:uid="{3A5358A1-1A2C-4439-B9B5-9EB8FCA79C02}"/>
    <cellStyle name="Vírgula 2 2 2 3 4 4" xfId="14632" xr:uid="{E85DFFF0-38ED-4F4D-821E-38B73A5B472D}"/>
    <cellStyle name="Vírgula 2 2 2 3 4 4 2" xfId="40124" xr:uid="{E16D848C-CCF8-49B6-810F-AC2A7617516C}"/>
    <cellStyle name="Vírgula 2 2 2 3 4 5" xfId="27533" xr:uid="{2A5B4F54-820B-4ED9-A801-9010BEC812E4}"/>
    <cellStyle name="Vírgula 2 2 2 3 5" xfId="1398" xr:uid="{F2C6D879-69D0-464C-ACAC-47612773B283}"/>
    <cellStyle name="Vírgula 2 2 2 3 5 2" xfId="4552" xr:uid="{3097F1E3-B7E6-4B55-9761-33E6C65F889A}"/>
    <cellStyle name="Vírgula 2 2 2 3 5 2 2" xfId="10845" xr:uid="{930EA15E-AEA8-49C5-AE93-961F238FE533}"/>
    <cellStyle name="Vírgula 2 2 2 3 5 2 2 2" xfId="23527" xr:uid="{F685BC57-7BD4-4201-9B01-6A058724DA06}"/>
    <cellStyle name="Vírgula 2 2 2 3 5 2 2 2 2" xfId="49019" xr:uid="{29386F09-A22A-4719-8CD5-75D75B9EA3B9}"/>
    <cellStyle name="Vírgula 2 2 2 3 5 2 2 3" xfId="36428" xr:uid="{781D9B0D-F9CE-472E-81E3-A67DE49AFCF8}"/>
    <cellStyle name="Vírgula 2 2 2 3 5 2 3" xfId="17249" xr:uid="{C4199891-8898-4412-927B-7CF552B9D7FC}"/>
    <cellStyle name="Vírgula 2 2 2 3 5 2 3 2" xfId="42741" xr:uid="{514061FE-BFA2-47AA-96A3-5B8EC909EE7E}"/>
    <cellStyle name="Vírgula 2 2 2 3 5 2 4" xfId="30150" xr:uid="{D8EE6626-0FF6-45A3-962F-D7E2BD71D26B}"/>
    <cellStyle name="Vírgula 2 2 2 3 5 3" xfId="7706" xr:uid="{5892B877-56ED-451A-8A28-936C8B009018}"/>
    <cellStyle name="Vírgula 2 2 2 3 5 3 2" xfId="20388" xr:uid="{8378B5EB-7144-4DC7-A971-524DA956E3F2}"/>
    <cellStyle name="Vírgula 2 2 2 3 5 3 2 2" xfId="45880" xr:uid="{92F6FCD1-145F-4F5E-BC97-6877F00D1AD6}"/>
    <cellStyle name="Vírgula 2 2 2 3 5 3 3" xfId="33289" xr:uid="{4C35677A-F3E2-48DD-B561-9F31E0C7C27F}"/>
    <cellStyle name="Vírgula 2 2 2 3 5 4" xfId="14110" xr:uid="{CE4EA5DB-5147-4E24-A1AC-6EAD76DC82BD}"/>
    <cellStyle name="Vírgula 2 2 2 3 5 4 2" xfId="39602" xr:uid="{323D612C-D5BC-4D10-AA70-D2AD105BAF44}"/>
    <cellStyle name="Vírgula 2 2 2 3 5 5" xfId="27011" xr:uid="{A923B49E-0221-41F7-B902-D359DAFD9004}"/>
    <cellStyle name="Vírgula 2 2 2 3 6" xfId="2705" xr:uid="{55FD6FA6-500C-4129-A8FE-2425E92D4194}"/>
    <cellStyle name="Vírgula 2 2 2 3 6 2" xfId="5859" xr:uid="{69821D32-68D1-417B-A014-7458AF941490}"/>
    <cellStyle name="Vírgula 2 2 2 3 6 2 2" xfId="12152" xr:uid="{5E6FD9E2-F454-43A3-8125-D6F771BE1CB1}"/>
    <cellStyle name="Vírgula 2 2 2 3 6 2 2 2" xfId="24834" xr:uid="{81DD3B44-BD28-452E-9259-D85E5FBD1AE6}"/>
    <cellStyle name="Vírgula 2 2 2 3 6 2 2 2 2" xfId="50326" xr:uid="{DDEBDD9D-8621-4E51-BEBF-8E1F9A7C8A34}"/>
    <cellStyle name="Vírgula 2 2 2 3 6 2 2 3" xfId="37735" xr:uid="{0BBEAF49-2A38-494C-9C19-3BDDCBEA34DF}"/>
    <cellStyle name="Vírgula 2 2 2 3 6 2 3" xfId="18556" xr:uid="{9BCE796E-2609-4070-A1E8-819D454143EB}"/>
    <cellStyle name="Vírgula 2 2 2 3 6 2 3 2" xfId="44048" xr:uid="{0A478A2E-3F9A-478B-844D-03BFC17BD177}"/>
    <cellStyle name="Vírgula 2 2 2 3 6 2 4" xfId="31457" xr:uid="{F798B914-FA5A-4620-A63A-F121D2D86A31}"/>
    <cellStyle name="Vírgula 2 2 2 3 6 3" xfId="9013" xr:uid="{4D2F058C-D638-4C07-B359-DF7090203325}"/>
    <cellStyle name="Vírgula 2 2 2 3 6 3 2" xfId="21695" xr:uid="{81FD6736-86E9-40DF-9531-5C43A12ECC32}"/>
    <cellStyle name="Vírgula 2 2 2 3 6 3 2 2" xfId="47187" xr:uid="{034105F3-137D-4D63-8A52-F36F0EC2B1CB}"/>
    <cellStyle name="Vírgula 2 2 2 3 6 3 3" xfId="34596" xr:uid="{98313224-F96A-45DE-89CD-93040AA3C79A}"/>
    <cellStyle name="Vírgula 2 2 2 3 6 4" xfId="15417" xr:uid="{BFDA4EBB-32E5-4E2E-9D5B-04892C6F822E}"/>
    <cellStyle name="Vírgula 2 2 2 3 6 4 2" xfId="40909" xr:uid="{3F9E16F2-63D8-4061-900B-24801210BEB8}"/>
    <cellStyle name="Vírgula 2 2 2 3 6 5" xfId="28318" xr:uid="{CDC92966-CC03-4A04-8AB4-99460216A590}"/>
    <cellStyle name="Vírgula 2 2 2 3 7" xfId="3228" xr:uid="{409BCD97-B7BA-400D-901D-27A47BFD3C8F}"/>
    <cellStyle name="Vírgula 2 2 2 3 7 2" xfId="6382" xr:uid="{E4A779AB-BF6D-4713-AEE4-1AE8176EDFFA}"/>
    <cellStyle name="Vírgula 2 2 2 3 7 2 2" xfId="12675" xr:uid="{3B9E5C8A-4F67-4054-AC96-7823EC844F83}"/>
    <cellStyle name="Vírgula 2 2 2 3 7 2 2 2" xfId="25357" xr:uid="{83585941-4CAE-439F-A6C6-B3CD370ACFD1}"/>
    <cellStyle name="Vírgula 2 2 2 3 7 2 2 2 2" xfId="50849" xr:uid="{AFBF72A3-5143-4EEE-9A6E-870B3A64AFBA}"/>
    <cellStyle name="Vírgula 2 2 2 3 7 2 2 3" xfId="38258" xr:uid="{2471621F-9364-4EDB-912A-A292B12A7C45}"/>
    <cellStyle name="Vírgula 2 2 2 3 7 2 3" xfId="19079" xr:uid="{1EAFB6FB-C918-4270-A44F-44E349DE9AE3}"/>
    <cellStyle name="Vírgula 2 2 2 3 7 2 3 2" xfId="44571" xr:uid="{70149425-F657-4845-8AEB-DD135706B57B}"/>
    <cellStyle name="Vírgula 2 2 2 3 7 2 4" xfId="31980" xr:uid="{0570C49C-7C38-47E7-AEB6-5FFBF5139C66}"/>
    <cellStyle name="Vírgula 2 2 2 3 7 3" xfId="9536" xr:uid="{F82E8068-8634-44E4-9102-1CC2E5FCC4B7}"/>
    <cellStyle name="Vírgula 2 2 2 3 7 3 2" xfId="22218" xr:uid="{DEDAC86D-4621-4ACB-B286-0C230DB58421}"/>
    <cellStyle name="Vírgula 2 2 2 3 7 3 2 2" xfId="47710" xr:uid="{4248443D-490B-423B-AB17-219C1331E05D}"/>
    <cellStyle name="Vírgula 2 2 2 3 7 3 3" xfId="35119" xr:uid="{6E0BE6CE-E759-428C-A895-C740617CC645}"/>
    <cellStyle name="Vírgula 2 2 2 3 7 4" xfId="15940" xr:uid="{26DA3D0A-47AB-4774-8910-7B224EE46CE2}"/>
    <cellStyle name="Vírgula 2 2 2 3 7 4 2" xfId="41432" xr:uid="{54640C1C-88C0-420B-9714-D4B28FECA730}"/>
    <cellStyle name="Vírgula 2 2 2 3 7 5" xfId="28841" xr:uid="{FF98B8DD-9B22-4E20-8E35-7D1DE1ED8B36}"/>
    <cellStyle name="Vírgula 2 2 2 3 8" xfId="3767" xr:uid="{BDCC4D0E-78B6-4675-A162-4277E39985AA}"/>
    <cellStyle name="Vírgula 2 2 2 3 8 2" xfId="10060" xr:uid="{1F72B29D-2DFB-4ECC-8650-0D61C195D1F1}"/>
    <cellStyle name="Vírgula 2 2 2 3 8 2 2" xfId="22742" xr:uid="{DAD02CE1-5E28-4031-B12A-52A23BD81D11}"/>
    <cellStyle name="Vírgula 2 2 2 3 8 2 2 2" xfId="48234" xr:uid="{D83AD1B7-CA0C-4AFC-883D-84C1E68636D0}"/>
    <cellStyle name="Vírgula 2 2 2 3 8 2 3" xfId="35643" xr:uid="{FD17FB0C-166B-45A8-A6F1-1EE0993556CC}"/>
    <cellStyle name="Vírgula 2 2 2 3 8 3" xfId="16464" xr:uid="{61E37D0F-9BF1-4C43-A385-F09569045507}"/>
    <cellStyle name="Vírgula 2 2 2 3 8 3 2" xfId="41956" xr:uid="{5BE7E84B-F9C1-438D-B48F-BA0CD69B78E4}"/>
    <cellStyle name="Vírgula 2 2 2 3 8 4" xfId="29365" xr:uid="{F7B0C8F7-4FED-4006-ABF5-1D5BCF345357}"/>
    <cellStyle name="Vírgula 2 2 2 3 9" xfId="6921" xr:uid="{50A5FA33-6C2A-41BD-A17E-C9AD48FE3E66}"/>
    <cellStyle name="Vírgula 2 2 2 3 9 2" xfId="19603" xr:uid="{34F7E609-4751-433B-A395-D627AB0D01AF}"/>
    <cellStyle name="Vírgula 2 2 2 3 9 2 2" xfId="45095" xr:uid="{FB56E154-B04F-498D-8785-C52BDC49589D}"/>
    <cellStyle name="Vírgula 2 2 2 3 9 3" xfId="32504" xr:uid="{24EC3008-9A3F-4AF4-A250-141F026D7A4E}"/>
    <cellStyle name="Vírgula 2 2 2 4" xfId="559" xr:uid="{15932406-ECAD-4065-84B5-D84E37B277FA}"/>
    <cellStyle name="Vírgula 2 2 2 4 10" xfId="13286" xr:uid="{4A90FDF4-ACD8-4B1E-8A78-E92DB79D3FE0}"/>
    <cellStyle name="Vírgula 2 2 2 4 10 2" xfId="38778" xr:uid="{DF59EC18-93A1-45C0-8CF0-52D3F86BB081}"/>
    <cellStyle name="Vírgula 2 2 2 4 11" xfId="26187" xr:uid="{3CBDAA36-091D-4328-BF35-2D7F338E1300}"/>
    <cellStyle name="Vírgula 2 2 2 4 2" xfId="1096" xr:uid="{00E03276-2448-46E0-98F2-9C414C4210DE}"/>
    <cellStyle name="Vírgula 2 2 2 4 2 2" xfId="2403" xr:uid="{7C7D4CA8-7018-4627-88E4-51C6F1343F27}"/>
    <cellStyle name="Vírgula 2 2 2 4 2 2 2" xfId="5557" xr:uid="{85CACA2B-E855-4CA2-A2EB-FBF53CAD8637}"/>
    <cellStyle name="Vírgula 2 2 2 4 2 2 2 2" xfId="11850" xr:uid="{9C47B422-610E-44CD-A1D0-4E592EBBA9BC}"/>
    <cellStyle name="Vírgula 2 2 2 4 2 2 2 2 2" xfId="24532" xr:uid="{D16C2A49-0AFB-4B1C-8068-CF2A69A3DC15}"/>
    <cellStyle name="Vírgula 2 2 2 4 2 2 2 2 2 2" xfId="50024" xr:uid="{03C86F55-27B0-43ED-B328-6759B3B4ED52}"/>
    <cellStyle name="Vírgula 2 2 2 4 2 2 2 2 3" xfId="37433" xr:uid="{E7EAFDA8-1E9D-404F-9EF7-A4343CEEF6D5}"/>
    <cellStyle name="Vírgula 2 2 2 4 2 2 2 3" xfId="18254" xr:uid="{172AF141-72F7-4303-BAF5-6DC8E98B4B7F}"/>
    <cellStyle name="Vírgula 2 2 2 4 2 2 2 3 2" xfId="43746" xr:uid="{34DFB255-1B8E-4BFC-BAAA-A84A8FC55415}"/>
    <cellStyle name="Vírgula 2 2 2 4 2 2 2 4" xfId="31155" xr:uid="{42007E6D-21E6-45F2-BB80-0380D12D14A8}"/>
    <cellStyle name="Vírgula 2 2 2 4 2 2 3" xfId="8711" xr:uid="{8BEB9B28-3631-4047-A77A-3F46A36573EF}"/>
    <cellStyle name="Vírgula 2 2 2 4 2 2 3 2" xfId="21393" xr:uid="{3FC3F239-2568-4952-B061-7550653EEC0A}"/>
    <cellStyle name="Vírgula 2 2 2 4 2 2 3 2 2" xfId="46885" xr:uid="{FB1590DD-C2F2-4C3F-A435-353F10C31C70}"/>
    <cellStyle name="Vírgula 2 2 2 4 2 2 3 3" xfId="34294" xr:uid="{88B1FF74-943A-47B1-A5C0-592FA524F5C0}"/>
    <cellStyle name="Vírgula 2 2 2 4 2 2 4" xfId="15115" xr:uid="{812CFC40-32C0-43DA-BE54-22EDF3BD1F12}"/>
    <cellStyle name="Vírgula 2 2 2 4 2 2 4 2" xfId="40607" xr:uid="{EB38C6D0-245A-4104-AF4F-ABA7280FB23F}"/>
    <cellStyle name="Vírgula 2 2 2 4 2 2 5" xfId="28016" xr:uid="{DCD2EF2A-FA34-4932-A300-A1A1F69680F8}"/>
    <cellStyle name="Vírgula 2 2 2 4 2 3" xfId="1620" xr:uid="{B7CD9A05-E09C-40B1-85A1-9216D929AD75}"/>
    <cellStyle name="Vírgula 2 2 2 4 2 3 2" xfId="4774" xr:uid="{91B2332C-6A3B-453A-8362-EFA05EC569DD}"/>
    <cellStyle name="Vírgula 2 2 2 4 2 3 2 2" xfId="11067" xr:uid="{3180B5AD-FB56-4B51-BDF0-EED6AFFDC817}"/>
    <cellStyle name="Vírgula 2 2 2 4 2 3 2 2 2" xfId="23749" xr:uid="{BD06AFC0-BEC7-4333-A2B8-5132DB94DE3C}"/>
    <cellStyle name="Vírgula 2 2 2 4 2 3 2 2 2 2" xfId="49241" xr:uid="{34DF3FCA-6026-4711-B300-32B4FBFD0E84}"/>
    <cellStyle name="Vírgula 2 2 2 4 2 3 2 2 3" xfId="36650" xr:uid="{C85FED97-A98B-47CD-93D9-FFDEFAFDF366}"/>
    <cellStyle name="Vírgula 2 2 2 4 2 3 2 3" xfId="17471" xr:uid="{1D8CB509-D0F3-4B6D-B985-BF1019EDC565}"/>
    <cellStyle name="Vírgula 2 2 2 4 2 3 2 3 2" xfId="42963" xr:uid="{C30D845A-90ED-462B-8790-6B688FB3AAB4}"/>
    <cellStyle name="Vírgula 2 2 2 4 2 3 2 4" xfId="30372" xr:uid="{09D569EA-1CD6-44B7-A4F4-565F1FD670AF}"/>
    <cellStyle name="Vírgula 2 2 2 4 2 3 3" xfId="7928" xr:uid="{5E7166AE-BE64-4CAA-87A5-EBC155CD83F4}"/>
    <cellStyle name="Vírgula 2 2 2 4 2 3 3 2" xfId="20610" xr:uid="{0AF80E5D-CFB3-4BDF-8647-5036F1B442CC}"/>
    <cellStyle name="Vírgula 2 2 2 4 2 3 3 2 2" xfId="46102" xr:uid="{FB382744-AC65-40D4-A062-88D6D2A54859}"/>
    <cellStyle name="Vírgula 2 2 2 4 2 3 3 3" xfId="33511" xr:uid="{D2E052BA-1C6B-4845-88B6-971B68F4C97C}"/>
    <cellStyle name="Vírgula 2 2 2 4 2 3 4" xfId="14332" xr:uid="{0410FD86-6952-40F8-AA39-7F526ADBEB27}"/>
    <cellStyle name="Vírgula 2 2 2 4 2 3 4 2" xfId="39824" xr:uid="{77E3687F-EF3B-48D8-ACCE-C3C82C24B543}"/>
    <cellStyle name="Vírgula 2 2 2 4 2 3 5" xfId="27233" xr:uid="{1C0B49E9-41FB-4622-9470-89CA5D7B4DD4}"/>
    <cellStyle name="Vírgula 2 2 2 4 2 4" xfId="2927" xr:uid="{0E0F8D5E-EAC7-402C-B252-9CED55A6BC11}"/>
    <cellStyle name="Vírgula 2 2 2 4 2 4 2" xfId="6081" xr:uid="{102EF60B-D681-4463-86A3-73CCD2880BFC}"/>
    <cellStyle name="Vírgula 2 2 2 4 2 4 2 2" xfId="12374" xr:uid="{40DABBEB-0EF8-47F1-B39E-EA731A10A85A}"/>
    <cellStyle name="Vírgula 2 2 2 4 2 4 2 2 2" xfId="25056" xr:uid="{6FC2B186-E22D-4A71-9557-E39197CF3946}"/>
    <cellStyle name="Vírgula 2 2 2 4 2 4 2 2 2 2" xfId="50548" xr:uid="{8EF85AA8-0B04-4130-A954-525B648A6186}"/>
    <cellStyle name="Vírgula 2 2 2 4 2 4 2 2 3" xfId="37957" xr:uid="{011F96F8-D9DD-4294-8620-414DBFC7386E}"/>
    <cellStyle name="Vírgula 2 2 2 4 2 4 2 3" xfId="18778" xr:uid="{E3BC6CC0-6D0D-4D54-91C2-02EB649BEED9}"/>
    <cellStyle name="Vírgula 2 2 2 4 2 4 2 3 2" xfId="44270" xr:uid="{6D9867E8-5E71-47FC-96CB-2152D9126432}"/>
    <cellStyle name="Vírgula 2 2 2 4 2 4 2 4" xfId="31679" xr:uid="{6BAEA5AE-E055-4291-8513-77CBE49D52DD}"/>
    <cellStyle name="Vírgula 2 2 2 4 2 4 3" xfId="9235" xr:uid="{48CA09B3-FB0F-4C66-ADCC-2C60062FFA98}"/>
    <cellStyle name="Vírgula 2 2 2 4 2 4 3 2" xfId="21917" xr:uid="{57777629-2989-46A0-A58C-5F288CF6C542}"/>
    <cellStyle name="Vírgula 2 2 2 4 2 4 3 2 2" xfId="47409" xr:uid="{65F5D333-5EB4-4C2A-8A93-8E9E9EED4A16}"/>
    <cellStyle name="Vírgula 2 2 2 4 2 4 3 3" xfId="34818" xr:uid="{3D15BA4B-3D26-4591-854C-DCE9E295794F}"/>
    <cellStyle name="Vírgula 2 2 2 4 2 4 4" xfId="15639" xr:uid="{A177E5E0-1E4E-46BB-9A25-CC21B2B7B76D}"/>
    <cellStyle name="Vírgula 2 2 2 4 2 4 4 2" xfId="41131" xr:uid="{EA71F82E-6B45-4C25-89CF-A973935AEC48}"/>
    <cellStyle name="Vírgula 2 2 2 4 2 4 5" xfId="28540" xr:uid="{2CCA9D92-A921-42DE-A0F0-17523407539D}"/>
    <cellStyle name="Vírgula 2 2 2 4 2 5" xfId="3450" xr:uid="{49FF0647-A27D-4ED7-8597-DF7E7C66F880}"/>
    <cellStyle name="Vírgula 2 2 2 4 2 5 2" xfId="6604" xr:uid="{60738BAF-7B33-4EA2-A416-3C67EBADE56C}"/>
    <cellStyle name="Vírgula 2 2 2 4 2 5 2 2" xfId="12897" xr:uid="{749D750C-7A4F-40A9-92C0-0AC6626B71C0}"/>
    <cellStyle name="Vírgula 2 2 2 4 2 5 2 2 2" xfId="25579" xr:uid="{A77066FE-4DC0-4F68-9806-10E0C538751E}"/>
    <cellStyle name="Vírgula 2 2 2 4 2 5 2 2 2 2" xfId="51071" xr:uid="{2093B7F3-B948-4F41-A837-4D53AEA36A1D}"/>
    <cellStyle name="Vírgula 2 2 2 4 2 5 2 2 3" xfId="38480" xr:uid="{7C570391-2B8D-47A6-8B19-F1941270B40C}"/>
    <cellStyle name="Vírgula 2 2 2 4 2 5 2 3" xfId="19301" xr:uid="{944DE050-B0AD-4A41-98E9-0D67D33C8D3B}"/>
    <cellStyle name="Vírgula 2 2 2 4 2 5 2 3 2" xfId="44793" xr:uid="{4A6B1CFB-5DAA-4D26-A290-80332309231E}"/>
    <cellStyle name="Vírgula 2 2 2 4 2 5 2 4" xfId="32202" xr:uid="{56D53D05-168A-4081-B383-0867F44EEDC7}"/>
    <cellStyle name="Vírgula 2 2 2 4 2 5 3" xfId="9758" xr:uid="{F47E271E-CF81-4834-86E0-F9D536D812BC}"/>
    <cellStyle name="Vírgula 2 2 2 4 2 5 3 2" xfId="22440" xr:uid="{686A2664-FFC1-4E88-88E6-A70E499B399C}"/>
    <cellStyle name="Vírgula 2 2 2 4 2 5 3 2 2" xfId="47932" xr:uid="{3481EC5E-8929-4E35-87BB-BC7DEA56F9F7}"/>
    <cellStyle name="Vírgula 2 2 2 4 2 5 3 3" xfId="35341" xr:uid="{5AF41BA7-E0D1-4C42-956E-A736D6481704}"/>
    <cellStyle name="Vírgula 2 2 2 4 2 5 4" xfId="16162" xr:uid="{E395F1EF-F66E-479D-97BA-6CB7E5581453}"/>
    <cellStyle name="Vírgula 2 2 2 4 2 5 4 2" xfId="41654" xr:uid="{12C2975F-0470-452E-A1E0-C3F02614E033}"/>
    <cellStyle name="Vírgula 2 2 2 4 2 5 5" xfId="29063" xr:uid="{25FAB076-2242-4C2B-9D6C-47972FC4A90E}"/>
    <cellStyle name="Vírgula 2 2 2 4 2 6" xfId="4250" xr:uid="{1EC7D882-2D47-4561-B9A7-FF49005235A0}"/>
    <cellStyle name="Vírgula 2 2 2 4 2 6 2" xfId="10543" xr:uid="{0193D8AE-344E-4C01-BFA7-B281F3C27229}"/>
    <cellStyle name="Vírgula 2 2 2 4 2 6 2 2" xfId="23225" xr:uid="{85307929-99F4-4102-81BB-FEC044A4BBB8}"/>
    <cellStyle name="Vírgula 2 2 2 4 2 6 2 2 2" xfId="48717" xr:uid="{FDC47B63-7D5A-4010-AB67-2C9064DF7F6C}"/>
    <cellStyle name="Vírgula 2 2 2 4 2 6 2 3" xfId="36126" xr:uid="{F3D55EA3-F7A1-4DC9-8249-0AAC7B470ADD}"/>
    <cellStyle name="Vírgula 2 2 2 4 2 6 3" xfId="16947" xr:uid="{C7BB836F-886A-432A-AF43-F2A60D4D30BD}"/>
    <cellStyle name="Vírgula 2 2 2 4 2 6 3 2" xfId="42439" xr:uid="{EBDE3711-8149-448F-B150-82F11E1CCB85}"/>
    <cellStyle name="Vírgula 2 2 2 4 2 6 4" xfId="29848" xr:uid="{D06B2B6D-37D1-4C2E-8FF3-0028324AFC1A}"/>
    <cellStyle name="Vírgula 2 2 2 4 2 7" xfId="7404" xr:uid="{8AE4ED09-9EA3-4A9A-8FED-A973C5F521C6}"/>
    <cellStyle name="Vírgula 2 2 2 4 2 7 2" xfId="20086" xr:uid="{CD1E9FA0-AB74-47E5-BE80-70307A2BCFF7}"/>
    <cellStyle name="Vírgula 2 2 2 4 2 7 2 2" xfId="45578" xr:uid="{70EE980A-37EC-4C98-B404-25C2FD8E3520}"/>
    <cellStyle name="Vírgula 2 2 2 4 2 7 3" xfId="32987" xr:uid="{77136546-3531-4DE5-8FC0-A84DB6FBF293}"/>
    <cellStyle name="Vírgula 2 2 2 4 2 8" xfId="13808" xr:uid="{F40A7085-3697-443A-8218-835F47624674}"/>
    <cellStyle name="Vírgula 2 2 2 4 2 8 2" xfId="39300" xr:uid="{03F193D0-92F5-46E5-B108-2E80967008F7}"/>
    <cellStyle name="Vírgula 2 2 2 4 2 9" xfId="26709" xr:uid="{C506F8F1-A6CC-4F4E-BAEB-46CF5F0B8603}"/>
    <cellStyle name="Vírgula 2 2 2 4 3" xfId="836" xr:uid="{1AE913C8-BF90-4506-B27C-B38E358DD011}"/>
    <cellStyle name="Vírgula 2 2 2 4 3 2" xfId="2143" xr:uid="{E6C1E260-4EB3-40D1-946F-847ADC6E2851}"/>
    <cellStyle name="Vírgula 2 2 2 4 3 2 2" xfId="5297" xr:uid="{46B3B51B-D5D1-4343-B480-FEAA02203863}"/>
    <cellStyle name="Vírgula 2 2 2 4 3 2 2 2" xfId="11590" xr:uid="{03ABDF97-C317-41AD-8B6B-B8EDA65D92FE}"/>
    <cellStyle name="Vírgula 2 2 2 4 3 2 2 2 2" xfId="24272" xr:uid="{006C86F0-5FBF-40B4-B657-420AF3180B4F}"/>
    <cellStyle name="Vírgula 2 2 2 4 3 2 2 2 2 2" xfId="49764" xr:uid="{73726027-556E-4CCE-A882-CCDA920A4A6E}"/>
    <cellStyle name="Vírgula 2 2 2 4 3 2 2 2 3" xfId="37173" xr:uid="{735A6C58-E7AB-489A-AD46-5770334FAFC0}"/>
    <cellStyle name="Vírgula 2 2 2 4 3 2 2 3" xfId="17994" xr:uid="{FB4A085D-6A8E-4E93-B4A8-C0058516821D}"/>
    <cellStyle name="Vírgula 2 2 2 4 3 2 2 3 2" xfId="43486" xr:uid="{6056218A-2A70-4F81-9AE2-E68B4ED45F5E}"/>
    <cellStyle name="Vírgula 2 2 2 4 3 2 2 4" xfId="30895" xr:uid="{F8C71994-5FD8-461B-BB6C-3EB782EB0684}"/>
    <cellStyle name="Vírgula 2 2 2 4 3 2 3" xfId="8451" xr:uid="{2A486CC7-B50C-4635-8203-37939DE91F07}"/>
    <cellStyle name="Vírgula 2 2 2 4 3 2 3 2" xfId="21133" xr:uid="{6872B922-6BF3-4409-B28C-73ECC9DAB727}"/>
    <cellStyle name="Vírgula 2 2 2 4 3 2 3 2 2" xfId="46625" xr:uid="{6CD7F88F-E785-4C94-9855-568544BC9C5D}"/>
    <cellStyle name="Vírgula 2 2 2 4 3 2 3 3" xfId="34034" xr:uid="{04E1BEEE-4C01-4F88-B730-A3CB8039397F}"/>
    <cellStyle name="Vírgula 2 2 2 4 3 2 4" xfId="14855" xr:uid="{CD262728-1860-4650-BC7B-FEA4569F60F8}"/>
    <cellStyle name="Vírgula 2 2 2 4 3 2 4 2" xfId="40347" xr:uid="{D3A1FB3C-F1B5-4742-BC01-05AD1EFC1402}"/>
    <cellStyle name="Vírgula 2 2 2 4 3 2 5" xfId="27756" xr:uid="{5AB5D64B-F4BB-4BF3-A4DB-EB513DBFB800}"/>
    <cellStyle name="Vírgula 2 2 2 4 3 3" xfId="3990" xr:uid="{2AA0D74D-6E74-4ED8-8C77-32AF79CA6FFF}"/>
    <cellStyle name="Vírgula 2 2 2 4 3 3 2" xfId="10283" xr:uid="{D54AA0C2-4FF7-4D19-A44C-71306B6E5030}"/>
    <cellStyle name="Vírgula 2 2 2 4 3 3 2 2" xfId="22965" xr:uid="{137508EC-D041-40AA-ABD5-7108308ED3F0}"/>
    <cellStyle name="Vírgula 2 2 2 4 3 3 2 2 2" xfId="48457" xr:uid="{748A7B41-2376-4F2D-949D-67C3F994A818}"/>
    <cellStyle name="Vírgula 2 2 2 4 3 3 2 3" xfId="35866" xr:uid="{F57B161D-A7A2-4CF8-8015-CE55A9EFF76E}"/>
    <cellStyle name="Vírgula 2 2 2 4 3 3 3" xfId="16687" xr:uid="{959F1110-AC9C-4EBE-BB4A-9450B7EB225C}"/>
    <cellStyle name="Vírgula 2 2 2 4 3 3 3 2" xfId="42179" xr:uid="{36C92956-F6EA-4E88-BA0B-581A3CF7FFCC}"/>
    <cellStyle name="Vírgula 2 2 2 4 3 3 4" xfId="29588" xr:uid="{E0CAC9C9-5F11-490C-AE4A-E9ED13913219}"/>
    <cellStyle name="Vírgula 2 2 2 4 3 4" xfId="7144" xr:uid="{CA03D9F9-076C-4DA7-8943-0994AD296473}"/>
    <cellStyle name="Vírgula 2 2 2 4 3 4 2" xfId="19826" xr:uid="{5A50FB86-6586-492B-B03E-5015531AC0F7}"/>
    <cellStyle name="Vírgula 2 2 2 4 3 4 2 2" xfId="45318" xr:uid="{8EC1D9BF-C5E2-42A6-8934-566A6E038EBA}"/>
    <cellStyle name="Vírgula 2 2 2 4 3 4 3" xfId="32727" xr:uid="{28D64ACA-7FDB-41D3-9F91-FF2C378107E2}"/>
    <cellStyle name="Vírgula 2 2 2 4 3 5" xfId="13548" xr:uid="{38A8D15F-2510-4FE6-8F21-D657EADD2B14}"/>
    <cellStyle name="Vírgula 2 2 2 4 3 5 2" xfId="39040" xr:uid="{2D956374-401B-48DE-B9A0-935D20F70106}"/>
    <cellStyle name="Vírgula 2 2 2 4 3 6" xfId="26449" xr:uid="{ECFD9AC8-59BD-4985-ADF8-A845C46D21A2}"/>
    <cellStyle name="Vírgula 2 2 2 4 4" xfId="1881" xr:uid="{CAC313B3-6B1D-4101-90FA-C43B6CBC0288}"/>
    <cellStyle name="Vírgula 2 2 2 4 4 2" xfId="5035" xr:uid="{0A3F61DF-CA0D-49CC-919A-7463DDEDF3C1}"/>
    <cellStyle name="Vírgula 2 2 2 4 4 2 2" xfId="11328" xr:uid="{2305A299-B306-4BFB-8944-D292A0EA84E9}"/>
    <cellStyle name="Vírgula 2 2 2 4 4 2 2 2" xfId="24010" xr:uid="{16F6199A-5E38-43DE-A496-E4FB43F486D2}"/>
    <cellStyle name="Vírgula 2 2 2 4 4 2 2 2 2" xfId="49502" xr:uid="{C2F38000-EC6A-4246-A345-A95DAA704049}"/>
    <cellStyle name="Vírgula 2 2 2 4 4 2 2 3" xfId="36911" xr:uid="{B02F6D45-420F-45C3-AEA9-8866EE99A5BD}"/>
    <cellStyle name="Vírgula 2 2 2 4 4 2 3" xfId="17732" xr:uid="{F049C993-D609-471C-9221-376093851B80}"/>
    <cellStyle name="Vírgula 2 2 2 4 4 2 3 2" xfId="43224" xr:uid="{21DCB2EB-0C41-41E5-8D98-BB1C76B333A4}"/>
    <cellStyle name="Vírgula 2 2 2 4 4 2 4" xfId="30633" xr:uid="{7073B368-B661-4A57-A53B-E6920E60A4AF}"/>
    <cellStyle name="Vírgula 2 2 2 4 4 3" xfId="8189" xr:uid="{77DB1D49-C0E3-4A97-942F-5C00D6EAD009}"/>
    <cellStyle name="Vírgula 2 2 2 4 4 3 2" xfId="20871" xr:uid="{45A49452-CF31-4131-8BBB-BF44DFF47CA8}"/>
    <cellStyle name="Vírgula 2 2 2 4 4 3 2 2" xfId="46363" xr:uid="{7EAA36E1-4EAB-48C4-971E-21B8D559FB39}"/>
    <cellStyle name="Vírgula 2 2 2 4 4 3 3" xfId="33772" xr:uid="{640DF17B-6322-4A40-BD60-871D7093192A}"/>
    <cellStyle name="Vírgula 2 2 2 4 4 4" xfId="14593" xr:uid="{45018966-42DA-4B55-8A6A-7A9EBC5AE75E}"/>
    <cellStyle name="Vírgula 2 2 2 4 4 4 2" xfId="40085" xr:uid="{457603DF-4DAE-4831-BA15-CDBC49C635C6}"/>
    <cellStyle name="Vírgula 2 2 2 4 4 5" xfId="27494" xr:uid="{5557C62B-DE1E-4801-9AB7-EA598F54CDBD}"/>
    <cellStyle name="Vírgula 2 2 2 4 5" xfId="1359" xr:uid="{1D263CE7-F086-4794-AFC7-832E030992BA}"/>
    <cellStyle name="Vírgula 2 2 2 4 5 2" xfId="4513" xr:uid="{81901DF3-1CFB-4727-AFBE-0FFF39B46BAA}"/>
    <cellStyle name="Vírgula 2 2 2 4 5 2 2" xfId="10806" xr:uid="{7BF1BFDA-85CA-4C20-B422-0D63F28B9E48}"/>
    <cellStyle name="Vírgula 2 2 2 4 5 2 2 2" xfId="23488" xr:uid="{B702D2C4-4215-441B-9737-F4A64FF3111B}"/>
    <cellStyle name="Vírgula 2 2 2 4 5 2 2 2 2" xfId="48980" xr:uid="{014321DE-52EA-4EA4-A295-9535A0542F5C}"/>
    <cellStyle name="Vírgula 2 2 2 4 5 2 2 3" xfId="36389" xr:uid="{7B9368A7-8830-4E95-BAC2-C965FA91A2BF}"/>
    <cellStyle name="Vírgula 2 2 2 4 5 2 3" xfId="17210" xr:uid="{8FA14862-4B9D-445D-A543-B9F008CAD95D}"/>
    <cellStyle name="Vírgula 2 2 2 4 5 2 3 2" xfId="42702" xr:uid="{EC658E78-443F-4A4B-876D-3512A2E91D70}"/>
    <cellStyle name="Vírgula 2 2 2 4 5 2 4" xfId="30111" xr:uid="{7116A8C6-5B97-4B67-9C9A-85B927809B77}"/>
    <cellStyle name="Vírgula 2 2 2 4 5 3" xfId="7667" xr:uid="{DBF0BD2D-F52C-4D18-898C-2EF5FD02997D}"/>
    <cellStyle name="Vírgula 2 2 2 4 5 3 2" xfId="20349" xr:uid="{A1FFFE7C-4A8A-4EC7-B306-A683B28FE3DA}"/>
    <cellStyle name="Vírgula 2 2 2 4 5 3 2 2" xfId="45841" xr:uid="{336F0F63-BFB1-4457-9A67-2B7E0AE5827A}"/>
    <cellStyle name="Vírgula 2 2 2 4 5 3 3" xfId="33250" xr:uid="{DFCE2E3C-82EC-4054-9757-198C3441CACA}"/>
    <cellStyle name="Vírgula 2 2 2 4 5 4" xfId="14071" xr:uid="{268E58D5-BBC8-43F1-8A28-8143A612E9D3}"/>
    <cellStyle name="Vírgula 2 2 2 4 5 4 2" xfId="39563" xr:uid="{C2C12F5C-6E92-4B0B-9896-10EB51524E78}"/>
    <cellStyle name="Vírgula 2 2 2 4 5 5" xfId="26972" xr:uid="{29C26841-2EA8-4E5B-B93D-5391A6FA981D}"/>
    <cellStyle name="Vírgula 2 2 2 4 6" xfId="2666" xr:uid="{411EFC13-0D96-460C-A588-B1F2D8AAF0CF}"/>
    <cellStyle name="Vírgula 2 2 2 4 6 2" xfId="5820" xr:uid="{39650048-8691-4DD6-B937-57BFE2CC11C8}"/>
    <cellStyle name="Vírgula 2 2 2 4 6 2 2" xfId="12113" xr:uid="{0AC30AD5-80AD-4EBF-8552-4CAF6CD29F2C}"/>
    <cellStyle name="Vírgula 2 2 2 4 6 2 2 2" xfId="24795" xr:uid="{4B4E81E2-64AC-4559-953D-98EE94EEF51D}"/>
    <cellStyle name="Vírgula 2 2 2 4 6 2 2 2 2" xfId="50287" xr:uid="{A5C583E6-F7F8-493A-A2B5-8E40B64D5393}"/>
    <cellStyle name="Vírgula 2 2 2 4 6 2 2 3" xfId="37696" xr:uid="{B72C060C-DEB1-44B3-AF83-59D803AA1FC3}"/>
    <cellStyle name="Vírgula 2 2 2 4 6 2 3" xfId="18517" xr:uid="{F6678D25-2215-4C4F-B2B5-CC87764B0365}"/>
    <cellStyle name="Vírgula 2 2 2 4 6 2 3 2" xfId="44009" xr:uid="{F4F0C882-4597-4462-9EBB-6AC6C68CCF2C}"/>
    <cellStyle name="Vírgula 2 2 2 4 6 2 4" xfId="31418" xr:uid="{4E9A96F7-1BA7-4ABB-A98F-F47B1853CB9C}"/>
    <cellStyle name="Vírgula 2 2 2 4 6 3" xfId="8974" xr:uid="{1660A5DA-2349-4353-85F5-D9C0C649DF70}"/>
    <cellStyle name="Vírgula 2 2 2 4 6 3 2" xfId="21656" xr:uid="{7EE1F9DF-C939-4609-BF26-71A8E285369E}"/>
    <cellStyle name="Vírgula 2 2 2 4 6 3 2 2" xfId="47148" xr:uid="{463D3E71-EB7B-49F8-8F88-A1A474E07440}"/>
    <cellStyle name="Vírgula 2 2 2 4 6 3 3" xfId="34557" xr:uid="{8C202BA5-83F1-4FD4-AB55-72A2EDEB831A}"/>
    <cellStyle name="Vírgula 2 2 2 4 6 4" xfId="15378" xr:uid="{D53E5AEA-B42B-45BC-9E08-A7CBD7F1BA09}"/>
    <cellStyle name="Vírgula 2 2 2 4 6 4 2" xfId="40870" xr:uid="{C9FBFF26-9650-4269-8C85-316AC7651317}"/>
    <cellStyle name="Vírgula 2 2 2 4 6 5" xfId="28279" xr:uid="{0FEE882F-AFAE-4B81-A231-98457112E6A8}"/>
    <cellStyle name="Vírgula 2 2 2 4 7" xfId="3189" xr:uid="{455466DC-4708-4B0C-A506-56082267EC15}"/>
    <cellStyle name="Vírgula 2 2 2 4 7 2" xfId="6343" xr:uid="{AF0670C4-4AFA-41B7-9D82-D24DA2C8B618}"/>
    <cellStyle name="Vírgula 2 2 2 4 7 2 2" xfId="12636" xr:uid="{2023427E-5B01-40A9-8C14-0A3C38CC014A}"/>
    <cellStyle name="Vírgula 2 2 2 4 7 2 2 2" xfId="25318" xr:uid="{2EE5C276-70F3-42DB-AAE7-DB29C539C9D3}"/>
    <cellStyle name="Vírgula 2 2 2 4 7 2 2 2 2" xfId="50810" xr:uid="{13A0F069-7458-4557-A3FF-90EECEFEFDE3}"/>
    <cellStyle name="Vírgula 2 2 2 4 7 2 2 3" xfId="38219" xr:uid="{5D8FD266-5BCA-44A9-ADF6-C16959D00A82}"/>
    <cellStyle name="Vírgula 2 2 2 4 7 2 3" xfId="19040" xr:uid="{91FB5443-CC5A-4D4B-B872-4FF9A879AFC7}"/>
    <cellStyle name="Vírgula 2 2 2 4 7 2 3 2" xfId="44532" xr:uid="{1048E68B-1914-4E8C-AA91-5DC101C6C554}"/>
    <cellStyle name="Vírgula 2 2 2 4 7 2 4" xfId="31941" xr:uid="{4AC6AC33-1DB9-4AE0-9374-9A1F9A3D83C5}"/>
    <cellStyle name="Vírgula 2 2 2 4 7 3" xfId="9497" xr:uid="{5D47A0A0-013B-4A1C-8AA4-6FF4D1DB0F87}"/>
    <cellStyle name="Vírgula 2 2 2 4 7 3 2" xfId="22179" xr:uid="{A936F2F7-431C-4D62-9268-5C89BCED06B9}"/>
    <cellStyle name="Vírgula 2 2 2 4 7 3 2 2" xfId="47671" xr:uid="{BDF84390-85CE-4219-859C-8496677E9F59}"/>
    <cellStyle name="Vírgula 2 2 2 4 7 3 3" xfId="35080" xr:uid="{0733BCC3-B63E-483C-99E6-6E7F4B4E8DBE}"/>
    <cellStyle name="Vírgula 2 2 2 4 7 4" xfId="15901" xr:uid="{5ED377F1-5321-478B-8B43-195464A728A2}"/>
    <cellStyle name="Vírgula 2 2 2 4 7 4 2" xfId="41393" xr:uid="{DC95F569-5A2B-4C63-BE31-09F2704471FD}"/>
    <cellStyle name="Vírgula 2 2 2 4 7 5" xfId="28802" xr:uid="{EB10F34B-515C-4AEC-B9A0-3A9C090276B8}"/>
    <cellStyle name="Vírgula 2 2 2 4 8" xfId="3728" xr:uid="{1E5FA0B8-22C6-498E-AFE3-4478E63BBC9C}"/>
    <cellStyle name="Vírgula 2 2 2 4 8 2" xfId="10021" xr:uid="{FC54188D-6A6E-406D-839C-FF7AFAFB31D7}"/>
    <cellStyle name="Vírgula 2 2 2 4 8 2 2" xfId="22703" xr:uid="{16118E40-0160-43FF-85A4-858463AA4078}"/>
    <cellStyle name="Vírgula 2 2 2 4 8 2 2 2" xfId="48195" xr:uid="{9BB47736-9A0E-4854-B499-332382EDD4EC}"/>
    <cellStyle name="Vírgula 2 2 2 4 8 2 3" xfId="35604" xr:uid="{3340218B-876F-45B4-A212-F420416F9EC8}"/>
    <cellStyle name="Vírgula 2 2 2 4 8 3" xfId="16425" xr:uid="{4349C978-235B-46A6-B116-945BDF005A02}"/>
    <cellStyle name="Vírgula 2 2 2 4 8 3 2" xfId="41917" xr:uid="{8BA50160-2A8C-49BD-907D-9D03CD8E75C9}"/>
    <cellStyle name="Vírgula 2 2 2 4 8 4" xfId="29326" xr:uid="{1217FF48-219A-4774-AAE9-5CC741DF5F8B}"/>
    <cellStyle name="Vírgula 2 2 2 4 9" xfId="6882" xr:uid="{08B2DD01-2CAF-4CEA-B46A-DB996136AB43}"/>
    <cellStyle name="Vírgula 2 2 2 4 9 2" xfId="19564" xr:uid="{E2638094-1D2D-44D7-9664-4CB5ED90620B}"/>
    <cellStyle name="Vírgula 2 2 2 4 9 2 2" xfId="45056" xr:uid="{2E14B640-69B6-4648-B3AB-52F5109626F6}"/>
    <cellStyle name="Vírgula 2 2 2 4 9 3" xfId="32465" xr:uid="{7A4D67F4-6A3C-402B-B6FE-7B4C23D0E015}"/>
    <cellStyle name="Vírgula 2 2 2 5" xfId="976" xr:uid="{3F82670E-6B31-493F-9A88-C016E729F67D}"/>
    <cellStyle name="Vírgula 2 2 2 5 2" xfId="2283" xr:uid="{DEB7E85D-9FE6-4F3F-9C33-62E46348EBB7}"/>
    <cellStyle name="Vírgula 2 2 2 5 2 2" xfId="5437" xr:uid="{A54238AB-C15E-4136-A90B-CCC5DB121019}"/>
    <cellStyle name="Vírgula 2 2 2 5 2 2 2" xfId="11730" xr:uid="{376B1689-D36F-47A5-A910-A4F07B6138FF}"/>
    <cellStyle name="Vírgula 2 2 2 5 2 2 2 2" xfId="24412" xr:uid="{FD43A8F8-A40F-4FC0-A552-6839DB739BE1}"/>
    <cellStyle name="Vírgula 2 2 2 5 2 2 2 2 2" xfId="49904" xr:uid="{E62FC699-E6A8-4245-B708-69D8353158B7}"/>
    <cellStyle name="Vírgula 2 2 2 5 2 2 2 3" xfId="37313" xr:uid="{759DFF7A-70C5-4876-AF0B-11CE860BC2D4}"/>
    <cellStyle name="Vírgula 2 2 2 5 2 2 3" xfId="18134" xr:uid="{7DE1F301-8AB3-4CEC-BA49-CB3EA8877466}"/>
    <cellStyle name="Vírgula 2 2 2 5 2 2 3 2" xfId="43626" xr:uid="{827BE1A2-611B-4A25-ADE3-97A762744953}"/>
    <cellStyle name="Vírgula 2 2 2 5 2 2 4" xfId="31035" xr:uid="{F88F352D-61F5-4A31-A560-E55A227F418D}"/>
    <cellStyle name="Vírgula 2 2 2 5 2 3" xfId="8591" xr:uid="{010856FC-F302-4362-9BD7-52C5DE697949}"/>
    <cellStyle name="Vírgula 2 2 2 5 2 3 2" xfId="21273" xr:uid="{B06808E2-C98A-407D-8789-77303E3F4369}"/>
    <cellStyle name="Vírgula 2 2 2 5 2 3 2 2" xfId="46765" xr:uid="{78A1D338-DB64-4541-86B4-15DC8E8A3C76}"/>
    <cellStyle name="Vírgula 2 2 2 5 2 3 3" xfId="34174" xr:uid="{B42E31B8-0F88-47DC-B7A8-C3125D696176}"/>
    <cellStyle name="Vírgula 2 2 2 5 2 4" xfId="14995" xr:uid="{D03192FF-7437-49D1-B2BC-969325E76400}"/>
    <cellStyle name="Vírgula 2 2 2 5 2 4 2" xfId="40487" xr:uid="{F6C8142A-01EE-46DA-82AA-C142B95E827C}"/>
    <cellStyle name="Vírgula 2 2 2 5 2 5" xfId="27896" xr:uid="{46540487-7A53-4E45-8767-7B372D77B985}"/>
    <cellStyle name="Vírgula 2 2 2 5 3" xfId="1500" xr:uid="{BD82A0DC-B1A4-4926-A9C0-2D67C3EBBAC8}"/>
    <cellStyle name="Vírgula 2 2 2 5 3 2" xfId="4654" xr:uid="{58A9D3AE-8FB7-4A53-B835-D7F2B7A38C99}"/>
    <cellStyle name="Vírgula 2 2 2 5 3 2 2" xfId="10947" xr:uid="{2E0E83EE-B42B-4DBE-92E1-46E97E677280}"/>
    <cellStyle name="Vírgula 2 2 2 5 3 2 2 2" xfId="23629" xr:uid="{ED7D36BF-B0D4-4845-BB28-06AD5A0D8355}"/>
    <cellStyle name="Vírgula 2 2 2 5 3 2 2 2 2" xfId="49121" xr:uid="{DCF4977A-4D5D-46F5-9D0B-2926FFF2E903}"/>
    <cellStyle name="Vírgula 2 2 2 5 3 2 2 3" xfId="36530" xr:uid="{BEEBDFE3-2B09-47B0-A817-F04B4228410C}"/>
    <cellStyle name="Vírgula 2 2 2 5 3 2 3" xfId="17351" xr:uid="{D55DA44B-CF33-4CE4-959E-83EA8AA57CC9}"/>
    <cellStyle name="Vírgula 2 2 2 5 3 2 3 2" xfId="42843" xr:uid="{EDE01729-E93C-46E8-BFB5-0FF8D4ADC33E}"/>
    <cellStyle name="Vírgula 2 2 2 5 3 2 4" xfId="30252" xr:uid="{C4C9BA02-2333-40B9-A381-440FC391D6F5}"/>
    <cellStyle name="Vírgula 2 2 2 5 3 3" xfId="7808" xr:uid="{6E0FB81F-FA41-4B6A-8253-90C5E51313CB}"/>
    <cellStyle name="Vírgula 2 2 2 5 3 3 2" xfId="20490" xr:uid="{B9DB8179-17F5-4299-9C30-D503A1F59C86}"/>
    <cellStyle name="Vírgula 2 2 2 5 3 3 2 2" xfId="45982" xr:uid="{CF348D50-5C1A-459C-8657-B6F5A9B0512A}"/>
    <cellStyle name="Vírgula 2 2 2 5 3 3 3" xfId="33391" xr:uid="{0C855080-2189-47EA-B7D3-733A05EF05CF}"/>
    <cellStyle name="Vírgula 2 2 2 5 3 4" xfId="14212" xr:uid="{9F77E42F-3C39-4564-B022-E253266B475B}"/>
    <cellStyle name="Vírgula 2 2 2 5 3 4 2" xfId="39704" xr:uid="{EAC08D26-75BC-4A3A-97F1-60DF485996E9}"/>
    <cellStyle name="Vírgula 2 2 2 5 3 5" xfId="27113" xr:uid="{778476A9-D811-41E5-8FFA-18AAD0A69887}"/>
    <cellStyle name="Vírgula 2 2 2 5 4" xfId="2807" xr:uid="{5DCED10C-E53C-4AA8-A78D-46F2560E1A2A}"/>
    <cellStyle name="Vírgula 2 2 2 5 4 2" xfId="5961" xr:uid="{10DF8649-D2B4-4ACC-8F1D-F30F2A9D872E}"/>
    <cellStyle name="Vírgula 2 2 2 5 4 2 2" xfId="12254" xr:uid="{4F6D4B1F-A762-4BEA-BD60-6F0C8FA82607}"/>
    <cellStyle name="Vírgula 2 2 2 5 4 2 2 2" xfId="24936" xr:uid="{59AEB345-AC5C-49AD-ACF3-0C06D3536126}"/>
    <cellStyle name="Vírgula 2 2 2 5 4 2 2 2 2" xfId="50428" xr:uid="{DF8D3997-BD40-4643-88E9-385C6AFD3E29}"/>
    <cellStyle name="Vírgula 2 2 2 5 4 2 2 3" xfId="37837" xr:uid="{C4737CD4-1EB8-4B91-9BDC-14B6BB91241D}"/>
    <cellStyle name="Vírgula 2 2 2 5 4 2 3" xfId="18658" xr:uid="{9F1DAE1E-4001-47C4-BE0B-D7A374D833C2}"/>
    <cellStyle name="Vírgula 2 2 2 5 4 2 3 2" xfId="44150" xr:uid="{CB072C07-1134-4811-93CF-7BBBC4F14B00}"/>
    <cellStyle name="Vírgula 2 2 2 5 4 2 4" xfId="31559" xr:uid="{050BDD99-58C1-434B-AFB1-F98E954DE98D}"/>
    <cellStyle name="Vírgula 2 2 2 5 4 3" xfId="9115" xr:uid="{606F36D1-F651-4D49-805F-B4F7460CC00F}"/>
    <cellStyle name="Vírgula 2 2 2 5 4 3 2" xfId="21797" xr:uid="{A616BCD5-B51F-46C3-99A0-2AB0342615AC}"/>
    <cellStyle name="Vírgula 2 2 2 5 4 3 2 2" xfId="47289" xr:uid="{4C55F31B-35AF-49B5-9481-C0BFAD1BFC3E}"/>
    <cellStyle name="Vírgula 2 2 2 5 4 3 3" xfId="34698" xr:uid="{B69BE0C7-9BFD-4001-9941-A02A33019EE6}"/>
    <cellStyle name="Vírgula 2 2 2 5 4 4" xfId="15519" xr:uid="{A3566F68-D01F-4145-B998-2C2FA643E9C5}"/>
    <cellStyle name="Vírgula 2 2 2 5 4 4 2" xfId="41011" xr:uid="{7CB844D5-117D-4E06-8A60-3685B604FB59}"/>
    <cellStyle name="Vírgula 2 2 2 5 4 5" xfId="28420" xr:uid="{3B14639F-92FA-4F23-810E-45C38A987F7A}"/>
    <cellStyle name="Vírgula 2 2 2 5 5" xfId="3330" xr:uid="{1051D715-BA54-4A6E-85DC-6D9712F4DE0A}"/>
    <cellStyle name="Vírgula 2 2 2 5 5 2" xfId="6484" xr:uid="{C2BCFCC6-1086-432E-A9ED-7A441E831EC2}"/>
    <cellStyle name="Vírgula 2 2 2 5 5 2 2" xfId="12777" xr:uid="{5B5F1876-B028-46F1-9A32-AF5CACC3EBBD}"/>
    <cellStyle name="Vírgula 2 2 2 5 5 2 2 2" xfId="25459" xr:uid="{D5F7CF34-D50C-4C52-A182-2D738E76EF29}"/>
    <cellStyle name="Vírgula 2 2 2 5 5 2 2 2 2" xfId="50951" xr:uid="{EE150D5E-7E6C-44FC-BAB9-B1B0F652BE7B}"/>
    <cellStyle name="Vírgula 2 2 2 5 5 2 2 3" xfId="38360" xr:uid="{1972EB1B-2BEF-42F7-9CB7-2AC48D25FCE2}"/>
    <cellStyle name="Vírgula 2 2 2 5 5 2 3" xfId="19181" xr:uid="{9E6E00F1-25F0-400B-ABC7-C3F6C370231A}"/>
    <cellStyle name="Vírgula 2 2 2 5 5 2 3 2" xfId="44673" xr:uid="{56C04A4F-3347-459C-8341-37665411A022}"/>
    <cellStyle name="Vírgula 2 2 2 5 5 2 4" xfId="32082" xr:uid="{B2B26A74-C5F6-436B-890B-BAA47BF113CA}"/>
    <cellStyle name="Vírgula 2 2 2 5 5 3" xfId="9638" xr:uid="{600497BE-0409-4635-83C6-824E0281D395}"/>
    <cellStyle name="Vírgula 2 2 2 5 5 3 2" xfId="22320" xr:uid="{EE2B68DE-761C-4F03-8876-14425F5C14FB}"/>
    <cellStyle name="Vírgula 2 2 2 5 5 3 2 2" xfId="47812" xr:uid="{5ADC4CD3-7110-4751-BBEF-28EEA8FD76DF}"/>
    <cellStyle name="Vírgula 2 2 2 5 5 3 3" xfId="35221" xr:uid="{8351FE3F-776D-48DE-A51D-E9AA0C8C901A}"/>
    <cellStyle name="Vírgula 2 2 2 5 5 4" xfId="16042" xr:uid="{8DDC0A36-8309-47FD-8701-BCC47CCFA6DD}"/>
    <cellStyle name="Vírgula 2 2 2 5 5 4 2" xfId="41534" xr:uid="{2939B984-48EA-45D7-B1A4-DC73425C27E6}"/>
    <cellStyle name="Vírgula 2 2 2 5 5 5" xfId="28943" xr:uid="{BDF88403-6BF4-4788-A085-31B2350FA963}"/>
    <cellStyle name="Vírgula 2 2 2 5 6" xfId="4130" xr:uid="{FBA00E48-6C36-47C3-BF13-664560322BB1}"/>
    <cellStyle name="Vírgula 2 2 2 5 6 2" xfId="10423" xr:uid="{D843E279-138D-423E-B15C-C916C0511229}"/>
    <cellStyle name="Vírgula 2 2 2 5 6 2 2" xfId="23105" xr:uid="{91558354-0D89-4DD6-B3D2-442ACED15AB1}"/>
    <cellStyle name="Vírgula 2 2 2 5 6 2 2 2" xfId="48597" xr:uid="{D8D72BDE-1CC2-428B-828D-81B105ED8976}"/>
    <cellStyle name="Vírgula 2 2 2 5 6 2 3" xfId="36006" xr:uid="{9D5395E1-5D57-4794-9D0F-F15FFB5F357F}"/>
    <cellStyle name="Vírgula 2 2 2 5 6 3" xfId="16827" xr:uid="{0C42FC92-E5BF-468D-A5F4-636F0C6ABCD0}"/>
    <cellStyle name="Vírgula 2 2 2 5 6 3 2" xfId="42319" xr:uid="{419C630E-C089-4C2C-95CC-12F0399A295F}"/>
    <cellStyle name="Vírgula 2 2 2 5 6 4" xfId="29728" xr:uid="{929B87B3-AEA5-4B5D-8467-80AFC004357B}"/>
    <cellStyle name="Vírgula 2 2 2 5 7" xfId="7284" xr:uid="{97EC0AAA-0EB7-41DA-A1FF-90FF3F782CC6}"/>
    <cellStyle name="Vírgula 2 2 2 5 7 2" xfId="19966" xr:uid="{4DEBC5E1-D332-4DDA-95CE-141512E8B1BD}"/>
    <cellStyle name="Vírgula 2 2 2 5 7 2 2" xfId="45458" xr:uid="{79D7790E-FFFC-4F09-9002-8AFB5D2BF832}"/>
    <cellStyle name="Vírgula 2 2 2 5 7 3" xfId="32867" xr:uid="{E206459A-A105-4B00-949E-D3D4CA266674}"/>
    <cellStyle name="Vírgula 2 2 2 5 8" xfId="13688" xr:uid="{0F435968-F27D-43F2-B5D5-809D778B03EB}"/>
    <cellStyle name="Vírgula 2 2 2 5 8 2" xfId="39180" xr:uid="{98E1F66B-8DE7-42A2-8187-4CDB7E00BF81}"/>
    <cellStyle name="Vírgula 2 2 2 5 9" xfId="26589" xr:uid="{58D4E374-60D9-420B-B567-EA784B219CF5}"/>
    <cellStyle name="Vírgula 2 2 2 6" xfId="716" xr:uid="{40A507F4-896C-4CDA-8EAF-00C01C64218F}"/>
    <cellStyle name="Vírgula 2 2 2 6 2" xfId="2023" xr:uid="{67B7586A-72E2-4E02-B987-28CDC26F1F39}"/>
    <cellStyle name="Vírgula 2 2 2 6 2 2" xfId="5177" xr:uid="{FB2905E1-66F4-4F4F-94E0-39028F55C85D}"/>
    <cellStyle name="Vírgula 2 2 2 6 2 2 2" xfId="11470" xr:uid="{554D9630-BAB2-4955-9567-0130B5800A24}"/>
    <cellStyle name="Vírgula 2 2 2 6 2 2 2 2" xfId="24152" xr:uid="{856C2E2C-5342-4E60-AF27-FA3E3A12CF2A}"/>
    <cellStyle name="Vírgula 2 2 2 6 2 2 2 2 2" xfId="49644" xr:uid="{A59D8C22-D454-4960-B556-E1905101EB4E}"/>
    <cellStyle name="Vírgula 2 2 2 6 2 2 2 3" xfId="37053" xr:uid="{7054F06D-EA1C-4007-812F-350416338DB0}"/>
    <cellStyle name="Vírgula 2 2 2 6 2 2 3" xfId="17874" xr:uid="{D3647E83-73C7-4608-8ACE-74B175DA928B}"/>
    <cellStyle name="Vírgula 2 2 2 6 2 2 3 2" xfId="43366" xr:uid="{DF7E0EA7-E601-4763-9146-C7B1FD84F1CF}"/>
    <cellStyle name="Vírgula 2 2 2 6 2 2 4" xfId="30775" xr:uid="{39803186-DA9B-4422-BCFA-925FB6DB9AA9}"/>
    <cellStyle name="Vírgula 2 2 2 6 2 3" xfId="8331" xr:uid="{0106DE28-26D7-4B40-8520-5C288AB47A91}"/>
    <cellStyle name="Vírgula 2 2 2 6 2 3 2" xfId="21013" xr:uid="{2B41F5D2-5509-4464-BB96-72C896304AA4}"/>
    <cellStyle name="Vírgula 2 2 2 6 2 3 2 2" xfId="46505" xr:uid="{42BDBA1A-E94C-4A77-BA23-C056EED48BF4}"/>
    <cellStyle name="Vírgula 2 2 2 6 2 3 3" xfId="33914" xr:uid="{E5DE7E2D-1BDA-4508-B8D5-90ECB35CFB50}"/>
    <cellStyle name="Vírgula 2 2 2 6 2 4" xfId="14735" xr:uid="{1738E1FA-53F0-4A0D-9399-A493218D91A4}"/>
    <cellStyle name="Vírgula 2 2 2 6 2 4 2" xfId="40227" xr:uid="{8E4ECDA1-6992-4D0F-95E1-126A3EB7FE34}"/>
    <cellStyle name="Vírgula 2 2 2 6 2 5" xfId="27636" xr:uid="{4DE9E60F-C0B8-4CF1-AC03-0A922897EABB}"/>
    <cellStyle name="Vírgula 2 2 2 6 3" xfId="3870" xr:uid="{CD562E4D-4B76-4DF6-A3C9-8771F43CFD68}"/>
    <cellStyle name="Vírgula 2 2 2 6 3 2" xfId="10163" xr:uid="{B1EF1CE6-5E94-41C2-9A82-22BABD765B77}"/>
    <cellStyle name="Vírgula 2 2 2 6 3 2 2" xfId="22845" xr:uid="{587155CC-2B79-4C62-B8D1-D842071A4AEF}"/>
    <cellStyle name="Vírgula 2 2 2 6 3 2 2 2" xfId="48337" xr:uid="{E7371EDA-C8F7-4151-914D-D181B90BD591}"/>
    <cellStyle name="Vírgula 2 2 2 6 3 2 3" xfId="35746" xr:uid="{80575C4B-FBFC-476A-8BE9-DB1EC8AB419A}"/>
    <cellStyle name="Vírgula 2 2 2 6 3 3" xfId="16567" xr:uid="{AA973209-4F83-46A9-8A5B-16EFF0624A8E}"/>
    <cellStyle name="Vírgula 2 2 2 6 3 3 2" xfId="42059" xr:uid="{2D9B57C9-CED4-4A5C-8A42-D1DCCE0A7843}"/>
    <cellStyle name="Vírgula 2 2 2 6 3 4" xfId="29468" xr:uid="{0CEE8896-A40B-44EA-8C27-B6A61903D856}"/>
    <cellStyle name="Vírgula 2 2 2 6 4" xfId="7024" xr:uid="{02C9F9B3-CF79-4956-8EA1-49EE9426CE74}"/>
    <cellStyle name="Vírgula 2 2 2 6 4 2" xfId="19706" xr:uid="{6B70BEE7-9FCC-45C3-9886-A178FEE69319}"/>
    <cellStyle name="Vírgula 2 2 2 6 4 2 2" xfId="45198" xr:uid="{6C9939C6-9872-47B5-AEB1-0DF6D7973BE7}"/>
    <cellStyle name="Vírgula 2 2 2 6 4 3" xfId="32607" xr:uid="{0F708766-35D0-46ED-B8C5-532DE98AD527}"/>
    <cellStyle name="Vírgula 2 2 2 6 5" xfId="13428" xr:uid="{2DB70742-DD8A-410B-BCB0-76D7FB8C413A}"/>
    <cellStyle name="Vírgula 2 2 2 6 5 2" xfId="38920" xr:uid="{D4E73554-6A3A-4B26-A5BF-40402DDB1701}"/>
    <cellStyle name="Vírgula 2 2 2 6 6" xfId="26329" xr:uid="{36BC80E2-E978-4093-9060-5DBC2E8A3345}"/>
    <cellStyle name="Vírgula 2 2 2 7" xfId="1761" xr:uid="{403254F6-3E73-41A4-AE08-2163252099B5}"/>
    <cellStyle name="Vírgula 2 2 2 7 2" xfId="4915" xr:uid="{D9F98A59-69C5-4C4D-B5A7-68FD6B098705}"/>
    <cellStyle name="Vírgula 2 2 2 7 2 2" xfId="11208" xr:uid="{A7C6E42B-AB0A-4519-BE23-2A2EC27C3005}"/>
    <cellStyle name="Vírgula 2 2 2 7 2 2 2" xfId="23890" xr:uid="{5C55F760-6342-4678-A1BD-9697F9A2E313}"/>
    <cellStyle name="Vírgula 2 2 2 7 2 2 2 2" xfId="49382" xr:uid="{497296F4-343D-4A69-82AC-8EE284E0B0AD}"/>
    <cellStyle name="Vírgula 2 2 2 7 2 2 3" xfId="36791" xr:uid="{F862D39C-EC1B-4A4F-A868-9AA10B5704E2}"/>
    <cellStyle name="Vírgula 2 2 2 7 2 3" xfId="17612" xr:uid="{938F3027-3F6D-48D6-AA7D-F212CB417F46}"/>
    <cellStyle name="Vírgula 2 2 2 7 2 3 2" xfId="43104" xr:uid="{1CBCCE8D-4E23-4422-90FA-001B9B8FB05F}"/>
    <cellStyle name="Vírgula 2 2 2 7 2 4" xfId="30513" xr:uid="{864DE0DD-B779-4B44-9D29-55B17F06D0B0}"/>
    <cellStyle name="Vírgula 2 2 2 7 3" xfId="8069" xr:uid="{D2948980-9833-4E7A-9F60-AD93AC6A8A55}"/>
    <cellStyle name="Vírgula 2 2 2 7 3 2" xfId="20751" xr:uid="{4FA9AA35-3D2E-4A6B-B24C-6FCCA89FC6E8}"/>
    <cellStyle name="Vírgula 2 2 2 7 3 2 2" xfId="46243" xr:uid="{86444FAA-CD6C-4E38-BD9C-F1D55DEF6031}"/>
    <cellStyle name="Vírgula 2 2 2 7 3 3" xfId="33652" xr:uid="{6D8C7C94-E788-454A-A702-CBBD9F0CA220}"/>
    <cellStyle name="Vírgula 2 2 2 7 4" xfId="14473" xr:uid="{555A4DAB-94FB-4CBB-AF17-CEEECC7CA5B7}"/>
    <cellStyle name="Vírgula 2 2 2 7 4 2" xfId="39965" xr:uid="{9754BEBD-47B6-4925-9FC9-D125A35360E6}"/>
    <cellStyle name="Vírgula 2 2 2 7 5" xfId="27374" xr:uid="{17876BDD-3744-49D1-B376-A1035A2B497F}"/>
    <cellStyle name="Vírgula 2 2 2 8" xfId="1239" xr:uid="{1F75F26B-5027-419A-91F0-436AABC5D8CA}"/>
    <cellStyle name="Vírgula 2 2 2 8 2" xfId="4393" xr:uid="{C25A564F-FCF5-4E45-ADE1-174F6FEE8839}"/>
    <cellStyle name="Vírgula 2 2 2 8 2 2" xfId="10686" xr:uid="{4465EA54-AEFD-434F-96A4-C99F18B8B124}"/>
    <cellStyle name="Vírgula 2 2 2 8 2 2 2" xfId="23368" xr:uid="{DD97421E-C569-44E1-835A-00F1A3B537A4}"/>
    <cellStyle name="Vírgula 2 2 2 8 2 2 2 2" xfId="48860" xr:uid="{16D02AB2-ABEA-4E88-9609-348C5A51E9BF}"/>
    <cellStyle name="Vírgula 2 2 2 8 2 2 3" xfId="36269" xr:uid="{A8330D22-F292-4633-823B-DF463C24383E}"/>
    <cellStyle name="Vírgula 2 2 2 8 2 3" xfId="17090" xr:uid="{6EB0A452-5C33-4F72-A7CD-46FF1A0E4917}"/>
    <cellStyle name="Vírgula 2 2 2 8 2 3 2" xfId="42582" xr:uid="{BCC32943-D834-4EE6-AB4D-6EEA6335888E}"/>
    <cellStyle name="Vírgula 2 2 2 8 2 4" xfId="29991" xr:uid="{74AF30CB-88C3-4220-8032-A697D610EC55}"/>
    <cellStyle name="Vírgula 2 2 2 8 3" xfId="7547" xr:uid="{4E421FB1-D0BF-4DC7-B44B-BC687E6003EA}"/>
    <cellStyle name="Vírgula 2 2 2 8 3 2" xfId="20229" xr:uid="{B0CCC26D-DA3B-44A9-A39F-A191C3353135}"/>
    <cellStyle name="Vírgula 2 2 2 8 3 2 2" xfId="45721" xr:uid="{BE85D6F6-8FE1-4305-BE4F-9B97D34010F8}"/>
    <cellStyle name="Vírgula 2 2 2 8 3 3" xfId="33130" xr:uid="{64FB517F-C3F1-4EE6-B46B-4B0E9A0ECC21}"/>
    <cellStyle name="Vírgula 2 2 2 8 4" xfId="13951" xr:uid="{99F687DD-0162-4BB9-83B5-2C8FD3D4107B}"/>
    <cellStyle name="Vírgula 2 2 2 8 4 2" xfId="39443" xr:uid="{463065FC-ED8E-462C-90FC-E5E9A48AF198}"/>
    <cellStyle name="Vírgula 2 2 2 8 5" xfId="26852" xr:uid="{BF342AFB-09F8-4636-9F45-64EE6C4C874B}"/>
    <cellStyle name="Vírgula 2 2 2 9" xfId="2546" xr:uid="{F6043520-130B-4F24-971B-0B6790B5B497}"/>
    <cellStyle name="Vírgula 2 2 2 9 2" xfId="5700" xr:uid="{1A8388A2-0F03-433D-9F11-FF2CEDEC9F66}"/>
    <cellStyle name="Vírgula 2 2 2 9 2 2" xfId="11993" xr:uid="{95BE7D29-AAF2-4B60-A00C-DBD580C6F926}"/>
    <cellStyle name="Vírgula 2 2 2 9 2 2 2" xfId="24675" xr:uid="{1E781D02-CF01-4C03-842C-E982E5DD3B43}"/>
    <cellStyle name="Vírgula 2 2 2 9 2 2 2 2" xfId="50167" xr:uid="{535A3A0B-D896-4ABF-8609-D47D3AEE534C}"/>
    <cellStyle name="Vírgula 2 2 2 9 2 2 3" xfId="37576" xr:uid="{2F531C8F-8E7E-4A27-8DCA-6E1B22CC92B9}"/>
    <cellStyle name="Vírgula 2 2 2 9 2 3" xfId="18397" xr:uid="{255002AF-F58E-4BCC-98EE-423E893FA1DB}"/>
    <cellStyle name="Vírgula 2 2 2 9 2 3 2" xfId="43889" xr:uid="{EC2985AF-6FEE-4AD5-B5BA-CAEE151AB382}"/>
    <cellStyle name="Vírgula 2 2 2 9 2 4" xfId="31298" xr:uid="{A4FD5684-551C-4D6B-A04E-2C5C7241E1FC}"/>
    <cellStyle name="Vírgula 2 2 2 9 3" xfId="8854" xr:uid="{703CE60C-AC5F-49B8-A3A7-2076B0409A0E}"/>
    <cellStyle name="Vírgula 2 2 2 9 3 2" xfId="21536" xr:uid="{2E686EB0-8029-467C-BBB7-C1A6D88BAA85}"/>
    <cellStyle name="Vírgula 2 2 2 9 3 2 2" xfId="47028" xr:uid="{9B6F6036-C5AE-496B-AAF6-26D96A776A43}"/>
    <cellStyle name="Vírgula 2 2 2 9 3 3" xfId="34437" xr:uid="{87D81D90-8D29-4562-88F9-82EA8333ED8B}"/>
    <cellStyle name="Vírgula 2 2 2 9 4" xfId="15258" xr:uid="{3EC0118C-9DCE-45CF-8E48-362ABB24EF92}"/>
    <cellStyle name="Vírgula 2 2 2 9 4 2" xfId="40750" xr:uid="{A7037FA5-1407-4A0C-B4E6-20D331F712A4}"/>
    <cellStyle name="Vírgula 2 2 2 9 5" xfId="28159" xr:uid="{0AA410C2-0E91-4CC6-9E20-7E5F6041C949}"/>
    <cellStyle name="Vírgula 2 2 3" xfId="480" xr:uid="{84B3EA65-4AC9-4D76-B1F6-ACE6E88D9A0D}"/>
    <cellStyle name="Vírgula 2 2 3 10" xfId="3649" xr:uid="{9ED426A0-F9BE-4202-A5F6-69201F413818}"/>
    <cellStyle name="Vírgula 2 2 3 10 2" xfId="9942" xr:uid="{731371EB-8711-44D5-89DB-738EA029F8B3}"/>
    <cellStyle name="Vírgula 2 2 3 10 2 2" xfId="22624" xr:uid="{720E400D-36C8-4925-AB69-DC399B40DF69}"/>
    <cellStyle name="Vírgula 2 2 3 10 2 2 2" xfId="48116" xr:uid="{82ACCF6D-6B91-4AFD-85B3-B08FA91EFD8F}"/>
    <cellStyle name="Vírgula 2 2 3 10 2 3" xfId="35525" xr:uid="{EA9F6D0E-C50E-4CFE-8827-1B17880CF0CC}"/>
    <cellStyle name="Vírgula 2 2 3 10 3" xfId="16346" xr:uid="{F2CDB31D-B15C-4FA7-A7CE-9C4DF37852D3}"/>
    <cellStyle name="Vírgula 2 2 3 10 3 2" xfId="41838" xr:uid="{99743098-FA8C-4AA9-8CD9-CC8C435D4414}"/>
    <cellStyle name="Vírgula 2 2 3 10 4" xfId="29247" xr:uid="{9F08EFEF-6C71-445C-8C5C-1E17B4E104C8}"/>
    <cellStyle name="Vírgula 2 2 3 11" xfId="6803" xr:uid="{86CFF589-CDBD-41BD-BFC3-EA703393637B}"/>
    <cellStyle name="Vírgula 2 2 3 11 2" xfId="19485" xr:uid="{789497B5-2945-43FE-95D4-5F1CF6D73468}"/>
    <cellStyle name="Vírgula 2 2 3 11 2 2" xfId="44977" xr:uid="{6501371C-2FE3-4AD2-AC45-501C36F70F55}"/>
    <cellStyle name="Vírgula 2 2 3 11 3" xfId="32386" xr:uid="{47F8B1FA-80FB-441C-9967-581315AB171A}"/>
    <cellStyle name="Vírgula 2 2 3 12" xfId="13207" xr:uid="{439402CA-4787-49A9-9DA5-DE9BC33ECDC7}"/>
    <cellStyle name="Vírgula 2 2 3 12 2" xfId="38699" xr:uid="{BF837D45-D3ED-42BF-AA99-7E345517EF63}"/>
    <cellStyle name="Vírgula 2 2 3 13" xfId="26108" xr:uid="{5C3409CA-DFED-4B56-8559-BE2A5D4C0685}"/>
    <cellStyle name="Vírgula 2 2 3 2" xfId="639" xr:uid="{A29D5A13-6598-453A-942E-AD6D61F6EC5C}"/>
    <cellStyle name="Vírgula 2 2 3 2 10" xfId="13366" xr:uid="{A05C22AD-F8A5-4D8A-8B8C-181CC19E53BF}"/>
    <cellStyle name="Vírgula 2 2 3 2 10 2" xfId="38858" xr:uid="{23F2BD70-1097-4D63-8F76-29203218A52B}"/>
    <cellStyle name="Vírgula 2 2 3 2 11" xfId="26267" xr:uid="{A67EF06A-FEEC-49D8-9FDC-58B76A1F3B3E}"/>
    <cellStyle name="Vírgula 2 2 3 2 2" xfId="1176" xr:uid="{51E1B61F-7898-4A94-BA29-A5CFDB47FCCC}"/>
    <cellStyle name="Vírgula 2 2 3 2 2 2" xfId="2483" xr:uid="{0551E725-FF01-4D1E-8099-A1DEC7841259}"/>
    <cellStyle name="Vírgula 2 2 3 2 2 2 2" xfId="5637" xr:uid="{01C855F2-CEA6-48B2-A05D-6E8D17CCB6D3}"/>
    <cellStyle name="Vírgula 2 2 3 2 2 2 2 2" xfId="11930" xr:uid="{C4F4FAFF-17E5-44B6-81E4-77D61BD7DD39}"/>
    <cellStyle name="Vírgula 2 2 3 2 2 2 2 2 2" xfId="24612" xr:uid="{685591DC-B66B-40AA-863C-D9B71E85E883}"/>
    <cellStyle name="Vírgula 2 2 3 2 2 2 2 2 2 2" xfId="50104" xr:uid="{1CD282E0-22E3-4F31-A870-BDA9E0160572}"/>
    <cellStyle name="Vírgula 2 2 3 2 2 2 2 2 3" xfId="37513" xr:uid="{6BF8790A-7A67-4625-8192-4ADB617F5207}"/>
    <cellStyle name="Vírgula 2 2 3 2 2 2 2 3" xfId="18334" xr:uid="{6323F4D1-B80B-43E7-BB91-CF00E7644B1C}"/>
    <cellStyle name="Vírgula 2 2 3 2 2 2 2 3 2" xfId="43826" xr:uid="{CAAED7E5-1B1A-4FCE-A305-5A7DC7713CFF}"/>
    <cellStyle name="Vírgula 2 2 3 2 2 2 2 4" xfId="31235" xr:uid="{851D800B-2036-4331-8141-2FDEFB3311F4}"/>
    <cellStyle name="Vírgula 2 2 3 2 2 2 3" xfId="8791" xr:uid="{EED9675C-5000-42AC-A538-AE047CE209CC}"/>
    <cellStyle name="Vírgula 2 2 3 2 2 2 3 2" xfId="21473" xr:uid="{1167CC74-BA8E-462B-977F-ABF6D7C24903}"/>
    <cellStyle name="Vírgula 2 2 3 2 2 2 3 2 2" xfId="46965" xr:uid="{08C6620D-8B52-45CB-9F59-9B9C600F416E}"/>
    <cellStyle name="Vírgula 2 2 3 2 2 2 3 3" xfId="34374" xr:uid="{5C3F4CBD-14EC-4E94-99AB-6A5D2D9B5026}"/>
    <cellStyle name="Vírgula 2 2 3 2 2 2 4" xfId="15195" xr:uid="{5C32E28F-34CB-4242-9C3C-608D6E5164CE}"/>
    <cellStyle name="Vírgula 2 2 3 2 2 2 4 2" xfId="40687" xr:uid="{71ED9FF3-5F6C-4F94-BEE4-DC0D218324B2}"/>
    <cellStyle name="Vírgula 2 2 3 2 2 2 5" xfId="28096" xr:uid="{B110ED66-B74C-40B5-96FE-B97098D3FDDA}"/>
    <cellStyle name="Vírgula 2 2 3 2 2 3" xfId="1700" xr:uid="{95F6991C-1357-48E4-B20D-EB6A54E48347}"/>
    <cellStyle name="Vírgula 2 2 3 2 2 3 2" xfId="4854" xr:uid="{A6676235-49B2-4FE5-9037-AA770B4A80CE}"/>
    <cellStyle name="Vírgula 2 2 3 2 2 3 2 2" xfId="11147" xr:uid="{3CE048B0-E089-4536-8F8A-A936D3523EEB}"/>
    <cellStyle name="Vírgula 2 2 3 2 2 3 2 2 2" xfId="23829" xr:uid="{4C9A32C4-0C04-43CB-BB7A-A73457710D9E}"/>
    <cellStyle name="Vírgula 2 2 3 2 2 3 2 2 2 2" xfId="49321" xr:uid="{47775479-677F-434B-9EBD-7C6A4CC36D7D}"/>
    <cellStyle name="Vírgula 2 2 3 2 2 3 2 2 3" xfId="36730" xr:uid="{6947B4CF-8BC5-438A-B0BF-13A1E104C0DE}"/>
    <cellStyle name="Vírgula 2 2 3 2 2 3 2 3" xfId="17551" xr:uid="{74E1E403-4BB2-4BC9-855F-1ECBCFF0EB43}"/>
    <cellStyle name="Vírgula 2 2 3 2 2 3 2 3 2" xfId="43043" xr:uid="{67E56FA0-6C6B-4813-B38B-F1D4673BDC6A}"/>
    <cellStyle name="Vírgula 2 2 3 2 2 3 2 4" xfId="30452" xr:uid="{A8AFE64A-5DB9-41B3-8B35-F9B932869C77}"/>
    <cellStyle name="Vírgula 2 2 3 2 2 3 3" xfId="8008" xr:uid="{189D9D2E-EECE-43F9-B535-3F2B206DEDA7}"/>
    <cellStyle name="Vírgula 2 2 3 2 2 3 3 2" xfId="20690" xr:uid="{B1E71B1B-5BD8-4A5E-AE32-8562866D7EA8}"/>
    <cellStyle name="Vírgula 2 2 3 2 2 3 3 2 2" xfId="46182" xr:uid="{21E6B651-2419-4292-9F6A-C26EB5F0E66A}"/>
    <cellStyle name="Vírgula 2 2 3 2 2 3 3 3" xfId="33591" xr:uid="{61320ED1-0091-4C62-9148-01A708CAAF3A}"/>
    <cellStyle name="Vírgula 2 2 3 2 2 3 4" xfId="14412" xr:uid="{45D1B796-9AA9-4769-81BC-E0032FC16089}"/>
    <cellStyle name="Vírgula 2 2 3 2 2 3 4 2" xfId="39904" xr:uid="{AFA1C86A-7443-4085-9622-E55AE6644E65}"/>
    <cellStyle name="Vírgula 2 2 3 2 2 3 5" xfId="27313" xr:uid="{97C93FB0-6A7D-49E0-98A7-F4F0E884FFAB}"/>
    <cellStyle name="Vírgula 2 2 3 2 2 4" xfId="3007" xr:uid="{F224665F-B7E6-4CD1-BF1D-2F3C065625B2}"/>
    <cellStyle name="Vírgula 2 2 3 2 2 4 2" xfId="6161" xr:uid="{74F47732-D5DB-4D77-9100-D6B6B70C6018}"/>
    <cellStyle name="Vírgula 2 2 3 2 2 4 2 2" xfId="12454" xr:uid="{0E8B895A-39A4-49E0-8B71-67678866A3B9}"/>
    <cellStyle name="Vírgula 2 2 3 2 2 4 2 2 2" xfId="25136" xr:uid="{CE374F65-1C2C-421E-B052-51E504415F1B}"/>
    <cellStyle name="Vírgula 2 2 3 2 2 4 2 2 2 2" xfId="50628" xr:uid="{F249561A-777D-441B-9F6F-7E29BCDF534B}"/>
    <cellStyle name="Vírgula 2 2 3 2 2 4 2 2 3" xfId="38037" xr:uid="{08A33ACE-7496-4481-9C4B-0D52510FCB19}"/>
    <cellStyle name="Vírgula 2 2 3 2 2 4 2 3" xfId="18858" xr:uid="{39B8FE7D-807B-45C0-B26F-7FA99D87E67B}"/>
    <cellStyle name="Vírgula 2 2 3 2 2 4 2 3 2" xfId="44350" xr:uid="{9855A0A3-AF69-4A29-85AE-E7AEF2177086}"/>
    <cellStyle name="Vírgula 2 2 3 2 2 4 2 4" xfId="31759" xr:uid="{0AB9B297-1221-4391-AA76-FE3D6427457C}"/>
    <cellStyle name="Vírgula 2 2 3 2 2 4 3" xfId="9315" xr:uid="{B3810343-814F-48AF-B472-9C1740BC1B50}"/>
    <cellStyle name="Vírgula 2 2 3 2 2 4 3 2" xfId="21997" xr:uid="{D002677B-554A-42E7-8DA9-B43E0A0DCE12}"/>
    <cellStyle name="Vírgula 2 2 3 2 2 4 3 2 2" xfId="47489" xr:uid="{36E144EE-47C2-4129-9CE5-94E0420B7AB0}"/>
    <cellStyle name="Vírgula 2 2 3 2 2 4 3 3" xfId="34898" xr:uid="{3E05FD2D-C4FC-4097-90CE-E9407E047219}"/>
    <cellStyle name="Vírgula 2 2 3 2 2 4 4" xfId="15719" xr:uid="{C31BD1B2-C342-429F-B885-D6770596F783}"/>
    <cellStyle name="Vírgula 2 2 3 2 2 4 4 2" xfId="41211" xr:uid="{DE328C74-8FFE-4087-92CA-3EBC3234D095}"/>
    <cellStyle name="Vírgula 2 2 3 2 2 4 5" xfId="28620" xr:uid="{4FCC8A9D-1299-4116-B8E6-26BDA952394F}"/>
    <cellStyle name="Vírgula 2 2 3 2 2 5" xfId="3530" xr:uid="{C2F70859-B8FB-42E7-B010-EA3AAF97AB4C}"/>
    <cellStyle name="Vírgula 2 2 3 2 2 5 2" xfId="6684" xr:uid="{FBF98DDF-700B-4D9C-A740-2F4EDD94B06A}"/>
    <cellStyle name="Vírgula 2 2 3 2 2 5 2 2" xfId="12977" xr:uid="{8C1EB958-948F-4625-BD91-2472159D5D95}"/>
    <cellStyle name="Vírgula 2 2 3 2 2 5 2 2 2" xfId="25659" xr:uid="{DE2B5BE2-B01E-4F75-84F8-AA381C13546F}"/>
    <cellStyle name="Vírgula 2 2 3 2 2 5 2 2 2 2" xfId="51151" xr:uid="{A5B3F90A-CFCB-49F6-9967-B4D951420B11}"/>
    <cellStyle name="Vírgula 2 2 3 2 2 5 2 2 3" xfId="38560" xr:uid="{79801B68-0960-4EDF-97EB-28B59311C80F}"/>
    <cellStyle name="Vírgula 2 2 3 2 2 5 2 3" xfId="19381" xr:uid="{89011C25-CF45-4288-8E23-0E10E5ADF712}"/>
    <cellStyle name="Vírgula 2 2 3 2 2 5 2 3 2" xfId="44873" xr:uid="{FBF9F4CD-5418-4C7D-8B7E-2CDCA627D164}"/>
    <cellStyle name="Vírgula 2 2 3 2 2 5 2 4" xfId="32282" xr:uid="{A7E85E3A-3AAD-4636-881C-25ED2C353754}"/>
    <cellStyle name="Vírgula 2 2 3 2 2 5 3" xfId="9838" xr:uid="{6B8005B8-D17B-4C18-808B-F2772BF23EEF}"/>
    <cellStyle name="Vírgula 2 2 3 2 2 5 3 2" xfId="22520" xr:uid="{6BD645E8-89DB-41E8-915A-B8843DCF0A65}"/>
    <cellStyle name="Vírgula 2 2 3 2 2 5 3 2 2" xfId="48012" xr:uid="{4117C382-6C87-4347-B5D8-AFA2483A6049}"/>
    <cellStyle name="Vírgula 2 2 3 2 2 5 3 3" xfId="35421" xr:uid="{CE384A1E-749F-4F98-BB5B-47D55224AC1A}"/>
    <cellStyle name="Vírgula 2 2 3 2 2 5 4" xfId="16242" xr:uid="{0AD5AAB0-4C34-4E8D-87F1-3BED3D04D206}"/>
    <cellStyle name="Vírgula 2 2 3 2 2 5 4 2" xfId="41734" xr:uid="{27DF004F-0B30-4B2C-AAB4-FE727F6D2FFD}"/>
    <cellStyle name="Vírgula 2 2 3 2 2 5 5" xfId="29143" xr:uid="{12AE4E3A-72B0-43FB-9D39-CB3732B08E44}"/>
    <cellStyle name="Vírgula 2 2 3 2 2 6" xfId="4330" xr:uid="{2591FFB5-4A0B-4ACB-B3C1-17B85EAF0C48}"/>
    <cellStyle name="Vírgula 2 2 3 2 2 6 2" xfId="10623" xr:uid="{BEF71F0F-8A78-4B1A-819C-3DDC205B479A}"/>
    <cellStyle name="Vírgula 2 2 3 2 2 6 2 2" xfId="23305" xr:uid="{D913C15A-5A82-434F-92CC-7E904D5E3FB8}"/>
    <cellStyle name="Vírgula 2 2 3 2 2 6 2 2 2" xfId="48797" xr:uid="{7CD5391B-E002-48D4-999F-0DD966851E58}"/>
    <cellStyle name="Vírgula 2 2 3 2 2 6 2 3" xfId="36206" xr:uid="{C525BA45-D6E1-48B4-BAE5-F0C8A03A873D}"/>
    <cellStyle name="Vírgula 2 2 3 2 2 6 3" xfId="17027" xr:uid="{A64C43BD-1742-4BE3-8C76-619C762B3973}"/>
    <cellStyle name="Vírgula 2 2 3 2 2 6 3 2" xfId="42519" xr:uid="{74B29835-687D-4F98-ADD9-A7DF97D9AE88}"/>
    <cellStyle name="Vírgula 2 2 3 2 2 6 4" xfId="29928" xr:uid="{2C8E86F6-12FB-4198-BFB1-93C0EF3CE58A}"/>
    <cellStyle name="Vírgula 2 2 3 2 2 7" xfId="7484" xr:uid="{2E4BCAA6-2217-4C82-A2DD-15BB80763E58}"/>
    <cellStyle name="Vírgula 2 2 3 2 2 7 2" xfId="20166" xr:uid="{C3FB83BA-7F4C-4DB0-BA8A-8285349ADB4D}"/>
    <cellStyle name="Vírgula 2 2 3 2 2 7 2 2" xfId="45658" xr:uid="{2C99CF70-DDE0-499F-9BCD-E9ADB4007B3D}"/>
    <cellStyle name="Vírgula 2 2 3 2 2 7 3" xfId="33067" xr:uid="{91ABCE49-2482-4D94-ADA0-38A7B13587F2}"/>
    <cellStyle name="Vírgula 2 2 3 2 2 8" xfId="13888" xr:uid="{EEEE68B2-753D-477E-B03B-8F94E6A4F4E6}"/>
    <cellStyle name="Vírgula 2 2 3 2 2 8 2" xfId="39380" xr:uid="{AE59BF9F-9904-49FF-B13A-1131299B64FC}"/>
    <cellStyle name="Vírgula 2 2 3 2 2 9" xfId="26789" xr:uid="{A5638D17-08EA-48C2-823A-60661DFBBB27}"/>
    <cellStyle name="Vírgula 2 2 3 2 3" xfId="916" xr:uid="{6A5F5004-102F-4194-8271-B0FE12AC0268}"/>
    <cellStyle name="Vírgula 2 2 3 2 3 2" xfId="2223" xr:uid="{B2EF9C9A-0773-44AF-A983-F22375BC4681}"/>
    <cellStyle name="Vírgula 2 2 3 2 3 2 2" xfId="5377" xr:uid="{D527E682-8DA5-4B2B-BEA2-4FBC1A8596EE}"/>
    <cellStyle name="Vírgula 2 2 3 2 3 2 2 2" xfId="11670" xr:uid="{0A98FD3A-9F12-473B-A0F7-5776A0FA87EA}"/>
    <cellStyle name="Vírgula 2 2 3 2 3 2 2 2 2" xfId="24352" xr:uid="{C25A7CFB-B401-4158-A1B0-49DAB156D283}"/>
    <cellStyle name="Vírgula 2 2 3 2 3 2 2 2 2 2" xfId="49844" xr:uid="{1BF8F0E4-4057-4147-8312-5798B04AE743}"/>
    <cellStyle name="Vírgula 2 2 3 2 3 2 2 2 3" xfId="37253" xr:uid="{A25B2183-1340-4BE6-B23E-7C2150455143}"/>
    <cellStyle name="Vírgula 2 2 3 2 3 2 2 3" xfId="18074" xr:uid="{853AEC33-F0DF-44C7-8F97-43940079273D}"/>
    <cellStyle name="Vírgula 2 2 3 2 3 2 2 3 2" xfId="43566" xr:uid="{93AA9ED6-092A-4265-8506-7E8360656319}"/>
    <cellStyle name="Vírgula 2 2 3 2 3 2 2 4" xfId="30975" xr:uid="{38AFA872-8B35-404C-9501-34FB57EA96E2}"/>
    <cellStyle name="Vírgula 2 2 3 2 3 2 3" xfId="8531" xr:uid="{BCD89BDB-CFB9-49CA-AE20-8031B634BD44}"/>
    <cellStyle name="Vírgula 2 2 3 2 3 2 3 2" xfId="21213" xr:uid="{0DD347E5-1600-49E0-8E2B-4BE9CB0F8616}"/>
    <cellStyle name="Vírgula 2 2 3 2 3 2 3 2 2" xfId="46705" xr:uid="{BA6F471B-2D9C-455B-81E2-FA498F46886F}"/>
    <cellStyle name="Vírgula 2 2 3 2 3 2 3 3" xfId="34114" xr:uid="{00C0A927-7E22-4C00-9EFF-78908B6A26AC}"/>
    <cellStyle name="Vírgula 2 2 3 2 3 2 4" xfId="14935" xr:uid="{5585B824-BDD2-4083-B9E9-BF1DB9F643BA}"/>
    <cellStyle name="Vírgula 2 2 3 2 3 2 4 2" xfId="40427" xr:uid="{911DB0F7-2555-43EB-9A8E-B073C83919FD}"/>
    <cellStyle name="Vírgula 2 2 3 2 3 2 5" xfId="27836" xr:uid="{A91F06C5-DE7A-472E-9927-14C815933B6B}"/>
    <cellStyle name="Vírgula 2 2 3 2 3 3" xfId="4070" xr:uid="{A5786A10-699B-449A-AD55-F85842F88BDC}"/>
    <cellStyle name="Vírgula 2 2 3 2 3 3 2" xfId="10363" xr:uid="{6E2703D8-9118-498B-A829-08E5C50739F6}"/>
    <cellStyle name="Vírgula 2 2 3 2 3 3 2 2" xfId="23045" xr:uid="{5DAF3BCD-B547-47D6-8F4C-7A4204793306}"/>
    <cellStyle name="Vírgula 2 2 3 2 3 3 2 2 2" xfId="48537" xr:uid="{0CA4B6F0-760A-433E-B637-4A861B716D44}"/>
    <cellStyle name="Vírgula 2 2 3 2 3 3 2 3" xfId="35946" xr:uid="{18C13924-82D4-43CC-AAB6-91F841B6D895}"/>
    <cellStyle name="Vírgula 2 2 3 2 3 3 3" xfId="16767" xr:uid="{07228E35-6010-4A38-8057-038F833B2A96}"/>
    <cellStyle name="Vírgula 2 2 3 2 3 3 3 2" xfId="42259" xr:uid="{EE6C11DD-3B9A-4DCA-B48F-85F0A575DDB7}"/>
    <cellStyle name="Vírgula 2 2 3 2 3 3 4" xfId="29668" xr:uid="{FDF3D903-8322-4FC9-ACA3-CE77A6CA1B7E}"/>
    <cellStyle name="Vírgula 2 2 3 2 3 4" xfId="7224" xr:uid="{A235939B-1723-4E99-BD7A-43268A52FCC8}"/>
    <cellStyle name="Vírgula 2 2 3 2 3 4 2" xfId="19906" xr:uid="{28730545-B0A5-4325-BC8D-0744BC15A19C}"/>
    <cellStyle name="Vírgula 2 2 3 2 3 4 2 2" xfId="45398" xr:uid="{E1A40D98-5E66-4FA5-9A18-156CE94D08C3}"/>
    <cellStyle name="Vírgula 2 2 3 2 3 4 3" xfId="32807" xr:uid="{B64B9F01-0295-40CA-A94C-E60EFD4C3FE1}"/>
    <cellStyle name="Vírgula 2 2 3 2 3 5" xfId="13628" xr:uid="{B96DD70A-D8F5-497F-9960-3F6C8AF3A570}"/>
    <cellStyle name="Vírgula 2 2 3 2 3 5 2" xfId="39120" xr:uid="{EB90E8B0-7378-4926-8ED7-D3CD089CFD96}"/>
    <cellStyle name="Vírgula 2 2 3 2 3 6" xfId="26529" xr:uid="{E518D158-6CFD-4BFF-B351-DD536603A01D}"/>
    <cellStyle name="Vírgula 2 2 3 2 4" xfId="1961" xr:uid="{F0563F92-347E-42A1-A527-947904307661}"/>
    <cellStyle name="Vírgula 2 2 3 2 4 2" xfId="5115" xr:uid="{9ED8774D-E8A9-4D38-8647-D545CC980623}"/>
    <cellStyle name="Vírgula 2 2 3 2 4 2 2" xfId="11408" xr:uid="{F33EDFA2-9E92-42CE-A0DA-04A53C30BB17}"/>
    <cellStyle name="Vírgula 2 2 3 2 4 2 2 2" xfId="24090" xr:uid="{F65D83D8-4A80-4082-9715-7DF63233A067}"/>
    <cellStyle name="Vírgula 2 2 3 2 4 2 2 2 2" xfId="49582" xr:uid="{F58FEAE8-56ED-4907-8ABF-B2AF17706504}"/>
    <cellStyle name="Vírgula 2 2 3 2 4 2 2 3" xfId="36991" xr:uid="{91BD7E3D-E488-4DE2-A15F-F830BD95B2CF}"/>
    <cellStyle name="Vírgula 2 2 3 2 4 2 3" xfId="17812" xr:uid="{61BFC503-C31D-485D-A888-D686C9B4AA74}"/>
    <cellStyle name="Vírgula 2 2 3 2 4 2 3 2" xfId="43304" xr:uid="{7DF8E231-AB9F-4AD1-A7C1-B661D55DD47C}"/>
    <cellStyle name="Vírgula 2 2 3 2 4 2 4" xfId="30713" xr:uid="{42695240-14D8-40D9-9C43-89DDD4DA7F35}"/>
    <cellStyle name="Vírgula 2 2 3 2 4 3" xfId="8269" xr:uid="{7445F907-64E7-40A5-9E77-0367DE3872AC}"/>
    <cellStyle name="Vírgula 2 2 3 2 4 3 2" xfId="20951" xr:uid="{1E297685-11D1-4863-8501-8E1650829DDE}"/>
    <cellStyle name="Vírgula 2 2 3 2 4 3 2 2" xfId="46443" xr:uid="{3871A50E-CB83-4AF7-BAAB-FD5364511276}"/>
    <cellStyle name="Vírgula 2 2 3 2 4 3 3" xfId="33852" xr:uid="{2C45FB28-1E25-4407-B9D0-FA3BD85894C5}"/>
    <cellStyle name="Vírgula 2 2 3 2 4 4" xfId="14673" xr:uid="{E9AAC914-35D1-41E1-B923-1EDCBE9D3261}"/>
    <cellStyle name="Vírgula 2 2 3 2 4 4 2" xfId="40165" xr:uid="{B6E9D1B2-7CBD-44EC-8DBB-97624500F0BF}"/>
    <cellStyle name="Vírgula 2 2 3 2 4 5" xfId="27574" xr:uid="{3E01ABF9-2F6D-4325-9B92-E797FEC41455}"/>
    <cellStyle name="Vírgula 2 2 3 2 5" xfId="1439" xr:uid="{D51170E0-B29F-4C23-8BC1-EE6132244C87}"/>
    <cellStyle name="Vírgula 2 2 3 2 5 2" xfId="4593" xr:uid="{B54A6445-3516-46E8-B4C4-1B8C592A6688}"/>
    <cellStyle name="Vírgula 2 2 3 2 5 2 2" xfId="10886" xr:uid="{4C85BD24-15E2-44F6-BE12-1F14E0019327}"/>
    <cellStyle name="Vírgula 2 2 3 2 5 2 2 2" xfId="23568" xr:uid="{7144B2DE-E494-4C15-8479-3414ADBD02F8}"/>
    <cellStyle name="Vírgula 2 2 3 2 5 2 2 2 2" xfId="49060" xr:uid="{B9E18450-4AD4-4A14-B141-AB31EFB9CDA9}"/>
    <cellStyle name="Vírgula 2 2 3 2 5 2 2 3" xfId="36469" xr:uid="{397D162F-9C33-44B2-8D58-C2E34809EBF1}"/>
    <cellStyle name="Vírgula 2 2 3 2 5 2 3" xfId="17290" xr:uid="{008C42EB-73AB-4CBE-8710-93EF8D3DA689}"/>
    <cellStyle name="Vírgula 2 2 3 2 5 2 3 2" xfId="42782" xr:uid="{09176A03-D89A-4379-99C1-9785E23E2B06}"/>
    <cellStyle name="Vírgula 2 2 3 2 5 2 4" xfId="30191" xr:uid="{9C936FE1-04DC-4F56-8F15-5791385DF83B}"/>
    <cellStyle name="Vírgula 2 2 3 2 5 3" xfId="7747" xr:uid="{30DE3B95-ACF5-4C25-A6A4-053AD95C5A3A}"/>
    <cellStyle name="Vírgula 2 2 3 2 5 3 2" xfId="20429" xr:uid="{D2CBF1EA-A5B3-4606-B41A-D3EA8F671015}"/>
    <cellStyle name="Vírgula 2 2 3 2 5 3 2 2" xfId="45921" xr:uid="{D682973C-5C6E-4574-9168-9FAF7133BBB0}"/>
    <cellStyle name="Vírgula 2 2 3 2 5 3 3" xfId="33330" xr:uid="{8E0DFA45-F580-46F6-A995-E102DDE1409D}"/>
    <cellStyle name="Vírgula 2 2 3 2 5 4" xfId="14151" xr:uid="{46CD00B3-2360-4438-9CD6-AC742DF414CA}"/>
    <cellStyle name="Vírgula 2 2 3 2 5 4 2" xfId="39643" xr:uid="{0869A2ED-CD1F-4564-8E15-EDB1A119C37E}"/>
    <cellStyle name="Vírgula 2 2 3 2 5 5" xfId="27052" xr:uid="{9CD24834-9F23-45FD-85E2-49B3178A6783}"/>
    <cellStyle name="Vírgula 2 2 3 2 6" xfId="2746" xr:uid="{05BBF32B-5468-40D6-A3B3-B743A126D403}"/>
    <cellStyle name="Vírgula 2 2 3 2 6 2" xfId="5900" xr:uid="{ED4B5B86-81C7-4C6E-B6DB-E7794978B831}"/>
    <cellStyle name="Vírgula 2 2 3 2 6 2 2" xfId="12193" xr:uid="{5B98A1C6-0B0A-43A1-8F87-1B3D34E08E12}"/>
    <cellStyle name="Vírgula 2 2 3 2 6 2 2 2" xfId="24875" xr:uid="{606378EB-F9B8-40DA-A62D-C80780517FCF}"/>
    <cellStyle name="Vírgula 2 2 3 2 6 2 2 2 2" xfId="50367" xr:uid="{70F9B01F-515F-4336-9BF3-40DBC82A271E}"/>
    <cellStyle name="Vírgula 2 2 3 2 6 2 2 3" xfId="37776" xr:uid="{3DFA66ED-61AA-470A-9E0D-27EAF0C2A4BF}"/>
    <cellStyle name="Vírgula 2 2 3 2 6 2 3" xfId="18597" xr:uid="{698E1967-696B-4338-A14D-02E759E4BF64}"/>
    <cellStyle name="Vírgula 2 2 3 2 6 2 3 2" xfId="44089" xr:uid="{16084322-6D37-437B-B4C7-F13E876047AC}"/>
    <cellStyle name="Vírgula 2 2 3 2 6 2 4" xfId="31498" xr:uid="{8B48D6F3-BD5C-47EF-A20D-38BFB178E6EE}"/>
    <cellStyle name="Vírgula 2 2 3 2 6 3" xfId="9054" xr:uid="{79F43998-B0A6-4507-BEBE-52ABE1341C9C}"/>
    <cellStyle name="Vírgula 2 2 3 2 6 3 2" xfId="21736" xr:uid="{8B37F709-8583-4F00-8E0B-BE347068519B}"/>
    <cellStyle name="Vírgula 2 2 3 2 6 3 2 2" xfId="47228" xr:uid="{BC653895-2A50-4758-A605-543B77304026}"/>
    <cellStyle name="Vírgula 2 2 3 2 6 3 3" xfId="34637" xr:uid="{12A57994-09F5-45BD-9FB5-7A266BB1779B}"/>
    <cellStyle name="Vírgula 2 2 3 2 6 4" xfId="15458" xr:uid="{0BDCF64E-36FB-4676-A52B-892049E6CE38}"/>
    <cellStyle name="Vírgula 2 2 3 2 6 4 2" xfId="40950" xr:uid="{19DDB00E-0B08-44BD-8E98-7CBFB75E27BD}"/>
    <cellStyle name="Vírgula 2 2 3 2 6 5" xfId="28359" xr:uid="{6529AD7E-D243-4E06-8A1F-05FB07992039}"/>
    <cellStyle name="Vírgula 2 2 3 2 7" xfId="3269" xr:uid="{3986BB0C-E8A7-4060-A5DC-CC305EB0271A}"/>
    <cellStyle name="Vírgula 2 2 3 2 7 2" xfId="6423" xr:uid="{DD4AE528-56BA-4126-812B-2B3CE5F33011}"/>
    <cellStyle name="Vírgula 2 2 3 2 7 2 2" xfId="12716" xr:uid="{6297B203-7CC7-4087-8B35-7F1CD60BDDD7}"/>
    <cellStyle name="Vírgula 2 2 3 2 7 2 2 2" xfId="25398" xr:uid="{2B88DA3E-7177-4F3F-9F9E-45FE434DE5A2}"/>
    <cellStyle name="Vírgula 2 2 3 2 7 2 2 2 2" xfId="50890" xr:uid="{F296892F-F018-4CA6-A685-1883B19EEB8F}"/>
    <cellStyle name="Vírgula 2 2 3 2 7 2 2 3" xfId="38299" xr:uid="{3959AA19-D3D8-485A-AB43-31260EB43B1F}"/>
    <cellStyle name="Vírgula 2 2 3 2 7 2 3" xfId="19120" xr:uid="{3CD1FC88-863B-450A-8F1F-BBFB541A25B9}"/>
    <cellStyle name="Vírgula 2 2 3 2 7 2 3 2" xfId="44612" xr:uid="{F5442CC2-032D-4534-B7A2-2EFCAF0425A0}"/>
    <cellStyle name="Vírgula 2 2 3 2 7 2 4" xfId="32021" xr:uid="{FF8581B1-9AA5-4C5A-981F-E8A6896B240C}"/>
    <cellStyle name="Vírgula 2 2 3 2 7 3" xfId="9577" xr:uid="{C2020631-0558-43D1-B618-568849BF808E}"/>
    <cellStyle name="Vírgula 2 2 3 2 7 3 2" xfId="22259" xr:uid="{CB81DE34-95F4-4B20-A6BA-DED9674C2F90}"/>
    <cellStyle name="Vírgula 2 2 3 2 7 3 2 2" xfId="47751" xr:uid="{4BD8B1D5-B9BC-422A-A4E8-6551DD3BCB0A}"/>
    <cellStyle name="Vírgula 2 2 3 2 7 3 3" xfId="35160" xr:uid="{AD6A7410-DF29-47D0-B2E3-CD4DF013B20F}"/>
    <cellStyle name="Vírgula 2 2 3 2 7 4" xfId="15981" xr:uid="{6B0BEA0A-1A84-457E-A81C-B649495EFE4B}"/>
    <cellStyle name="Vírgula 2 2 3 2 7 4 2" xfId="41473" xr:uid="{2032D2BA-154C-4726-94D5-C4186E42BFE5}"/>
    <cellStyle name="Vírgula 2 2 3 2 7 5" xfId="28882" xr:uid="{E6999AD9-7D72-4569-ACB0-4EF529F974B0}"/>
    <cellStyle name="Vírgula 2 2 3 2 8" xfId="3808" xr:uid="{F3D73F4C-0B49-4D63-A1D6-A53E84D9FC19}"/>
    <cellStyle name="Vírgula 2 2 3 2 8 2" xfId="10101" xr:uid="{7866A4C9-02C5-4135-96D3-3A79582E7298}"/>
    <cellStyle name="Vírgula 2 2 3 2 8 2 2" xfId="22783" xr:uid="{FFE816C8-C26D-435D-B841-771ED5A1FDF4}"/>
    <cellStyle name="Vírgula 2 2 3 2 8 2 2 2" xfId="48275" xr:uid="{49796615-7126-4C25-B4E9-302144CF582C}"/>
    <cellStyle name="Vírgula 2 2 3 2 8 2 3" xfId="35684" xr:uid="{E0503E15-C07C-4EEB-920E-8AB3D9C39E41}"/>
    <cellStyle name="Vírgula 2 2 3 2 8 3" xfId="16505" xr:uid="{2149CAE0-4AFC-448D-807C-F8BD4C211861}"/>
    <cellStyle name="Vírgula 2 2 3 2 8 3 2" xfId="41997" xr:uid="{7D956CFE-EF3F-4E1F-87A8-B5E5E16A025E}"/>
    <cellStyle name="Vírgula 2 2 3 2 8 4" xfId="29406" xr:uid="{079C573E-7205-4072-9DC2-2533A109C40A}"/>
    <cellStyle name="Vírgula 2 2 3 2 9" xfId="6962" xr:uid="{9C2B0BE2-F3C8-4D23-98C8-6811CA9C9F2B}"/>
    <cellStyle name="Vírgula 2 2 3 2 9 2" xfId="19644" xr:uid="{612862EA-2FC2-4E1E-AAF0-8905BEE15323}"/>
    <cellStyle name="Vírgula 2 2 3 2 9 2 2" xfId="45136" xr:uid="{3707FCEC-9F7C-48A7-A787-ED2185B0265D}"/>
    <cellStyle name="Vírgula 2 2 3 2 9 3" xfId="32545" xr:uid="{D5225F40-A6C2-4BC3-AE47-6F8C4A6A2169}"/>
    <cellStyle name="Vírgula 2 2 3 3" xfId="539" xr:uid="{B8479C2D-2812-4E19-B830-E319A2CA6EE4}"/>
    <cellStyle name="Vírgula 2 2 3 3 10" xfId="13266" xr:uid="{03057A50-555C-496C-86A3-A75D0B4EFDA5}"/>
    <cellStyle name="Vírgula 2 2 3 3 10 2" xfId="38758" xr:uid="{5B3030F3-BE11-4DD4-B1DF-71D7959A4905}"/>
    <cellStyle name="Vírgula 2 2 3 3 11" xfId="26167" xr:uid="{03DA763D-FF06-47BC-B4FF-2A0A66A67A2D}"/>
    <cellStyle name="Vírgula 2 2 3 3 2" xfId="1076" xr:uid="{8145AF5C-7BEC-4C93-95E7-0A5B23760AE9}"/>
    <cellStyle name="Vírgula 2 2 3 3 2 2" xfId="2383" xr:uid="{364F9846-06EF-441A-8850-84AEB0C0D32D}"/>
    <cellStyle name="Vírgula 2 2 3 3 2 2 2" xfId="5537" xr:uid="{F2C26D28-1962-4FD0-841D-5F18001DB2D8}"/>
    <cellStyle name="Vírgula 2 2 3 3 2 2 2 2" xfId="11830" xr:uid="{0E00CFC0-A760-45C7-9203-9D0928CD803C}"/>
    <cellStyle name="Vírgula 2 2 3 3 2 2 2 2 2" xfId="24512" xr:uid="{3312D213-CFB0-46B9-AB4D-D583AC698781}"/>
    <cellStyle name="Vírgula 2 2 3 3 2 2 2 2 2 2" xfId="50004" xr:uid="{3E4AEE74-CDFA-42A1-8C44-A5BB7429280C}"/>
    <cellStyle name="Vírgula 2 2 3 3 2 2 2 2 3" xfId="37413" xr:uid="{488251D3-8943-4499-AE6C-990E1AACE3B4}"/>
    <cellStyle name="Vírgula 2 2 3 3 2 2 2 3" xfId="18234" xr:uid="{22A99E55-8177-4F4C-A988-9C8C547A4583}"/>
    <cellStyle name="Vírgula 2 2 3 3 2 2 2 3 2" xfId="43726" xr:uid="{CC7865FE-298D-4C80-AC70-64285863EFA5}"/>
    <cellStyle name="Vírgula 2 2 3 3 2 2 2 4" xfId="31135" xr:uid="{DE0C9741-FE76-4367-B28A-2F3AFD825F2B}"/>
    <cellStyle name="Vírgula 2 2 3 3 2 2 3" xfId="8691" xr:uid="{79A4927E-0BFA-4E67-B816-799A762C1733}"/>
    <cellStyle name="Vírgula 2 2 3 3 2 2 3 2" xfId="21373" xr:uid="{B6ABCB38-171E-42AA-A31F-779A2C12D603}"/>
    <cellStyle name="Vírgula 2 2 3 3 2 2 3 2 2" xfId="46865" xr:uid="{FE274765-3BC5-40A3-92AC-CB611120DF7E}"/>
    <cellStyle name="Vírgula 2 2 3 3 2 2 3 3" xfId="34274" xr:uid="{403E74B0-7759-4C11-A33F-7606CCD49E00}"/>
    <cellStyle name="Vírgula 2 2 3 3 2 2 4" xfId="15095" xr:uid="{FA9877B5-BC82-45F8-ADF4-F9FA3A2064A5}"/>
    <cellStyle name="Vírgula 2 2 3 3 2 2 4 2" xfId="40587" xr:uid="{2622EA42-6B5B-4653-A159-1558ECA0577A}"/>
    <cellStyle name="Vírgula 2 2 3 3 2 2 5" xfId="27996" xr:uid="{BC6CC463-F7DE-4471-872F-2B149B7D85C4}"/>
    <cellStyle name="Vírgula 2 2 3 3 2 3" xfId="1600" xr:uid="{4E2C8682-CC8B-44A1-9C29-E9C2911636E8}"/>
    <cellStyle name="Vírgula 2 2 3 3 2 3 2" xfId="4754" xr:uid="{859D49FE-0025-4EAB-9B02-D301B224401A}"/>
    <cellStyle name="Vírgula 2 2 3 3 2 3 2 2" xfId="11047" xr:uid="{0F107DD5-5735-4326-98D4-F3B6DFE11433}"/>
    <cellStyle name="Vírgula 2 2 3 3 2 3 2 2 2" xfId="23729" xr:uid="{703ED7EF-8CA0-4DAC-9289-6F2D8FDDC3A5}"/>
    <cellStyle name="Vírgula 2 2 3 3 2 3 2 2 2 2" xfId="49221" xr:uid="{F7530C3C-007B-40C7-A400-BA807114B79A}"/>
    <cellStyle name="Vírgula 2 2 3 3 2 3 2 2 3" xfId="36630" xr:uid="{A86367DF-ABFE-4C8D-A922-0B55AB88FF0F}"/>
    <cellStyle name="Vírgula 2 2 3 3 2 3 2 3" xfId="17451" xr:uid="{D50D3425-C2BD-45F5-8179-D1D319C6913F}"/>
    <cellStyle name="Vírgula 2 2 3 3 2 3 2 3 2" xfId="42943" xr:uid="{670DC905-CE5A-4149-85CD-FCBC2DB41761}"/>
    <cellStyle name="Vírgula 2 2 3 3 2 3 2 4" xfId="30352" xr:uid="{78F72250-4B44-4FE3-912B-F6F6A15B741B}"/>
    <cellStyle name="Vírgula 2 2 3 3 2 3 3" xfId="7908" xr:uid="{64B04365-CF74-42D8-BB0A-70107DA1110F}"/>
    <cellStyle name="Vírgula 2 2 3 3 2 3 3 2" xfId="20590" xr:uid="{55E658A6-A8F7-4B74-A78E-B0DA607A178F}"/>
    <cellStyle name="Vírgula 2 2 3 3 2 3 3 2 2" xfId="46082" xr:uid="{1A9EB9DA-4395-4A77-A87F-6C73435A4644}"/>
    <cellStyle name="Vírgula 2 2 3 3 2 3 3 3" xfId="33491" xr:uid="{46C4619B-C3C0-4D22-A2A1-00ABE1B639E2}"/>
    <cellStyle name="Vírgula 2 2 3 3 2 3 4" xfId="14312" xr:uid="{6D407CE0-9B3A-413D-9FDB-B37E8347B80C}"/>
    <cellStyle name="Vírgula 2 2 3 3 2 3 4 2" xfId="39804" xr:uid="{06AF0913-0439-4355-B8B8-60AE353D4A5C}"/>
    <cellStyle name="Vírgula 2 2 3 3 2 3 5" xfId="27213" xr:uid="{4AFCBCE6-2B9F-4E64-A62F-73D9FAF22F6C}"/>
    <cellStyle name="Vírgula 2 2 3 3 2 4" xfId="2907" xr:uid="{3639A488-EEEB-4C8B-B2AE-46F661E423BC}"/>
    <cellStyle name="Vírgula 2 2 3 3 2 4 2" xfId="6061" xr:uid="{B606591B-52C7-4593-BDC4-1772472120FA}"/>
    <cellStyle name="Vírgula 2 2 3 3 2 4 2 2" xfId="12354" xr:uid="{76A58EC4-C84E-454D-A862-BAD129CD6940}"/>
    <cellStyle name="Vírgula 2 2 3 3 2 4 2 2 2" xfId="25036" xr:uid="{7FA48B15-2E28-4224-BBF4-1A68AC70B93D}"/>
    <cellStyle name="Vírgula 2 2 3 3 2 4 2 2 2 2" xfId="50528" xr:uid="{2BDF9959-4BA7-4F79-BAA1-80FA169F5F8E}"/>
    <cellStyle name="Vírgula 2 2 3 3 2 4 2 2 3" xfId="37937" xr:uid="{D16D7F18-260A-48E1-B176-155A2643FAD2}"/>
    <cellStyle name="Vírgula 2 2 3 3 2 4 2 3" xfId="18758" xr:uid="{330BCDBC-A9F5-47E9-BB80-31C07E0D1D92}"/>
    <cellStyle name="Vírgula 2 2 3 3 2 4 2 3 2" xfId="44250" xr:uid="{E3789471-8464-43FF-B2CE-75AC27FB0A33}"/>
    <cellStyle name="Vírgula 2 2 3 3 2 4 2 4" xfId="31659" xr:uid="{4B3E7323-1223-49A1-A705-3E7EAF76C1E4}"/>
    <cellStyle name="Vírgula 2 2 3 3 2 4 3" xfId="9215" xr:uid="{D639DECA-A69F-4AD4-B20D-87193717C9E6}"/>
    <cellStyle name="Vírgula 2 2 3 3 2 4 3 2" xfId="21897" xr:uid="{7746C2FD-1D52-4E4E-8234-70F688F07D7D}"/>
    <cellStyle name="Vírgula 2 2 3 3 2 4 3 2 2" xfId="47389" xr:uid="{43834FDC-B2DB-4DD0-92F3-15CA55B53277}"/>
    <cellStyle name="Vírgula 2 2 3 3 2 4 3 3" xfId="34798" xr:uid="{609FD5E2-8DFC-4685-A8F9-1A98CD98C0A1}"/>
    <cellStyle name="Vírgula 2 2 3 3 2 4 4" xfId="15619" xr:uid="{663B1A99-2FE3-4A6F-AB3E-0E5AD0B90D02}"/>
    <cellStyle name="Vírgula 2 2 3 3 2 4 4 2" xfId="41111" xr:uid="{C39BAF40-4177-4A86-8F7F-0DA94CBDAD52}"/>
    <cellStyle name="Vírgula 2 2 3 3 2 4 5" xfId="28520" xr:uid="{2AA0D88E-FBE0-4214-B916-9FEA17807065}"/>
    <cellStyle name="Vírgula 2 2 3 3 2 5" xfId="3430" xr:uid="{54C3DB99-DF38-4FFD-9DB3-C6A30857D27C}"/>
    <cellStyle name="Vírgula 2 2 3 3 2 5 2" xfId="6584" xr:uid="{D0A79C2D-DF4A-4B7C-B887-6E67CF1A5803}"/>
    <cellStyle name="Vírgula 2 2 3 3 2 5 2 2" xfId="12877" xr:uid="{84D88F73-1773-416A-BC58-C86E81123821}"/>
    <cellStyle name="Vírgula 2 2 3 3 2 5 2 2 2" xfId="25559" xr:uid="{C2DDC8B7-E489-4DCD-9AD6-CF4853F165BA}"/>
    <cellStyle name="Vírgula 2 2 3 3 2 5 2 2 2 2" xfId="51051" xr:uid="{FB75D770-0E2E-4637-B6B3-19852C1E92AD}"/>
    <cellStyle name="Vírgula 2 2 3 3 2 5 2 2 3" xfId="38460" xr:uid="{593D2E4D-8760-4BD7-9A97-E8D5F8CC8629}"/>
    <cellStyle name="Vírgula 2 2 3 3 2 5 2 3" xfId="19281" xr:uid="{6F54BD9C-43D1-4829-A33D-16BE25232C28}"/>
    <cellStyle name="Vírgula 2 2 3 3 2 5 2 3 2" xfId="44773" xr:uid="{9EFEA185-E53B-4DD6-A9DF-4ED5A0CDE2BE}"/>
    <cellStyle name="Vírgula 2 2 3 3 2 5 2 4" xfId="32182" xr:uid="{E6D2B4B8-5BFF-431E-8CD9-9F025C5ABCE0}"/>
    <cellStyle name="Vírgula 2 2 3 3 2 5 3" xfId="9738" xr:uid="{A16E08CC-51FC-4F21-806C-98B70EF77E69}"/>
    <cellStyle name="Vírgula 2 2 3 3 2 5 3 2" xfId="22420" xr:uid="{374E8B2D-0441-4FAE-B9E9-86AB9F0F661B}"/>
    <cellStyle name="Vírgula 2 2 3 3 2 5 3 2 2" xfId="47912" xr:uid="{A03EC6A7-9109-4382-9A43-DC2E1B6235EE}"/>
    <cellStyle name="Vírgula 2 2 3 3 2 5 3 3" xfId="35321" xr:uid="{0A7836B3-DB89-4B6D-992C-19F08E516B00}"/>
    <cellStyle name="Vírgula 2 2 3 3 2 5 4" xfId="16142" xr:uid="{257C54DE-43AE-4F65-BD67-5CB05F8CE262}"/>
    <cellStyle name="Vírgula 2 2 3 3 2 5 4 2" xfId="41634" xr:uid="{2A5D495E-A77F-4FB0-9AB9-FE852D3DA084}"/>
    <cellStyle name="Vírgula 2 2 3 3 2 5 5" xfId="29043" xr:uid="{5833C353-6FE2-4905-9BB0-D01530083D0D}"/>
    <cellStyle name="Vírgula 2 2 3 3 2 6" xfId="4230" xr:uid="{1D08CC53-A8D3-4F37-9DF6-84C465E14689}"/>
    <cellStyle name="Vírgula 2 2 3 3 2 6 2" xfId="10523" xr:uid="{098A0531-6035-4956-81CD-151DD2E70FEA}"/>
    <cellStyle name="Vírgula 2 2 3 3 2 6 2 2" xfId="23205" xr:uid="{3CE6B4D5-39CA-4D9C-9011-D9FB3E6E0F9A}"/>
    <cellStyle name="Vírgula 2 2 3 3 2 6 2 2 2" xfId="48697" xr:uid="{FBD2AE79-6477-404C-A584-1B728A85441A}"/>
    <cellStyle name="Vírgula 2 2 3 3 2 6 2 3" xfId="36106" xr:uid="{E41CB74E-FE4C-4609-BAFE-1EAFDFC9D877}"/>
    <cellStyle name="Vírgula 2 2 3 3 2 6 3" xfId="16927" xr:uid="{2A9570C3-38AB-4700-9248-D8BA708BE826}"/>
    <cellStyle name="Vírgula 2 2 3 3 2 6 3 2" xfId="42419" xr:uid="{1FDF4F1A-D3F2-40FE-8166-AB0CC5429619}"/>
    <cellStyle name="Vírgula 2 2 3 3 2 6 4" xfId="29828" xr:uid="{7E567042-1BB5-48B9-A06D-CDB1AE0B80C8}"/>
    <cellStyle name="Vírgula 2 2 3 3 2 7" xfId="7384" xr:uid="{F6107EF6-65E7-4D56-88FA-7EB56A7036BE}"/>
    <cellStyle name="Vírgula 2 2 3 3 2 7 2" xfId="20066" xr:uid="{8D485F79-0AA3-4C14-8C95-8FFC04B3D4E7}"/>
    <cellStyle name="Vírgula 2 2 3 3 2 7 2 2" xfId="45558" xr:uid="{5D9B44D8-71A2-4B59-B51C-FE439271E48A}"/>
    <cellStyle name="Vírgula 2 2 3 3 2 7 3" xfId="32967" xr:uid="{52028CA9-486C-49C7-AEEB-BA2395CEFF0C}"/>
    <cellStyle name="Vírgula 2 2 3 3 2 8" xfId="13788" xr:uid="{379CEA5F-D6E7-469B-8030-D375AC018779}"/>
    <cellStyle name="Vírgula 2 2 3 3 2 8 2" xfId="39280" xr:uid="{ACBBB5B6-F581-4D70-BE4E-BD1EBB038068}"/>
    <cellStyle name="Vírgula 2 2 3 3 2 9" xfId="26689" xr:uid="{C976AC18-5B08-40B2-B326-7300FBE53DA0}"/>
    <cellStyle name="Vírgula 2 2 3 3 3" xfId="816" xr:uid="{76885921-9AFC-4DB6-A003-A8852F810E5A}"/>
    <cellStyle name="Vírgula 2 2 3 3 3 2" xfId="2123" xr:uid="{CDEA788C-411A-4B68-B229-13558631F528}"/>
    <cellStyle name="Vírgula 2 2 3 3 3 2 2" xfId="5277" xr:uid="{99EE2A32-FCF2-4DD9-88D5-D79FC4DED326}"/>
    <cellStyle name="Vírgula 2 2 3 3 3 2 2 2" xfId="11570" xr:uid="{D4065B73-B7F4-4FB2-BDBB-893284398791}"/>
    <cellStyle name="Vírgula 2 2 3 3 3 2 2 2 2" xfId="24252" xr:uid="{3133D182-2402-46B3-BA4E-E254076B30A0}"/>
    <cellStyle name="Vírgula 2 2 3 3 3 2 2 2 2 2" xfId="49744" xr:uid="{86BD20EE-72B7-430C-9D6B-CFE189217FCF}"/>
    <cellStyle name="Vírgula 2 2 3 3 3 2 2 2 3" xfId="37153" xr:uid="{745AD0BE-E664-4869-BEDC-ACDC3BC2337F}"/>
    <cellStyle name="Vírgula 2 2 3 3 3 2 2 3" xfId="17974" xr:uid="{6DC1DB9F-0D1A-442D-AF66-DBE9AC0622F8}"/>
    <cellStyle name="Vírgula 2 2 3 3 3 2 2 3 2" xfId="43466" xr:uid="{99895942-27FA-4C97-8AE1-EC361F7EC422}"/>
    <cellStyle name="Vírgula 2 2 3 3 3 2 2 4" xfId="30875" xr:uid="{7759377C-DA24-4B19-8BB7-97CFD0F63267}"/>
    <cellStyle name="Vírgula 2 2 3 3 3 2 3" xfId="8431" xr:uid="{E1878618-5D64-4A48-9487-CB8FA1DD4DBB}"/>
    <cellStyle name="Vírgula 2 2 3 3 3 2 3 2" xfId="21113" xr:uid="{27A32D9F-935D-40D7-9D23-F92D1E20ABB7}"/>
    <cellStyle name="Vírgula 2 2 3 3 3 2 3 2 2" xfId="46605" xr:uid="{A6826DE2-2132-4147-B477-8C4C2F80758D}"/>
    <cellStyle name="Vírgula 2 2 3 3 3 2 3 3" xfId="34014" xr:uid="{75EE1F91-D53D-4D50-ABA6-3C103D0C8232}"/>
    <cellStyle name="Vírgula 2 2 3 3 3 2 4" xfId="14835" xr:uid="{9B1CE009-6688-436F-ABE3-324C587B0B93}"/>
    <cellStyle name="Vírgula 2 2 3 3 3 2 4 2" xfId="40327" xr:uid="{3192E41A-26A2-4D98-B6CA-E022657F7EA9}"/>
    <cellStyle name="Vírgula 2 2 3 3 3 2 5" xfId="27736" xr:uid="{9EF1654E-4799-4C9A-8A8F-BC8B20CDDE07}"/>
    <cellStyle name="Vírgula 2 2 3 3 3 3" xfId="3970" xr:uid="{F8D44684-99C1-44A8-A00B-9BE3EA12163F}"/>
    <cellStyle name="Vírgula 2 2 3 3 3 3 2" xfId="10263" xr:uid="{00934AE8-5517-4593-B0A6-427C33CCBF6F}"/>
    <cellStyle name="Vírgula 2 2 3 3 3 3 2 2" xfId="22945" xr:uid="{73A5ABB6-217E-4067-99E8-D7A2235E1203}"/>
    <cellStyle name="Vírgula 2 2 3 3 3 3 2 2 2" xfId="48437" xr:uid="{9C85DA51-20AF-4568-9B58-E0A452395967}"/>
    <cellStyle name="Vírgula 2 2 3 3 3 3 2 3" xfId="35846" xr:uid="{6840F5B0-C1A3-4555-8FF7-FDAB025FD2C5}"/>
    <cellStyle name="Vírgula 2 2 3 3 3 3 3" xfId="16667" xr:uid="{67261259-07E5-48EE-A72C-12C116B1722F}"/>
    <cellStyle name="Vírgula 2 2 3 3 3 3 3 2" xfId="42159" xr:uid="{478793D2-65AB-45E0-A6E7-6D5FAFB3EA84}"/>
    <cellStyle name="Vírgula 2 2 3 3 3 3 4" xfId="29568" xr:uid="{D331F14E-9FDC-4C09-B86E-DED365E35ADA}"/>
    <cellStyle name="Vírgula 2 2 3 3 3 4" xfId="7124" xr:uid="{2B05C88E-DE4D-463A-97A3-4BE544FB2815}"/>
    <cellStyle name="Vírgula 2 2 3 3 3 4 2" xfId="19806" xr:uid="{5077A2BC-E0B0-455E-9068-F1CBA0D011B8}"/>
    <cellStyle name="Vírgula 2 2 3 3 3 4 2 2" xfId="45298" xr:uid="{535F677C-591D-4397-95DB-58DC7B8389B9}"/>
    <cellStyle name="Vírgula 2 2 3 3 3 4 3" xfId="32707" xr:uid="{BB6F4AA6-92F9-4DCE-96A0-2AFF6137FDF4}"/>
    <cellStyle name="Vírgula 2 2 3 3 3 5" xfId="13528" xr:uid="{BDBAC182-BE3B-4050-8EF8-1FC3BC43C408}"/>
    <cellStyle name="Vírgula 2 2 3 3 3 5 2" xfId="39020" xr:uid="{FA90A1D6-8EA2-4886-A77A-0F80A6B2DDCD}"/>
    <cellStyle name="Vírgula 2 2 3 3 3 6" xfId="26429" xr:uid="{97EB004B-5E37-4D2F-9AD1-0392C0310559}"/>
    <cellStyle name="Vírgula 2 2 3 3 4" xfId="1861" xr:uid="{3A68C666-E2BA-4AF9-AC92-26084A7DF4A7}"/>
    <cellStyle name="Vírgula 2 2 3 3 4 2" xfId="5015" xr:uid="{E5889EE2-5FD2-4928-80A4-89EC28600A45}"/>
    <cellStyle name="Vírgula 2 2 3 3 4 2 2" xfId="11308" xr:uid="{0B28C803-F6CB-43CD-8E88-8055E0182D2A}"/>
    <cellStyle name="Vírgula 2 2 3 3 4 2 2 2" xfId="23990" xr:uid="{C2FEDC47-EC20-4FC2-8711-3C94D42724F2}"/>
    <cellStyle name="Vírgula 2 2 3 3 4 2 2 2 2" xfId="49482" xr:uid="{DCE157C0-B81B-452E-AB2A-07464CAB05A9}"/>
    <cellStyle name="Vírgula 2 2 3 3 4 2 2 3" xfId="36891" xr:uid="{680A176F-6F4F-45EF-9C35-7A7DBA40EFD8}"/>
    <cellStyle name="Vírgula 2 2 3 3 4 2 3" xfId="17712" xr:uid="{C351B82E-294F-4285-B939-D6832F45A65D}"/>
    <cellStyle name="Vírgula 2 2 3 3 4 2 3 2" xfId="43204" xr:uid="{CC902C61-02CA-4A63-957D-3CEB50DAE600}"/>
    <cellStyle name="Vírgula 2 2 3 3 4 2 4" xfId="30613" xr:uid="{8E4D79B8-389C-4D99-931A-B00A4358258B}"/>
    <cellStyle name="Vírgula 2 2 3 3 4 3" xfId="8169" xr:uid="{79825CFF-8C93-47AC-AD4B-87915DC9AD94}"/>
    <cellStyle name="Vírgula 2 2 3 3 4 3 2" xfId="20851" xr:uid="{9F0C582E-A8F2-4BBC-8415-ED04AD1095BA}"/>
    <cellStyle name="Vírgula 2 2 3 3 4 3 2 2" xfId="46343" xr:uid="{9D55F915-A896-45F4-BE98-2C6B4B60E889}"/>
    <cellStyle name="Vírgula 2 2 3 3 4 3 3" xfId="33752" xr:uid="{C084359C-1D0B-4AF8-B95D-D29D697B461D}"/>
    <cellStyle name="Vírgula 2 2 3 3 4 4" xfId="14573" xr:uid="{03930385-15B5-4DEA-AB9E-8679664A55EE}"/>
    <cellStyle name="Vírgula 2 2 3 3 4 4 2" xfId="40065" xr:uid="{3AF570A4-F943-4EF6-8FFF-B953445DD8BC}"/>
    <cellStyle name="Vírgula 2 2 3 3 4 5" xfId="27474" xr:uid="{495598E8-4AE0-43E0-A18D-EF8D256014C2}"/>
    <cellStyle name="Vírgula 2 2 3 3 5" xfId="1339" xr:uid="{3197EAF1-B359-4BBD-AB4A-6E895396E9A1}"/>
    <cellStyle name="Vírgula 2 2 3 3 5 2" xfId="4493" xr:uid="{E5C30146-1499-485E-A205-D0014FCCF9F2}"/>
    <cellStyle name="Vírgula 2 2 3 3 5 2 2" xfId="10786" xr:uid="{7B4891DB-87B7-4D7B-84C6-43E55317B97D}"/>
    <cellStyle name="Vírgula 2 2 3 3 5 2 2 2" xfId="23468" xr:uid="{EE9CD202-5C50-4ABD-96E7-275135DD562A}"/>
    <cellStyle name="Vírgula 2 2 3 3 5 2 2 2 2" xfId="48960" xr:uid="{906E48A5-7624-4C0B-B69B-9EFAA1778A8F}"/>
    <cellStyle name="Vírgula 2 2 3 3 5 2 2 3" xfId="36369" xr:uid="{E69813AC-3197-42CE-A580-C9ADF686B95B}"/>
    <cellStyle name="Vírgula 2 2 3 3 5 2 3" xfId="17190" xr:uid="{434E3063-D9F0-42B7-8A19-06DEFA6F81BD}"/>
    <cellStyle name="Vírgula 2 2 3 3 5 2 3 2" xfId="42682" xr:uid="{614BF65E-8429-437B-9CFD-9BC4F28EB1D6}"/>
    <cellStyle name="Vírgula 2 2 3 3 5 2 4" xfId="30091" xr:uid="{77A94D8B-D022-4FDD-950C-50049954BA7C}"/>
    <cellStyle name="Vírgula 2 2 3 3 5 3" xfId="7647" xr:uid="{987C7FEB-FF6C-46F0-9E36-CA7FDB35C3B4}"/>
    <cellStyle name="Vírgula 2 2 3 3 5 3 2" xfId="20329" xr:uid="{CB5FF943-B7C3-4560-B30B-E4339EDE2F93}"/>
    <cellStyle name="Vírgula 2 2 3 3 5 3 2 2" xfId="45821" xr:uid="{5F6A68AD-3936-4BA0-A598-350F606D04B2}"/>
    <cellStyle name="Vírgula 2 2 3 3 5 3 3" xfId="33230" xr:uid="{26EC33A1-1BDF-440F-A185-9D29C1D6CD3D}"/>
    <cellStyle name="Vírgula 2 2 3 3 5 4" xfId="14051" xr:uid="{E9932767-1201-44BE-8F2F-17D1FD846F4D}"/>
    <cellStyle name="Vírgula 2 2 3 3 5 4 2" xfId="39543" xr:uid="{F3C13DB2-35D3-41FE-BEF5-7ABA63574BAD}"/>
    <cellStyle name="Vírgula 2 2 3 3 5 5" xfId="26952" xr:uid="{CB69CED7-8757-44AE-A23C-BD996D234C9D}"/>
    <cellStyle name="Vírgula 2 2 3 3 6" xfId="2646" xr:uid="{F5715FCE-F4CE-4492-8DC8-2AB961A3CC41}"/>
    <cellStyle name="Vírgula 2 2 3 3 6 2" xfId="5800" xr:uid="{666F269B-AC7F-4E39-9E21-2C6794A62CC5}"/>
    <cellStyle name="Vírgula 2 2 3 3 6 2 2" xfId="12093" xr:uid="{F10C602A-032A-4335-94AC-26E5E542A978}"/>
    <cellStyle name="Vírgula 2 2 3 3 6 2 2 2" xfId="24775" xr:uid="{C5680A10-3FF2-4877-82DF-941E0195B881}"/>
    <cellStyle name="Vírgula 2 2 3 3 6 2 2 2 2" xfId="50267" xr:uid="{A65EF8D1-C4D8-4263-8725-2EC20D4F2390}"/>
    <cellStyle name="Vírgula 2 2 3 3 6 2 2 3" xfId="37676" xr:uid="{48F72D53-82B1-4CE7-B1CA-3FA9DF8E770D}"/>
    <cellStyle name="Vírgula 2 2 3 3 6 2 3" xfId="18497" xr:uid="{06C6CE5F-11BC-45C3-B396-B7994CCA81CC}"/>
    <cellStyle name="Vírgula 2 2 3 3 6 2 3 2" xfId="43989" xr:uid="{548B975C-26F1-4978-8062-0DEF5BB91451}"/>
    <cellStyle name="Vírgula 2 2 3 3 6 2 4" xfId="31398" xr:uid="{2161CAD8-B431-4B6E-8C98-31A6F296CCAA}"/>
    <cellStyle name="Vírgula 2 2 3 3 6 3" xfId="8954" xr:uid="{5E75E3AD-3AD8-4014-908B-14DF9646F730}"/>
    <cellStyle name="Vírgula 2 2 3 3 6 3 2" xfId="21636" xr:uid="{B539F5FA-E881-4942-99CA-679BDBB00071}"/>
    <cellStyle name="Vírgula 2 2 3 3 6 3 2 2" xfId="47128" xr:uid="{06A03370-7442-455B-9C27-66F284BD4B83}"/>
    <cellStyle name="Vírgula 2 2 3 3 6 3 3" xfId="34537" xr:uid="{8EB48469-B117-4878-8C3E-7327B818CD09}"/>
    <cellStyle name="Vírgula 2 2 3 3 6 4" xfId="15358" xr:uid="{6FF0A081-0837-49B4-9728-D0D27D8C4DA0}"/>
    <cellStyle name="Vírgula 2 2 3 3 6 4 2" xfId="40850" xr:uid="{A4A27C1B-6559-4C4F-865C-983D5DC15849}"/>
    <cellStyle name="Vírgula 2 2 3 3 6 5" xfId="28259" xr:uid="{90D9E1BA-389E-4FC5-B636-F0C082EC0C9F}"/>
    <cellStyle name="Vírgula 2 2 3 3 7" xfId="3169" xr:uid="{BA95A741-42B2-4842-9186-9EA0E21E7BDE}"/>
    <cellStyle name="Vírgula 2 2 3 3 7 2" xfId="6323" xr:uid="{49696223-5735-42A1-87F5-761764027EF6}"/>
    <cellStyle name="Vírgula 2 2 3 3 7 2 2" xfId="12616" xr:uid="{C9EF5BBD-41C7-4ACF-8801-80BB57BA9323}"/>
    <cellStyle name="Vírgula 2 2 3 3 7 2 2 2" xfId="25298" xr:uid="{54BFA8C4-A1B9-41B0-9E11-E6E022559219}"/>
    <cellStyle name="Vírgula 2 2 3 3 7 2 2 2 2" xfId="50790" xr:uid="{CA4DB578-2258-4532-A558-F7D450F9ACA2}"/>
    <cellStyle name="Vírgula 2 2 3 3 7 2 2 3" xfId="38199" xr:uid="{EADAC262-E589-4264-A197-AFCF96563D4F}"/>
    <cellStyle name="Vírgula 2 2 3 3 7 2 3" xfId="19020" xr:uid="{3DBF3EF7-8DC7-4A70-9B11-E42B8844A4B7}"/>
    <cellStyle name="Vírgula 2 2 3 3 7 2 3 2" xfId="44512" xr:uid="{FEAF1D19-7765-41CA-8108-E462C93BBC67}"/>
    <cellStyle name="Vírgula 2 2 3 3 7 2 4" xfId="31921" xr:uid="{A725A93A-B657-4CCA-B78C-4ACD9E49FA1A}"/>
    <cellStyle name="Vírgula 2 2 3 3 7 3" xfId="9477" xr:uid="{B7D2423A-7708-4E1F-8444-5578B852FC08}"/>
    <cellStyle name="Vírgula 2 2 3 3 7 3 2" xfId="22159" xr:uid="{C9B1335E-6405-4623-B7DA-4A136E168ECB}"/>
    <cellStyle name="Vírgula 2 2 3 3 7 3 2 2" xfId="47651" xr:uid="{A9A7F311-A49D-4787-A01F-B5CF2A4002CD}"/>
    <cellStyle name="Vírgula 2 2 3 3 7 3 3" xfId="35060" xr:uid="{8CF4381C-C67A-45D7-A1D7-98C698639D54}"/>
    <cellStyle name="Vírgula 2 2 3 3 7 4" xfId="15881" xr:uid="{A272BD77-1A3C-43C5-B58F-52DA28A5A621}"/>
    <cellStyle name="Vírgula 2 2 3 3 7 4 2" xfId="41373" xr:uid="{0C0999BD-EAED-469C-BF69-1816E0BD7B6C}"/>
    <cellStyle name="Vírgula 2 2 3 3 7 5" xfId="28782" xr:uid="{560ECED2-7102-40A1-BCDC-40B3300DF376}"/>
    <cellStyle name="Vírgula 2 2 3 3 8" xfId="3708" xr:uid="{E51E4140-9B7D-4C99-8949-E42071846F15}"/>
    <cellStyle name="Vírgula 2 2 3 3 8 2" xfId="10001" xr:uid="{37772751-36D9-4C9D-9FFC-11C4B2B24252}"/>
    <cellStyle name="Vírgula 2 2 3 3 8 2 2" xfId="22683" xr:uid="{FE735941-4E7A-460C-9560-6E54772232E3}"/>
    <cellStyle name="Vírgula 2 2 3 3 8 2 2 2" xfId="48175" xr:uid="{C642E8F6-DA4A-4AD4-846A-0D96E787356E}"/>
    <cellStyle name="Vírgula 2 2 3 3 8 2 3" xfId="35584" xr:uid="{80AB2C9C-C905-4FAA-AE08-30DF3D28C81F}"/>
    <cellStyle name="Vírgula 2 2 3 3 8 3" xfId="16405" xr:uid="{4B87D9A2-63E8-4833-9DD8-FB5B4E73FB64}"/>
    <cellStyle name="Vírgula 2 2 3 3 8 3 2" xfId="41897" xr:uid="{C14A3BE0-D57C-4128-AB78-A4C5C05B2AA2}"/>
    <cellStyle name="Vírgula 2 2 3 3 8 4" xfId="29306" xr:uid="{35A287AC-0EE2-42D3-8CAE-546E1C34A2C7}"/>
    <cellStyle name="Vírgula 2 2 3 3 9" xfId="6862" xr:uid="{5017D754-F0CB-4EF9-AFE8-BAFDF4846598}"/>
    <cellStyle name="Vírgula 2 2 3 3 9 2" xfId="19544" xr:uid="{67B373A3-4DF8-47A5-A9E4-135E9119F3A7}"/>
    <cellStyle name="Vírgula 2 2 3 3 9 2 2" xfId="45036" xr:uid="{0FFEE140-2908-4B82-ABB3-7520A75F1718}"/>
    <cellStyle name="Vírgula 2 2 3 3 9 3" xfId="32445" xr:uid="{1C235123-F87C-42F7-9300-311B8A59FD49}"/>
    <cellStyle name="Vírgula 2 2 3 4" xfId="1017" xr:uid="{E7A2F332-151F-47A3-BACB-3175363BE108}"/>
    <cellStyle name="Vírgula 2 2 3 4 2" xfId="2324" xr:uid="{433E9266-BB16-4B07-8158-609C8EC761DA}"/>
    <cellStyle name="Vírgula 2 2 3 4 2 2" xfId="5478" xr:uid="{6DA8D0AA-B2B5-4D6B-B4ED-362BA1EF49F4}"/>
    <cellStyle name="Vírgula 2 2 3 4 2 2 2" xfId="11771" xr:uid="{E66BFD34-9260-41FE-A611-70A60B9F5661}"/>
    <cellStyle name="Vírgula 2 2 3 4 2 2 2 2" xfId="24453" xr:uid="{273FC865-5B7A-4402-8DEF-A912508120B3}"/>
    <cellStyle name="Vírgula 2 2 3 4 2 2 2 2 2" xfId="49945" xr:uid="{15717AEE-78A7-4125-AB4B-0CA39A7BE4ED}"/>
    <cellStyle name="Vírgula 2 2 3 4 2 2 2 3" xfId="37354" xr:uid="{838019E5-BAC1-487B-96E7-183CE87AA008}"/>
    <cellStyle name="Vírgula 2 2 3 4 2 2 3" xfId="18175" xr:uid="{62558B72-BA2B-4EB1-B1EB-22E1C3105524}"/>
    <cellStyle name="Vírgula 2 2 3 4 2 2 3 2" xfId="43667" xr:uid="{BCC48FF5-BB66-49BE-AB62-5C1FBFFD874E}"/>
    <cellStyle name="Vírgula 2 2 3 4 2 2 4" xfId="31076" xr:uid="{D9394DA2-7739-4628-8F5D-89FE660BFE1F}"/>
    <cellStyle name="Vírgula 2 2 3 4 2 3" xfId="8632" xr:uid="{7DEFF47E-A556-43AA-93A2-13D8588BD2FF}"/>
    <cellStyle name="Vírgula 2 2 3 4 2 3 2" xfId="21314" xr:uid="{7366763D-8058-4FC9-9A56-D35E091C1C85}"/>
    <cellStyle name="Vírgula 2 2 3 4 2 3 2 2" xfId="46806" xr:uid="{F61ADE70-4C4A-4E76-A4F8-46BDCA09AF11}"/>
    <cellStyle name="Vírgula 2 2 3 4 2 3 3" xfId="34215" xr:uid="{4DCFE132-D186-4603-8E11-AD1DCFB9D32F}"/>
    <cellStyle name="Vírgula 2 2 3 4 2 4" xfId="15036" xr:uid="{BBA60B46-C476-4B2C-A417-4AE4B5984613}"/>
    <cellStyle name="Vírgula 2 2 3 4 2 4 2" xfId="40528" xr:uid="{C8588954-E9BC-4650-8C04-951A0D846D53}"/>
    <cellStyle name="Vírgula 2 2 3 4 2 5" xfId="27937" xr:uid="{681DA361-5733-40A9-A3FB-8B6E9E643927}"/>
    <cellStyle name="Vírgula 2 2 3 4 3" xfId="1541" xr:uid="{CE86F0C3-7291-46A0-B3BD-7223AEBD4B5F}"/>
    <cellStyle name="Vírgula 2 2 3 4 3 2" xfId="4695" xr:uid="{6D1A495D-D0EF-481D-80D4-9CF8C17D7C58}"/>
    <cellStyle name="Vírgula 2 2 3 4 3 2 2" xfId="10988" xr:uid="{B74C8CC7-E0CD-4E32-BB73-490E68D8E5D9}"/>
    <cellStyle name="Vírgula 2 2 3 4 3 2 2 2" xfId="23670" xr:uid="{FD226893-79C2-48F2-917D-F9146B19B400}"/>
    <cellStyle name="Vírgula 2 2 3 4 3 2 2 2 2" xfId="49162" xr:uid="{263AA987-333C-4C11-8F41-D4C951FE2B84}"/>
    <cellStyle name="Vírgula 2 2 3 4 3 2 2 3" xfId="36571" xr:uid="{A98B9F34-40EB-44D6-9C5C-A9F9D6AC92A6}"/>
    <cellStyle name="Vírgula 2 2 3 4 3 2 3" xfId="17392" xr:uid="{277B7FFA-0325-4975-81A7-2C6E3D0DD67C}"/>
    <cellStyle name="Vírgula 2 2 3 4 3 2 3 2" xfId="42884" xr:uid="{0C2E7F1F-5685-4676-BAEB-89B16E6704D6}"/>
    <cellStyle name="Vírgula 2 2 3 4 3 2 4" xfId="30293" xr:uid="{1B3A43B5-2C56-4DCD-92E8-252FFD3D7EA6}"/>
    <cellStyle name="Vírgula 2 2 3 4 3 3" xfId="7849" xr:uid="{CB9ED8C4-557D-4162-B9BE-480E1BEB1990}"/>
    <cellStyle name="Vírgula 2 2 3 4 3 3 2" xfId="20531" xr:uid="{732EAF50-6A73-4F8D-93EA-3D935E718D20}"/>
    <cellStyle name="Vírgula 2 2 3 4 3 3 2 2" xfId="46023" xr:uid="{A953B50C-2B8B-4645-8D3C-A6AA2B8EE3C7}"/>
    <cellStyle name="Vírgula 2 2 3 4 3 3 3" xfId="33432" xr:uid="{2D760B9E-36C8-45BA-9A9F-F9E81468A289}"/>
    <cellStyle name="Vírgula 2 2 3 4 3 4" xfId="14253" xr:uid="{0755F5CE-36F2-4F35-9B21-89982C8D444E}"/>
    <cellStyle name="Vírgula 2 2 3 4 3 4 2" xfId="39745" xr:uid="{42761FC6-8C50-4A5F-A779-A925F26A4784}"/>
    <cellStyle name="Vírgula 2 2 3 4 3 5" xfId="27154" xr:uid="{445B0E6C-7E20-4032-ADAA-33AA94F1FAA4}"/>
    <cellStyle name="Vírgula 2 2 3 4 4" xfId="2848" xr:uid="{EF03F8C6-498A-4A31-9688-5B837231696D}"/>
    <cellStyle name="Vírgula 2 2 3 4 4 2" xfId="6002" xr:uid="{0340306C-B106-48F4-A92B-0BAB2A10384D}"/>
    <cellStyle name="Vírgula 2 2 3 4 4 2 2" xfId="12295" xr:uid="{A47AB860-8D26-4C14-904D-1D5007DCF156}"/>
    <cellStyle name="Vírgula 2 2 3 4 4 2 2 2" xfId="24977" xr:uid="{87341112-B9BC-43E4-9992-DFDD1519A338}"/>
    <cellStyle name="Vírgula 2 2 3 4 4 2 2 2 2" xfId="50469" xr:uid="{9D8B5912-F804-44EB-89A7-A5737C42185E}"/>
    <cellStyle name="Vírgula 2 2 3 4 4 2 2 3" xfId="37878" xr:uid="{9077487C-B652-4BE3-85F1-E2B88479B289}"/>
    <cellStyle name="Vírgula 2 2 3 4 4 2 3" xfId="18699" xr:uid="{DAE74F32-FBFA-4AC2-A67E-9BA2831061A5}"/>
    <cellStyle name="Vírgula 2 2 3 4 4 2 3 2" xfId="44191" xr:uid="{A8AC9A13-AC41-47E4-9AFC-C8557C5219E1}"/>
    <cellStyle name="Vírgula 2 2 3 4 4 2 4" xfId="31600" xr:uid="{EB9F8A2D-4821-472E-9685-8F958314E354}"/>
    <cellStyle name="Vírgula 2 2 3 4 4 3" xfId="9156" xr:uid="{113C45D7-35B2-40C4-83DB-F9F5EFBE3195}"/>
    <cellStyle name="Vírgula 2 2 3 4 4 3 2" xfId="21838" xr:uid="{312D7EE6-C76E-4227-A4F2-5847F46B6DE1}"/>
    <cellStyle name="Vírgula 2 2 3 4 4 3 2 2" xfId="47330" xr:uid="{80010A7F-4D3E-4B0F-81B2-C265EB3F8F4D}"/>
    <cellStyle name="Vírgula 2 2 3 4 4 3 3" xfId="34739" xr:uid="{B2265041-57C6-41FA-8ED4-D642AD436A55}"/>
    <cellStyle name="Vírgula 2 2 3 4 4 4" xfId="15560" xr:uid="{E0DAA1F3-4001-43B0-922B-16DA85D46CC8}"/>
    <cellStyle name="Vírgula 2 2 3 4 4 4 2" xfId="41052" xr:uid="{9FEB32B9-167C-4416-AE9D-8D8AB471E9FF}"/>
    <cellStyle name="Vírgula 2 2 3 4 4 5" xfId="28461" xr:uid="{B52307EB-093C-47CA-9517-F6DAE125EB42}"/>
    <cellStyle name="Vírgula 2 2 3 4 5" xfId="3371" xr:uid="{B954C4C0-007B-48E7-AD44-695EAE1771B0}"/>
    <cellStyle name="Vírgula 2 2 3 4 5 2" xfId="6525" xr:uid="{83C2046E-2ADF-4FC0-8FC8-1D1AD25A1439}"/>
    <cellStyle name="Vírgula 2 2 3 4 5 2 2" xfId="12818" xr:uid="{94845A0E-1E1D-4846-A8F1-5DE2C658BF60}"/>
    <cellStyle name="Vírgula 2 2 3 4 5 2 2 2" xfId="25500" xr:uid="{D0319EDD-35AA-4B85-AD37-D0313BAFBAB0}"/>
    <cellStyle name="Vírgula 2 2 3 4 5 2 2 2 2" xfId="50992" xr:uid="{8381A75D-F928-44E2-BB55-37D2486660BE}"/>
    <cellStyle name="Vírgula 2 2 3 4 5 2 2 3" xfId="38401" xr:uid="{77466D1D-61BA-40C5-AE2F-23715B54B108}"/>
    <cellStyle name="Vírgula 2 2 3 4 5 2 3" xfId="19222" xr:uid="{C51E6484-7899-4ECD-A7E1-B47297BE97E8}"/>
    <cellStyle name="Vírgula 2 2 3 4 5 2 3 2" xfId="44714" xr:uid="{37D7DF9C-AFA8-4194-8FF5-8FC923B339CF}"/>
    <cellStyle name="Vírgula 2 2 3 4 5 2 4" xfId="32123" xr:uid="{04A9A9EB-2867-473F-A34F-2BB09E3ABD5F}"/>
    <cellStyle name="Vírgula 2 2 3 4 5 3" xfId="9679" xr:uid="{B328C6A8-C0E6-4FAD-91A7-076920D1BB40}"/>
    <cellStyle name="Vírgula 2 2 3 4 5 3 2" xfId="22361" xr:uid="{1D5797E4-4D34-407D-B117-DC051278F261}"/>
    <cellStyle name="Vírgula 2 2 3 4 5 3 2 2" xfId="47853" xr:uid="{19347732-7C04-4986-9174-D54115E770F9}"/>
    <cellStyle name="Vírgula 2 2 3 4 5 3 3" xfId="35262" xr:uid="{230647CA-5162-4E6A-9331-E36DC8007258}"/>
    <cellStyle name="Vírgula 2 2 3 4 5 4" xfId="16083" xr:uid="{2A31B46F-74B6-497F-93AC-9B9F0982DB12}"/>
    <cellStyle name="Vírgula 2 2 3 4 5 4 2" xfId="41575" xr:uid="{07FF3850-0CAC-49B8-BF8A-1843541BB31A}"/>
    <cellStyle name="Vírgula 2 2 3 4 5 5" xfId="28984" xr:uid="{C6D838C8-818C-45F1-BC4A-506CC1F94AF6}"/>
    <cellStyle name="Vírgula 2 2 3 4 6" xfId="4171" xr:uid="{5BA05802-518E-4FCF-9BE8-C0624D4DF80D}"/>
    <cellStyle name="Vírgula 2 2 3 4 6 2" xfId="10464" xr:uid="{AA40568E-EBD6-42C4-A38A-C657EADE8098}"/>
    <cellStyle name="Vírgula 2 2 3 4 6 2 2" xfId="23146" xr:uid="{5EFC085C-3636-43AA-8510-E39B1DC6C849}"/>
    <cellStyle name="Vírgula 2 2 3 4 6 2 2 2" xfId="48638" xr:uid="{4A481043-84C9-40EC-9BE7-410F58ECAEC8}"/>
    <cellStyle name="Vírgula 2 2 3 4 6 2 3" xfId="36047" xr:uid="{B60D43A4-D535-4BEE-91F7-005D02611904}"/>
    <cellStyle name="Vírgula 2 2 3 4 6 3" xfId="16868" xr:uid="{F0BE380F-8850-4D41-A3B3-A16EAE905B05}"/>
    <cellStyle name="Vírgula 2 2 3 4 6 3 2" xfId="42360" xr:uid="{CD32582D-622E-4F4B-B310-7E18174CF596}"/>
    <cellStyle name="Vírgula 2 2 3 4 6 4" xfId="29769" xr:uid="{7DF5C1DF-3E58-4C96-95A1-AD9032CCEE56}"/>
    <cellStyle name="Vírgula 2 2 3 4 7" xfId="7325" xr:uid="{22C54634-B8CC-4630-8B41-06164359C343}"/>
    <cellStyle name="Vírgula 2 2 3 4 7 2" xfId="20007" xr:uid="{E221A2E9-7DB9-4D87-972B-73123C5F4C3A}"/>
    <cellStyle name="Vírgula 2 2 3 4 7 2 2" xfId="45499" xr:uid="{5E5B387D-2E1F-44CE-8599-6E53BDD4D3A5}"/>
    <cellStyle name="Vírgula 2 2 3 4 7 3" xfId="32908" xr:uid="{165D8926-B9A1-4B08-9951-6A2AED398E07}"/>
    <cellStyle name="Vírgula 2 2 3 4 8" xfId="13729" xr:uid="{01DB18C9-2BB2-4DD1-A639-420EF8E1071B}"/>
    <cellStyle name="Vírgula 2 2 3 4 8 2" xfId="39221" xr:uid="{7DC5148C-BAE0-460E-A594-879B7DAD77F9}"/>
    <cellStyle name="Vírgula 2 2 3 4 9" xfId="26630" xr:uid="{07512EDC-9EC1-470D-BB56-7BBF9E3525B5}"/>
    <cellStyle name="Vírgula 2 2 3 5" xfId="757" xr:uid="{7AACB23A-5154-48D8-A672-B457E7FC3644}"/>
    <cellStyle name="Vírgula 2 2 3 5 2" xfId="2064" xr:uid="{2E9E962C-6224-4FD0-A9C5-1087B9217943}"/>
    <cellStyle name="Vírgula 2 2 3 5 2 2" xfId="5218" xr:uid="{E851291F-3935-4CDA-BD1B-A17E0E609BFA}"/>
    <cellStyle name="Vírgula 2 2 3 5 2 2 2" xfId="11511" xr:uid="{F34EBC4F-0187-447D-B18C-A7C16896C4B9}"/>
    <cellStyle name="Vírgula 2 2 3 5 2 2 2 2" xfId="24193" xr:uid="{0B250C32-DAA5-4DCE-A95A-431E435E9483}"/>
    <cellStyle name="Vírgula 2 2 3 5 2 2 2 2 2" xfId="49685" xr:uid="{509004C9-819E-44E4-8411-74B7F3EA0C74}"/>
    <cellStyle name="Vírgula 2 2 3 5 2 2 2 3" xfId="37094" xr:uid="{7DF0BA17-3B7A-4544-A859-0D6C4BAFB8BA}"/>
    <cellStyle name="Vírgula 2 2 3 5 2 2 3" xfId="17915" xr:uid="{ED14EA46-D035-4FCB-9DC1-B3EE8CB74B70}"/>
    <cellStyle name="Vírgula 2 2 3 5 2 2 3 2" xfId="43407" xr:uid="{0186E78F-8CD0-4C46-AB11-E62622C6F37D}"/>
    <cellStyle name="Vírgula 2 2 3 5 2 2 4" xfId="30816" xr:uid="{7E414987-E3A2-4306-A9DE-113C7789F16B}"/>
    <cellStyle name="Vírgula 2 2 3 5 2 3" xfId="8372" xr:uid="{8B03A265-690D-40CF-8438-2C51E581EB6A}"/>
    <cellStyle name="Vírgula 2 2 3 5 2 3 2" xfId="21054" xr:uid="{FF94A144-6739-456A-AE1A-0B30A2957163}"/>
    <cellStyle name="Vírgula 2 2 3 5 2 3 2 2" xfId="46546" xr:uid="{3396E73D-9FD9-4730-8894-970F9E04DB3A}"/>
    <cellStyle name="Vírgula 2 2 3 5 2 3 3" xfId="33955" xr:uid="{42DCF998-2E95-4471-AFF7-E77CA910FEE3}"/>
    <cellStyle name="Vírgula 2 2 3 5 2 4" xfId="14776" xr:uid="{E6B9D425-7C0B-4828-BAF4-5E5304CA297A}"/>
    <cellStyle name="Vírgula 2 2 3 5 2 4 2" xfId="40268" xr:uid="{735895FA-20B7-4FF9-A93D-5B6381399A78}"/>
    <cellStyle name="Vírgula 2 2 3 5 2 5" xfId="27677" xr:uid="{E607C05C-956A-41FC-96DE-5035151D20BF}"/>
    <cellStyle name="Vírgula 2 2 3 5 3" xfId="3911" xr:uid="{14680288-0D7E-45A9-B445-77CF51BE4A8C}"/>
    <cellStyle name="Vírgula 2 2 3 5 3 2" xfId="10204" xr:uid="{5FB73603-E1E5-485D-B6E1-5B38235124B6}"/>
    <cellStyle name="Vírgula 2 2 3 5 3 2 2" xfId="22886" xr:uid="{20292585-9227-4AD4-B6D3-99A8DD8D5F4E}"/>
    <cellStyle name="Vírgula 2 2 3 5 3 2 2 2" xfId="48378" xr:uid="{A1842EE9-4162-4454-8466-8212F470848D}"/>
    <cellStyle name="Vírgula 2 2 3 5 3 2 3" xfId="35787" xr:uid="{DDC43396-8FBA-44A7-B304-C715A8563EFA}"/>
    <cellStyle name="Vírgula 2 2 3 5 3 3" xfId="16608" xr:uid="{0A923421-290A-415C-93E6-6F0A97A82C0A}"/>
    <cellStyle name="Vírgula 2 2 3 5 3 3 2" xfId="42100" xr:uid="{97F5827D-5CDA-4889-85CF-3282C5191ECC}"/>
    <cellStyle name="Vírgula 2 2 3 5 3 4" xfId="29509" xr:uid="{F8130946-472F-4E24-896C-8C962AC5B7A2}"/>
    <cellStyle name="Vírgula 2 2 3 5 4" xfId="7065" xr:uid="{795ED767-FFAF-4385-8FD7-19DEBC51B849}"/>
    <cellStyle name="Vírgula 2 2 3 5 4 2" xfId="19747" xr:uid="{9D0F204B-4AFC-4B53-8192-B8356935FC7C}"/>
    <cellStyle name="Vírgula 2 2 3 5 4 2 2" xfId="45239" xr:uid="{93DB5A82-552E-450D-B508-3746A812D423}"/>
    <cellStyle name="Vírgula 2 2 3 5 4 3" xfId="32648" xr:uid="{0544E4E0-BF90-44B7-9F4B-9B03EDE7755C}"/>
    <cellStyle name="Vírgula 2 2 3 5 5" xfId="13469" xr:uid="{2DF56B96-5CE5-42CB-BCB2-CB91EB96BA82}"/>
    <cellStyle name="Vírgula 2 2 3 5 5 2" xfId="38961" xr:uid="{1F2C8F0D-B5D0-42B0-9F23-C8586EC22C57}"/>
    <cellStyle name="Vírgula 2 2 3 5 6" xfId="26370" xr:uid="{2E7E3AE1-3039-4907-BB93-A9533CE1DE70}"/>
    <cellStyle name="Vírgula 2 2 3 6" xfId="1802" xr:uid="{266B8800-D217-4C82-8471-9B51D2C087AD}"/>
    <cellStyle name="Vírgula 2 2 3 6 2" xfId="4956" xr:uid="{39E14866-7B69-4648-B964-BEF3782CB369}"/>
    <cellStyle name="Vírgula 2 2 3 6 2 2" xfId="11249" xr:uid="{71FFF6F5-F459-4E6D-AD94-F28268CC92E4}"/>
    <cellStyle name="Vírgula 2 2 3 6 2 2 2" xfId="23931" xr:uid="{750B84DF-10C1-453A-BCB5-8FD1F5A32EA3}"/>
    <cellStyle name="Vírgula 2 2 3 6 2 2 2 2" xfId="49423" xr:uid="{E41F5823-9EDC-48C7-A7E0-B2A09CC7E948}"/>
    <cellStyle name="Vírgula 2 2 3 6 2 2 3" xfId="36832" xr:uid="{F497EE8B-971A-4E6F-AF0A-538BF4B64B08}"/>
    <cellStyle name="Vírgula 2 2 3 6 2 3" xfId="17653" xr:uid="{743698EB-9C57-4F74-9044-A17AEC6D6697}"/>
    <cellStyle name="Vírgula 2 2 3 6 2 3 2" xfId="43145" xr:uid="{740FB458-9CCE-48B8-9C51-F44CAF455357}"/>
    <cellStyle name="Vírgula 2 2 3 6 2 4" xfId="30554" xr:uid="{2B25331A-658F-429C-AA0B-8F7FB6D2F0CF}"/>
    <cellStyle name="Vírgula 2 2 3 6 3" xfId="8110" xr:uid="{FED9E8D1-F53C-4F38-9CED-2659C85E1679}"/>
    <cellStyle name="Vírgula 2 2 3 6 3 2" xfId="20792" xr:uid="{070E354F-4470-40D0-B0CB-F4666A876FAE}"/>
    <cellStyle name="Vírgula 2 2 3 6 3 2 2" xfId="46284" xr:uid="{D1390EDC-6A75-4581-970F-052F93BE95DD}"/>
    <cellStyle name="Vírgula 2 2 3 6 3 3" xfId="33693" xr:uid="{72A84E42-D5B0-4F72-A300-1494737D2C92}"/>
    <cellStyle name="Vírgula 2 2 3 6 4" xfId="14514" xr:uid="{ECB33E1A-2D7F-4D34-A5C5-626E1108AB84}"/>
    <cellStyle name="Vírgula 2 2 3 6 4 2" xfId="40006" xr:uid="{3D7955A1-37C3-4B9A-9CA3-30E680748DFA}"/>
    <cellStyle name="Vírgula 2 2 3 6 5" xfId="27415" xr:uid="{F92C08EE-E275-4234-82D5-CD7C4AC0462B}"/>
    <cellStyle name="Vírgula 2 2 3 7" xfId="1280" xr:uid="{B51491F8-5189-4BCC-8CB4-0D07F90EAF14}"/>
    <cellStyle name="Vírgula 2 2 3 7 2" xfId="4434" xr:uid="{90C1E9B1-3B99-4134-823F-42AA5529E49D}"/>
    <cellStyle name="Vírgula 2 2 3 7 2 2" xfId="10727" xr:uid="{3221571E-B509-4F03-B689-9BA89E6B62CC}"/>
    <cellStyle name="Vírgula 2 2 3 7 2 2 2" xfId="23409" xr:uid="{7B89E20F-F292-41ED-9D34-D49DA89176CA}"/>
    <cellStyle name="Vírgula 2 2 3 7 2 2 2 2" xfId="48901" xr:uid="{2FEB55D3-6F9F-4176-BB68-E09FF4150336}"/>
    <cellStyle name="Vírgula 2 2 3 7 2 2 3" xfId="36310" xr:uid="{EDED10AB-6098-462E-BB55-1C3950E60B57}"/>
    <cellStyle name="Vírgula 2 2 3 7 2 3" xfId="17131" xr:uid="{06A947CA-A906-4EB9-A7C1-76CEA98BC5E9}"/>
    <cellStyle name="Vírgula 2 2 3 7 2 3 2" xfId="42623" xr:uid="{B4F7833B-9C59-4349-9129-8C31CDA08C2E}"/>
    <cellStyle name="Vírgula 2 2 3 7 2 4" xfId="30032" xr:uid="{45D419C3-411F-4F41-B936-6B3A03DF20AC}"/>
    <cellStyle name="Vírgula 2 2 3 7 3" xfId="7588" xr:uid="{76F393FA-CCF7-4E54-8E5A-0865CB41AF16}"/>
    <cellStyle name="Vírgula 2 2 3 7 3 2" xfId="20270" xr:uid="{319B157B-53AA-4F3D-B7CE-9BD567DAC9B0}"/>
    <cellStyle name="Vírgula 2 2 3 7 3 2 2" xfId="45762" xr:uid="{92BEDC25-6DA4-4634-B697-C1CBDC55148C}"/>
    <cellStyle name="Vírgula 2 2 3 7 3 3" xfId="33171" xr:uid="{3E3F8738-E6D6-4885-84AD-BBB11118DD87}"/>
    <cellStyle name="Vírgula 2 2 3 7 4" xfId="13992" xr:uid="{B664F691-9328-4B50-9087-89837EB9DC52}"/>
    <cellStyle name="Vírgula 2 2 3 7 4 2" xfId="39484" xr:uid="{F75DEDEB-972A-4553-AEFD-75AAA5480054}"/>
    <cellStyle name="Vírgula 2 2 3 7 5" xfId="26893" xr:uid="{045BF49A-79C3-43A4-A61B-28E5B4F74FBE}"/>
    <cellStyle name="Vírgula 2 2 3 8" xfId="2587" xr:uid="{946479A3-DD5C-442A-BB9B-D39503CA62D0}"/>
    <cellStyle name="Vírgula 2 2 3 8 2" xfId="5741" xr:uid="{8E061158-E850-4D11-B506-A6032EAA84E1}"/>
    <cellStyle name="Vírgula 2 2 3 8 2 2" xfId="12034" xr:uid="{9CD1F139-C9D2-403F-9248-5A1D0BDF7D17}"/>
    <cellStyle name="Vírgula 2 2 3 8 2 2 2" xfId="24716" xr:uid="{513D18F8-F511-4D58-94D1-9F1D402BB314}"/>
    <cellStyle name="Vírgula 2 2 3 8 2 2 2 2" xfId="50208" xr:uid="{0515043B-A3A8-46A7-BD64-1DC986F85971}"/>
    <cellStyle name="Vírgula 2 2 3 8 2 2 3" xfId="37617" xr:uid="{FD163F8C-E61F-4674-B213-727AC290B34C}"/>
    <cellStyle name="Vírgula 2 2 3 8 2 3" xfId="18438" xr:uid="{5B2926FF-1D36-4478-87C7-9951D3989465}"/>
    <cellStyle name="Vírgula 2 2 3 8 2 3 2" xfId="43930" xr:uid="{667E6603-2D99-4E46-B662-02A8DF3E4F8B}"/>
    <cellStyle name="Vírgula 2 2 3 8 2 4" xfId="31339" xr:uid="{6F4FEEDF-547C-4F77-ABAC-E6818A5CAFBC}"/>
    <cellStyle name="Vírgula 2 2 3 8 3" xfId="8895" xr:uid="{EC736AED-8DED-4A42-BDF4-FBFC50D88DE2}"/>
    <cellStyle name="Vírgula 2 2 3 8 3 2" xfId="21577" xr:uid="{068E669B-049B-4695-8084-3A1F65BD2602}"/>
    <cellStyle name="Vírgula 2 2 3 8 3 2 2" xfId="47069" xr:uid="{6A0A9D96-7FB1-46B1-973A-9A1262FAC294}"/>
    <cellStyle name="Vírgula 2 2 3 8 3 3" xfId="34478" xr:uid="{CFE24AB4-F502-461D-B636-0142598DE4B5}"/>
    <cellStyle name="Vírgula 2 2 3 8 4" xfId="15299" xr:uid="{E621CC7F-0138-4125-9CE1-AAA7D8D2A669}"/>
    <cellStyle name="Vírgula 2 2 3 8 4 2" xfId="40791" xr:uid="{0B4A3A71-0B02-42FF-A865-58E13C0FD515}"/>
    <cellStyle name="Vírgula 2 2 3 8 5" xfId="28200" xr:uid="{FD65C382-0261-4990-B49F-C143256E4D9F}"/>
    <cellStyle name="Vírgula 2 2 3 9" xfId="3110" xr:uid="{31A87699-D4F7-4BA1-ACF9-3BFDE27DEC59}"/>
    <cellStyle name="Vírgula 2 2 3 9 2" xfId="6264" xr:uid="{1570C495-AE6A-489D-86BB-6BF078EF5A4C}"/>
    <cellStyle name="Vírgula 2 2 3 9 2 2" xfId="12557" xr:uid="{8F5CA69E-43A6-4748-B250-362299BD3DBD}"/>
    <cellStyle name="Vírgula 2 2 3 9 2 2 2" xfId="25239" xr:uid="{1773240E-6A17-4853-A26A-430BF9991AC8}"/>
    <cellStyle name="Vírgula 2 2 3 9 2 2 2 2" xfId="50731" xr:uid="{E4B6AB88-00AE-4F66-BBEF-85F842C87EB4}"/>
    <cellStyle name="Vírgula 2 2 3 9 2 2 3" xfId="38140" xr:uid="{6E559EF9-E160-4554-A60B-9C54AA699281}"/>
    <cellStyle name="Vírgula 2 2 3 9 2 3" xfId="18961" xr:uid="{5B064E66-1D79-436E-9EDD-A7F87CB89021}"/>
    <cellStyle name="Vírgula 2 2 3 9 2 3 2" xfId="44453" xr:uid="{2C11BB71-085A-4DE8-A0E2-26C09C318A6E}"/>
    <cellStyle name="Vírgula 2 2 3 9 2 4" xfId="31862" xr:uid="{35B61BF2-C866-4969-88C4-48AFC69C0FF7}"/>
    <cellStyle name="Vírgula 2 2 3 9 3" xfId="9418" xr:uid="{C57F6FE0-79AB-4AD0-9787-6B9F702E9B90}"/>
    <cellStyle name="Vírgula 2 2 3 9 3 2" xfId="22100" xr:uid="{DEE0885D-A665-4136-9D84-1C3F76AC5233}"/>
    <cellStyle name="Vírgula 2 2 3 9 3 2 2" xfId="47592" xr:uid="{809737A4-349E-47FB-BDEE-1BF61D625052}"/>
    <cellStyle name="Vírgula 2 2 3 9 3 3" xfId="35001" xr:uid="{6CDCB608-7CD1-46C4-B56F-CBA4021272E4}"/>
    <cellStyle name="Vírgula 2 2 3 9 4" xfId="15822" xr:uid="{55B7AEF0-200C-4391-AD4D-84231895CF8C}"/>
    <cellStyle name="Vírgula 2 2 3 9 4 2" xfId="41314" xr:uid="{716F05CC-ACCA-46D5-8FDC-B966785FFCBB}"/>
    <cellStyle name="Vírgula 2 2 3 9 5" xfId="28723" xr:uid="{3C14A016-C57F-4E30-A57C-9A559E49A300}"/>
    <cellStyle name="Vírgula 2 2 4" xfId="461" xr:uid="{D647E2ED-BCA2-417C-83AA-8DB3910063A7}"/>
    <cellStyle name="Vírgula 2 2 4 10" xfId="6784" xr:uid="{C1D52B5E-3A86-496D-8A8E-43F134ADC08D}"/>
    <cellStyle name="Vírgula 2 2 4 10 2" xfId="19466" xr:uid="{BF3AC863-5DA9-4CF6-ABF1-2ACF9AA8256E}"/>
    <cellStyle name="Vírgula 2 2 4 10 2 2" xfId="44958" xr:uid="{07F088E6-8E34-4E68-ADAD-93A4A986080A}"/>
    <cellStyle name="Vírgula 2 2 4 10 3" xfId="32367" xr:uid="{7413285B-B620-41FF-85EA-1F1D204B0FF7}"/>
    <cellStyle name="Vírgula 2 2 4 11" xfId="13188" xr:uid="{5BD4FDBB-7C5F-48E6-91D8-B31BBAFE859B}"/>
    <cellStyle name="Vírgula 2 2 4 11 2" xfId="38680" xr:uid="{8BA8E674-2C46-48AA-9D36-D51BA563FF58}"/>
    <cellStyle name="Vírgula 2 2 4 12" xfId="26089" xr:uid="{C82FD16C-792A-4AE2-A876-0423543C5B0D}"/>
    <cellStyle name="Vírgula 2 2 4 2" xfId="620" xr:uid="{6EBE9F1C-2C0E-4FD3-A3C4-8EF2070BA138}"/>
    <cellStyle name="Vírgula 2 2 4 2 10" xfId="13347" xr:uid="{0789293E-B090-45A2-82E0-6D36D23AC3ED}"/>
    <cellStyle name="Vírgula 2 2 4 2 10 2" xfId="38839" xr:uid="{1B51CC3B-67E9-4E17-B388-D0136DB35CBC}"/>
    <cellStyle name="Vírgula 2 2 4 2 11" xfId="26248" xr:uid="{695A549D-20AA-4521-8D2D-10F3717AA02A}"/>
    <cellStyle name="Vírgula 2 2 4 2 2" xfId="1157" xr:uid="{69E89FD3-067C-47EF-BD17-9A3FEDEA87D1}"/>
    <cellStyle name="Vírgula 2 2 4 2 2 2" xfId="2464" xr:uid="{94399949-54C4-4F18-9C94-BD069DA84C0F}"/>
    <cellStyle name="Vírgula 2 2 4 2 2 2 2" xfId="5618" xr:uid="{82C98470-824D-4C71-8C15-CF7C070800EC}"/>
    <cellStyle name="Vírgula 2 2 4 2 2 2 2 2" xfId="11911" xr:uid="{38FE1F1F-905A-480D-BE3F-992EBCD20E24}"/>
    <cellStyle name="Vírgula 2 2 4 2 2 2 2 2 2" xfId="24593" xr:uid="{25B20B13-5474-442F-92DA-140A93818281}"/>
    <cellStyle name="Vírgula 2 2 4 2 2 2 2 2 2 2" xfId="50085" xr:uid="{EA091DE4-C1CF-41BD-8B42-47B599097F2C}"/>
    <cellStyle name="Vírgula 2 2 4 2 2 2 2 2 3" xfId="37494" xr:uid="{06D01FCC-7877-43E9-875C-B06C1762E510}"/>
    <cellStyle name="Vírgula 2 2 4 2 2 2 2 3" xfId="18315" xr:uid="{683B6D00-8741-4A87-B69F-26729E8141C4}"/>
    <cellStyle name="Vírgula 2 2 4 2 2 2 2 3 2" xfId="43807" xr:uid="{DC35E0F3-6555-46E4-BE44-2D02FEDFEB80}"/>
    <cellStyle name="Vírgula 2 2 4 2 2 2 2 4" xfId="31216" xr:uid="{94706689-8E82-4F46-9944-F8D4F251CA79}"/>
    <cellStyle name="Vírgula 2 2 4 2 2 2 3" xfId="8772" xr:uid="{F8F54B22-B73C-4126-AA08-E0E5BCFF6061}"/>
    <cellStyle name="Vírgula 2 2 4 2 2 2 3 2" xfId="21454" xr:uid="{DFDC58A3-A3F1-412E-A7A7-01FBD5C69333}"/>
    <cellStyle name="Vírgula 2 2 4 2 2 2 3 2 2" xfId="46946" xr:uid="{6E7F7020-5F65-4C49-B764-715722AB7D6A}"/>
    <cellStyle name="Vírgula 2 2 4 2 2 2 3 3" xfId="34355" xr:uid="{39A8997F-37E0-48BA-A9CC-A3A9DABC399A}"/>
    <cellStyle name="Vírgula 2 2 4 2 2 2 4" xfId="15176" xr:uid="{9F567CDD-7832-46BB-81EA-1347C73A9EFF}"/>
    <cellStyle name="Vírgula 2 2 4 2 2 2 4 2" xfId="40668" xr:uid="{4FF5505E-CDB4-4348-9AF1-4E0AF8CC2B4A}"/>
    <cellStyle name="Vírgula 2 2 4 2 2 2 5" xfId="28077" xr:uid="{430D4688-3614-4810-B8C3-B1EFD39E6C56}"/>
    <cellStyle name="Vírgula 2 2 4 2 2 3" xfId="1681" xr:uid="{2C2E189B-8260-401B-8429-266AF51C9C80}"/>
    <cellStyle name="Vírgula 2 2 4 2 2 3 2" xfId="4835" xr:uid="{EE6C837F-13AC-4935-BBF7-174BF6EC5787}"/>
    <cellStyle name="Vírgula 2 2 4 2 2 3 2 2" xfId="11128" xr:uid="{8C2B4D9C-60A4-4C68-9CE6-DEDE571EBCF7}"/>
    <cellStyle name="Vírgula 2 2 4 2 2 3 2 2 2" xfId="23810" xr:uid="{8DE9C8D1-11A0-4EE3-8C67-1414195C6D7D}"/>
    <cellStyle name="Vírgula 2 2 4 2 2 3 2 2 2 2" xfId="49302" xr:uid="{A05BD11F-B6E8-4B54-B9ED-9B561397F110}"/>
    <cellStyle name="Vírgula 2 2 4 2 2 3 2 2 3" xfId="36711" xr:uid="{562AFF0F-AA82-4B25-A3AC-D393F297F257}"/>
    <cellStyle name="Vírgula 2 2 4 2 2 3 2 3" xfId="17532" xr:uid="{901BF3C8-5CE5-474E-A049-1DDB638623BC}"/>
    <cellStyle name="Vírgula 2 2 4 2 2 3 2 3 2" xfId="43024" xr:uid="{FE109880-F80E-4D94-B53F-C8C48A5D7667}"/>
    <cellStyle name="Vírgula 2 2 4 2 2 3 2 4" xfId="30433" xr:uid="{A1946D20-0AB9-4165-B6C0-F38B3D01080E}"/>
    <cellStyle name="Vírgula 2 2 4 2 2 3 3" xfId="7989" xr:uid="{8F7D8D51-EE3D-4BC0-8995-880491D66681}"/>
    <cellStyle name="Vírgula 2 2 4 2 2 3 3 2" xfId="20671" xr:uid="{64D22841-529D-4742-BF5E-14D2AEBCC902}"/>
    <cellStyle name="Vírgula 2 2 4 2 2 3 3 2 2" xfId="46163" xr:uid="{88D281C4-8CC2-4D39-9910-CA008D06CC8B}"/>
    <cellStyle name="Vírgula 2 2 4 2 2 3 3 3" xfId="33572" xr:uid="{C8312E39-FC1B-43D1-B7D7-17013B478F53}"/>
    <cellStyle name="Vírgula 2 2 4 2 2 3 4" xfId="14393" xr:uid="{9DB83DC0-CFE0-4152-AFD7-3C7C1EACBAE1}"/>
    <cellStyle name="Vírgula 2 2 4 2 2 3 4 2" xfId="39885" xr:uid="{20CB0151-7C46-419B-86DF-8B3BFB1BEE3A}"/>
    <cellStyle name="Vírgula 2 2 4 2 2 3 5" xfId="27294" xr:uid="{6215375C-7F52-430F-89B2-37CB86302342}"/>
    <cellStyle name="Vírgula 2 2 4 2 2 4" xfId="2988" xr:uid="{337658E1-A24B-424F-97DC-694AC3641470}"/>
    <cellStyle name="Vírgula 2 2 4 2 2 4 2" xfId="6142" xr:uid="{E5917D63-0AC3-4B5C-B9D6-0FC5F29BA71F}"/>
    <cellStyle name="Vírgula 2 2 4 2 2 4 2 2" xfId="12435" xr:uid="{474128C2-1218-4043-A071-3614872D055D}"/>
    <cellStyle name="Vírgula 2 2 4 2 2 4 2 2 2" xfId="25117" xr:uid="{D70B3058-F5AF-4563-A97F-F03C4E4FA137}"/>
    <cellStyle name="Vírgula 2 2 4 2 2 4 2 2 2 2" xfId="50609" xr:uid="{B7965684-7618-4D91-91C1-33156FFE5DCD}"/>
    <cellStyle name="Vírgula 2 2 4 2 2 4 2 2 3" xfId="38018" xr:uid="{6B7D7B25-287D-4F38-A239-27A11645A93E}"/>
    <cellStyle name="Vírgula 2 2 4 2 2 4 2 3" xfId="18839" xr:uid="{A8D27FEF-3EA2-444D-A82B-C575446E6877}"/>
    <cellStyle name="Vírgula 2 2 4 2 2 4 2 3 2" xfId="44331" xr:uid="{0A9B9091-94CC-413C-B493-70B5AA4DAE3B}"/>
    <cellStyle name="Vírgula 2 2 4 2 2 4 2 4" xfId="31740" xr:uid="{0F7BD93A-868F-4B62-AC36-F01C11439536}"/>
    <cellStyle name="Vírgula 2 2 4 2 2 4 3" xfId="9296" xr:uid="{6B107FBF-EE3B-4C81-90F2-E9170F4A25B9}"/>
    <cellStyle name="Vírgula 2 2 4 2 2 4 3 2" xfId="21978" xr:uid="{1DE3CAC6-60DE-4969-B6CE-4AB7C9C98E34}"/>
    <cellStyle name="Vírgula 2 2 4 2 2 4 3 2 2" xfId="47470" xr:uid="{0FF0096E-8C8D-49EB-BA41-50B8684AE13D}"/>
    <cellStyle name="Vírgula 2 2 4 2 2 4 3 3" xfId="34879" xr:uid="{44259427-7A04-43E9-90B4-10F272CBC7DA}"/>
    <cellStyle name="Vírgula 2 2 4 2 2 4 4" xfId="15700" xr:uid="{E2C12B53-7869-4937-92E6-DD0D183F5174}"/>
    <cellStyle name="Vírgula 2 2 4 2 2 4 4 2" xfId="41192" xr:uid="{87B9E9DC-60AB-416C-931D-D7A6A715F098}"/>
    <cellStyle name="Vírgula 2 2 4 2 2 4 5" xfId="28601" xr:uid="{6AF065C9-F408-4C99-8779-356AB720CB57}"/>
    <cellStyle name="Vírgula 2 2 4 2 2 5" xfId="3511" xr:uid="{F827FFB4-9153-4D6C-91AB-359DB5365D86}"/>
    <cellStyle name="Vírgula 2 2 4 2 2 5 2" xfId="6665" xr:uid="{4EF202CE-7ABA-4E3D-B64D-E06361B2011C}"/>
    <cellStyle name="Vírgula 2 2 4 2 2 5 2 2" xfId="12958" xr:uid="{9D9BCEBE-0E2D-4931-90FE-1A7412777816}"/>
    <cellStyle name="Vírgula 2 2 4 2 2 5 2 2 2" xfId="25640" xr:uid="{AB289575-C4BD-4D42-9441-02C62FFD8A7D}"/>
    <cellStyle name="Vírgula 2 2 4 2 2 5 2 2 2 2" xfId="51132" xr:uid="{6FE38CEE-85FB-4B7A-A0FC-9BBA65065EBB}"/>
    <cellStyle name="Vírgula 2 2 4 2 2 5 2 2 3" xfId="38541" xr:uid="{4E468DB8-8A7E-45C7-A796-CADBB255138F}"/>
    <cellStyle name="Vírgula 2 2 4 2 2 5 2 3" xfId="19362" xr:uid="{B7B9AD50-1628-479A-BA8A-686E89D4A506}"/>
    <cellStyle name="Vírgula 2 2 4 2 2 5 2 3 2" xfId="44854" xr:uid="{A2DAEE0F-59D5-4348-8C6F-DBAF83633705}"/>
    <cellStyle name="Vírgula 2 2 4 2 2 5 2 4" xfId="32263" xr:uid="{4136D2E4-3303-4200-8799-A4BFC0547D4B}"/>
    <cellStyle name="Vírgula 2 2 4 2 2 5 3" xfId="9819" xr:uid="{B0D9FE11-2EC7-4103-895D-3B97A7C9A8ED}"/>
    <cellStyle name="Vírgula 2 2 4 2 2 5 3 2" xfId="22501" xr:uid="{0529EF7B-7782-41A2-A6C3-BC2FFF28AE53}"/>
    <cellStyle name="Vírgula 2 2 4 2 2 5 3 2 2" xfId="47993" xr:uid="{F00F7869-364D-4888-AD8B-FCE6D1B561BB}"/>
    <cellStyle name="Vírgula 2 2 4 2 2 5 3 3" xfId="35402" xr:uid="{E43E005B-811A-4356-B204-0A9F640F2E68}"/>
    <cellStyle name="Vírgula 2 2 4 2 2 5 4" xfId="16223" xr:uid="{9C238FAF-6357-4C3C-9E6F-70E9DF4B649F}"/>
    <cellStyle name="Vírgula 2 2 4 2 2 5 4 2" xfId="41715" xr:uid="{BDCAB66A-B06C-4DA5-8F8E-F43F78FDA885}"/>
    <cellStyle name="Vírgula 2 2 4 2 2 5 5" xfId="29124" xr:uid="{C25788F2-9BA6-4298-89C2-9DA28B6611F1}"/>
    <cellStyle name="Vírgula 2 2 4 2 2 6" xfId="4311" xr:uid="{C1DAA019-82BF-4871-AB57-45C6E067EFA8}"/>
    <cellStyle name="Vírgula 2 2 4 2 2 6 2" xfId="10604" xr:uid="{8A608602-0B5D-4400-BF94-18608060F6FD}"/>
    <cellStyle name="Vírgula 2 2 4 2 2 6 2 2" xfId="23286" xr:uid="{7012F88C-8352-42FA-957B-0217CB54C761}"/>
    <cellStyle name="Vírgula 2 2 4 2 2 6 2 2 2" xfId="48778" xr:uid="{87FBF86A-22AE-42D7-802C-EF1FEF14CF9B}"/>
    <cellStyle name="Vírgula 2 2 4 2 2 6 2 3" xfId="36187" xr:uid="{141AED7E-F020-42A8-B10C-96F093771328}"/>
    <cellStyle name="Vírgula 2 2 4 2 2 6 3" xfId="17008" xr:uid="{0857F9F1-16FC-4566-A553-5B96EBE2350B}"/>
    <cellStyle name="Vírgula 2 2 4 2 2 6 3 2" xfId="42500" xr:uid="{681F6A17-217E-493B-966A-A8F4A8C23B25}"/>
    <cellStyle name="Vírgula 2 2 4 2 2 6 4" xfId="29909" xr:uid="{B7710F27-2EA9-420D-9653-09711DB51312}"/>
    <cellStyle name="Vírgula 2 2 4 2 2 7" xfId="7465" xr:uid="{1A3C5DF0-EED8-463E-883C-1DC2AB2E417E}"/>
    <cellStyle name="Vírgula 2 2 4 2 2 7 2" xfId="20147" xr:uid="{4EDED1B2-BC66-42BF-8D01-8494F8140C21}"/>
    <cellStyle name="Vírgula 2 2 4 2 2 7 2 2" xfId="45639" xr:uid="{981E3A28-E7FA-47B0-93EC-7FCD07F80715}"/>
    <cellStyle name="Vírgula 2 2 4 2 2 7 3" xfId="33048" xr:uid="{E25EC5A1-2B4F-406F-A7FA-E1B8F39BBF65}"/>
    <cellStyle name="Vírgula 2 2 4 2 2 8" xfId="13869" xr:uid="{54FFD1FE-9F26-460C-AB70-6499690DC69C}"/>
    <cellStyle name="Vírgula 2 2 4 2 2 8 2" xfId="39361" xr:uid="{D1022791-6B3F-41FF-86A0-C0787F0630B9}"/>
    <cellStyle name="Vírgula 2 2 4 2 2 9" xfId="26770" xr:uid="{2850A389-7832-4872-B1FB-FDD29905042D}"/>
    <cellStyle name="Vírgula 2 2 4 2 3" xfId="897" xr:uid="{357EC8EC-9837-4612-B9D2-F65274F1DF7F}"/>
    <cellStyle name="Vírgula 2 2 4 2 3 2" xfId="2204" xr:uid="{B21CB51B-D085-46F5-87FF-363A224CD9D7}"/>
    <cellStyle name="Vírgula 2 2 4 2 3 2 2" xfId="5358" xr:uid="{97E4AEA2-3A5E-4A05-8443-EAA688121BFF}"/>
    <cellStyle name="Vírgula 2 2 4 2 3 2 2 2" xfId="11651" xr:uid="{C8C53283-EBF5-4C23-8D48-D18F2225C9DD}"/>
    <cellStyle name="Vírgula 2 2 4 2 3 2 2 2 2" xfId="24333" xr:uid="{BE21868A-04FD-4211-96C9-9D510FF2A113}"/>
    <cellStyle name="Vírgula 2 2 4 2 3 2 2 2 2 2" xfId="49825" xr:uid="{50D1F5D2-5349-463C-A1B6-5A3E4A83E21A}"/>
    <cellStyle name="Vírgula 2 2 4 2 3 2 2 2 3" xfId="37234" xr:uid="{DA1AB9DD-0C4B-4D63-AEF8-AF9D7D9509C7}"/>
    <cellStyle name="Vírgula 2 2 4 2 3 2 2 3" xfId="18055" xr:uid="{908BBF2D-BA7B-47D4-A32F-692998E2403C}"/>
    <cellStyle name="Vírgula 2 2 4 2 3 2 2 3 2" xfId="43547" xr:uid="{0E849477-E540-4710-BB99-D8487631335C}"/>
    <cellStyle name="Vírgula 2 2 4 2 3 2 2 4" xfId="30956" xr:uid="{E6392D8F-6FE5-4826-8E2E-7EA8C150F36C}"/>
    <cellStyle name="Vírgula 2 2 4 2 3 2 3" xfId="8512" xr:uid="{B13A9FA9-5340-4B78-AC58-00C4E1ED3BC6}"/>
    <cellStyle name="Vírgula 2 2 4 2 3 2 3 2" xfId="21194" xr:uid="{318F0046-4579-49D4-93F3-8F3FC23818CB}"/>
    <cellStyle name="Vírgula 2 2 4 2 3 2 3 2 2" xfId="46686" xr:uid="{0743259B-CF03-4277-B4C6-66D94B3FAF71}"/>
    <cellStyle name="Vírgula 2 2 4 2 3 2 3 3" xfId="34095" xr:uid="{8E8B8B51-5828-4940-9F8B-1CC3A3CFC0CF}"/>
    <cellStyle name="Vírgula 2 2 4 2 3 2 4" xfId="14916" xr:uid="{59C6BC4E-FEBA-4D74-B84C-A0A5A3A12A5C}"/>
    <cellStyle name="Vírgula 2 2 4 2 3 2 4 2" xfId="40408" xr:uid="{47D3B440-5FE5-41C4-84E1-DDC7B3F56DFA}"/>
    <cellStyle name="Vírgula 2 2 4 2 3 2 5" xfId="27817" xr:uid="{C746C090-F43A-458D-BB60-AF170377604A}"/>
    <cellStyle name="Vírgula 2 2 4 2 3 3" xfId="4051" xr:uid="{C8EB50FD-CF79-4233-8E70-9152031A8576}"/>
    <cellStyle name="Vírgula 2 2 4 2 3 3 2" xfId="10344" xr:uid="{B4C1CD58-CC6F-4E78-807C-96A95C5F78B1}"/>
    <cellStyle name="Vírgula 2 2 4 2 3 3 2 2" xfId="23026" xr:uid="{4192B16C-C832-4DEB-9358-C922D3396D65}"/>
    <cellStyle name="Vírgula 2 2 4 2 3 3 2 2 2" xfId="48518" xr:uid="{5BF359A6-C319-421F-B5F3-573329F37BF9}"/>
    <cellStyle name="Vírgula 2 2 4 2 3 3 2 3" xfId="35927" xr:uid="{CA6387B3-325F-4822-A7C8-C12977BA0F9B}"/>
    <cellStyle name="Vírgula 2 2 4 2 3 3 3" xfId="16748" xr:uid="{71B2D8FE-F60E-423A-ABE2-905AC28EAE95}"/>
    <cellStyle name="Vírgula 2 2 4 2 3 3 3 2" xfId="42240" xr:uid="{CEB8E664-61BA-4D46-9683-D6FE2E0CBE80}"/>
    <cellStyle name="Vírgula 2 2 4 2 3 3 4" xfId="29649" xr:uid="{5654EDBA-1F8D-4E2D-A1C5-FE9B7A611D11}"/>
    <cellStyle name="Vírgula 2 2 4 2 3 4" xfId="7205" xr:uid="{54A0657D-9AF1-4F2B-B1C4-14B84F906E2F}"/>
    <cellStyle name="Vírgula 2 2 4 2 3 4 2" xfId="19887" xr:uid="{6CA1E3A2-B7B6-413B-9CAC-CCEF1F88E4F1}"/>
    <cellStyle name="Vírgula 2 2 4 2 3 4 2 2" xfId="45379" xr:uid="{5A4F308B-8C3B-4080-BC7C-A14F98D166CF}"/>
    <cellStyle name="Vírgula 2 2 4 2 3 4 3" xfId="32788" xr:uid="{C1AB2B18-E528-42E9-B8DE-947A5B92E736}"/>
    <cellStyle name="Vírgula 2 2 4 2 3 5" xfId="13609" xr:uid="{A5158696-05B8-4C75-B770-BCF6A876157F}"/>
    <cellStyle name="Vírgula 2 2 4 2 3 5 2" xfId="39101" xr:uid="{19839EED-B7E5-4309-A518-FDF395CFE453}"/>
    <cellStyle name="Vírgula 2 2 4 2 3 6" xfId="26510" xr:uid="{31F6277E-9F6D-4EB1-9D19-E92A40E6C9CD}"/>
    <cellStyle name="Vírgula 2 2 4 2 4" xfId="1942" xr:uid="{0D59C159-C675-4D80-A2D0-F3909929E0AD}"/>
    <cellStyle name="Vírgula 2 2 4 2 4 2" xfId="5096" xr:uid="{AD5D57EF-341D-4B44-8649-264D6E1ADE98}"/>
    <cellStyle name="Vírgula 2 2 4 2 4 2 2" xfId="11389" xr:uid="{C0665955-B32C-4D5F-B68D-73A77BDB33DD}"/>
    <cellStyle name="Vírgula 2 2 4 2 4 2 2 2" xfId="24071" xr:uid="{65B16D76-598B-47F7-B162-C68DF756097F}"/>
    <cellStyle name="Vírgula 2 2 4 2 4 2 2 2 2" xfId="49563" xr:uid="{00AFC41B-8C9B-420F-A049-21B95C9D3206}"/>
    <cellStyle name="Vírgula 2 2 4 2 4 2 2 3" xfId="36972" xr:uid="{EDCFB96F-FFB4-43F1-B75F-DE131E5D4234}"/>
    <cellStyle name="Vírgula 2 2 4 2 4 2 3" xfId="17793" xr:uid="{955EAE98-EFEC-4AA7-9210-A4C72D64B325}"/>
    <cellStyle name="Vírgula 2 2 4 2 4 2 3 2" xfId="43285" xr:uid="{6AC26ACC-790B-4637-A3E9-23E00F66250F}"/>
    <cellStyle name="Vírgula 2 2 4 2 4 2 4" xfId="30694" xr:uid="{1000AD6A-24D7-4D97-A721-693ED16786B8}"/>
    <cellStyle name="Vírgula 2 2 4 2 4 3" xfId="8250" xr:uid="{C67379A1-095F-4950-A972-69BE18871058}"/>
    <cellStyle name="Vírgula 2 2 4 2 4 3 2" xfId="20932" xr:uid="{5629AA31-125C-44B5-BD82-257D03601FFE}"/>
    <cellStyle name="Vírgula 2 2 4 2 4 3 2 2" xfId="46424" xr:uid="{55198C60-58FA-4A07-A9EC-1FFC3C196675}"/>
    <cellStyle name="Vírgula 2 2 4 2 4 3 3" xfId="33833" xr:uid="{288D0203-CBB1-46FF-B88C-DF4A11EBF2F1}"/>
    <cellStyle name="Vírgula 2 2 4 2 4 4" xfId="14654" xr:uid="{65ADDE72-67CB-467D-BC3B-953604E71F17}"/>
    <cellStyle name="Vírgula 2 2 4 2 4 4 2" xfId="40146" xr:uid="{E56E9567-790A-4AB5-BB1D-3A5811B00603}"/>
    <cellStyle name="Vírgula 2 2 4 2 4 5" xfId="27555" xr:uid="{48452CF0-6CE0-4D4B-ADF9-46F1CF2358A6}"/>
    <cellStyle name="Vírgula 2 2 4 2 5" xfId="1420" xr:uid="{93779FCA-F4CA-486B-8F2E-3E3136DE56AF}"/>
    <cellStyle name="Vírgula 2 2 4 2 5 2" xfId="4574" xr:uid="{99F2DD03-CD81-4CD8-AA81-97BD852EDA49}"/>
    <cellStyle name="Vírgula 2 2 4 2 5 2 2" xfId="10867" xr:uid="{D4313FC9-EF81-4202-A095-9A9F4C5BE596}"/>
    <cellStyle name="Vírgula 2 2 4 2 5 2 2 2" xfId="23549" xr:uid="{9A31E928-ED25-4DB0-9735-7A26D170DCB3}"/>
    <cellStyle name="Vírgula 2 2 4 2 5 2 2 2 2" xfId="49041" xr:uid="{51A47296-8545-401B-9D9E-55BF10B6B02D}"/>
    <cellStyle name="Vírgula 2 2 4 2 5 2 2 3" xfId="36450" xr:uid="{9B6CE77C-4B91-4A1B-8E4F-929D3A1CF52B}"/>
    <cellStyle name="Vírgula 2 2 4 2 5 2 3" xfId="17271" xr:uid="{8A49C771-8802-4CFF-AA70-2E00B023E175}"/>
    <cellStyle name="Vírgula 2 2 4 2 5 2 3 2" xfId="42763" xr:uid="{AFBE1FD4-307D-4EFB-9F3F-39267283926A}"/>
    <cellStyle name="Vírgula 2 2 4 2 5 2 4" xfId="30172" xr:uid="{439F7061-C2B5-4F42-99CF-4046EF1EA651}"/>
    <cellStyle name="Vírgula 2 2 4 2 5 3" xfId="7728" xr:uid="{D95C5297-B21D-4453-93B0-750C37D6ED90}"/>
    <cellStyle name="Vírgula 2 2 4 2 5 3 2" xfId="20410" xr:uid="{0EDB9000-6A99-4874-801C-2B907020E299}"/>
    <cellStyle name="Vírgula 2 2 4 2 5 3 2 2" xfId="45902" xr:uid="{7E996DA5-774E-4EE7-93DB-3CA478CF60BD}"/>
    <cellStyle name="Vírgula 2 2 4 2 5 3 3" xfId="33311" xr:uid="{D4EC4323-1D2C-46BD-A350-D08DC158363C}"/>
    <cellStyle name="Vírgula 2 2 4 2 5 4" xfId="14132" xr:uid="{82DDD29E-4211-43B5-96E6-3725BC9F115F}"/>
    <cellStyle name="Vírgula 2 2 4 2 5 4 2" xfId="39624" xr:uid="{2F38DA5C-4752-4659-97F5-0C3431972166}"/>
    <cellStyle name="Vírgula 2 2 4 2 5 5" xfId="27033" xr:uid="{819C80B3-F236-4EF4-93FD-5F4C947DAEB1}"/>
    <cellStyle name="Vírgula 2 2 4 2 6" xfId="2727" xr:uid="{2256BB37-5329-47DF-B94E-B04DAD58FCC7}"/>
    <cellStyle name="Vírgula 2 2 4 2 6 2" xfId="5881" xr:uid="{9C9D564E-D89F-4CC4-AF04-6F1CA858E8D2}"/>
    <cellStyle name="Vírgula 2 2 4 2 6 2 2" xfId="12174" xr:uid="{090BBFFA-0947-4AAC-AD0D-BA0BFC301600}"/>
    <cellStyle name="Vírgula 2 2 4 2 6 2 2 2" xfId="24856" xr:uid="{8F9CD6ED-87B2-4D41-A445-F768C483269C}"/>
    <cellStyle name="Vírgula 2 2 4 2 6 2 2 2 2" xfId="50348" xr:uid="{33E7EF0A-C875-461F-8DEC-2BA656DC521A}"/>
    <cellStyle name="Vírgula 2 2 4 2 6 2 2 3" xfId="37757" xr:uid="{2EC8EDC7-EC2D-47F2-A942-0A63116478A7}"/>
    <cellStyle name="Vírgula 2 2 4 2 6 2 3" xfId="18578" xr:uid="{29CF1CC1-A35F-4A13-BF9C-77FBAAE1ABE2}"/>
    <cellStyle name="Vírgula 2 2 4 2 6 2 3 2" xfId="44070" xr:uid="{7E845998-51AE-4600-8CE6-27B4E1960603}"/>
    <cellStyle name="Vírgula 2 2 4 2 6 2 4" xfId="31479" xr:uid="{67996ED1-D573-46B7-9F9B-A362EC5E7585}"/>
    <cellStyle name="Vírgula 2 2 4 2 6 3" xfId="9035" xr:uid="{8D9C7973-2720-452D-BE27-AD636954D452}"/>
    <cellStyle name="Vírgula 2 2 4 2 6 3 2" xfId="21717" xr:uid="{BEE2953A-1841-4310-8B3C-204AAC63E4A6}"/>
    <cellStyle name="Vírgula 2 2 4 2 6 3 2 2" xfId="47209" xr:uid="{24A3AB5B-D783-4B0A-9D73-FAB0B4BCEC28}"/>
    <cellStyle name="Vírgula 2 2 4 2 6 3 3" xfId="34618" xr:uid="{E9B33519-7F66-49FE-9F61-90FE54D16186}"/>
    <cellStyle name="Vírgula 2 2 4 2 6 4" xfId="15439" xr:uid="{E769DC06-2120-416A-95E0-5017CCE9EEFE}"/>
    <cellStyle name="Vírgula 2 2 4 2 6 4 2" xfId="40931" xr:uid="{3BCECB4F-6ADB-4C3E-8FD2-50F4240FA39D}"/>
    <cellStyle name="Vírgula 2 2 4 2 6 5" xfId="28340" xr:uid="{71001073-5444-4588-97FD-39E6C32114F7}"/>
    <cellStyle name="Vírgula 2 2 4 2 7" xfId="3250" xr:uid="{1A3527EA-A08F-4BB9-B369-7BED02EACC70}"/>
    <cellStyle name="Vírgula 2 2 4 2 7 2" xfId="6404" xr:uid="{A661457E-C9A9-40B7-8739-B467CA97C029}"/>
    <cellStyle name="Vírgula 2 2 4 2 7 2 2" xfId="12697" xr:uid="{DF1F3F91-9D61-4700-8445-94786F1F606B}"/>
    <cellStyle name="Vírgula 2 2 4 2 7 2 2 2" xfId="25379" xr:uid="{3EC05353-8235-4A84-A04C-626D57EE7175}"/>
    <cellStyle name="Vírgula 2 2 4 2 7 2 2 2 2" xfId="50871" xr:uid="{20F213E5-F424-4C26-AB91-7735AFFF6B99}"/>
    <cellStyle name="Vírgula 2 2 4 2 7 2 2 3" xfId="38280" xr:uid="{6695EF50-728E-4C00-933F-56B7B78DCE96}"/>
    <cellStyle name="Vírgula 2 2 4 2 7 2 3" xfId="19101" xr:uid="{C4B1A9FB-7B09-45A5-B10D-E67C648D0652}"/>
    <cellStyle name="Vírgula 2 2 4 2 7 2 3 2" xfId="44593" xr:uid="{7428217B-643A-44D1-8347-579BBDD11DFF}"/>
    <cellStyle name="Vírgula 2 2 4 2 7 2 4" xfId="32002" xr:uid="{C665413C-CDF6-412D-AAA9-F84FAE9A55D8}"/>
    <cellStyle name="Vírgula 2 2 4 2 7 3" xfId="9558" xr:uid="{77DAEBDC-970B-4D13-9876-A70E6B0F51D5}"/>
    <cellStyle name="Vírgula 2 2 4 2 7 3 2" xfId="22240" xr:uid="{0EABD5ED-9172-4B5E-AD55-BDD67F425F01}"/>
    <cellStyle name="Vírgula 2 2 4 2 7 3 2 2" xfId="47732" xr:uid="{09E714A4-E033-4867-A636-2448D0B4569A}"/>
    <cellStyle name="Vírgula 2 2 4 2 7 3 3" xfId="35141" xr:uid="{0ACB0815-497B-4496-9BF4-D3F21725B490}"/>
    <cellStyle name="Vírgula 2 2 4 2 7 4" xfId="15962" xr:uid="{C5B5F439-E40A-4F01-A746-101E1C60FE5E}"/>
    <cellStyle name="Vírgula 2 2 4 2 7 4 2" xfId="41454" xr:uid="{9888F064-BCCE-4DCE-B858-4BACEACCE90B}"/>
    <cellStyle name="Vírgula 2 2 4 2 7 5" xfId="28863" xr:uid="{36D25636-729C-4833-B072-CD1DFE105553}"/>
    <cellStyle name="Vírgula 2 2 4 2 8" xfId="3789" xr:uid="{6E43FF99-FB31-4955-BB27-765D52421D8C}"/>
    <cellStyle name="Vírgula 2 2 4 2 8 2" xfId="10082" xr:uid="{65392C9D-2570-4B65-BAF0-3B33E0A210F5}"/>
    <cellStyle name="Vírgula 2 2 4 2 8 2 2" xfId="22764" xr:uid="{0E7AC2FF-CB05-4E03-941D-868D6416EC0F}"/>
    <cellStyle name="Vírgula 2 2 4 2 8 2 2 2" xfId="48256" xr:uid="{72EB3B20-6987-4F68-8E2B-98113C4732C9}"/>
    <cellStyle name="Vírgula 2 2 4 2 8 2 3" xfId="35665" xr:uid="{09D228D7-4394-409E-9959-D71CB0232250}"/>
    <cellStyle name="Vírgula 2 2 4 2 8 3" xfId="16486" xr:uid="{5764102A-BA48-4EBD-82F5-21C156F18BFD}"/>
    <cellStyle name="Vírgula 2 2 4 2 8 3 2" xfId="41978" xr:uid="{06A376D2-0CD1-40C3-8B11-B79D73D81506}"/>
    <cellStyle name="Vírgula 2 2 4 2 8 4" xfId="29387" xr:uid="{DD86CB91-D8F1-479E-817E-F73678CDCAB5}"/>
    <cellStyle name="Vírgula 2 2 4 2 9" xfId="6943" xr:uid="{29F5E702-8F82-4389-BF66-C3442366FDF3}"/>
    <cellStyle name="Vírgula 2 2 4 2 9 2" xfId="19625" xr:uid="{0824D75F-3C05-48B8-B143-9F6D8E5F84D2}"/>
    <cellStyle name="Vírgula 2 2 4 2 9 2 2" xfId="45117" xr:uid="{E8DAE5AD-4ED0-4FA0-9AC6-DDD29472A148}"/>
    <cellStyle name="Vírgula 2 2 4 2 9 3" xfId="32526" xr:uid="{1F1440A4-9828-4FF3-A729-D66794473272}"/>
    <cellStyle name="Vírgula 2 2 4 3" xfId="998" xr:uid="{964DE935-FCA8-436E-86B9-5ECD42E47741}"/>
    <cellStyle name="Vírgula 2 2 4 3 2" xfId="2305" xr:uid="{2DF88E39-A8D5-42D8-A2F5-86B6A8CA68EB}"/>
    <cellStyle name="Vírgula 2 2 4 3 2 2" xfId="5459" xr:uid="{01CA4ED4-8937-4A72-92BA-D27487FC9D68}"/>
    <cellStyle name="Vírgula 2 2 4 3 2 2 2" xfId="11752" xr:uid="{81F16050-FF56-4B54-95F5-6F6C7A8B9C22}"/>
    <cellStyle name="Vírgula 2 2 4 3 2 2 2 2" xfId="24434" xr:uid="{A16AC510-716E-4B8B-AC15-4267FB6BB7F3}"/>
    <cellStyle name="Vírgula 2 2 4 3 2 2 2 2 2" xfId="49926" xr:uid="{351BF475-D68D-4A06-8083-F255AC9F24C4}"/>
    <cellStyle name="Vírgula 2 2 4 3 2 2 2 3" xfId="37335" xr:uid="{465E9629-20EF-4738-8B90-8C959B0F4CA1}"/>
    <cellStyle name="Vírgula 2 2 4 3 2 2 3" xfId="18156" xr:uid="{BE5E40A2-656D-4280-86D5-175AA2CD5AA6}"/>
    <cellStyle name="Vírgula 2 2 4 3 2 2 3 2" xfId="43648" xr:uid="{E95F7432-0C4E-450E-8A20-EAE82C077965}"/>
    <cellStyle name="Vírgula 2 2 4 3 2 2 4" xfId="31057" xr:uid="{646B3B03-42C7-43D4-A882-6CD6808E3D15}"/>
    <cellStyle name="Vírgula 2 2 4 3 2 3" xfId="8613" xr:uid="{932F7A0F-59A2-4DE6-9D40-1AE423AC07F1}"/>
    <cellStyle name="Vírgula 2 2 4 3 2 3 2" xfId="21295" xr:uid="{5AA1D13C-F2E5-4577-92EE-D7094BCDEAE0}"/>
    <cellStyle name="Vírgula 2 2 4 3 2 3 2 2" xfId="46787" xr:uid="{50B885A1-6FE5-4C1F-BE64-E7AF3B2F936D}"/>
    <cellStyle name="Vírgula 2 2 4 3 2 3 3" xfId="34196" xr:uid="{AF2CB1AC-5BC3-4062-8084-6924A0C157EB}"/>
    <cellStyle name="Vírgula 2 2 4 3 2 4" xfId="15017" xr:uid="{AE33B189-FF31-4448-B4A3-F74EB6BAE664}"/>
    <cellStyle name="Vírgula 2 2 4 3 2 4 2" xfId="40509" xr:uid="{0434EB45-06FE-4D40-8CF5-0950B4F49440}"/>
    <cellStyle name="Vírgula 2 2 4 3 2 5" xfId="27918" xr:uid="{3096737D-9893-4EE5-B726-9E8E1BFE3DF4}"/>
    <cellStyle name="Vírgula 2 2 4 3 3" xfId="1522" xr:uid="{A931EF91-B4A4-4490-8C21-F9FA8D67400A}"/>
    <cellStyle name="Vírgula 2 2 4 3 3 2" xfId="4676" xr:uid="{2C75D34A-990B-43E5-873C-2296269310C5}"/>
    <cellStyle name="Vírgula 2 2 4 3 3 2 2" xfId="10969" xr:uid="{09BE3ED6-3D89-40F7-B557-26AFF35B9A88}"/>
    <cellStyle name="Vírgula 2 2 4 3 3 2 2 2" xfId="23651" xr:uid="{7EAA2707-7D07-482A-84AC-8B8A38EF57BD}"/>
    <cellStyle name="Vírgula 2 2 4 3 3 2 2 2 2" xfId="49143" xr:uid="{D48C1D92-E78D-4AE9-A299-BEDF5B133C09}"/>
    <cellStyle name="Vírgula 2 2 4 3 3 2 2 3" xfId="36552" xr:uid="{7F3DAB5A-1F8F-4914-8E95-F9E4BDDEDCC1}"/>
    <cellStyle name="Vírgula 2 2 4 3 3 2 3" xfId="17373" xr:uid="{2013DDCB-18AC-4EFA-951D-23366DD04928}"/>
    <cellStyle name="Vírgula 2 2 4 3 3 2 3 2" xfId="42865" xr:uid="{6A4E2CC8-5220-4968-89A0-011D44D384DE}"/>
    <cellStyle name="Vírgula 2 2 4 3 3 2 4" xfId="30274" xr:uid="{2823603A-8CF8-479B-A087-EE88F1773931}"/>
    <cellStyle name="Vírgula 2 2 4 3 3 3" xfId="7830" xr:uid="{3FB668AC-3E71-4D66-B5DF-96404656E8D7}"/>
    <cellStyle name="Vírgula 2 2 4 3 3 3 2" xfId="20512" xr:uid="{966F8872-618A-465C-A576-D254178F6AAC}"/>
    <cellStyle name="Vírgula 2 2 4 3 3 3 2 2" xfId="46004" xr:uid="{DFED57F1-5B07-4766-983A-A37BED2BDFA1}"/>
    <cellStyle name="Vírgula 2 2 4 3 3 3 3" xfId="33413" xr:uid="{8D1EE24E-47D3-40E3-878A-DDE112DDBF05}"/>
    <cellStyle name="Vírgula 2 2 4 3 3 4" xfId="14234" xr:uid="{8FAD2C04-E215-4B9B-85B0-B9366D378ECB}"/>
    <cellStyle name="Vírgula 2 2 4 3 3 4 2" xfId="39726" xr:uid="{E8002F77-59D8-4A82-82E0-765846E7775D}"/>
    <cellStyle name="Vírgula 2 2 4 3 3 5" xfId="27135" xr:uid="{D115E7D3-0E0F-4954-ACB6-E62BFD0FAD57}"/>
    <cellStyle name="Vírgula 2 2 4 3 4" xfId="2829" xr:uid="{9E80F030-840E-47EF-B0D6-F5FA0F56572B}"/>
    <cellStyle name="Vírgula 2 2 4 3 4 2" xfId="5983" xr:uid="{9E4748B4-0910-4F19-B5CB-711D97692334}"/>
    <cellStyle name="Vírgula 2 2 4 3 4 2 2" xfId="12276" xr:uid="{81ED03A1-A8E9-4577-9B3C-3304C61ED8E7}"/>
    <cellStyle name="Vírgula 2 2 4 3 4 2 2 2" xfId="24958" xr:uid="{1C490802-5858-4099-B2F9-64C0FDF817A0}"/>
    <cellStyle name="Vírgula 2 2 4 3 4 2 2 2 2" xfId="50450" xr:uid="{20451A90-6A0B-4B91-92FA-36FBABF159B9}"/>
    <cellStyle name="Vírgula 2 2 4 3 4 2 2 3" xfId="37859" xr:uid="{A43CE98D-0511-4597-AED2-8996AC42DDA7}"/>
    <cellStyle name="Vírgula 2 2 4 3 4 2 3" xfId="18680" xr:uid="{3D70C054-BC82-43EC-95C7-F258FDBBD466}"/>
    <cellStyle name="Vírgula 2 2 4 3 4 2 3 2" xfId="44172" xr:uid="{734482F3-13EF-4956-89EC-A94C301239CB}"/>
    <cellStyle name="Vírgula 2 2 4 3 4 2 4" xfId="31581" xr:uid="{79080DA3-5F9C-4219-ABF9-7C4DAB08E2E9}"/>
    <cellStyle name="Vírgula 2 2 4 3 4 3" xfId="9137" xr:uid="{F40838D3-14DD-4739-8157-E27AD0F2EA86}"/>
    <cellStyle name="Vírgula 2 2 4 3 4 3 2" xfId="21819" xr:uid="{80AA0F05-8498-44B4-9333-A71642241F8E}"/>
    <cellStyle name="Vírgula 2 2 4 3 4 3 2 2" xfId="47311" xr:uid="{11E030F8-00B8-498C-9A9E-7405A2D1A68B}"/>
    <cellStyle name="Vírgula 2 2 4 3 4 3 3" xfId="34720" xr:uid="{1D692E1A-D9A0-4535-9207-97D411B3D902}"/>
    <cellStyle name="Vírgula 2 2 4 3 4 4" xfId="15541" xr:uid="{6E8BE3D5-471B-4FFA-B7BC-4DBB10DF122B}"/>
    <cellStyle name="Vírgula 2 2 4 3 4 4 2" xfId="41033" xr:uid="{19AF0D70-C87D-493F-957F-30DBD8E409BB}"/>
    <cellStyle name="Vírgula 2 2 4 3 4 5" xfId="28442" xr:uid="{33E4E9E2-DD74-4400-A636-98A635D190DA}"/>
    <cellStyle name="Vírgula 2 2 4 3 5" xfId="3352" xr:uid="{8096CA69-E991-490B-B34E-045B8E9B251B}"/>
    <cellStyle name="Vírgula 2 2 4 3 5 2" xfId="6506" xr:uid="{5094E914-80C8-4226-A1B4-A9DE6BDBEB6F}"/>
    <cellStyle name="Vírgula 2 2 4 3 5 2 2" xfId="12799" xr:uid="{DEB1D592-FC0D-4821-AD56-3F0F51C18753}"/>
    <cellStyle name="Vírgula 2 2 4 3 5 2 2 2" xfId="25481" xr:uid="{81E189B1-291C-4F20-9A11-3BFF3CFA5B79}"/>
    <cellStyle name="Vírgula 2 2 4 3 5 2 2 2 2" xfId="50973" xr:uid="{B3135612-0C99-4F8D-89C5-C648966DD560}"/>
    <cellStyle name="Vírgula 2 2 4 3 5 2 2 3" xfId="38382" xr:uid="{0441CB29-25DA-4110-9055-E58C879D3FA5}"/>
    <cellStyle name="Vírgula 2 2 4 3 5 2 3" xfId="19203" xr:uid="{D5D78FA6-6931-4613-8325-C038E80C8BC1}"/>
    <cellStyle name="Vírgula 2 2 4 3 5 2 3 2" xfId="44695" xr:uid="{B12F2B43-52F7-4BB0-A870-61E031D5B88B}"/>
    <cellStyle name="Vírgula 2 2 4 3 5 2 4" xfId="32104" xr:uid="{156EF91F-017A-4EDE-9FF8-D100E2EA33D2}"/>
    <cellStyle name="Vírgula 2 2 4 3 5 3" xfId="9660" xr:uid="{3CC22F8F-1FA1-4A55-B69B-A5712B977424}"/>
    <cellStyle name="Vírgula 2 2 4 3 5 3 2" xfId="22342" xr:uid="{1074F2C3-C17C-404B-AF40-0361429D78E6}"/>
    <cellStyle name="Vírgula 2 2 4 3 5 3 2 2" xfId="47834" xr:uid="{5171D995-9472-405A-913B-17ED69FC14E7}"/>
    <cellStyle name="Vírgula 2 2 4 3 5 3 3" xfId="35243" xr:uid="{96C99F1A-06CE-4AD0-AAEE-680AE9ECF918}"/>
    <cellStyle name="Vírgula 2 2 4 3 5 4" xfId="16064" xr:uid="{2FDDACE3-7601-4675-8546-78B448BDD4E5}"/>
    <cellStyle name="Vírgula 2 2 4 3 5 4 2" xfId="41556" xr:uid="{6085405E-61AC-4D40-AC58-F6EDB45786F1}"/>
    <cellStyle name="Vírgula 2 2 4 3 5 5" xfId="28965" xr:uid="{738A973E-0673-4DD1-875A-9962A61EB9CE}"/>
    <cellStyle name="Vírgula 2 2 4 3 6" xfId="4152" xr:uid="{9CF23B7D-258A-4911-B0CA-E804D150A4F7}"/>
    <cellStyle name="Vírgula 2 2 4 3 6 2" xfId="10445" xr:uid="{447354A3-E506-40AB-8C01-8704207A8A71}"/>
    <cellStyle name="Vírgula 2 2 4 3 6 2 2" xfId="23127" xr:uid="{75CDA1EA-948E-4D44-A1CF-7E27D1FE6727}"/>
    <cellStyle name="Vírgula 2 2 4 3 6 2 2 2" xfId="48619" xr:uid="{A9D421B0-011E-4969-8A80-3B753A988207}"/>
    <cellStyle name="Vírgula 2 2 4 3 6 2 3" xfId="36028" xr:uid="{23BC7DC5-EE82-4169-BA68-0A3E9203A162}"/>
    <cellStyle name="Vírgula 2 2 4 3 6 3" xfId="16849" xr:uid="{6932E508-6BE9-4E89-88ED-A4C19B846F91}"/>
    <cellStyle name="Vírgula 2 2 4 3 6 3 2" xfId="42341" xr:uid="{BA36D931-3A48-4DE2-8B6B-4CF53DB5C390}"/>
    <cellStyle name="Vírgula 2 2 4 3 6 4" xfId="29750" xr:uid="{5913A840-36C4-4500-93AE-6805EF2E1E6F}"/>
    <cellStyle name="Vírgula 2 2 4 3 7" xfId="7306" xr:uid="{9430B2F2-80C5-46CA-A89F-37B85E077876}"/>
    <cellStyle name="Vírgula 2 2 4 3 7 2" xfId="19988" xr:uid="{23FCB39A-D4BC-4846-8EBF-9FE30A4CA3D9}"/>
    <cellStyle name="Vírgula 2 2 4 3 7 2 2" xfId="45480" xr:uid="{7188768C-EB6C-4659-B32D-7E6C6DFC6A70}"/>
    <cellStyle name="Vírgula 2 2 4 3 7 3" xfId="32889" xr:uid="{F7AE6A07-6658-4E03-91C6-E8790AE004E8}"/>
    <cellStyle name="Vírgula 2 2 4 3 8" xfId="13710" xr:uid="{C2BFA880-0684-430A-A3FA-FB747FE9775A}"/>
    <cellStyle name="Vírgula 2 2 4 3 8 2" xfId="39202" xr:uid="{06B40704-DEDD-4046-AF31-391ED534B593}"/>
    <cellStyle name="Vírgula 2 2 4 3 9" xfId="26611" xr:uid="{FB1AACDE-C572-40FA-9FE1-44DDE1FAFA63}"/>
    <cellStyle name="Vírgula 2 2 4 4" xfId="738" xr:uid="{695AF1B3-C0DA-4667-92FD-6A6748A7F5F8}"/>
    <cellStyle name="Vírgula 2 2 4 4 2" xfId="2045" xr:uid="{44CC35C8-338C-4287-B8F7-F5043FBCF627}"/>
    <cellStyle name="Vírgula 2 2 4 4 2 2" xfId="5199" xr:uid="{0A5070DB-1253-473D-9525-62CB1FE224CA}"/>
    <cellStyle name="Vírgula 2 2 4 4 2 2 2" xfId="11492" xr:uid="{AB3A9500-BB5D-4ECB-84B1-B1B3F5C9380E}"/>
    <cellStyle name="Vírgula 2 2 4 4 2 2 2 2" xfId="24174" xr:uid="{67894052-A836-4EE3-B6DB-13B8CAAFF371}"/>
    <cellStyle name="Vírgula 2 2 4 4 2 2 2 2 2" xfId="49666" xr:uid="{B2699B16-D1D8-4892-900D-129C43EBD98D}"/>
    <cellStyle name="Vírgula 2 2 4 4 2 2 2 3" xfId="37075" xr:uid="{47FF96DD-C24F-4161-8F14-9186EF6AE74C}"/>
    <cellStyle name="Vírgula 2 2 4 4 2 2 3" xfId="17896" xr:uid="{106DC164-048D-44FE-842F-D60FA3C24C95}"/>
    <cellStyle name="Vírgula 2 2 4 4 2 2 3 2" xfId="43388" xr:uid="{C34E64F9-C7B0-4D2D-BA04-AFBB61783CC9}"/>
    <cellStyle name="Vírgula 2 2 4 4 2 2 4" xfId="30797" xr:uid="{6BD2B784-FD0C-41E3-8CD0-71494658D419}"/>
    <cellStyle name="Vírgula 2 2 4 4 2 3" xfId="8353" xr:uid="{F4E725A3-C869-4B48-BAB5-055AB54C9C93}"/>
    <cellStyle name="Vírgula 2 2 4 4 2 3 2" xfId="21035" xr:uid="{3079425B-7CE8-407D-86E1-4E1150250645}"/>
    <cellStyle name="Vírgula 2 2 4 4 2 3 2 2" xfId="46527" xr:uid="{80386BD2-13C9-4ECD-93A4-F2E7D6EFC11E}"/>
    <cellStyle name="Vírgula 2 2 4 4 2 3 3" xfId="33936" xr:uid="{09DFE42B-FC2D-4296-B340-46454F493C68}"/>
    <cellStyle name="Vírgula 2 2 4 4 2 4" xfId="14757" xr:uid="{0719938C-9B7D-4769-B22C-81F59F37DD30}"/>
    <cellStyle name="Vírgula 2 2 4 4 2 4 2" xfId="40249" xr:uid="{2018A002-1253-483F-A7D2-CB3566EFC462}"/>
    <cellStyle name="Vírgula 2 2 4 4 2 5" xfId="27658" xr:uid="{2654F7C6-E096-4507-A4C8-8AE64D018A44}"/>
    <cellStyle name="Vírgula 2 2 4 4 3" xfId="3892" xr:uid="{C11200BB-E186-4C61-9D53-916FA79BA3C9}"/>
    <cellStyle name="Vírgula 2 2 4 4 3 2" xfId="10185" xr:uid="{047C629D-9C71-4C85-AB69-AF4D465F4EE4}"/>
    <cellStyle name="Vírgula 2 2 4 4 3 2 2" xfId="22867" xr:uid="{9F7CF994-8B29-4986-B904-9ECE895F3AB1}"/>
    <cellStyle name="Vírgula 2 2 4 4 3 2 2 2" xfId="48359" xr:uid="{455B9AE6-5134-4F23-8DA3-A974B22428A6}"/>
    <cellStyle name="Vírgula 2 2 4 4 3 2 3" xfId="35768" xr:uid="{A81BBA5C-77AE-4A9A-86B2-206939353925}"/>
    <cellStyle name="Vírgula 2 2 4 4 3 3" xfId="16589" xr:uid="{AD958B25-2CA4-4908-A26C-C6A1D89731CB}"/>
    <cellStyle name="Vírgula 2 2 4 4 3 3 2" xfId="42081" xr:uid="{97819E34-6649-440E-B7AA-EAF350D5E9A7}"/>
    <cellStyle name="Vírgula 2 2 4 4 3 4" xfId="29490" xr:uid="{FFF7F922-0253-4BB8-B45F-2DF7FA862616}"/>
    <cellStyle name="Vírgula 2 2 4 4 4" xfId="7046" xr:uid="{7229E0E2-A6C2-4EE6-AB86-0064C8AC193F}"/>
    <cellStyle name="Vírgula 2 2 4 4 4 2" xfId="19728" xr:uid="{17E52008-C3DB-41C1-9485-FABCF71EEA75}"/>
    <cellStyle name="Vírgula 2 2 4 4 4 2 2" xfId="45220" xr:uid="{67668079-7252-4731-92E9-8B9DF43FE7A5}"/>
    <cellStyle name="Vírgula 2 2 4 4 4 3" xfId="32629" xr:uid="{88C26868-568F-4E9A-909A-E8593C936033}"/>
    <cellStyle name="Vírgula 2 2 4 4 5" xfId="13450" xr:uid="{9E551400-1F31-4B45-9BBD-90F8195EB817}"/>
    <cellStyle name="Vírgula 2 2 4 4 5 2" xfId="38942" xr:uid="{52657F4A-281A-487A-8457-03F664C15B40}"/>
    <cellStyle name="Vírgula 2 2 4 4 6" xfId="26351" xr:uid="{7F7C727F-FDA8-41D6-A876-45D04D5B768B}"/>
    <cellStyle name="Vírgula 2 2 4 5" xfId="1783" xr:uid="{BA582430-5AE6-4361-8EAB-9C2A2CC13016}"/>
    <cellStyle name="Vírgula 2 2 4 5 2" xfId="4937" xr:uid="{30BB396F-3675-4EA7-86F4-534F21F5D4FB}"/>
    <cellStyle name="Vírgula 2 2 4 5 2 2" xfId="11230" xr:uid="{4190710A-6144-437E-AA8C-57AED1C067AE}"/>
    <cellStyle name="Vírgula 2 2 4 5 2 2 2" xfId="23912" xr:uid="{A11C55E1-B59D-466B-ABA0-717D996CD397}"/>
    <cellStyle name="Vírgula 2 2 4 5 2 2 2 2" xfId="49404" xr:uid="{E5B21E17-B842-43CA-9C50-8C155A53DEDE}"/>
    <cellStyle name="Vírgula 2 2 4 5 2 2 3" xfId="36813" xr:uid="{8C4CCFC2-3505-456C-B59D-9502F9F78774}"/>
    <cellStyle name="Vírgula 2 2 4 5 2 3" xfId="17634" xr:uid="{54D22D30-5A0A-4A04-ADAA-227AC4706D7F}"/>
    <cellStyle name="Vírgula 2 2 4 5 2 3 2" xfId="43126" xr:uid="{C1814A43-8794-41C8-95B8-36634370789C}"/>
    <cellStyle name="Vírgula 2 2 4 5 2 4" xfId="30535" xr:uid="{AAD4492B-CB2B-4037-8D83-25FDE84CF07C}"/>
    <cellStyle name="Vírgula 2 2 4 5 3" xfId="8091" xr:uid="{1516A294-9AC6-4C6A-B9ED-F5F2B9FC7E00}"/>
    <cellStyle name="Vírgula 2 2 4 5 3 2" xfId="20773" xr:uid="{628C8A21-F2A9-4EDF-855D-DD4460EAE8C7}"/>
    <cellStyle name="Vírgula 2 2 4 5 3 2 2" xfId="46265" xr:uid="{9B238C5B-57FA-495E-84B3-ED85A0755987}"/>
    <cellStyle name="Vírgula 2 2 4 5 3 3" xfId="33674" xr:uid="{60613B50-4CA6-4F9D-8063-79CC052FDF32}"/>
    <cellStyle name="Vírgula 2 2 4 5 4" xfId="14495" xr:uid="{531869F8-EF8C-4C86-BBF5-855D916F83EE}"/>
    <cellStyle name="Vírgula 2 2 4 5 4 2" xfId="39987" xr:uid="{A16FB21A-2D9F-4DBE-9A57-07E38C3DB710}"/>
    <cellStyle name="Vírgula 2 2 4 5 5" xfId="27396" xr:uid="{CEED2825-EFE6-4539-85AA-7432EFC4B45C}"/>
    <cellStyle name="Vírgula 2 2 4 6" xfId="1261" xr:uid="{392B58A6-CFEA-4F3C-BEEB-AEED97073EE1}"/>
    <cellStyle name="Vírgula 2 2 4 6 2" xfId="4415" xr:uid="{3A49D696-C3AF-4D00-B0D1-CB7B98802731}"/>
    <cellStyle name="Vírgula 2 2 4 6 2 2" xfId="10708" xr:uid="{ED094886-793C-4A54-8696-E28B126F8882}"/>
    <cellStyle name="Vírgula 2 2 4 6 2 2 2" xfId="23390" xr:uid="{42CC409E-9583-4DC3-AA18-CD3EC1E6D01C}"/>
    <cellStyle name="Vírgula 2 2 4 6 2 2 2 2" xfId="48882" xr:uid="{79AECB3C-546E-4177-B075-3836CAA2EED3}"/>
    <cellStyle name="Vírgula 2 2 4 6 2 2 3" xfId="36291" xr:uid="{95028AFB-390D-4D3F-9B06-5616F0514F4E}"/>
    <cellStyle name="Vírgula 2 2 4 6 2 3" xfId="17112" xr:uid="{74B2DB6E-DD24-4944-93E9-3EF9512FA555}"/>
    <cellStyle name="Vírgula 2 2 4 6 2 3 2" xfId="42604" xr:uid="{C0D738E5-6E65-48F2-83B2-AE910188E9EA}"/>
    <cellStyle name="Vírgula 2 2 4 6 2 4" xfId="30013" xr:uid="{529FCF2F-E793-4B88-B0D2-11716CC0C395}"/>
    <cellStyle name="Vírgula 2 2 4 6 3" xfId="7569" xr:uid="{769FE0C3-1CD6-446F-B776-B8323D9846AD}"/>
    <cellStyle name="Vírgula 2 2 4 6 3 2" xfId="20251" xr:uid="{1AD81A5D-B73E-4BFC-9C5C-AC8CC0D4CB24}"/>
    <cellStyle name="Vírgula 2 2 4 6 3 2 2" xfId="45743" xr:uid="{809CE24C-8A58-440D-89F2-1C42E0AC7CCE}"/>
    <cellStyle name="Vírgula 2 2 4 6 3 3" xfId="33152" xr:uid="{8379E894-521C-47D4-8253-30BB09428369}"/>
    <cellStyle name="Vírgula 2 2 4 6 4" xfId="13973" xr:uid="{074D2DA7-8C1B-459C-A202-4384F2F535E2}"/>
    <cellStyle name="Vírgula 2 2 4 6 4 2" xfId="39465" xr:uid="{1720486E-816B-4D37-8389-CB66268A30E9}"/>
    <cellStyle name="Vírgula 2 2 4 6 5" xfId="26874" xr:uid="{3358C825-816C-4D4A-8D17-D496A0452490}"/>
    <cellStyle name="Vírgula 2 2 4 7" xfId="2568" xr:uid="{C8DFDBD3-9C6E-4A25-8020-8375F05A9933}"/>
    <cellStyle name="Vírgula 2 2 4 7 2" xfId="5722" xr:uid="{E6940B29-51C5-4E2A-AE07-BAB8169458C2}"/>
    <cellStyle name="Vírgula 2 2 4 7 2 2" xfId="12015" xr:uid="{307E5E5E-2A4D-45D4-A3FC-338E2C30F3CB}"/>
    <cellStyle name="Vírgula 2 2 4 7 2 2 2" xfId="24697" xr:uid="{CB0E241B-927A-4707-8765-4035CB6FA6F0}"/>
    <cellStyle name="Vírgula 2 2 4 7 2 2 2 2" xfId="50189" xr:uid="{B58A5E1F-A9FE-417F-B07F-893BD4C74FD9}"/>
    <cellStyle name="Vírgula 2 2 4 7 2 2 3" xfId="37598" xr:uid="{B817CAA8-4CE7-4106-9DD9-213501AF6B44}"/>
    <cellStyle name="Vírgula 2 2 4 7 2 3" xfId="18419" xr:uid="{BC29D8E7-F49F-4BA5-AD47-ECCD4E811DD5}"/>
    <cellStyle name="Vírgula 2 2 4 7 2 3 2" xfId="43911" xr:uid="{6C1E8036-ACD0-4CB5-B4A9-D9DDDA93569A}"/>
    <cellStyle name="Vírgula 2 2 4 7 2 4" xfId="31320" xr:uid="{77B4E097-D5DE-4163-9A0D-6D22F8523DF4}"/>
    <cellStyle name="Vírgula 2 2 4 7 3" xfId="8876" xr:uid="{BA51ABA6-17AE-4FD4-A382-9AEF9AD88FA9}"/>
    <cellStyle name="Vírgula 2 2 4 7 3 2" xfId="21558" xr:uid="{F58539FF-9282-4119-A3EF-BFF587C5B391}"/>
    <cellStyle name="Vírgula 2 2 4 7 3 2 2" xfId="47050" xr:uid="{A12D7A42-5D4A-446D-B664-7A6C2C2CB36E}"/>
    <cellStyle name="Vírgula 2 2 4 7 3 3" xfId="34459" xr:uid="{C9740D10-CD2F-4F34-981F-ADADCB702BCB}"/>
    <cellStyle name="Vírgula 2 2 4 7 4" xfId="15280" xr:uid="{6C018A05-ED09-494E-BC81-285269AEE05D}"/>
    <cellStyle name="Vírgula 2 2 4 7 4 2" xfId="40772" xr:uid="{F9A43566-69C4-4D22-99DA-2D6857156A27}"/>
    <cellStyle name="Vírgula 2 2 4 7 5" xfId="28181" xr:uid="{71D9BF36-491F-4F15-86D7-BDE9F38DE40C}"/>
    <cellStyle name="Vírgula 2 2 4 8" xfId="3091" xr:uid="{D988F416-0EBF-4602-AC5C-F1EA34CC3647}"/>
    <cellStyle name="Vírgula 2 2 4 8 2" xfId="6245" xr:uid="{CDE1CD9C-8133-4FCE-A6F8-8E8E1C3D77D4}"/>
    <cellStyle name="Vírgula 2 2 4 8 2 2" xfId="12538" xr:uid="{48542410-6FFA-43AC-820A-0FEFF66D617D}"/>
    <cellStyle name="Vírgula 2 2 4 8 2 2 2" xfId="25220" xr:uid="{A1721E0C-E77F-4F28-8B47-0A1A4AF042D8}"/>
    <cellStyle name="Vírgula 2 2 4 8 2 2 2 2" xfId="50712" xr:uid="{A409CFEF-C84E-43ED-B749-345AA3801448}"/>
    <cellStyle name="Vírgula 2 2 4 8 2 2 3" xfId="38121" xr:uid="{96EAB3EC-7457-49EE-B77F-DC6324628165}"/>
    <cellStyle name="Vírgula 2 2 4 8 2 3" xfId="18942" xr:uid="{69BE432D-BB71-429A-9AF1-5F7378237A47}"/>
    <cellStyle name="Vírgula 2 2 4 8 2 3 2" xfId="44434" xr:uid="{21E40902-719E-4418-A76C-09BC7363E5FC}"/>
    <cellStyle name="Vírgula 2 2 4 8 2 4" xfId="31843" xr:uid="{A3DABA72-3FDE-45C8-A9A5-554B72F928DD}"/>
    <cellStyle name="Vírgula 2 2 4 8 3" xfId="9399" xr:uid="{F4584535-3271-4B94-AAAA-B4748C849DF9}"/>
    <cellStyle name="Vírgula 2 2 4 8 3 2" xfId="22081" xr:uid="{632480DE-49EE-48DF-9A36-E0F768E70F6A}"/>
    <cellStyle name="Vírgula 2 2 4 8 3 2 2" xfId="47573" xr:uid="{25801FC2-6367-41FC-91FA-39B154FC01AF}"/>
    <cellStyle name="Vírgula 2 2 4 8 3 3" xfId="34982" xr:uid="{C9794EFD-1E9A-4877-935A-C6AE6F4A701C}"/>
    <cellStyle name="Vírgula 2 2 4 8 4" xfId="15803" xr:uid="{B732259D-9B9D-497C-9FE0-08F8BBBD0CC4}"/>
    <cellStyle name="Vírgula 2 2 4 8 4 2" xfId="41295" xr:uid="{3BC8760E-63C0-42B4-8AB8-A56FFE34FAA4}"/>
    <cellStyle name="Vírgula 2 2 4 8 5" xfId="28704" xr:uid="{DF193F44-62DE-40C2-B942-C1C99203255B}"/>
    <cellStyle name="Vírgula 2 2 4 9" xfId="3630" xr:uid="{0CC90111-634B-4D9F-AA93-A3F247F0B54B}"/>
    <cellStyle name="Vírgula 2 2 4 9 2" xfId="9923" xr:uid="{DF698BDB-F03B-4282-B9CF-4E49AF6A3669}"/>
    <cellStyle name="Vírgula 2 2 4 9 2 2" xfId="22605" xr:uid="{7EECE755-4566-454B-9CC4-1F5F3DBA6D14}"/>
    <cellStyle name="Vírgula 2 2 4 9 2 2 2" xfId="48097" xr:uid="{139BD1D6-D96A-42D1-A3E6-3CB81EA973D2}"/>
    <cellStyle name="Vírgula 2 2 4 9 2 3" xfId="35506" xr:uid="{A778FC3C-1CBD-4E65-A59A-A6420A1472A4}"/>
    <cellStyle name="Vírgula 2 2 4 9 3" xfId="16327" xr:uid="{D9D7E182-0B47-47EE-B74F-0DBC01767F54}"/>
    <cellStyle name="Vírgula 2 2 4 9 3 2" xfId="41819" xr:uid="{BAC165E4-B0DB-46A0-8F45-D855A772E970}"/>
    <cellStyle name="Vírgula 2 2 4 9 4" xfId="29228" xr:uid="{10D3C502-B4AC-4CD2-8CC1-92C1ADD41A51}"/>
    <cellStyle name="Vírgula 2 2 5" xfId="578" xr:uid="{18CE3FA3-0A50-46D2-9E1F-1193B636B886}"/>
    <cellStyle name="Vírgula 2 2 5 10" xfId="13305" xr:uid="{A0740566-A884-4527-951D-12C1E3B88EFC}"/>
    <cellStyle name="Vírgula 2 2 5 10 2" xfId="38797" xr:uid="{A8687910-551B-4C15-BDF5-010C053BAD17}"/>
    <cellStyle name="Vírgula 2 2 5 11" xfId="26206" xr:uid="{8068DAC7-7D9B-4FE0-ACC5-2EB3CB6D0C50}"/>
    <cellStyle name="Vírgula 2 2 5 2" xfId="1115" xr:uid="{A0CBC2AE-C25E-438D-9764-D2D68F0A4028}"/>
    <cellStyle name="Vírgula 2 2 5 2 2" xfId="2422" xr:uid="{6484E198-1187-45C1-9DFC-E607B0BC052A}"/>
    <cellStyle name="Vírgula 2 2 5 2 2 2" xfId="5576" xr:uid="{B46CB995-9AFD-4CEB-8809-0F469075DBB5}"/>
    <cellStyle name="Vírgula 2 2 5 2 2 2 2" xfId="11869" xr:uid="{67779F1E-7D72-4ACA-9FD4-B93F7B7EA76B}"/>
    <cellStyle name="Vírgula 2 2 5 2 2 2 2 2" xfId="24551" xr:uid="{4C7A7C60-8251-4F27-A51F-5FE19F71B8E9}"/>
    <cellStyle name="Vírgula 2 2 5 2 2 2 2 2 2" xfId="50043" xr:uid="{570EA7F9-AE46-4E69-938C-6B43869CA41B}"/>
    <cellStyle name="Vírgula 2 2 5 2 2 2 2 3" xfId="37452" xr:uid="{3B64266F-43FA-4ADF-850A-0917525FCF19}"/>
    <cellStyle name="Vírgula 2 2 5 2 2 2 3" xfId="18273" xr:uid="{6BEB740B-7C76-4ABA-B2C7-5896874F0387}"/>
    <cellStyle name="Vírgula 2 2 5 2 2 2 3 2" xfId="43765" xr:uid="{13240C5B-2769-428A-AD38-46421C8BBDF2}"/>
    <cellStyle name="Vírgula 2 2 5 2 2 2 4" xfId="31174" xr:uid="{8F7D8AA4-96E9-4A43-9886-E5B449573A5A}"/>
    <cellStyle name="Vírgula 2 2 5 2 2 3" xfId="8730" xr:uid="{5ADC2FB0-17AE-4AFB-96D2-F294C238DDB5}"/>
    <cellStyle name="Vírgula 2 2 5 2 2 3 2" xfId="21412" xr:uid="{11E963B8-AD49-430D-BD1D-A68CE690CFD7}"/>
    <cellStyle name="Vírgula 2 2 5 2 2 3 2 2" xfId="46904" xr:uid="{DC62AA68-7362-4B4A-8B06-037E07FB967E}"/>
    <cellStyle name="Vírgula 2 2 5 2 2 3 3" xfId="34313" xr:uid="{C26CAEEB-9495-41D8-9FA7-0EE93E95576F}"/>
    <cellStyle name="Vírgula 2 2 5 2 2 4" xfId="15134" xr:uid="{41852D97-3E49-4CDE-A06B-A5D6601203B2}"/>
    <cellStyle name="Vírgula 2 2 5 2 2 4 2" xfId="40626" xr:uid="{5C0E4755-EC94-44F5-A58D-B57B618EB0AF}"/>
    <cellStyle name="Vírgula 2 2 5 2 2 5" xfId="28035" xr:uid="{C5F80E88-F2FB-4E07-979C-5E5FDAD04157}"/>
    <cellStyle name="Vírgula 2 2 5 2 3" xfId="1639" xr:uid="{4FEC68DD-0DB4-41E2-94D7-65689CC90993}"/>
    <cellStyle name="Vírgula 2 2 5 2 3 2" xfId="4793" xr:uid="{BAFAE7ED-34EB-40C9-B983-E2832E99A161}"/>
    <cellStyle name="Vírgula 2 2 5 2 3 2 2" xfId="11086" xr:uid="{BC5867B2-2768-4C30-B171-EB0BBFF61C64}"/>
    <cellStyle name="Vírgula 2 2 5 2 3 2 2 2" xfId="23768" xr:uid="{B41D2122-E6FE-4269-9BB7-DAD2E81900AA}"/>
    <cellStyle name="Vírgula 2 2 5 2 3 2 2 2 2" xfId="49260" xr:uid="{A219FAA1-4ECD-40F2-A35A-698142B1EDC5}"/>
    <cellStyle name="Vírgula 2 2 5 2 3 2 2 3" xfId="36669" xr:uid="{02673305-828D-41F5-8439-DE1DB234D904}"/>
    <cellStyle name="Vírgula 2 2 5 2 3 2 3" xfId="17490" xr:uid="{6D4A51A1-FC37-4241-834F-3C95B82C104E}"/>
    <cellStyle name="Vírgula 2 2 5 2 3 2 3 2" xfId="42982" xr:uid="{BA867F2E-5340-4763-8FC0-6E13299D13E1}"/>
    <cellStyle name="Vírgula 2 2 5 2 3 2 4" xfId="30391" xr:uid="{85C9CF28-B3A0-4A02-B7C9-F567662078A5}"/>
    <cellStyle name="Vírgula 2 2 5 2 3 3" xfId="7947" xr:uid="{5F718E3A-BC5D-427C-9C0E-571FE223C4F1}"/>
    <cellStyle name="Vírgula 2 2 5 2 3 3 2" xfId="20629" xr:uid="{372C845C-573B-4536-B843-8699E0FC1108}"/>
    <cellStyle name="Vírgula 2 2 5 2 3 3 2 2" xfId="46121" xr:uid="{A72B6347-BE5F-4A0A-AD72-D2CBB488F802}"/>
    <cellStyle name="Vírgula 2 2 5 2 3 3 3" xfId="33530" xr:uid="{15288418-E0C4-48E1-A6F2-1400796FCBD3}"/>
    <cellStyle name="Vírgula 2 2 5 2 3 4" xfId="14351" xr:uid="{9635ACF0-1AA3-438D-B711-36C778F3A0AB}"/>
    <cellStyle name="Vírgula 2 2 5 2 3 4 2" xfId="39843" xr:uid="{1512BF07-1F96-4450-81E4-0614EE40C974}"/>
    <cellStyle name="Vírgula 2 2 5 2 3 5" xfId="27252" xr:uid="{B76BDCBF-8A39-4CD2-87AC-CC4E20A7722D}"/>
    <cellStyle name="Vírgula 2 2 5 2 4" xfId="2946" xr:uid="{0BED9622-B1FF-46B3-9739-03DF6E8B1D04}"/>
    <cellStyle name="Vírgula 2 2 5 2 4 2" xfId="6100" xr:uid="{95203274-0C98-47C8-9072-08D2597A8A28}"/>
    <cellStyle name="Vírgula 2 2 5 2 4 2 2" xfId="12393" xr:uid="{B75335EA-5EC7-4939-BCC8-0F909FFB5225}"/>
    <cellStyle name="Vírgula 2 2 5 2 4 2 2 2" xfId="25075" xr:uid="{DCE5A609-B934-4834-BB7E-C49B27747DBE}"/>
    <cellStyle name="Vírgula 2 2 5 2 4 2 2 2 2" xfId="50567" xr:uid="{89683F31-97D9-44C8-B28B-8DA6F24A3E27}"/>
    <cellStyle name="Vírgula 2 2 5 2 4 2 2 3" xfId="37976" xr:uid="{978EBDB5-20C7-4EE7-949A-050493812541}"/>
    <cellStyle name="Vírgula 2 2 5 2 4 2 3" xfId="18797" xr:uid="{340849E4-CA5B-488B-B212-915396ACEBDC}"/>
    <cellStyle name="Vírgula 2 2 5 2 4 2 3 2" xfId="44289" xr:uid="{7156A076-6252-48ED-B6D4-2341DA0ACEE6}"/>
    <cellStyle name="Vírgula 2 2 5 2 4 2 4" xfId="31698" xr:uid="{BA995A10-65CD-4F71-A203-451E49A7DEE2}"/>
    <cellStyle name="Vírgula 2 2 5 2 4 3" xfId="9254" xr:uid="{0AB1A2C6-685A-4E13-8D80-C4F37AE3FAC9}"/>
    <cellStyle name="Vírgula 2 2 5 2 4 3 2" xfId="21936" xr:uid="{A5D267DD-4DD0-42C5-ABED-48F9E5DF7C00}"/>
    <cellStyle name="Vírgula 2 2 5 2 4 3 2 2" xfId="47428" xr:uid="{BC0D6BAD-9E90-4107-8918-C6BE04E985AC}"/>
    <cellStyle name="Vírgula 2 2 5 2 4 3 3" xfId="34837" xr:uid="{D5709318-D455-46D1-92EE-62995C9101EF}"/>
    <cellStyle name="Vírgula 2 2 5 2 4 4" xfId="15658" xr:uid="{55B9D454-F93F-4920-985A-9E2142F44FA0}"/>
    <cellStyle name="Vírgula 2 2 5 2 4 4 2" xfId="41150" xr:uid="{2B6F502E-9498-40BD-8A6D-D262E000750F}"/>
    <cellStyle name="Vírgula 2 2 5 2 4 5" xfId="28559" xr:uid="{9C685468-F855-4A96-89F2-0C68CA504EA0}"/>
    <cellStyle name="Vírgula 2 2 5 2 5" xfId="3469" xr:uid="{2FC65445-523F-408D-BF8F-9382728065DC}"/>
    <cellStyle name="Vírgula 2 2 5 2 5 2" xfId="6623" xr:uid="{9AE2A294-17E2-495B-AFF9-F3CB5D5C67B7}"/>
    <cellStyle name="Vírgula 2 2 5 2 5 2 2" xfId="12916" xr:uid="{53CFF4AE-3933-4C14-AFD1-3E8AD5833FAC}"/>
    <cellStyle name="Vírgula 2 2 5 2 5 2 2 2" xfId="25598" xr:uid="{DAA9F17E-9B57-4B4C-A12A-2A2D0C404CCC}"/>
    <cellStyle name="Vírgula 2 2 5 2 5 2 2 2 2" xfId="51090" xr:uid="{90A49D95-7763-4F01-A40C-D478798C8E65}"/>
    <cellStyle name="Vírgula 2 2 5 2 5 2 2 3" xfId="38499" xr:uid="{083B92B6-882D-42F3-9A80-6E817A3CF7EF}"/>
    <cellStyle name="Vírgula 2 2 5 2 5 2 3" xfId="19320" xr:uid="{5FE3754A-BBD2-46F0-A852-F75C698B9C3D}"/>
    <cellStyle name="Vírgula 2 2 5 2 5 2 3 2" xfId="44812" xr:uid="{E7A1B150-9076-4EAB-99B5-05EAFF92B392}"/>
    <cellStyle name="Vírgula 2 2 5 2 5 2 4" xfId="32221" xr:uid="{10BFC486-8D64-4796-B472-5957CAA7D5E5}"/>
    <cellStyle name="Vírgula 2 2 5 2 5 3" xfId="9777" xr:uid="{46CFE88A-35CD-4CE6-89E8-8A2745F16FD6}"/>
    <cellStyle name="Vírgula 2 2 5 2 5 3 2" xfId="22459" xr:uid="{9B8A4F1D-7A3D-40DF-B7B8-6BDCFBE4DD0D}"/>
    <cellStyle name="Vírgula 2 2 5 2 5 3 2 2" xfId="47951" xr:uid="{C1CDF54F-94AE-49AF-8009-347EA0CC06AD}"/>
    <cellStyle name="Vírgula 2 2 5 2 5 3 3" xfId="35360" xr:uid="{BC5CFBBE-3C99-4D79-B8F8-F8A4DA44C755}"/>
    <cellStyle name="Vírgula 2 2 5 2 5 4" xfId="16181" xr:uid="{4101BD65-BBF8-47C1-A96D-CF38AE9ED9B2}"/>
    <cellStyle name="Vírgula 2 2 5 2 5 4 2" xfId="41673" xr:uid="{4AFD564F-93D9-46AA-8498-A74DE8C97A90}"/>
    <cellStyle name="Vírgula 2 2 5 2 5 5" xfId="29082" xr:uid="{538C1AE4-63E9-4ADD-8A11-736AE6AB1039}"/>
    <cellStyle name="Vírgula 2 2 5 2 6" xfId="4269" xr:uid="{B0A0E2EB-4D6E-40BF-BD7B-CA29CBBE08F0}"/>
    <cellStyle name="Vírgula 2 2 5 2 6 2" xfId="10562" xr:uid="{36CFDA9F-9B19-4B40-B9CA-7EDBA5165B30}"/>
    <cellStyle name="Vírgula 2 2 5 2 6 2 2" xfId="23244" xr:uid="{96FC7696-6EF7-46C6-973C-21594A7BB2ED}"/>
    <cellStyle name="Vírgula 2 2 5 2 6 2 2 2" xfId="48736" xr:uid="{50D01E64-C6E3-4110-B443-D2B7247C6E12}"/>
    <cellStyle name="Vírgula 2 2 5 2 6 2 3" xfId="36145" xr:uid="{673C31E5-DBD9-425E-9FB3-18539196D01E}"/>
    <cellStyle name="Vírgula 2 2 5 2 6 3" xfId="16966" xr:uid="{C011CC25-3C01-4B3A-A7B6-2C4B922AE6DC}"/>
    <cellStyle name="Vírgula 2 2 5 2 6 3 2" xfId="42458" xr:uid="{D97F4782-91DB-4A01-A9E4-413AC0028BB9}"/>
    <cellStyle name="Vírgula 2 2 5 2 6 4" xfId="29867" xr:uid="{5B8990CC-2B1A-45BD-8F2E-A8E47286DCB4}"/>
    <cellStyle name="Vírgula 2 2 5 2 7" xfId="7423" xr:uid="{959F564D-0425-4A5D-B54A-D430435C4CF0}"/>
    <cellStyle name="Vírgula 2 2 5 2 7 2" xfId="20105" xr:uid="{9C971AEB-B4B5-4E21-BAD3-CB7A623E0938}"/>
    <cellStyle name="Vírgula 2 2 5 2 7 2 2" xfId="45597" xr:uid="{FA25CCB8-E4C2-4A8D-A9EB-91BFE393CA21}"/>
    <cellStyle name="Vírgula 2 2 5 2 7 3" xfId="33006" xr:uid="{44161A54-7A51-4385-A36F-940B92E6B9BF}"/>
    <cellStyle name="Vírgula 2 2 5 2 8" xfId="13827" xr:uid="{E8FCA308-19C0-42D3-9C3A-16DD2C039B1A}"/>
    <cellStyle name="Vírgula 2 2 5 2 8 2" xfId="39319" xr:uid="{5DBFA24D-EA85-4DB4-9350-3DF94713D291}"/>
    <cellStyle name="Vírgula 2 2 5 2 9" xfId="26728" xr:uid="{26052427-EB86-4F94-9574-17677FB8B003}"/>
    <cellStyle name="Vírgula 2 2 5 3" xfId="855" xr:uid="{9396840B-34CB-442F-AFBE-6C17385E6F50}"/>
    <cellStyle name="Vírgula 2 2 5 3 2" xfId="2162" xr:uid="{5BBE57A7-3605-42CE-B158-B936587F0534}"/>
    <cellStyle name="Vírgula 2 2 5 3 2 2" xfId="5316" xr:uid="{F5714E31-4E58-4FB9-9814-EE12C41A44B5}"/>
    <cellStyle name="Vírgula 2 2 5 3 2 2 2" xfId="11609" xr:uid="{628EE894-03A7-4742-AAC8-7EB188CC5B01}"/>
    <cellStyle name="Vírgula 2 2 5 3 2 2 2 2" xfId="24291" xr:uid="{6D7749FD-6828-442E-8E26-DFB46E9BB9B4}"/>
    <cellStyle name="Vírgula 2 2 5 3 2 2 2 2 2" xfId="49783" xr:uid="{4B2065AE-A8FB-4866-8110-E27401F264A2}"/>
    <cellStyle name="Vírgula 2 2 5 3 2 2 2 3" xfId="37192" xr:uid="{73F36B43-264F-48ED-B1E2-B140E7EEE5B1}"/>
    <cellStyle name="Vírgula 2 2 5 3 2 2 3" xfId="18013" xr:uid="{0B8CD9AF-091B-4CCC-AADB-2189D1CB409D}"/>
    <cellStyle name="Vírgula 2 2 5 3 2 2 3 2" xfId="43505" xr:uid="{224B4E52-A0E7-44E1-B09A-6595320801B2}"/>
    <cellStyle name="Vírgula 2 2 5 3 2 2 4" xfId="30914" xr:uid="{A2D3072C-CFCD-4470-9683-63140AC29AAC}"/>
    <cellStyle name="Vírgula 2 2 5 3 2 3" xfId="8470" xr:uid="{107DB49D-9030-4A1B-A4AE-E3FE2D7C1F6E}"/>
    <cellStyle name="Vírgula 2 2 5 3 2 3 2" xfId="21152" xr:uid="{123550C4-32BE-46DE-A352-12AA5058695E}"/>
    <cellStyle name="Vírgula 2 2 5 3 2 3 2 2" xfId="46644" xr:uid="{966FCDF4-60ED-49D0-933E-EF5C2C64C8D5}"/>
    <cellStyle name="Vírgula 2 2 5 3 2 3 3" xfId="34053" xr:uid="{7DEEB61F-2E6D-416E-906F-62A4AA3CD94B}"/>
    <cellStyle name="Vírgula 2 2 5 3 2 4" xfId="14874" xr:uid="{9CD98C72-5EAD-4571-A3D9-B3CEBA725F98}"/>
    <cellStyle name="Vírgula 2 2 5 3 2 4 2" xfId="40366" xr:uid="{C14771F8-F22B-4CE7-AAEA-B6670DDA74D3}"/>
    <cellStyle name="Vírgula 2 2 5 3 2 5" xfId="27775" xr:uid="{4E1CE71B-57B4-445F-9CC5-7BC4DFDEDCF8}"/>
    <cellStyle name="Vírgula 2 2 5 3 3" xfId="4009" xr:uid="{FB2CD85B-C93B-4EEC-B122-57AFF3FA13AD}"/>
    <cellStyle name="Vírgula 2 2 5 3 3 2" xfId="10302" xr:uid="{66A7642B-DAAE-4DBD-9A2E-172B1B3D561F}"/>
    <cellStyle name="Vírgula 2 2 5 3 3 2 2" xfId="22984" xr:uid="{08B3AF84-AB4E-4223-B714-7229F1BEDF85}"/>
    <cellStyle name="Vírgula 2 2 5 3 3 2 2 2" xfId="48476" xr:uid="{24D40E2F-EBB5-491C-8075-7EFFB51A6CF5}"/>
    <cellStyle name="Vírgula 2 2 5 3 3 2 3" xfId="35885" xr:uid="{08BEA075-77FD-4AE2-B734-5D8134A6EEB2}"/>
    <cellStyle name="Vírgula 2 2 5 3 3 3" xfId="16706" xr:uid="{F8A93264-8FD5-43D7-AFC2-3CFE0F20C1A8}"/>
    <cellStyle name="Vírgula 2 2 5 3 3 3 2" xfId="42198" xr:uid="{BC006B8F-DE61-4C64-88A2-586E40FB2B92}"/>
    <cellStyle name="Vírgula 2 2 5 3 3 4" xfId="29607" xr:uid="{6F95A9AC-9FC6-4280-B7D9-93650DF9572C}"/>
    <cellStyle name="Vírgula 2 2 5 3 4" xfId="7163" xr:uid="{C17B455A-4C7D-4BCE-BF47-5C5E3463CBBC}"/>
    <cellStyle name="Vírgula 2 2 5 3 4 2" xfId="19845" xr:uid="{4C4EC0A1-D0B0-41E3-9F01-3B5688680728}"/>
    <cellStyle name="Vírgula 2 2 5 3 4 2 2" xfId="45337" xr:uid="{2B9DFCCB-7C36-4803-93EC-C3E41D87FF19}"/>
    <cellStyle name="Vírgula 2 2 5 3 4 3" xfId="32746" xr:uid="{CEE40053-EEE5-4DB5-A124-3D1D3C6B8A63}"/>
    <cellStyle name="Vírgula 2 2 5 3 5" xfId="13567" xr:uid="{FF5BAE66-1EF7-4D28-B95D-62FEBCF75441}"/>
    <cellStyle name="Vírgula 2 2 5 3 5 2" xfId="39059" xr:uid="{E60C336A-B889-4531-9A83-6E7F12EBBFDB}"/>
    <cellStyle name="Vírgula 2 2 5 3 6" xfId="26468" xr:uid="{38C5B074-B718-46B5-86FB-276C5947DE54}"/>
    <cellStyle name="Vírgula 2 2 5 4" xfId="1900" xr:uid="{0380FF1E-5206-4101-A8B2-8EA483794A70}"/>
    <cellStyle name="Vírgula 2 2 5 4 2" xfId="5054" xr:uid="{DA5EE6DD-D4BA-43E5-8692-B6B484CF8FE4}"/>
    <cellStyle name="Vírgula 2 2 5 4 2 2" xfId="11347" xr:uid="{3DB072A7-3F51-46D9-A3DE-76F125B8C29B}"/>
    <cellStyle name="Vírgula 2 2 5 4 2 2 2" xfId="24029" xr:uid="{5B6A8111-5A95-4565-94D0-C7121EE9BDAB}"/>
    <cellStyle name="Vírgula 2 2 5 4 2 2 2 2" xfId="49521" xr:uid="{8856AEC2-B2FB-4B5C-8097-CAFFAFFE6281}"/>
    <cellStyle name="Vírgula 2 2 5 4 2 2 3" xfId="36930" xr:uid="{37E35A52-4D49-4F19-A4E1-900C9E77F9B2}"/>
    <cellStyle name="Vírgula 2 2 5 4 2 3" xfId="17751" xr:uid="{A28092C3-27C6-4057-B993-0F1569798072}"/>
    <cellStyle name="Vírgula 2 2 5 4 2 3 2" xfId="43243" xr:uid="{19087A4F-43CC-409A-BF85-ADD51C50E390}"/>
    <cellStyle name="Vírgula 2 2 5 4 2 4" xfId="30652" xr:uid="{75DA8150-F45D-4F93-AAB7-D3B67C5348B7}"/>
    <cellStyle name="Vírgula 2 2 5 4 3" xfId="8208" xr:uid="{C63E43B5-C282-45F6-9736-28AAAEBD4F9F}"/>
    <cellStyle name="Vírgula 2 2 5 4 3 2" xfId="20890" xr:uid="{2C5F1903-B9A5-4397-9942-8FDD855DAF3D}"/>
    <cellStyle name="Vírgula 2 2 5 4 3 2 2" xfId="46382" xr:uid="{567447C0-CFD9-4F94-9413-8395D2E8B54F}"/>
    <cellStyle name="Vírgula 2 2 5 4 3 3" xfId="33791" xr:uid="{15029EE5-DC00-4353-B158-0E95F2092696}"/>
    <cellStyle name="Vírgula 2 2 5 4 4" xfId="14612" xr:uid="{1F7FC662-7AB9-4907-919F-746DDF039A32}"/>
    <cellStyle name="Vírgula 2 2 5 4 4 2" xfId="40104" xr:uid="{C35190BC-37B3-4D44-9D1C-546798BBFE07}"/>
    <cellStyle name="Vírgula 2 2 5 4 5" xfId="27513" xr:uid="{8E9B6D8D-BF0C-4A79-ADF2-0CEB0EE5C831}"/>
    <cellStyle name="Vírgula 2 2 5 5" xfId="1378" xr:uid="{5ED84B06-4125-46DF-AC40-A96EABC4C56F}"/>
    <cellStyle name="Vírgula 2 2 5 5 2" xfId="4532" xr:uid="{F2B2A159-9790-4FB0-9D4A-6BFB9409B319}"/>
    <cellStyle name="Vírgula 2 2 5 5 2 2" xfId="10825" xr:uid="{A5B3B71E-94B0-488B-813E-C9CFB99DCF12}"/>
    <cellStyle name="Vírgula 2 2 5 5 2 2 2" xfId="23507" xr:uid="{6697B628-AC13-4D52-84DA-D53071F67A91}"/>
    <cellStyle name="Vírgula 2 2 5 5 2 2 2 2" xfId="48999" xr:uid="{1194CA74-C087-4CA6-8150-B4DD859ED303}"/>
    <cellStyle name="Vírgula 2 2 5 5 2 2 3" xfId="36408" xr:uid="{62BC7EBA-7D20-4A30-9875-591E542483E1}"/>
    <cellStyle name="Vírgula 2 2 5 5 2 3" xfId="17229" xr:uid="{B33DD12D-4A01-4592-B7FF-1615305B4300}"/>
    <cellStyle name="Vírgula 2 2 5 5 2 3 2" xfId="42721" xr:uid="{FF723C16-1201-43DC-B843-0690BA12E3AE}"/>
    <cellStyle name="Vírgula 2 2 5 5 2 4" xfId="30130" xr:uid="{B7148CBD-1407-4B67-8406-48EEFE499744}"/>
    <cellStyle name="Vírgula 2 2 5 5 3" xfId="7686" xr:uid="{DEA7DCCB-06FB-41AF-995E-07CBF7232E10}"/>
    <cellStyle name="Vírgula 2 2 5 5 3 2" xfId="20368" xr:uid="{CAE49836-D8E4-4BCE-A312-31578B508EEC}"/>
    <cellStyle name="Vírgula 2 2 5 5 3 2 2" xfId="45860" xr:uid="{ED2302E7-F53A-4B59-9841-0BD271D1D770}"/>
    <cellStyle name="Vírgula 2 2 5 5 3 3" xfId="33269" xr:uid="{CDDE0CF1-4A40-47AA-A7D2-EC570F61E2D9}"/>
    <cellStyle name="Vírgula 2 2 5 5 4" xfId="14090" xr:uid="{8595CD20-4078-4BB0-BB5B-31B52662D674}"/>
    <cellStyle name="Vírgula 2 2 5 5 4 2" xfId="39582" xr:uid="{FF1A7A1D-18D1-4F97-BC15-206304F533B7}"/>
    <cellStyle name="Vírgula 2 2 5 5 5" xfId="26991" xr:uid="{F59D2701-527D-4F8E-9F7A-0E571FA898CF}"/>
    <cellStyle name="Vírgula 2 2 5 6" xfId="2685" xr:uid="{C0DD694F-47CE-4313-B760-612C4C4BB030}"/>
    <cellStyle name="Vírgula 2 2 5 6 2" xfId="5839" xr:uid="{EDDBF15A-53B4-4500-B420-4D4C8770134A}"/>
    <cellStyle name="Vírgula 2 2 5 6 2 2" xfId="12132" xr:uid="{1ABB2035-0A6E-49A2-A12D-7ADCBD65D33E}"/>
    <cellStyle name="Vírgula 2 2 5 6 2 2 2" xfId="24814" xr:uid="{BBD23522-16F8-45D3-A7E9-57C80E59AA0A}"/>
    <cellStyle name="Vírgula 2 2 5 6 2 2 2 2" xfId="50306" xr:uid="{25E9370E-2A7F-458A-9CA7-BC342FC20154}"/>
    <cellStyle name="Vírgula 2 2 5 6 2 2 3" xfId="37715" xr:uid="{19128D84-6BD2-4A2E-B386-47BE90F8A090}"/>
    <cellStyle name="Vírgula 2 2 5 6 2 3" xfId="18536" xr:uid="{85D6677B-886C-446A-B638-3BCD29FA49DF}"/>
    <cellStyle name="Vírgula 2 2 5 6 2 3 2" xfId="44028" xr:uid="{F13F0C39-D231-4209-8A36-3893B487AD86}"/>
    <cellStyle name="Vírgula 2 2 5 6 2 4" xfId="31437" xr:uid="{D33DC6F6-BC77-4F6C-8856-CBBFA6A0C9E9}"/>
    <cellStyle name="Vírgula 2 2 5 6 3" xfId="8993" xr:uid="{BEACF1B1-831F-4852-8E8C-60591D8C2489}"/>
    <cellStyle name="Vírgula 2 2 5 6 3 2" xfId="21675" xr:uid="{B5D4A3B1-5A2C-4908-BE1A-82A919EAA2F3}"/>
    <cellStyle name="Vírgula 2 2 5 6 3 2 2" xfId="47167" xr:uid="{14E184C9-0B98-4E7D-A65F-C275541776E8}"/>
    <cellStyle name="Vírgula 2 2 5 6 3 3" xfId="34576" xr:uid="{624A3607-2CB6-495D-9F9A-501F1F33323D}"/>
    <cellStyle name="Vírgula 2 2 5 6 4" xfId="15397" xr:uid="{DF844119-9C70-4A9B-8149-7C8BCA989BBD}"/>
    <cellStyle name="Vírgula 2 2 5 6 4 2" xfId="40889" xr:uid="{348C9D8F-013D-451D-8176-A27310697A55}"/>
    <cellStyle name="Vírgula 2 2 5 6 5" xfId="28298" xr:uid="{D17758B4-D8A5-41E1-B85A-8E453E0F7ACD}"/>
    <cellStyle name="Vírgula 2 2 5 7" xfId="3208" xr:uid="{934ADB72-043C-40ED-AAC7-0B6FDA112E28}"/>
    <cellStyle name="Vírgula 2 2 5 7 2" xfId="6362" xr:uid="{AD12E31D-6BA2-4B3C-B103-7152A77094C4}"/>
    <cellStyle name="Vírgula 2 2 5 7 2 2" xfId="12655" xr:uid="{51598D64-EDF1-448B-84EA-3B6D36B6BF33}"/>
    <cellStyle name="Vírgula 2 2 5 7 2 2 2" xfId="25337" xr:uid="{750EDB8A-6F8D-4194-BB0A-7186E9BC47C3}"/>
    <cellStyle name="Vírgula 2 2 5 7 2 2 2 2" xfId="50829" xr:uid="{F15F17FD-ECB9-4440-A936-461A8CA98FD9}"/>
    <cellStyle name="Vírgula 2 2 5 7 2 2 3" xfId="38238" xr:uid="{02B9F80A-324B-4463-BE97-FD4A7D3B247C}"/>
    <cellStyle name="Vírgula 2 2 5 7 2 3" xfId="19059" xr:uid="{B0BDA6A3-AB48-49E2-89B7-E62929292239}"/>
    <cellStyle name="Vírgula 2 2 5 7 2 3 2" xfId="44551" xr:uid="{2F853025-48F2-45DE-ABA9-3FDA4A17B678}"/>
    <cellStyle name="Vírgula 2 2 5 7 2 4" xfId="31960" xr:uid="{AEEC8268-DBEC-4806-BD63-3E9E27B6CDDF}"/>
    <cellStyle name="Vírgula 2 2 5 7 3" xfId="9516" xr:uid="{B5E66C23-E485-488C-AFD4-B59B4FC07199}"/>
    <cellStyle name="Vírgula 2 2 5 7 3 2" xfId="22198" xr:uid="{C2725475-3832-49CB-B561-8E96C3ED1262}"/>
    <cellStyle name="Vírgula 2 2 5 7 3 2 2" xfId="47690" xr:uid="{7EC3AC5F-69BC-4F7D-95F3-C1C16881E6AD}"/>
    <cellStyle name="Vírgula 2 2 5 7 3 3" xfId="35099" xr:uid="{0C40CA7A-51FC-4F54-81DF-7088DD7FE972}"/>
    <cellStyle name="Vírgula 2 2 5 7 4" xfId="15920" xr:uid="{AAB9BDBD-BA18-4D00-AAF8-B76C80B0A607}"/>
    <cellStyle name="Vírgula 2 2 5 7 4 2" xfId="41412" xr:uid="{34BCA355-C36D-4DB1-828B-C2BCC9A689AA}"/>
    <cellStyle name="Vírgula 2 2 5 7 5" xfId="28821" xr:uid="{112A1176-C3D6-494E-8A32-0F637A100240}"/>
    <cellStyle name="Vírgula 2 2 5 8" xfId="3747" xr:uid="{A671583F-3B2D-43B5-AA92-57E1348EF0C9}"/>
    <cellStyle name="Vírgula 2 2 5 8 2" xfId="10040" xr:uid="{4291C986-1D59-4A6C-BCAD-199995CD2339}"/>
    <cellStyle name="Vírgula 2 2 5 8 2 2" xfId="22722" xr:uid="{39F202B0-E80A-46B2-BAFA-D16F5B1FF5C3}"/>
    <cellStyle name="Vírgula 2 2 5 8 2 2 2" xfId="48214" xr:uid="{3742B8BB-DC2F-4FD0-A9C5-3E2024C04550}"/>
    <cellStyle name="Vírgula 2 2 5 8 2 3" xfId="35623" xr:uid="{0DA57D62-B8F7-49CB-A45E-98A4DEA436A8}"/>
    <cellStyle name="Vírgula 2 2 5 8 3" xfId="16444" xr:uid="{00C998C6-8042-41C6-95C4-59A76CF665BB}"/>
    <cellStyle name="Vírgula 2 2 5 8 3 2" xfId="41936" xr:uid="{E29E901E-A5ED-413A-A86C-202A6350F718}"/>
    <cellStyle name="Vírgula 2 2 5 8 4" xfId="29345" xr:uid="{15DC5DD2-E375-41BD-B607-75A148A572D7}"/>
    <cellStyle name="Vírgula 2 2 5 9" xfId="6901" xr:uid="{5BADCB96-1514-48BE-8E0E-57EC80F046B0}"/>
    <cellStyle name="Vírgula 2 2 5 9 2" xfId="19583" xr:uid="{66731506-A8C1-471B-8F4B-A96660544D2A}"/>
    <cellStyle name="Vírgula 2 2 5 9 2 2" xfId="45075" xr:uid="{440ACC5B-B14C-4014-9C86-12721FD69DEA}"/>
    <cellStyle name="Vírgula 2 2 5 9 3" xfId="32484" xr:uid="{F33BAEBA-2273-4773-BC71-6BB53BC18D5D}"/>
    <cellStyle name="Vírgula 2 2 6" xfId="520" xr:uid="{7CD32C92-92C8-428B-B7F9-478A10C691E1}"/>
    <cellStyle name="Vírgula 2 2 6 10" xfId="13247" xr:uid="{7864EC24-E952-457C-8B11-3B9F1D908CEE}"/>
    <cellStyle name="Vírgula 2 2 6 10 2" xfId="38739" xr:uid="{E5BF023A-4604-4AEE-A1F5-F58E80C1BE52}"/>
    <cellStyle name="Vírgula 2 2 6 11" xfId="26148" xr:uid="{D5C22C59-65F0-4B27-9A35-2D27262ACE92}"/>
    <cellStyle name="Vírgula 2 2 6 2" xfId="1057" xr:uid="{2A6E74D9-DEDF-4236-9A51-89CD517CD311}"/>
    <cellStyle name="Vírgula 2 2 6 2 2" xfId="2364" xr:uid="{3D4723E0-9CBD-4160-ABF7-D07BBC2CB8E7}"/>
    <cellStyle name="Vírgula 2 2 6 2 2 2" xfId="5518" xr:uid="{CDAC4875-8D48-4351-B90D-6D7DBA585D70}"/>
    <cellStyle name="Vírgula 2 2 6 2 2 2 2" xfId="11811" xr:uid="{2BD9D67D-2FA1-491D-BF2B-44EA25B76B65}"/>
    <cellStyle name="Vírgula 2 2 6 2 2 2 2 2" xfId="24493" xr:uid="{78529465-2F78-4FA8-B645-00B19623F655}"/>
    <cellStyle name="Vírgula 2 2 6 2 2 2 2 2 2" xfId="49985" xr:uid="{F93454D9-0650-46AE-A195-B5DD133AF674}"/>
    <cellStyle name="Vírgula 2 2 6 2 2 2 2 3" xfId="37394" xr:uid="{4A4973FD-DD8A-4A0F-B53F-3B92822BE97C}"/>
    <cellStyle name="Vírgula 2 2 6 2 2 2 3" xfId="18215" xr:uid="{2EB43479-144F-459C-8BF4-A9A6AC63D0A6}"/>
    <cellStyle name="Vírgula 2 2 6 2 2 2 3 2" xfId="43707" xr:uid="{E731E53A-D93F-4058-9068-EB731E27DB61}"/>
    <cellStyle name="Vírgula 2 2 6 2 2 2 4" xfId="31116" xr:uid="{43C97B19-C37B-45C7-848E-379FB82A8826}"/>
    <cellStyle name="Vírgula 2 2 6 2 2 3" xfId="8672" xr:uid="{2E268563-3DA0-4655-A4FF-57DA66B762B0}"/>
    <cellStyle name="Vírgula 2 2 6 2 2 3 2" xfId="21354" xr:uid="{4CE810D8-ACC5-4E0A-9479-67BA1298ACE1}"/>
    <cellStyle name="Vírgula 2 2 6 2 2 3 2 2" xfId="46846" xr:uid="{AF2D4E1C-94F1-4D26-8615-B4D58923A039}"/>
    <cellStyle name="Vírgula 2 2 6 2 2 3 3" xfId="34255" xr:uid="{7A0562CA-676E-4DF0-9E4A-2145E8FD74C0}"/>
    <cellStyle name="Vírgula 2 2 6 2 2 4" xfId="15076" xr:uid="{5F14820C-800F-4D2B-9C33-A5988CE77A14}"/>
    <cellStyle name="Vírgula 2 2 6 2 2 4 2" xfId="40568" xr:uid="{EA7933DE-53B1-413F-B03D-A58A9F249E4E}"/>
    <cellStyle name="Vírgula 2 2 6 2 2 5" xfId="27977" xr:uid="{A4AC780A-6B77-4555-B09E-2D3603984FE6}"/>
    <cellStyle name="Vírgula 2 2 6 2 3" xfId="1581" xr:uid="{9E61A595-FF50-4170-B6DD-541BB84C23EA}"/>
    <cellStyle name="Vírgula 2 2 6 2 3 2" xfId="4735" xr:uid="{C68AB7B8-8D4E-4A14-93DD-0211D406C2DE}"/>
    <cellStyle name="Vírgula 2 2 6 2 3 2 2" xfId="11028" xr:uid="{9F0377C4-E492-4F55-98E1-62DF0D59D71F}"/>
    <cellStyle name="Vírgula 2 2 6 2 3 2 2 2" xfId="23710" xr:uid="{C43E87F9-F9BC-4BAC-B878-0288B4180BF5}"/>
    <cellStyle name="Vírgula 2 2 6 2 3 2 2 2 2" xfId="49202" xr:uid="{A49BF5E0-F699-4189-B54F-C86599D07182}"/>
    <cellStyle name="Vírgula 2 2 6 2 3 2 2 3" xfId="36611" xr:uid="{904A1D56-C34A-4928-9C51-3865579BF10C}"/>
    <cellStyle name="Vírgula 2 2 6 2 3 2 3" xfId="17432" xr:uid="{B3C39D24-0DE0-428C-AC0B-2825B8A6B086}"/>
    <cellStyle name="Vírgula 2 2 6 2 3 2 3 2" xfId="42924" xr:uid="{B846FF06-3576-412A-B8C1-29945EF4F00B}"/>
    <cellStyle name="Vírgula 2 2 6 2 3 2 4" xfId="30333" xr:uid="{EF1541EE-28AA-4FD9-B047-9248FBDD0D22}"/>
    <cellStyle name="Vírgula 2 2 6 2 3 3" xfId="7889" xr:uid="{43CF29F9-7921-496E-B20A-3BC45C3D4055}"/>
    <cellStyle name="Vírgula 2 2 6 2 3 3 2" xfId="20571" xr:uid="{E02C575C-BA23-4F8A-9698-3DB5B0D873CF}"/>
    <cellStyle name="Vírgula 2 2 6 2 3 3 2 2" xfId="46063" xr:uid="{218BF13E-9523-464A-98C1-68CD603B0E5C}"/>
    <cellStyle name="Vírgula 2 2 6 2 3 3 3" xfId="33472" xr:uid="{7FB1A01B-1DD0-4170-81C2-AFDDB7F99FF6}"/>
    <cellStyle name="Vírgula 2 2 6 2 3 4" xfId="14293" xr:uid="{DFC4204E-FE86-459B-B919-9211E0B4D6B6}"/>
    <cellStyle name="Vírgula 2 2 6 2 3 4 2" xfId="39785" xr:uid="{93C401E6-0BF2-4A36-A1B0-82C5302A8659}"/>
    <cellStyle name="Vírgula 2 2 6 2 3 5" xfId="27194" xr:uid="{06558DCE-D5EF-4872-8FB7-B063D24E3C45}"/>
    <cellStyle name="Vírgula 2 2 6 2 4" xfId="2888" xr:uid="{0884C353-F14E-4638-88A1-E2BD683C343F}"/>
    <cellStyle name="Vírgula 2 2 6 2 4 2" xfId="6042" xr:uid="{00CFCC24-E4E8-486B-8EED-6D951C44D596}"/>
    <cellStyle name="Vírgula 2 2 6 2 4 2 2" xfId="12335" xr:uid="{658BE982-FE42-4FA6-AAC9-175F41ADE2D3}"/>
    <cellStyle name="Vírgula 2 2 6 2 4 2 2 2" xfId="25017" xr:uid="{EA36B15C-393E-4B4C-8D5D-E1161DB28597}"/>
    <cellStyle name="Vírgula 2 2 6 2 4 2 2 2 2" xfId="50509" xr:uid="{7700B992-5E80-4D90-9FD0-EB86EB8F8574}"/>
    <cellStyle name="Vírgula 2 2 6 2 4 2 2 3" xfId="37918" xr:uid="{3C79AC82-0902-4147-97D7-BB6730B5F2B8}"/>
    <cellStyle name="Vírgula 2 2 6 2 4 2 3" xfId="18739" xr:uid="{E7AC92EB-27F2-4983-BDD8-210880BFC8D7}"/>
    <cellStyle name="Vírgula 2 2 6 2 4 2 3 2" xfId="44231" xr:uid="{FB10A296-A237-4235-A2C1-93C66D61C22A}"/>
    <cellStyle name="Vírgula 2 2 6 2 4 2 4" xfId="31640" xr:uid="{0890A213-3137-44D5-AA5E-DF0FD61BA4A3}"/>
    <cellStyle name="Vírgula 2 2 6 2 4 3" xfId="9196" xr:uid="{0A886501-A838-437A-A209-140321B5B218}"/>
    <cellStyle name="Vírgula 2 2 6 2 4 3 2" xfId="21878" xr:uid="{6D1981CD-2C56-496B-9D4C-CAC2803CAED6}"/>
    <cellStyle name="Vírgula 2 2 6 2 4 3 2 2" xfId="47370" xr:uid="{6F10798A-0E76-4F33-B244-64A646A3CF88}"/>
    <cellStyle name="Vírgula 2 2 6 2 4 3 3" xfId="34779" xr:uid="{61805E1D-3933-4BE0-B4C1-E2562119EA88}"/>
    <cellStyle name="Vírgula 2 2 6 2 4 4" xfId="15600" xr:uid="{1A8A4390-1F60-4DC1-83AE-6562D27D619B}"/>
    <cellStyle name="Vírgula 2 2 6 2 4 4 2" xfId="41092" xr:uid="{F512A1C5-CD6F-49A5-99BB-F198477EF462}"/>
    <cellStyle name="Vírgula 2 2 6 2 4 5" xfId="28501" xr:uid="{24E8FB2B-51DA-4738-B300-D171AA5A7930}"/>
    <cellStyle name="Vírgula 2 2 6 2 5" xfId="3411" xr:uid="{6C224226-10F0-433A-A873-6675703B814E}"/>
    <cellStyle name="Vírgula 2 2 6 2 5 2" xfId="6565" xr:uid="{5C97D7BC-B0D7-48D7-B01B-02AEC5498E82}"/>
    <cellStyle name="Vírgula 2 2 6 2 5 2 2" xfId="12858" xr:uid="{1A44696C-B443-4B35-9C3A-70C44029C3EC}"/>
    <cellStyle name="Vírgula 2 2 6 2 5 2 2 2" xfId="25540" xr:uid="{ECE8CFC5-D2C4-46B4-B66B-3CEFCAF2E3B6}"/>
    <cellStyle name="Vírgula 2 2 6 2 5 2 2 2 2" xfId="51032" xr:uid="{F3A2024C-554E-478E-9414-F27100030094}"/>
    <cellStyle name="Vírgula 2 2 6 2 5 2 2 3" xfId="38441" xr:uid="{1039D8A4-0EDA-4C22-A89C-DDED124648B8}"/>
    <cellStyle name="Vírgula 2 2 6 2 5 2 3" xfId="19262" xr:uid="{5DEB21B1-78AF-4312-9B1E-52951D1046C7}"/>
    <cellStyle name="Vírgula 2 2 6 2 5 2 3 2" xfId="44754" xr:uid="{8F61DACD-DF80-4D67-BF21-66152E7E3C48}"/>
    <cellStyle name="Vírgula 2 2 6 2 5 2 4" xfId="32163" xr:uid="{298C8429-BBC7-4889-B9A8-9567013154C6}"/>
    <cellStyle name="Vírgula 2 2 6 2 5 3" xfId="9719" xr:uid="{A5E885F2-0D59-405B-B904-1E48FAE47F47}"/>
    <cellStyle name="Vírgula 2 2 6 2 5 3 2" xfId="22401" xr:uid="{D38448FF-886D-459B-81CD-C54CDC66EE93}"/>
    <cellStyle name="Vírgula 2 2 6 2 5 3 2 2" xfId="47893" xr:uid="{56B7BF0B-35B6-45EF-AF59-82C2EB5D4B3C}"/>
    <cellStyle name="Vírgula 2 2 6 2 5 3 3" xfId="35302" xr:uid="{3362F59C-CF4F-4D1E-8D40-31FFCA424A0E}"/>
    <cellStyle name="Vírgula 2 2 6 2 5 4" xfId="16123" xr:uid="{955958C7-592C-4156-9B7E-E4BAD581B3E5}"/>
    <cellStyle name="Vírgula 2 2 6 2 5 4 2" xfId="41615" xr:uid="{B66E6BE9-6506-40B4-B477-717AF5A626FE}"/>
    <cellStyle name="Vírgula 2 2 6 2 5 5" xfId="29024" xr:uid="{2FC36C5C-9EAA-482B-96FF-7E6858EC6F9D}"/>
    <cellStyle name="Vírgula 2 2 6 2 6" xfId="4211" xr:uid="{8E2B279D-8568-44DB-980A-6F0D1530A2FB}"/>
    <cellStyle name="Vírgula 2 2 6 2 6 2" xfId="10504" xr:uid="{D3FC7A06-8D38-486F-AB53-3CEDBEC3A980}"/>
    <cellStyle name="Vírgula 2 2 6 2 6 2 2" xfId="23186" xr:uid="{92656060-1D40-4239-8C62-12CA11D68F96}"/>
    <cellStyle name="Vírgula 2 2 6 2 6 2 2 2" xfId="48678" xr:uid="{3BAC7251-26A2-4F42-A90E-BEBAC5DBADC8}"/>
    <cellStyle name="Vírgula 2 2 6 2 6 2 3" xfId="36087" xr:uid="{59E26A35-42BA-4445-9C6C-7E23F32B7A00}"/>
    <cellStyle name="Vírgula 2 2 6 2 6 3" xfId="16908" xr:uid="{FB1A29EA-9C97-4207-A9AD-80192B790B2A}"/>
    <cellStyle name="Vírgula 2 2 6 2 6 3 2" xfId="42400" xr:uid="{745EEBA5-4FDF-4A85-BB68-066483897512}"/>
    <cellStyle name="Vírgula 2 2 6 2 6 4" xfId="29809" xr:uid="{AFC9536C-E4EF-4A3A-91DC-993ABDF11307}"/>
    <cellStyle name="Vírgula 2 2 6 2 7" xfId="7365" xr:uid="{602FDC21-F85C-4A07-A176-3CB124B3EDD9}"/>
    <cellStyle name="Vírgula 2 2 6 2 7 2" xfId="20047" xr:uid="{6A9F5862-A5CE-41A5-8E3D-99BAC09C3431}"/>
    <cellStyle name="Vírgula 2 2 6 2 7 2 2" xfId="45539" xr:uid="{0013E729-F79E-4807-A2BF-6DB1179B4120}"/>
    <cellStyle name="Vírgula 2 2 6 2 7 3" xfId="32948" xr:uid="{39444176-707B-4E86-B571-668A869C9AFE}"/>
    <cellStyle name="Vírgula 2 2 6 2 8" xfId="13769" xr:uid="{54CA84C6-6A16-4E6D-B0A1-7159C1A07962}"/>
    <cellStyle name="Vírgula 2 2 6 2 8 2" xfId="39261" xr:uid="{8874701A-8D61-4417-A095-D13C1F72C8C5}"/>
    <cellStyle name="Vírgula 2 2 6 2 9" xfId="26670" xr:uid="{E2168944-9E21-49BA-A505-A91BCBCF3C20}"/>
    <cellStyle name="Vírgula 2 2 6 3" xfId="797" xr:uid="{A8817BEF-F064-4AC2-878C-717B454D2800}"/>
    <cellStyle name="Vírgula 2 2 6 3 2" xfId="2104" xr:uid="{E3F7F921-B0B2-4781-ACF0-C8BB81289482}"/>
    <cellStyle name="Vírgula 2 2 6 3 2 2" xfId="5258" xr:uid="{92E8B260-F039-46C9-AC55-A53BB39BD206}"/>
    <cellStyle name="Vírgula 2 2 6 3 2 2 2" xfId="11551" xr:uid="{5B5735A6-DC73-49FE-81C2-8C8A8DCAEF63}"/>
    <cellStyle name="Vírgula 2 2 6 3 2 2 2 2" xfId="24233" xr:uid="{CB216064-DDA0-4B3F-A3F5-1102256544D7}"/>
    <cellStyle name="Vírgula 2 2 6 3 2 2 2 2 2" xfId="49725" xr:uid="{27C2A5C0-7868-4714-8BDF-5CC89E625803}"/>
    <cellStyle name="Vírgula 2 2 6 3 2 2 2 3" xfId="37134" xr:uid="{8833781D-1A1E-481A-8017-568D984F5891}"/>
    <cellStyle name="Vírgula 2 2 6 3 2 2 3" xfId="17955" xr:uid="{1E062DF6-BE6C-4B17-985C-466CB7553E23}"/>
    <cellStyle name="Vírgula 2 2 6 3 2 2 3 2" xfId="43447" xr:uid="{BF652E10-FB40-401A-B76C-66FBE5120F55}"/>
    <cellStyle name="Vírgula 2 2 6 3 2 2 4" xfId="30856" xr:uid="{4631800A-AE9B-4C8D-9489-FF28D1B2E760}"/>
    <cellStyle name="Vírgula 2 2 6 3 2 3" xfId="8412" xr:uid="{30202E9D-1ABB-43B8-ADEB-E4AA285D9666}"/>
    <cellStyle name="Vírgula 2 2 6 3 2 3 2" xfId="21094" xr:uid="{77B02817-D957-4508-A330-F58B4067A0AB}"/>
    <cellStyle name="Vírgula 2 2 6 3 2 3 2 2" xfId="46586" xr:uid="{7ED4EEEB-D73E-429A-BE96-3896A1237285}"/>
    <cellStyle name="Vírgula 2 2 6 3 2 3 3" xfId="33995" xr:uid="{1D9973AD-CFBE-4DB7-BC4E-51A404248BC0}"/>
    <cellStyle name="Vírgula 2 2 6 3 2 4" xfId="14816" xr:uid="{6BA11E26-CC57-485D-B3A9-6678A9842831}"/>
    <cellStyle name="Vírgula 2 2 6 3 2 4 2" xfId="40308" xr:uid="{215CE34B-25B9-4481-A3AC-1D540619C845}"/>
    <cellStyle name="Vírgula 2 2 6 3 2 5" xfId="27717" xr:uid="{0D8FCA2D-FA50-4FC6-A196-D7067C6229D7}"/>
    <cellStyle name="Vírgula 2 2 6 3 3" xfId="3951" xr:uid="{965E42F1-8789-485B-B25C-54FF0774E6A3}"/>
    <cellStyle name="Vírgula 2 2 6 3 3 2" xfId="10244" xr:uid="{BD322935-3388-4C79-A6C5-79ADD4561D34}"/>
    <cellStyle name="Vírgula 2 2 6 3 3 2 2" xfId="22926" xr:uid="{530B8E48-01B3-478F-9C19-749F3A4C0B27}"/>
    <cellStyle name="Vírgula 2 2 6 3 3 2 2 2" xfId="48418" xr:uid="{05C2D1F6-EE40-43A2-8AB0-EEB1CA5976A9}"/>
    <cellStyle name="Vírgula 2 2 6 3 3 2 3" xfId="35827" xr:uid="{6233F873-29D4-4FF6-9C20-EEC579669B0F}"/>
    <cellStyle name="Vírgula 2 2 6 3 3 3" xfId="16648" xr:uid="{CB9E3E84-1D10-4D54-8FB0-63D74BD204CF}"/>
    <cellStyle name="Vírgula 2 2 6 3 3 3 2" xfId="42140" xr:uid="{5FDB4C61-7D43-40DB-8454-B81604A4F998}"/>
    <cellStyle name="Vírgula 2 2 6 3 3 4" xfId="29549" xr:uid="{1A9D9BC7-81E3-449D-A920-B074A5CF376F}"/>
    <cellStyle name="Vírgula 2 2 6 3 4" xfId="7105" xr:uid="{4431F60C-23D8-4615-B01B-B40387333A09}"/>
    <cellStyle name="Vírgula 2 2 6 3 4 2" xfId="19787" xr:uid="{C209EA0A-C3E9-41DB-A11B-C949E152E1F9}"/>
    <cellStyle name="Vírgula 2 2 6 3 4 2 2" xfId="45279" xr:uid="{BD4F2B94-B37A-4F23-9BCA-F18B89A9CD59}"/>
    <cellStyle name="Vírgula 2 2 6 3 4 3" xfId="32688" xr:uid="{B090E608-8265-4D1D-A856-7DE56A79207F}"/>
    <cellStyle name="Vírgula 2 2 6 3 5" xfId="13509" xr:uid="{B13BBA9E-F9DE-469C-9BBE-1161A23D6861}"/>
    <cellStyle name="Vírgula 2 2 6 3 5 2" xfId="39001" xr:uid="{5F515B3C-DF47-4270-AE10-A13001319F3A}"/>
    <cellStyle name="Vírgula 2 2 6 3 6" xfId="26410" xr:uid="{9476CE69-2CD0-4C29-AFC2-9AA3D7EECA13}"/>
    <cellStyle name="Vírgula 2 2 6 4" xfId="1842" xr:uid="{A5B4FB33-E1F2-471A-9772-4A16B5126867}"/>
    <cellStyle name="Vírgula 2 2 6 4 2" xfId="4996" xr:uid="{7C2F4FA1-3A27-41B0-950B-7C7BF3178DB7}"/>
    <cellStyle name="Vírgula 2 2 6 4 2 2" xfId="11289" xr:uid="{A949D5A8-182E-4D2F-82CD-91F53BC535B0}"/>
    <cellStyle name="Vírgula 2 2 6 4 2 2 2" xfId="23971" xr:uid="{0F96F1E0-51C7-48A8-A924-FF7A4A327260}"/>
    <cellStyle name="Vírgula 2 2 6 4 2 2 2 2" xfId="49463" xr:uid="{1E5182FB-CE09-4A84-BAD3-8667AD927408}"/>
    <cellStyle name="Vírgula 2 2 6 4 2 2 3" xfId="36872" xr:uid="{2ED54E07-A97C-45DF-A9B2-2F7A6A26350A}"/>
    <cellStyle name="Vírgula 2 2 6 4 2 3" xfId="17693" xr:uid="{5599E19C-5618-4EA3-876F-B0CEFD6D2E89}"/>
    <cellStyle name="Vírgula 2 2 6 4 2 3 2" xfId="43185" xr:uid="{6B0AF691-C610-4702-9246-70AAE4A7CE1D}"/>
    <cellStyle name="Vírgula 2 2 6 4 2 4" xfId="30594" xr:uid="{921003DC-F934-4E9F-AF92-F46CD5DBF1D7}"/>
    <cellStyle name="Vírgula 2 2 6 4 3" xfId="8150" xr:uid="{FB23E086-FD62-43AC-99B9-811B8F3A3DEA}"/>
    <cellStyle name="Vírgula 2 2 6 4 3 2" xfId="20832" xr:uid="{64C9556A-6D13-4C5C-9654-245B2FF87A99}"/>
    <cellStyle name="Vírgula 2 2 6 4 3 2 2" xfId="46324" xr:uid="{B310D39A-45A0-468E-817F-984BAF5B5327}"/>
    <cellStyle name="Vírgula 2 2 6 4 3 3" xfId="33733" xr:uid="{75D1787B-E3F2-4E51-876D-CB263FF57EEE}"/>
    <cellStyle name="Vírgula 2 2 6 4 4" xfId="14554" xr:uid="{124EE653-6AEB-45CC-95E8-EBAF13B6FA83}"/>
    <cellStyle name="Vírgula 2 2 6 4 4 2" xfId="40046" xr:uid="{69AA424F-CC7F-44DB-A311-92E693F08DE6}"/>
    <cellStyle name="Vírgula 2 2 6 4 5" xfId="27455" xr:uid="{6FEAE57F-9C35-42CC-A5DD-269BDE640871}"/>
    <cellStyle name="Vírgula 2 2 6 5" xfId="1320" xr:uid="{91A4CC54-D57E-4C05-96AC-C2602E515DE9}"/>
    <cellStyle name="Vírgula 2 2 6 5 2" xfId="4474" xr:uid="{AD3F24D7-DA15-4F2C-B7BA-E5A66B746B03}"/>
    <cellStyle name="Vírgula 2 2 6 5 2 2" xfId="10767" xr:uid="{49C52F08-30F1-42FE-997A-57D2A65DAB3B}"/>
    <cellStyle name="Vírgula 2 2 6 5 2 2 2" xfId="23449" xr:uid="{9927B302-17FE-4BF2-AD49-AE5417713F5D}"/>
    <cellStyle name="Vírgula 2 2 6 5 2 2 2 2" xfId="48941" xr:uid="{E21CE4CF-3D0A-4C24-95D7-E8DBC4CDDB24}"/>
    <cellStyle name="Vírgula 2 2 6 5 2 2 3" xfId="36350" xr:uid="{F1301C80-CADF-497E-9969-1C6FD42758C3}"/>
    <cellStyle name="Vírgula 2 2 6 5 2 3" xfId="17171" xr:uid="{7775DF59-A1EC-414C-ADAF-1B41815898C8}"/>
    <cellStyle name="Vírgula 2 2 6 5 2 3 2" xfId="42663" xr:uid="{05D355F9-016A-460C-B259-F70379848FBD}"/>
    <cellStyle name="Vírgula 2 2 6 5 2 4" xfId="30072" xr:uid="{4A173B84-47CF-4DBB-A1C4-8532CFA70193}"/>
    <cellStyle name="Vírgula 2 2 6 5 3" xfId="7628" xr:uid="{C62B5DD4-3FD0-4F2A-949D-2DA3DBE45488}"/>
    <cellStyle name="Vírgula 2 2 6 5 3 2" xfId="20310" xr:uid="{56CB05DC-4E11-4A14-83EC-5C7CD3D2B3B3}"/>
    <cellStyle name="Vírgula 2 2 6 5 3 2 2" xfId="45802" xr:uid="{4A414B61-BA02-40D6-843C-4A9F0DEC235D}"/>
    <cellStyle name="Vírgula 2 2 6 5 3 3" xfId="33211" xr:uid="{07D1F4E2-D1C7-4612-9DDD-90676E914E84}"/>
    <cellStyle name="Vírgula 2 2 6 5 4" xfId="14032" xr:uid="{0E9F0EBA-BAC8-4A6C-B6E2-5A78FC1C2014}"/>
    <cellStyle name="Vírgula 2 2 6 5 4 2" xfId="39524" xr:uid="{D7A37910-A986-4C59-B8DB-E42467A3ACEA}"/>
    <cellStyle name="Vírgula 2 2 6 5 5" xfId="26933" xr:uid="{CB0D4DB3-96B2-400B-983C-EEE7004C8EAA}"/>
    <cellStyle name="Vírgula 2 2 6 6" xfId="2627" xr:uid="{52E6EB07-9396-4702-9879-7A0F1888B4C8}"/>
    <cellStyle name="Vírgula 2 2 6 6 2" xfId="5781" xr:uid="{D80CDFE6-6C11-46AD-9476-E23CE90F91ED}"/>
    <cellStyle name="Vírgula 2 2 6 6 2 2" xfId="12074" xr:uid="{355139B3-4B35-460D-957C-1476976015E6}"/>
    <cellStyle name="Vírgula 2 2 6 6 2 2 2" xfId="24756" xr:uid="{B4EEC4CD-F48A-430C-BDCE-068216E7E85D}"/>
    <cellStyle name="Vírgula 2 2 6 6 2 2 2 2" xfId="50248" xr:uid="{3BBA5FA1-BC39-4777-9571-4289DA42B610}"/>
    <cellStyle name="Vírgula 2 2 6 6 2 2 3" xfId="37657" xr:uid="{503FDC1D-C146-43DA-A08D-CC756A7DAB75}"/>
    <cellStyle name="Vírgula 2 2 6 6 2 3" xfId="18478" xr:uid="{43ABB9BC-65BA-4610-A7B0-A6053E2568AC}"/>
    <cellStyle name="Vírgula 2 2 6 6 2 3 2" xfId="43970" xr:uid="{5AD4C219-62E0-468E-8282-6F06FF4E4F79}"/>
    <cellStyle name="Vírgula 2 2 6 6 2 4" xfId="31379" xr:uid="{6FB5AE21-109E-4A0E-BF3A-1232A8AC59A1}"/>
    <cellStyle name="Vírgula 2 2 6 6 3" xfId="8935" xr:uid="{FBFA4C8D-21D9-4A2A-BF86-B034186D3269}"/>
    <cellStyle name="Vírgula 2 2 6 6 3 2" xfId="21617" xr:uid="{2ACBD18B-4E71-4D2D-8333-3A2E726889FA}"/>
    <cellStyle name="Vírgula 2 2 6 6 3 2 2" xfId="47109" xr:uid="{BD4DFA3A-22D7-4B6C-9AC5-5742054E762E}"/>
    <cellStyle name="Vírgula 2 2 6 6 3 3" xfId="34518" xr:uid="{BC2E1488-20F8-432A-8034-EE9A8519DF23}"/>
    <cellStyle name="Vírgula 2 2 6 6 4" xfId="15339" xr:uid="{29998746-B4D0-4AE9-8AA6-CB6D4AB7C5A5}"/>
    <cellStyle name="Vírgula 2 2 6 6 4 2" xfId="40831" xr:uid="{CCA75EC5-5137-4DC9-9E49-25413982063C}"/>
    <cellStyle name="Vírgula 2 2 6 6 5" xfId="28240" xr:uid="{68962E8C-7143-4A4E-AC31-D0DE893833E2}"/>
    <cellStyle name="Vírgula 2 2 6 7" xfId="3150" xr:uid="{73E74661-1AFE-4B16-B61F-2C554D9125E7}"/>
    <cellStyle name="Vírgula 2 2 6 7 2" xfId="6304" xr:uid="{CAD6BD7A-8092-4220-A00F-68951CFFE968}"/>
    <cellStyle name="Vírgula 2 2 6 7 2 2" xfId="12597" xr:uid="{E62A6D90-D390-4397-B000-E210BA33EEAC}"/>
    <cellStyle name="Vírgula 2 2 6 7 2 2 2" xfId="25279" xr:uid="{52B8E952-E6B7-427A-BA80-877252CE479C}"/>
    <cellStyle name="Vírgula 2 2 6 7 2 2 2 2" xfId="50771" xr:uid="{F3B559DC-7F3D-4460-BDCB-135FDEEBBD52}"/>
    <cellStyle name="Vírgula 2 2 6 7 2 2 3" xfId="38180" xr:uid="{2C5A7758-4725-433C-BD07-88B8FECF5790}"/>
    <cellStyle name="Vírgula 2 2 6 7 2 3" xfId="19001" xr:uid="{DAD38A56-7D9F-49C2-A9FC-6A3B8B8CB8DA}"/>
    <cellStyle name="Vírgula 2 2 6 7 2 3 2" xfId="44493" xr:uid="{BB369C67-A514-4DB7-95AC-D1A86644B11A}"/>
    <cellStyle name="Vírgula 2 2 6 7 2 4" xfId="31902" xr:uid="{13C9BC84-417B-4D31-9ECD-B33107F836D8}"/>
    <cellStyle name="Vírgula 2 2 6 7 3" xfId="9458" xr:uid="{E49A0562-7DC7-4C6B-9EDE-C4B984EF60E7}"/>
    <cellStyle name="Vírgula 2 2 6 7 3 2" xfId="22140" xr:uid="{F0A6A655-1067-4F74-A92D-CDE61DF96467}"/>
    <cellStyle name="Vírgula 2 2 6 7 3 2 2" xfId="47632" xr:uid="{0A3FB73C-445B-4E9F-82E6-7A6F1ED14C3F}"/>
    <cellStyle name="Vírgula 2 2 6 7 3 3" xfId="35041" xr:uid="{A5112915-13FB-4668-AE1E-339B8F572005}"/>
    <cellStyle name="Vírgula 2 2 6 7 4" xfId="15862" xr:uid="{0AD76FBA-AD6C-48E4-9E23-D284E998D23E}"/>
    <cellStyle name="Vírgula 2 2 6 7 4 2" xfId="41354" xr:uid="{48365A71-C305-4205-98A6-DD16F3904FF6}"/>
    <cellStyle name="Vírgula 2 2 6 7 5" xfId="28763" xr:uid="{0AE1E808-015B-4D7D-BB3E-26821BA4D02B}"/>
    <cellStyle name="Vírgula 2 2 6 8" xfId="3689" xr:uid="{AFC41634-C368-46F0-844D-34B4D7C7FA4B}"/>
    <cellStyle name="Vírgula 2 2 6 8 2" xfId="9982" xr:uid="{2B3C8728-C546-4288-93D5-3318C477FC9B}"/>
    <cellStyle name="Vírgula 2 2 6 8 2 2" xfId="22664" xr:uid="{4E09EC09-F28A-4957-9D8B-ADFBAE75B143}"/>
    <cellStyle name="Vírgula 2 2 6 8 2 2 2" xfId="48156" xr:uid="{08692FE9-5F00-4D2F-BA6A-471F597BCE0D}"/>
    <cellStyle name="Vírgula 2 2 6 8 2 3" xfId="35565" xr:uid="{C149C221-86DB-4EB3-8C5A-24B9693130AB}"/>
    <cellStyle name="Vírgula 2 2 6 8 3" xfId="16386" xr:uid="{0F4CEF1E-06F2-402C-8EEF-981100A2B93F}"/>
    <cellStyle name="Vírgula 2 2 6 8 3 2" xfId="41878" xr:uid="{D559E4C7-8BAA-4EE7-895A-423E87AF5393}"/>
    <cellStyle name="Vírgula 2 2 6 8 4" xfId="29287" xr:uid="{9E771468-3239-42D4-933A-90A967C4C094}"/>
    <cellStyle name="Vírgula 2 2 6 9" xfId="6843" xr:uid="{EB077868-AA17-4341-8E04-EF533E3AA627}"/>
    <cellStyle name="Vírgula 2 2 6 9 2" xfId="19525" xr:uid="{B24E400F-F5F0-4869-9124-171C1AB11802}"/>
    <cellStyle name="Vírgula 2 2 6 9 2 2" xfId="45017" xr:uid="{C1565929-F3FB-4855-AAF8-5D3FD47F3C0D}"/>
    <cellStyle name="Vírgula 2 2 6 9 3" xfId="32426" xr:uid="{400D3DFC-0890-45AF-A398-697B112E0342}"/>
    <cellStyle name="Vírgula 2 2 7" xfId="956" xr:uid="{AEE4481E-0F82-40A4-B807-CE6A3338B843}"/>
    <cellStyle name="Vírgula 2 2 7 2" xfId="2263" xr:uid="{51FD2A52-5277-420E-86B2-61B39862C54A}"/>
    <cellStyle name="Vírgula 2 2 7 2 2" xfId="5417" xr:uid="{FACD0891-948A-4AF1-8C0B-FC60B8BCBF10}"/>
    <cellStyle name="Vírgula 2 2 7 2 2 2" xfId="11710" xr:uid="{41F4B36D-706F-4B3A-9F36-12933E509958}"/>
    <cellStyle name="Vírgula 2 2 7 2 2 2 2" xfId="24392" xr:uid="{4E1C5321-3E0F-4A43-BB32-536B22F2C8EB}"/>
    <cellStyle name="Vírgula 2 2 7 2 2 2 2 2" xfId="49884" xr:uid="{94C78F21-010C-42AC-87E3-C328B6B326E7}"/>
    <cellStyle name="Vírgula 2 2 7 2 2 2 3" xfId="37293" xr:uid="{52176E45-B000-4162-857F-31F9A2809A46}"/>
    <cellStyle name="Vírgula 2 2 7 2 2 3" xfId="18114" xr:uid="{9ABF55F6-6FC2-4304-89C3-D6409ACDFBC5}"/>
    <cellStyle name="Vírgula 2 2 7 2 2 3 2" xfId="43606" xr:uid="{AE5C6C0E-E0D7-4ED4-916F-3A3BCC8B1057}"/>
    <cellStyle name="Vírgula 2 2 7 2 2 4" xfId="31015" xr:uid="{3C473671-39D7-4DA6-8DBE-DF094AA45F60}"/>
    <cellStyle name="Vírgula 2 2 7 2 3" xfId="8571" xr:uid="{488DBBC7-2244-44C6-B70E-31FE064E7F5E}"/>
    <cellStyle name="Vírgula 2 2 7 2 3 2" xfId="21253" xr:uid="{ED5759F1-4C7F-46C8-BEF6-E7A8B2A9CC18}"/>
    <cellStyle name="Vírgula 2 2 7 2 3 2 2" xfId="46745" xr:uid="{9DECAADD-13C7-43F5-B803-665F516D976D}"/>
    <cellStyle name="Vírgula 2 2 7 2 3 3" xfId="34154" xr:uid="{4F6C5271-CBD3-4CBF-B323-3EA203A8121C}"/>
    <cellStyle name="Vírgula 2 2 7 2 4" xfId="14975" xr:uid="{75AFCD22-D051-4E3D-91E2-EA47233FADD6}"/>
    <cellStyle name="Vírgula 2 2 7 2 4 2" xfId="40467" xr:uid="{68C1C72F-C670-4CE1-AF3B-3C29749426AF}"/>
    <cellStyle name="Vírgula 2 2 7 2 5" xfId="27876" xr:uid="{9D74BB80-6576-46F2-A5AD-EF6B32EE2399}"/>
    <cellStyle name="Vírgula 2 2 7 3" xfId="1480" xr:uid="{20FA20B7-5512-4066-B6E9-4324646410A4}"/>
    <cellStyle name="Vírgula 2 2 7 3 2" xfId="4634" xr:uid="{56E66868-371C-4BC4-BA9F-ECB249836655}"/>
    <cellStyle name="Vírgula 2 2 7 3 2 2" xfId="10927" xr:uid="{F3D59E67-552E-419C-BDE1-71B4387E5C0B}"/>
    <cellStyle name="Vírgula 2 2 7 3 2 2 2" xfId="23609" xr:uid="{DC759511-1295-4D9D-9B53-C097E2CBD4DF}"/>
    <cellStyle name="Vírgula 2 2 7 3 2 2 2 2" xfId="49101" xr:uid="{1210B14F-8472-46F5-82EA-331DA2F01AB3}"/>
    <cellStyle name="Vírgula 2 2 7 3 2 2 3" xfId="36510" xr:uid="{5FC42349-FEB8-4A16-962A-A872BAC26939}"/>
    <cellStyle name="Vírgula 2 2 7 3 2 3" xfId="17331" xr:uid="{B5ECFC66-B8D2-4B65-BEE1-5092C418A683}"/>
    <cellStyle name="Vírgula 2 2 7 3 2 3 2" xfId="42823" xr:uid="{B4828BF8-3565-4CC2-8259-5A0C74ED56FE}"/>
    <cellStyle name="Vírgula 2 2 7 3 2 4" xfId="30232" xr:uid="{BB06F916-7750-4D8F-979F-EA4236411F98}"/>
    <cellStyle name="Vírgula 2 2 7 3 3" xfId="7788" xr:uid="{1CC48B15-B614-44EB-9945-4052484B23AE}"/>
    <cellStyle name="Vírgula 2 2 7 3 3 2" xfId="20470" xr:uid="{7A8340D3-EAC5-42A2-BDD3-B66872A46B6F}"/>
    <cellStyle name="Vírgula 2 2 7 3 3 2 2" xfId="45962" xr:uid="{6ED4A46C-3B0C-41F7-8426-1BE7DFEE7F29}"/>
    <cellStyle name="Vírgula 2 2 7 3 3 3" xfId="33371" xr:uid="{B4C2BC59-4BCD-4DB4-AF3F-C62D11FB5B3D}"/>
    <cellStyle name="Vírgula 2 2 7 3 4" xfId="14192" xr:uid="{763E5ED0-5116-4657-A58A-9B0174D94663}"/>
    <cellStyle name="Vírgula 2 2 7 3 4 2" xfId="39684" xr:uid="{FF2BEC3B-3840-478C-8489-84F3E277F80E}"/>
    <cellStyle name="Vírgula 2 2 7 3 5" xfId="27093" xr:uid="{AB51F2BE-360B-4AB2-8D5C-D77A3C7ED857}"/>
    <cellStyle name="Vírgula 2 2 7 4" xfId="2787" xr:uid="{52E45E48-A4A9-4333-AB68-B77A8D1B511A}"/>
    <cellStyle name="Vírgula 2 2 7 4 2" xfId="5941" xr:uid="{6C12082B-CB11-4B36-893F-A452D0512665}"/>
    <cellStyle name="Vírgula 2 2 7 4 2 2" xfId="12234" xr:uid="{E55A4444-1597-4011-B980-C1AFF0A3E22C}"/>
    <cellStyle name="Vírgula 2 2 7 4 2 2 2" xfId="24916" xr:uid="{3B44F12F-DEDE-4660-A034-0640957F687C}"/>
    <cellStyle name="Vírgula 2 2 7 4 2 2 2 2" xfId="50408" xr:uid="{00010E92-AC34-486E-A77B-2EC94C0288D3}"/>
    <cellStyle name="Vírgula 2 2 7 4 2 2 3" xfId="37817" xr:uid="{DDF69AF0-690C-4C4D-AA37-DDDFF50698D7}"/>
    <cellStyle name="Vírgula 2 2 7 4 2 3" xfId="18638" xr:uid="{3CBBF65E-3CE4-4BDF-B549-0180032E7B78}"/>
    <cellStyle name="Vírgula 2 2 7 4 2 3 2" xfId="44130" xr:uid="{302BFDA4-6460-4066-8896-C08FBFF42280}"/>
    <cellStyle name="Vírgula 2 2 7 4 2 4" xfId="31539" xr:uid="{308E1312-651C-4E64-AB7C-C7614C4AFBC8}"/>
    <cellStyle name="Vírgula 2 2 7 4 3" xfId="9095" xr:uid="{64E810DC-E395-4FC9-B9E5-E01145CAC9D5}"/>
    <cellStyle name="Vírgula 2 2 7 4 3 2" xfId="21777" xr:uid="{BFADF704-592F-4A98-B289-A03BF65441B0}"/>
    <cellStyle name="Vírgula 2 2 7 4 3 2 2" xfId="47269" xr:uid="{569CEABB-FAF9-402E-B683-942C32C66AC4}"/>
    <cellStyle name="Vírgula 2 2 7 4 3 3" xfId="34678" xr:uid="{F4C6FB55-E617-48EC-95AE-E83BACBD81FB}"/>
    <cellStyle name="Vírgula 2 2 7 4 4" xfId="15499" xr:uid="{88D6CBF9-AEE6-40E5-9390-F72BF24FD7C8}"/>
    <cellStyle name="Vírgula 2 2 7 4 4 2" xfId="40991" xr:uid="{9A83B439-3158-46C4-98F6-D7106D828C74}"/>
    <cellStyle name="Vírgula 2 2 7 4 5" xfId="28400" xr:uid="{5FF35C72-C486-49FD-9293-5B3B7763FDF1}"/>
    <cellStyle name="Vírgula 2 2 7 5" xfId="3310" xr:uid="{D27663FC-FF1C-4379-8749-BBA40F0DE1D5}"/>
    <cellStyle name="Vírgula 2 2 7 5 2" xfId="6464" xr:uid="{A94E3BF3-BA9D-4E30-B69A-9F666C03FC9E}"/>
    <cellStyle name="Vírgula 2 2 7 5 2 2" xfId="12757" xr:uid="{D2881D03-B14A-4039-86E8-83B8A7A4AAC4}"/>
    <cellStyle name="Vírgula 2 2 7 5 2 2 2" xfId="25439" xr:uid="{D07A03EA-3086-438B-BC24-E679005B5C65}"/>
    <cellStyle name="Vírgula 2 2 7 5 2 2 2 2" xfId="50931" xr:uid="{4FAF0732-7E36-47E6-9363-FF932CD0CDD8}"/>
    <cellStyle name="Vírgula 2 2 7 5 2 2 3" xfId="38340" xr:uid="{43AA30F4-3DCA-4F6E-8BEC-5B249D2F57C0}"/>
    <cellStyle name="Vírgula 2 2 7 5 2 3" xfId="19161" xr:uid="{CAF9D47E-2CC1-4B6D-AA05-2E86ADA3F8CE}"/>
    <cellStyle name="Vírgula 2 2 7 5 2 3 2" xfId="44653" xr:uid="{E979A9BD-2F6B-4837-8A31-2FF011A9C4DA}"/>
    <cellStyle name="Vírgula 2 2 7 5 2 4" xfId="32062" xr:uid="{CF7C4E4B-554A-4F2F-BF60-EB0E18437750}"/>
    <cellStyle name="Vírgula 2 2 7 5 3" xfId="9618" xr:uid="{4DF8CB20-ED5D-44AF-B0B6-DE672AE2A9B3}"/>
    <cellStyle name="Vírgula 2 2 7 5 3 2" xfId="22300" xr:uid="{05E96F7E-5047-4357-887F-EA85E6608C5C}"/>
    <cellStyle name="Vírgula 2 2 7 5 3 2 2" xfId="47792" xr:uid="{65D97D23-4C24-4AD8-BCF4-A08EF8DA24CB}"/>
    <cellStyle name="Vírgula 2 2 7 5 3 3" xfId="35201" xr:uid="{530C7A94-3141-4FBC-B207-51E73D2A1E7C}"/>
    <cellStyle name="Vírgula 2 2 7 5 4" xfId="16022" xr:uid="{98E77907-399B-4079-B4E2-0205AF593AB4}"/>
    <cellStyle name="Vírgula 2 2 7 5 4 2" xfId="41514" xr:uid="{A6F201AC-02B4-45DF-8387-B3CB9D58E610}"/>
    <cellStyle name="Vírgula 2 2 7 5 5" xfId="28923" xr:uid="{01689D61-B4B2-4026-8ED6-D18551039076}"/>
    <cellStyle name="Vírgula 2 2 7 6" xfId="4110" xr:uid="{9CCB4D89-2EAF-488F-B207-930F55CD8E2F}"/>
    <cellStyle name="Vírgula 2 2 7 6 2" xfId="10403" xr:uid="{8BC9DDF4-90BB-4675-AFA6-14E741C228F7}"/>
    <cellStyle name="Vírgula 2 2 7 6 2 2" xfId="23085" xr:uid="{CA3F0551-FE6D-482C-80F0-DBD6FCCDE3FE}"/>
    <cellStyle name="Vírgula 2 2 7 6 2 2 2" xfId="48577" xr:uid="{25E3E3D8-FB7E-4269-ABA8-11EA2962F0DD}"/>
    <cellStyle name="Vírgula 2 2 7 6 2 3" xfId="35986" xr:uid="{7C14EDA3-01ED-46A2-BE06-C3578AAD16E0}"/>
    <cellStyle name="Vírgula 2 2 7 6 3" xfId="16807" xr:uid="{0F988E8A-9ACD-4DC6-8C24-5AADD310C85B}"/>
    <cellStyle name="Vírgula 2 2 7 6 3 2" xfId="42299" xr:uid="{893CB5FD-9D58-4A9A-81E8-2A28522F2A9F}"/>
    <cellStyle name="Vírgula 2 2 7 6 4" xfId="29708" xr:uid="{F8A6AE17-FDC7-4C1E-BBAA-D5B2E5795657}"/>
    <cellStyle name="Vírgula 2 2 7 7" xfId="7264" xr:uid="{AD2314FC-78E8-442F-B24A-3A76130EF3F3}"/>
    <cellStyle name="Vírgula 2 2 7 7 2" xfId="19946" xr:uid="{501EA8F8-BCAE-4523-B421-B48B3FBF7E2F}"/>
    <cellStyle name="Vírgula 2 2 7 7 2 2" xfId="45438" xr:uid="{57DBF4B6-5D30-4716-867C-5D67AF1CE8BF}"/>
    <cellStyle name="Vírgula 2 2 7 7 3" xfId="32847" xr:uid="{ACA9F89A-C8F6-4B7D-A44C-C74856989B5D}"/>
    <cellStyle name="Vírgula 2 2 7 8" xfId="13668" xr:uid="{65B1660E-5C3F-4B48-8A48-F3751C5D2445}"/>
    <cellStyle name="Vírgula 2 2 7 8 2" xfId="39160" xr:uid="{D7DD96F3-C370-40B0-838C-1C76E2832AC8}"/>
    <cellStyle name="Vírgula 2 2 7 9" xfId="26569" xr:uid="{AD27A509-7640-4615-8848-7F2789F65F11}"/>
    <cellStyle name="Vírgula 2 2 8" xfId="696" xr:uid="{6BCE1A55-1F14-4AE6-956A-B05CF9E3B0F7}"/>
    <cellStyle name="Vírgula 2 2 8 2" xfId="2003" xr:uid="{FA0CF374-8129-4E1E-9928-93CDABA82BD7}"/>
    <cellStyle name="Vírgula 2 2 8 2 2" xfId="5157" xr:uid="{C8359F63-8C31-41C2-9110-35E9CAA67E7D}"/>
    <cellStyle name="Vírgula 2 2 8 2 2 2" xfId="11450" xr:uid="{578382A9-02FF-41B5-853F-498ABC4A4471}"/>
    <cellStyle name="Vírgula 2 2 8 2 2 2 2" xfId="24132" xr:uid="{CFC7B71D-34DF-4CEC-A7DD-41B766D98CFD}"/>
    <cellStyle name="Vírgula 2 2 8 2 2 2 2 2" xfId="49624" xr:uid="{6A7BEBA2-03D1-4195-A596-E0E2ADA28CB8}"/>
    <cellStyle name="Vírgula 2 2 8 2 2 2 3" xfId="37033" xr:uid="{DB78F837-246F-4BDB-9EA2-2E6A1CA7FFA0}"/>
    <cellStyle name="Vírgula 2 2 8 2 2 3" xfId="17854" xr:uid="{A3557F12-3033-485C-B1C9-82F58EF0F524}"/>
    <cellStyle name="Vírgula 2 2 8 2 2 3 2" xfId="43346" xr:uid="{77232175-742F-458F-9E4A-B58EAB925819}"/>
    <cellStyle name="Vírgula 2 2 8 2 2 4" xfId="30755" xr:uid="{D1821F50-42DE-4857-871B-BA5A0C3AFBE0}"/>
    <cellStyle name="Vírgula 2 2 8 2 3" xfId="8311" xr:uid="{2B1D4726-0CA6-4F1F-A307-0FAE6B372BA5}"/>
    <cellStyle name="Vírgula 2 2 8 2 3 2" xfId="20993" xr:uid="{BA0EBE25-F30A-4194-A1DD-65F5190B65E9}"/>
    <cellStyle name="Vírgula 2 2 8 2 3 2 2" xfId="46485" xr:uid="{9A8B7070-6A50-4680-870C-2BF3549DF9C6}"/>
    <cellStyle name="Vírgula 2 2 8 2 3 3" xfId="33894" xr:uid="{CBC4DEC3-274E-4FF4-81A1-8A8758B61E23}"/>
    <cellStyle name="Vírgula 2 2 8 2 4" xfId="14715" xr:uid="{44A28971-734B-4126-BBC1-0743EB1F6E85}"/>
    <cellStyle name="Vírgula 2 2 8 2 4 2" xfId="40207" xr:uid="{53C0E611-E7F8-4E41-A6A6-369FA226C79A}"/>
    <cellStyle name="Vírgula 2 2 8 2 5" xfId="27616" xr:uid="{DD830BC0-C866-4555-A29C-0B55EAEE1BB6}"/>
    <cellStyle name="Vírgula 2 2 8 3" xfId="3850" xr:uid="{B648C855-9EC2-43B9-9B66-E2A43D5732B8}"/>
    <cellStyle name="Vírgula 2 2 8 3 2" xfId="10143" xr:uid="{815EDD3B-BDDB-45D8-85A8-20735BB7E641}"/>
    <cellStyle name="Vírgula 2 2 8 3 2 2" xfId="22825" xr:uid="{6C040C75-C3DE-459D-B680-77591D22A3FB}"/>
    <cellStyle name="Vírgula 2 2 8 3 2 2 2" xfId="48317" xr:uid="{9DA91DF3-56AF-4F4F-A880-E22DCD94F1F7}"/>
    <cellStyle name="Vírgula 2 2 8 3 2 3" xfId="35726" xr:uid="{CBE191A2-C10D-4BD3-A759-CA48C9DA963A}"/>
    <cellStyle name="Vírgula 2 2 8 3 3" xfId="16547" xr:uid="{7CCC96CC-C177-4DAB-B9FD-EF7320A5D2A3}"/>
    <cellStyle name="Vírgula 2 2 8 3 3 2" xfId="42039" xr:uid="{B5D2ACFE-401B-4968-99FD-ECC09A51397C}"/>
    <cellStyle name="Vírgula 2 2 8 3 4" xfId="29448" xr:uid="{1FAE5450-7BC9-481C-A086-3DF4DDF06777}"/>
    <cellStyle name="Vírgula 2 2 8 4" xfId="7004" xr:uid="{1F22A680-9D9D-4D43-9D81-5AF862E6DB5C}"/>
    <cellStyle name="Vírgula 2 2 8 4 2" xfId="19686" xr:uid="{0537BD18-66B8-4B91-9702-15A1EE97A2F9}"/>
    <cellStyle name="Vírgula 2 2 8 4 2 2" xfId="45178" xr:uid="{62F2A6D5-D988-41B2-A69B-B39381527D6E}"/>
    <cellStyle name="Vírgula 2 2 8 4 3" xfId="32587" xr:uid="{DE5EFFE3-6419-48BF-9737-BB4A5F0CD905}"/>
    <cellStyle name="Vírgula 2 2 8 5" xfId="13408" xr:uid="{AA6ED1C4-779D-4E97-93B3-1DF6665EB8FE}"/>
    <cellStyle name="Vírgula 2 2 8 5 2" xfId="38900" xr:uid="{F3792DA7-3080-4993-A400-046BB6FEDFF6}"/>
    <cellStyle name="Vírgula 2 2 8 6" xfId="26309" xr:uid="{F636DCDA-BAE7-45A0-917D-E8E81E5DA6E0}"/>
    <cellStyle name="Vírgula 2 2 9" xfId="1741" xr:uid="{85BD8BE9-361E-4235-A8A2-BD4EA9C9DAA5}"/>
    <cellStyle name="Vírgula 2 2 9 2" xfId="4895" xr:uid="{1A13DA69-8E6F-47BA-8EAD-C89B7D4E1B85}"/>
    <cellStyle name="Vírgula 2 2 9 2 2" xfId="11188" xr:uid="{A8D143A9-79DD-485C-855E-A694555A9873}"/>
    <cellStyle name="Vírgula 2 2 9 2 2 2" xfId="23870" xr:uid="{484E0DBD-D448-48FE-A3A1-655359BEF9FE}"/>
    <cellStyle name="Vírgula 2 2 9 2 2 2 2" xfId="49362" xr:uid="{74C37F87-8102-4A83-94E4-A9F769F433FD}"/>
    <cellStyle name="Vírgula 2 2 9 2 2 3" xfId="36771" xr:uid="{514DD15F-4604-4013-A655-D38B29254EFF}"/>
    <cellStyle name="Vírgula 2 2 9 2 3" xfId="17592" xr:uid="{26C801AB-1EC8-4436-85CD-B290279230D2}"/>
    <cellStyle name="Vírgula 2 2 9 2 3 2" xfId="43084" xr:uid="{20A52326-120B-4156-A9D1-EC8BDB149FD4}"/>
    <cellStyle name="Vírgula 2 2 9 2 4" xfId="30493" xr:uid="{497621B6-C7F1-4E73-A5FB-0D40B5CCD316}"/>
    <cellStyle name="Vírgula 2 2 9 3" xfId="8049" xr:uid="{3C2D6F94-BB9A-4FC4-82CB-CAE985B008F6}"/>
    <cellStyle name="Vírgula 2 2 9 3 2" xfId="20731" xr:uid="{2BCB8406-3BF7-49FF-A323-950A40E608DE}"/>
    <cellStyle name="Vírgula 2 2 9 3 2 2" xfId="46223" xr:uid="{4D20B738-692B-4914-87DB-8403C9E75021}"/>
    <cellStyle name="Vírgula 2 2 9 3 3" xfId="33632" xr:uid="{A5453339-B4B4-4946-A158-B71A9B0F955D}"/>
    <cellStyle name="Vírgula 2 2 9 4" xfId="14453" xr:uid="{A2CA6CC5-2555-4420-AC8E-A1357BA23223}"/>
    <cellStyle name="Vírgula 2 2 9 4 2" xfId="39945" xr:uid="{39427E48-E27D-422F-B200-537947DBE9E0}"/>
    <cellStyle name="Vírgula 2 2 9 5" xfId="27354" xr:uid="{6020405F-4866-4B09-B2FD-5B61E7D94574}"/>
    <cellStyle name="Vírgula 2 20" xfId="237" xr:uid="{0EDE7E09-7958-4679-B34F-5763AB77E103}"/>
    <cellStyle name="Vírgula 2 21" xfId="142" xr:uid="{7C3ABE7E-C22A-41F2-AE76-45C4188101FD}"/>
    <cellStyle name="Vírgula 2 3" xfId="336" xr:uid="{6F4C9F5D-C032-492B-BDF8-03A110233296}"/>
    <cellStyle name="Vírgula 2 3 10" xfId="3060" xr:uid="{BD790D00-15F5-4C9B-8F32-31603558578D}"/>
    <cellStyle name="Vírgula 2 3 10 2" xfId="6214" xr:uid="{DBBE3265-712F-4937-BDFF-812F84BF947B}"/>
    <cellStyle name="Vírgula 2 3 10 2 2" xfId="12507" xr:uid="{FBD1627E-9C09-4073-B1F5-6FBEFF83B974}"/>
    <cellStyle name="Vírgula 2 3 10 2 2 2" xfId="25189" xr:uid="{1BB9A5F2-3B2A-4BE8-BCAD-FC8B1CDC10CE}"/>
    <cellStyle name="Vírgula 2 3 10 2 2 2 2" xfId="50681" xr:uid="{AEA8D0BF-F930-47C7-B5E6-1EEF5EBEAF68}"/>
    <cellStyle name="Vírgula 2 3 10 2 2 3" xfId="38090" xr:uid="{C8503D69-8E48-43AE-AC2F-74F2357F94D5}"/>
    <cellStyle name="Vírgula 2 3 10 2 3" xfId="18911" xr:uid="{066EEC9F-464F-4607-B60E-3698227BF06B}"/>
    <cellStyle name="Vírgula 2 3 10 2 3 2" xfId="44403" xr:uid="{457727FB-D9AF-4DAC-A34B-FE1F80232F73}"/>
    <cellStyle name="Vírgula 2 3 10 2 4" xfId="31812" xr:uid="{5B7E4B63-6481-46C2-AB8A-B787A35560C3}"/>
    <cellStyle name="Vírgula 2 3 10 3" xfId="9368" xr:uid="{51523129-0B97-4B2F-A68F-17CE555B1EA3}"/>
    <cellStyle name="Vírgula 2 3 10 3 2" xfId="22050" xr:uid="{B07CF827-7EB9-4A3D-98CE-ABAD1361C184}"/>
    <cellStyle name="Vírgula 2 3 10 3 2 2" xfId="47542" xr:uid="{DC6AB8B6-EB76-4709-BBD9-8FA2F9D69185}"/>
    <cellStyle name="Vírgula 2 3 10 3 3" xfId="34951" xr:uid="{4328F232-1ECB-4697-B12A-F89B7FE3B4CE}"/>
    <cellStyle name="Vírgula 2 3 10 4" xfId="15772" xr:uid="{68098849-24E1-468C-92DB-950B1D5E0D68}"/>
    <cellStyle name="Vírgula 2 3 10 4 2" xfId="41264" xr:uid="{64EC8472-BB64-4B66-830E-1863BFC58C2D}"/>
    <cellStyle name="Vírgula 2 3 10 5" xfId="28673" xr:uid="{DFFF3C3D-A133-4105-8085-D50439E67A66}"/>
    <cellStyle name="Vírgula 2 3 11" xfId="3599" xr:uid="{EDFE5854-A4CE-4B54-9458-383B9DF2D427}"/>
    <cellStyle name="Vírgula 2 3 11 2" xfId="9892" xr:uid="{2C7104CB-20EB-4E20-A9B0-77A9D98CF3EE}"/>
    <cellStyle name="Vírgula 2 3 11 2 2" xfId="22574" xr:uid="{E62E9222-FB66-465D-9240-716BB14791BA}"/>
    <cellStyle name="Vírgula 2 3 11 2 2 2" xfId="48066" xr:uid="{BD8EF69C-D30F-4524-B2FC-82F52BAD7BAC}"/>
    <cellStyle name="Vírgula 2 3 11 2 3" xfId="35475" xr:uid="{305E6DAB-173B-43DB-B11D-6B6141244F7E}"/>
    <cellStyle name="Vírgula 2 3 11 3" xfId="16296" xr:uid="{078589AB-6780-41BD-8EBE-C61C8029DC1D}"/>
    <cellStyle name="Vírgula 2 3 11 3 2" xfId="41788" xr:uid="{F5A41AE1-4999-43E4-9493-A29FFFDEC11F}"/>
    <cellStyle name="Vírgula 2 3 11 4" xfId="29197" xr:uid="{99F6E292-4718-4CC4-89FE-78A5A2DB0890}"/>
    <cellStyle name="Vírgula 2 3 12" xfId="6753" xr:uid="{525149D9-BEFB-444E-8CC8-9DEFB59D020E}"/>
    <cellStyle name="Vírgula 2 3 12 2" xfId="19435" xr:uid="{54408026-8052-460B-93BF-670627C35435}"/>
    <cellStyle name="Vírgula 2 3 12 2 2" xfId="44927" xr:uid="{1681BFFB-BC76-4DBC-92EE-32EBF6B67C55}"/>
    <cellStyle name="Vírgula 2 3 12 3" xfId="32336" xr:uid="{9BC0C21E-2364-48C3-A5B0-4B888F08C961}"/>
    <cellStyle name="Vírgula 2 3 13" xfId="13157" xr:uid="{884B92B0-67C7-4395-AA95-001E22D87699}"/>
    <cellStyle name="Vírgula 2 3 13 2" xfId="38649" xr:uid="{4A399B9A-43FF-4D86-A8E3-1B66615048B1}"/>
    <cellStyle name="Vírgula 2 3 14" xfId="13096" xr:uid="{87EBE81F-084D-40E8-B0E8-1DD560D7B725}"/>
    <cellStyle name="Vírgula 2 3 15" xfId="26058" xr:uid="{FD884F0F-617A-471B-9E5B-0F640E1EA010}"/>
    <cellStyle name="Vírgula 2 3 16" xfId="430" xr:uid="{27786994-E2EE-4FB0-881F-9481843D3207}"/>
    <cellStyle name="Vírgula 2 3 2" xfId="491" xr:uid="{1176FA34-1D31-4F27-B622-4AD20FA1B50A}"/>
    <cellStyle name="Vírgula 2 3 2 10" xfId="6814" xr:uid="{743281A6-A185-4AE9-AEE5-FB7A955C0294}"/>
    <cellStyle name="Vírgula 2 3 2 10 2" xfId="19496" xr:uid="{3437E075-3D2B-4FF1-96D2-6515B8702EFF}"/>
    <cellStyle name="Vírgula 2 3 2 10 2 2" xfId="44988" xr:uid="{02870992-85E6-4E12-91A1-385BDB6316DE}"/>
    <cellStyle name="Vírgula 2 3 2 10 3" xfId="32397" xr:uid="{392AC327-8B00-4BA1-802C-C1B1F6039A16}"/>
    <cellStyle name="Vírgula 2 3 2 11" xfId="13218" xr:uid="{EF11F12B-FDC8-4EF0-9B53-8F793AFB8EFE}"/>
    <cellStyle name="Vírgula 2 3 2 11 2" xfId="38710" xr:uid="{A9B95B54-6672-47E2-8431-1AF151E23583}"/>
    <cellStyle name="Vírgula 2 3 2 12" xfId="26119" xr:uid="{EA4E9481-C19F-4361-B4C8-5310BE044AA3}"/>
    <cellStyle name="Vírgula 2 3 2 2" xfId="650" xr:uid="{CD320EF7-6DD7-40FE-824F-C86755F41DA2}"/>
    <cellStyle name="Vírgula 2 3 2 2 10" xfId="13377" xr:uid="{622B6423-31CF-453D-A9C4-D306AAFC7C37}"/>
    <cellStyle name="Vírgula 2 3 2 2 10 2" xfId="38869" xr:uid="{C257C868-A2D0-44BD-A9E3-ED5820A0C391}"/>
    <cellStyle name="Vírgula 2 3 2 2 11" xfId="26278" xr:uid="{5459D097-BD9D-4FAF-9EBD-598D9E4B5CA3}"/>
    <cellStyle name="Vírgula 2 3 2 2 2" xfId="1187" xr:uid="{8350ACB0-C91F-4F8E-A1E5-231EF477FE53}"/>
    <cellStyle name="Vírgula 2 3 2 2 2 2" xfId="2494" xr:uid="{18E29D1B-5EAC-437D-AE8C-8C137988584A}"/>
    <cellStyle name="Vírgula 2 3 2 2 2 2 2" xfId="5648" xr:uid="{4A1F643B-74F5-47D4-8722-FE1A128F2DFD}"/>
    <cellStyle name="Vírgula 2 3 2 2 2 2 2 2" xfId="11941" xr:uid="{1FD4836B-8E12-4782-ACC1-00F2ABD68BFE}"/>
    <cellStyle name="Vírgula 2 3 2 2 2 2 2 2 2" xfId="24623" xr:uid="{F9A2EDDF-5DD6-465F-AB33-A69B885F938D}"/>
    <cellStyle name="Vírgula 2 3 2 2 2 2 2 2 2 2" xfId="50115" xr:uid="{7E77599D-3FA7-4FE4-B85F-984DCDE8B0E1}"/>
    <cellStyle name="Vírgula 2 3 2 2 2 2 2 2 3" xfId="37524" xr:uid="{D24CFA9B-838A-4E23-9F18-CE18F8D8DD70}"/>
    <cellStyle name="Vírgula 2 3 2 2 2 2 2 3" xfId="18345" xr:uid="{DE65C8F1-C7A2-4EAF-AD03-E8C1733D7351}"/>
    <cellStyle name="Vírgula 2 3 2 2 2 2 2 3 2" xfId="43837" xr:uid="{96D98FF8-F208-4AF6-A6BB-A9394F364CAC}"/>
    <cellStyle name="Vírgula 2 3 2 2 2 2 2 4" xfId="31246" xr:uid="{6C9C5852-A463-464B-AA38-0AD1BA957E3E}"/>
    <cellStyle name="Vírgula 2 3 2 2 2 2 3" xfId="8802" xr:uid="{3F51E8B3-4A8F-4DE4-AC1C-6873674C59F2}"/>
    <cellStyle name="Vírgula 2 3 2 2 2 2 3 2" xfId="21484" xr:uid="{F490244C-6A36-4367-B4F2-305DA2F21017}"/>
    <cellStyle name="Vírgula 2 3 2 2 2 2 3 2 2" xfId="46976" xr:uid="{7F8EF6B2-D04E-4ACE-BC26-0BC9B1E4D152}"/>
    <cellStyle name="Vírgula 2 3 2 2 2 2 3 3" xfId="34385" xr:uid="{8D990055-8E74-4395-B10B-FE1AE8FDE0D1}"/>
    <cellStyle name="Vírgula 2 3 2 2 2 2 4" xfId="15206" xr:uid="{8C691E27-AE91-4F9F-9D56-52C18BBDCEBE}"/>
    <cellStyle name="Vírgula 2 3 2 2 2 2 4 2" xfId="40698" xr:uid="{51AF13B4-251A-4379-8745-5E81856851F2}"/>
    <cellStyle name="Vírgula 2 3 2 2 2 2 5" xfId="28107" xr:uid="{6CC0CD7F-9FCE-4E15-AB9D-A9CFCF26A362}"/>
    <cellStyle name="Vírgula 2 3 2 2 2 3" xfId="1711" xr:uid="{DFFBF597-6DE6-42F5-8B8F-6E6EEB5F61F8}"/>
    <cellStyle name="Vírgula 2 3 2 2 2 3 2" xfId="4865" xr:uid="{B28F6151-415B-49BC-98D3-435D08903A9F}"/>
    <cellStyle name="Vírgula 2 3 2 2 2 3 2 2" xfId="11158" xr:uid="{581AF16C-9F5B-4725-88E1-CE28F266CC93}"/>
    <cellStyle name="Vírgula 2 3 2 2 2 3 2 2 2" xfId="23840" xr:uid="{A96EE0FC-3B25-4C87-8B25-CC104AFDE0EE}"/>
    <cellStyle name="Vírgula 2 3 2 2 2 3 2 2 2 2" xfId="49332" xr:uid="{AEE0B0A7-71D8-4166-A9C4-DA25A5E08467}"/>
    <cellStyle name="Vírgula 2 3 2 2 2 3 2 2 3" xfId="36741" xr:uid="{69302FFA-4367-4428-AE50-06DAB9179D18}"/>
    <cellStyle name="Vírgula 2 3 2 2 2 3 2 3" xfId="17562" xr:uid="{1617E7D5-7D9B-47D8-95F4-0F83F8CC4759}"/>
    <cellStyle name="Vírgula 2 3 2 2 2 3 2 3 2" xfId="43054" xr:uid="{76E67035-6533-4C68-9AB9-79431BD19C3A}"/>
    <cellStyle name="Vírgula 2 3 2 2 2 3 2 4" xfId="30463" xr:uid="{BB07878F-D21D-468B-AA90-AD6CA7111C27}"/>
    <cellStyle name="Vírgula 2 3 2 2 2 3 3" xfId="8019" xr:uid="{B7C3305B-BA27-4224-9DC8-9D251AA94B99}"/>
    <cellStyle name="Vírgula 2 3 2 2 2 3 3 2" xfId="20701" xr:uid="{88DDA00D-0E0E-4EA6-9986-A643AE510DA3}"/>
    <cellStyle name="Vírgula 2 3 2 2 2 3 3 2 2" xfId="46193" xr:uid="{A818D52B-64A1-4204-A8DA-A22D13CF72C9}"/>
    <cellStyle name="Vírgula 2 3 2 2 2 3 3 3" xfId="33602" xr:uid="{210709EC-ED3B-4C99-BCE0-C810D8AC923D}"/>
    <cellStyle name="Vírgula 2 3 2 2 2 3 4" xfId="14423" xr:uid="{9CAC5D99-F641-4A46-87DB-7357A794AE4C}"/>
    <cellStyle name="Vírgula 2 3 2 2 2 3 4 2" xfId="39915" xr:uid="{75BF2010-4C8D-410D-8C53-0308930955F8}"/>
    <cellStyle name="Vírgula 2 3 2 2 2 3 5" xfId="27324" xr:uid="{ECE8E32D-A1AD-42C6-A34D-5545E5CC6066}"/>
    <cellStyle name="Vírgula 2 3 2 2 2 4" xfId="3018" xr:uid="{43985CD8-6C5A-4DE8-9433-461DDD34DDF7}"/>
    <cellStyle name="Vírgula 2 3 2 2 2 4 2" xfId="6172" xr:uid="{0731A964-760C-4095-B5C3-07250CD4268D}"/>
    <cellStyle name="Vírgula 2 3 2 2 2 4 2 2" xfId="12465" xr:uid="{D581F05F-2BD7-4978-90ED-B7B3B98BDFE3}"/>
    <cellStyle name="Vírgula 2 3 2 2 2 4 2 2 2" xfId="25147" xr:uid="{7BFAFC34-6A72-40E8-8313-1A5C8C8D2725}"/>
    <cellStyle name="Vírgula 2 3 2 2 2 4 2 2 2 2" xfId="50639" xr:uid="{9364AE9C-B741-4DF9-9E34-4B99FC22C3E2}"/>
    <cellStyle name="Vírgula 2 3 2 2 2 4 2 2 3" xfId="38048" xr:uid="{31AEE3B2-7CBE-421B-B248-E42902D0AB5D}"/>
    <cellStyle name="Vírgula 2 3 2 2 2 4 2 3" xfId="18869" xr:uid="{FFA0A045-652D-44F5-B2D2-DD60ECED9F32}"/>
    <cellStyle name="Vírgula 2 3 2 2 2 4 2 3 2" xfId="44361" xr:uid="{C41237A6-11EE-4CFB-A160-C255375AC888}"/>
    <cellStyle name="Vírgula 2 3 2 2 2 4 2 4" xfId="31770" xr:uid="{DA585E39-063C-422B-9240-BF9C8612287F}"/>
    <cellStyle name="Vírgula 2 3 2 2 2 4 3" xfId="9326" xr:uid="{3B7EBE48-5A8D-4125-A576-5234D4169DB0}"/>
    <cellStyle name="Vírgula 2 3 2 2 2 4 3 2" xfId="22008" xr:uid="{EC1D5C38-F877-4A20-94CE-4115DAE5538A}"/>
    <cellStyle name="Vírgula 2 3 2 2 2 4 3 2 2" xfId="47500" xr:uid="{3E73928E-8FD5-40F1-812C-6BB85237EFDD}"/>
    <cellStyle name="Vírgula 2 3 2 2 2 4 3 3" xfId="34909" xr:uid="{3136096A-1EE5-4B12-983F-2D7D67AE0BF6}"/>
    <cellStyle name="Vírgula 2 3 2 2 2 4 4" xfId="15730" xr:uid="{79A85A90-8AFB-46F4-A44D-6A41F6B6B8DF}"/>
    <cellStyle name="Vírgula 2 3 2 2 2 4 4 2" xfId="41222" xr:uid="{9705A04D-BFDF-4218-AD62-A71AA42348FD}"/>
    <cellStyle name="Vírgula 2 3 2 2 2 4 5" xfId="28631" xr:uid="{B2975752-4792-4C44-A2BC-AD4A7FD5A3C3}"/>
    <cellStyle name="Vírgula 2 3 2 2 2 5" xfId="3541" xr:uid="{75E130DF-7C80-47ED-8455-89B157676304}"/>
    <cellStyle name="Vírgula 2 3 2 2 2 5 2" xfId="6695" xr:uid="{662E8D9F-E565-480B-9CDB-E74D779E9E18}"/>
    <cellStyle name="Vírgula 2 3 2 2 2 5 2 2" xfId="12988" xr:uid="{F4070E3B-3A30-4A57-A305-7BB0E2866C91}"/>
    <cellStyle name="Vírgula 2 3 2 2 2 5 2 2 2" xfId="25670" xr:uid="{712EA4E9-6AB2-4127-844A-76E5219D3E4F}"/>
    <cellStyle name="Vírgula 2 3 2 2 2 5 2 2 2 2" xfId="51162" xr:uid="{F7E60044-6813-4DA1-8394-D0829E77F790}"/>
    <cellStyle name="Vírgula 2 3 2 2 2 5 2 2 3" xfId="38571" xr:uid="{ADBF5D3C-74D8-4F06-A01E-E2C6B980D6C8}"/>
    <cellStyle name="Vírgula 2 3 2 2 2 5 2 3" xfId="19392" xr:uid="{151A6409-B9B7-471D-BF58-3F13444DE403}"/>
    <cellStyle name="Vírgula 2 3 2 2 2 5 2 3 2" xfId="44884" xr:uid="{72018A65-584A-49DC-B14A-D0B6EEFA5D02}"/>
    <cellStyle name="Vírgula 2 3 2 2 2 5 2 4" xfId="32293" xr:uid="{12D9770D-32A0-43D5-9222-D063398FF969}"/>
    <cellStyle name="Vírgula 2 3 2 2 2 5 3" xfId="9849" xr:uid="{2B5A1DCB-EE4D-4C80-8EAD-303F83CE2AAF}"/>
    <cellStyle name="Vírgula 2 3 2 2 2 5 3 2" xfId="22531" xr:uid="{8027EDC1-6AF8-4136-8F73-59E581F3D300}"/>
    <cellStyle name="Vírgula 2 3 2 2 2 5 3 2 2" xfId="48023" xr:uid="{00FCBCBF-E850-46CC-9B33-6EC54ACD553C}"/>
    <cellStyle name="Vírgula 2 3 2 2 2 5 3 3" xfId="35432" xr:uid="{5352225D-9344-4DA6-A9F6-13F0A46C3E56}"/>
    <cellStyle name="Vírgula 2 3 2 2 2 5 4" xfId="16253" xr:uid="{FFEDA0D2-88D7-4D37-985D-8918B558A6F0}"/>
    <cellStyle name="Vírgula 2 3 2 2 2 5 4 2" xfId="41745" xr:uid="{ECF8C1C2-425A-4A6F-A1C4-B7052F50E7C5}"/>
    <cellStyle name="Vírgula 2 3 2 2 2 5 5" xfId="29154" xr:uid="{97F5D8EA-9022-476D-B58F-4613CAA14830}"/>
    <cellStyle name="Vírgula 2 3 2 2 2 6" xfId="4341" xr:uid="{4A73D7C3-D568-4DB5-AC26-9311C337B2CA}"/>
    <cellStyle name="Vírgula 2 3 2 2 2 6 2" xfId="10634" xr:uid="{9B54D16B-561D-4637-8474-D4C3539B1DF3}"/>
    <cellStyle name="Vírgula 2 3 2 2 2 6 2 2" xfId="23316" xr:uid="{FB0433E6-7D19-4BC1-ABD5-7CBA967E47E9}"/>
    <cellStyle name="Vírgula 2 3 2 2 2 6 2 2 2" xfId="48808" xr:uid="{59B8CB93-C474-4BAA-BCC9-6FB08984BDC3}"/>
    <cellStyle name="Vírgula 2 3 2 2 2 6 2 3" xfId="36217" xr:uid="{598C7EF7-5C44-442E-9DA5-484C7E1C3ED1}"/>
    <cellStyle name="Vírgula 2 3 2 2 2 6 3" xfId="17038" xr:uid="{8E102A5D-8C27-41B4-B2E3-22E2E31E168D}"/>
    <cellStyle name="Vírgula 2 3 2 2 2 6 3 2" xfId="42530" xr:uid="{0CEF8364-F02C-4607-964A-2D65815D7796}"/>
    <cellStyle name="Vírgula 2 3 2 2 2 6 4" xfId="29939" xr:uid="{5E236835-DF8C-47AB-BB5A-C68DA46459D1}"/>
    <cellStyle name="Vírgula 2 3 2 2 2 7" xfId="7495" xr:uid="{988CB576-32F1-4117-8BEB-81293F5E83C1}"/>
    <cellStyle name="Vírgula 2 3 2 2 2 7 2" xfId="20177" xr:uid="{0B0371D6-A288-408F-BFD3-2AF492706A70}"/>
    <cellStyle name="Vírgula 2 3 2 2 2 7 2 2" xfId="45669" xr:uid="{8E450BE5-7A36-455C-BEB3-984AE417919D}"/>
    <cellStyle name="Vírgula 2 3 2 2 2 7 3" xfId="33078" xr:uid="{EF42CE65-0E06-462A-92FC-E07B62B2FB72}"/>
    <cellStyle name="Vírgula 2 3 2 2 2 8" xfId="13899" xr:uid="{98C4F20A-0A7C-4B09-AB89-2111C6FD9731}"/>
    <cellStyle name="Vírgula 2 3 2 2 2 8 2" xfId="39391" xr:uid="{BE6A2C4F-B09A-4EF2-A02C-81DEF5ED4B03}"/>
    <cellStyle name="Vírgula 2 3 2 2 2 9" xfId="26800" xr:uid="{E7B2B28D-244A-4B7C-BE69-04D8CB5E7A61}"/>
    <cellStyle name="Vírgula 2 3 2 2 3" xfId="927" xr:uid="{8158637A-28D4-4C35-9756-758B2564F527}"/>
    <cellStyle name="Vírgula 2 3 2 2 3 2" xfId="2234" xr:uid="{2EE92668-818E-4BD1-A047-19A7126B6B23}"/>
    <cellStyle name="Vírgula 2 3 2 2 3 2 2" xfId="5388" xr:uid="{A733B353-9512-4B70-8C2D-5757BB4E7ADD}"/>
    <cellStyle name="Vírgula 2 3 2 2 3 2 2 2" xfId="11681" xr:uid="{13BC1B49-506D-4B9F-A7CD-C4ACB7ADE880}"/>
    <cellStyle name="Vírgula 2 3 2 2 3 2 2 2 2" xfId="24363" xr:uid="{4D7172DA-C105-45DB-ADAD-9D044DA5E27D}"/>
    <cellStyle name="Vírgula 2 3 2 2 3 2 2 2 2 2" xfId="49855" xr:uid="{F67DEB8A-A707-4F03-BA37-F0B5F86282E7}"/>
    <cellStyle name="Vírgula 2 3 2 2 3 2 2 2 3" xfId="37264" xr:uid="{7AA16F06-B179-425A-BAB3-EEAE277E69AD}"/>
    <cellStyle name="Vírgula 2 3 2 2 3 2 2 3" xfId="18085" xr:uid="{BA35033F-BDD2-4346-B5AA-0411A001D781}"/>
    <cellStyle name="Vírgula 2 3 2 2 3 2 2 3 2" xfId="43577" xr:uid="{C0A96C2E-FF3A-4607-AA97-94979E7EE730}"/>
    <cellStyle name="Vírgula 2 3 2 2 3 2 2 4" xfId="30986" xr:uid="{00213CA5-1047-47A8-AA51-076630936ADF}"/>
    <cellStyle name="Vírgula 2 3 2 2 3 2 3" xfId="8542" xr:uid="{6ECC568C-00C1-4D95-B1B3-D2F983C7004F}"/>
    <cellStyle name="Vírgula 2 3 2 2 3 2 3 2" xfId="21224" xr:uid="{3B89E820-50CC-4739-A155-2F5CAB0A4E1E}"/>
    <cellStyle name="Vírgula 2 3 2 2 3 2 3 2 2" xfId="46716" xr:uid="{23798272-5700-42CB-8DF4-00BE3F5247B5}"/>
    <cellStyle name="Vírgula 2 3 2 2 3 2 3 3" xfId="34125" xr:uid="{4D88E742-322C-492E-B46D-5711C1667293}"/>
    <cellStyle name="Vírgula 2 3 2 2 3 2 4" xfId="14946" xr:uid="{EDBB30BC-934C-47BE-8EC5-79D2C4F28906}"/>
    <cellStyle name="Vírgula 2 3 2 2 3 2 4 2" xfId="40438" xr:uid="{4E519EE7-2904-4878-AE0C-73053AE550D8}"/>
    <cellStyle name="Vírgula 2 3 2 2 3 2 5" xfId="27847" xr:uid="{0A3EB261-1B3F-4F03-AA1A-5437DA1916CB}"/>
    <cellStyle name="Vírgula 2 3 2 2 3 3" xfId="4081" xr:uid="{AC3CE4CA-633F-4E72-B465-9FFA76A52C2E}"/>
    <cellStyle name="Vírgula 2 3 2 2 3 3 2" xfId="10374" xr:uid="{A1AF79F1-7A7C-4B5F-A7E6-251B95402624}"/>
    <cellStyle name="Vírgula 2 3 2 2 3 3 2 2" xfId="23056" xr:uid="{5762419C-A137-47D2-9741-F154F825C2CB}"/>
    <cellStyle name="Vírgula 2 3 2 2 3 3 2 2 2" xfId="48548" xr:uid="{F5B79FC1-C3BD-4BA9-9A9E-CD099804D33E}"/>
    <cellStyle name="Vírgula 2 3 2 2 3 3 2 3" xfId="35957" xr:uid="{367A9D62-5778-4108-96E0-EEAE3913640C}"/>
    <cellStyle name="Vírgula 2 3 2 2 3 3 3" xfId="16778" xr:uid="{00E891B7-CA13-4F2E-B7BD-FC662C8802BB}"/>
    <cellStyle name="Vírgula 2 3 2 2 3 3 3 2" xfId="42270" xr:uid="{1B4DB222-28AA-4371-BADF-99B487A0C378}"/>
    <cellStyle name="Vírgula 2 3 2 2 3 3 4" xfId="29679" xr:uid="{F4FB3A14-FFC6-45E4-ADF7-5CAC3EEC6075}"/>
    <cellStyle name="Vírgula 2 3 2 2 3 4" xfId="7235" xr:uid="{A11539A9-D8E0-4F77-8D32-225F26424CC8}"/>
    <cellStyle name="Vírgula 2 3 2 2 3 4 2" xfId="19917" xr:uid="{EE88E3B7-B606-4DA9-9C0B-2D8D78D1CB31}"/>
    <cellStyle name="Vírgula 2 3 2 2 3 4 2 2" xfId="45409" xr:uid="{91402EF7-B511-4C85-AF07-32B491B8CFA2}"/>
    <cellStyle name="Vírgula 2 3 2 2 3 4 3" xfId="32818" xr:uid="{36883E16-F0C0-44DB-A14F-B12BA78C8190}"/>
    <cellStyle name="Vírgula 2 3 2 2 3 5" xfId="13639" xr:uid="{2FE0DC49-303D-436A-8835-EDCECAA375E4}"/>
    <cellStyle name="Vírgula 2 3 2 2 3 5 2" xfId="39131" xr:uid="{C251F776-43FB-48EA-891A-05B47EB8BA81}"/>
    <cellStyle name="Vírgula 2 3 2 2 3 6" xfId="26540" xr:uid="{503A8DC6-CDF6-468F-8D0B-C4904E35731E}"/>
    <cellStyle name="Vírgula 2 3 2 2 4" xfId="1972" xr:uid="{DAAE5E30-4337-45B0-AEE6-A0801DD6D93A}"/>
    <cellStyle name="Vírgula 2 3 2 2 4 2" xfId="5126" xr:uid="{837A1681-AFF8-484C-86BB-E9D020804561}"/>
    <cellStyle name="Vírgula 2 3 2 2 4 2 2" xfId="11419" xr:uid="{799B39C1-9424-4A76-80D3-D96D13518CE0}"/>
    <cellStyle name="Vírgula 2 3 2 2 4 2 2 2" xfId="24101" xr:uid="{553244D7-0B66-428B-AF2A-469F6D39C0E7}"/>
    <cellStyle name="Vírgula 2 3 2 2 4 2 2 2 2" xfId="49593" xr:uid="{4D8FBEFB-3BED-418B-BECF-E9751965D853}"/>
    <cellStyle name="Vírgula 2 3 2 2 4 2 2 3" xfId="37002" xr:uid="{AB4CAC13-C3D4-49C1-8FA6-59BDD963ADB7}"/>
    <cellStyle name="Vírgula 2 3 2 2 4 2 3" xfId="17823" xr:uid="{EC0CEECD-12DB-4F38-B2C8-FEB5FC5CF250}"/>
    <cellStyle name="Vírgula 2 3 2 2 4 2 3 2" xfId="43315" xr:uid="{7B8EED03-7189-4D89-9EEB-A0A9A887A882}"/>
    <cellStyle name="Vírgula 2 3 2 2 4 2 4" xfId="30724" xr:uid="{CAC2F905-1C7B-43FA-8572-291CD2D53FC2}"/>
    <cellStyle name="Vírgula 2 3 2 2 4 3" xfId="8280" xr:uid="{43065B09-AA59-4D0E-A6B2-3AB58172AFEA}"/>
    <cellStyle name="Vírgula 2 3 2 2 4 3 2" xfId="20962" xr:uid="{7C5D0019-A2FD-459F-9566-52C46839A630}"/>
    <cellStyle name="Vírgula 2 3 2 2 4 3 2 2" xfId="46454" xr:uid="{41354C3D-3EA7-4B9B-AF5C-231EADEE06E2}"/>
    <cellStyle name="Vírgula 2 3 2 2 4 3 3" xfId="33863" xr:uid="{B928D914-7502-4274-8E72-51DAD020883F}"/>
    <cellStyle name="Vírgula 2 3 2 2 4 4" xfId="14684" xr:uid="{30525283-CE65-47BE-8F43-347F035A5F7C}"/>
    <cellStyle name="Vírgula 2 3 2 2 4 4 2" xfId="40176" xr:uid="{E42789EE-6AC9-4A4D-9B32-17CCBB1908EA}"/>
    <cellStyle name="Vírgula 2 3 2 2 4 5" xfId="27585" xr:uid="{C81DAB0B-04D5-4231-B404-366147A8704C}"/>
    <cellStyle name="Vírgula 2 3 2 2 5" xfId="1450" xr:uid="{2B892F86-9F80-4072-A3A7-23708B3CA289}"/>
    <cellStyle name="Vírgula 2 3 2 2 5 2" xfId="4604" xr:uid="{931A9A05-8BC9-4AF0-A5E6-F6EEB1EC263D}"/>
    <cellStyle name="Vírgula 2 3 2 2 5 2 2" xfId="10897" xr:uid="{91A29B04-E21B-4D66-B977-83A56AA2AA63}"/>
    <cellStyle name="Vírgula 2 3 2 2 5 2 2 2" xfId="23579" xr:uid="{94B4FA59-B0E3-4F40-9FE6-215C71531F29}"/>
    <cellStyle name="Vírgula 2 3 2 2 5 2 2 2 2" xfId="49071" xr:uid="{2979D600-9C97-412D-8DA5-3E24ACDD028A}"/>
    <cellStyle name="Vírgula 2 3 2 2 5 2 2 3" xfId="36480" xr:uid="{CE13AB65-6A56-4C08-9A0C-67F07AA6DCEB}"/>
    <cellStyle name="Vírgula 2 3 2 2 5 2 3" xfId="17301" xr:uid="{4C72BB18-006B-41EB-A3CF-69F67FB9ED7F}"/>
    <cellStyle name="Vírgula 2 3 2 2 5 2 3 2" xfId="42793" xr:uid="{275EC089-2572-492E-BD0F-EFABDDB46DF5}"/>
    <cellStyle name="Vírgula 2 3 2 2 5 2 4" xfId="30202" xr:uid="{2E070FD0-0E1A-49E4-9660-8B32AC7EA15D}"/>
    <cellStyle name="Vírgula 2 3 2 2 5 3" xfId="7758" xr:uid="{3E3FB050-BE37-49EB-9028-025D2EEC3948}"/>
    <cellStyle name="Vírgula 2 3 2 2 5 3 2" xfId="20440" xr:uid="{8B7A0555-CA1A-4ED2-9D3B-A4890CDE74D1}"/>
    <cellStyle name="Vírgula 2 3 2 2 5 3 2 2" xfId="45932" xr:uid="{85EE4A6E-65C3-469A-BE2A-8417AE2F24D1}"/>
    <cellStyle name="Vírgula 2 3 2 2 5 3 3" xfId="33341" xr:uid="{D0EA85D3-4509-4E79-A5F5-BFF8A87F2336}"/>
    <cellStyle name="Vírgula 2 3 2 2 5 4" xfId="14162" xr:uid="{E20B40EE-144A-4D7E-9FE6-457C4464DAB7}"/>
    <cellStyle name="Vírgula 2 3 2 2 5 4 2" xfId="39654" xr:uid="{2ACBEC84-9A1E-46A1-8395-86327FD40EC8}"/>
    <cellStyle name="Vírgula 2 3 2 2 5 5" xfId="27063" xr:uid="{1815A2DC-834C-42B0-BD3E-54B0A891226B}"/>
    <cellStyle name="Vírgula 2 3 2 2 6" xfId="2757" xr:uid="{5B4608B9-0107-4FAB-9455-A4BC4CD0C0E1}"/>
    <cellStyle name="Vírgula 2 3 2 2 6 2" xfId="5911" xr:uid="{52DDE13E-F2F5-4F75-8A66-2F02CCE0BA71}"/>
    <cellStyle name="Vírgula 2 3 2 2 6 2 2" xfId="12204" xr:uid="{6C63FF68-73A1-49DD-BEF9-5E31488D8456}"/>
    <cellStyle name="Vírgula 2 3 2 2 6 2 2 2" xfId="24886" xr:uid="{3259D17D-FD6C-45BE-B730-B2B774B5F77C}"/>
    <cellStyle name="Vírgula 2 3 2 2 6 2 2 2 2" xfId="50378" xr:uid="{2EBBF9E0-D72E-42C1-B18A-058AC014D9D7}"/>
    <cellStyle name="Vírgula 2 3 2 2 6 2 2 3" xfId="37787" xr:uid="{A48EDAA9-0C0E-4894-B00A-A21B6046F571}"/>
    <cellStyle name="Vírgula 2 3 2 2 6 2 3" xfId="18608" xr:uid="{89A01F2C-B07B-49FA-A49F-B07C5575E125}"/>
    <cellStyle name="Vírgula 2 3 2 2 6 2 3 2" xfId="44100" xr:uid="{E3691BEA-354F-4C91-9B7E-CC219315DB3E}"/>
    <cellStyle name="Vírgula 2 3 2 2 6 2 4" xfId="31509" xr:uid="{6ACB4184-8E2A-48A8-8007-2D6FCEC564E2}"/>
    <cellStyle name="Vírgula 2 3 2 2 6 3" xfId="9065" xr:uid="{39634027-B1B6-4B38-AF7F-6544B9F55071}"/>
    <cellStyle name="Vírgula 2 3 2 2 6 3 2" xfId="21747" xr:uid="{5FC6CB3F-BA6D-4EFB-94AB-185190AD78D3}"/>
    <cellStyle name="Vírgula 2 3 2 2 6 3 2 2" xfId="47239" xr:uid="{29C4230A-47BB-452D-90C6-96448C498B79}"/>
    <cellStyle name="Vírgula 2 3 2 2 6 3 3" xfId="34648" xr:uid="{1C7669CD-101F-44E5-99C6-B1D8BDDC81A0}"/>
    <cellStyle name="Vírgula 2 3 2 2 6 4" xfId="15469" xr:uid="{E1FBB934-E48D-4C57-8024-7FC0A4E8092A}"/>
    <cellStyle name="Vírgula 2 3 2 2 6 4 2" xfId="40961" xr:uid="{91ACA8E0-0E5C-49AA-8789-615D48E939A4}"/>
    <cellStyle name="Vírgula 2 3 2 2 6 5" xfId="28370" xr:uid="{C5C984ED-5F18-48E7-8DF4-BE1E0F664156}"/>
    <cellStyle name="Vírgula 2 3 2 2 7" xfId="3280" xr:uid="{B92CBC88-E551-4F1E-95B6-89367105E72E}"/>
    <cellStyle name="Vírgula 2 3 2 2 7 2" xfId="6434" xr:uid="{47347571-9A6D-4329-B0C7-54CE8F70A1CE}"/>
    <cellStyle name="Vírgula 2 3 2 2 7 2 2" xfId="12727" xr:uid="{F7D2D3BD-C96D-4ECF-9706-FA6AAC794415}"/>
    <cellStyle name="Vírgula 2 3 2 2 7 2 2 2" xfId="25409" xr:uid="{27078B04-666A-409A-A990-F62A16A273C5}"/>
    <cellStyle name="Vírgula 2 3 2 2 7 2 2 2 2" xfId="50901" xr:uid="{2740094A-7DE5-4B8A-8993-EF75D2CE31FD}"/>
    <cellStyle name="Vírgula 2 3 2 2 7 2 2 3" xfId="38310" xr:uid="{29A861F9-8E0C-40DA-9AAC-B75D837281C8}"/>
    <cellStyle name="Vírgula 2 3 2 2 7 2 3" xfId="19131" xr:uid="{D6424204-2184-439E-A035-3F77557C126A}"/>
    <cellStyle name="Vírgula 2 3 2 2 7 2 3 2" xfId="44623" xr:uid="{7FE51E19-F4DD-470E-998C-69682EBD3E95}"/>
    <cellStyle name="Vírgula 2 3 2 2 7 2 4" xfId="32032" xr:uid="{89F61099-08D9-4CD2-AF7A-E2B8E01515D6}"/>
    <cellStyle name="Vírgula 2 3 2 2 7 3" xfId="9588" xr:uid="{C8290CFA-09B1-44A8-B605-6B595643B778}"/>
    <cellStyle name="Vírgula 2 3 2 2 7 3 2" xfId="22270" xr:uid="{98F12AFE-3E2A-45C5-B29C-106E475203D8}"/>
    <cellStyle name="Vírgula 2 3 2 2 7 3 2 2" xfId="47762" xr:uid="{60A9B2A4-325C-4C0F-A0DF-8B0892EBF6AB}"/>
    <cellStyle name="Vírgula 2 3 2 2 7 3 3" xfId="35171" xr:uid="{5290A713-99C1-48F8-ADE3-8D9C097800ED}"/>
    <cellStyle name="Vírgula 2 3 2 2 7 4" xfId="15992" xr:uid="{5661D9CB-3F68-4DF5-B5A1-D08C1E64FEEB}"/>
    <cellStyle name="Vírgula 2 3 2 2 7 4 2" xfId="41484" xr:uid="{5544E57E-31E9-43F8-99C4-1F3E3CA203EE}"/>
    <cellStyle name="Vírgula 2 3 2 2 7 5" xfId="28893" xr:uid="{4E5BCE80-53EA-4877-94C9-E44EDD147496}"/>
    <cellStyle name="Vírgula 2 3 2 2 8" xfId="3819" xr:uid="{BD8990AF-4147-49D6-88E0-4938156937B0}"/>
    <cellStyle name="Vírgula 2 3 2 2 8 2" xfId="10112" xr:uid="{30B6C1FB-366D-4D94-A312-495CFF542B10}"/>
    <cellStyle name="Vírgula 2 3 2 2 8 2 2" xfId="22794" xr:uid="{C54A2BB2-EE0D-4AFF-93B0-222CB845180C}"/>
    <cellStyle name="Vírgula 2 3 2 2 8 2 2 2" xfId="48286" xr:uid="{47E4242D-CABB-48F1-BDD4-4BA6841197AA}"/>
    <cellStyle name="Vírgula 2 3 2 2 8 2 3" xfId="35695" xr:uid="{5DB919A3-0B02-426C-9102-E640D00138D9}"/>
    <cellStyle name="Vírgula 2 3 2 2 8 3" xfId="16516" xr:uid="{EE880CAF-F793-44F7-9C02-C8F2522C1A69}"/>
    <cellStyle name="Vírgula 2 3 2 2 8 3 2" xfId="42008" xr:uid="{56AFBAB2-396D-4A4C-B706-C6F54C62D394}"/>
    <cellStyle name="Vírgula 2 3 2 2 8 4" xfId="29417" xr:uid="{4CE47B65-7D35-4227-92AF-4C4096B87D45}"/>
    <cellStyle name="Vírgula 2 3 2 2 9" xfId="6973" xr:uid="{011606B1-E2AD-48CB-8FC1-A890F28280FD}"/>
    <cellStyle name="Vírgula 2 3 2 2 9 2" xfId="19655" xr:uid="{FF6B5AAA-88C8-4A3B-81B4-C20564B8E641}"/>
    <cellStyle name="Vírgula 2 3 2 2 9 2 2" xfId="45147" xr:uid="{1F13E1F4-A73C-4D13-943F-DA7056F868A0}"/>
    <cellStyle name="Vírgula 2 3 2 2 9 3" xfId="32556" xr:uid="{4B820034-B4CF-4CC2-AE80-6EEBD627EDE6}"/>
    <cellStyle name="Vírgula 2 3 2 3" xfId="1028" xr:uid="{6493F598-E776-447F-BBD9-C244595EF4DD}"/>
    <cellStyle name="Vírgula 2 3 2 3 2" xfId="2335" xr:uid="{17E2689C-02CA-4030-B9A3-51A6C528556B}"/>
    <cellStyle name="Vírgula 2 3 2 3 2 2" xfId="5489" xr:uid="{672E685F-43A8-47CA-BFB3-60A2E01AA2CC}"/>
    <cellStyle name="Vírgula 2 3 2 3 2 2 2" xfId="11782" xr:uid="{D268B1E3-C9BB-4047-8CFB-9C956F0022E1}"/>
    <cellStyle name="Vírgula 2 3 2 3 2 2 2 2" xfId="24464" xr:uid="{2BEE6DE7-8BF7-4844-A7A8-06DFE3A17456}"/>
    <cellStyle name="Vírgula 2 3 2 3 2 2 2 2 2" xfId="49956" xr:uid="{9DB7AF5C-0FDC-439F-8C44-D6ADE680FC15}"/>
    <cellStyle name="Vírgula 2 3 2 3 2 2 2 3" xfId="37365" xr:uid="{F33882FD-2C14-4E07-824D-4434006B5F2A}"/>
    <cellStyle name="Vírgula 2 3 2 3 2 2 3" xfId="18186" xr:uid="{CAC7414D-5112-4190-A591-1F6FCA7C46D2}"/>
    <cellStyle name="Vírgula 2 3 2 3 2 2 3 2" xfId="43678" xr:uid="{FDD73EBD-5BD8-41AC-9C95-DE11693EB5A8}"/>
    <cellStyle name="Vírgula 2 3 2 3 2 2 4" xfId="31087" xr:uid="{F7B5EFE2-60D0-4CFA-B3F8-B105A29B32D9}"/>
    <cellStyle name="Vírgula 2 3 2 3 2 3" xfId="8643" xr:uid="{4C7116DC-FB28-4D37-BE9C-58BC2065101C}"/>
    <cellStyle name="Vírgula 2 3 2 3 2 3 2" xfId="21325" xr:uid="{EF1D4D8D-AF58-40EC-85F8-DD2F3951B018}"/>
    <cellStyle name="Vírgula 2 3 2 3 2 3 2 2" xfId="46817" xr:uid="{27DA85E6-163F-4FEE-BB9B-7B52D2BD53A8}"/>
    <cellStyle name="Vírgula 2 3 2 3 2 3 3" xfId="34226" xr:uid="{F4639A6C-1E38-4EF7-B094-D80847E6D385}"/>
    <cellStyle name="Vírgula 2 3 2 3 2 4" xfId="15047" xr:uid="{C2AB2D71-E50B-4B18-B18B-750B8A3228A5}"/>
    <cellStyle name="Vírgula 2 3 2 3 2 4 2" xfId="40539" xr:uid="{CC0350E9-A2AB-404E-B486-06B8E4FB2B77}"/>
    <cellStyle name="Vírgula 2 3 2 3 2 5" xfId="27948" xr:uid="{F4090370-D355-40E5-B876-D3CDFAF97485}"/>
    <cellStyle name="Vírgula 2 3 2 3 3" xfId="1552" xr:uid="{7345518D-153C-42A9-A194-61FA161FE746}"/>
    <cellStyle name="Vírgula 2 3 2 3 3 2" xfId="4706" xr:uid="{5D5667D8-6C26-417D-ADE0-FB36B4B11C68}"/>
    <cellStyle name="Vírgula 2 3 2 3 3 2 2" xfId="10999" xr:uid="{0659721C-3122-4AA2-9BE7-703B2199D45C}"/>
    <cellStyle name="Vírgula 2 3 2 3 3 2 2 2" xfId="23681" xr:uid="{449251F8-EA98-489B-AF76-3DB644A24E4C}"/>
    <cellStyle name="Vírgula 2 3 2 3 3 2 2 2 2" xfId="49173" xr:uid="{408E5984-E9C7-453A-B03D-C7FEF8E84D18}"/>
    <cellStyle name="Vírgula 2 3 2 3 3 2 2 3" xfId="36582" xr:uid="{C0D73E38-93F3-49B5-83AD-67C321FAEE74}"/>
    <cellStyle name="Vírgula 2 3 2 3 3 2 3" xfId="17403" xr:uid="{E1DE5DCE-6303-4186-9434-36425F11F0CE}"/>
    <cellStyle name="Vírgula 2 3 2 3 3 2 3 2" xfId="42895" xr:uid="{DDB8F903-3C8F-4F85-913C-D79649788F33}"/>
    <cellStyle name="Vírgula 2 3 2 3 3 2 4" xfId="30304" xr:uid="{7622B020-00E4-4A0E-B822-A7F4498638B9}"/>
    <cellStyle name="Vírgula 2 3 2 3 3 3" xfId="7860" xr:uid="{F001BB0F-49A1-4C1E-A087-0B18F3A26B39}"/>
    <cellStyle name="Vírgula 2 3 2 3 3 3 2" xfId="20542" xr:uid="{D653D622-918E-4DF5-9C77-6FC75EDE4FEC}"/>
    <cellStyle name="Vírgula 2 3 2 3 3 3 2 2" xfId="46034" xr:uid="{79EE9F21-764F-4914-90F7-795674258BBE}"/>
    <cellStyle name="Vírgula 2 3 2 3 3 3 3" xfId="33443" xr:uid="{BBD24B63-F177-4137-BB13-5E6E32548654}"/>
    <cellStyle name="Vírgula 2 3 2 3 3 4" xfId="14264" xr:uid="{39D9C947-5419-4121-B594-EF253855FBBB}"/>
    <cellStyle name="Vírgula 2 3 2 3 3 4 2" xfId="39756" xr:uid="{0962325C-171C-46BA-9481-90A8F7AF1131}"/>
    <cellStyle name="Vírgula 2 3 2 3 3 5" xfId="27165" xr:uid="{F6CA664F-6D65-42B0-AD8F-9204EB564150}"/>
    <cellStyle name="Vírgula 2 3 2 3 4" xfId="2859" xr:uid="{DB8310AD-1D53-4B31-9E83-A6B1D1C709B2}"/>
    <cellStyle name="Vírgula 2 3 2 3 4 2" xfId="6013" xr:uid="{D0D55845-27C0-4DED-85A6-982B69FD672F}"/>
    <cellStyle name="Vírgula 2 3 2 3 4 2 2" xfId="12306" xr:uid="{9CA8ACC7-1808-449B-9CA4-EE2C251239E2}"/>
    <cellStyle name="Vírgula 2 3 2 3 4 2 2 2" xfId="24988" xr:uid="{3AF5D253-8599-4973-AF4B-91F04E8469D7}"/>
    <cellStyle name="Vírgula 2 3 2 3 4 2 2 2 2" xfId="50480" xr:uid="{DF4EF563-54BB-4178-B698-7D6B2C280B3D}"/>
    <cellStyle name="Vírgula 2 3 2 3 4 2 2 3" xfId="37889" xr:uid="{A2DC8D04-390D-401B-A916-DEA77E20A357}"/>
    <cellStyle name="Vírgula 2 3 2 3 4 2 3" xfId="18710" xr:uid="{9275A5BB-04F8-4544-BBE6-24656D474715}"/>
    <cellStyle name="Vírgula 2 3 2 3 4 2 3 2" xfId="44202" xr:uid="{F0550AC3-F34B-4B71-BAEC-DBE91D669738}"/>
    <cellStyle name="Vírgula 2 3 2 3 4 2 4" xfId="31611" xr:uid="{4DE3BA5F-2041-44EF-B3D8-38A01F67AFDE}"/>
    <cellStyle name="Vírgula 2 3 2 3 4 3" xfId="9167" xr:uid="{53FC5855-E5B4-4B17-9873-DF60F011A5C3}"/>
    <cellStyle name="Vírgula 2 3 2 3 4 3 2" xfId="21849" xr:uid="{923EB56F-A393-4E8C-AB7C-35B902434E58}"/>
    <cellStyle name="Vírgula 2 3 2 3 4 3 2 2" xfId="47341" xr:uid="{82BEECA2-27E2-4FEF-89CC-E49AAEECB2B0}"/>
    <cellStyle name="Vírgula 2 3 2 3 4 3 3" xfId="34750" xr:uid="{08003609-B104-47CC-8348-C1377642B5E3}"/>
    <cellStyle name="Vírgula 2 3 2 3 4 4" xfId="15571" xr:uid="{03C4D795-91F2-4165-914F-962F73B0D94B}"/>
    <cellStyle name="Vírgula 2 3 2 3 4 4 2" xfId="41063" xr:uid="{2BF6F242-16E3-47A2-83A2-03715AA28A0F}"/>
    <cellStyle name="Vírgula 2 3 2 3 4 5" xfId="28472" xr:uid="{0A6F2303-2EFA-462D-AE01-C21DE45EFD72}"/>
    <cellStyle name="Vírgula 2 3 2 3 5" xfId="3382" xr:uid="{A787DADB-2693-4251-8D58-52B415EBFC41}"/>
    <cellStyle name="Vírgula 2 3 2 3 5 2" xfId="6536" xr:uid="{213C0181-949C-41DE-8C02-5F58A8B697D1}"/>
    <cellStyle name="Vírgula 2 3 2 3 5 2 2" xfId="12829" xr:uid="{716D6294-B8E0-4549-96C6-84A00EE46A47}"/>
    <cellStyle name="Vírgula 2 3 2 3 5 2 2 2" xfId="25511" xr:uid="{C2F3CAD0-E6E0-48E1-8A34-5308302F2937}"/>
    <cellStyle name="Vírgula 2 3 2 3 5 2 2 2 2" xfId="51003" xr:uid="{E1E8E449-69B6-4DC1-ACA5-9B21A26159AD}"/>
    <cellStyle name="Vírgula 2 3 2 3 5 2 2 3" xfId="38412" xr:uid="{F99BEB3A-3C47-458C-BE80-D33C1A75982A}"/>
    <cellStyle name="Vírgula 2 3 2 3 5 2 3" xfId="19233" xr:uid="{066D5A78-FC3E-409E-AF75-B6AF3CE3B4D3}"/>
    <cellStyle name="Vírgula 2 3 2 3 5 2 3 2" xfId="44725" xr:uid="{279C97CE-9AC8-4AFF-BBAD-7B4F446AB2DA}"/>
    <cellStyle name="Vírgula 2 3 2 3 5 2 4" xfId="32134" xr:uid="{30EBD080-69FF-4D5B-8CD4-39EE45FA3DB7}"/>
    <cellStyle name="Vírgula 2 3 2 3 5 3" xfId="9690" xr:uid="{C62BC204-6CEE-43D9-AEBE-8730ACA1D76D}"/>
    <cellStyle name="Vírgula 2 3 2 3 5 3 2" xfId="22372" xr:uid="{C59A1A3D-D42E-4BF3-8557-6E8CFF533F37}"/>
    <cellStyle name="Vírgula 2 3 2 3 5 3 2 2" xfId="47864" xr:uid="{FAD9AB63-7CFE-4264-821F-F25C712E0FB2}"/>
    <cellStyle name="Vírgula 2 3 2 3 5 3 3" xfId="35273" xr:uid="{AEFE3F66-0A6B-4188-BE2F-AC749BE13897}"/>
    <cellStyle name="Vírgula 2 3 2 3 5 4" xfId="16094" xr:uid="{3DEA4795-AEB7-4EA0-95CC-B3866BDE7B20}"/>
    <cellStyle name="Vírgula 2 3 2 3 5 4 2" xfId="41586" xr:uid="{A13E818B-62A0-44ED-A8F4-6539CBDFF104}"/>
    <cellStyle name="Vírgula 2 3 2 3 5 5" xfId="28995" xr:uid="{04CDD7A4-D59C-4A82-9C2C-BA6CD1DF0B07}"/>
    <cellStyle name="Vírgula 2 3 2 3 6" xfId="4182" xr:uid="{149B2C8C-7696-4834-BA63-E2E015D492AE}"/>
    <cellStyle name="Vírgula 2 3 2 3 6 2" xfId="10475" xr:uid="{885CF740-A578-45C0-B3D6-03BCD703BCF5}"/>
    <cellStyle name="Vírgula 2 3 2 3 6 2 2" xfId="23157" xr:uid="{72F86133-14E0-470F-82FF-908F9C2E84E9}"/>
    <cellStyle name="Vírgula 2 3 2 3 6 2 2 2" xfId="48649" xr:uid="{4DD8ED2C-A6C7-41E5-96E3-B0957B8A18BF}"/>
    <cellStyle name="Vírgula 2 3 2 3 6 2 3" xfId="36058" xr:uid="{BBD71FF5-2AC7-4C62-87F1-8A2583740C4F}"/>
    <cellStyle name="Vírgula 2 3 2 3 6 3" xfId="16879" xr:uid="{475B26AD-AF7D-4D1C-8293-E7A173460068}"/>
    <cellStyle name="Vírgula 2 3 2 3 6 3 2" xfId="42371" xr:uid="{7672800F-35E8-46B5-8C4C-BF4C9574E216}"/>
    <cellStyle name="Vírgula 2 3 2 3 6 4" xfId="29780" xr:uid="{A1C88631-CFE6-4ABB-8B09-90B146941549}"/>
    <cellStyle name="Vírgula 2 3 2 3 7" xfId="7336" xr:uid="{6F5F98E3-A9C2-42E0-8188-2C035928E03C}"/>
    <cellStyle name="Vírgula 2 3 2 3 7 2" xfId="20018" xr:uid="{AD8F8944-80EC-4BBD-BC7D-AB84D474FE8F}"/>
    <cellStyle name="Vírgula 2 3 2 3 7 2 2" xfId="45510" xr:uid="{5105333C-3C6D-49BB-A580-7F1DC1D48152}"/>
    <cellStyle name="Vírgula 2 3 2 3 7 3" xfId="32919" xr:uid="{47DFFB70-ED15-4ADA-B5CD-787408E52823}"/>
    <cellStyle name="Vírgula 2 3 2 3 8" xfId="13740" xr:uid="{FD60CF93-E009-4093-A498-3F7F2C27F3CD}"/>
    <cellStyle name="Vírgula 2 3 2 3 8 2" xfId="39232" xr:uid="{611EA105-CC07-486C-AD61-0829C8D048FA}"/>
    <cellStyle name="Vírgula 2 3 2 3 9" xfId="26641" xr:uid="{FE74F270-A86D-4DFF-8D39-CE567DA858ED}"/>
    <cellStyle name="Vírgula 2 3 2 4" xfId="768" xr:uid="{77D70840-096A-4B97-8668-E95C15226C2D}"/>
    <cellStyle name="Vírgula 2 3 2 4 2" xfId="2075" xr:uid="{7B888143-A17B-4AB5-9AC5-450DE55B58DC}"/>
    <cellStyle name="Vírgula 2 3 2 4 2 2" xfId="5229" xr:uid="{C2072ED7-2EAA-4DCE-B6E4-0232F06F702F}"/>
    <cellStyle name="Vírgula 2 3 2 4 2 2 2" xfId="11522" xr:uid="{30D02CD3-65A7-4EAB-8E6A-407E6E29E4A3}"/>
    <cellStyle name="Vírgula 2 3 2 4 2 2 2 2" xfId="24204" xr:uid="{06087BFD-098B-407B-8268-F53609C04C86}"/>
    <cellStyle name="Vírgula 2 3 2 4 2 2 2 2 2" xfId="49696" xr:uid="{B1519254-7996-4B32-9BC5-7EABA0DBB4C0}"/>
    <cellStyle name="Vírgula 2 3 2 4 2 2 2 3" xfId="37105" xr:uid="{7377479C-6EA8-421F-B737-95A4333FF338}"/>
    <cellStyle name="Vírgula 2 3 2 4 2 2 3" xfId="17926" xr:uid="{56351AC0-4518-4636-9FBA-CA7C5749063C}"/>
    <cellStyle name="Vírgula 2 3 2 4 2 2 3 2" xfId="43418" xr:uid="{B96EC0DB-ADEB-48EC-99B3-6FBC9C1D754F}"/>
    <cellStyle name="Vírgula 2 3 2 4 2 2 4" xfId="30827" xr:uid="{5D66715F-67A6-4122-B9F5-C3EE05C38118}"/>
    <cellStyle name="Vírgula 2 3 2 4 2 3" xfId="8383" xr:uid="{0C5C9879-1948-40E8-806A-78626A9B37E9}"/>
    <cellStyle name="Vírgula 2 3 2 4 2 3 2" xfId="21065" xr:uid="{CC015C89-ABDE-40EB-B3AB-0EEC784DEB2B}"/>
    <cellStyle name="Vírgula 2 3 2 4 2 3 2 2" xfId="46557" xr:uid="{EC765F8D-10B6-430A-9A04-8D8E07D356FF}"/>
    <cellStyle name="Vírgula 2 3 2 4 2 3 3" xfId="33966" xr:uid="{17ADC247-0978-48E7-8235-83AF75AE8F63}"/>
    <cellStyle name="Vírgula 2 3 2 4 2 4" xfId="14787" xr:uid="{93531DEE-0E1E-419F-8943-CEEA441E08A2}"/>
    <cellStyle name="Vírgula 2 3 2 4 2 4 2" xfId="40279" xr:uid="{7FF2E112-A481-4340-BD1E-31E257834251}"/>
    <cellStyle name="Vírgula 2 3 2 4 2 5" xfId="27688" xr:uid="{C2F1D238-2B34-4133-8123-11670DCE6BBC}"/>
    <cellStyle name="Vírgula 2 3 2 4 3" xfId="3922" xr:uid="{D9A9EAE8-6407-4F4A-B417-B202E2328EF8}"/>
    <cellStyle name="Vírgula 2 3 2 4 3 2" xfId="10215" xr:uid="{9433A45A-5615-4448-AA24-0285EFCB0523}"/>
    <cellStyle name="Vírgula 2 3 2 4 3 2 2" xfId="22897" xr:uid="{5F348E5C-DE27-475D-97A4-941B819A890D}"/>
    <cellStyle name="Vírgula 2 3 2 4 3 2 2 2" xfId="48389" xr:uid="{445ED3F9-BE0B-46AE-9819-7CD9061F5E3B}"/>
    <cellStyle name="Vírgula 2 3 2 4 3 2 3" xfId="35798" xr:uid="{B08D0D3C-26C8-4E92-87DB-5FDACE1C5542}"/>
    <cellStyle name="Vírgula 2 3 2 4 3 3" xfId="16619" xr:uid="{F199EB7B-8AEF-4BC5-B5F1-97023D60E649}"/>
    <cellStyle name="Vírgula 2 3 2 4 3 3 2" xfId="42111" xr:uid="{BA7F833F-4022-4BE5-9549-2A64F2B369D9}"/>
    <cellStyle name="Vírgula 2 3 2 4 3 4" xfId="29520" xr:uid="{700753DC-27C2-4814-8FD5-138B7FAF60B5}"/>
    <cellStyle name="Vírgula 2 3 2 4 4" xfId="7076" xr:uid="{DC3901F8-743B-4066-9799-B58E36057561}"/>
    <cellStyle name="Vírgula 2 3 2 4 4 2" xfId="19758" xr:uid="{41DC207D-4A46-48B4-9BF4-35C231F0D44A}"/>
    <cellStyle name="Vírgula 2 3 2 4 4 2 2" xfId="45250" xr:uid="{A936BC34-3103-42BB-AE9B-3589FEAE5D72}"/>
    <cellStyle name="Vírgula 2 3 2 4 4 3" xfId="32659" xr:uid="{DDB53A5C-4AAC-4FAA-8DBA-4631C27BC613}"/>
    <cellStyle name="Vírgula 2 3 2 4 5" xfId="13480" xr:uid="{872D9F00-52E8-4043-9AF2-0F9FB0AA7F2F}"/>
    <cellStyle name="Vírgula 2 3 2 4 5 2" xfId="38972" xr:uid="{99D4E5EB-A92A-480F-9BA0-A8CDD83F8BBC}"/>
    <cellStyle name="Vírgula 2 3 2 4 6" xfId="26381" xr:uid="{4FD1289B-5DF0-42FC-BCE3-BB53362C0945}"/>
    <cellStyle name="Vírgula 2 3 2 5" xfId="1813" xr:uid="{18171D6F-F499-4E71-AC15-8366829625A0}"/>
    <cellStyle name="Vírgula 2 3 2 5 2" xfId="4967" xr:uid="{C914CF99-21A8-482B-8D53-9BCBBC7C56C2}"/>
    <cellStyle name="Vírgula 2 3 2 5 2 2" xfId="11260" xr:uid="{3CEC8A0E-D381-4885-85ED-EB4E01FC62C0}"/>
    <cellStyle name="Vírgula 2 3 2 5 2 2 2" xfId="23942" xr:uid="{253F69F7-CB89-47DE-8AD9-AF17026FBECC}"/>
    <cellStyle name="Vírgula 2 3 2 5 2 2 2 2" xfId="49434" xr:uid="{CD76F1B6-573C-4B42-8022-4E3A8536119D}"/>
    <cellStyle name="Vírgula 2 3 2 5 2 2 3" xfId="36843" xr:uid="{331FC396-07B6-48E6-BCBF-927511F53242}"/>
    <cellStyle name="Vírgula 2 3 2 5 2 3" xfId="17664" xr:uid="{0C6FB061-1F52-495B-99DD-85C8E80E441B}"/>
    <cellStyle name="Vírgula 2 3 2 5 2 3 2" xfId="43156" xr:uid="{1FCA7ECE-E615-49AE-9886-22508DF51155}"/>
    <cellStyle name="Vírgula 2 3 2 5 2 4" xfId="30565" xr:uid="{881C6C20-C303-415B-9CF8-97C4249CD2E2}"/>
    <cellStyle name="Vírgula 2 3 2 5 3" xfId="8121" xr:uid="{8487CF98-FA19-4CE8-BAD0-5956875C8C0C}"/>
    <cellStyle name="Vírgula 2 3 2 5 3 2" xfId="20803" xr:uid="{23644415-E403-43AB-8695-84A5F8634179}"/>
    <cellStyle name="Vírgula 2 3 2 5 3 2 2" xfId="46295" xr:uid="{B99069B0-5C65-4E24-AFB8-8577AFFFE22E}"/>
    <cellStyle name="Vírgula 2 3 2 5 3 3" xfId="33704" xr:uid="{84D176A8-4EB1-4AA5-BA7A-B3D05D17944B}"/>
    <cellStyle name="Vírgula 2 3 2 5 4" xfId="14525" xr:uid="{385F308F-05CA-4307-915C-DBE17CCB2749}"/>
    <cellStyle name="Vírgula 2 3 2 5 4 2" xfId="40017" xr:uid="{457D6589-4D4D-4DDF-B7F9-F622557E98CB}"/>
    <cellStyle name="Vírgula 2 3 2 5 5" xfId="27426" xr:uid="{5BE6CF9F-EBFE-4428-B5E4-3B4BA013492C}"/>
    <cellStyle name="Vírgula 2 3 2 6" xfId="1291" xr:uid="{84036B3C-D2CD-4031-8DC0-D9423A3B30B5}"/>
    <cellStyle name="Vírgula 2 3 2 6 2" xfId="4445" xr:uid="{7309A41E-EE24-480D-A626-D3D2C61A09A0}"/>
    <cellStyle name="Vírgula 2 3 2 6 2 2" xfId="10738" xr:uid="{8DC0605F-2B03-49BF-B803-8E250AD76E7D}"/>
    <cellStyle name="Vírgula 2 3 2 6 2 2 2" xfId="23420" xr:uid="{1300BA9A-517C-4C44-BFC1-C4FABA3170FD}"/>
    <cellStyle name="Vírgula 2 3 2 6 2 2 2 2" xfId="48912" xr:uid="{0A75BE26-AE3E-4A87-A596-C473E788F666}"/>
    <cellStyle name="Vírgula 2 3 2 6 2 2 3" xfId="36321" xr:uid="{15626345-183B-4248-B8A3-D36EF98A4C5C}"/>
    <cellStyle name="Vírgula 2 3 2 6 2 3" xfId="17142" xr:uid="{04AA3404-E997-4758-B0F0-6D9288DC3F5C}"/>
    <cellStyle name="Vírgula 2 3 2 6 2 3 2" xfId="42634" xr:uid="{6145A75C-80D3-4A30-AAF0-4682A875CB52}"/>
    <cellStyle name="Vírgula 2 3 2 6 2 4" xfId="30043" xr:uid="{1F4EE01B-65B4-4893-8F3A-8DD01DCF1B33}"/>
    <cellStyle name="Vírgula 2 3 2 6 3" xfId="7599" xr:uid="{1CE1C9DF-D42E-482B-B95E-60AD0997D221}"/>
    <cellStyle name="Vírgula 2 3 2 6 3 2" xfId="20281" xr:uid="{87630D64-308A-4784-B2C9-EF6C19C32A2B}"/>
    <cellStyle name="Vírgula 2 3 2 6 3 2 2" xfId="45773" xr:uid="{481872EA-2B98-408F-BD20-B0ABD4A148FC}"/>
    <cellStyle name="Vírgula 2 3 2 6 3 3" xfId="33182" xr:uid="{E59B1737-0A2C-49C9-9C7A-1F8933528137}"/>
    <cellStyle name="Vírgula 2 3 2 6 4" xfId="14003" xr:uid="{1750737B-095A-42B0-83FC-66EF381F2E02}"/>
    <cellStyle name="Vírgula 2 3 2 6 4 2" xfId="39495" xr:uid="{88900509-C0D9-40E1-A90C-6D05A1A32C84}"/>
    <cellStyle name="Vírgula 2 3 2 6 5" xfId="26904" xr:uid="{EEA0F838-E34F-436F-94B3-07D071AB42DE}"/>
    <cellStyle name="Vírgula 2 3 2 7" xfId="2598" xr:uid="{E3E1E952-65B4-425D-B4B6-B3BAEB2F9C62}"/>
    <cellStyle name="Vírgula 2 3 2 7 2" xfId="5752" xr:uid="{35C4B3CA-7FEE-45FF-A38C-DD86AC73F830}"/>
    <cellStyle name="Vírgula 2 3 2 7 2 2" xfId="12045" xr:uid="{DF4B8B48-0E01-4B01-964B-0095EC9C2D27}"/>
    <cellStyle name="Vírgula 2 3 2 7 2 2 2" xfId="24727" xr:uid="{89F62FBA-28AD-425A-809A-B9747990E4BD}"/>
    <cellStyle name="Vírgula 2 3 2 7 2 2 2 2" xfId="50219" xr:uid="{436E0D66-1FBA-4171-9ED3-ED5215EFAB55}"/>
    <cellStyle name="Vírgula 2 3 2 7 2 2 3" xfId="37628" xr:uid="{FBCD294A-2E93-48D7-841C-E3C38992D2E0}"/>
    <cellStyle name="Vírgula 2 3 2 7 2 3" xfId="18449" xr:uid="{6A2703BC-80B1-403E-98F6-92C45F9D356C}"/>
    <cellStyle name="Vírgula 2 3 2 7 2 3 2" xfId="43941" xr:uid="{D65673F1-A1A2-4073-A7D1-5E63A78BFFA5}"/>
    <cellStyle name="Vírgula 2 3 2 7 2 4" xfId="31350" xr:uid="{88F840E4-9273-4166-9E28-991D9189D313}"/>
    <cellStyle name="Vírgula 2 3 2 7 3" xfId="8906" xr:uid="{B6454F31-DAFE-4EB4-B043-801A38526837}"/>
    <cellStyle name="Vírgula 2 3 2 7 3 2" xfId="21588" xr:uid="{72F439CB-2F9D-4BCB-99A1-71C36B4C06C6}"/>
    <cellStyle name="Vírgula 2 3 2 7 3 2 2" xfId="47080" xr:uid="{4D82CB31-FDA1-40A7-BA06-B0E956B3C971}"/>
    <cellStyle name="Vírgula 2 3 2 7 3 3" xfId="34489" xr:uid="{3AF8A180-AD63-4E22-B48B-E4BCCC38D040}"/>
    <cellStyle name="Vírgula 2 3 2 7 4" xfId="15310" xr:uid="{79AE2399-86C5-45D1-8954-B96D3D811586}"/>
    <cellStyle name="Vírgula 2 3 2 7 4 2" xfId="40802" xr:uid="{66D8F9E3-3F1B-4B57-BA7F-84828CA01FF5}"/>
    <cellStyle name="Vírgula 2 3 2 7 5" xfId="28211" xr:uid="{57593C1C-9C3B-478F-91E0-20B42C66D33F}"/>
    <cellStyle name="Vírgula 2 3 2 8" xfId="3121" xr:uid="{004268CF-479E-4B90-9079-1347567F3A96}"/>
    <cellStyle name="Vírgula 2 3 2 8 2" xfId="6275" xr:uid="{D51D415A-9B62-46A3-8FEA-4031FB2F401C}"/>
    <cellStyle name="Vírgula 2 3 2 8 2 2" xfId="12568" xr:uid="{C3B72747-2549-485E-B0E3-B6159EDA16C5}"/>
    <cellStyle name="Vírgula 2 3 2 8 2 2 2" xfId="25250" xr:uid="{67011BC9-11C0-47C4-AE01-9BAE13137733}"/>
    <cellStyle name="Vírgula 2 3 2 8 2 2 2 2" xfId="50742" xr:uid="{D40D21EB-C8FC-48AB-B915-D581E3D6B01E}"/>
    <cellStyle name="Vírgula 2 3 2 8 2 2 3" xfId="38151" xr:uid="{D6D0699C-552B-4EC4-9F59-9E26FB4C5CB3}"/>
    <cellStyle name="Vírgula 2 3 2 8 2 3" xfId="18972" xr:uid="{F43A6A4A-9CC9-4971-B51C-62E28419B998}"/>
    <cellStyle name="Vírgula 2 3 2 8 2 3 2" xfId="44464" xr:uid="{6C75A4C6-2818-494A-A48E-FB22BEC8FF31}"/>
    <cellStyle name="Vírgula 2 3 2 8 2 4" xfId="31873" xr:uid="{EF2019AA-F88C-4156-905C-C077FCE42BDC}"/>
    <cellStyle name="Vírgula 2 3 2 8 3" xfId="9429" xr:uid="{A12E75D3-15D5-4CB6-804A-CD6476808B6D}"/>
    <cellStyle name="Vírgula 2 3 2 8 3 2" xfId="22111" xr:uid="{55E57408-FE15-4D31-ADFC-B6558722CF23}"/>
    <cellStyle name="Vírgula 2 3 2 8 3 2 2" xfId="47603" xr:uid="{6086556E-692F-4D20-BA36-6FA01F538CC4}"/>
    <cellStyle name="Vírgula 2 3 2 8 3 3" xfId="35012" xr:uid="{3E45D4AA-991D-4E48-8125-0CB7F32CFB70}"/>
    <cellStyle name="Vírgula 2 3 2 8 4" xfId="15833" xr:uid="{DD4F35F9-54D7-4244-B37F-4ED3FBB84332}"/>
    <cellStyle name="Vírgula 2 3 2 8 4 2" xfId="41325" xr:uid="{9F5A25CD-BD04-4F25-A12D-AE1B14DF4B2D}"/>
    <cellStyle name="Vírgula 2 3 2 8 5" xfId="28734" xr:uid="{F024CBA7-AA89-4457-BC0E-51CDDA3AD5F4}"/>
    <cellStyle name="Vírgula 2 3 2 9" xfId="3660" xr:uid="{AAD47F84-02DE-489D-811A-FD9F729DF896}"/>
    <cellStyle name="Vírgula 2 3 2 9 2" xfId="9953" xr:uid="{46A8174A-7E46-4A0E-B1C4-0E8F6AE343F0}"/>
    <cellStyle name="Vírgula 2 3 2 9 2 2" xfId="22635" xr:uid="{A1B7EF79-0C05-49C2-97DC-85161A62C28A}"/>
    <cellStyle name="Vírgula 2 3 2 9 2 2 2" xfId="48127" xr:uid="{A93DBA00-D748-4FA1-ADF2-B5C95BB86360}"/>
    <cellStyle name="Vírgula 2 3 2 9 2 3" xfId="35536" xr:uid="{D9A7612F-9B44-4BC2-850B-B1707B1D08D1}"/>
    <cellStyle name="Vírgula 2 3 2 9 3" xfId="16357" xr:uid="{91CDA195-92AC-4D13-923E-D13D457864F4}"/>
    <cellStyle name="Vírgula 2 3 2 9 3 2" xfId="41849" xr:uid="{305D5799-0A3E-4DEB-A437-F33C0BDA0177}"/>
    <cellStyle name="Vírgula 2 3 2 9 4" xfId="29258" xr:uid="{82A9EB3C-5858-4ACB-BCED-1A7AE6C1C644}"/>
    <cellStyle name="Vírgula 2 3 3" xfId="589" xr:uid="{B6E12F42-08AF-470B-BEBA-0BDEF7F5DCFC}"/>
    <cellStyle name="Vírgula 2 3 3 10" xfId="13316" xr:uid="{F9069153-1004-4915-AA11-24ECF45D9937}"/>
    <cellStyle name="Vírgula 2 3 3 10 2" xfId="38808" xr:uid="{F1DB8E89-7273-480A-8C5D-C896FDBB8F96}"/>
    <cellStyle name="Vírgula 2 3 3 11" xfId="26217" xr:uid="{F97A422D-4DA9-4277-94AC-0A667E33B49D}"/>
    <cellStyle name="Vírgula 2 3 3 2" xfId="1126" xr:uid="{508C08AE-391F-4B0D-9E1B-3C4876659B68}"/>
    <cellStyle name="Vírgula 2 3 3 2 2" xfId="2433" xr:uid="{A94CDC06-AB26-4678-8205-617CCCD0DF97}"/>
    <cellStyle name="Vírgula 2 3 3 2 2 2" xfId="5587" xr:uid="{ED884BEB-3D0F-4BCA-947E-CA76A76FD953}"/>
    <cellStyle name="Vírgula 2 3 3 2 2 2 2" xfId="11880" xr:uid="{290D97D9-0216-4493-BAA0-47ED33E813C7}"/>
    <cellStyle name="Vírgula 2 3 3 2 2 2 2 2" xfId="24562" xr:uid="{EE062683-DC6D-45F4-9980-82DDC39BE0E1}"/>
    <cellStyle name="Vírgula 2 3 3 2 2 2 2 2 2" xfId="50054" xr:uid="{BAE7A287-1C07-4910-A80C-68334221892D}"/>
    <cellStyle name="Vírgula 2 3 3 2 2 2 2 3" xfId="37463" xr:uid="{19422A50-6F0A-4F87-9947-0F48E28BDB03}"/>
    <cellStyle name="Vírgula 2 3 3 2 2 2 3" xfId="18284" xr:uid="{C34A1A04-4B46-4EF8-A50E-B0C649819A04}"/>
    <cellStyle name="Vírgula 2 3 3 2 2 2 3 2" xfId="43776" xr:uid="{7D3BF550-AAE5-4E4D-82EF-BBBE15D4646F}"/>
    <cellStyle name="Vírgula 2 3 3 2 2 2 4" xfId="31185" xr:uid="{8DAE0E40-3B0C-46D6-87F7-8E614A54D0E1}"/>
    <cellStyle name="Vírgula 2 3 3 2 2 3" xfId="8741" xr:uid="{0DEBDD95-3C51-440B-AC6E-7209B6576C26}"/>
    <cellStyle name="Vírgula 2 3 3 2 2 3 2" xfId="21423" xr:uid="{E5F914A5-5B13-43AC-AE7B-E65E032C1354}"/>
    <cellStyle name="Vírgula 2 3 3 2 2 3 2 2" xfId="46915" xr:uid="{14BBF2A1-4F81-4223-B3D9-2D8DA8812CF4}"/>
    <cellStyle name="Vírgula 2 3 3 2 2 3 3" xfId="34324" xr:uid="{96B32BB3-EB79-4E74-B8BD-B00262F20679}"/>
    <cellStyle name="Vírgula 2 3 3 2 2 4" xfId="15145" xr:uid="{370A62BC-D7BE-466F-A368-894744973310}"/>
    <cellStyle name="Vírgula 2 3 3 2 2 4 2" xfId="40637" xr:uid="{42968983-6492-40B5-9EEB-50CC8E3EBD80}"/>
    <cellStyle name="Vírgula 2 3 3 2 2 5" xfId="28046" xr:uid="{D3C533A0-A51E-46CB-BDD5-B3A06AC39EF0}"/>
    <cellStyle name="Vírgula 2 3 3 2 3" xfId="1650" xr:uid="{2F0C3A57-AC86-4232-A0E9-C4AB5DAD8A65}"/>
    <cellStyle name="Vírgula 2 3 3 2 3 2" xfId="4804" xr:uid="{DFFD5652-D4F9-4B01-85B3-D86AE13BCB60}"/>
    <cellStyle name="Vírgula 2 3 3 2 3 2 2" xfId="11097" xr:uid="{65EBE76F-2D2F-4CC0-9E05-BC28062D8BEB}"/>
    <cellStyle name="Vírgula 2 3 3 2 3 2 2 2" xfId="23779" xr:uid="{96D927E0-020A-4FF8-BF61-46DD6CE2B39E}"/>
    <cellStyle name="Vírgula 2 3 3 2 3 2 2 2 2" xfId="49271" xr:uid="{4127388E-0C89-479C-AEE4-65F42A23D4CC}"/>
    <cellStyle name="Vírgula 2 3 3 2 3 2 2 3" xfId="36680" xr:uid="{5C53CD5F-3DDA-4F1C-BAE9-62FFB2ADB0E6}"/>
    <cellStyle name="Vírgula 2 3 3 2 3 2 3" xfId="17501" xr:uid="{CE7148C2-8991-4DA5-B7AE-E5E8B0467311}"/>
    <cellStyle name="Vírgula 2 3 3 2 3 2 3 2" xfId="42993" xr:uid="{E0EA6B68-6E79-4B1B-AAD3-6C0C6CA31258}"/>
    <cellStyle name="Vírgula 2 3 3 2 3 2 4" xfId="30402" xr:uid="{E75359D8-BFEE-4463-850A-C02278DD82D6}"/>
    <cellStyle name="Vírgula 2 3 3 2 3 3" xfId="7958" xr:uid="{B657117F-6A25-4140-8EDE-454509FEF2B4}"/>
    <cellStyle name="Vírgula 2 3 3 2 3 3 2" xfId="20640" xr:uid="{AB38C125-B31C-4CEA-94A9-1D06319EA45E}"/>
    <cellStyle name="Vírgula 2 3 3 2 3 3 2 2" xfId="46132" xr:uid="{2E2C7306-E301-484C-97F4-F1FDB513A23F}"/>
    <cellStyle name="Vírgula 2 3 3 2 3 3 3" xfId="33541" xr:uid="{EBDD605C-2B71-4641-850B-1FC6B9F07062}"/>
    <cellStyle name="Vírgula 2 3 3 2 3 4" xfId="14362" xr:uid="{3840D06C-B0BF-4FB5-A338-8F39DE9752B0}"/>
    <cellStyle name="Vírgula 2 3 3 2 3 4 2" xfId="39854" xr:uid="{CE09430D-2E6D-4C7F-8146-58A378664CB4}"/>
    <cellStyle name="Vírgula 2 3 3 2 3 5" xfId="27263" xr:uid="{8799A603-9457-4DC9-8761-85013D8F241B}"/>
    <cellStyle name="Vírgula 2 3 3 2 4" xfId="2957" xr:uid="{C2732F3E-B95E-45DD-8516-34E3D58CDB33}"/>
    <cellStyle name="Vírgula 2 3 3 2 4 2" xfId="6111" xr:uid="{44219D2F-084C-4C5B-BEA8-59AAA2BFE51E}"/>
    <cellStyle name="Vírgula 2 3 3 2 4 2 2" xfId="12404" xr:uid="{73556B1D-3B3F-4787-94E0-1AE0DF9A18EE}"/>
    <cellStyle name="Vírgula 2 3 3 2 4 2 2 2" xfId="25086" xr:uid="{CC729B4E-EAB7-4244-8B5C-F1940ECD3ADA}"/>
    <cellStyle name="Vírgula 2 3 3 2 4 2 2 2 2" xfId="50578" xr:uid="{752A192F-544B-4047-80AA-108E3F7EF126}"/>
    <cellStyle name="Vírgula 2 3 3 2 4 2 2 3" xfId="37987" xr:uid="{BE32CBA6-EBBD-4858-B69C-B1F25DE43591}"/>
    <cellStyle name="Vírgula 2 3 3 2 4 2 3" xfId="18808" xr:uid="{16BEFAB6-E7BB-4263-90D6-F7B61B0F9410}"/>
    <cellStyle name="Vírgula 2 3 3 2 4 2 3 2" xfId="44300" xr:uid="{30F32A83-FB82-4A25-8DD1-EF3F9B20B0F7}"/>
    <cellStyle name="Vírgula 2 3 3 2 4 2 4" xfId="31709" xr:uid="{13BB84A9-94FA-48E0-989E-B9316B409C2F}"/>
    <cellStyle name="Vírgula 2 3 3 2 4 3" xfId="9265" xr:uid="{7BE12FA0-DA36-4021-AB8F-DD8031FCE582}"/>
    <cellStyle name="Vírgula 2 3 3 2 4 3 2" xfId="21947" xr:uid="{82DCF695-C38E-4AAB-B0E1-77B7C9047BF7}"/>
    <cellStyle name="Vírgula 2 3 3 2 4 3 2 2" xfId="47439" xr:uid="{01F8DBFD-EE80-43E1-A4FA-CF3C4BB1B01D}"/>
    <cellStyle name="Vírgula 2 3 3 2 4 3 3" xfId="34848" xr:uid="{FCD5CAEB-6E19-4170-9A28-628DE2A2EB94}"/>
    <cellStyle name="Vírgula 2 3 3 2 4 4" xfId="15669" xr:uid="{9FEFCCF3-8D1A-4D80-8EB7-DD72885678C7}"/>
    <cellStyle name="Vírgula 2 3 3 2 4 4 2" xfId="41161" xr:uid="{232FEC48-74DD-4DA3-B31B-4475B849A2E7}"/>
    <cellStyle name="Vírgula 2 3 3 2 4 5" xfId="28570" xr:uid="{B16B2EAB-9590-4BF4-A778-80C339DC31E0}"/>
    <cellStyle name="Vírgula 2 3 3 2 5" xfId="3480" xr:uid="{A69F529E-4DDE-4F98-AF57-71C924283E17}"/>
    <cellStyle name="Vírgula 2 3 3 2 5 2" xfId="6634" xr:uid="{42CCE408-A99C-4C1B-AE8C-08C0DBEA0FAC}"/>
    <cellStyle name="Vírgula 2 3 3 2 5 2 2" xfId="12927" xr:uid="{B3E9882D-AFC5-4C5A-9C00-F03015B7DAE4}"/>
    <cellStyle name="Vírgula 2 3 3 2 5 2 2 2" xfId="25609" xr:uid="{131A7F62-A221-406D-98D0-E5845B5A8E27}"/>
    <cellStyle name="Vírgula 2 3 3 2 5 2 2 2 2" xfId="51101" xr:uid="{A3F04240-0B65-44B5-87B0-CE9ECA769626}"/>
    <cellStyle name="Vírgula 2 3 3 2 5 2 2 3" xfId="38510" xr:uid="{9CD94B98-471C-451B-98A7-E71EC6781116}"/>
    <cellStyle name="Vírgula 2 3 3 2 5 2 3" xfId="19331" xr:uid="{C2A157D8-BF52-4FC9-92C5-6422C904341A}"/>
    <cellStyle name="Vírgula 2 3 3 2 5 2 3 2" xfId="44823" xr:uid="{92BC5AD5-0627-4919-BED4-C26D5B1227DE}"/>
    <cellStyle name="Vírgula 2 3 3 2 5 2 4" xfId="32232" xr:uid="{1988464F-FA41-4C7E-828B-AAD6E80885F6}"/>
    <cellStyle name="Vírgula 2 3 3 2 5 3" xfId="9788" xr:uid="{A2CDF4E7-74A0-4657-B07C-3F75ECB0EC02}"/>
    <cellStyle name="Vírgula 2 3 3 2 5 3 2" xfId="22470" xr:uid="{72014E8C-4718-4454-B183-8F3F4EC9BA81}"/>
    <cellStyle name="Vírgula 2 3 3 2 5 3 2 2" xfId="47962" xr:uid="{DA3F5918-4722-40E6-8C1D-E36F03E22DE2}"/>
    <cellStyle name="Vírgula 2 3 3 2 5 3 3" xfId="35371" xr:uid="{CE25914D-7E30-4BBB-A3D4-63FC289A8EE7}"/>
    <cellStyle name="Vírgula 2 3 3 2 5 4" xfId="16192" xr:uid="{22FE756E-32B1-412D-A246-1C29E6AC532C}"/>
    <cellStyle name="Vírgula 2 3 3 2 5 4 2" xfId="41684" xr:uid="{48901903-F045-4753-B599-AD55445D0724}"/>
    <cellStyle name="Vírgula 2 3 3 2 5 5" xfId="29093" xr:uid="{A03B17AE-DE0E-4981-B28C-07F302763936}"/>
    <cellStyle name="Vírgula 2 3 3 2 6" xfId="4280" xr:uid="{16BD2D15-F0D8-41DD-A546-29DEC819EF4C}"/>
    <cellStyle name="Vírgula 2 3 3 2 6 2" xfId="10573" xr:uid="{0A2E6AB0-905D-4058-AAA9-7419E3CCD4EF}"/>
    <cellStyle name="Vírgula 2 3 3 2 6 2 2" xfId="23255" xr:uid="{57B01510-6620-408F-856E-B8CAAA7E6582}"/>
    <cellStyle name="Vírgula 2 3 3 2 6 2 2 2" xfId="48747" xr:uid="{B091401B-3868-48FD-9C2E-C7E94F968ACB}"/>
    <cellStyle name="Vírgula 2 3 3 2 6 2 3" xfId="36156" xr:uid="{2021C1B6-9E2B-4F56-A1BE-722790A73130}"/>
    <cellStyle name="Vírgula 2 3 3 2 6 3" xfId="16977" xr:uid="{215993BD-5FAF-4A9D-BF31-A379B382AB27}"/>
    <cellStyle name="Vírgula 2 3 3 2 6 3 2" xfId="42469" xr:uid="{04F94F9B-8301-41CE-9058-9EDEC1EC30DC}"/>
    <cellStyle name="Vírgula 2 3 3 2 6 4" xfId="29878" xr:uid="{AE9D388A-3DA2-4079-BE24-19CF3FC1870A}"/>
    <cellStyle name="Vírgula 2 3 3 2 7" xfId="7434" xr:uid="{C7245A21-34D2-4234-A724-F7AFAC23C4F9}"/>
    <cellStyle name="Vírgula 2 3 3 2 7 2" xfId="20116" xr:uid="{878C1713-1D8B-48C3-9093-5C9694AC2089}"/>
    <cellStyle name="Vírgula 2 3 3 2 7 2 2" xfId="45608" xr:uid="{B6C5A326-FC6A-423D-BADB-722D11104D63}"/>
    <cellStyle name="Vírgula 2 3 3 2 7 3" xfId="33017" xr:uid="{5049920C-5173-47FC-944F-10A52A6A0748}"/>
    <cellStyle name="Vírgula 2 3 3 2 8" xfId="13838" xr:uid="{45B1AB79-04E6-463C-969F-CAA779A0219F}"/>
    <cellStyle name="Vírgula 2 3 3 2 8 2" xfId="39330" xr:uid="{3B4DFDD6-57E1-47DE-99EC-79CA0D4CAE79}"/>
    <cellStyle name="Vírgula 2 3 3 2 9" xfId="26739" xr:uid="{7CD8199A-2DC7-4A30-830F-84C8FF448E6D}"/>
    <cellStyle name="Vírgula 2 3 3 3" xfId="866" xr:uid="{8EF74C17-10C6-47D2-B7F5-982C619795E3}"/>
    <cellStyle name="Vírgula 2 3 3 3 2" xfId="2173" xr:uid="{A37D729A-AAF6-45F5-92BE-63DE8D7D0B62}"/>
    <cellStyle name="Vírgula 2 3 3 3 2 2" xfId="5327" xr:uid="{CA51D40C-23E2-4B23-8178-EF0403CDD42E}"/>
    <cellStyle name="Vírgula 2 3 3 3 2 2 2" xfId="11620" xr:uid="{6D4CC7CD-8F31-4137-A435-0FB2CD12093D}"/>
    <cellStyle name="Vírgula 2 3 3 3 2 2 2 2" xfId="24302" xr:uid="{CD9A2836-1CC7-4D31-BE18-8A25BC752B48}"/>
    <cellStyle name="Vírgula 2 3 3 3 2 2 2 2 2" xfId="49794" xr:uid="{04A5CC23-6F76-4C64-A965-D562DC04C725}"/>
    <cellStyle name="Vírgula 2 3 3 3 2 2 2 3" xfId="37203" xr:uid="{77A4E198-1273-438E-AA9D-6FA4A4CC9B5B}"/>
    <cellStyle name="Vírgula 2 3 3 3 2 2 3" xfId="18024" xr:uid="{B537E62E-B05B-43BF-AF57-2A5EC8C73852}"/>
    <cellStyle name="Vírgula 2 3 3 3 2 2 3 2" xfId="43516" xr:uid="{A420A02C-53C2-40ED-8B7D-B60FE8E353D4}"/>
    <cellStyle name="Vírgula 2 3 3 3 2 2 4" xfId="30925" xr:uid="{0C273D15-B8E4-4836-9C4B-E73624FF7360}"/>
    <cellStyle name="Vírgula 2 3 3 3 2 3" xfId="8481" xr:uid="{0F1E7FCF-F7F7-4CC6-A843-6EC64D12A009}"/>
    <cellStyle name="Vírgula 2 3 3 3 2 3 2" xfId="21163" xr:uid="{AA85BF31-2D9D-4FD5-AA30-2608C55E2FE2}"/>
    <cellStyle name="Vírgula 2 3 3 3 2 3 2 2" xfId="46655" xr:uid="{A1E78F9A-4DFC-4E64-91E6-B337453DB3D2}"/>
    <cellStyle name="Vírgula 2 3 3 3 2 3 3" xfId="34064" xr:uid="{8D116217-1F2E-4E92-841C-F75C8C7609ED}"/>
    <cellStyle name="Vírgula 2 3 3 3 2 4" xfId="14885" xr:uid="{A6A8F883-D149-4AFD-8564-526594A86906}"/>
    <cellStyle name="Vírgula 2 3 3 3 2 4 2" xfId="40377" xr:uid="{E7D49575-37D3-4007-BEBA-629C47EFD316}"/>
    <cellStyle name="Vírgula 2 3 3 3 2 5" xfId="27786" xr:uid="{C1C5D471-9A97-4F9E-B158-8972CE8D23D8}"/>
    <cellStyle name="Vírgula 2 3 3 3 3" xfId="4020" xr:uid="{AF2EFCE8-A839-46B8-8476-24D62B3799D8}"/>
    <cellStyle name="Vírgula 2 3 3 3 3 2" xfId="10313" xr:uid="{BCFF2E2B-B320-4BA4-84F8-95B826A6D23B}"/>
    <cellStyle name="Vírgula 2 3 3 3 3 2 2" xfId="22995" xr:uid="{9B22E51B-697F-4D68-BDE0-35DCE59F6F59}"/>
    <cellStyle name="Vírgula 2 3 3 3 3 2 2 2" xfId="48487" xr:uid="{ED1C98D3-5D83-415F-A752-753CCC5C1307}"/>
    <cellStyle name="Vírgula 2 3 3 3 3 2 3" xfId="35896" xr:uid="{9C6640B3-389F-4536-89A7-1BCA506692F2}"/>
    <cellStyle name="Vírgula 2 3 3 3 3 3" xfId="16717" xr:uid="{04FE7619-8E2E-4220-9C1F-9FB77D9EFC83}"/>
    <cellStyle name="Vírgula 2 3 3 3 3 3 2" xfId="42209" xr:uid="{A3984B38-F75D-4144-B9FF-FA977791F192}"/>
    <cellStyle name="Vírgula 2 3 3 3 3 4" xfId="29618" xr:uid="{1B79739B-F916-473F-BDE6-A9A12C7FD1C2}"/>
    <cellStyle name="Vírgula 2 3 3 3 4" xfId="7174" xr:uid="{5D59342A-87FD-4796-8B1A-E11922893B1E}"/>
    <cellStyle name="Vírgula 2 3 3 3 4 2" xfId="19856" xr:uid="{C50CD8B7-FEE1-4826-AFE1-17C3230C92A6}"/>
    <cellStyle name="Vírgula 2 3 3 3 4 2 2" xfId="45348" xr:uid="{ED56284A-AF1C-41BD-B8AC-1D530A08DC0B}"/>
    <cellStyle name="Vírgula 2 3 3 3 4 3" xfId="32757" xr:uid="{D7E276E7-2F27-4350-9179-5C299622AAEC}"/>
    <cellStyle name="Vírgula 2 3 3 3 5" xfId="13578" xr:uid="{AC7B719B-8A91-4C98-A409-5082B8256E47}"/>
    <cellStyle name="Vírgula 2 3 3 3 5 2" xfId="39070" xr:uid="{5B4E6BB3-65C2-46BC-8980-1C74D39F776A}"/>
    <cellStyle name="Vírgula 2 3 3 3 6" xfId="26479" xr:uid="{9D616FC1-08FE-429B-B3CA-66BB417D9C16}"/>
    <cellStyle name="Vírgula 2 3 3 4" xfId="1911" xr:uid="{F066E933-42E3-477E-A328-696A80460AAD}"/>
    <cellStyle name="Vírgula 2 3 3 4 2" xfId="5065" xr:uid="{0BD3F489-F794-4AC0-B43A-08571CED9720}"/>
    <cellStyle name="Vírgula 2 3 3 4 2 2" xfId="11358" xr:uid="{032CA8AE-C3D3-4002-A6D8-A6F245418C9E}"/>
    <cellStyle name="Vírgula 2 3 3 4 2 2 2" xfId="24040" xr:uid="{3FC614AE-1620-416A-A6FB-0FB4703B9EE3}"/>
    <cellStyle name="Vírgula 2 3 3 4 2 2 2 2" xfId="49532" xr:uid="{26120513-3A41-484C-82DA-54EC1FF49354}"/>
    <cellStyle name="Vírgula 2 3 3 4 2 2 3" xfId="36941" xr:uid="{57C538F5-54C5-4AE2-8A40-32F98EA6567E}"/>
    <cellStyle name="Vírgula 2 3 3 4 2 3" xfId="17762" xr:uid="{155FE5E5-0F98-4F11-9EB8-CD5B447E1A1B}"/>
    <cellStyle name="Vírgula 2 3 3 4 2 3 2" xfId="43254" xr:uid="{312981FF-C86A-406F-9384-F89C24C4D84A}"/>
    <cellStyle name="Vírgula 2 3 3 4 2 4" xfId="30663" xr:uid="{1ADCFC4F-4D43-4DD4-B0BF-512C66BF5804}"/>
    <cellStyle name="Vírgula 2 3 3 4 3" xfId="8219" xr:uid="{4F89FC52-15B5-4450-8B0C-568F8996D34E}"/>
    <cellStyle name="Vírgula 2 3 3 4 3 2" xfId="20901" xr:uid="{55514E56-0BBC-472E-8005-0EEC4DA8BA9B}"/>
    <cellStyle name="Vírgula 2 3 3 4 3 2 2" xfId="46393" xr:uid="{B5C5FB91-A2E4-44FD-A8B0-DE7C086D52A8}"/>
    <cellStyle name="Vírgula 2 3 3 4 3 3" xfId="33802" xr:uid="{EFF5671D-1B9A-4F23-B421-2C56E4BE3FF2}"/>
    <cellStyle name="Vírgula 2 3 3 4 4" xfId="14623" xr:uid="{9CA22BB1-1A63-4556-9590-81315AD61C7E}"/>
    <cellStyle name="Vírgula 2 3 3 4 4 2" xfId="40115" xr:uid="{0AAF960F-2AB3-42DC-B922-05D7B3334AE9}"/>
    <cellStyle name="Vírgula 2 3 3 4 5" xfId="27524" xr:uid="{9264FAB4-BAF4-412F-96A4-CA80DB5E801D}"/>
    <cellStyle name="Vírgula 2 3 3 5" xfId="1389" xr:uid="{73C7B088-5BC8-4A0D-8B00-060A6EDC8951}"/>
    <cellStyle name="Vírgula 2 3 3 5 2" xfId="4543" xr:uid="{4289128A-CB3E-4C1C-AAF6-9D8C7E92BE4C}"/>
    <cellStyle name="Vírgula 2 3 3 5 2 2" xfId="10836" xr:uid="{D3883FCA-E8D0-4174-A76A-1051FA34207E}"/>
    <cellStyle name="Vírgula 2 3 3 5 2 2 2" xfId="23518" xr:uid="{0483BDC1-B792-4553-8A66-FFEFA9ACBEA1}"/>
    <cellStyle name="Vírgula 2 3 3 5 2 2 2 2" xfId="49010" xr:uid="{60ADC4AC-3B5E-482B-A2A8-BD46D698C724}"/>
    <cellStyle name="Vírgula 2 3 3 5 2 2 3" xfId="36419" xr:uid="{F63E981D-4987-4303-A343-753EFB9554B3}"/>
    <cellStyle name="Vírgula 2 3 3 5 2 3" xfId="17240" xr:uid="{F5ED3CA6-DE01-40FA-9C5E-992E32F8C070}"/>
    <cellStyle name="Vírgula 2 3 3 5 2 3 2" xfId="42732" xr:uid="{18881389-3043-4FAA-ABD1-D1666EB1B52B}"/>
    <cellStyle name="Vírgula 2 3 3 5 2 4" xfId="30141" xr:uid="{372A01F8-9114-4968-9BCD-D02852DFFDD6}"/>
    <cellStyle name="Vírgula 2 3 3 5 3" xfId="7697" xr:uid="{A5879ACF-024C-4665-9C02-0C74984D2CC8}"/>
    <cellStyle name="Vírgula 2 3 3 5 3 2" xfId="20379" xr:uid="{4A6DDFBC-2E8B-4CFA-A7D3-D3D3A8E40A9B}"/>
    <cellStyle name="Vírgula 2 3 3 5 3 2 2" xfId="45871" xr:uid="{A13BC385-6230-47B1-BFB8-0BFB5B2A7992}"/>
    <cellStyle name="Vírgula 2 3 3 5 3 3" xfId="33280" xr:uid="{8DE7002F-F699-4B0A-A903-007D3B8FE4C2}"/>
    <cellStyle name="Vírgula 2 3 3 5 4" xfId="14101" xr:uid="{696C0B74-6C8C-4B0E-B006-FDF0986F5680}"/>
    <cellStyle name="Vírgula 2 3 3 5 4 2" xfId="39593" xr:uid="{0DC8F343-8176-44E2-84D7-B9B068BDDDFB}"/>
    <cellStyle name="Vírgula 2 3 3 5 5" xfId="27002" xr:uid="{5FAEBAA6-8FE8-4BAD-AAEB-61606DDBCED7}"/>
    <cellStyle name="Vírgula 2 3 3 6" xfId="2696" xr:uid="{4BC18DEE-E951-4C49-8F7B-F36FB475BD0D}"/>
    <cellStyle name="Vírgula 2 3 3 6 2" xfId="5850" xr:uid="{2D968831-A2C1-479D-9F85-FB94E5639DB8}"/>
    <cellStyle name="Vírgula 2 3 3 6 2 2" xfId="12143" xr:uid="{946FC940-73A4-4F83-A0E5-36F76AAB5006}"/>
    <cellStyle name="Vírgula 2 3 3 6 2 2 2" xfId="24825" xr:uid="{0512D825-F8AE-46D6-A18D-F0C74398E3FF}"/>
    <cellStyle name="Vírgula 2 3 3 6 2 2 2 2" xfId="50317" xr:uid="{39E3E868-4F5D-4E61-BEF1-D4A8DCE670D5}"/>
    <cellStyle name="Vírgula 2 3 3 6 2 2 3" xfId="37726" xr:uid="{D871C721-FD6C-4DC7-ACCD-E9E8CFA985FA}"/>
    <cellStyle name="Vírgula 2 3 3 6 2 3" xfId="18547" xr:uid="{43A107B3-F0BA-48CD-BE7F-847589490917}"/>
    <cellStyle name="Vírgula 2 3 3 6 2 3 2" xfId="44039" xr:uid="{89D13E35-348F-4202-B248-3AD91FD79EC1}"/>
    <cellStyle name="Vírgula 2 3 3 6 2 4" xfId="31448" xr:uid="{8018C935-4C0B-4399-B684-4D3C0D381550}"/>
    <cellStyle name="Vírgula 2 3 3 6 3" xfId="9004" xr:uid="{B3503F6B-E7C7-4B18-8804-38762B83B82C}"/>
    <cellStyle name="Vírgula 2 3 3 6 3 2" xfId="21686" xr:uid="{2DA56996-2065-4C6A-904D-EFA1F0CC0AD2}"/>
    <cellStyle name="Vírgula 2 3 3 6 3 2 2" xfId="47178" xr:uid="{DFCE0FBA-BCFC-4405-B6EC-68D495F49F02}"/>
    <cellStyle name="Vírgula 2 3 3 6 3 3" xfId="34587" xr:uid="{1F06E135-45A7-4BD2-ADFB-4E0A11229D71}"/>
    <cellStyle name="Vírgula 2 3 3 6 4" xfId="15408" xr:uid="{64A924B0-43F6-4AE0-BAB1-811429B8C764}"/>
    <cellStyle name="Vírgula 2 3 3 6 4 2" xfId="40900" xr:uid="{8D924FA9-AA04-4C5B-89AE-BB32356B60AA}"/>
    <cellStyle name="Vírgula 2 3 3 6 5" xfId="28309" xr:uid="{F9A8AF13-199C-4575-BBC0-B6B5F0CAD4AD}"/>
    <cellStyle name="Vírgula 2 3 3 7" xfId="3219" xr:uid="{EDFAFCFD-F6B7-42AC-B35D-494B776A93D8}"/>
    <cellStyle name="Vírgula 2 3 3 7 2" xfId="6373" xr:uid="{8DB68E00-3313-449A-97E2-29005E5F0D9C}"/>
    <cellStyle name="Vírgula 2 3 3 7 2 2" xfId="12666" xr:uid="{53BFDE2B-8269-48F0-BE2B-23146C9D54AF}"/>
    <cellStyle name="Vírgula 2 3 3 7 2 2 2" xfId="25348" xr:uid="{170FC159-08AE-4C9A-8461-A0CCB2CB8D59}"/>
    <cellStyle name="Vírgula 2 3 3 7 2 2 2 2" xfId="50840" xr:uid="{8B4C15EB-24BB-4F72-9227-422B5E5F1FB8}"/>
    <cellStyle name="Vírgula 2 3 3 7 2 2 3" xfId="38249" xr:uid="{A40DE86D-DBB7-40B7-8ECD-A540CE622B8E}"/>
    <cellStyle name="Vírgula 2 3 3 7 2 3" xfId="19070" xr:uid="{4E2CD006-B4DF-49A3-8D48-1CCEBFF3E12D}"/>
    <cellStyle name="Vírgula 2 3 3 7 2 3 2" xfId="44562" xr:uid="{1C3F09C6-0F73-4784-ABAF-AF5F87ADB1E3}"/>
    <cellStyle name="Vírgula 2 3 3 7 2 4" xfId="31971" xr:uid="{21C4A4EC-2F0F-4AFE-AFCC-535EC2EB4BB1}"/>
    <cellStyle name="Vírgula 2 3 3 7 3" xfId="9527" xr:uid="{567D072D-AE83-4D92-88EB-34560FB36C0D}"/>
    <cellStyle name="Vírgula 2 3 3 7 3 2" xfId="22209" xr:uid="{2245DE41-F16F-45F6-B193-D8020F402B1D}"/>
    <cellStyle name="Vírgula 2 3 3 7 3 2 2" xfId="47701" xr:uid="{CA88D117-166D-4CCA-8135-99722D943B2D}"/>
    <cellStyle name="Vírgula 2 3 3 7 3 3" xfId="35110" xr:uid="{DF63DC55-82EE-4AB7-9C3A-A35C4F080DA1}"/>
    <cellStyle name="Vírgula 2 3 3 7 4" xfId="15931" xr:uid="{1F7257DB-8565-4314-A050-EDAD8898C544}"/>
    <cellStyle name="Vírgula 2 3 3 7 4 2" xfId="41423" xr:uid="{D4070981-6C74-4536-BEBC-D9FBFC4E4ED5}"/>
    <cellStyle name="Vírgula 2 3 3 7 5" xfId="28832" xr:uid="{27F12DCF-10BB-491B-B87A-86AC12224AEE}"/>
    <cellStyle name="Vírgula 2 3 3 8" xfId="3758" xr:uid="{C72E1BEB-9069-4EBA-95A5-6CBAAC481834}"/>
    <cellStyle name="Vírgula 2 3 3 8 2" xfId="10051" xr:uid="{8DC599F2-6CBA-4853-81A2-CEF4C4A7DCEF}"/>
    <cellStyle name="Vírgula 2 3 3 8 2 2" xfId="22733" xr:uid="{DF446629-1648-49BA-AD38-45167EE20BA6}"/>
    <cellStyle name="Vírgula 2 3 3 8 2 2 2" xfId="48225" xr:uid="{1F75B5E6-EE43-41A9-B6E7-AE31F3FD6EB3}"/>
    <cellStyle name="Vírgula 2 3 3 8 2 3" xfId="35634" xr:uid="{DC9BB924-3E03-48FD-B78B-672B6FB3CC7E}"/>
    <cellStyle name="Vírgula 2 3 3 8 3" xfId="16455" xr:uid="{BA59C522-4C22-4BB9-A885-86C79F8A5FA6}"/>
    <cellStyle name="Vírgula 2 3 3 8 3 2" xfId="41947" xr:uid="{A14D7C8B-633F-4993-9A25-66E38527AAA6}"/>
    <cellStyle name="Vírgula 2 3 3 8 4" xfId="29356" xr:uid="{4B9EAA6A-79A1-4FB8-9FAD-A688A1464E5D}"/>
    <cellStyle name="Vírgula 2 3 3 9" xfId="6912" xr:uid="{9332F5C4-ABA3-47D5-9882-7901379B9A67}"/>
    <cellStyle name="Vírgula 2 3 3 9 2" xfId="19594" xr:uid="{9D4A571D-9249-4C1E-A3BE-56C6F146DF99}"/>
    <cellStyle name="Vírgula 2 3 3 9 2 2" xfId="45086" xr:uid="{BE7C678A-393A-4DC7-82F7-FF66E7E83CA3}"/>
    <cellStyle name="Vírgula 2 3 3 9 3" xfId="32495" xr:uid="{03C7CBF3-C0EA-4A9B-8B4F-CFA70DC67F54}"/>
    <cellStyle name="Vírgula 2 3 4" xfId="550" xr:uid="{74D9AE36-36FE-4C6F-8D93-2445488058AD}"/>
    <cellStyle name="Vírgula 2 3 4 10" xfId="13277" xr:uid="{9AD58FFB-3CB6-452E-A15B-A85F25DD95F1}"/>
    <cellStyle name="Vírgula 2 3 4 10 2" xfId="38769" xr:uid="{CD977A03-5AD4-48A9-9284-AE433FD3B3FA}"/>
    <cellStyle name="Vírgula 2 3 4 11" xfId="26178" xr:uid="{EFB92322-0910-4745-AF68-2B37DDAE5A1E}"/>
    <cellStyle name="Vírgula 2 3 4 2" xfId="1087" xr:uid="{C828C2CB-CFC5-49B5-A3FD-AFBD89882796}"/>
    <cellStyle name="Vírgula 2 3 4 2 2" xfId="2394" xr:uid="{DECFB319-9ED0-491D-B396-FB33AA41100E}"/>
    <cellStyle name="Vírgula 2 3 4 2 2 2" xfId="5548" xr:uid="{D42EBCA2-514B-4597-AF73-8C903FC3F2ED}"/>
    <cellStyle name="Vírgula 2 3 4 2 2 2 2" xfId="11841" xr:uid="{6633286F-B786-4BA4-82C1-C6CAEF1632D0}"/>
    <cellStyle name="Vírgula 2 3 4 2 2 2 2 2" xfId="24523" xr:uid="{202E767A-40CF-4DD1-9BDA-C2B96058452B}"/>
    <cellStyle name="Vírgula 2 3 4 2 2 2 2 2 2" xfId="50015" xr:uid="{16E280EF-8754-4843-9999-CFCE7D257530}"/>
    <cellStyle name="Vírgula 2 3 4 2 2 2 2 3" xfId="37424" xr:uid="{B3976B82-45AD-4B09-A226-7094C9BA665C}"/>
    <cellStyle name="Vírgula 2 3 4 2 2 2 3" xfId="18245" xr:uid="{65223C93-E648-48D0-8E9D-B467A42A27DA}"/>
    <cellStyle name="Vírgula 2 3 4 2 2 2 3 2" xfId="43737" xr:uid="{F3B540FF-50DE-4B84-A63D-693C8E99059E}"/>
    <cellStyle name="Vírgula 2 3 4 2 2 2 4" xfId="31146" xr:uid="{AF1B6443-D8EE-4ACF-BB18-3C02DE5DB69D}"/>
    <cellStyle name="Vírgula 2 3 4 2 2 3" xfId="8702" xr:uid="{DC774F4B-B282-483F-8C66-8394FEA0D0D6}"/>
    <cellStyle name="Vírgula 2 3 4 2 2 3 2" xfId="21384" xr:uid="{6039F975-849B-4813-B463-16433A6B2623}"/>
    <cellStyle name="Vírgula 2 3 4 2 2 3 2 2" xfId="46876" xr:uid="{FC350986-7912-4660-9189-E8BD130B367B}"/>
    <cellStyle name="Vírgula 2 3 4 2 2 3 3" xfId="34285" xr:uid="{F135BDA6-D446-42F3-8C08-78462E39A9D2}"/>
    <cellStyle name="Vírgula 2 3 4 2 2 4" xfId="15106" xr:uid="{FDB545A3-F0B0-47C8-B2AE-68AEC3DF2A35}"/>
    <cellStyle name="Vírgula 2 3 4 2 2 4 2" xfId="40598" xr:uid="{E0613B69-F665-4ED8-848A-189B836D2FD4}"/>
    <cellStyle name="Vírgula 2 3 4 2 2 5" xfId="28007" xr:uid="{62DCC18B-95DA-4A83-BF5B-BBBFB90E8DD2}"/>
    <cellStyle name="Vírgula 2 3 4 2 3" xfId="1611" xr:uid="{3E6F1DA2-11F8-455C-B057-7125FF9FAEAF}"/>
    <cellStyle name="Vírgula 2 3 4 2 3 2" xfId="4765" xr:uid="{D11B7ADA-E1AA-47AC-B8F3-3828A8CE61BC}"/>
    <cellStyle name="Vírgula 2 3 4 2 3 2 2" xfId="11058" xr:uid="{6A952580-A234-41B0-AC2B-B13991531437}"/>
    <cellStyle name="Vírgula 2 3 4 2 3 2 2 2" xfId="23740" xr:uid="{A707FA3B-871E-4EB7-B635-FFC32AEED443}"/>
    <cellStyle name="Vírgula 2 3 4 2 3 2 2 2 2" xfId="49232" xr:uid="{6F7D525D-A8D5-4BE3-B672-4D83203BDC93}"/>
    <cellStyle name="Vírgula 2 3 4 2 3 2 2 3" xfId="36641" xr:uid="{5CE4C0C8-BE7B-40E7-9AD4-41F65893446B}"/>
    <cellStyle name="Vírgula 2 3 4 2 3 2 3" xfId="17462" xr:uid="{5E7F14AD-9D7C-435E-B8F4-65AB992DAC30}"/>
    <cellStyle name="Vírgula 2 3 4 2 3 2 3 2" xfId="42954" xr:uid="{467B22B6-75C8-47FB-944E-301FE0BA9E3C}"/>
    <cellStyle name="Vírgula 2 3 4 2 3 2 4" xfId="30363" xr:uid="{635242D1-54A3-484C-96F5-A5C3BBA49B88}"/>
    <cellStyle name="Vírgula 2 3 4 2 3 3" xfId="7919" xr:uid="{F2DF0B3B-3847-4475-A093-9E8B1A28D60C}"/>
    <cellStyle name="Vírgula 2 3 4 2 3 3 2" xfId="20601" xr:uid="{886D018B-2D4F-4BD9-8E47-0ABDE1384357}"/>
    <cellStyle name="Vírgula 2 3 4 2 3 3 2 2" xfId="46093" xr:uid="{33B69CC7-836F-47AF-8341-4415A9B0D647}"/>
    <cellStyle name="Vírgula 2 3 4 2 3 3 3" xfId="33502" xr:uid="{D94FE5FF-B83D-4A9B-BF42-C96054B931BE}"/>
    <cellStyle name="Vírgula 2 3 4 2 3 4" xfId="14323" xr:uid="{F3102B05-6426-4712-A339-69ABC976DE7F}"/>
    <cellStyle name="Vírgula 2 3 4 2 3 4 2" xfId="39815" xr:uid="{7E8E71E5-A71B-473F-978C-208E0BA45973}"/>
    <cellStyle name="Vírgula 2 3 4 2 3 5" xfId="27224" xr:uid="{AC6ACDAF-91B3-424B-A80B-8CA94C6D3CBF}"/>
    <cellStyle name="Vírgula 2 3 4 2 4" xfId="2918" xr:uid="{6064E6E1-C679-4465-BDEC-92D4CB1DAE9F}"/>
    <cellStyle name="Vírgula 2 3 4 2 4 2" xfId="6072" xr:uid="{BDDD0603-F7F6-4CD9-9C57-05BF983DE7BE}"/>
    <cellStyle name="Vírgula 2 3 4 2 4 2 2" xfId="12365" xr:uid="{CBAE417E-9772-48EF-8D00-B8ED91FF7455}"/>
    <cellStyle name="Vírgula 2 3 4 2 4 2 2 2" xfId="25047" xr:uid="{79042FD6-7810-4522-AE33-09C571CCDAA9}"/>
    <cellStyle name="Vírgula 2 3 4 2 4 2 2 2 2" xfId="50539" xr:uid="{F8669904-D59C-46C4-A01E-E38C97D7B828}"/>
    <cellStyle name="Vírgula 2 3 4 2 4 2 2 3" xfId="37948" xr:uid="{D7746C92-3D98-43B0-B8CD-E993BC806347}"/>
    <cellStyle name="Vírgula 2 3 4 2 4 2 3" xfId="18769" xr:uid="{46476812-93F1-463C-94D9-3FCD37D91370}"/>
    <cellStyle name="Vírgula 2 3 4 2 4 2 3 2" xfId="44261" xr:uid="{35CDEF77-5C47-499C-AB05-245E6785FA78}"/>
    <cellStyle name="Vírgula 2 3 4 2 4 2 4" xfId="31670" xr:uid="{F6A3A6FF-3BE9-426F-AE04-DE26B8B70D51}"/>
    <cellStyle name="Vírgula 2 3 4 2 4 3" xfId="9226" xr:uid="{B740D1CD-D45A-4B71-8E15-E53BEE675EB6}"/>
    <cellStyle name="Vírgula 2 3 4 2 4 3 2" xfId="21908" xr:uid="{79BADB7B-06F1-48A1-AD95-F8F4AC1A62BB}"/>
    <cellStyle name="Vírgula 2 3 4 2 4 3 2 2" xfId="47400" xr:uid="{A89258F9-A689-46CD-9F28-86701D7FEBEE}"/>
    <cellStyle name="Vírgula 2 3 4 2 4 3 3" xfId="34809" xr:uid="{B254DB0A-45B2-4584-8BB1-E5D457EC61C5}"/>
    <cellStyle name="Vírgula 2 3 4 2 4 4" xfId="15630" xr:uid="{9AD3B371-3FAD-40E7-9068-3E6A0EF39E57}"/>
    <cellStyle name="Vírgula 2 3 4 2 4 4 2" xfId="41122" xr:uid="{CCADF8A4-0E46-4652-92FD-A6115248BE15}"/>
    <cellStyle name="Vírgula 2 3 4 2 4 5" xfId="28531" xr:uid="{47C79E23-158C-4D88-8A32-E47167211317}"/>
    <cellStyle name="Vírgula 2 3 4 2 5" xfId="3441" xr:uid="{E84D5337-2286-4B64-96C2-22611BFE7703}"/>
    <cellStyle name="Vírgula 2 3 4 2 5 2" xfId="6595" xr:uid="{C5F58F96-7C5B-4C00-B730-120B27127881}"/>
    <cellStyle name="Vírgula 2 3 4 2 5 2 2" xfId="12888" xr:uid="{E99C3BD0-6D47-4DB5-9034-987990745533}"/>
    <cellStyle name="Vírgula 2 3 4 2 5 2 2 2" xfId="25570" xr:uid="{9187B8AF-A78C-4AE4-814A-EF0533A6E923}"/>
    <cellStyle name="Vírgula 2 3 4 2 5 2 2 2 2" xfId="51062" xr:uid="{FEAAEDCD-D57C-47CA-938F-D1070891609C}"/>
    <cellStyle name="Vírgula 2 3 4 2 5 2 2 3" xfId="38471" xr:uid="{6EAAC031-B465-4F7E-A21D-1B7F74247378}"/>
    <cellStyle name="Vírgula 2 3 4 2 5 2 3" xfId="19292" xr:uid="{0288D012-4BC5-43CD-8B57-15D7BEBFF377}"/>
    <cellStyle name="Vírgula 2 3 4 2 5 2 3 2" xfId="44784" xr:uid="{1271ECAF-4FCE-4501-B4E5-9C5C6C7118FD}"/>
    <cellStyle name="Vírgula 2 3 4 2 5 2 4" xfId="32193" xr:uid="{6A7439B8-27B1-43B3-A9B2-376842DAEFFF}"/>
    <cellStyle name="Vírgula 2 3 4 2 5 3" xfId="9749" xr:uid="{BFADF35D-E98E-4BCA-86A3-6AE0B95E555E}"/>
    <cellStyle name="Vírgula 2 3 4 2 5 3 2" xfId="22431" xr:uid="{FA62449E-5DE8-4D5F-998D-EB88F5A9DA9A}"/>
    <cellStyle name="Vírgula 2 3 4 2 5 3 2 2" xfId="47923" xr:uid="{13029742-27E1-46E5-881D-0C6C63F06973}"/>
    <cellStyle name="Vírgula 2 3 4 2 5 3 3" xfId="35332" xr:uid="{66C3D64F-1B29-4FC2-8FE6-79207EDC1850}"/>
    <cellStyle name="Vírgula 2 3 4 2 5 4" xfId="16153" xr:uid="{11CE1A4C-2340-4AFC-A906-A92CCEF9DF04}"/>
    <cellStyle name="Vírgula 2 3 4 2 5 4 2" xfId="41645" xr:uid="{E9CCDA86-714C-4043-9057-643AC3D9A150}"/>
    <cellStyle name="Vírgula 2 3 4 2 5 5" xfId="29054" xr:uid="{80C96B40-11E4-4BB8-9695-7B6BE162DE26}"/>
    <cellStyle name="Vírgula 2 3 4 2 6" xfId="4241" xr:uid="{5C3C1FB4-4CC9-4C08-9873-343A37F7E330}"/>
    <cellStyle name="Vírgula 2 3 4 2 6 2" xfId="10534" xr:uid="{6A75E6CD-8119-4CB2-89F9-851B2DC3486C}"/>
    <cellStyle name="Vírgula 2 3 4 2 6 2 2" xfId="23216" xr:uid="{6A1CB122-95FD-4F45-95C2-3014CE2D12D0}"/>
    <cellStyle name="Vírgula 2 3 4 2 6 2 2 2" xfId="48708" xr:uid="{D62EC438-C96E-40D1-9738-FF87A88A92C0}"/>
    <cellStyle name="Vírgula 2 3 4 2 6 2 3" xfId="36117" xr:uid="{0F8750DD-1273-4774-B18E-C0C6518633F7}"/>
    <cellStyle name="Vírgula 2 3 4 2 6 3" xfId="16938" xr:uid="{3D08F09F-F10B-43F1-AAB2-0D7151D7060D}"/>
    <cellStyle name="Vírgula 2 3 4 2 6 3 2" xfId="42430" xr:uid="{59D50CD6-D56A-4321-A95C-5FF4DB1C1DDE}"/>
    <cellStyle name="Vírgula 2 3 4 2 6 4" xfId="29839" xr:uid="{0EE3FAC7-C151-4429-A4C8-68D95263FA3E}"/>
    <cellStyle name="Vírgula 2 3 4 2 7" xfId="7395" xr:uid="{FAF58DE1-A28C-46E5-B287-25062A082203}"/>
    <cellStyle name="Vírgula 2 3 4 2 7 2" xfId="20077" xr:uid="{E40BDCB8-C0FE-42DA-888F-174E2D8620A6}"/>
    <cellStyle name="Vírgula 2 3 4 2 7 2 2" xfId="45569" xr:uid="{4827BC25-E7A6-4973-87C5-395F3A627840}"/>
    <cellStyle name="Vírgula 2 3 4 2 7 3" xfId="32978" xr:uid="{20F50355-CB1F-4F59-8F52-0E814275560E}"/>
    <cellStyle name="Vírgula 2 3 4 2 8" xfId="13799" xr:uid="{3CD3CBD3-F424-4AB5-A63E-6FB2B52FD28F}"/>
    <cellStyle name="Vírgula 2 3 4 2 8 2" xfId="39291" xr:uid="{88488732-0076-4B5C-8D3B-AF323CD18222}"/>
    <cellStyle name="Vírgula 2 3 4 2 9" xfId="26700" xr:uid="{B180A5F1-9525-42F7-9972-5A2F58B23794}"/>
    <cellStyle name="Vírgula 2 3 4 3" xfId="827" xr:uid="{CDA977AB-AFD8-4292-AC71-26CF0140CD16}"/>
    <cellStyle name="Vírgula 2 3 4 3 2" xfId="2134" xr:uid="{B2423F92-C2CD-4373-AB7B-01A2DCEFC525}"/>
    <cellStyle name="Vírgula 2 3 4 3 2 2" xfId="5288" xr:uid="{E9FD0521-4A83-45CD-B0CC-FEE3D8F3E6BA}"/>
    <cellStyle name="Vírgula 2 3 4 3 2 2 2" xfId="11581" xr:uid="{202F2467-306E-45DF-BD2E-FEE74BF20741}"/>
    <cellStyle name="Vírgula 2 3 4 3 2 2 2 2" xfId="24263" xr:uid="{561E6FBF-0B7C-438C-BE73-E3CA118B5D06}"/>
    <cellStyle name="Vírgula 2 3 4 3 2 2 2 2 2" xfId="49755" xr:uid="{6D386C5B-605D-4DC2-822C-F8743E87DFA6}"/>
    <cellStyle name="Vírgula 2 3 4 3 2 2 2 3" xfId="37164" xr:uid="{A36DC3B8-A9C7-4B58-87A5-08FCE6D82F26}"/>
    <cellStyle name="Vírgula 2 3 4 3 2 2 3" xfId="17985" xr:uid="{63CC661C-13CE-42EE-A53F-B04BFA737FB4}"/>
    <cellStyle name="Vírgula 2 3 4 3 2 2 3 2" xfId="43477" xr:uid="{66D552E0-D698-4099-9A52-BF5E27C2BB30}"/>
    <cellStyle name="Vírgula 2 3 4 3 2 2 4" xfId="30886" xr:uid="{A99E768B-ABF8-4134-8488-024B12944E1A}"/>
    <cellStyle name="Vírgula 2 3 4 3 2 3" xfId="8442" xr:uid="{C1D27322-1B35-4203-8D96-1B4F170E89F7}"/>
    <cellStyle name="Vírgula 2 3 4 3 2 3 2" xfId="21124" xr:uid="{23E9A2BA-2EAF-44A2-953D-C8DC61C24A4B}"/>
    <cellStyle name="Vírgula 2 3 4 3 2 3 2 2" xfId="46616" xr:uid="{8A762764-FB26-4068-99BC-C94B20005176}"/>
    <cellStyle name="Vírgula 2 3 4 3 2 3 3" xfId="34025" xr:uid="{3F77D48A-7C24-4E30-B7E4-473E575AAEB3}"/>
    <cellStyle name="Vírgula 2 3 4 3 2 4" xfId="14846" xr:uid="{9DA03563-6338-4DAA-B797-5BC9D5B8BCDF}"/>
    <cellStyle name="Vírgula 2 3 4 3 2 4 2" xfId="40338" xr:uid="{2DC91223-3708-4FA2-A70A-A325E805F42F}"/>
    <cellStyle name="Vírgula 2 3 4 3 2 5" xfId="27747" xr:uid="{18A8E440-C33C-47F0-B5F2-1D90EA86D496}"/>
    <cellStyle name="Vírgula 2 3 4 3 3" xfId="3981" xr:uid="{9D367865-63C5-4030-B487-62EB17B4D13E}"/>
    <cellStyle name="Vírgula 2 3 4 3 3 2" xfId="10274" xr:uid="{EE810F6C-776C-4362-A546-A0372BA5E582}"/>
    <cellStyle name="Vírgula 2 3 4 3 3 2 2" xfId="22956" xr:uid="{629C5474-B115-47E2-84F3-2A0A44AD17C2}"/>
    <cellStyle name="Vírgula 2 3 4 3 3 2 2 2" xfId="48448" xr:uid="{8385288E-7335-4973-9662-0007F4ED319D}"/>
    <cellStyle name="Vírgula 2 3 4 3 3 2 3" xfId="35857" xr:uid="{F544EF3D-0712-42A7-8D25-C52C0068E8F4}"/>
    <cellStyle name="Vírgula 2 3 4 3 3 3" xfId="16678" xr:uid="{327757AC-A731-4661-8B74-984B9B109EA1}"/>
    <cellStyle name="Vírgula 2 3 4 3 3 3 2" xfId="42170" xr:uid="{C1E4933F-491C-4D6F-ACEF-D25D2039E1AA}"/>
    <cellStyle name="Vírgula 2 3 4 3 3 4" xfId="29579" xr:uid="{23DD396C-6D8F-4B8A-9BD2-0DFB3E802306}"/>
    <cellStyle name="Vírgula 2 3 4 3 4" xfId="7135" xr:uid="{C90DB405-BD35-4769-AA97-2A69DA1BBA33}"/>
    <cellStyle name="Vírgula 2 3 4 3 4 2" xfId="19817" xr:uid="{82609059-1FF3-40B6-A8D6-F45E55494BB0}"/>
    <cellStyle name="Vírgula 2 3 4 3 4 2 2" xfId="45309" xr:uid="{41696DE7-2B9F-4E22-9AE7-13C95EF2261D}"/>
    <cellStyle name="Vírgula 2 3 4 3 4 3" xfId="32718" xr:uid="{92634117-A34A-4622-9D98-36B877F1D700}"/>
    <cellStyle name="Vírgula 2 3 4 3 5" xfId="13539" xr:uid="{D5C6CD71-70F0-4BE4-8BF8-379356DD03A7}"/>
    <cellStyle name="Vírgula 2 3 4 3 5 2" xfId="39031" xr:uid="{706F15EB-436F-44BD-8385-DBC5A334DB03}"/>
    <cellStyle name="Vírgula 2 3 4 3 6" xfId="26440" xr:uid="{8DD57F08-079D-4B0F-9AAF-D78D72986996}"/>
    <cellStyle name="Vírgula 2 3 4 4" xfId="1872" xr:uid="{B1310710-8F16-429E-8D24-FD95F64E9089}"/>
    <cellStyle name="Vírgula 2 3 4 4 2" xfId="5026" xr:uid="{A81E8992-7421-4089-BC3C-1E10E7B74BD1}"/>
    <cellStyle name="Vírgula 2 3 4 4 2 2" xfId="11319" xr:uid="{34523EF8-CF04-4D90-8424-6076A923FCF7}"/>
    <cellStyle name="Vírgula 2 3 4 4 2 2 2" xfId="24001" xr:uid="{DD883564-6BC1-4519-8EBC-851530B1A2CF}"/>
    <cellStyle name="Vírgula 2 3 4 4 2 2 2 2" xfId="49493" xr:uid="{8909FBFC-8D9D-42C1-AAE1-ED26A91638F4}"/>
    <cellStyle name="Vírgula 2 3 4 4 2 2 3" xfId="36902" xr:uid="{710FFB61-67C8-403F-B44A-0B955616E71B}"/>
    <cellStyle name="Vírgula 2 3 4 4 2 3" xfId="17723" xr:uid="{60D96B76-A9CA-4202-A9F9-79FE3E213C29}"/>
    <cellStyle name="Vírgula 2 3 4 4 2 3 2" xfId="43215" xr:uid="{B8DFD637-11CA-4419-9242-9AADA2BDD0D5}"/>
    <cellStyle name="Vírgula 2 3 4 4 2 4" xfId="30624" xr:uid="{9A40A548-F978-446B-810A-760079B6E375}"/>
    <cellStyle name="Vírgula 2 3 4 4 3" xfId="8180" xr:uid="{A03B7FCE-3799-44D2-A2C1-352ECCBA875C}"/>
    <cellStyle name="Vírgula 2 3 4 4 3 2" xfId="20862" xr:uid="{87DF2FAB-D343-4EB9-848C-D0AD97E403C0}"/>
    <cellStyle name="Vírgula 2 3 4 4 3 2 2" xfId="46354" xr:uid="{8826F503-6DC9-4CE0-B5EC-783A54002C9D}"/>
    <cellStyle name="Vírgula 2 3 4 4 3 3" xfId="33763" xr:uid="{BF43066D-4B3E-48B8-A8FD-F270BF52F020}"/>
    <cellStyle name="Vírgula 2 3 4 4 4" xfId="14584" xr:uid="{48C3DF6C-5115-4885-B026-868864EB6027}"/>
    <cellStyle name="Vírgula 2 3 4 4 4 2" xfId="40076" xr:uid="{55FD7EE5-7470-4A7E-9215-2014AB28711B}"/>
    <cellStyle name="Vírgula 2 3 4 4 5" xfId="27485" xr:uid="{568FE172-A627-4175-BD16-565248C1B004}"/>
    <cellStyle name="Vírgula 2 3 4 5" xfId="1350" xr:uid="{F720579A-D7C1-4E03-910D-BA26C1B60457}"/>
    <cellStyle name="Vírgula 2 3 4 5 2" xfId="4504" xr:uid="{9FABDE24-C5FD-4827-A0A4-6084CF817011}"/>
    <cellStyle name="Vírgula 2 3 4 5 2 2" xfId="10797" xr:uid="{164A7778-0667-4FF0-A51C-AA07A4DFE8DB}"/>
    <cellStyle name="Vírgula 2 3 4 5 2 2 2" xfId="23479" xr:uid="{2614C6E2-A679-46C7-A627-CEC39CCED73D}"/>
    <cellStyle name="Vírgula 2 3 4 5 2 2 2 2" xfId="48971" xr:uid="{61E4789B-7CD9-4502-BC10-20836A9BDB52}"/>
    <cellStyle name="Vírgula 2 3 4 5 2 2 3" xfId="36380" xr:uid="{D791E296-31B1-49AB-9AA6-FF4BDA44225B}"/>
    <cellStyle name="Vírgula 2 3 4 5 2 3" xfId="17201" xr:uid="{E13FDA0C-9F20-4AF0-9443-B48B0F17D741}"/>
    <cellStyle name="Vírgula 2 3 4 5 2 3 2" xfId="42693" xr:uid="{BF2EAC60-8395-4D1D-A137-7D17C488E2ED}"/>
    <cellStyle name="Vírgula 2 3 4 5 2 4" xfId="30102" xr:uid="{0C70416D-1D00-4245-B7AD-249257765112}"/>
    <cellStyle name="Vírgula 2 3 4 5 3" xfId="7658" xr:uid="{BF94A1F9-03F0-4E10-82C1-BF0AC6176423}"/>
    <cellStyle name="Vírgula 2 3 4 5 3 2" xfId="20340" xr:uid="{2F127AC3-FE2F-4C41-8B3A-6191A0C0A017}"/>
    <cellStyle name="Vírgula 2 3 4 5 3 2 2" xfId="45832" xr:uid="{43DB5F13-98CA-4D66-B09F-2247DC95548B}"/>
    <cellStyle name="Vírgula 2 3 4 5 3 3" xfId="33241" xr:uid="{BC72FCAF-7D5C-4681-81D5-BB3CFEFE0998}"/>
    <cellStyle name="Vírgula 2 3 4 5 4" xfId="14062" xr:uid="{07788D23-1DCD-4185-AD0A-2CCDA889BF6A}"/>
    <cellStyle name="Vírgula 2 3 4 5 4 2" xfId="39554" xr:uid="{E4441637-B922-438B-9D0D-F8EC43875EF0}"/>
    <cellStyle name="Vírgula 2 3 4 5 5" xfId="26963" xr:uid="{888AFB89-2F16-4CF0-88CE-15FB447EE3E5}"/>
    <cellStyle name="Vírgula 2 3 4 6" xfId="2657" xr:uid="{8EE71843-8572-44AD-9ED5-C04A4D18712E}"/>
    <cellStyle name="Vírgula 2 3 4 6 2" xfId="5811" xr:uid="{9B7498BF-449C-45DC-BBAC-93332ADE7DDA}"/>
    <cellStyle name="Vírgula 2 3 4 6 2 2" xfId="12104" xr:uid="{E36A9CC0-ABCA-4EFD-8372-61E2E0887FE9}"/>
    <cellStyle name="Vírgula 2 3 4 6 2 2 2" xfId="24786" xr:uid="{65847E11-FFA4-4604-9102-9141F267935B}"/>
    <cellStyle name="Vírgula 2 3 4 6 2 2 2 2" xfId="50278" xr:uid="{5E4A7FAC-6CF4-4575-A6FD-0F1C04EB3144}"/>
    <cellStyle name="Vírgula 2 3 4 6 2 2 3" xfId="37687" xr:uid="{030DD94C-D9B3-4D14-8EED-887270FFB7AA}"/>
    <cellStyle name="Vírgula 2 3 4 6 2 3" xfId="18508" xr:uid="{3A77BCFD-E91C-46D6-A38B-E4B065FAF5F7}"/>
    <cellStyle name="Vírgula 2 3 4 6 2 3 2" xfId="44000" xr:uid="{09FC8936-0D77-4D63-9321-2617EF828B47}"/>
    <cellStyle name="Vírgula 2 3 4 6 2 4" xfId="31409" xr:uid="{40BA9ED2-0C5C-44AB-99E7-1952AF0773F4}"/>
    <cellStyle name="Vírgula 2 3 4 6 3" xfId="8965" xr:uid="{5B33621A-AB7C-42BA-8E33-44238675A28B}"/>
    <cellStyle name="Vírgula 2 3 4 6 3 2" xfId="21647" xr:uid="{493C94BE-0485-4C28-9B3C-D9155389813B}"/>
    <cellStyle name="Vírgula 2 3 4 6 3 2 2" xfId="47139" xr:uid="{B0A6E0CA-F1CC-46E3-9DDB-EB4DAC3CF624}"/>
    <cellStyle name="Vírgula 2 3 4 6 3 3" xfId="34548" xr:uid="{A395F05A-BCDA-438F-8E9B-5560A6C625E3}"/>
    <cellStyle name="Vírgula 2 3 4 6 4" xfId="15369" xr:uid="{7D245CE7-F6A9-46C7-BE6E-7D1F6CC6BA9C}"/>
    <cellStyle name="Vírgula 2 3 4 6 4 2" xfId="40861" xr:uid="{85366DF5-AA3B-43D5-A34D-6F5365E9BFCB}"/>
    <cellStyle name="Vírgula 2 3 4 6 5" xfId="28270" xr:uid="{5A343993-B453-4867-8A7D-EA60F2587B3C}"/>
    <cellStyle name="Vírgula 2 3 4 7" xfId="3180" xr:uid="{503A7CD4-1AD3-414D-9395-DD45D1011A84}"/>
    <cellStyle name="Vírgula 2 3 4 7 2" xfId="6334" xr:uid="{E3D1E6E1-212E-4DF5-A1B4-23C853ECCDC9}"/>
    <cellStyle name="Vírgula 2 3 4 7 2 2" xfId="12627" xr:uid="{C54DC9F6-59E6-4BFD-9408-492FBFBA269A}"/>
    <cellStyle name="Vírgula 2 3 4 7 2 2 2" xfId="25309" xr:uid="{FC3C00E6-6CC1-419C-AC29-15A58B45A544}"/>
    <cellStyle name="Vírgula 2 3 4 7 2 2 2 2" xfId="50801" xr:uid="{CF7E9296-49A8-46C4-816C-9C50DD76304E}"/>
    <cellStyle name="Vírgula 2 3 4 7 2 2 3" xfId="38210" xr:uid="{A77DAFA5-EE59-4CB1-A324-78B6E8BCF8A8}"/>
    <cellStyle name="Vírgula 2 3 4 7 2 3" xfId="19031" xr:uid="{856C7567-E4BB-495C-8E8A-CF29D1289A01}"/>
    <cellStyle name="Vírgula 2 3 4 7 2 3 2" xfId="44523" xr:uid="{90976FDE-C228-45F0-8A5F-A8641F15DEFA}"/>
    <cellStyle name="Vírgula 2 3 4 7 2 4" xfId="31932" xr:uid="{83056A3D-99DC-40B8-9907-332048CB935C}"/>
    <cellStyle name="Vírgula 2 3 4 7 3" xfId="9488" xr:uid="{077F5CFA-A7A9-48A7-9E4A-6579086222EB}"/>
    <cellStyle name="Vírgula 2 3 4 7 3 2" xfId="22170" xr:uid="{84A0079D-D537-4734-8447-0281CA5189C6}"/>
    <cellStyle name="Vírgula 2 3 4 7 3 2 2" xfId="47662" xr:uid="{3CC4E2F5-41D4-4CA3-8E9B-6CF02922F9EB}"/>
    <cellStyle name="Vírgula 2 3 4 7 3 3" xfId="35071" xr:uid="{A432CF05-B07B-4F01-A19C-871C7A0ED8BE}"/>
    <cellStyle name="Vírgula 2 3 4 7 4" xfId="15892" xr:uid="{2B575F59-BD03-4F35-A7A0-7E2AD16608E3}"/>
    <cellStyle name="Vírgula 2 3 4 7 4 2" xfId="41384" xr:uid="{9FDE1691-E069-49CC-88B3-B88585ADC79C}"/>
    <cellStyle name="Vírgula 2 3 4 7 5" xfId="28793" xr:uid="{2B31A73F-71DF-4BDE-A98E-819373368749}"/>
    <cellStyle name="Vírgula 2 3 4 8" xfId="3719" xr:uid="{F57BE0A7-4878-46C3-ADAA-852139C73778}"/>
    <cellStyle name="Vírgula 2 3 4 8 2" xfId="10012" xr:uid="{2BE576E6-281E-4FE7-AEB0-7B49E9C2076D}"/>
    <cellStyle name="Vírgula 2 3 4 8 2 2" xfId="22694" xr:uid="{25CA49CF-FB2B-48AC-A2E8-D14FEF0F904C}"/>
    <cellStyle name="Vírgula 2 3 4 8 2 2 2" xfId="48186" xr:uid="{6D02889B-1A4A-46DF-9941-27C08EE8F070}"/>
    <cellStyle name="Vírgula 2 3 4 8 2 3" xfId="35595" xr:uid="{4055583D-3082-4894-A99D-1573E09D840F}"/>
    <cellStyle name="Vírgula 2 3 4 8 3" xfId="16416" xr:uid="{67BB0ED8-F0A8-4463-9668-F25611B37EEA}"/>
    <cellStyle name="Vírgula 2 3 4 8 3 2" xfId="41908" xr:uid="{2327A894-6B33-49A5-BDE0-729BE6F9F23D}"/>
    <cellStyle name="Vírgula 2 3 4 8 4" xfId="29317" xr:uid="{21C46302-654D-41E8-920A-8820AD77DAFC}"/>
    <cellStyle name="Vírgula 2 3 4 9" xfId="6873" xr:uid="{60A6BB61-0094-41C5-8148-1B5436EFDCC5}"/>
    <cellStyle name="Vírgula 2 3 4 9 2" xfId="19555" xr:uid="{879FFFD9-655B-4116-B3C4-011D0CFFA214}"/>
    <cellStyle name="Vírgula 2 3 4 9 2 2" xfId="45047" xr:uid="{ED0BDC7D-39DA-41C1-BF5C-12264EAF31DA}"/>
    <cellStyle name="Vírgula 2 3 4 9 3" xfId="32456" xr:uid="{33468FC9-0BEE-415E-A43B-D903F461BBBF}"/>
    <cellStyle name="Vírgula 2 3 5" xfId="967" xr:uid="{A72656C5-B3EC-42DF-9D4A-77FC765FD7E0}"/>
    <cellStyle name="Vírgula 2 3 5 2" xfId="2274" xr:uid="{78BBC072-0B11-465F-9F6F-9A219F80199F}"/>
    <cellStyle name="Vírgula 2 3 5 2 2" xfId="5428" xr:uid="{5506DB68-2173-4D19-A240-BA38D8520532}"/>
    <cellStyle name="Vírgula 2 3 5 2 2 2" xfId="11721" xr:uid="{BA8711D8-2966-4125-80C1-C2EB5768D9ED}"/>
    <cellStyle name="Vírgula 2 3 5 2 2 2 2" xfId="24403" xr:uid="{B3CEC5DC-784F-4B02-98FA-97D8F1F0E7E8}"/>
    <cellStyle name="Vírgula 2 3 5 2 2 2 2 2" xfId="49895" xr:uid="{8FF0888D-5771-4FD8-A80C-DEE98BE80BD0}"/>
    <cellStyle name="Vírgula 2 3 5 2 2 2 3" xfId="37304" xr:uid="{C8B0FFE7-0A64-4D26-8DF5-AEA41D9E27EF}"/>
    <cellStyle name="Vírgula 2 3 5 2 2 3" xfId="18125" xr:uid="{A17E958C-B569-4A9A-9754-3BBFE292BB80}"/>
    <cellStyle name="Vírgula 2 3 5 2 2 3 2" xfId="43617" xr:uid="{3823A53B-87D3-4551-8600-863E9C4E0F87}"/>
    <cellStyle name="Vírgula 2 3 5 2 2 4" xfId="31026" xr:uid="{499DF908-3C5C-41B0-A839-3843666D39F4}"/>
    <cellStyle name="Vírgula 2 3 5 2 3" xfId="8582" xr:uid="{F7EB2259-EB2F-40A1-AA34-C5B37C24143F}"/>
    <cellStyle name="Vírgula 2 3 5 2 3 2" xfId="21264" xr:uid="{5B2D4BE9-E24C-4D0B-A3E2-70455A56A5C4}"/>
    <cellStyle name="Vírgula 2 3 5 2 3 2 2" xfId="46756" xr:uid="{35857078-6B70-41CF-A071-D4A10303CBB5}"/>
    <cellStyle name="Vírgula 2 3 5 2 3 3" xfId="34165" xr:uid="{3855E219-DEE2-4B93-81D9-E440E693E91C}"/>
    <cellStyle name="Vírgula 2 3 5 2 4" xfId="14986" xr:uid="{ACD9921B-7873-46A3-A43D-6C7DC5965A7F}"/>
    <cellStyle name="Vírgula 2 3 5 2 4 2" xfId="40478" xr:uid="{E6A376EF-CDEE-4BCE-9F81-202918DA5125}"/>
    <cellStyle name="Vírgula 2 3 5 2 5" xfId="27887" xr:uid="{ED9425B2-38B5-4457-9BA5-8BBDC896E243}"/>
    <cellStyle name="Vírgula 2 3 5 3" xfId="1491" xr:uid="{418A3C43-8279-4E6F-B3CB-82DB8AE46A9D}"/>
    <cellStyle name="Vírgula 2 3 5 3 2" xfId="4645" xr:uid="{B594E729-6E8E-456A-9C85-5331D63224A4}"/>
    <cellStyle name="Vírgula 2 3 5 3 2 2" xfId="10938" xr:uid="{61C69450-4EC2-44B9-8ED4-59BDDBB467D8}"/>
    <cellStyle name="Vírgula 2 3 5 3 2 2 2" xfId="23620" xr:uid="{769C933B-9954-495D-8C06-ADC9DDA2F775}"/>
    <cellStyle name="Vírgula 2 3 5 3 2 2 2 2" xfId="49112" xr:uid="{88152AA0-7832-47DA-A0AF-B04093947D50}"/>
    <cellStyle name="Vírgula 2 3 5 3 2 2 3" xfId="36521" xr:uid="{C945FDCA-E39D-43D5-B3DC-76C1C22DC829}"/>
    <cellStyle name="Vírgula 2 3 5 3 2 3" xfId="17342" xr:uid="{588C0D75-6654-4F8E-93E4-DE4FACF8CEA6}"/>
    <cellStyle name="Vírgula 2 3 5 3 2 3 2" xfId="42834" xr:uid="{40981A4B-5852-4528-A233-D6DC1F0F666D}"/>
    <cellStyle name="Vírgula 2 3 5 3 2 4" xfId="30243" xr:uid="{5C7B58D0-DDD5-4C91-9B7F-0773207B337A}"/>
    <cellStyle name="Vírgula 2 3 5 3 3" xfId="7799" xr:uid="{A22C86EC-9F93-4D34-8C09-5BE92977E83B}"/>
    <cellStyle name="Vírgula 2 3 5 3 3 2" xfId="20481" xr:uid="{5CBCBBC9-5E88-4F22-B04B-58E44D9AE359}"/>
    <cellStyle name="Vírgula 2 3 5 3 3 2 2" xfId="45973" xr:uid="{BD81B19A-415D-40FC-A875-881B78DD2693}"/>
    <cellStyle name="Vírgula 2 3 5 3 3 3" xfId="33382" xr:uid="{7330D2B9-B45B-4D19-8ACD-7A4E21775B65}"/>
    <cellStyle name="Vírgula 2 3 5 3 4" xfId="14203" xr:uid="{C5582123-1FD4-4D02-A353-B2F8F0CA77E7}"/>
    <cellStyle name="Vírgula 2 3 5 3 4 2" xfId="39695" xr:uid="{F81A1E3E-F6BA-4CFF-972D-34860FFD1911}"/>
    <cellStyle name="Vírgula 2 3 5 3 5" xfId="27104" xr:uid="{B4ABFCBC-3DC1-49C2-8379-3695833779A8}"/>
    <cellStyle name="Vírgula 2 3 5 4" xfId="2798" xr:uid="{7C3CED32-0CDF-49A1-A413-077F0251F4FD}"/>
    <cellStyle name="Vírgula 2 3 5 4 2" xfId="5952" xr:uid="{A9DF9CC6-EF15-4D4A-951B-8DC4990EF267}"/>
    <cellStyle name="Vírgula 2 3 5 4 2 2" xfId="12245" xr:uid="{58009DB2-842C-4F0A-9901-D73E76AE00C7}"/>
    <cellStyle name="Vírgula 2 3 5 4 2 2 2" xfId="24927" xr:uid="{9861DA3D-3E93-4733-B10B-85DCB788E2B5}"/>
    <cellStyle name="Vírgula 2 3 5 4 2 2 2 2" xfId="50419" xr:uid="{0B77C723-48E1-46FB-AAD9-DEB17A1A460B}"/>
    <cellStyle name="Vírgula 2 3 5 4 2 2 3" xfId="37828" xr:uid="{59DC3D00-52B6-4DE1-BE11-06A03578F746}"/>
    <cellStyle name="Vírgula 2 3 5 4 2 3" xfId="18649" xr:uid="{74A4F35C-A4A5-49F3-89C6-C71FB49F974B}"/>
    <cellStyle name="Vírgula 2 3 5 4 2 3 2" xfId="44141" xr:uid="{5484D142-7F89-4B18-A409-F76E9F348C9D}"/>
    <cellStyle name="Vírgula 2 3 5 4 2 4" xfId="31550" xr:uid="{A403CBA3-2232-42F0-8B7E-4407C67F64D2}"/>
    <cellStyle name="Vírgula 2 3 5 4 3" xfId="9106" xr:uid="{B580FDA9-54E5-46D8-AF64-B35DAC0DDDB3}"/>
    <cellStyle name="Vírgula 2 3 5 4 3 2" xfId="21788" xr:uid="{C72046CB-24A8-4FDA-B87C-94CCEA7851B3}"/>
    <cellStyle name="Vírgula 2 3 5 4 3 2 2" xfId="47280" xr:uid="{F49E6544-A9E9-460E-851A-277FC3175110}"/>
    <cellStyle name="Vírgula 2 3 5 4 3 3" xfId="34689" xr:uid="{B2527275-F168-4F3F-8923-802D42A6FC1E}"/>
    <cellStyle name="Vírgula 2 3 5 4 4" xfId="15510" xr:uid="{E5332D4E-A290-447A-854E-B15A8DA5123D}"/>
    <cellStyle name="Vírgula 2 3 5 4 4 2" xfId="41002" xr:uid="{7F2C729D-63E9-4F1D-9D89-FCDF92C7FFE3}"/>
    <cellStyle name="Vírgula 2 3 5 4 5" xfId="28411" xr:uid="{D738FCBC-1680-40EE-92FB-7FB28DE0AA58}"/>
    <cellStyle name="Vírgula 2 3 5 5" xfId="3321" xr:uid="{A5AFAACF-589A-47E5-8CB8-D8DBFFA4AEB8}"/>
    <cellStyle name="Vírgula 2 3 5 5 2" xfId="6475" xr:uid="{A6C52F86-9918-447B-BCC3-C89D93CB0DCD}"/>
    <cellStyle name="Vírgula 2 3 5 5 2 2" xfId="12768" xr:uid="{4C67614F-DDDF-4597-B0DB-0BAC90757D63}"/>
    <cellStyle name="Vírgula 2 3 5 5 2 2 2" xfId="25450" xr:uid="{794A859C-AF5C-4935-84DE-0B8294375EAB}"/>
    <cellStyle name="Vírgula 2 3 5 5 2 2 2 2" xfId="50942" xr:uid="{B7012127-0080-4A7F-9FBB-2E6D87711588}"/>
    <cellStyle name="Vírgula 2 3 5 5 2 2 3" xfId="38351" xr:uid="{922FC8C1-C2C8-4101-99FC-0961EA2F917E}"/>
    <cellStyle name="Vírgula 2 3 5 5 2 3" xfId="19172" xr:uid="{EF0B30D2-8609-49CC-AC7F-4B4CECBBA18F}"/>
    <cellStyle name="Vírgula 2 3 5 5 2 3 2" xfId="44664" xr:uid="{7E122A91-D251-4FE3-8607-7F879F045201}"/>
    <cellStyle name="Vírgula 2 3 5 5 2 4" xfId="32073" xr:uid="{97828FC5-D488-458B-A343-8E64FE423389}"/>
    <cellStyle name="Vírgula 2 3 5 5 3" xfId="9629" xr:uid="{78BECD42-A3E7-46EB-B5C5-74E590CF0AD5}"/>
    <cellStyle name="Vírgula 2 3 5 5 3 2" xfId="22311" xr:uid="{CF3F17C4-5C7B-47E8-ACDA-9BE723C172AF}"/>
    <cellStyle name="Vírgula 2 3 5 5 3 2 2" xfId="47803" xr:uid="{8DDD0C74-AFB3-4E0F-BA58-707EA0C86E75}"/>
    <cellStyle name="Vírgula 2 3 5 5 3 3" xfId="35212" xr:uid="{61AB486C-FB8A-433F-BCFF-2C475AEC6F39}"/>
    <cellStyle name="Vírgula 2 3 5 5 4" xfId="16033" xr:uid="{496CFE4A-6D2F-4A7A-B573-BC520BB3BA4A}"/>
    <cellStyle name="Vírgula 2 3 5 5 4 2" xfId="41525" xr:uid="{6F5D56EC-BD8F-4430-A00E-CBF2EF17C2C5}"/>
    <cellStyle name="Vírgula 2 3 5 5 5" xfId="28934" xr:uid="{1801950B-C001-4DBE-884A-5A9F783C4646}"/>
    <cellStyle name="Vírgula 2 3 5 6" xfId="4121" xr:uid="{A5E0340A-64CB-46C5-BCD3-28241D945339}"/>
    <cellStyle name="Vírgula 2 3 5 6 2" xfId="10414" xr:uid="{1D88C8D0-02E9-44AF-9519-7074287F8573}"/>
    <cellStyle name="Vírgula 2 3 5 6 2 2" xfId="23096" xr:uid="{CC6D6FEA-9352-49DB-80E9-B93EEA44A6F7}"/>
    <cellStyle name="Vírgula 2 3 5 6 2 2 2" xfId="48588" xr:uid="{1A9D5BB6-68E6-487D-AC60-C9C3B2D9D7B4}"/>
    <cellStyle name="Vírgula 2 3 5 6 2 3" xfId="35997" xr:uid="{90CDA3A6-0CA0-498C-93DA-E376DAE9243B}"/>
    <cellStyle name="Vírgula 2 3 5 6 3" xfId="16818" xr:uid="{98022074-A282-4D78-89A2-75F6C54E4753}"/>
    <cellStyle name="Vírgula 2 3 5 6 3 2" xfId="42310" xr:uid="{C2902BD5-6425-46F2-86D3-C08193E47D7B}"/>
    <cellStyle name="Vírgula 2 3 5 6 4" xfId="29719" xr:uid="{0CF0AD1D-C657-4058-8664-A1C952295CE2}"/>
    <cellStyle name="Vírgula 2 3 5 7" xfId="7275" xr:uid="{530634A7-059D-4FCA-B959-B913C29F5668}"/>
    <cellStyle name="Vírgula 2 3 5 7 2" xfId="19957" xr:uid="{36390EEE-DC97-47AC-B988-A5530D0197A3}"/>
    <cellStyle name="Vírgula 2 3 5 7 2 2" xfId="45449" xr:uid="{ACA1FF91-3605-4D7B-B6D0-DADA06D89052}"/>
    <cellStyle name="Vírgula 2 3 5 7 3" xfId="32858" xr:uid="{89475C6A-AC82-421B-B837-616B2D023D26}"/>
    <cellStyle name="Vírgula 2 3 5 8" xfId="13679" xr:uid="{69538316-F7DA-48D8-8D98-2808D755D4ED}"/>
    <cellStyle name="Vírgula 2 3 5 8 2" xfId="39171" xr:uid="{0308D77C-8C45-4655-9C1C-015AD6DF6979}"/>
    <cellStyle name="Vírgula 2 3 5 9" xfId="26580" xr:uid="{DC9E2676-6189-466E-9CB0-76BD264A5BDF}"/>
    <cellStyle name="Vírgula 2 3 6" xfId="707" xr:uid="{93C8298A-F896-48BB-8975-5147A0CE7CD2}"/>
    <cellStyle name="Vírgula 2 3 6 2" xfId="2014" xr:uid="{38E87F20-4575-447F-8ED2-917C54069C70}"/>
    <cellStyle name="Vírgula 2 3 6 2 2" xfId="5168" xr:uid="{F297B309-4265-437A-B3E6-960BC093D3B5}"/>
    <cellStyle name="Vírgula 2 3 6 2 2 2" xfId="11461" xr:uid="{5D397908-E6DC-430C-A415-CBE6CFBD6144}"/>
    <cellStyle name="Vírgula 2 3 6 2 2 2 2" xfId="24143" xr:uid="{771D02FB-28BB-4E7B-AC4B-C869C210C551}"/>
    <cellStyle name="Vírgula 2 3 6 2 2 2 2 2" xfId="49635" xr:uid="{9D9719FC-3C86-4866-B450-D7E1A11FCF27}"/>
    <cellStyle name="Vírgula 2 3 6 2 2 2 3" xfId="37044" xr:uid="{D085B7AF-D2BB-4CAF-8147-B2114BB93474}"/>
    <cellStyle name="Vírgula 2 3 6 2 2 3" xfId="17865" xr:uid="{01CC56E3-A3D3-47F8-89B8-AE58103A8F9B}"/>
    <cellStyle name="Vírgula 2 3 6 2 2 3 2" xfId="43357" xr:uid="{C9EBAB7B-D297-4EC1-BF7C-2DD5651E7AF6}"/>
    <cellStyle name="Vírgula 2 3 6 2 2 4" xfId="30766" xr:uid="{A67E557C-E34E-40AE-AB44-A446B4883D1C}"/>
    <cellStyle name="Vírgula 2 3 6 2 3" xfId="8322" xr:uid="{D292CDB4-9717-4E87-8F6F-1A07C04ACCA2}"/>
    <cellStyle name="Vírgula 2 3 6 2 3 2" xfId="21004" xr:uid="{C56D2A17-7BFC-4E9D-AFB9-B970DD1F6A78}"/>
    <cellStyle name="Vírgula 2 3 6 2 3 2 2" xfId="46496" xr:uid="{B5FF3376-5990-4C28-B252-7A94BA599FED}"/>
    <cellStyle name="Vírgula 2 3 6 2 3 3" xfId="33905" xr:uid="{D5320312-B63D-4E97-979C-D625B3B09662}"/>
    <cellStyle name="Vírgula 2 3 6 2 4" xfId="14726" xr:uid="{2443DBF6-D7F6-4E63-8367-A18D910A7A9D}"/>
    <cellStyle name="Vírgula 2 3 6 2 4 2" xfId="40218" xr:uid="{3FDF2510-B966-44E9-8228-01CCA48C2A60}"/>
    <cellStyle name="Vírgula 2 3 6 2 5" xfId="27627" xr:uid="{2AE07433-1109-4FE2-9D67-86BC9684D610}"/>
    <cellStyle name="Vírgula 2 3 6 3" xfId="3861" xr:uid="{FD2BAD9F-A734-4236-913B-1F0DA19EDA6C}"/>
    <cellStyle name="Vírgula 2 3 6 3 2" xfId="10154" xr:uid="{171EE1CE-CFA8-4393-A1AF-0C88E3F62C3B}"/>
    <cellStyle name="Vírgula 2 3 6 3 2 2" xfId="22836" xr:uid="{A38072BC-2587-497C-98E8-F69C6B2B55F2}"/>
    <cellStyle name="Vírgula 2 3 6 3 2 2 2" xfId="48328" xr:uid="{23DF8D07-9868-4207-887B-0DA3D7F956C0}"/>
    <cellStyle name="Vírgula 2 3 6 3 2 3" xfId="35737" xr:uid="{1E2BFEB2-20DC-4BAC-97AD-96C8A8D06B04}"/>
    <cellStyle name="Vírgula 2 3 6 3 3" xfId="16558" xr:uid="{DD7C6DD3-E297-424A-94B2-4160ABBC95C3}"/>
    <cellStyle name="Vírgula 2 3 6 3 3 2" xfId="42050" xr:uid="{82A2B638-5192-4DE6-B71C-4A77BAB6F6D9}"/>
    <cellStyle name="Vírgula 2 3 6 3 4" xfId="29459" xr:uid="{21FEE033-5FC2-4860-88E5-EB16AB4D8938}"/>
    <cellStyle name="Vírgula 2 3 6 4" xfId="7015" xr:uid="{03828092-DD72-462A-ABA7-A1782EBC27ED}"/>
    <cellStyle name="Vírgula 2 3 6 4 2" xfId="19697" xr:uid="{066D40BD-D73B-4734-B20D-F047352327F8}"/>
    <cellStyle name="Vírgula 2 3 6 4 2 2" xfId="45189" xr:uid="{592EDEB5-C94E-4A12-A239-EA8C55C147E8}"/>
    <cellStyle name="Vírgula 2 3 6 4 3" xfId="32598" xr:uid="{B00AE044-73DC-4652-9B72-736BB771F505}"/>
    <cellStyle name="Vírgula 2 3 6 5" xfId="13419" xr:uid="{263046EE-0342-4655-858D-FFCB7C09E969}"/>
    <cellStyle name="Vírgula 2 3 6 5 2" xfId="38911" xr:uid="{8F8ACF59-E0BB-41A9-8C14-A77E6BB94526}"/>
    <cellStyle name="Vírgula 2 3 6 6" xfId="26320" xr:uid="{42AE21A5-3CA2-4B9C-BA35-6D27BE1D1B46}"/>
    <cellStyle name="Vírgula 2 3 7" xfId="1752" xr:uid="{ECF5E557-1516-4C9B-BCA6-CA9E98907BD1}"/>
    <cellStyle name="Vírgula 2 3 7 2" xfId="4906" xr:uid="{55134875-6EA5-4ADB-B577-56CB14F91F14}"/>
    <cellStyle name="Vírgula 2 3 7 2 2" xfId="11199" xr:uid="{B1962C23-8AE6-4977-9418-263B59FE83D9}"/>
    <cellStyle name="Vírgula 2 3 7 2 2 2" xfId="23881" xr:uid="{2C9F1733-4DDE-4874-8122-4EBE686C9180}"/>
    <cellStyle name="Vírgula 2 3 7 2 2 2 2" xfId="49373" xr:uid="{984B7555-56E4-41AB-84FA-3B044C79AA36}"/>
    <cellStyle name="Vírgula 2 3 7 2 2 3" xfId="36782" xr:uid="{A44E8D13-E26A-4BBD-A6A4-E05F4718AE2B}"/>
    <cellStyle name="Vírgula 2 3 7 2 3" xfId="17603" xr:uid="{7D54AF14-3067-47B2-850A-5FD12A0C00BA}"/>
    <cellStyle name="Vírgula 2 3 7 2 3 2" xfId="43095" xr:uid="{4FCC6972-6A52-4E71-8792-40E3331EBF7C}"/>
    <cellStyle name="Vírgula 2 3 7 2 4" xfId="30504" xr:uid="{31F03ED3-BD67-4C0D-8644-8830C675D785}"/>
    <cellStyle name="Vírgula 2 3 7 3" xfId="8060" xr:uid="{3A4CCD9C-4E12-48BB-A08A-666BC29F72BB}"/>
    <cellStyle name="Vírgula 2 3 7 3 2" xfId="20742" xr:uid="{492788EE-7114-4A1E-ABA9-E2364DA00682}"/>
    <cellStyle name="Vírgula 2 3 7 3 2 2" xfId="46234" xr:uid="{894EE04F-B3BF-4434-8792-5EB5A75DA156}"/>
    <cellStyle name="Vírgula 2 3 7 3 3" xfId="33643" xr:uid="{4BED8152-DA27-440D-925F-3E1B1D306EB8}"/>
    <cellStyle name="Vírgula 2 3 7 4" xfId="14464" xr:uid="{8E017372-9923-4B57-89BC-6434D2922C1A}"/>
    <cellStyle name="Vírgula 2 3 7 4 2" xfId="39956" xr:uid="{E511A309-FA2B-4AFB-8B05-385B54CE95B1}"/>
    <cellStyle name="Vírgula 2 3 7 5" xfId="27365" xr:uid="{0760C6DD-6363-4FDA-8D35-96C1CF29C80C}"/>
    <cellStyle name="Vírgula 2 3 8" xfId="1230" xr:uid="{6C9C4465-D6D8-452F-B540-8C906348C4C0}"/>
    <cellStyle name="Vírgula 2 3 8 2" xfId="4384" xr:uid="{DC6B8518-F904-4FD0-B5D8-130D0B20519E}"/>
    <cellStyle name="Vírgula 2 3 8 2 2" xfId="10677" xr:uid="{10155EAC-EB69-4C27-A9AD-51E3574BC6CC}"/>
    <cellStyle name="Vírgula 2 3 8 2 2 2" xfId="23359" xr:uid="{74DA92DE-BAD9-4997-A0F1-BC8A81FA0950}"/>
    <cellStyle name="Vírgula 2 3 8 2 2 2 2" xfId="48851" xr:uid="{0F1CDAA5-3192-4086-9E89-72E161284BBF}"/>
    <cellStyle name="Vírgula 2 3 8 2 2 3" xfId="36260" xr:uid="{2E856B82-A275-4991-A8F9-0217EA963560}"/>
    <cellStyle name="Vírgula 2 3 8 2 3" xfId="17081" xr:uid="{0F4BED8E-1BCC-4F2F-929D-26926EF011DE}"/>
    <cellStyle name="Vírgula 2 3 8 2 3 2" xfId="42573" xr:uid="{80A48E63-761A-4D52-82E4-26E2D0E0E537}"/>
    <cellStyle name="Vírgula 2 3 8 2 4" xfId="29982" xr:uid="{6DC5235E-4C0F-49FD-9283-C4622F7B2602}"/>
    <cellStyle name="Vírgula 2 3 8 3" xfId="7538" xr:uid="{D7C56DE0-C8C1-4798-84FE-C3B8BD9DB951}"/>
    <cellStyle name="Vírgula 2 3 8 3 2" xfId="20220" xr:uid="{F4F3D644-24F8-46EA-BC26-743F65FFC7A5}"/>
    <cellStyle name="Vírgula 2 3 8 3 2 2" xfId="45712" xr:uid="{5E1BDA4F-B716-45E1-8854-67A1805968F7}"/>
    <cellStyle name="Vírgula 2 3 8 3 3" xfId="33121" xr:uid="{84CE2CE5-EA97-4463-8F26-1402C1AC23F6}"/>
    <cellStyle name="Vírgula 2 3 8 4" xfId="13942" xr:uid="{CFA29745-1EF4-45A6-966E-D8C23E517E73}"/>
    <cellStyle name="Vírgula 2 3 8 4 2" xfId="39434" xr:uid="{B596794C-33BA-4B69-A84D-7D9DEDF34900}"/>
    <cellStyle name="Vírgula 2 3 8 5" xfId="26843" xr:uid="{84A8EA98-9B99-4F3A-95A3-5BC539C2DFE5}"/>
    <cellStyle name="Vírgula 2 3 9" xfId="2537" xr:uid="{362B4668-5B36-499B-9513-A2DFDF284A92}"/>
    <cellStyle name="Vírgula 2 3 9 2" xfId="5691" xr:uid="{AA5A3A7C-66D4-42EE-86E4-7B00AAD343C5}"/>
    <cellStyle name="Vírgula 2 3 9 2 2" xfId="11984" xr:uid="{1D6795D3-2164-407E-A3F2-08A60D2A8D14}"/>
    <cellStyle name="Vírgula 2 3 9 2 2 2" xfId="24666" xr:uid="{34050030-B956-4BF9-8804-F4A8899D31D7}"/>
    <cellStyle name="Vírgula 2 3 9 2 2 2 2" xfId="50158" xr:uid="{C3F8F083-4E47-4DD7-A32D-DDC8467DA91C}"/>
    <cellStyle name="Vírgula 2 3 9 2 2 3" xfId="37567" xr:uid="{14C6547F-9E42-4D77-B2BC-1297C9B8943E}"/>
    <cellStyle name="Vírgula 2 3 9 2 3" xfId="18388" xr:uid="{15E10955-FDC5-44B3-AA32-99C1BD036764}"/>
    <cellStyle name="Vírgula 2 3 9 2 3 2" xfId="43880" xr:uid="{00303FC4-133D-4508-8D13-4B1D6FED8983}"/>
    <cellStyle name="Vírgula 2 3 9 2 4" xfId="31289" xr:uid="{9E191DA7-705E-433C-8B11-399831A40F67}"/>
    <cellStyle name="Vírgula 2 3 9 3" xfId="8845" xr:uid="{A7130D3F-F216-4C4D-9F3C-B52E5D48CBB1}"/>
    <cellStyle name="Vírgula 2 3 9 3 2" xfId="21527" xr:uid="{32F470A2-41F7-421A-81D5-D262CA82EDCB}"/>
    <cellStyle name="Vírgula 2 3 9 3 2 2" xfId="47019" xr:uid="{928BB223-3849-4DB8-B5F9-04CDFFE1B946}"/>
    <cellStyle name="Vírgula 2 3 9 3 3" xfId="34428" xr:uid="{71FFE03D-F05A-44BE-BD47-6F888195000D}"/>
    <cellStyle name="Vírgula 2 3 9 4" xfId="15249" xr:uid="{88A23F8F-5A8C-4813-8DB4-66F6E6CD8EBE}"/>
    <cellStyle name="Vírgula 2 3 9 4 2" xfId="40741" xr:uid="{8EADD173-17B6-430E-BF0A-B356610038AC}"/>
    <cellStyle name="Vírgula 2 3 9 5" xfId="28150" xr:uid="{316A7595-F441-4993-B7FC-BE271B8E1BEA}"/>
    <cellStyle name="Vírgula 2 4" xfId="337" xr:uid="{782F232B-C2B4-4C80-B1CB-D9747A97659B}"/>
    <cellStyle name="Vírgula 2 4 10" xfId="3640" xr:uid="{99B3A62D-250B-4A73-B62B-0C453BECA5C1}"/>
    <cellStyle name="Vírgula 2 4 10 2" xfId="9933" xr:uid="{DA6C5528-17EA-4370-A099-FA1304A09185}"/>
    <cellStyle name="Vírgula 2 4 10 2 2" xfId="22615" xr:uid="{5B89A962-BC31-4FF7-BB55-5CAA11C7A463}"/>
    <cellStyle name="Vírgula 2 4 10 2 2 2" xfId="48107" xr:uid="{2155FD59-EA45-4DE7-A015-EE7BBDB50922}"/>
    <cellStyle name="Vírgula 2 4 10 2 3" xfId="35516" xr:uid="{DC864AA9-33B9-4D64-8BA7-D04D15B1DC8B}"/>
    <cellStyle name="Vírgula 2 4 10 3" xfId="16337" xr:uid="{3ADD31C6-5657-48DB-B573-8D93D91B0C64}"/>
    <cellStyle name="Vírgula 2 4 10 3 2" xfId="41829" xr:uid="{6D7DE13A-6AB8-4FE3-8825-765732E521D4}"/>
    <cellStyle name="Vírgula 2 4 10 4" xfId="29238" xr:uid="{6D48448A-206B-436C-A105-449B34CCCDD2}"/>
    <cellStyle name="Vírgula 2 4 11" xfId="6794" xr:uid="{771264D6-6A8F-4252-9BA2-14A7F48322D8}"/>
    <cellStyle name="Vírgula 2 4 11 2" xfId="19476" xr:uid="{A470C27A-C05C-4D03-91C7-5AD860ECBDE1}"/>
    <cellStyle name="Vírgula 2 4 11 2 2" xfId="44968" xr:uid="{C6D726A2-DF74-4B58-9A60-BAA29B66BEA7}"/>
    <cellStyle name="Vírgula 2 4 11 3" xfId="32377" xr:uid="{9BFFA4C3-6C1E-488C-8F2E-64A03C9B7261}"/>
    <cellStyle name="Vírgula 2 4 12" xfId="13198" xr:uid="{563ECDE3-E619-4322-A0A0-47B17114EB4C}"/>
    <cellStyle name="Vírgula 2 4 12 2" xfId="38690" xr:uid="{5BEA94DB-F2CA-46D1-9632-A86C3CA50D87}"/>
    <cellStyle name="Vírgula 2 4 13" xfId="13097" xr:uid="{1498E0E5-433B-4A8B-814A-400F3392FD7E}"/>
    <cellStyle name="Vírgula 2 4 13 2" xfId="38620" xr:uid="{E4D6A097-F0BA-4CF1-ABD8-6E72702EAC5E}"/>
    <cellStyle name="Vírgula 2 4 14" xfId="26001" xr:uid="{5EC828FE-049B-4375-887E-FBD2D0B70670}"/>
    <cellStyle name="Vírgula 2 4 15" xfId="26099" xr:uid="{D14D3972-F3CB-415A-9761-82CFB9E590EB}"/>
    <cellStyle name="Vírgula 2 4 16" xfId="471" xr:uid="{6A19E762-B7EF-4BD2-89E3-856BBAE1F99E}"/>
    <cellStyle name="Vírgula 2 4 2" xfId="630" xr:uid="{9EA4E1BE-4387-48A6-89A6-9A146FDE1AE2}"/>
    <cellStyle name="Vírgula 2 4 2 10" xfId="13357" xr:uid="{0BD2B3FC-2B73-49C3-A1D4-136D04E08806}"/>
    <cellStyle name="Vírgula 2 4 2 10 2" xfId="38849" xr:uid="{400DA199-87B0-4590-A150-601BA18290AC}"/>
    <cellStyle name="Vírgula 2 4 2 11" xfId="26258" xr:uid="{A6871CEF-FB0D-4613-8CC7-8F8CC7546F90}"/>
    <cellStyle name="Vírgula 2 4 2 2" xfId="1167" xr:uid="{E85C58F4-A023-4CA9-99F2-FFD03877F7D2}"/>
    <cellStyle name="Vírgula 2 4 2 2 2" xfId="2474" xr:uid="{C8E69264-21AA-4AD2-B0D0-3DFEAD5990C7}"/>
    <cellStyle name="Vírgula 2 4 2 2 2 2" xfId="5628" xr:uid="{CBCE57F2-491E-47D7-A082-27560B5FF8B2}"/>
    <cellStyle name="Vírgula 2 4 2 2 2 2 2" xfId="11921" xr:uid="{EA4F5F53-6317-496F-9007-3F5A190D7203}"/>
    <cellStyle name="Vírgula 2 4 2 2 2 2 2 2" xfId="24603" xr:uid="{618ACE4D-CD74-4871-B6C3-01FD86746CF5}"/>
    <cellStyle name="Vírgula 2 4 2 2 2 2 2 2 2" xfId="50095" xr:uid="{AC040789-1583-4D98-B78C-3058B28F6DCE}"/>
    <cellStyle name="Vírgula 2 4 2 2 2 2 2 3" xfId="37504" xr:uid="{E031CCAA-64BC-4161-838E-3E45BA40D951}"/>
    <cellStyle name="Vírgula 2 4 2 2 2 2 3" xfId="18325" xr:uid="{CD4FBDC0-3CC5-492C-AECB-04909F0597F8}"/>
    <cellStyle name="Vírgula 2 4 2 2 2 2 3 2" xfId="43817" xr:uid="{3ED3715A-9B2C-4BC3-A94F-297409C9787B}"/>
    <cellStyle name="Vírgula 2 4 2 2 2 2 4" xfId="31226" xr:uid="{3B385C1E-0A71-4D9B-91FE-DFA0D0EC1710}"/>
    <cellStyle name="Vírgula 2 4 2 2 2 3" xfId="8782" xr:uid="{549160D3-C51B-4E0D-9137-21282E6F7F70}"/>
    <cellStyle name="Vírgula 2 4 2 2 2 3 2" xfId="21464" xr:uid="{ABBEFFFC-F806-4D3E-84F2-E7032494B790}"/>
    <cellStyle name="Vírgula 2 4 2 2 2 3 2 2" xfId="46956" xr:uid="{92A458C5-260A-4253-AEDA-55D1AF0E5DFE}"/>
    <cellStyle name="Vírgula 2 4 2 2 2 3 3" xfId="34365" xr:uid="{76695C22-28E6-464B-9EBD-820419224D03}"/>
    <cellStyle name="Vírgula 2 4 2 2 2 4" xfId="15186" xr:uid="{3F345CFC-2919-4EB2-BC12-190AA8EDA344}"/>
    <cellStyle name="Vírgula 2 4 2 2 2 4 2" xfId="40678" xr:uid="{6281112F-CCE5-4D5A-AB84-A82E5962A9B5}"/>
    <cellStyle name="Vírgula 2 4 2 2 2 5" xfId="28087" xr:uid="{BCB2C480-41A4-48AA-9F7E-5DA73E0F926D}"/>
    <cellStyle name="Vírgula 2 4 2 2 3" xfId="1691" xr:uid="{68B54F60-1E67-44A5-BEE7-AD716E93EE19}"/>
    <cellStyle name="Vírgula 2 4 2 2 3 2" xfId="4845" xr:uid="{AB21694F-D75F-40F5-8160-1B00D9E1B8D8}"/>
    <cellStyle name="Vírgula 2 4 2 2 3 2 2" xfId="11138" xr:uid="{20143BCD-9D6B-4DF7-97FB-2549776B544E}"/>
    <cellStyle name="Vírgula 2 4 2 2 3 2 2 2" xfId="23820" xr:uid="{16E33394-B4F1-407F-801A-418F828958E3}"/>
    <cellStyle name="Vírgula 2 4 2 2 3 2 2 2 2" xfId="49312" xr:uid="{DEC0208E-B0EC-424B-97BC-D08FBE9759CD}"/>
    <cellStyle name="Vírgula 2 4 2 2 3 2 2 3" xfId="36721" xr:uid="{26D2689D-9E1A-4206-BA20-C2392207FBAB}"/>
    <cellStyle name="Vírgula 2 4 2 2 3 2 3" xfId="17542" xr:uid="{B913C7BB-69DD-4FD0-8C01-A63ACB82CF8D}"/>
    <cellStyle name="Vírgula 2 4 2 2 3 2 3 2" xfId="43034" xr:uid="{C766CD4E-4343-489F-AF2C-941CDBB45EE8}"/>
    <cellStyle name="Vírgula 2 4 2 2 3 2 4" xfId="30443" xr:uid="{7A1B20D2-BD6C-4232-A875-7274446D0772}"/>
    <cellStyle name="Vírgula 2 4 2 2 3 3" xfId="7999" xr:uid="{C78AAD7A-531B-4887-918D-49595163B852}"/>
    <cellStyle name="Vírgula 2 4 2 2 3 3 2" xfId="20681" xr:uid="{E297492B-DB80-4C62-BB38-1E5370EDBDD3}"/>
    <cellStyle name="Vírgula 2 4 2 2 3 3 2 2" xfId="46173" xr:uid="{BF2E2E1C-7BCE-4F98-9ADC-5FE43B71B466}"/>
    <cellStyle name="Vírgula 2 4 2 2 3 3 3" xfId="33582" xr:uid="{07EC5EA8-8F00-4E91-AA1A-9E034F736180}"/>
    <cellStyle name="Vírgula 2 4 2 2 3 4" xfId="14403" xr:uid="{6068CB9C-D344-4FB4-B88A-0F61E2727390}"/>
    <cellStyle name="Vírgula 2 4 2 2 3 4 2" xfId="39895" xr:uid="{A5052335-404F-45F4-A3AC-0CA397B5C4EF}"/>
    <cellStyle name="Vírgula 2 4 2 2 3 5" xfId="27304" xr:uid="{696CE8A0-0862-4940-AC69-4FF3E3CCD015}"/>
    <cellStyle name="Vírgula 2 4 2 2 4" xfId="2998" xr:uid="{1FD44CFD-AA66-41E3-AABB-759C9F65033C}"/>
    <cellStyle name="Vírgula 2 4 2 2 4 2" xfId="6152" xr:uid="{01EB39EB-2B3A-448E-835E-8015757ACB69}"/>
    <cellStyle name="Vírgula 2 4 2 2 4 2 2" xfId="12445" xr:uid="{2EC5565E-C256-4DD9-A6E4-4E1B3DCE0D17}"/>
    <cellStyle name="Vírgula 2 4 2 2 4 2 2 2" xfId="25127" xr:uid="{88407029-BD30-4762-A799-400F1314230F}"/>
    <cellStyle name="Vírgula 2 4 2 2 4 2 2 2 2" xfId="50619" xr:uid="{43960AF3-D359-4303-9AD3-57EA8948D0E0}"/>
    <cellStyle name="Vírgula 2 4 2 2 4 2 2 3" xfId="38028" xr:uid="{6DA86EB6-CE89-47E8-B3B6-8F076BB9815C}"/>
    <cellStyle name="Vírgula 2 4 2 2 4 2 3" xfId="18849" xr:uid="{A4C550B2-328E-4F43-845B-2858EBF8ED44}"/>
    <cellStyle name="Vírgula 2 4 2 2 4 2 3 2" xfId="44341" xr:uid="{117E2C7F-1BD8-4CCE-8130-A403DF415CCF}"/>
    <cellStyle name="Vírgula 2 4 2 2 4 2 4" xfId="31750" xr:uid="{CE6D3A8C-4085-42E9-9E6E-DD790FF32541}"/>
    <cellStyle name="Vírgula 2 4 2 2 4 3" xfId="9306" xr:uid="{D427E118-9542-4A3A-AC67-7700ECD0A96C}"/>
    <cellStyle name="Vírgula 2 4 2 2 4 3 2" xfId="21988" xr:uid="{4D365617-F62A-433F-A35D-194A90BDEF93}"/>
    <cellStyle name="Vírgula 2 4 2 2 4 3 2 2" xfId="47480" xr:uid="{AA6B7BF1-89E8-41B8-B4BA-9A35CE4070AF}"/>
    <cellStyle name="Vírgula 2 4 2 2 4 3 3" xfId="34889" xr:uid="{B6EE89EF-7DB1-4ABE-8024-78C6F0AA023A}"/>
    <cellStyle name="Vírgula 2 4 2 2 4 4" xfId="15710" xr:uid="{74090A61-025C-451D-BC15-FE2EEBAFA814}"/>
    <cellStyle name="Vírgula 2 4 2 2 4 4 2" xfId="41202" xr:uid="{F8F30D93-B895-4E73-9E8D-4B1DB0BDE89A}"/>
    <cellStyle name="Vírgula 2 4 2 2 4 5" xfId="28611" xr:uid="{DC019BD2-5D24-412C-A36C-9F7869BBF830}"/>
    <cellStyle name="Vírgula 2 4 2 2 5" xfId="3521" xr:uid="{19145CB0-1C6A-4F1E-A379-6E7C82195FC0}"/>
    <cellStyle name="Vírgula 2 4 2 2 5 2" xfId="6675" xr:uid="{1AAB26CE-787B-4C9F-81DF-0E93C449F2A1}"/>
    <cellStyle name="Vírgula 2 4 2 2 5 2 2" xfId="12968" xr:uid="{9A6AA6CD-26B0-4D01-9E40-1C6930F20A3D}"/>
    <cellStyle name="Vírgula 2 4 2 2 5 2 2 2" xfId="25650" xr:uid="{DDB2CE7D-3D6B-42D2-9594-06D3C6C447E2}"/>
    <cellStyle name="Vírgula 2 4 2 2 5 2 2 2 2" xfId="51142" xr:uid="{CAAC65DE-672C-4DAA-BCA4-87A4E08DC776}"/>
    <cellStyle name="Vírgula 2 4 2 2 5 2 2 3" xfId="38551" xr:uid="{6916A8FC-B2CD-44EA-AD20-032E4B6B0DF2}"/>
    <cellStyle name="Vírgula 2 4 2 2 5 2 3" xfId="19372" xr:uid="{BC6E7CFF-557B-4FD3-83CA-BE538C0AC2F9}"/>
    <cellStyle name="Vírgula 2 4 2 2 5 2 3 2" xfId="44864" xr:uid="{D044B3C9-21D4-4CFF-9E1D-2BB426962942}"/>
    <cellStyle name="Vírgula 2 4 2 2 5 2 4" xfId="32273" xr:uid="{A7D9C461-A7A3-4EBA-8F3F-B4E36DC7848D}"/>
    <cellStyle name="Vírgula 2 4 2 2 5 3" xfId="9829" xr:uid="{088DA321-87EA-4725-B714-3FB8437ABB22}"/>
    <cellStyle name="Vírgula 2 4 2 2 5 3 2" xfId="22511" xr:uid="{C7C29B94-0E10-461C-868A-912F4E3BE010}"/>
    <cellStyle name="Vírgula 2 4 2 2 5 3 2 2" xfId="48003" xr:uid="{89381310-339E-4731-AAEA-77E25C2354B7}"/>
    <cellStyle name="Vírgula 2 4 2 2 5 3 3" xfId="35412" xr:uid="{EF55F631-3F99-4D27-BCD8-09C4DB75654D}"/>
    <cellStyle name="Vírgula 2 4 2 2 5 4" xfId="16233" xr:uid="{E4771FBD-A771-4D75-8518-BC45706E99B3}"/>
    <cellStyle name="Vírgula 2 4 2 2 5 4 2" xfId="41725" xr:uid="{42B1ED96-00DD-4693-847B-67AD9241B91C}"/>
    <cellStyle name="Vírgula 2 4 2 2 5 5" xfId="29134" xr:uid="{9B4332B2-F7B9-440A-ABC4-8D055CE5863C}"/>
    <cellStyle name="Vírgula 2 4 2 2 6" xfId="4321" xr:uid="{FB10E494-DA7C-467A-B29C-252D92FEF115}"/>
    <cellStyle name="Vírgula 2 4 2 2 6 2" xfId="10614" xr:uid="{825F87DA-9022-4B40-BD88-467F78B6B18E}"/>
    <cellStyle name="Vírgula 2 4 2 2 6 2 2" xfId="23296" xr:uid="{00C8C1CB-4F0B-4D13-BBC9-894DC218AE8B}"/>
    <cellStyle name="Vírgula 2 4 2 2 6 2 2 2" xfId="48788" xr:uid="{1321E1D8-64B4-463E-83D8-4869C10B4FD5}"/>
    <cellStyle name="Vírgula 2 4 2 2 6 2 3" xfId="36197" xr:uid="{E2CF4555-CA68-4BB2-A79A-39B4A50C13BF}"/>
    <cellStyle name="Vírgula 2 4 2 2 6 3" xfId="17018" xr:uid="{97EC8709-EBD7-450A-8D2E-0A89D63E88EA}"/>
    <cellStyle name="Vírgula 2 4 2 2 6 3 2" xfId="42510" xr:uid="{863E1D49-AC89-491C-80D7-5DE8CD80DA4B}"/>
    <cellStyle name="Vírgula 2 4 2 2 6 4" xfId="29919" xr:uid="{C8E4287A-4A39-4F4D-9BE7-EFE055D57229}"/>
    <cellStyle name="Vírgula 2 4 2 2 7" xfId="7475" xr:uid="{BFDA9EFF-28BD-4B01-8C20-D5FD44F3418C}"/>
    <cellStyle name="Vírgula 2 4 2 2 7 2" xfId="20157" xr:uid="{4DAA7520-33A3-48AF-9380-1704EE184189}"/>
    <cellStyle name="Vírgula 2 4 2 2 7 2 2" xfId="45649" xr:uid="{8C1B0888-E345-4B6E-95DA-C9129828E26D}"/>
    <cellStyle name="Vírgula 2 4 2 2 7 3" xfId="33058" xr:uid="{488A1182-239D-485B-B897-E51B119280CE}"/>
    <cellStyle name="Vírgula 2 4 2 2 8" xfId="13879" xr:uid="{206689DA-C8D2-457F-93B1-1997A08FF7B6}"/>
    <cellStyle name="Vírgula 2 4 2 2 8 2" xfId="39371" xr:uid="{5EA4194B-E6D5-4EF1-9DF3-8FCF5549114A}"/>
    <cellStyle name="Vírgula 2 4 2 2 9" xfId="26780" xr:uid="{3441B589-C0EA-4958-97B4-8F1F919B126F}"/>
    <cellStyle name="Vírgula 2 4 2 3" xfId="907" xr:uid="{EB31EBCB-BF5E-461A-BE66-D891735B6BC1}"/>
    <cellStyle name="Vírgula 2 4 2 3 2" xfId="2214" xr:uid="{58783D22-9837-4F7C-AFE2-C4C046C571CA}"/>
    <cellStyle name="Vírgula 2 4 2 3 2 2" xfId="5368" xr:uid="{66E6E46F-9116-4D7C-9B7F-6AE08D87D7F9}"/>
    <cellStyle name="Vírgula 2 4 2 3 2 2 2" xfId="11661" xr:uid="{902E64FD-496D-456F-9EFD-4BAA1BBAD18A}"/>
    <cellStyle name="Vírgula 2 4 2 3 2 2 2 2" xfId="24343" xr:uid="{2A9826E6-1C72-4DDE-89C4-A2EE786C717D}"/>
    <cellStyle name="Vírgula 2 4 2 3 2 2 2 2 2" xfId="49835" xr:uid="{51ACF749-6082-4938-8CC0-D95CBBBB43AB}"/>
    <cellStyle name="Vírgula 2 4 2 3 2 2 2 3" xfId="37244" xr:uid="{2E2DE6D6-6FAC-4A17-95BB-38F0EEF5240E}"/>
    <cellStyle name="Vírgula 2 4 2 3 2 2 3" xfId="18065" xr:uid="{BD86D1DB-96B5-48D1-8205-2C0E89D67A1F}"/>
    <cellStyle name="Vírgula 2 4 2 3 2 2 3 2" xfId="43557" xr:uid="{026FA79A-0D2D-484F-97BD-04A68302AA56}"/>
    <cellStyle name="Vírgula 2 4 2 3 2 2 4" xfId="30966" xr:uid="{ECE761B6-B243-4BAC-966F-A287FC3CC9D6}"/>
    <cellStyle name="Vírgula 2 4 2 3 2 3" xfId="8522" xr:uid="{02CAE069-C8FC-4CAD-829F-0D9AC07BAFDC}"/>
    <cellStyle name="Vírgula 2 4 2 3 2 3 2" xfId="21204" xr:uid="{73268B3B-4DC9-41B8-B96C-6C06C94AAC86}"/>
    <cellStyle name="Vírgula 2 4 2 3 2 3 2 2" xfId="46696" xr:uid="{81200E61-E47E-46A2-A1FE-108F0B69AF5F}"/>
    <cellStyle name="Vírgula 2 4 2 3 2 3 3" xfId="34105" xr:uid="{FBB4DD7D-33B8-492F-BCC0-450CA37B3A3D}"/>
    <cellStyle name="Vírgula 2 4 2 3 2 4" xfId="14926" xr:uid="{B73DD68A-6106-4296-8D36-1406AE7C22AC}"/>
    <cellStyle name="Vírgula 2 4 2 3 2 4 2" xfId="40418" xr:uid="{28DF975A-C9D3-4FE6-9F16-B898A50FF0D2}"/>
    <cellStyle name="Vírgula 2 4 2 3 2 5" xfId="27827" xr:uid="{3B56E07E-C53E-41DE-BFA3-01C470C56B45}"/>
    <cellStyle name="Vírgula 2 4 2 3 3" xfId="4061" xr:uid="{6E28C97C-B461-478A-9173-C5FC37632AD2}"/>
    <cellStyle name="Vírgula 2 4 2 3 3 2" xfId="10354" xr:uid="{45C765A4-9DEB-4EFF-A930-824A4C2C153D}"/>
    <cellStyle name="Vírgula 2 4 2 3 3 2 2" xfId="23036" xr:uid="{35F35B8D-A6BA-4DB1-A3F2-110589AEB03A}"/>
    <cellStyle name="Vírgula 2 4 2 3 3 2 2 2" xfId="48528" xr:uid="{98210577-65A8-4BAB-8343-F1068181D9AE}"/>
    <cellStyle name="Vírgula 2 4 2 3 3 2 3" xfId="35937" xr:uid="{352D7820-D6A2-4E94-9CE5-7B662DBA3F1C}"/>
    <cellStyle name="Vírgula 2 4 2 3 3 3" xfId="16758" xr:uid="{318A8572-65FA-4673-8350-292126680F0E}"/>
    <cellStyle name="Vírgula 2 4 2 3 3 3 2" xfId="42250" xr:uid="{39FA9B54-B2BF-4407-9BFA-EDED58FF0572}"/>
    <cellStyle name="Vírgula 2 4 2 3 3 4" xfId="29659" xr:uid="{F4E5405E-6B06-4C22-99E9-C283D67EEF67}"/>
    <cellStyle name="Vírgula 2 4 2 3 4" xfId="7215" xr:uid="{1D883AE1-E2D9-403D-A709-75886FA47544}"/>
    <cellStyle name="Vírgula 2 4 2 3 4 2" xfId="19897" xr:uid="{8BEADAEE-2E86-47E2-BA38-6F30CB604F60}"/>
    <cellStyle name="Vírgula 2 4 2 3 4 2 2" xfId="45389" xr:uid="{3ABA0049-01DA-49E3-8025-426DB2866458}"/>
    <cellStyle name="Vírgula 2 4 2 3 4 3" xfId="32798" xr:uid="{1045CA37-0A22-4453-A198-62BDFF6F5057}"/>
    <cellStyle name="Vírgula 2 4 2 3 5" xfId="13619" xr:uid="{50B6FC92-ED93-49E5-90CD-D6BA0645C050}"/>
    <cellStyle name="Vírgula 2 4 2 3 5 2" xfId="39111" xr:uid="{2023EBDF-1B93-42C7-AC96-23C94A5C9144}"/>
    <cellStyle name="Vírgula 2 4 2 3 6" xfId="26520" xr:uid="{FF0962C9-6C79-4202-AF53-7C58132D1F8A}"/>
    <cellStyle name="Vírgula 2 4 2 4" xfId="1952" xr:uid="{0AF58D31-3F15-497E-A6BA-2107E273BE16}"/>
    <cellStyle name="Vírgula 2 4 2 4 2" xfId="5106" xr:uid="{4C5571B3-41B1-4AE2-A46E-B868B7D0CB3E}"/>
    <cellStyle name="Vírgula 2 4 2 4 2 2" xfId="11399" xr:uid="{0CFE08B9-DECB-4D15-99F9-185C3FB5EBD3}"/>
    <cellStyle name="Vírgula 2 4 2 4 2 2 2" xfId="24081" xr:uid="{0889D188-03B8-4226-B1C1-436A2463BAE8}"/>
    <cellStyle name="Vírgula 2 4 2 4 2 2 2 2" xfId="49573" xr:uid="{54C51103-B8D3-4AF0-8458-2318F009616E}"/>
    <cellStyle name="Vírgula 2 4 2 4 2 2 3" xfId="36982" xr:uid="{B33AB93D-5F77-4254-9E36-14CBD7E811A0}"/>
    <cellStyle name="Vírgula 2 4 2 4 2 3" xfId="17803" xr:uid="{9CB57879-D79F-43BD-A66D-DF21FBBDB3C9}"/>
    <cellStyle name="Vírgula 2 4 2 4 2 3 2" xfId="43295" xr:uid="{57C6BB32-06AB-454A-A2E7-132554491216}"/>
    <cellStyle name="Vírgula 2 4 2 4 2 4" xfId="30704" xr:uid="{80B46B58-A53A-4005-94DE-E0565F973452}"/>
    <cellStyle name="Vírgula 2 4 2 4 3" xfId="8260" xr:uid="{151D3796-85D7-45A7-A478-BA3D87416935}"/>
    <cellStyle name="Vírgula 2 4 2 4 3 2" xfId="20942" xr:uid="{9B15D8F9-C542-4302-A1B9-F0CC5717C685}"/>
    <cellStyle name="Vírgula 2 4 2 4 3 2 2" xfId="46434" xr:uid="{A61123B3-9E67-48BE-B055-3F6758D838A0}"/>
    <cellStyle name="Vírgula 2 4 2 4 3 3" xfId="33843" xr:uid="{C1A9105F-F31F-4A3B-AEE1-0251CC1B7BA0}"/>
    <cellStyle name="Vírgula 2 4 2 4 4" xfId="14664" xr:uid="{BAEC2700-C742-44F4-A354-ED791F8356F5}"/>
    <cellStyle name="Vírgula 2 4 2 4 4 2" xfId="40156" xr:uid="{F5C9FE38-8DE4-4DD2-90A5-E0EE15095920}"/>
    <cellStyle name="Vírgula 2 4 2 4 5" xfId="27565" xr:uid="{2AC390B8-9717-4C6C-91D4-BC6BC0807682}"/>
    <cellStyle name="Vírgula 2 4 2 5" xfId="1430" xr:uid="{CC53A445-0054-4A01-8693-16B446510F63}"/>
    <cellStyle name="Vírgula 2 4 2 5 2" xfId="4584" xr:uid="{993784D6-EBED-4CC9-A3F4-9879D43C0445}"/>
    <cellStyle name="Vírgula 2 4 2 5 2 2" xfId="10877" xr:uid="{5877EB2A-B4E3-4D3E-AC90-AF52B561A309}"/>
    <cellStyle name="Vírgula 2 4 2 5 2 2 2" xfId="23559" xr:uid="{96EF4163-C2EA-4B94-A727-77AE14C500FC}"/>
    <cellStyle name="Vírgula 2 4 2 5 2 2 2 2" xfId="49051" xr:uid="{C4DA5E7E-8515-4B2B-8901-44F70A2B4E8A}"/>
    <cellStyle name="Vírgula 2 4 2 5 2 2 3" xfId="36460" xr:uid="{F42E3A33-41EB-4F44-9238-797B9EF7132D}"/>
    <cellStyle name="Vírgula 2 4 2 5 2 3" xfId="17281" xr:uid="{29ECCE0B-2197-4F73-B308-82F1A950599B}"/>
    <cellStyle name="Vírgula 2 4 2 5 2 3 2" xfId="42773" xr:uid="{D311EF85-170E-402A-9C5B-C7B38F6ACC3E}"/>
    <cellStyle name="Vírgula 2 4 2 5 2 4" xfId="30182" xr:uid="{36623A93-5982-423A-AB8B-09A20A48F525}"/>
    <cellStyle name="Vírgula 2 4 2 5 3" xfId="7738" xr:uid="{DD3B4C22-74A5-471B-85E2-E400D49A640E}"/>
    <cellStyle name="Vírgula 2 4 2 5 3 2" xfId="20420" xr:uid="{1C7B4A44-6CED-4CFD-9240-1D9DBCB88D0B}"/>
    <cellStyle name="Vírgula 2 4 2 5 3 2 2" xfId="45912" xr:uid="{5DFD1E21-F095-449A-85B9-0ABE43FB0F34}"/>
    <cellStyle name="Vírgula 2 4 2 5 3 3" xfId="33321" xr:uid="{1352DAA2-95C4-4C4A-8927-4FEA4F3EFC55}"/>
    <cellStyle name="Vírgula 2 4 2 5 4" xfId="14142" xr:uid="{B708074B-A0CC-4D99-BB01-0A27B5AC761B}"/>
    <cellStyle name="Vírgula 2 4 2 5 4 2" xfId="39634" xr:uid="{7218466D-1277-455C-AC58-2B29AF21472A}"/>
    <cellStyle name="Vírgula 2 4 2 5 5" xfId="27043" xr:uid="{E9DA6453-2520-48C6-89DA-808F35BB0BDF}"/>
    <cellStyle name="Vírgula 2 4 2 6" xfId="2737" xr:uid="{95F217C3-39C8-4400-A3DE-00EB66F086E1}"/>
    <cellStyle name="Vírgula 2 4 2 6 2" xfId="5891" xr:uid="{402B5AEE-DF53-40A7-9CBB-970EA61C701F}"/>
    <cellStyle name="Vírgula 2 4 2 6 2 2" xfId="12184" xr:uid="{D0C48760-4BA4-4964-AB0F-3906E2658B3F}"/>
    <cellStyle name="Vírgula 2 4 2 6 2 2 2" xfId="24866" xr:uid="{2A50661E-D338-47EE-BA21-5DDA89867530}"/>
    <cellStyle name="Vírgula 2 4 2 6 2 2 2 2" xfId="50358" xr:uid="{C6AC09E3-06B6-4D75-BC09-8DD6B2BBC999}"/>
    <cellStyle name="Vírgula 2 4 2 6 2 2 3" xfId="37767" xr:uid="{179651E2-A068-4BE5-9FD6-CF96CABD002B}"/>
    <cellStyle name="Vírgula 2 4 2 6 2 3" xfId="18588" xr:uid="{441E3D20-490F-49BA-8359-5464DC713997}"/>
    <cellStyle name="Vírgula 2 4 2 6 2 3 2" xfId="44080" xr:uid="{5263D9E2-2D74-47BA-A1CA-21BB3F5BACA4}"/>
    <cellStyle name="Vírgula 2 4 2 6 2 4" xfId="31489" xr:uid="{2174FCC2-FB06-4584-95F2-F46B704F7CA1}"/>
    <cellStyle name="Vírgula 2 4 2 6 3" xfId="9045" xr:uid="{5A415941-6AFF-4F04-94DA-DB59AB440A4C}"/>
    <cellStyle name="Vírgula 2 4 2 6 3 2" xfId="21727" xr:uid="{84828394-743A-40F6-9AAF-38984EE7BB2B}"/>
    <cellStyle name="Vírgula 2 4 2 6 3 2 2" xfId="47219" xr:uid="{6770D4CA-885C-4DCC-9F31-1A9C36291F7D}"/>
    <cellStyle name="Vírgula 2 4 2 6 3 3" xfId="34628" xr:uid="{3CB401C7-B46C-48A2-9C17-11A33A1887C5}"/>
    <cellStyle name="Vírgula 2 4 2 6 4" xfId="15449" xr:uid="{67EEE2F1-9783-45D3-8831-71629646CBE4}"/>
    <cellStyle name="Vírgula 2 4 2 6 4 2" xfId="40941" xr:uid="{DD3D2AEF-1E2C-45C9-B643-BF62D4741E37}"/>
    <cellStyle name="Vírgula 2 4 2 6 5" xfId="28350" xr:uid="{1BE046E1-9337-4858-A4A7-36D53F41FF8A}"/>
    <cellStyle name="Vírgula 2 4 2 7" xfId="3260" xr:uid="{A5867059-F6DB-40A3-9040-AB585644C2A7}"/>
    <cellStyle name="Vírgula 2 4 2 7 2" xfId="6414" xr:uid="{8F585E6D-95CD-4E71-B0BE-8EFD700876F3}"/>
    <cellStyle name="Vírgula 2 4 2 7 2 2" xfId="12707" xr:uid="{1AABF5B0-AB67-470E-B1BC-A61F76DD3869}"/>
    <cellStyle name="Vírgula 2 4 2 7 2 2 2" xfId="25389" xr:uid="{A46E9FF9-5228-4CC8-BC60-72BAF26C4FC6}"/>
    <cellStyle name="Vírgula 2 4 2 7 2 2 2 2" xfId="50881" xr:uid="{A806A790-CDBE-4E80-878B-C63F27CDB2AB}"/>
    <cellStyle name="Vírgula 2 4 2 7 2 2 3" xfId="38290" xr:uid="{64DB63C5-9497-4A96-B867-8A747363580B}"/>
    <cellStyle name="Vírgula 2 4 2 7 2 3" xfId="19111" xr:uid="{94F6BB5D-5DF1-43EB-AC08-E93C10C2655D}"/>
    <cellStyle name="Vírgula 2 4 2 7 2 3 2" xfId="44603" xr:uid="{DAC22790-837E-438C-8D9C-10DF6E1E12A3}"/>
    <cellStyle name="Vírgula 2 4 2 7 2 4" xfId="32012" xr:uid="{7D3BF60E-BB34-4129-AD65-E14B6B2EF2E4}"/>
    <cellStyle name="Vírgula 2 4 2 7 3" xfId="9568" xr:uid="{149A22F0-3F1F-4D3F-BB81-A042DB05CE11}"/>
    <cellStyle name="Vírgula 2 4 2 7 3 2" xfId="22250" xr:uid="{E7DB180E-02E6-421A-A70E-C606B35C38EB}"/>
    <cellStyle name="Vírgula 2 4 2 7 3 2 2" xfId="47742" xr:uid="{2904E29B-8241-47F0-BAF2-CC8609A3AA2B}"/>
    <cellStyle name="Vírgula 2 4 2 7 3 3" xfId="35151" xr:uid="{961D093B-ED63-42AC-8730-E4831B5B8453}"/>
    <cellStyle name="Vírgula 2 4 2 7 4" xfId="15972" xr:uid="{5519CFDB-7D1A-4263-81D3-C5D71718AC01}"/>
    <cellStyle name="Vírgula 2 4 2 7 4 2" xfId="41464" xr:uid="{078CF9D5-A00C-4E7A-A65A-9838F19875D7}"/>
    <cellStyle name="Vírgula 2 4 2 7 5" xfId="28873" xr:uid="{86B15FD3-B634-408F-B2D4-A516BFA5D05F}"/>
    <cellStyle name="Vírgula 2 4 2 8" xfId="3799" xr:uid="{A5FF54B9-7502-468B-9DDE-AC7A258E1B4F}"/>
    <cellStyle name="Vírgula 2 4 2 8 2" xfId="10092" xr:uid="{55370515-788F-4D56-A6C5-7B19F7F21517}"/>
    <cellStyle name="Vírgula 2 4 2 8 2 2" xfId="22774" xr:uid="{05AE70D8-F679-4BB1-9758-C3E1A148278F}"/>
    <cellStyle name="Vírgula 2 4 2 8 2 2 2" xfId="48266" xr:uid="{91175A6B-4BA6-4B1C-AA2D-F0695E288680}"/>
    <cellStyle name="Vírgula 2 4 2 8 2 3" xfId="35675" xr:uid="{8A446C7B-9210-4E15-9510-FE986EC032EB}"/>
    <cellStyle name="Vírgula 2 4 2 8 3" xfId="16496" xr:uid="{34F85A52-31C5-4FCD-9D74-DC04CF046CC6}"/>
    <cellStyle name="Vírgula 2 4 2 8 3 2" xfId="41988" xr:uid="{38553D47-9EFB-4AFC-B496-99AC99DAB616}"/>
    <cellStyle name="Vírgula 2 4 2 8 4" xfId="29397" xr:uid="{2842D970-2225-4EA4-B5D9-632770E14345}"/>
    <cellStyle name="Vírgula 2 4 2 9" xfId="6953" xr:uid="{B8C80C58-2D3F-48FF-B127-13A02E30CE6D}"/>
    <cellStyle name="Vírgula 2 4 2 9 2" xfId="19635" xr:uid="{D726B30A-3DAD-468F-A21D-49920718182D}"/>
    <cellStyle name="Vírgula 2 4 2 9 2 2" xfId="45127" xr:uid="{DD01A568-8263-41A4-9FC5-F3954DDF9DDB}"/>
    <cellStyle name="Vírgula 2 4 2 9 3" xfId="32536" xr:uid="{8E3E776A-E6E6-4266-A9EA-3443E43C8E25}"/>
    <cellStyle name="Vírgula 2 4 3" xfId="530" xr:uid="{800C961F-7FFA-4720-A2AD-CFA1CEAAAC0C}"/>
    <cellStyle name="Vírgula 2 4 3 10" xfId="13257" xr:uid="{DD2464C4-5869-4A4D-A17B-110376E01508}"/>
    <cellStyle name="Vírgula 2 4 3 10 2" xfId="38749" xr:uid="{A3AD5852-A8EB-425A-97F2-141ECB4D630F}"/>
    <cellStyle name="Vírgula 2 4 3 11" xfId="26158" xr:uid="{F4826A99-28F6-428A-A95B-CFE0B801634C}"/>
    <cellStyle name="Vírgula 2 4 3 2" xfId="1067" xr:uid="{F411A4FF-6D24-4D1C-98F4-3DA19786BDE5}"/>
    <cellStyle name="Vírgula 2 4 3 2 2" xfId="2374" xr:uid="{517E2F87-4677-4F84-866D-66A409973DE5}"/>
    <cellStyle name="Vírgula 2 4 3 2 2 2" xfId="5528" xr:uid="{E8DB4F7A-256E-47B8-B9AC-3E77DA553253}"/>
    <cellStyle name="Vírgula 2 4 3 2 2 2 2" xfId="11821" xr:uid="{F006179F-0D62-4511-A00B-079E1937D901}"/>
    <cellStyle name="Vírgula 2 4 3 2 2 2 2 2" xfId="24503" xr:uid="{91964756-090E-4E47-99B0-A191066E2E7B}"/>
    <cellStyle name="Vírgula 2 4 3 2 2 2 2 2 2" xfId="49995" xr:uid="{125C3877-3C3F-410E-847D-442BA6559939}"/>
    <cellStyle name="Vírgula 2 4 3 2 2 2 2 3" xfId="37404" xr:uid="{DC5D9AD9-29A7-47B5-A583-798749BCE96B}"/>
    <cellStyle name="Vírgula 2 4 3 2 2 2 3" xfId="18225" xr:uid="{2F18BABD-B068-4761-B8BF-840C49FF3E06}"/>
    <cellStyle name="Vírgula 2 4 3 2 2 2 3 2" xfId="43717" xr:uid="{5BDD6F3D-D066-48C9-B679-0FD14161E72B}"/>
    <cellStyle name="Vírgula 2 4 3 2 2 2 4" xfId="31126" xr:uid="{6FFD61FA-CF03-4CA6-A6D7-213EF1A3087B}"/>
    <cellStyle name="Vírgula 2 4 3 2 2 3" xfId="8682" xr:uid="{23058C99-9AAC-4110-A36A-206AF9948D5F}"/>
    <cellStyle name="Vírgula 2 4 3 2 2 3 2" xfId="21364" xr:uid="{70667A80-AE75-4C8E-9143-6FA39E31E673}"/>
    <cellStyle name="Vírgula 2 4 3 2 2 3 2 2" xfId="46856" xr:uid="{BC3484CE-FB3B-4E9C-9D37-8D334F874F5B}"/>
    <cellStyle name="Vírgula 2 4 3 2 2 3 3" xfId="34265" xr:uid="{30B8F3C2-DA19-466F-BA4C-09DC6E5B37F1}"/>
    <cellStyle name="Vírgula 2 4 3 2 2 4" xfId="15086" xr:uid="{F17BBAC8-8ACB-40BE-AC24-DF549FE1CEEC}"/>
    <cellStyle name="Vírgula 2 4 3 2 2 4 2" xfId="40578" xr:uid="{449AC452-5F1A-445B-A9E9-C5FA4033E19E}"/>
    <cellStyle name="Vírgula 2 4 3 2 2 5" xfId="27987" xr:uid="{BE4B85B4-11EF-4545-A6AD-11F93BE0BC7D}"/>
    <cellStyle name="Vírgula 2 4 3 2 3" xfId="1591" xr:uid="{87F057AE-9547-49EF-8CCE-4865985FD8C5}"/>
    <cellStyle name="Vírgula 2 4 3 2 3 2" xfId="4745" xr:uid="{75C73E49-9341-4824-8183-DA452237C762}"/>
    <cellStyle name="Vírgula 2 4 3 2 3 2 2" xfId="11038" xr:uid="{2747F3C0-4450-4400-8CBB-6D3315FDE1C9}"/>
    <cellStyle name="Vírgula 2 4 3 2 3 2 2 2" xfId="23720" xr:uid="{331DFC40-1417-4EC6-B0B2-75432B91B1A4}"/>
    <cellStyle name="Vírgula 2 4 3 2 3 2 2 2 2" xfId="49212" xr:uid="{E9BA7887-0451-41EB-8388-9DCEC9B0C3B1}"/>
    <cellStyle name="Vírgula 2 4 3 2 3 2 2 3" xfId="36621" xr:uid="{E78E5CA7-880B-4D92-9AF4-9AF9E60BB60A}"/>
    <cellStyle name="Vírgula 2 4 3 2 3 2 3" xfId="17442" xr:uid="{B9DC8C94-3F8A-4C78-9405-6C4EAB466725}"/>
    <cellStyle name="Vírgula 2 4 3 2 3 2 3 2" xfId="42934" xr:uid="{4571376C-6DD9-4D0F-B2C4-31D6F50559F9}"/>
    <cellStyle name="Vírgula 2 4 3 2 3 2 4" xfId="30343" xr:uid="{9F0ABAAF-8C5E-496E-96B2-4FD4C9F5D6AA}"/>
    <cellStyle name="Vírgula 2 4 3 2 3 3" xfId="7899" xr:uid="{F3DF6675-EE5C-4AA3-B244-F7138FC25695}"/>
    <cellStyle name="Vírgula 2 4 3 2 3 3 2" xfId="20581" xr:uid="{47A0C8A9-25E7-4054-B303-AED70A88A6C6}"/>
    <cellStyle name="Vírgula 2 4 3 2 3 3 2 2" xfId="46073" xr:uid="{2CCF93C9-5D9C-473A-A422-9BDCE04FE06A}"/>
    <cellStyle name="Vírgula 2 4 3 2 3 3 3" xfId="33482" xr:uid="{6DDD5CED-E5B1-4983-83B7-5E7DFE123A83}"/>
    <cellStyle name="Vírgula 2 4 3 2 3 4" xfId="14303" xr:uid="{AD4C1A0D-E10A-4ED0-B804-36857BB776CC}"/>
    <cellStyle name="Vírgula 2 4 3 2 3 4 2" xfId="39795" xr:uid="{E98E1306-259E-4953-B362-8439BBE6C351}"/>
    <cellStyle name="Vírgula 2 4 3 2 3 5" xfId="27204" xr:uid="{867C71B8-9135-4363-A9A2-B1D5DD5734D6}"/>
    <cellStyle name="Vírgula 2 4 3 2 4" xfId="2898" xr:uid="{449956CD-8B1A-4CAB-B321-F45CEC874F2E}"/>
    <cellStyle name="Vírgula 2 4 3 2 4 2" xfId="6052" xr:uid="{CF33A50A-768C-45D6-801E-A565DD1EC9BB}"/>
    <cellStyle name="Vírgula 2 4 3 2 4 2 2" xfId="12345" xr:uid="{67A1DFAD-1830-4B36-B423-27CFFFABBA23}"/>
    <cellStyle name="Vírgula 2 4 3 2 4 2 2 2" xfId="25027" xr:uid="{E3FCE4E7-768E-4ABF-867E-1314822B02CD}"/>
    <cellStyle name="Vírgula 2 4 3 2 4 2 2 2 2" xfId="50519" xr:uid="{001CC8AC-803F-4DB3-A1C3-5F6DC48135B0}"/>
    <cellStyle name="Vírgula 2 4 3 2 4 2 2 3" xfId="37928" xr:uid="{EA764C05-8AE8-436A-AD50-2AB969C5AC73}"/>
    <cellStyle name="Vírgula 2 4 3 2 4 2 3" xfId="18749" xr:uid="{49D826CE-3D52-4D55-99E6-129B3901FB2B}"/>
    <cellStyle name="Vírgula 2 4 3 2 4 2 3 2" xfId="44241" xr:uid="{F167474C-43C8-4EEC-83A3-CF2D91FFD58E}"/>
    <cellStyle name="Vírgula 2 4 3 2 4 2 4" xfId="31650" xr:uid="{7E9FC03D-152E-4430-BB70-70CB584AB177}"/>
    <cellStyle name="Vírgula 2 4 3 2 4 3" xfId="9206" xr:uid="{70B77BB8-B6C1-46C8-ABEC-0DF723BDFE4B}"/>
    <cellStyle name="Vírgula 2 4 3 2 4 3 2" xfId="21888" xr:uid="{F2620F70-21AB-453E-BBB5-B76BD4354A5F}"/>
    <cellStyle name="Vírgula 2 4 3 2 4 3 2 2" xfId="47380" xr:uid="{264ADBB1-3D94-4A73-936A-955244F66EE7}"/>
    <cellStyle name="Vírgula 2 4 3 2 4 3 3" xfId="34789" xr:uid="{214FE7D0-AE19-4C63-B426-8DB6CA0E0270}"/>
    <cellStyle name="Vírgula 2 4 3 2 4 4" xfId="15610" xr:uid="{9279FBD6-685D-4E5D-8169-41EB66E11100}"/>
    <cellStyle name="Vírgula 2 4 3 2 4 4 2" xfId="41102" xr:uid="{C788B172-0894-4B85-8775-D62688FB2368}"/>
    <cellStyle name="Vírgula 2 4 3 2 4 5" xfId="28511" xr:uid="{F9076EB5-8CB6-407D-83DF-B5A4C64A900D}"/>
    <cellStyle name="Vírgula 2 4 3 2 5" xfId="3421" xr:uid="{864666BA-5E8B-41AA-A72E-470F1354F382}"/>
    <cellStyle name="Vírgula 2 4 3 2 5 2" xfId="6575" xr:uid="{442F10CC-0DAE-447B-8BDC-0B1BD01A0EBE}"/>
    <cellStyle name="Vírgula 2 4 3 2 5 2 2" xfId="12868" xr:uid="{030F4C81-48E8-43F3-BD60-264554B95324}"/>
    <cellStyle name="Vírgula 2 4 3 2 5 2 2 2" xfId="25550" xr:uid="{C05BE62F-C19C-48AD-B6C5-002E37C8D080}"/>
    <cellStyle name="Vírgula 2 4 3 2 5 2 2 2 2" xfId="51042" xr:uid="{EB230798-80EC-4532-B3F6-65BEF4DB1536}"/>
    <cellStyle name="Vírgula 2 4 3 2 5 2 2 3" xfId="38451" xr:uid="{F4F6537F-7711-4BED-8AAC-5A16220ABC10}"/>
    <cellStyle name="Vírgula 2 4 3 2 5 2 3" xfId="19272" xr:uid="{C8A92EE4-F7B0-4526-BF44-06FA6F57B79F}"/>
    <cellStyle name="Vírgula 2 4 3 2 5 2 3 2" xfId="44764" xr:uid="{C4CF9D3C-DBA2-421A-A0A2-0662CC4B508A}"/>
    <cellStyle name="Vírgula 2 4 3 2 5 2 4" xfId="32173" xr:uid="{162A498A-3347-4261-913B-FD63E78A5CCD}"/>
    <cellStyle name="Vírgula 2 4 3 2 5 3" xfId="9729" xr:uid="{10FAB037-9E06-476A-95CA-8C7812BE8D30}"/>
    <cellStyle name="Vírgula 2 4 3 2 5 3 2" xfId="22411" xr:uid="{72530563-61ED-45ED-84CB-CBCADC41F86A}"/>
    <cellStyle name="Vírgula 2 4 3 2 5 3 2 2" xfId="47903" xr:uid="{08E1CDC8-5F53-4A38-BDC7-2417B8AD3EBB}"/>
    <cellStyle name="Vírgula 2 4 3 2 5 3 3" xfId="35312" xr:uid="{B579B4F4-08A6-47F8-A271-A10671026613}"/>
    <cellStyle name="Vírgula 2 4 3 2 5 4" xfId="16133" xr:uid="{CEF50F78-86E5-44DD-8D1D-BD0D4C393343}"/>
    <cellStyle name="Vírgula 2 4 3 2 5 4 2" xfId="41625" xr:uid="{0914266C-F610-4299-9CF7-D592F93F879B}"/>
    <cellStyle name="Vírgula 2 4 3 2 5 5" xfId="29034" xr:uid="{3CA5CEDC-FB09-4919-8EF8-53FD8C452620}"/>
    <cellStyle name="Vírgula 2 4 3 2 6" xfId="4221" xr:uid="{63D4C622-6362-4572-987F-C003BD8B1616}"/>
    <cellStyle name="Vírgula 2 4 3 2 6 2" xfId="10514" xr:uid="{80F4F220-8E0C-4C6A-B002-DFC8164C250F}"/>
    <cellStyle name="Vírgula 2 4 3 2 6 2 2" xfId="23196" xr:uid="{2B9FD95A-3613-418E-BA46-B8BDEF4C282C}"/>
    <cellStyle name="Vírgula 2 4 3 2 6 2 2 2" xfId="48688" xr:uid="{6B789180-3FC3-4631-A36A-A390BF5F30C5}"/>
    <cellStyle name="Vírgula 2 4 3 2 6 2 3" xfId="36097" xr:uid="{85A604C7-F92B-4717-B1E0-7CB3D0DBC8BC}"/>
    <cellStyle name="Vírgula 2 4 3 2 6 3" xfId="16918" xr:uid="{E791CC8C-77E7-45DE-85AD-6BAC87BBDF2F}"/>
    <cellStyle name="Vírgula 2 4 3 2 6 3 2" xfId="42410" xr:uid="{53FF02C8-7359-41AE-A6AF-FB1493B64209}"/>
    <cellStyle name="Vírgula 2 4 3 2 6 4" xfId="29819" xr:uid="{C474CBF0-EA24-4BD9-8CE4-F3EA143F7B88}"/>
    <cellStyle name="Vírgula 2 4 3 2 7" xfId="7375" xr:uid="{4E2F71F0-DD22-44B6-8973-AC90B7AEAF33}"/>
    <cellStyle name="Vírgula 2 4 3 2 7 2" xfId="20057" xr:uid="{119D71B2-013C-43B8-906D-0C1C0E6096EB}"/>
    <cellStyle name="Vírgula 2 4 3 2 7 2 2" xfId="45549" xr:uid="{4273DF64-1EA2-4F5A-AD15-DEBD48804350}"/>
    <cellStyle name="Vírgula 2 4 3 2 7 3" xfId="32958" xr:uid="{15B7362D-7F14-4257-8464-471555AD0BC9}"/>
    <cellStyle name="Vírgula 2 4 3 2 8" xfId="13779" xr:uid="{0173D401-F758-4531-8249-6FD3ED8860EF}"/>
    <cellStyle name="Vírgula 2 4 3 2 8 2" xfId="39271" xr:uid="{3E049D64-0629-4729-BBF2-96AE3FB7F883}"/>
    <cellStyle name="Vírgula 2 4 3 2 9" xfId="26680" xr:uid="{57C17A3F-3C44-43BF-8926-FD77CF944BA6}"/>
    <cellStyle name="Vírgula 2 4 3 3" xfId="807" xr:uid="{983B5EB5-D259-46E8-96F2-AFD4201C6FBB}"/>
    <cellStyle name="Vírgula 2 4 3 3 2" xfId="2114" xr:uid="{D65C70E0-5B03-4B83-850A-C69C75C7C58A}"/>
    <cellStyle name="Vírgula 2 4 3 3 2 2" xfId="5268" xr:uid="{37AD8C8F-AA8D-4F87-8845-69EC455DD52D}"/>
    <cellStyle name="Vírgula 2 4 3 3 2 2 2" xfId="11561" xr:uid="{435DE455-1692-45BC-84F1-29DD41750407}"/>
    <cellStyle name="Vírgula 2 4 3 3 2 2 2 2" xfId="24243" xr:uid="{6274D6C3-D99E-4C74-AE49-09F8ADFE3A89}"/>
    <cellStyle name="Vírgula 2 4 3 3 2 2 2 2 2" xfId="49735" xr:uid="{E4A964C8-C668-48BC-9247-1201F7AD5528}"/>
    <cellStyle name="Vírgula 2 4 3 3 2 2 2 3" xfId="37144" xr:uid="{8E581260-8ABF-425D-8CF9-24C775D96902}"/>
    <cellStyle name="Vírgula 2 4 3 3 2 2 3" xfId="17965" xr:uid="{4DF02C45-64EB-4C4C-A85A-6DB5D22A2633}"/>
    <cellStyle name="Vírgula 2 4 3 3 2 2 3 2" xfId="43457" xr:uid="{975DCCE2-072F-445D-AFF6-68B7EC66CEE0}"/>
    <cellStyle name="Vírgula 2 4 3 3 2 2 4" xfId="30866" xr:uid="{36E0E511-38C8-4CF0-9712-A9A53055B620}"/>
    <cellStyle name="Vírgula 2 4 3 3 2 3" xfId="8422" xr:uid="{7A169248-DCB1-4F62-9DFD-0CA66073BAB5}"/>
    <cellStyle name="Vírgula 2 4 3 3 2 3 2" xfId="21104" xr:uid="{4F76844D-EB2A-440A-86A6-1CC4E1E42471}"/>
    <cellStyle name="Vírgula 2 4 3 3 2 3 2 2" xfId="46596" xr:uid="{18A04D6D-2EC0-4E2C-891B-563138CD4BCA}"/>
    <cellStyle name="Vírgula 2 4 3 3 2 3 3" xfId="34005" xr:uid="{FF3B6F50-D558-4929-8149-A7A89B2615B0}"/>
    <cellStyle name="Vírgula 2 4 3 3 2 4" xfId="14826" xr:uid="{DD63D545-E60F-4B84-9D6B-3807128CA6F9}"/>
    <cellStyle name="Vírgula 2 4 3 3 2 4 2" xfId="40318" xr:uid="{AE1BF737-1B2D-455A-ADCE-F311F1BB1543}"/>
    <cellStyle name="Vírgula 2 4 3 3 2 5" xfId="27727" xr:uid="{B1408EFE-0311-4444-94FA-1D91A99BAFCE}"/>
    <cellStyle name="Vírgula 2 4 3 3 3" xfId="3961" xr:uid="{6708BA20-ECD1-4D97-9EFF-37947E83226F}"/>
    <cellStyle name="Vírgula 2 4 3 3 3 2" xfId="10254" xr:uid="{EA8AE3AC-42AA-4609-A0CE-2A6002712321}"/>
    <cellStyle name="Vírgula 2 4 3 3 3 2 2" xfId="22936" xr:uid="{4A031762-96B9-4E76-8F7B-31FE2D70B570}"/>
    <cellStyle name="Vírgula 2 4 3 3 3 2 2 2" xfId="48428" xr:uid="{60248955-1027-4874-858F-DC167E9914B9}"/>
    <cellStyle name="Vírgula 2 4 3 3 3 2 3" xfId="35837" xr:uid="{677DE2E0-AEE4-4C77-B82F-0562A01D9093}"/>
    <cellStyle name="Vírgula 2 4 3 3 3 3" xfId="16658" xr:uid="{8AF20450-2A34-45B0-9447-A2F5748C1187}"/>
    <cellStyle name="Vírgula 2 4 3 3 3 3 2" xfId="42150" xr:uid="{6BB5C292-6E12-47CE-8F52-377C9B7BD2C8}"/>
    <cellStyle name="Vírgula 2 4 3 3 3 4" xfId="29559" xr:uid="{C5F8FBE2-F6C1-46E2-88E3-0ED5B4A9024C}"/>
    <cellStyle name="Vírgula 2 4 3 3 4" xfId="7115" xr:uid="{6DCB8AF0-9ECD-405E-AEA1-457542242609}"/>
    <cellStyle name="Vírgula 2 4 3 3 4 2" xfId="19797" xr:uid="{296B8F73-C550-4CB5-8A92-E97056EF2F77}"/>
    <cellStyle name="Vírgula 2 4 3 3 4 2 2" xfId="45289" xr:uid="{78439D68-8730-4F45-8E3C-CF935637A206}"/>
    <cellStyle name="Vírgula 2 4 3 3 4 3" xfId="32698" xr:uid="{FA44CA61-EAA5-467C-BA97-58515AF21D82}"/>
    <cellStyle name="Vírgula 2 4 3 3 5" xfId="13519" xr:uid="{834B09EC-A22D-4FBB-B9AB-B83F3FC1199F}"/>
    <cellStyle name="Vírgula 2 4 3 3 5 2" xfId="39011" xr:uid="{8B332F43-CB6E-4C45-8C1B-CCE14CF91155}"/>
    <cellStyle name="Vírgula 2 4 3 3 6" xfId="26420" xr:uid="{5F925DF5-A460-4CA2-BEE9-09757A8DBB55}"/>
    <cellStyle name="Vírgula 2 4 3 4" xfId="1852" xr:uid="{77E703CD-BAC3-450D-8A16-E8BF2E9A920D}"/>
    <cellStyle name="Vírgula 2 4 3 4 2" xfId="5006" xr:uid="{8670BAAE-FE33-4CD3-A147-AE6040274EFB}"/>
    <cellStyle name="Vírgula 2 4 3 4 2 2" xfId="11299" xr:uid="{6852CDCC-3ADB-4F8E-979C-24A2B546967A}"/>
    <cellStyle name="Vírgula 2 4 3 4 2 2 2" xfId="23981" xr:uid="{784E679D-EBA0-4E7C-B2D4-49E21C6340AF}"/>
    <cellStyle name="Vírgula 2 4 3 4 2 2 2 2" xfId="49473" xr:uid="{6E7CEE2C-F066-46C5-A1E3-74856A4B5F1A}"/>
    <cellStyle name="Vírgula 2 4 3 4 2 2 3" xfId="36882" xr:uid="{9D3B83BB-33AA-41AB-8597-863118F7FB29}"/>
    <cellStyle name="Vírgula 2 4 3 4 2 3" xfId="17703" xr:uid="{F196E190-801A-4337-A785-6F396E4F761C}"/>
    <cellStyle name="Vírgula 2 4 3 4 2 3 2" xfId="43195" xr:uid="{20E2E365-80FB-4AE3-A49A-8F9374F1A77A}"/>
    <cellStyle name="Vírgula 2 4 3 4 2 4" xfId="30604" xr:uid="{D1222DD9-A5B9-43D1-95F9-5E9E9DC114DC}"/>
    <cellStyle name="Vírgula 2 4 3 4 3" xfId="8160" xr:uid="{64E7FB8E-7640-4331-9396-46EE59973D0B}"/>
    <cellStyle name="Vírgula 2 4 3 4 3 2" xfId="20842" xr:uid="{F69D51CB-6339-4AAA-A23E-146C37F603E0}"/>
    <cellStyle name="Vírgula 2 4 3 4 3 2 2" xfId="46334" xr:uid="{6B1FC01D-4346-46A4-A96A-F21A12049566}"/>
    <cellStyle name="Vírgula 2 4 3 4 3 3" xfId="33743" xr:uid="{5F878BD6-BB86-42FB-8A7F-827853583410}"/>
    <cellStyle name="Vírgula 2 4 3 4 4" xfId="14564" xr:uid="{7B520D15-BC46-4467-83C3-95FCEA97DC7B}"/>
    <cellStyle name="Vírgula 2 4 3 4 4 2" xfId="40056" xr:uid="{46D726DE-3A84-410F-92E8-8782AE8EE337}"/>
    <cellStyle name="Vírgula 2 4 3 4 5" xfId="27465" xr:uid="{7302F2C0-67DA-4DDE-84FC-88CF069289EE}"/>
    <cellStyle name="Vírgula 2 4 3 5" xfId="1330" xr:uid="{8E8AAACE-6A9C-4156-BB75-C5DE836846DB}"/>
    <cellStyle name="Vírgula 2 4 3 5 2" xfId="4484" xr:uid="{2929FB0B-3664-4086-8D31-17748DB6809C}"/>
    <cellStyle name="Vírgula 2 4 3 5 2 2" xfId="10777" xr:uid="{7BC69DAF-E03A-4843-9E01-4B7223A517CC}"/>
    <cellStyle name="Vírgula 2 4 3 5 2 2 2" xfId="23459" xr:uid="{C1AA2FDC-D384-42C9-8479-5CF754364B1B}"/>
    <cellStyle name="Vírgula 2 4 3 5 2 2 2 2" xfId="48951" xr:uid="{11484AAF-EDBF-41E8-A16D-05AE8A292081}"/>
    <cellStyle name="Vírgula 2 4 3 5 2 2 3" xfId="36360" xr:uid="{000CBA1C-93BC-4735-8C59-9958F5EEF019}"/>
    <cellStyle name="Vírgula 2 4 3 5 2 3" xfId="17181" xr:uid="{E0BCCCB8-8A70-480C-8EB6-49901D30A2AD}"/>
    <cellStyle name="Vírgula 2 4 3 5 2 3 2" xfId="42673" xr:uid="{CC64AF12-5ECD-4CFC-A534-16C5EEDD4569}"/>
    <cellStyle name="Vírgula 2 4 3 5 2 4" xfId="30082" xr:uid="{BC66D5A0-2875-47E0-AD1C-768AC3CEF4C5}"/>
    <cellStyle name="Vírgula 2 4 3 5 3" xfId="7638" xr:uid="{94DB814D-D3B3-4431-AEA1-FC51F59A5407}"/>
    <cellStyle name="Vírgula 2 4 3 5 3 2" xfId="20320" xr:uid="{9997856D-0D76-4326-B497-A4C31FC9E840}"/>
    <cellStyle name="Vírgula 2 4 3 5 3 2 2" xfId="45812" xr:uid="{089B0C54-AE64-4CCE-A979-EAD05481C539}"/>
    <cellStyle name="Vírgula 2 4 3 5 3 3" xfId="33221" xr:uid="{75E87EB7-139A-437F-AFB6-8BB30B36B285}"/>
    <cellStyle name="Vírgula 2 4 3 5 4" xfId="14042" xr:uid="{2BFE10F0-45CC-4771-98C0-65CB95CA14DB}"/>
    <cellStyle name="Vírgula 2 4 3 5 4 2" xfId="39534" xr:uid="{F5BF2622-0AB9-452D-8D92-4B77C73A5CDC}"/>
    <cellStyle name="Vírgula 2 4 3 5 5" xfId="26943" xr:uid="{EF331AAD-706A-4511-853A-3351DCFDCD16}"/>
    <cellStyle name="Vírgula 2 4 3 6" xfId="2637" xr:uid="{D2AC96C2-1E4A-417E-B006-E6BC956B28B0}"/>
    <cellStyle name="Vírgula 2 4 3 6 2" xfId="5791" xr:uid="{9613D3FA-29A0-434C-9220-601BA7504B35}"/>
    <cellStyle name="Vírgula 2 4 3 6 2 2" xfId="12084" xr:uid="{937B50EF-15E0-4573-9AD8-37EA57DC1A7B}"/>
    <cellStyle name="Vírgula 2 4 3 6 2 2 2" xfId="24766" xr:uid="{AF3C0C38-4DEE-4109-A6D8-87B98679B50C}"/>
    <cellStyle name="Vírgula 2 4 3 6 2 2 2 2" xfId="50258" xr:uid="{197BC2C4-02A6-4CA1-A4A7-DBA5D9D775E9}"/>
    <cellStyle name="Vírgula 2 4 3 6 2 2 3" xfId="37667" xr:uid="{F9982E92-84D7-4D6F-A324-AB5D11273800}"/>
    <cellStyle name="Vírgula 2 4 3 6 2 3" xfId="18488" xr:uid="{F6FB3777-AF56-4E16-AD65-83171C75FCA3}"/>
    <cellStyle name="Vírgula 2 4 3 6 2 3 2" xfId="43980" xr:uid="{899FF7A8-52B9-4F99-9751-BC2D15E10F81}"/>
    <cellStyle name="Vírgula 2 4 3 6 2 4" xfId="31389" xr:uid="{92C5C547-2962-4575-B02E-A13E3E99DE8C}"/>
    <cellStyle name="Vírgula 2 4 3 6 3" xfId="8945" xr:uid="{FA105F48-C962-43C6-92FA-E85872A7483D}"/>
    <cellStyle name="Vírgula 2 4 3 6 3 2" xfId="21627" xr:uid="{3FB9C5C0-715C-4C7D-98C0-661362306941}"/>
    <cellStyle name="Vírgula 2 4 3 6 3 2 2" xfId="47119" xr:uid="{958F9B14-54C2-4009-8D5F-034CF0D039DC}"/>
    <cellStyle name="Vírgula 2 4 3 6 3 3" xfId="34528" xr:uid="{2A9C3A3E-BC11-4937-976F-5704A66AB630}"/>
    <cellStyle name="Vírgula 2 4 3 6 4" xfId="15349" xr:uid="{AD0B0358-F7DA-4090-8CB3-E8CFDA984B34}"/>
    <cellStyle name="Vírgula 2 4 3 6 4 2" xfId="40841" xr:uid="{CFEFA73D-916E-45F1-890D-1C350B3634D8}"/>
    <cellStyle name="Vírgula 2 4 3 6 5" xfId="28250" xr:uid="{F3989E9F-BD71-4408-9C8A-E306AA11047B}"/>
    <cellStyle name="Vírgula 2 4 3 7" xfId="3160" xr:uid="{28C659D7-499F-4AC7-8D7B-8A5B56FE5734}"/>
    <cellStyle name="Vírgula 2 4 3 7 2" xfId="6314" xr:uid="{8E086954-C925-41FD-B7B6-A7D678CA9D10}"/>
    <cellStyle name="Vírgula 2 4 3 7 2 2" xfId="12607" xr:uid="{80D374A4-98B9-4DC6-A395-0EEE066C7566}"/>
    <cellStyle name="Vírgula 2 4 3 7 2 2 2" xfId="25289" xr:uid="{9E61CB95-D6AF-421B-B047-D8C43A1AEA89}"/>
    <cellStyle name="Vírgula 2 4 3 7 2 2 2 2" xfId="50781" xr:uid="{C743A93D-EA4A-4ED5-86B7-EB61FF367335}"/>
    <cellStyle name="Vírgula 2 4 3 7 2 2 3" xfId="38190" xr:uid="{08791085-6186-42EA-9623-109DE4D98C83}"/>
    <cellStyle name="Vírgula 2 4 3 7 2 3" xfId="19011" xr:uid="{4CEE3FFF-651D-411A-B4ED-93C8738BA0C0}"/>
    <cellStyle name="Vírgula 2 4 3 7 2 3 2" xfId="44503" xr:uid="{E9F1BA64-2329-4D62-8134-F3B195B98A94}"/>
    <cellStyle name="Vírgula 2 4 3 7 2 4" xfId="31912" xr:uid="{02EA63D7-0C10-439A-9698-B7467838E467}"/>
    <cellStyle name="Vírgula 2 4 3 7 3" xfId="9468" xr:uid="{8369FCC7-80CE-4127-B761-11F64D4B17E0}"/>
    <cellStyle name="Vírgula 2 4 3 7 3 2" xfId="22150" xr:uid="{E90DCA2C-DCF5-4FF8-B5CA-C8B0EA029273}"/>
    <cellStyle name="Vírgula 2 4 3 7 3 2 2" xfId="47642" xr:uid="{D6243198-A950-4882-BF40-FDED8C903A94}"/>
    <cellStyle name="Vírgula 2 4 3 7 3 3" xfId="35051" xr:uid="{F831A308-23F5-4808-B9D9-7E4378981F9E}"/>
    <cellStyle name="Vírgula 2 4 3 7 4" xfId="15872" xr:uid="{1FAC28A3-6BFB-486D-A4FF-036BF7696AF5}"/>
    <cellStyle name="Vírgula 2 4 3 7 4 2" xfId="41364" xr:uid="{92A8F15A-10F2-4EC5-905F-954526E87817}"/>
    <cellStyle name="Vírgula 2 4 3 7 5" xfId="28773" xr:uid="{0AD435AD-3F46-48CA-897C-AC196FC16C94}"/>
    <cellStyle name="Vírgula 2 4 3 8" xfId="3699" xr:uid="{225DBFD6-D94F-4F02-9614-D8D248709B9C}"/>
    <cellStyle name="Vírgula 2 4 3 8 2" xfId="9992" xr:uid="{3F8F7EA8-EE84-49EA-87AB-8B42CE75F36A}"/>
    <cellStyle name="Vírgula 2 4 3 8 2 2" xfId="22674" xr:uid="{55C903F2-B847-4473-8EF1-4DF2C787775C}"/>
    <cellStyle name="Vírgula 2 4 3 8 2 2 2" xfId="48166" xr:uid="{3E10E804-6528-4F79-843A-8DA73BE0E404}"/>
    <cellStyle name="Vírgula 2 4 3 8 2 3" xfId="35575" xr:uid="{B23D82EB-0494-42D4-B495-5644EE907C93}"/>
    <cellStyle name="Vírgula 2 4 3 8 3" xfId="16396" xr:uid="{7D28294A-C834-4522-A252-21F8F21A5D8E}"/>
    <cellStyle name="Vírgula 2 4 3 8 3 2" xfId="41888" xr:uid="{59E31822-07EE-4666-B67C-8BBF8B24B217}"/>
    <cellStyle name="Vírgula 2 4 3 8 4" xfId="29297" xr:uid="{58036363-59C8-4417-A6FB-CE88A833C02D}"/>
    <cellStyle name="Vírgula 2 4 3 9" xfId="6853" xr:uid="{A58E0AA2-77D7-49D1-9D2B-20719F4F7EF8}"/>
    <cellStyle name="Vírgula 2 4 3 9 2" xfId="19535" xr:uid="{39762F48-9752-4F95-88DD-1916E0110FDD}"/>
    <cellStyle name="Vírgula 2 4 3 9 2 2" xfId="45027" xr:uid="{0CBEE222-CE19-4037-BA49-0E0A3E1FAFED}"/>
    <cellStyle name="Vírgula 2 4 3 9 3" xfId="32436" xr:uid="{5BDE5BE5-C4BB-4EA1-ABA4-54A94193B077}"/>
    <cellStyle name="Vírgula 2 4 4" xfId="1008" xr:uid="{8146B6DC-8FEF-412E-BE84-1B28209E599E}"/>
    <cellStyle name="Vírgula 2 4 4 2" xfId="2315" xr:uid="{1B4735FD-9998-43CC-B688-9A39546E7D82}"/>
    <cellStyle name="Vírgula 2 4 4 2 2" xfId="5469" xr:uid="{521C7CC0-8FA8-456D-8078-5178234880B4}"/>
    <cellStyle name="Vírgula 2 4 4 2 2 2" xfId="11762" xr:uid="{812BDCD3-1D63-4E3D-A6A9-7B835954D4D6}"/>
    <cellStyle name="Vírgula 2 4 4 2 2 2 2" xfId="24444" xr:uid="{E7BBEA91-3819-4149-B4E4-893273723D4F}"/>
    <cellStyle name="Vírgula 2 4 4 2 2 2 2 2" xfId="49936" xr:uid="{A825BD88-2B2B-49B6-9CFC-6B230D2CC157}"/>
    <cellStyle name="Vírgula 2 4 4 2 2 2 3" xfId="37345" xr:uid="{7944DA9A-80DD-490F-944A-AC6C17F7CEFA}"/>
    <cellStyle name="Vírgula 2 4 4 2 2 3" xfId="18166" xr:uid="{DDF27D29-9276-4E8E-A640-6D4EBC19DD04}"/>
    <cellStyle name="Vírgula 2 4 4 2 2 3 2" xfId="43658" xr:uid="{E887B56C-B427-489B-AFDF-48319C6DDF68}"/>
    <cellStyle name="Vírgula 2 4 4 2 2 4" xfId="31067" xr:uid="{B5B91B72-1DD2-4757-9307-CCC3DC8452A1}"/>
    <cellStyle name="Vírgula 2 4 4 2 3" xfId="8623" xr:uid="{3A1D10FF-DD60-4C4F-851B-63D0BA9EADA2}"/>
    <cellStyle name="Vírgula 2 4 4 2 3 2" xfId="21305" xr:uid="{B5ED2E4A-37B7-49E5-BF4D-221322002FB6}"/>
    <cellStyle name="Vírgula 2 4 4 2 3 2 2" xfId="46797" xr:uid="{23F1E286-5824-46F8-A0DB-8788D5F97439}"/>
    <cellStyle name="Vírgula 2 4 4 2 3 3" xfId="34206" xr:uid="{0CB39345-F88F-4CC5-AD70-5EBC4395FE20}"/>
    <cellStyle name="Vírgula 2 4 4 2 4" xfId="15027" xr:uid="{54C94A1F-E3FE-4B13-AFA6-96C2413D09E4}"/>
    <cellStyle name="Vírgula 2 4 4 2 4 2" xfId="40519" xr:uid="{2FB5E9BE-E64B-4DA0-AE89-7F41571C830D}"/>
    <cellStyle name="Vírgula 2 4 4 2 5" xfId="27928" xr:uid="{33F56770-41A8-41E5-B008-5FB5D2E8A0D6}"/>
    <cellStyle name="Vírgula 2 4 4 3" xfId="1532" xr:uid="{8465E635-E03E-491B-B07D-83018CB7A710}"/>
    <cellStyle name="Vírgula 2 4 4 3 2" xfId="4686" xr:uid="{2791354A-A700-401E-A157-B3F8CA8B736B}"/>
    <cellStyle name="Vírgula 2 4 4 3 2 2" xfId="10979" xr:uid="{AAACE37B-F4D5-45B3-AE3A-68E4769459F9}"/>
    <cellStyle name="Vírgula 2 4 4 3 2 2 2" xfId="23661" xr:uid="{4FB9776E-A0A7-47A6-B3B5-00C9E8B501EB}"/>
    <cellStyle name="Vírgula 2 4 4 3 2 2 2 2" xfId="49153" xr:uid="{E14B7B50-84BB-45A3-94BC-CE25897D473A}"/>
    <cellStyle name="Vírgula 2 4 4 3 2 2 3" xfId="36562" xr:uid="{DB61F2E1-1EDF-4563-80AD-3432BBE6D501}"/>
    <cellStyle name="Vírgula 2 4 4 3 2 3" xfId="17383" xr:uid="{BDD3C391-7811-40CC-BCB2-C9342F764E0E}"/>
    <cellStyle name="Vírgula 2 4 4 3 2 3 2" xfId="42875" xr:uid="{5E7ADBB2-9355-489B-8C11-735DB2E867B6}"/>
    <cellStyle name="Vírgula 2 4 4 3 2 4" xfId="30284" xr:uid="{A41A734D-B362-4CE3-AE83-ACCBD309CCF4}"/>
    <cellStyle name="Vírgula 2 4 4 3 3" xfId="7840" xr:uid="{16285134-3F00-44C5-A7FD-C87D904CEE6A}"/>
    <cellStyle name="Vírgula 2 4 4 3 3 2" xfId="20522" xr:uid="{0E9AC56A-A610-46A0-B9C2-02B7FC03D77C}"/>
    <cellStyle name="Vírgula 2 4 4 3 3 2 2" xfId="46014" xr:uid="{B031DDCD-0B1C-4450-810C-865F3DF6FE58}"/>
    <cellStyle name="Vírgula 2 4 4 3 3 3" xfId="33423" xr:uid="{4A922A6C-EABC-4037-8DF7-768933331DBC}"/>
    <cellStyle name="Vírgula 2 4 4 3 4" xfId="14244" xr:uid="{88C73488-6E0B-48AF-B91E-BEC444D33E3C}"/>
    <cellStyle name="Vírgula 2 4 4 3 4 2" xfId="39736" xr:uid="{721027D7-AC4E-46FA-B398-9CEBDFB1A790}"/>
    <cellStyle name="Vírgula 2 4 4 3 5" xfId="27145" xr:uid="{C1456E04-4140-4621-BBF3-AF761BD38F99}"/>
    <cellStyle name="Vírgula 2 4 4 4" xfId="2839" xr:uid="{00488433-E847-447F-BC31-2A5A3CF96BA0}"/>
    <cellStyle name="Vírgula 2 4 4 4 2" xfId="5993" xr:uid="{F527953F-5BD0-4F22-91F1-ED1E5CB06B67}"/>
    <cellStyle name="Vírgula 2 4 4 4 2 2" xfId="12286" xr:uid="{3FED7297-30CA-4948-96BB-CBF7455756BC}"/>
    <cellStyle name="Vírgula 2 4 4 4 2 2 2" xfId="24968" xr:uid="{A595063F-A38B-499C-8CEF-DB7A149F973C}"/>
    <cellStyle name="Vírgula 2 4 4 4 2 2 2 2" xfId="50460" xr:uid="{9F779C29-458F-41A1-9813-5A2F8B0C7A74}"/>
    <cellStyle name="Vírgula 2 4 4 4 2 2 3" xfId="37869" xr:uid="{9B64F11B-4155-4A9E-8278-F39F2065C93F}"/>
    <cellStyle name="Vírgula 2 4 4 4 2 3" xfId="18690" xr:uid="{AFBE50EF-1677-486B-BD10-A6ACBEDD6E01}"/>
    <cellStyle name="Vírgula 2 4 4 4 2 3 2" xfId="44182" xr:uid="{E9CE9842-4140-4E19-B97A-C4F3D87A3866}"/>
    <cellStyle name="Vírgula 2 4 4 4 2 4" xfId="31591" xr:uid="{349E47F5-5A24-4EB6-815A-C6DC2151298C}"/>
    <cellStyle name="Vírgula 2 4 4 4 3" xfId="9147" xr:uid="{09AA222B-0EE2-43B5-9A3C-663FEA5DE44C}"/>
    <cellStyle name="Vírgula 2 4 4 4 3 2" xfId="21829" xr:uid="{B64FA2FE-820A-4E24-AD58-5242F280E8CA}"/>
    <cellStyle name="Vírgula 2 4 4 4 3 2 2" xfId="47321" xr:uid="{EEB9A636-DDC1-4303-AA68-F45DAA461B99}"/>
    <cellStyle name="Vírgula 2 4 4 4 3 3" xfId="34730" xr:uid="{38EA20C3-AEC5-457F-A68B-7DC4FA858693}"/>
    <cellStyle name="Vírgula 2 4 4 4 4" xfId="15551" xr:uid="{833CB156-13A9-46B4-90EE-66C2ADC6359B}"/>
    <cellStyle name="Vírgula 2 4 4 4 4 2" xfId="41043" xr:uid="{653D200D-FC65-4EA6-8874-631895ED8F56}"/>
    <cellStyle name="Vírgula 2 4 4 4 5" xfId="28452" xr:uid="{7143BFB4-9378-48F1-B513-00573DBEBB9E}"/>
    <cellStyle name="Vírgula 2 4 4 5" xfId="3362" xr:uid="{C65791B9-E942-44DE-B58F-B58FA6F2FEB2}"/>
    <cellStyle name="Vírgula 2 4 4 5 2" xfId="6516" xr:uid="{D99927E1-7B03-4C4A-B4EB-224E7C93DDF6}"/>
    <cellStyle name="Vírgula 2 4 4 5 2 2" xfId="12809" xr:uid="{AA9E271C-BD30-46EF-AF6F-5EF8A921C31A}"/>
    <cellStyle name="Vírgula 2 4 4 5 2 2 2" xfId="25491" xr:uid="{61F7E2DC-AC5B-4C23-BD72-C441BD79F2AD}"/>
    <cellStyle name="Vírgula 2 4 4 5 2 2 2 2" xfId="50983" xr:uid="{8C3C3C22-7AD0-4CD7-B883-D3A8838960AC}"/>
    <cellStyle name="Vírgula 2 4 4 5 2 2 3" xfId="38392" xr:uid="{E5C7B59F-59A3-4928-B214-5C55ED5BD083}"/>
    <cellStyle name="Vírgula 2 4 4 5 2 3" xfId="19213" xr:uid="{B06672FE-ED32-4205-97A0-E3066743EE61}"/>
    <cellStyle name="Vírgula 2 4 4 5 2 3 2" xfId="44705" xr:uid="{3F3157A7-6404-4E3A-88B0-C3D6E6CCA4C0}"/>
    <cellStyle name="Vírgula 2 4 4 5 2 4" xfId="32114" xr:uid="{CA7A42E8-481E-420C-838C-6A4F8BA7A0B6}"/>
    <cellStyle name="Vírgula 2 4 4 5 3" xfId="9670" xr:uid="{8F578363-F01C-4E78-A14E-9EF4075B1745}"/>
    <cellStyle name="Vírgula 2 4 4 5 3 2" xfId="22352" xr:uid="{092E8752-18F3-447D-BC29-2385503FB0D3}"/>
    <cellStyle name="Vírgula 2 4 4 5 3 2 2" xfId="47844" xr:uid="{8A7E4332-BA21-4B93-8AF9-09D3816E3BAD}"/>
    <cellStyle name="Vírgula 2 4 4 5 3 3" xfId="35253" xr:uid="{E40A5AE6-5581-4F3F-B5C7-E62A96442F04}"/>
    <cellStyle name="Vírgula 2 4 4 5 4" xfId="16074" xr:uid="{CC79F61E-5202-4740-9962-15457AD7D618}"/>
    <cellStyle name="Vírgula 2 4 4 5 4 2" xfId="41566" xr:uid="{70E75D56-97A1-406E-A0F1-A9090BAEDE7C}"/>
    <cellStyle name="Vírgula 2 4 4 5 5" xfId="28975" xr:uid="{3AD10B99-3166-4E7C-8C22-B6B5F2BE6700}"/>
    <cellStyle name="Vírgula 2 4 4 6" xfId="4162" xr:uid="{FDD97391-BE88-4F66-AFA1-E65481755625}"/>
    <cellStyle name="Vírgula 2 4 4 6 2" xfId="10455" xr:uid="{D2363DD6-E216-4E1D-AB5A-DCDDD1F90C04}"/>
    <cellStyle name="Vírgula 2 4 4 6 2 2" xfId="23137" xr:uid="{A0EC2A0D-F0BF-4F7A-8240-D005D65C7A3D}"/>
    <cellStyle name="Vírgula 2 4 4 6 2 2 2" xfId="48629" xr:uid="{17D66CF1-FD5C-4184-AFDD-3E9F86EC5563}"/>
    <cellStyle name="Vírgula 2 4 4 6 2 3" xfId="36038" xr:uid="{E577CA12-2D77-43CF-93BB-1C568B3CD83B}"/>
    <cellStyle name="Vírgula 2 4 4 6 3" xfId="16859" xr:uid="{F2781A1A-EA84-4AC0-A959-B4C665893795}"/>
    <cellStyle name="Vírgula 2 4 4 6 3 2" xfId="42351" xr:uid="{E5CB0321-3A73-4F97-AB20-A1CE2974CDAF}"/>
    <cellStyle name="Vírgula 2 4 4 6 4" xfId="29760" xr:uid="{F33A1765-B67F-461C-8E59-5094F8F75908}"/>
    <cellStyle name="Vírgula 2 4 4 7" xfId="7316" xr:uid="{40318A27-9F35-4854-91F3-778D5F27EA71}"/>
    <cellStyle name="Vírgula 2 4 4 7 2" xfId="19998" xr:uid="{0915771D-A611-4255-BFE4-E36C2F285ED6}"/>
    <cellStyle name="Vírgula 2 4 4 7 2 2" xfId="45490" xr:uid="{F9DA196C-B8C0-43B3-BAF6-94CA99813DAF}"/>
    <cellStyle name="Vírgula 2 4 4 7 3" xfId="32899" xr:uid="{27A8F360-9025-4FD6-9101-B2B786D1931A}"/>
    <cellStyle name="Vírgula 2 4 4 8" xfId="13720" xr:uid="{4EBD41C7-6CEA-4821-A541-DDA560235B6C}"/>
    <cellStyle name="Vírgula 2 4 4 8 2" xfId="39212" xr:uid="{7E6A93BA-EF0E-4BB4-97A2-A7E7FD027F4D}"/>
    <cellStyle name="Vírgula 2 4 4 9" xfId="26621" xr:uid="{D4E71327-87B2-4C8C-A22D-10CC28C3CD52}"/>
    <cellStyle name="Vírgula 2 4 5" xfId="748" xr:uid="{B30389D4-7501-4982-8590-75BE28322096}"/>
    <cellStyle name="Vírgula 2 4 5 2" xfId="2055" xr:uid="{2B133F18-9BB5-4666-A615-5965631DF634}"/>
    <cellStyle name="Vírgula 2 4 5 2 2" xfId="5209" xr:uid="{E423FD55-8E69-40CC-B2D1-18AEA2FD45F5}"/>
    <cellStyle name="Vírgula 2 4 5 2 2 2" xfId="11502" xr:uid="{670BEA57-9088-4628-A5F1-256CDC91A72F}"/>
    <cellStyle name="Vírgula 2 4 5 2 2 2 2" xfId="24184" xr:uid="{39D81030-A5B9-4532-9FB6-9C37B654C235}"/>
    <cellStyle name="Vírgula 2 4 5 2 2 2 2 2" xfId="49676" xr:uid="{8C2938BB-136D-4FBB-9797-BADFB6D39B43}"/>
    <cellStyle name="Vírgula 2 4 5 2 2 2 3" xfId="37085" xr:uid="{250E5BD7-45A6-4571-951E-A97109F1323C}"/>
    <cellStyle name="Vírgula 2 4 5 2 2 3" xfId="17906" xr:uid="{06500922-05DF-4341-9C25-DFF2F46E9097}"/>
    <cellStyle name="Vírgula 2 4 5 2 2 3 2" xfId="43398" xr:uid="{CF82EC7D-65BC-4662-96E3-C83FEEC6C302}"/>
    <cellStyle name="Vírgula 2 4 5 2 2 4" xfId="30807" xr:uid="{6DA03D04-8F7A-4EAA-9501-550DA8290B77}"/>
    <cellStyle name="Vírgula 2 4 5 2 3" xfId="8363" xr:uid="{048F4327-BC12-4779-918E-BB7B59229B1D}"/>
    <cellStyle name="Vírgula 2 4 5 2 3 2" xfId="21045" xr:uid="{953A58DB-98EE-4818-9633-C11B145C2CC3}"/>
    <cellStyle name="Vírgula 2 4 5 2 3 2 2" xfId="46537" xr:uid="{0E973CF4-ED2E-445D-8B13-9807A0664A1A}"/>
    <cellStyle name="Vírgula 2 4 5 2 3 3" xfId="33946" xr:uid="{373BCCB9-D54C-42ED-841A-77790D5FD788}"/>
    <cellStyle name="Vírgula 2 4 5 2 4" xfId="14767" xr:uid="{AFE1B6B5-DBF3-468D-9EEA-7085DCB67CA8}"/>
    <cellStyle name="Vírgula 2 4 5 2 4 2" xfId="40259" xr:uid="{5C3A9D74-9956-4936-AD57-C91B0BCF255C}"/>
    <cellStyle name="Vírgula 2 4 5 2 5" xfId="27668" xr:uid="{94DC8D6E-36A8-499A-A1BB-24F53226C4B0}"/>
    <cellStyle name="Vírgula 2 4 5 3" xfId="3902" xr:uid="{4FE254AE-0389-4B3E-94E3-43AF27CE5E0A}"/>
    <cellStyle name="Vírgula 2 4 5 3 2" xfId="10195" xr:uid="{2F4606F7-5F5C-4F8C-ADB6-A81856D0C528}"/>
    <cellStyle name="Vírgula 2 4 5 3 2 2" xfId="22877" xr:uid="{70767397-1C8A-4AD1-9257-22D9F01C5923}"/>
    <cellStyle name="Vírgula 2 4 5 3 2 2 2" xfId="48369" xr:uid="{96206222-21EA-4564-A176-62809AA1F9F9}"/>
    <cellStyle name="Vírgula 2 4 5 3 2 3" xfId="35778" xr:uid="{D03C3DDC-C57B-48FA-80EF-F908CEB436D9}"/>
    <cellStyle name="Vírgula 2 4 5 3 3" xfId="16599" xr:uid="{7FE94FF0-ED6D-4F3F-9798-43FB4BB88561}"/>
    <cellStyle name="Vírgula 2 4 5 3 3 2" xfId="42091" xr:uid="{F6F29485-3200-4F4A-902D-7BCDA896B50F}"/>
    <cellStyle name="Vírgula 2 4 5 3 4" xfId="29500" xr:uid="{74B94212-E60B-4BDC-BDA3-32C532ECD703}"/>
    <cellStyle name="Vírgula 2 4 5 4" xfId="7056" xr:uid="{6F5BD7C5-7F10-494C-9F81-46D083990B35}"/>
    <cellStyle name="Vírgula 2 4 5 4 2" xfId="19738" xr:uid="{C57A0BD5-231D-48A5-93F5-0FCF16DFE81A}"/>
    <cellStyle name="Vírgula 2 4 5 4 2 2" xfId="45230" xr:uid="{C33B5492-CC28-460C-A5AF-EB02F0942577}"/>
    <cellStyle name="Vírgula 2 4 5 4 3" xfId="32639" xr:uid="{5DD4E2D5-B406-4E66-9034-9829B2B43190}"/>
    <cellStyle name="Vírgula 2 4 5 5" xfId="13460" xr:uid="{AC2664A3-BCAC-44AB-9826-0BC35956FE67}"/>
    <cellStyle name="Vírgula 2 4 5 5 2" xfId="38952" xr:uid="{3CDAC403-89A3-43EF-BC97-5BAA9533178D}"/>
    <cellStyle name="Vírgula 2 4 5 6" xfId="26361" xr:uid="{5A034B76-6DB0-45BB-B24F-7F40D4645AF7}"/>
    <cellStyle name="Vírgula 2 4 6" xfId="1793" xr:uid="{0B36572D-6A11-4192-8B62-FC7494F65D9E}"/>
    <cellStyle name="Vírgula 2 4 6 2" xfId="4947" xr:uid="{A9D67420-A1B2-481D-803F-18D7C19A1D5C}"/>
    <cellStyle name="Vírgula 2 4 6 2 2" xfId="11240" xr:uid="{C5A3ED21-A145-4AD9-A344-0A7A21BF6FFF}"/>
    <cellStyle name="Vírgula 2 4 6 2 2 2" xfId="23922" xr:uid="{B3AB8BBD-2B4B-4356-9AA1-1316D4A59DFA}"/>
    <cellStyle name="Vírgula 2 4 6 2 2 2 2" xfId="49414" xr:uid="{8034F6A6-47B7-4917-BFE8-8701C7E5AC6E}"/>
    <cellStyle name="Vírgula 2 4 6 2 2 3" xfId="36823" xr:uid="{F223A018-C9C2-472A-9DC8-1A6C192EF0D7}"/>
    <cellStyle name="Vírgula 2 4 6 2 3" xfId="17644" xr:uid="{F7C4DA78-272D-4EFB-941E-E174E8049D17}"/>
    <cellStyle name="Vírgula 2 4 6 2 3 2" xfId="43136" xr:uid="{E9C1F12B-7275-40D1-88B0-188A9B1A66C2}"/>
    <cellStyle name="Vírgula 2 4 6 2 4" xfId="30545" xr:uid="{23DD44A5-3FF2-49D8-BFFE-95E2F8708B41}"/>
    <cellStyle name="Vírgula 2 4 6 3" xfId="8101" xr:uid="{DA095B77-1713-4B4D-93B3-200F663146A9}"/>
    <cellStyle name="Vírgula 2 4 6 3 2" xfId="20783" xr:uid="{0EE67271-894C-4BD1-85FF-4103B652A403}"/>
    <cellStyle name="Vírgula 2 4 6 3 2 2" xfId="46275" xr:uid="{6ECBE0B3-9BB5-4E22-88B0-5B72A2982009}"/>
    <cellStyle name="Vírgula 2 4 6 3 3" xfId="33684" xr:uid="{5E703514-0645-47F3-985A-CD0B2605EAB4}"/>
    <cellStyle name="Vírgula 2 4 6 4" xfId="14505" xr:uid="{E020FEBC-0726-45E3-91C9-BA63EDB14080}"/>
    <cellStyle name="Vírgula 2 4 6 4 2" xfId="39997" xr:uid="{E5822A6E-62F5-47C6-B5A0-36BB92B1149F}"/>
    <cellStyle name="Vírgula 2 4 6 5" xfId="27406" xr:uid="{A9F5DDB8-AF3C-452B-BA86-174FE9123B4D}"/>
    <cellStyle name="Vírgula 2 4 7" xfId="1271" xr:uid="{009A3890-9A04-4DBB-A3C9-F92D2FE7355C}"/>
    <cellStyle name="Vírgula 2 4 7 2" xfId="4425" xr:uid="{24BE6B2D-AD4D-4292-B947-EF43B7C95A76}"/>
    <cellStyle name="Vírgula 2 4 7 2 2" xfId="10718" xr:uid="{97198C3B-B788-47D0-9162-C73814D8D300}"/>
    <cellStyle name="Vírgula 2 4 7 2 2 2" xfId="23400" xr:uid="{E06D638E-4277-4D66-844F-D5DC4AD0CD63}"/>
    <cellStyle name="Vírgula 2 4 7 2 2 2 2" xfId="48892" xr:uid="{3F6E9225-304D-4C48-8211-BA2DD6AD61DC}"/>
    <cellStyle name="Vírgula 2 4 7 2 2 3" xfId="36301" xr:uid="{BE1CB86B-43F2-4FF4-AAA5-D9BE5892E079}"/>
    <cellStyle name="Vírgula 2 4 7 2 3" xfId="17122" xr:uid="{511E656A-2CE0-4ADA-A85F-8BA8C7719669}"/>
    <cellStyle name="Vírgula 2 4 7 2 3 2" xfId="42614" xr:uid="{43179EA8-4129-490F-9F0A-E73CB209B643}"/>
    <cellStyle name="Vírgula 2 4 7 2 4" xfId="30023" xr:uid="{80CEE77A-86EE-4B15-B937-89FBD383B6C6}"/>
    <cellStyle name="Vírgula 2 4 7 3" xfId="7579" xr:uid="{133243DA-DAFB-4267-AFD1-C891D63DE2FE}"/>
    <cellStyle name="Vírgula 2 4 7 3 2" xfId="20261" xr:uid="{A0A06BA3-AE85-416D-A050-5928CD8F421B}"/>
    <cellStyle name="Vírgula 2 4 7 3 2 2" xfId="45753" xr:uid="{C3F72689-A251-4AEC-A728-78C63E926861}"/>
    <cellStyle name="Vírgula 2 4 7 3 3" xfId="33162" xr:uid="{E7129F8B-17A8-483F-A722-7310327CCBB4}"/>
    <cellStyle name="Vírgula 2 4 7 4" xfId="13983" xr:uid="{A4EA98EC-AA5A-4047-AB2A-C53D8F967A01}"/>
    <cellStyle name="Vírgula 2 4 7 4 2" xfId="39475" xr:uid="{D5D8CEC9-C5BC-4D42-A450-D30AE0C15E80}"/>
    <cellStyle name="Vírgula 2 4 7 5" xfId="26884" xr:uid="{BAE884A3-072E-4B64-9FF8-1E59C047E743}"/>
    <cellStyle name="Vírgula 2 4 8" xfId="2578" xr:uid="{A98B0941-F394-4582-89C4-0DE86CCD5E1C}"/>
    <cellStyle name="Vírgula 2 4 8 2" xfId="5732" xr:uid="{D8911A78-7A3F-4D89-9BC8-3CFA8CF6B53E}"/>
    <cellStyle name="Vírgula 2 4 8 2 2" xfId="12025" xr:uid="{0D57A9E8-9050-4F60-82C6-76FAACD22F98}"/>
    <cellStyle name="Vírgula 2 4 8 2 2 2" xfId="24707" xr:uid="{A288D95A-1A3F-472F-94F4-58729D846B55}"/>
    <cellStyle name="Vírgula 2 4 8 2 2 2 2" xfId="50199" xr:uid="{63C5354A-72E6-4CE1-B7DE-6C18FF3F9089}"/>
    <cellStyle name="Vírgula 2 4 8 2 2 3" xfId="37608" xr:uid="{7C6FCDCF-9D11-463B-A923-4C6F148C31B8}"/>
    <cellStyle name="Vírgula 2 4 8 2 3" xfId="18429" xr:uid="{08D1896A-4802-4BE1-BE35-FCF90AB26EAF}"/>
    <cellStyle name="Vírgula 2 4 8 2 3 2" xfId="43921" xr:uid="{F2F9533C-1FAF-4830-8C0D-2F7DCEB11223}"/>
    <cellStyle name="Vírgula 2 4 8 2 4" xfId="31330" xr:uid="{98678B05-70DD-4B81-8F64-2DF782815086}"/>
    <cellStyle name="Vírgula 2 4 8 3" xfId="8886" xr:uid="{A7C4CB39-CD05-459E-8861-CCFC583025F3}"/>
    <cellStyle name="Vírgula 2 4 8 3 2" xfId="21568" xr:uid="{7235EEA2-4FFF-41D5-8921-32DA816BC676}"/>
    <cellStyle name="Vírgula 2 4 8 3 2 2" xfId="47060" xr:uid="{0514C235-D711-4513-8F46-FC87ACAE6ED7}"/>
    <cellStyle name="Vírgula 2 4 8 3 3" xfId="34469" xr:uid="{0DF90137-6A80-44C9-98D7-062C362541B1}"/>
    <cellStyle name="Vírgula 2 4 8 4" xfId="15290" xr:uid="{9F3010F9-D8BF-43F6-8610-8FF89F5B0CDC}"/>
    <cellStyle name="Vírgula 2 4 8 4 2" xfId="40782" xr:uid="{E45841B8-3E24-4AA3-991D-7A6DEABA3FAC}"/>
    <cellStyle name="Vírgula 2 4 8 5" xfId="28191" xr:uid="{7C20A08B-2CFC-44F8-93B2-EDE82A230A91}"/>
    <cellStyle name="Vírgula 2 4 9" xfId="3101" xr:uid="{E3E6DA9C-85BC-4B60-AD20-75738E419FCB}"/>
    <cellStyle name="Vírgula 2 4 9 2" xfId="6255" xr:uid="{82106109-DD7A-4A50-B8E8-A71E87DFC956}"/>
    <cellStyle name="Vírgula 2 4 9 2 2" xfId="12548" xr:uid="{59D1B004-D537-47D3-B019-6CCBDA1D7B87}"/>
    <cellStyle name="Vírgula 2 4 9 2 2 2" xfId="25230" xr:uid="{D27ACE7A-C04D-4ED4-A55D-0F2EC9A13FC3}"/>
    <cellStyle name="Vírgula 2 4 9 2 2 2 2" xfId="50722" xr:uid="{60DE6641-A8C8-4360-8FB2-79A44F19CC02}"/>
    <cellStyle name="Vírgula 2 4 9 2 2 3" xfId="38131" xr:uid="{69AE7A7C-0F4C-4970-BC31-29B533D2B28B}"/>
    <cellStyle name="Vírgula 2 4 9 2 3" xfId="18952" xr:uid="{1A751A3E-B376-48F8-98F1-C8AAFBD56338}"/>
    <cellStyle name="Vírgula 2 4 9 2 3 2" xfId="44444" xr:uid="{D0130A34-9FDD-4752-8C56-876FD4A97544}"/>
    <cellStyle name="Vírgula 2 4 9 2 4" xfId="31853" xr:uid="{5005A9A3-487D-491C-B61B-0BABEC32D1F5}"/>
    <cellStyle name="Vírgula 2 4 9 3" xfId="9409" xr:uid="{F5E6C3AE-5233-47BB-9E8A-AA6BCBD0C62F}"/>
    <cellStyle name="Vírgula 2 4 9 3 2" xfId="22091" xr:uid="{0FC087C7-F1D5-4451-A6C0-97157FFAB32D}"/>
    <cellStyle name="Vírgula 2 4 9 3 2 2" xfId="47583" xr:uid="{0AC626C1-F079-463A-AB53-4CE1D1321BEF}"/>
    <cellStyle name="Vírgula 2 4 9 3 3" xfId="34992" xr:uid="{C2379E0A-E443-4276-8404-C7B6BFFA2739}"/>
    <cellStyle name="Vírgula 2 4 9 4" xfId="15813" xr:uid="{6B205168-AD0E-423A-B0A8-B47D43AA499A}"/>
    <cellStyle name="Vírgula 2 4 9 4 2" xfId="41305" xr:uid="{D2128BC8-4C3B-4D08-B375-4992D7827BF0}"/>
    <cellStyle name="Vírgula 2 4 9 5" xfId="28714" xr:uid="{4C292208-1FF4-46E4-90AD-11EFBFB546DD}"/>
    <cellStyle name="Vírgula 2 5" xfId="452" xr:uid="{8E2D4810-7474-4116-8E6E-5BA94769F929}"/>
    <cellStyle name="Vírgula 2 5 10" xfId="6775" xr:uid="{60FE32E6-DA67-4435-9543-04236C279B33}"/>
    <cellStyle name="Vírgula 2 5 10 2" xfId="19457" xr:uid="{627F5D13-02CA-476B-9376-12272CF980DA}"/>
    <cellStyle name="Vírgula 2 5 10 2 2" xfId="44949" xr:uid="{35019C9F-126E-4E0D-A292-A0C323D72942}"/>
    <cellStyle name="Vírgula 2 5 10 3" xfId="32358" xr:uid="{BA44F817-70D6-4977-A429-D52694B4D6DE}"/>
    <cellStyle name="Vírgula 2 5 11" xfId="13179" xr:uid="{9BA7EB42-FC50-44F0-9125-28AAE8214E0B}"/>
    <cellStyle name="Vírgula 2 5 11 2" xfId="38671" xr:uid="{BE9ED1C8-1EAF-421F-A621-89C212F1AB57}"/>
    <cellStyle name="Vírgula 2 5 12" xfId="26080" xr:uid="{A3298F96-2526-42C5-B11C-9B182D9B87FA}"/>
    <cellStyle name="Vírgula 2 5 2" xfId="611" xr:uid="{F9142A92-34FC-4C28-8915-E21E17A8D4E7}"/>
    <cellStyle name="Vírgula 2 5 2 10" xfId="13338" xr:uid="{2F0381F3-DC5F-44EB-A397-60EABE65A6EA}"/>
    <cellStyle name="Vírgula 2 5 2 10 2" xfId="38830" xr:uid="{504C1977-4747-482C-8964-D9C60D53B494}"/>
    <cellStyle name="Vírgula 2 5 2 11" xfId="26239" xr:uid="{6E403062-BAE1-457D-92D4-D9DC730C4FB2}"/>
    <cellStyle name="Vírgula 2 5 2 2" xfId="1148" xr:uid="{A19A00BC-8395-40DE-B0E7-14A08F3D71F8}"/>
    <cellStyle name="Vírgula 2 5 2 2 2" xfId="2455" xr:uid="{35DF940C-0E14-4EF6-BAC9-54BBB1E490F1}"/>
    <cellStyle name="Vírgula 2 5 2 2 2 2" xfId="5609" xr:uid="{BDAC37D7-22F3-4B47-AEA2-8404DFF8ADDD}"/>
    <cellStyle name="Vírgula 2 5 2 2 2 2 2" xfId="11902" xr:uid="{91EA4A87-DE88-4591-A7E7-2DBDB11756DD}"/>
    <cellStyle name="Vírgula 2 5 2 2 2 2 2 2" xfId="24584" xr:uid="{F4C12A71-EFA2-4FC7-AFD3-6ED1932D678D}"/>
    <cellStyle name="Vírgula 2 5 2 2 2 2 2 2 2" xfId="50076" xr:uid="{56B0CC68-86B5-4125-892D-189822B1A3C8}"/>
    <cellStyle name="Vírgula 2 5 2 2 2 2 2 3" xfId="37485" xr:uid="{E6DBBC63-DF6D-4268-8B8F-1FECD72C51F2}"/>
    <cellStyle name="Vírgula 2 5 2 2 2 2 3" xfId="18306" xr:uid="{E19A1D87-4095-4A29-ACAA-B32EF9B91DB3}"/>
    <cellStyle name="Vírgula 2 5 2 2 2 2 3 2" xfId="43798" xr:uid="{CCD7018E-1AB7-4B1C-89C9-1CED19061515}"/>
    <cellStyle name="Vírgula 2 5 2 2 2 2 4" xfId="31207" xr:uid="{F539179F-1120-4629-AF9D-F40B86F9DD9D}"/>
    <cellStyle name="Vírgula 2 5 2 2 2 3" xfId="8763" xr:uid="{9C226ECF-19CB-4044-8C98-6ECF233B1759}"/>
    <cellStyle name="Vírgula 2 5 2 2 2 3 2" xfId="21445" xr:uid="{EC52E011-C68E-4132-93CF-C16BC1A11C9A}"/>
    <cellStyle name="Vírgula 2 5 2 2 2 3 2 2" xfId="46937" xr:uid="{C64F66DE-A18A-4C86-8234-C9840B7439F9}"/>
    <cellStyle name="Vírgula 2 5 2 2 2 3 3" xfId="34346" xr:uid="{B818DF2B-11D4-4323-B77B-2C0253C0F9EE}"/>
    <cellStyle name="Vírgula 2 5 2 2 2 4" xfId="15167" xr:uid="{5CDEBDCE-E5FD-434E-A479-DB4B8F5BFEB6}"/>
    <cellStyle name="Vírgula 2 5 2 2 2 4 2" xfId="40659" xr:uid="{7D8EEEBF-53A0-4337-ACCA-B26115CF1901}"/>
    <cellStyle name="Vírgula 2 5 2 2 2 5" xfId="28068" xr:uid="{8C0A9C6E-98BC-4530-8CA4-0525A6E2690B}"/>
    <cellStyle name="Vírgula 2 5 2 2 3" xfId="1672" xr:uid="{4C91D524-9075-4F2B-8D8E-1356A9644D02}"/>
    <cellStyle name="Vírgula 2 5 2 2 3 2" xfId="4826" xr:uid="{9893C513-53B8-4F11-9215-FF8B4EF0D787}"/>
    <cellStyle name="Vírgula 2 5 2 2 3 2 2" xfId="11119" xr:uid="{BB6A4E37-B5D1-4B24-BBB7-7B47F03EC28F}"/>
    <cellStyle name="Vírgula 2 5 2 2 3 2 2 2" xfId="23801" xr:uid="{8DE42803-C390-4A9E-A5A2-2FD910458D17}"/>
    <cellStyle name="Vírgula 2 5 2 2 3 2 2 2 2" xfId="49293" xr:uid="{6736A53C-F471-477C-BFCF-0CDD4BC2275F}"/>
    <cellStyle name="Vírgula 2 5 2 2 3 2 2 3" xfId="36702" xr:uid="{9106C486-2BF8-4FF7-9331-3B1C2B91DC4D}"/>
    <cellStyle name="Vírgula 2 5 2 2 3 2 3" xfId="17523" xr:uid="{65CA5E8C-715C-42FC-9D14-FD927B9B4869}"/>
    <cellStyle name="Vírgula 2 5 2 2 3 2 3 2" xfId="43015" xr:uid="{96658AC4-200D-4429-BB53-EA7691E34BAB}"/>
    <cellStyle name="Vírgula 2 5 2 2 3 2 4" xfId="30424" xr:uid="{C1E7A249-F56B-4E86-A852-B5EBC8C04FCB}"/>
    <cellStyle name="Vírgula 2 5 2 2 3 3" xfId="7980" xr:uid="{3CD01DA7-F946-46E1-BC9A-8B504F0C0971}"/>
    <cellStyle name="Vírgula 2 5 2 2 3 3 2" xfId="20662" xr:uid="{1D8B9BE1-BC65-45F4-AB74-9A621D9BF9AC}"/>
    <cellStyle name="Vírgula 2 5 2 2 3 3 2 2" xfId="46154" xr:uid="{9C64F864-8D7D-48E8-9357-F8CBD5DFB7FD}"/>
    <cellStyle name="Vírgula 2 5 2 2 3 3 3" xfId="33563" xr:uid="{03F84BB7-B3B9-450F-AA68-599364C7DDF1}"/>
    <cellStyle name="Vírgula 2 5 2 2 3 4" xfId="14384" xr:uid="{7840ECDA-5496-404B-B428-E4CFA82BC166}"/>
    <cellStyle name="Vírgula 2 5 2 2 3 4 2" xfId="39876" xr:uid="{C14175F4-B8ED-48C8-92CD-1C0043C421A4}"/>
    <cellStyle name="Vírgula 2 5 2 2 3 5" xfId="27285" xr:uid="{EDDE15BB-9800-4F4B-B117-307CBB74E6BB}"/>
    <cellStyle name="Vírgula 2 5 2 2 4" xfId="2979" xr:uid="{A6DF8DFC-1BA5-4F32-8146-60EB6CA1682D}"/>
    <cellStyle name="Vírgula 2 5 2 2 4 2" xfId="6133" xr:uid="{AE680EDE-8B7E-46EE-85A8-11C342263458}"/>
    <cellStyle name="Vírgula 2 5 2 2 4 2 2" xfId="12426" xr:uid="{E72E9197-CC60-4840-8C64-CE5CDC8E5271}"/>
    <cellStyle name="Vírgula 2 5 2 2 4 2 2 2" xfId="25108" xr:uid="{A07B8C7A-0B2A-4A89-A2F3-69C0BAC9AC99}"/>
    <cellStyle name="Vírgula 2 5 2 2 4 2 2 2 2" xfId="50600" xr:uid="{73E0A057-A832-4274-BF37-17573015BA3C}"/>
    <cellStyle name="Vírgula 2 5 2 2 4 2 2 3" xfId="38009" xr:uid="{3B1ED2DA-44EA-4BB4-9DD5-4FAFB175EDD9}"/>
    <cellStyle name="Vírgula 2 5 2 2 4 2 3" xfId="18830" xr:uid="{5AAD58FC-B8B4-416D-B263-108CA86E35A5}"/>
    <cellStyle name="Vírgula 2 5 2 2 4 2 3 2" xfId="44322" xr:uid="{54FB8EFC-0930-4F46-B632-DFBB5CDDBDA3}"/>
    <cellStyle name="Vírgula 2 5 2 2 4 2 4" xfId="31731" xr:uid="{970CF98B-CAC0-4146-BC40-7677036E1002}"/>
    <cellStyle name="Vírgula 2 5 2 2 4 3" xfId="9287" xr:uid="{B5559252-0122-4968-B7A4-0C9F86382706}"/>
    <cellStyle name="Vírgula 2 5 2 2 4 3 2" xfId="21969" xr:uid="{7DDF6134-12DD-4EEA-933F-DB331FA1E53E}"/>
    <cellStyle name="Vírgula 2 5 2 2 4 3 2 2" xfId="47461" xr:uid="{4FA2289B-6C0E-4A57-B694-30EB9B5B6A1E}"/>
    <cellStyle name="Vírgula 2 5 2 2 4 3 3" xfId="34870" xr:uid="{811150D5-A76D-4210-BD7E-F1EFA013350C}"/>
    <cellStyle name="Vírgula 2 5 2 2 4 4" xfId="15691" xr:uid="{16ABC9CD-E6D7-42B6-B515-A5D8E4142EA7}"/>
    <cellStyle name="Vírgula 2 5 2 2 4 4 2" xfId="41183" xr:uid="{E08409A2-26E5-45B6-A344-ACB268F77008}"/>
    <cellStyle name="Vírgula 2 5 2 2 4 5" xfId="28592" xr:uid="{6CDAD9EC-203A-4FCD-828F-E6FE19D20821}"/>
    <cellStyle name="Vírgula 2 5 2 2 5" xfId="3502" xr:uid="{465E7D20-0A50-437F-8DAD-6C66FBA3718E}"/>
    <cellStyle name="Vírgula 2 5 2 2 5 2" xfId="6656" xr:uid="{409ACFC1-0BD5-4099-9094-AA7BFF2019C5}"/>
    <cellStyle name="Vírgula 2 5 2 2 5 2 2" xfId="12949" xr:uid="{ABD0E6F8-1886-497C-B1B6-8217DF501A19}"/>
    <cellStyle name="Vírgula 2 5 2 2 5 2 2 2" xfId="25631" xr:uid="{CB26BA1D-13AC-4A65-B281-B9398017691B}"/>
    <cellStyle name="Vírgula 2 5 2 2 5 2 2 2 2" xfId="51123" xr:uid="{693F6908-46B4-4704-ACC0-5BAFC76DC19F}"/>
    <cellStyle name="Vírgula 2 5 2 2 5 2 2 3" xfId="38532" xr:uid="{10F453E2-1504-4AEE-8C9E-C080B61780AF}"/>
    <cellStyle name="Vírgula 2 5 2 2 5 2 3" xfId="19353" xr:uid="{3963992B-CC5C-4B60-8BB9-59C5E07B5A10}"/>
    <cellStyle name="Vírgula 2 5 2 2 5 2 3 2" xfId="44845" xr:uid="{27AF5838-D286-4F45-A29C-CE41218CF511}"/>
    <cellStyle name="Vírgula 2 5 2 2 5 2 4" xfId="32254" xr:uid="{D77D81A0-3763-4B23-A3DC-237FF65556B0}"/>
    <cellStyle name="Vírgula 2 5 2 2 5 3" xfId="9810" xr:uid="{86527F6F-18C1-4E54-B941-E59B69AB322F}"/>
    <cellStyle name="Vírgula 2 5 2 2 5 3 2" xfId="22492" xr:uid="{00F1FFF1-5F8D-49A1-BDCE-48BA9C3EA59F}"/>
    <cellStyle name="Vírgula 2 5 2 2 5 3 2 2" xfId="47984" xr:uid="{AD371ECF-FA61-4F7D-855C-F504CABFB1E8}"/>
    <cellStyle name="Vírgula 2 5 2 2 5 3 3" xfId="35393" xr:uid="{4EB71D01-3459-471F-A5A5-9663DB428C53}"/>
    <cellStyle name="Vírgula 2 5 2 2 5 4" xfId="16214" xr:uid="{8457C021-20E2-460C-BFEB-946FF23AA0D7}"/>
    <cellStyle name="Vírgula 2 5 2 2 5 4 2" xfId="41706" xr:uid="{62D8A110-1EC2-4255-B314-E057BEBCBB5C}"/>
    <cellStyle name="Vírgula 2 5 2 2 5 5" xfId="29115" xr:uid="{E2BF32F6-DF5B-4AF3-B0B1-5C6A539D7E79}"/>
    <cellStyle name="Vírgula 2 5 2 2 6" xfId="4302" xr:uid="{7AD8F225-FD5A-4AFA-9587-0E43BB490735}"/>
    <cellStyle name="Vírgula 2 5 2 2 6 2" xfId="10595" xr:uid="{59D88A77-F5F7-407C-BC3A-718E34EF9972}"/>
    <cellStyle name="Vírgula 2 5 2 2 6 2 2" xfId="23277" xr:uid="{CD5324D6-D84E-448C-B917-A1AA1934A476}"/>
    <cellStyle name="Vírgula 2 5 2 2 6 2 2 2" xfId="48769" xr:uid="{65809FE0-46D7-4B5B-8817-BF3BE5997C03}"/>
    <cellStyle name="Vírgula 2 5 2 2 6 2 3" xfId="36178" xr:uid="{B9A80097-96C3-4309-8D10-EA3F04948CC2}"/>
    <cellStyle name="Vírgula 2 5 2 2 6 3" xfId="16999" xr:uid="{E0521E39-C190-4419-8000-A3BF0FE3DD45}"/>
    <cellStyle name="Vírgula 2 5 2 2 6 3 2" xfId="42491" xr:uid="{8DB98570-50A2-4A8D-BCA8-0DFC394E7E7E}"/>
    <cellStyle name="Vírgula 2 5 2 2 6 4" xfId="29900" xr:uid="{216E3612-500A-4B3E-A56E-4104E2181FFA}"/>
    <cellStyle name="Vírgula 2 5 2 2 7" xfId="7456" xr:uid="{504A3ADE-94BD-4759-BC24-E85E75D6856C}"/>
    <cellStyle name="Vírgula 2 5 2 2 7 2" xfId="20138" xr:uid="{8EA85CA1-3337-46C4-8C20-20C9EAB7139F}"/>
    <cellStyle name="Vírgula 2 5 2 2 7 2 2" xfId="45630" xr:uid="{C1ED4DBA-1AA5-40B4-9F9E-6CEC09CB2E3F}"/>
    <cellStyle name="Vírgula 2 5 2 2 7 3" xfId="33039" xr:uid="{58C421CA-310C-496C-9115-74C82873C667}"/>
    <cellStyle name="Vírgula 2 5 2 2 8" xfId="13860" xr:uid="{110ED88E-E9D9-49C5-B70A-C709FD369678}"/>
    <cellStyle name="Vírgula 2 5 2 2 8 2" xfId="39352" xr:uid="{F83B729C-759E-4463-9B9E-9B6D06DAFB1B}"/>
    <cellStyle name="Vírgula 2 5 2 2 9" xfId="26761" xr:uid="{869B3AED-74D5-4C4C-B7F1-4B99ED94BD86}"/>
    <cellStyle name="Vírgula 2 5 2 3" xfId="888" xr:uid="{115BE483-5AE8-4D66-95C0-24D51BCB6723}"/>
    <cellStyle name="Vírgula 2 5 2 3 2" xfId="2195" xr:uid="{28937E08-D1EB-4823-A92B-7D0398570683}"/>
    <cellStyle name="Vírgula 2 5 2 3 2 2" xfId="5349" xr:uid="{32DCEC1D-8966-4D86-9174-D4B450A6DB8E}"/>
    <cellStyle name="Vírgula 2 5 2 3 2 2 2" xfId="11642" xr:uid="{6FA4D69C-DE61-46C3-B3E7-02459D2675E7}"/>
    <cellStyle name="Vírgula 2 5 2 3 2 2 2 2" xfId="24324" xr:uid="{BF41F88F-6532-4D1E-9EAE-533AD2AA886F}"/>
    <cellStyle name="Vírgula 2 5 2 3 2 2 2 2 2" xfId="49816" xr:uid="{8C58592A-794F-4565-B96A-DE165AFA7AE9}"/>
    <cellStyle name="Vírgula 2 5 2 3 2 2 2 3" xfId="37225" xr:uid="{CAC3F558-0B5B-448B-ACC2-BC93D1505F52}"/>
    <cellStyle name="Vírgula 2 5 2 3 2 2 3" xfId="18046" xr:uid="{E85EB5B3-27C7-4D81-9279-A1DA1F69236A}"/>
    <cellStyle name="Vírgula 2 5 2 3 2 2 3 2" xfId="43538" xr:uid="{A92B7397-2468-4A22-A8D7-F47CFFD1A949}"/>
    <cellStyle name="Vírgula 2 5 2 3 2 2 4" xfId="30947" xr:uid="{0324810B-4F72-4298-86B6-7F7DCEB991D5}"/>
    <cellStyle name="Vírgula 2 5 2 3 2 3" xfId="8503" xr:uid="{CD8CEC34-E676-4869-B71E-2BB33EA8DDE2}"/>
    <cellStyle name="Vírgula 2 5 2 3 2 3 2" xfId="21185" xr:uid="{4BCD3C6B-6157-4732-A2A3-C784288DE8CD}"/>
    <cellStyle name="Vírgula 2 5 2 3 2 3 2 2" xfId="46677" xr:uid="{46215C48-C49A-4FF8-AE1D-ECE65F4705F9}"/>
    <cellStyle name="Vírgula 2 5 2 3 2 3 3" xfId="34086" xr:uid="{B098F632-61D2-44F6-97A2-0CD7545A482B}"/>
    <cellStyle name="Vírgula 2 5 2 3 2 4" xfId="14907" xr:uid="{1DB64A8C-FBCF-46BA-AED2-47F85663FFA1}"/>
    <cellStyle name="Vírgula 2 5 2 3 2 4 2" xfId="40399" xr:uid="{6BE149C2-D68E-4D08-B439-901D4C18C36B}"/>
    <cellStyle name="Vírgula 2 5 2 3 2 5" xfId="27808" xr:uid="{0BE44E90-6295-4183-9BBF-1D8C2511ECA5}"/>
    <cellStyle name="Vírgula 2 5 2 3 3" xfId="4042" xr:uid="{FF53704B-0FCA-4FB8-9F55-68B6B535501B}"/>
    <cellStyle name="Vírgula 2 5 2 3 3 2" xfId="10335" xr:uid="{DB879591-D279-4693-B5CB-CB46A8EB1E77}"/>
    <cellStyle name="Vírgula 2 5 2 3 3 2 2" xfId="23017" xr:uid="{4FCA702A-4BEE-47C2-BC15-2D17C480279F}"/>
    <cellStyle name="Vírgula 2 5 2 3 3 2 2 2" xfId="48509" xr:uid="{DC316784-D44A-4BC0-89B7-1D0BC24413E5}"/>
    <cellStyle name="Vírgula 2 5 2 3 3 2 3" xfId="35918" xr:uid="{CAB5F1C7-4878-46DD-81F7-CB4476FBCC71}"/>
    <cellStyle name="Vírgula 2 5 2 3 3 3" xfId="16739" xr:uid="{D31E493A-D6EA-4F3F-BCA7-B2C6A17568CF}"/>
    <cellStyle name="Vírgula 2 5 2 3 3 3 2" xfId="42231" xr:uid="{8F30B81F-F14D-4425-A6EA-4328E85EEBCF}"/>
    <cellStyle name="Vírgula 2 5 2 3 3 4" xfId="29640" xr:uid="{3AEBB99E-730C-456A-8307-121663DCDC30}"/>
    <cellStyle name="Vírgula 2 5 2 3 4" xfId="7196" xr:uid="{3A6E355D-E1EA-4E33-A324-01193BF786E3}"/>
    <cellStyle name="Vírgula 2 5 2 3 4 2" xfId="19878" xr:uid="{31C6D63D-6781-4E50-BF3E-E399BDD956FC}"/>
    <cellStyle name="Vírgula 2 5 2 3 4 2 2" xfId="45370" xr:uid="{68547E88-78FA-4147-9EB4-075FDB8D190E}"/>
    <cellStyle name="Vírgula 2 5 2 3 4 3" xfId="32779" xr:uid="{1D2087B8-8EDA-46AA-921A-158230FEBC78}"/>
    <cellStyle name="Vírgula 2 5 2 3 5" xfId="13600" xr:uid="{58291551-F77F-4BE3-8D59-E9F4FD6C9C0D}"/>
    <cellStyle name="Vírgula 2 5 2 3 5 2" xfId="39092" xr:uid="{D77CD807-00E9-4EDA-87BD-03E3113B9384}"/>
    <cellStyle name="Vírgula 2 5 2 3 6" xfId="26501" xr:uid="{C9FB3A6F-F2B8-4B5E-BA7C-99D3C2FC8F1C}"/>
    <cellStyle name="Vírgula 2 5 2 4" xfId="1933" xr:uid="{0D0E5B1A-5BA2-41AD-99FD-CA25E2634D16}"/>
    <cellStyle name="Vírgula 2 5 2 4 2" xfId="5087" xr:uid="{60D85B81-D3AB-4D24-9CE7-687B7B9703CD}"/>
    <cellStyle name="Vírgula 2 5 2 4 2 2" xfId="11380" xr:uid="{1543C0BB-4829-4DF0-8C89-CF4669336818}"/>
    <cellStyle name="Vírgula 2 5 2 4 2 2 2" xfId="24062" xr:uid="{1A834D05-9E97-4639-861B-EA4F78E09270}"/>
    <cellStyle name="Vírgula 2 5 2 4 2 2 2 2" xfId="49554" xr:uid="{4BE5DB80-2A00-467A-B96D-593355B64CF7}"/>
    <cellStyle name="Vírgula 2 5 2 4 2 2 3" xfId="36963" xr:uid="{9345FA18-DEE3-4C0F-8B1B-0F81814CDD95}"/>
    <cellStyle name="Vírgula 2 5 2 4 2 3" xfId="17784" xr:uid="{180FADFD-B572-4697-83A7-10890B5F0742}"/>
    <cellStyle name="Vírgula 2 5 2 4 2 3 2" xfId="43276" xr:uid="{EC6652F1-9FF5-4AF5-9D04-A321B3144C3B}"/>
    <cellStyle name="Vírgula 2 5 2 4 2 4" xfId="30685" xr:uid="{566E8420-C239-4475-8FC1-85A597B4A8BF}"/>
    <cellStyle name="Vírgula 2 5 2 4 3" xfId="8241" xr:uid="{4E8A14E3-1EB4-4AB1-90B2-E776A9543791}"/>
    <cellStyle name="Vírgula 2 5 2 4 3 2" xfId="20923" xr:uid="{7D76CD19-128A-4BDB-ACE0-20AD23CB7377}"/>
    <cellStyle name="Vírgula 2 5 2 4 3 2 2" xfId="46415" xr:uid="{E5FE8753-3EE4-436B-B7F7-52B4D36FFDC5}"/>
    <cellStyle name="Vírgula 2 5 2 4 3 3" xfId="33824" xr:uid="{97FB761D-47E2-4C61-B29C-E1C97F2C85A2}"/>
    <cellStyle name="Vírgula 2 5 2 4 4" xfId="14645" xr:uid="{BED08EDF-2988-4DED-AE25-70049041CF96}"/>
    <cellStyle name="Vírgula 2 5 2 4 4 2" xfId="40137" xr:uid="{0BAAEBB3-3663-47C4-BC2A-735F4506768B}"/>
    <cellStyle name="Vírgula 2 5 2 4 5" xfId="27546" xr:uid="{A332B258-6721-4475-8DAC-C9D41041DCE2}"/>
    <cellStyle name="Vírgula 2 5 2 5" xfId="1411" xr:uid="{13928D23-260C-4628-A70E-7FBE5F12C1B6}"/>
    <cellStyle name="Vírgula 2 5 2 5 2" xfId="4565" xr:uid="{07FCC782-79C2-487C-AB64-DCD76F1BA4A6}"/>
    <cellStyle name="Vírgula 2 5 2 5 2 2" xfId="10858" xr:uid="{D78F0728-8FE4-49D8-AE61-C2BD1387E3DE}"/>
    <cellStyle name="Vírgula 2 5 2 5 2 2 2" xfId="23540" xr:uid="{ADA51AB9-3EC0-4402-B0F2-3D334B5B18F6}"/>
    <cellStyle name="Vírgula 2 5 2 5 2 2 2 2" xfId="49032" xr:uid="{F8B77241-3461-4D53-963E-3649C1BDDA43}"/>
    <cellStyle name="Vírgula 2 5 2 5 2 2 3" xfId="36441" xr:uid="{97A50F21-37D4-446A-B9E9-AE1B3EA4C167}"/>
    <cellStyle name="Vírgula 2 5 2 5 2 3" xfId="17262" xr:uid="{698CFD02-22D6-4BBC-8D7A-2CDD8EDC1D3E}"/>
    <cellStyle name="Vírgula 2 5 2 5 2 3 2" xfId="42754" xr:uid="{0642DD0E-4C37-404A-B4A1-DCEC7FEA99E9}"/>
    <cellStyle name="Vírgula 2 5 2 5 2 4" xfId="30163" xr:uid="{FC5536DC-F7D5-4C26-8165-75FA9D621047}"/>
    <cellStyle name="Vírgula 2 5 2 5 3" xfId="7719" xr:uid="{E55C2550-9519-47AB-BEEA-06AC20F5605A}"/>
    <cellStyle name="Vírgula 2 5 2 5 3 2" xfId="20401" xr:uid="{7E49D835-707D-4569-8B84-2D7BD62854FB}"/>
    <cellStyle name="Vírgula 2 5 2 5 3 2 2" xfId="45893" xr:uid="{77CE1B70-8B2B-485A-BAA2-D4E3168452D6}"/>
    <cellStyle name="Vírgula 2 5 2 5 3 3" xfId="33302" xr:uid="{B7EDFD6D-08DA-461B-B7F3-04413F9779E7}"/>
    <cellStyle name="Vírgula 2 5 2 5 4" xfId="14123" xr:uid="{67565547-BA96-4C32-BAAF-3339E5BDB058}"/>
    <cellStyle name="Vírgula 2 5 2 5 4 2" xfId="39615" xr:uid="{E52E46D7-5FAC-4EA0-843B-9943F31BB106}"/>
    <cellStyle name="Vírgula 2 5 2 5 5" xfId="27024" xr:uid="{31F6C9D7-7F00-4A80-A599-A3970E398EC1}"/>
    <cellStyle name="Vírgula 2 5 2 6" xfId="2718" xr:uid="{94070F68-9E4D-4D86-92C3-9BC0BF020FEC}"/>
    <cellStyle name="Vírgula 2 5 2 6 2" xfId="5872" xr:uid="{A5EB47AA-E189-450C-B834-5F26E92E84FB}"/>
    <cellStyle name="Vírgula 2 5 2 6 2 2" xfId="12165" xr:uid="{4AC8361D-CC1B-4133-8181-2D144E5F9DCE}"/>
    <cellStyle name="Vírgula 2 5 2 6 2 2 2" xfId="24847" xr:uid="{15F16B84-779F-470A-A191-B810702E9901}"/>
    <cellStyle name="Vírgula 2 5 2 6 2 2 2 2" xfId="50339" xr:uid="{E2777E67-AA64-4348-932C-9B5992A4B829}"/>
    <cellStyle name="Vírgula 2 5 2 6 2 2 3" xfId="37748" xr:uid="{26CF2958-8CF3-47F8-8B53-2CBD7808FF74}"/>
    <cellStyle name="Vírgula 2 5 2 6 2 3" xfId="18569" xr:uid="{2060E918-9275-4303-A19F-A68A6791B3C9}"/>
    <cellStyle name="Vírgula 2 5 2 6 2 3 2" xfId="44061" xr:uid="{FE5EF037-7E3F-4DFA-B9C2-4B83110C50CE}"/>
    <cellStyle name="Vírgula 2 5 2 6 2 4" xfId="31470" xr:uid="{3CEE8456-73C7-4958-B2B4-E56FBA3A45ED}"/>
    <cellStyle name="Vírgula 2 5 2 6 3" xfId="9026" xr:uid="{2933B9F9-4B28-4E00-B15D-AB41DB257D9F}"/>
    <cellStyle name="Vírgula 2 5 2 6 3 2" xfId="21708" xr:uid="{B24CD453-5794-4DBE-9F93-A2C658A4074A}"/>
    <cellStyle name="Vírgula 2 5 2 6 3 2 2" xfId="47200" xr:uid="{332A408F-D995-4D56-A995-C9E918DAC65A}"/>
    <cellStyle name="Vírgula 2 5 2 6 3 3" xfId="34609" xr:uid="{88CCF759-BD4A-4777-98FE-0DE39BEF2DB8}"/>
    <cellStyle name="Vírgula 2 5 2 6 4" xfId="15430" xr:uid="{6DCCF3AE-866A-4443-92FC-7357AA9EE13A}"/>
    <cellStyle name="Vírgula 2 5 2 6 4 2" xfId="40922" xr:uid="{0D8FD069-948C-4E87-AB38-8DF5ECAD1FBD}"/>
    <cellStyle name="Vírgula 2 5 2 6 5" xfId="28331" xr:uid="{132EBA26-11A1-4393-B441-0F97D8A4C908}"/>
    <cellStyle name="Vírgula 2 5 2 7" xfId="3241" xr:uid="{D2B92EEA-4DB4-4CAA-8A3A-F87BF67325CF}"/>
    <cellStyle name="Vírgula 2 5 2 7 2" xfId="6395" xr:uid="{C191ABD2-5D6A-41B3-8682-B93A106D8CA6}"/>
    <cellStyle name="Vírgula 2 5 2 7 2 2" xfId="12688" xr:uid="{8CC9811B-7F77-4127-8A7A-DDA494FCCEA0}"/>
    <cellStyle name="Vírgula 2 5 2 7 2 2 2" xfId="25370" xr:uid="{1BB87753-7E54-4833-90A2-FA066F20330B}"/>
    <cellStyle name="Vírgula 2 5 2 7 2 2 2 2" xfId="50862" xr:uid="{643DAFAD-2B78-4C54-877C-E36B7DF15DFF}"/>
    <cellStyle name="Vírgula 2 5 2 7 2 2 3" xfId="38271" xr:uid="{E10C0E29-526F-4C6A-A517-AE274F0A3D2C}"/>
    <cellStyle name="Vírgula 2 5 2 7 2 3" xfId="19092" xr:uid="{366FAC89-A395-4F63-BB31-67B9F253A8A1}"/>
    <cellStyle name="Vírgula 2 5 2 7 2 3 2" xfId="44584" xr:uid="{457F366D-6D84-4DB3-BF64-6F6C37CAB88A}"/>
    <cellStyle name="Vírgula 2 5 2 7 2 4" xfId="31993" xr:uid="{C3882CA2-880D-4486-A88D-BDC7326C506C}"/>
    <cellStyle name="Vírgula 2 5 2 7 3" xfId="9549" xr:uid="{851DAF8F-99EF-49BC-A48B-E0CDD7B24C7C}"/>
    <cellStyle name="Vírgula 2 5 2 7 3 2" xfId="22231" xr:uid="{AC9174A0-9A46-46D7-9530-B8CF70A3146A}"/>
    <cellStyle name="Vírgula 2 5 2 7 3 2 2" xfId="47723" xr:uid="{62002598-5CB3-43F7-9347-EC077F44A737}"/>
    <cellStyle name="Vírgula 2 5 2 7 3 3" xfId="35132" xr:uid="{FEC8AB23-7376-4A47-AEA6-ACB6D19140D3}"/>
    <cellStyle name="Vírgula 2 5 2 7 4" xfId="15953" xr:uid="{A3AB3A7A-C780-4E4D-A032-221B10D3E3E4}"/>
    <cellStyle name="Vírgula 2 5 2 7 4 2" xfId="41445" xr:uid="{A0259388-8279-4C19-96BE-FAE600CB0C5B}"/>
    <cellStyle name="Vírgula 2 5 2 7 5" xfId="28854" xr:uid="{63060B15-5BBF-43F8-8F3F-95CAE744AE98}"/>
    <cellStyle name="Vírgula 2 5 2 8" xfId="3780" xr:uid="{75F70E68-D905-43B3-894F-74A9281134FF}"/>
    <cellStyle name="Vírgula 2 5 2 8 2" xfId="10073" xr:uid="{AE49FA58-32E7-4D12-BD03-F33174E5738A}"/>
    <cellStyle name="Vírgula 2 5 2 8 2 2" xfId="22755" xr:uid="{BD8AECF1-8C11-4172-B875-3B8646957294}"/>
    <cellStyle name="Vírgula 2 5 2 8 2 2 2" xfId="48247" xr:uid="{85ECD47F-31DA-4326-89B8-3FC57F497C0A}"/>
    <cellStyle name="Vírgula 2 5 2 8 2 3" xfId="35656" xr:uid="{EDB0453D-6635-4708-9185-645C9E4660D5}"/>
    <cellStyle name="Vírgula 2 5 2 8 3" xfId="16477" xr:uid="{82899C81-52F1-416F-B6B8-2288BEF90A75}"/>
    <cellStyle name="Vírgula 2 5 2 8 3 2" xfId="41969" xr:uid="{4BC392DA-6C05-43F4-BBC9-8E3AE4D6D70F}"/>
    <cellStyle name="Vírgula 2 5 2 8 4" xfId="29378" xr:uid="{1D68E79F-DA71-4183-BD30-2DCB3F7F659A}"/>
    <cellStyle name="Vírgula 2 5 2 9" xfId="6934" xr:uid="{A2B20D0C-A933-412E-A09B-12F96F4D5FCB}"/>
    <cellStyle name="Vírgula 2 5 2 9 2" xfId="19616" xr:uid="{FB7E12AE-C9C6-441F-AACF-069CA4F51727}"/>
    <cellStyle name="Vírgula 2 5 2 9 2 2" xfId="45108" xr:uid="{AB3F5472-FC93-4E24-847D-BC9854D1D224}"/>
    <cellStyle name="Vírgula 2 5 2 9 3" xfId="32517" xr:uid="{EBFCFDE4-7DC0-46CB-B7DF-661BEA5E67EC}"/>
    <cellStyle name="Vírgula 2 5 3" xfId="989" xr:uid="{6DA2D73C-5BEF-4802-8703-8D3FC2E3351E}"/>
    <cellStyle name="Vírgula 2 5 3 2" xfId="2296" xr:uid="{588285D8-AA56-4082-8CC5-33EE4132B927}"/>
    <cellStyle name="Vírgula 2 5 3 2 2" xfId="5450" xr:uid="{DCE11438-9A40-4356-936E-6D196AAF78CC}"/>
    <cellStyle name="Vírgula 2 5 3 2 2 2" xfId="11743" xr:uid="{BCCDA765-9A53-4462-A214-6A071374C226}"/>
    <cellStyle name="Vírgula 2 5 3 2 2 2 2" xfId="24425" xr:uid="{48087A52-D3BA-4C09-884F-80DAB792BB12}"/>
    <cellStyle name="Vírgula 2 5 3 2 2 2 2 2" xfId="49917" xr:uid="{1A862F08-C302-42C0-BA01-FF219F0D12F9}"/>
    <cellStyle name="Vírgula 2 5 3 2 2 2 3" xfId="37326" xr:uid="{898149DA-F62E-40C0-BC0C-3DA9F03422AD}"/>
    <cellStyle name="Vírgula 2 5 3 2 2 3" xfId="18147" xr:uid="{3B31D22E-099D-4BC8-988A-365AC7D5E6CA}"/>
    <cellStyle name="Vírgula 2 5 3 2 2 3 2" xfId="43639" xr:uid="{0ABBD3D3-0F5D-4BFC-973E-17110DC2AD35}"/>
    <cellStyle name="Vírgula 2 5 3 2 2 4" xfId="31048" xr:uid="{FA7E7EBA-6412-4961-8283-89D0AC8A1F6C}"/>
    <cellStyle name="Vírgula 2 5 3 2 3" xfId="8604" xr:uid="{6F1E1C0F-02D5-4746-B8BB-0B72A61F4D9B}"/>
    <cellStyle name="Vírgula 2 5 3 2 3 2" xfId="21286" xr:uid="{1DD5080C-1D26-42F0-8FE9-208109268ED5}"/>
    <cellStyle name="Vírgula 2 5 3 2 3 2 2" xfId="46778" xr:uid="{ED5E73CF-B292-4C3E-AC79-8E968D15B330}"/>
    <cellStyle name="Vírgula 2 5 3 2 3 3" xfId="34187" xr:uid="{B499BB64-FC87-4F86-BEAF-9F6E7087C208}"/>
    <cellStyle name="Vírgula 2 5 3 2 4" xfId="15008" xr:uid="{53CD7137-7275-43C7-9F45-0B69DCDC93B9}"/>
    <cellStyle name="Vírgula 2 5 3 2 4 2" xfId="40500" xr:uid="{12874131-1E38-47DF-A4D0-4D2654206BE1}"/>
    <cellStyle name="Vírgula 2 5 3 2 5" xfId="27909" xr:uid="{7C2DF9B5-45DF-433B-8A4E-9CCDA0594DDE}"/>
    <cellStyle name="Vírgula 2 5 3 3" xfId="1513" xr:uid="{9B92BC7B-BE9C-4A7B-8E74-C92C437C7886}"/>
    <cellStyle name="Vírgula 2 5 3 3 2" xfId="4667" xr:uid="{D5A14090-F643-441A-B248-9AFE16722261}"/>
    <cellStyle name="Vírgula 2 5 3 3 2 2" xfId="10960" xr:uid="{E461B2D3-950F-4411-B8F4-9CDD07E971CF}"/>
    <cellStyle name="Vírgula 2 5 3 3 2 2 2" xfId="23642" xr:uid="{38544651-18BF-4040-95CF-86C530D7873A}"/>
    <cellStyle name="Vírgula 2 5 3 3 2 2 2 2" xfId="49134" xr:uid="{4B4CFDB8-E8C1-4DA2-9029-EC6F0D19AF25}"/>
    <cellStyle name="Vírgula 2 5 3 3 2 2 3" xfId="36543" xr:uid="{F5F47237-7CC6-46B1-89F2-88813B780127}"/>
    <cellStyle name="Vírgula 2 5 3 3 2 3" xfId="17364" xr:uid="{F7F5C3E5-EE28-4901-AC7C-4B8DAF1ECD3F}"/>
    <cellStyle name="Vírgula 2 5 3 3 2 3 2" xfId="42856" xr:uid="{011B4CE2-1213-4172-B8BD-33DF19EA56A2}"/>
    <cellStyle name="Vírgula 2 5 3 3 2 4" xfId="30265" xr:uid="{C9FAAD84-D9C8-4935-871A-837C4E9E488D}"/>
    <cellStyle name="Vírgula 2 5 3 3 3" xfId="7821" xr:uid="{64FC6B24-A86A-4C45-90BF-64498BF402F7}"/>
    <cellStyle name="Vírgula 2 5 3 3 3 2" xfId="20503" xr:uid="{3E07B8DE-F063-4E66-AA73-4F9EFDA2BD5A}"/>
    <cellStyle name="Vírgula 2 5 3 3 3 2 2" xfId="45995" xr:uid="{50BB51BA-2D30-4C1C-AB30-33692E9F55CE}"/>
    <cellStyle name="Vírgula 2 5 3 3 3 3" xfId="33404" xr:uid="{7A861FB2-2C30-47AD-8B6F-696128FEEA61}"/>
    <cellStyle name="Vírgula 2 5 3 3 4" xfId="14225" xr:uid="{C7FA8D4C-F11D-492B-9B02-906FA5AD964C}"/>
    <cellStyle name="Vírgula 2 5 3 3 4 2" xfId="39717" xr:uid="{0D7A359A-0B57-43BD-852D-53F819A3C8CA}"/>
    <cellStyle name="Vírgula 2 5 3 3 5" xfId="27126" xr:uid="{823B2570-73F9-4AE7-B8E1-B622E0B96FE6}"/>
    <cellStyle name="Vírgula 2 5 3 4" xfId="2820" xr:uid="{A073D3F8-4805-4F84-B65D-158D0FD0989C}"/>
    <cellStyle name="Vírgula 2 5 3 4 2" xfId="5974" xr:uid="{AAAC7F08-333A-46B9-B50A-8F98CDEF1127}"/>
    <cellStyle name="Vírgula 2 5 3 4 2 2" xfId="12267" xr:uid="{53ADA5F5-CAD3-4214-84F7-6CFC16A3D38D}"/>
    <cellStyle name="Vírgula 2 5 3 4 2 2 2" xfId="24949" xr:uid="{59C4BC9B-78DD-4F46-8A6B-ECAFAC9C0857}"/>
    <cellStyle name="Vírgula 2 5 3 4 2 2 2 2" xfId="50441" xr:uid="{8588C6C4-F759-4129-8243-09AB00F63AAA}"/>
    <cellStyle name="Vírgula 2 5 3 4 2 2 3" xfId="37850" xr:uid="{690335D7-7E8D-4424-A700-1FBDB4BE3B47}"/>
    <cellStyle name="Vírgula 2 5 3 4 2 3" xfId="18671" xr:uid="{FD7F86EF-68A0-4B8C-8B0E-73EABCE7D95F}"/>
    <cellStyle name="Vírgula 2 5 3 4 2 3 2" xfId="44163" xr:uid="{45577B05-F5E1-42B8-9269-40DE7E95866C}"/>
    <cellStyle name="Vírgula 2 5 3 4 2 4" xfId="31572" xr:uid="{4DF5827A-855B-41C2-A9A1-04B2C532E3C7}"/>
    <cellStyle name="Vírgula 2 5 3 4 3" xfId="9128" xr:uid="{AF51D140-C345-404A-A6AA-5327C50EADEB}"/>
    <cellStyle name="Vírgula 2 5 3 4 3 2" xfId="21810" xr:uid="{F7184500-B95D-41C8-8DB3-17A003A2B3D7}"/>
    <cellStyle name="Vírgula 2 5 3 4 3 2 2" xfId="47302" xr:uid="{D6C31232-A504-4B2E-A3CE-4077E341C96B}"/>
    <cellStyle name="Vírgula 2 5 3 4 3 3" xfId="34711" xr:uid="{C56E7024-C6CE-47DC-9C86-C09DB985AD4C}"/>
    <cellStyle name="Vírgula 2 5 3 4 4" xfId="15532" xr:uid="{97CE81FF-54AF-4D69-B1CA-6F82CE700987}"/>
    <cellStyle name="Vírgula 2 5 3 4 4 2" xfId="41024" xr:uid="{4738B84E-FCD0-4863-AECF-AA0161E4509A}"/>
    <cellStyle name="Vírgula 2 5 3 4 5" xfId="28433" xr:uid="{A3288934-F1C3-4ED5-835F-2A58E71DA08F}"/>
    <cellStyle name="Vírgula 2 5 3 5" xfId="3343" xr:uid="{A82952D7-8BDB-49E1-B656-C72A0856D135}"/>
    <cellStyle name="Vírgula 2 5 3 5 2" xfId="6497" xr:uid="{EEA9D7B5-6195-4902-BF1B-24386EFCDBF3}"/>
    <cellStyle name="Vírgula 2 5 3 5 2 2" xfId="12790" xr:uid="{3F5C63B5-7A3B-4E20-B4E9-70E73F58F2AE}"/>
    <cellStyle name="Vírgula 2 5 3 5 2 2 2" xfId="25472" xr:uid="{BC740A1E-F9B8-40BA-925E-11669A52D904}"/>
    <cellStyle name="Vírgula 2 5 3 5 2 2 2 2" xfId="50964" xr:uid="{9135FD30-339D-4A39-966A-B763594138B0}"/>
    <cellStyle name="Vírgula 2 5 3 5 2 2 3" xfId="38373" xr:uid="{08503EB5-A0E7-4F10-AEBE-10FA5D4E5108}"/>
    <cellStyle name="Vírgula 2 5 3 5 2 3" xfId="19194" xr:uid="{14CDFB6B-E80E-4020-A4B3-5DFB90CEBC05}"/>
    <cellStyle name="Vírgula 2 5 3 5 2 3 2" xfId="44686" xr:uid="{91478EE6-5F36-451E-93F6-A1E476AAA1FB}"/>
    <cellStyle name="Vírgula 2 5 3 5 2 4" xfId="32095" xr:uid="{2ACD9A5D-DB0F-4210-B0E5-1701AB3D5770}"/>
    <cellStyle name="Vírgula 2 5 3 5 3" xfId="9651" xr:uid="{A562C778-3F0D-4CED-A279-9BF6B0A80749}"/>
    <cellStyle name="Vírgula 2 5 3 5 3 2" xfId="22333" xr:uid="{4485880F-35D7-451F-943C-B6C99677FA13}"/>
    <cellStyle name="Vírgula 2 5 3 5 3 2 2" xfId="47825" xr:uid="{C87B716A-EB44-4164-9C87-AE0B25243E02}"/>
    <cellStyle name="Vírgula 2 5 3 5 3 3" xfId="35234" xr:uid="{34008DB3-0836-4A9C-BE86-F0D0316CAF49}"/>
    <cellStyle name="Vírgula 2 5 3 5 4" xfId="16055" xr:uid="{404CE611-602F-46C8-9F11-B22122EE9977}"/>
    <cellStyle name="Vírgula 2 5 3 5 4 2" xfId="41547" xr:uid="{353BBBF1-5CDD-4538-A200-5493E0222337}"/>
    <cellStyle name="Vírgula 2 5 3 5 5" xfId="28956" xr:uid="{55356189-3129-482F-998E-B0EA05632B22}"/>
    <cellStyle name="Vírgula 2 5 3 6" xfId="4143" xr:uid="{1BC401ED-247A-44CC-A7D9-29BD6E7B06C4}"/>
    <cellStyle name="Vírgula 2 5 3 6 2" xfId="10436" xr:uid="{1832813C-5336-4616-8DBE-AA885832FCE8}"/>
    <cellStyle name="Vírgula 2 5 3 6 2 2" xfId="23118" xr:uid="{9CB20500-FCA3-4660-98C8-70F038828694}"/>
    <cellStyle name="Vírgula 2 5 3 6 2 2 2" xfId="48610" xr:uid="{32BDD511-1C36-4D5B-87B1-ECFD2D03A2D8}"/>
    <cellStyle name="Vírgula 2 5 3 6 2 3" xfId="36019" xr:uid="{802A744D-88B8-4B80-826C-3578A8C02D48}"/>
    <cellStyle name="Vírgula 2 5 3 6 3" xfId="16840" xr:uid="{C77ADC7F-E62C-4EE6-B9EB-F142D26E2553}"/>
    <cellStyle name="Vírgula 2 5 3 6 3 2" xfId="42332" xr:uid="{7A4B33B2-81A2-42E9-8BF4-67C9E370C859}"/>
    <cellStyle name="Vírgula 2 5 3 6 4" xfId="29741" xr:uid="{1645467B-5E43-4BD6-BD43-20F25105B6E4}"/>
    <cellStyle name="Vírgula 2 5 3 7" xfId="7297" xr:uid="{FE4629CC-2329-498D-BAAB-87893B6D801B}"/>
    <cellStyle name="Vírgula 2 5 3 7 2" xfId="19979" xr:uid="{974ABE9E-5A81-48D5-AE73-549504B3D056}"/>
    <cellStyle name="Vírgula 2 5 3 7 2 2" xfId="45471" xr:uid="{D61417DB-70E3-4599-BF5A-D50250EE7924}"/>
    <cellStyle name="Vírgula 2 5 3 7 3" xfId="32880" xr:uid="{3475F807-ABD3-4D60-A994-5DD6ED158BB7}"/>
    <cellStyle name="Vírgula 2 5 3 8" xfId="13701" xr:uid="{9D9AB347-F0E5-4B19-AFB8-8ADDF598FABD}"/>
    <cellStyle name="Vírgula 2 5 3 8 2" xfId="39193" xr:uid="{0F595CC5-2785-43CA-8114-33405B11B40B}"/>
    <cellStyle name="Vírgula 2 5 3 9" xfId="26602" xr:uid="{A80DF32B-2DC3-4C02-9284-CE2D34538DF7}"/>
    <cellStyle name="Vírgula 2 5 4" xfId="729" xr:uid="{A61CEBB6-0B40-44E2-8414-FBB9C0E185ED}"/>
    <cellStyle name="Vírgula 2 5 4 2" xfId="2036" xr:uid="{C657C0D2-A05F-4D26-B07A-C2E084703C48}"/>
    <cellStyle name="Vírgula 2 5 4 2 2" xfId="5190" xr:uid="{6846EF99-C3F9-4031-82D8-732064CC6869}"/>
    <cellStyle name="Vírgula 2 5 4 2 2 2" xfId="11483" xr:uid="{E4EBCAFD-871A-41AA-BAB7-78622993ABE1}"/>
    <cellStyle name="Vírgula 2 5 4 2 2 2 2" xfId="24165" xr:uid="{DFA499C2-DE19-4F32-AFE5-54EC20332422}"/>
    <cellStyle name="Vírgula 2 5 4 2 2 2 2 2" xfId="49657" xr:uid="{07F8834C-6401-42B4-94CF-01FE57B33949}"/>
    <cellStyle name="Vírgula 2 5 4 2 2 2 3" xfId="37066" xr:uid="{280A43F3-7F1B-4542-BAB9-A36C70F9AC90}"/>
    <cellStyle name="Vírgula 2 5 4 2 2 3" xfId="17887" xr:uid="{ECDBF018-5AE5-40EF-AE3B-796D61685D24}"/>
    <cellStyle name="Vírgula 2 5 4 2 2 3 2" xfId="43379" xr:uid="{89C4E608-8C87-4FF4-BDF8-03B9C59151FB}"/>
    <cellStyle name="Vírgula 2 5 4 2 2 4" xfId="30788" xr:uid="{FD198AAE-C6DF-4EFA-B8D2-93B6D0DCE6E4}"/>
    <cellStyle name="Vírgula 2 5 4 2 3" xfId="8344" xr:uid="{BAA82103-0724-4C0C-AD33-6C43FB75D43C}"/>
    <cellStyle name="Vírgula 2 5 4 2 3 2" xfId="21026" xr:uid="{5B20D10B-0DD5-4722-994C-8DDCDEB45059}"/>
    <cellStyle name="Vírgula 2 5 4 2 3 2 2" xfId="46518" xr:uid="{FD119350-AB1B-44F8-8D6D-946BB2A4B9AB}"/>
    <cellStyle name="Vírgula 2 5 4 2 3 3" xfId="33927" xr:uid="{9B823206-14B8-4493-8BC7-53C50859C818}"/>
    <cellStyle name="Vírgula 2 5 4 2 4" xfId="14748" xr:uid="{DCC5D333-A014-4E63-8C64-E0A784FBA359}"/>
    <cellStyle name="Vírgula 2 5 4 2 4 2" xfId="40240" xr:uid="{BBBE1B30-05FE-4004-AF73-80EA148C2167}"/>
    <cellStyle name="Vírgula 2 5 4 2 5" xfId="27649" xr:uid="{1AED8FC0-7894-40AF-8C74-A104B59BB005}"/>
    <cellStyle name="Vírgula 2 5 4 3" xfId="3883" xr:uid="{3F16BC16-49C1-4FF4-A479-6DD1EC84C0B6}"/>
    <cellStyle name="Vírgula 2 5 4 3 2" xfId="10176" xr:uid="{BA153F11-39C2-44BB-A361-3B5783375300}"/>
    <cellStyle name="Vírgula 2 5 4 3 2 2" xfId="22858" xr:uid="{A75BF8FC-8C0A-4B19-BC86-DD05616A0C17}"/>
    <cellStyle name="Vírgula 2 5 4 3 2 2 2" xfId="48350" xr:uid="{1D9C2EC6-BC39-4137-B6D9-B85B945DC458}"/>
    <cellStyle name="Vírgula 2 5 4 3 2 3" xfId="35759" xr:uid="{2A64EE9F-F85D-48BD-B8BC-EFF197E0E3B3}"/>
    <cellStyle name="Vírgula 2 5 4 3 3" xfId="16580" xr:uid="{2DA81998-621C-489C-ACDD-30F51DAE9F00}"/>
    <cellStyle name="Vírgula 2 5 4 3 3 2" xfId="42072" xr:uid="{8381DBE3-6AD9-4F11-8476-81B02039BC5D}"/>
    <cellStyle name="Vírgula 2 5 4 3 4" xfId="29481" xr:uid="{46CB037A-EA22-4BC1-8B9E-C8F60681437D}"/>
    <cellStyle name="Vírgula 2 5 4 4" xfId="7037" xr:uid="{972BF64F-A97B-497A-9AA5-7440563F2682}"/>
    <cellStyle name="Vírgula 2 5 4 4 2" xfId="19719" xr:uid="{036190D7-8A32-4E3F-B053-1FB49CD2B90A}"/>
    <cellStyle name="Vírgula 2 5 4 4 2 2" xfId="45211" xr:uid="{7C043F83-8A41-4F62-AAFE-DD0BFF643A00}"/>
    <cellStyle name="Vírgula 2 5 4 4 3" xfId="32620" xr:uid="{90D23C6C-52E7-4E59-A170-CB0101B28D64}"/>
    <cellStyle name="Vírgula 2 5 4 5" xfId="13441" xr:uid="{9F4AE6F9-3C16-4D49-87EB-FF263E455BA9}"/>
    <cellStyle name="Vírgula 2 5 4 5 2" xfId="38933" xr:uid="{D77A796E-10E5-4C30-9C5A-C7A5AE47692F}"/>
    <cellStyle name="Vírgula 2 5 4 6" xfId="26342" xr:uid="{FCF1F801-1FA7-4958-AE09-B29206FC8200}"/>
    <cellStyle name="Vírgula 2 5 5" xfId="1774" xr:uid="{2AD59534-0CFE-48A3-8D6A-E9D22783ED3C}"/>
    <cellStyle name="Vírgula 2 5 5 2" xfId="4928" xr:uid="{94BB4884-B47A-42F1-9B90-18AA187AFC79}"/>
    <cellStyle name="Vírgula 2 5 5 2 2" xfId="11221" xr:uid="{0929BEF9-7BB6-43D3-8174-206432551D97}"/>
    <cellStyle name="Vírgula 2 5 5 2 2 2" xfId="23903" xr:uid="{B583267F-FB44-455D-BC34-E03C0DF0C63F}"/>
    <cellStyle name="Vírgula 2 5 5 2 2 2 2" xfId="49395" xr:uid="{EFC22ACB-0DE7-4E28-B4D7-7E5D947C926F}"/>
    <cellStyle name="Vírgula 2 5 5 2 2 3" xfId="36804" xr:uid="{6141F1E3-FE9D-4386-87AA-B799F5945A56}"/>
    <cellStyle name="Vírgula 2 5 5 2 3" xfId="17625" xr:uid="{7D32440C-E1CA-4163-A6D7-BF0E44E6D897}"/>
    <cellStyle name="Vírgula 2 5 5 2 3 2" xfId="43117" xr:uid="{468D2348-BBBE-45FD-8E94-CBA4D0011212}"/>
    <cellStyle name="Vírgula 2 5 5 2 4" xfId="30526" xr:uid="{32315712-49B4-4C75-AB15-B46AD2774738}"/>
    <cellStyle name="Vírgula 2 5 5 3" xfId="8082" xr:uid="{49D96443-638D-46EB-8C74-96116DC2CE4E}"/>
    <cellStyle name="Vírgula 2 5 5 3 2" xfId="20764" xr:uid="{34B012E2-0803-49A6-B2E3-553051F0192D}"/>
    <cellStyle name="Vírgula 2 5 5 3 2 2" xfId="46256" xr:uid="{BE5975EB-A665-4E61-846C-47860A5220DE}"/>
    <cellStyle name="Vírgula 2 5 5 3 3" xfId="33665" xr:uid="{BB8064BB-9894-4489-A371-59D26B731D9D}"/>
    <cellStyle name="Vírgula 2 5 5 4" xfId="14486" xr:uid="{3BD7EBB9-EE66-45F3-A776-1384F97DAC0C}"/>
    <cellStyle name="Vírgula 2 5 5 4 2" xfId="39978" xr:uid="{F34988AA-B1C9-484F-ADB1-489CE21D1EE9}"/>
    <cellStyle name="Vírgula 2 5 5 5" xfId="27387" xr:uid="{87D94784-A52F-4994-BF0F-0755D4F5FE46}"/>
    <cellStyle name="Vírgula 2 5 6" xfId="1252" xr:uid="{10758620-2B01-4C27-B94D-4820D10D5D10}"/>
    <cellStyle name="Vírgula 2 5 6 2" xfId="4406" xr:uid="{8D94DC09-1D01-45D6-92CC-DB4CB27DC71B}"/>
    <cellStyle name="Vírgula 2 5 6 2 2" xfId="10699" xr:uid="{90DEEA70-4407-4CBC-A57A-5842048A5CDE}"/>
    <cellStyle name="Vírgula 2 5 6 2 2 2" xfId="23381" xr:uid="{F1A1CC91-4159-406F-AA2A-0E638881692F}"/>
    <cellStyle name="Vírgula 2 5 6 2 2 2 2" xfId="48873" xr:uid="{BD7FBEB6-7E00-4107-8F0C-40440609DB64}"/>
    <cellStyle name="Vírgula 2 5 6 2 2 3" xfId="36282" xr:uid="{876A98F8-2A1D-4624-91EF-62A1873BD795}"/>
    <cellStyle name="Vírgula 2 5 6 2 3" xfId="17103" xr:uid="{E5E2B598-BC83-4D25-AFE2-A8A91286837D}"/>
    <cellStyle name="Vírgula 2 5 6 2 3 2" xfId="42595" xr:uid="{8362D3AC-5347-4AB9-82FF-19E9BC35496E}"/>
    <cellStyle name="Vírgula 2 5 6 2 4" xfId="30004" xr:uid="{761D8306-135F-43F4-9C74-DA96BD30C564}"/>
    <cellStyle name="Vírgula 2 5 6 3" xfId="7560" xr:uid="{EBCAEC87-6D02-4E3A-AA36-75B7CD58F11B}"/>
    <cellStyle name="Vírgula 2 5 6 3 2" xfId="20242" xr:uid="{747F2BC2-1027-421B-A773-CE023A3AB2D0}"/>
    <cellStyle name="Vírgula 2 5 6 3 2 2" xfId="45734" xr:uid="{42A7B47A-D09C-43B3-AED2-F32E68AAC771}"/>
    <cellStyle name="Vírgula 2 5 6 3 3" xfId="33143" xr:uid="{3AEE4AE1-08FE-4F63-9D11-BCCB6F95F817}"/>
    <cellStyle name="Vírgula 2 5 6 4" xfId="13964" xr:uid="{2462290D-47C7-4B98-9945-1E001643D180}"/>
    <cellStyle name="Vírgula 2 5 6 4 2" xfId="39456" xr:uid="{19E17DD8-E720-4D18-8986-171FC6F81DFA}"/>
    <cellStyle name="Vírgula 2 5 6 5" xfId="26865" xr:uid="{99AA01CD-10E5-4664-BC1B-C6766B3F13AD}"/>
    <cellStyle name="Vírgula 2 5 7" xfId="2559" xr:uid="{A33F4BCA-5EDF-4251-B444-5781D7FD6754}"/>
    <cellStyle name="Vírgula 2 5 7 2" xfId="5713" xr:uid="{6FCAAC00-CB1E-4A2C-8FB8-750E5CBC7738}"/>
    <cellStyle name="Vírgula 2 5 7 2 2" xfId="12006" xr:uid="{AFAE107F-7BC7-4734-B176-C314084DC591}"/>
    <cellStyle name="Vírgula 2 5 7 2 2 2" xfId="24688" xr:uid="{79518313-4D9B-44BD-B904-67214E2885C2}"/>
    <cellStyle name="Vírgula 2 5 7 2 2 2 2" xfId="50180" xr:uid="{72A89DCD-5B5B-43B1-83C6-C04B4ECCE66D}"/>
    <cellStyle name="Vírgula 2 5 7 2 2 3" xfId="37589" xr:uid="{8D605E93-77C9-42F9-9D17-ABDE2D7C4AF0}"/>
    <cellStyle name="Vírgula 2 5 7 2 3" xfId="18410" xr:uid="{362C4554-87D1-4725-97C6-B434EB3ACC76}"/>
    <cellStyle name="Vírgula 2 5 7 2 3 2" xfId="43902" xr:uid="{FB2B7BC5-BF28-422A-9B20-BFF37288D5EF}"/>
    <cellStyle name="Vírgula 2 5 7 2 4" xfId="31311" xr:uid="{7A2BCC33-38EB-4224-BB0E-CD897066A900}"/>
    <cellStyle name="Vírgula 2 5 7 3" xfId="8867" xr:uid="{02854666-17A4-45EF-884B-06E8B7379277}"/>
    <cellStyle name="Vírgula 2 5 7 3 2" xfId="21549" xr:uid="{95E84E23-2ACC-458E-B5A7-599273D48CB2}"/>
    <cellStyle name="Vírgula 2 5 7 3 2 2" xfId="47041" xr:uid="{79514566-DBEA-495C-A565-0BD588EC01A0}"/>
    <cellStyle name="Vírgula 2 5 7 3 3" xfId="34450" xr:uid="{66BA9D36-A460-4531-B685-AB281BF2A78B}"/>
    <cellStyle name="Vírgula 2 5 7 4" xfId="15271" xr:uid="{B3A2FE81-F5AC-46D7-BDF7-465B7CC4A795}"/>
    <cellStyle name="Vírgula 2 5 7 4 2" xfId="40763" xr:uid="{2E366874-DAC0-41FB-8351-6CAAF0D8072C}"/>
    <cellStyle name="Vírgula 2 5 7 5" xfId="28172" xr:uid="{BC1DED12-3681-49E2-A1C8-F76D79BFC633}"/>
    <cellStyle name="Vírgula 2 5 8" xfId="3082" xr:uid="{13AE88F6-B4C7-44BD-82B0-F8F641543280}"/>
    <cellStyle name="Vírgula 2 5 8 2" xfId="6236" xr:uid="{6852F184-D8AF-4DB5-BADB-99B5BE3B760B}"/>
    <cellStyle name="Vírgula 2 5 8 2 2" xfId="12529" xr:uid="{3E293682-5B95-4A2A-B83F-DB19BBD4D484}"/>
    <cellStyle name="Vírgula 2 5 8 2 2 2" xfId="25211" xr:uid="{B466CAA1-8EF2-44F1-B697-858F4EC800D3}"/>
    <cellStyle name="Vírgula 2 5 8 2 2 2 2" xfId="50703" xr:uid="{9952E04D-039B-4205-AF8D-598C116F61D3}"/>
    <cellStyle name="Vírgula 2 5 8 2 2 3" xfId="38112" xr:uid="{4A866ED0-BACD-46DB-A6A1-56FEA902B9FC}"/>
    <cellStyle name="Vírgula 2 5 8 2 3" xfId="18933" xr:uid="{641701B9-4F20-499E-9225-163BB1F93903}"/>
    <cellStyle name="Vírgula 2 5 8 2 3 2" xfId="44425" xr:uid="{85D63121-81DC-4AFD-9863-70D44A2085E3}"/>
    <cellStyle name="Vírgula 2 5 8 2 4" xfId="31834" xr:uid="{FCCB6B27-574D-4B3A-BD44-75725027DB8C}"/>
    <cellStyle name="Vírgula 2 5 8 3" xfId="9390" xr:uid="{FC975D00-A6EB-4732-BBB8-E233A3D33985}"/>
    <cellStyle name="Vírgula 2 5 8 3 2" xfId="22072" xr:uid="{DD663F4B-C307-49C4-86E8-ED0EAEC4CEF7}"/>
    <cellStyle name="Vírgula 2 5 8 3 2 2" xfId="47564" xr:uid="{769C847E-179C-4D82-87A5-E307C38C4847}"/>
    <cellStyle name="Vírgula 2 5 8 3 3" xfId="34973" xr:uid="{CF55C61C-C8E7-43FB-97BA-DEC2615492B7}"/>
    <cellStyle name="Vírgula 2 5 8 4" xfId="15794" xr:uid="{BB3DEB0B-54D0-4588-8763-8315395AFD38}"/>
    <cellStyle name="Vírgula 2 5 8 4 2" xfId="41286" xr:uid="{138D9D51-5675-45C8-8EB2-601F05D77F01}"/>
    <cellStyle name="Vírgula 2 5 8 5" xfId="28695" xr:uid="{F3874846-DB88-4EB1-8188-1006AE21068C}"/>
    <cellStyle name="Vírgula 2 5 9" xfId="3621" xr:uid="{23EE45DC-B85C-4B61-8A68-2065BEDE8BDE}"/>
    <cellStyle name="Vírgula 2 5 9 2" xfId="9914" xr:uid="{9579DCF5-5FBB-4EA8-9411-C2499A5C6C73}"/>
    <cellStyle name="Vírgula 2 5 9 2 2" xfId="22596" xr:uid="{84B07CD6-61B9-4915-93AF-A76CD00E8E7F}"/>
    <cellStyle name="Vírgula 2 5 9 2 2 2" xfId="48088" xr:uid="{6553E87E-9DF9-4667-A459-25A0E60CD01E}"/>
    <cellStyle name="Vírgula 2 5 9 2 3" xfId="35497" xr:uid="{DEB0EB74-5103-4E60-A5C8-68695FDA2FEB}"/>
    <cellStyle name="Vírgula 2 5 9 3" xfId="16318" xr:uid="{EDF48794-A1BE-4873-9983-D3493B8ADA93}"/>
    <cellStyle name="Vírgula 2 5 9 3 2" xfId="41810" xr:uid="{81FD40D5-5197-471A-BF2F-57F668C9B868}"/>
    <cellStyle name="Vírgula 2 5 9 4" xfId="29219" xr:uid="{A1C88480-4D54-4329-A617-868865F7E1AC}"/>
    <cellStyle name="Vírgula 2 6" xfId="569" xr:uid="{7F0F9F0C-8BDC-4D90-A61B-5FD4F5A6D789}"/>
    <cellStyle name="Vírgula 2 6 10" xfId="13296" xr:uid="{88CAB382-A67A-4958-8B60-29BE300C81AB}"/>
    <cellStyle name="Vírgula 2 6 10 2" xfId="38788" xr:uid="{EC1DF068-DFDD-4BDF-B248-8E9A6A71BCF2}"/>
    <cellStyle name="Vírgula 2 6 11" xfId="26197" xr:uid="{CE505EC9-17B9-4762-A388-191ABB326BD3}"/>
    <cellStyle name="Vírgula 2 6 2" xfId="1106" xr:uid="{FD53073A-C5F2-47FD-8691-34B770FF13EA}"/>
    <cellStyle name="Vírgula 2 6 2 2" xfId="2413" xr:uid="{D1DA2401-88ED-44F5-BFA7-5E85B9626E32}"/>
    <cellStyle name="Vírgula 2 6 2 2 2" xfId="5567" xr:uid="{151CE290-B699-411A-85DF-8603C95ED94C}"/>
    <cellStyle name="Vírgula 2 6 2 2 2 2" xfId="11860" xr:uid="{136A940E-5B27-4604-8116-F2D9EA123231}"/>
    <cellStyle name="Vírgula 2 6 2 2 2 2 2" xfId="24542" xr:uid="{5C56CC11-2037-4A56-B4CD-F41D213C52DE}"/>
    <cellStyle name="Vírgula 2 6 2 2 2 2 2 2" xfId="50034" xr:uid="{FF775337-D77E-4BEB-8D74-BCAD86CF6819}"/>
    <cellStyle name="Vírgula 2 6 2 2 2 2 3" xfId="37443" xr:uid="{27526781-9D26-4B78-8348-E1973D6EA7FA}"/>
    <cellStyle name="Vírgula 2 6 2 2 2 3" xfId="18264" xr:uid="{5F8AEAA6-2239-43BA-9BBA-D6BEAE7E8558}"/>
    <cellStyle name="Vírgula 2 6 2 2 2 3 2" xfId="43756" xr:uid="{026A366D-4513-4781-8D07-CCB1980AE7A3}"/>
    <cellStyle name="Vírgula 2 6 2 2 2 4" xfId="31165" xr:uid="{C7AD5A82-62A8-4B30-89A6-A168F82C9AD3}"/>
    <cellStyle name="Vírgula 2 6 2 2 3" xfId="8721" xr:uid="{C87A27B6-67F1-4CEC-B77E-67DC34FABDC7}"/>
    <cellStyle name="Vírgula 2 6 2 2 3 2" xfId="21403" xr:uid="{89B8B806-9764-47BF-A608-6B924EBD7907}"/>
    <cellStyle name="Vírgula 2 6 2 2 3 2 2" xfId="46895" xr:uid="{A3193AB9-B3C4-468B-A49C-8A7F16E07713}"/>
    <cellStyle name="Vírgula 2 6 2 2 3 3" xfId="34304" xr:uid="{4F0CA474-2E0F-489C-B041-11A02166BD44}"/>
    <cellStyle name="Vírgula 2 6 2 2 4" xfId="15125" xr:uid="{8476B1E9-A6DA-4303-8DA8-ADCE4A38F37B}"/>
    <cellStyle name="Vírgula 2 6 2 2 4 2" xfId="40617" xr:uid="{12376262-E5AC-4679-BAC4-55F6D1472883}"/>
    <cellStyle name="Vírgula 2 6 2 2 5" xfId="28026" xr:uid="{353429B9-27D7-43F1-BF5E-F63485C13000}"/>
    <cellStyle name="Vírgula 2 6 2 3" xfId="1630" xr:uid="{9B6A8138-4361-4D65-828A-190B536C7757}"/>
    <cellStyle name="Vírgula 2 6 2 3 2" xfId="4784" xr:uid="{798F93BE-3FAD-40D7-BA37-A65745ECE181}"/>
    <cellStyle name="Vírgula 2 6 2 3 2 2" xfId="11077" xr:uid="{52CB70A8-66CF-4541-906F-8E7C0DBA380F}"/>
    <cellStyle name="Vírgula 2 6 2 3 2 2 2" xfId="23759" xr:uid="{8F4AA96A-FA49-469A-A873-96FD03AC2C0E}"/>
    <cellStyle name="Vírgula 2 6 2 3 2 2 2 2" xfId="49251" xr:uid="{66B935CC-5E96-44A8-A82A-1BF8405C8F3D}"/>
    <cellStyle name="Vírgula 2 6 2 3 2 2 3" xfId="36660" xr:uid="{E06C84C5-28A6-4F41-9042-3BEF90AA23D2}"/>
    <cellStyle name="Vírgula 2 6 2 3 2 3" xfId="17481" xr:uid="{6EAAC2EA-509B-4954-AAFC-BB0F2B4E2AE1}"/>
    <cellStyle name="Vírgula 2 6 2 3 2 3 2" xfId="42973" xr:uid="{56807F85-38F2-4AFF-9A7F-C125195C9A73}"/>
    <cellStyle name="Vírgula 2 6 2 3 2 4" xfId="30382" xr:uid="{3035DD93-4576-4E0A-8D9D-31A72D212B7D}"/>
    <cellStyle name="Vírgula 2 6 2 3 3" xfId="7938" xr:uid="{29CD4BAF-31D4-4F59-89F7-48B171F6DAC9}"/>
    <cellStyle name="Vírgula 2 6 2 3 3 2" xfId="20620" xr:uid="{9AAA4A99-7D79-4583-A019-4AF523C11573}"/>
    <cellStyle name="Vírgula 2 6 2 3 3 2 2" xfId="46112" xr:uid="{03A44AE1-31B5-48A7-AC03-C4FA3DEA62B7}"/>
    <cellStyle name="Vírgula 2 6 2 3 3 3" xfId="33521" xr:uid="{C186083D-E00D-4870-8809-833DDA664222}"/>
    <cellStyle name="Vírgula 2 6 2 3 4" xfId="14342" xr:uid="{4C49E613-3F68-4E38-BF8F-0DB599573E84}"/>
    <cellStyle name="Vírgula 2 6 2 3 4 2" xfId="39834" xr:uid="{ACE8E048-5F90-443F-8DF6-22C61742976E}"/>
    <cellStyle name="Vírgula 2 6 2 3 5" xfId="27243" xr:uid="{3558FC70-D85B-4D2C-A609-0B63F7BE2C1E}"/>
    <cellStyle name="Vírgula 2 6 2 4" xfId="2937" xr:uid="{CB2F0A64-2784-4F52-89EA-D1C7424A5ACA}"/>
    <cellStyle name="Vírgula 2 6 2 4 2" xfId="6091" xr:uid="{1109C20F-1594-4ABE-B0AA-55FB23D0E1DF}"/>
    <cellStyle name="Vírgula 2 6 2 4 2 2" xfId="12384" xr:uid="{D8675571-0BEC-499F-935A-4164277BF14A}"/>
    <cellStyle name="Vírgula 2 6 2 4 2 2 2" xfId="25066" xr:uid="{28FEEE31-5909-40D0-8969-13B56375B064}"/>
    <cellStyle name="Vírgula 2 6 2 4 2 2 2 2" xfId="50558" xr:uid="{84C9DB1F-D1F4-4D07-9BD6-842396367B72}"/>
    <cellStyle name="Vírgula 2 6 2 4 2 2 3" xfId="37967" xr:uid="{21AA8F3C-506E-47DD-9D26-0D747835723D}"/>
    <cellStyle name="Vírgula 2 6 2 4 2 3" xfId="18788" xr:uid="{AF8F90F5-5CB7-4CBC-8B67-4741833097E9}"/>
    <cellStyle name="Vírgula 2 6 2 4 2 3 2" xfId="44280" xr:uid="{E9EE2C29-D3FF-4CC6-8A97-D929C3CD9813}"/>
    <cellStyle name="Vírgula 2 6 2 4 2 4" xfId="31689" xr:uid="{E49D28E0-1CE5-4131-AE0E-1695CFF269A0}"/>
    <cellStyle name="Vírgula 2 6 2 4 3" xfId="9245" xr:uid="{863C0A95-216D-43E0-9FF0-A49D8BC5308B}"/>
    <cellStyle name="Vírgula 2 6 2 4 3 2" xfId="21927" xr:uid="{9EC342BA-3C8F-4B56-994C-DA1DD5CC4AA4}"/>
    <cellStyle name="Vírgula 2 6 2 4 3 2 2" xfId="47419" xr:uid="{DAD06B95-85BD-4FEF-A203-7D19D4E48627}"/>
    <cellStyle name="Vírgula 2 6 2 4 3 3" xfId="34828" xr:uid="{3BAD9146-5D5F-4C5A-9FB9-342E2F9D11C4}"/>
    <cellStyle name="Vírgula 2 6 2 4 4" xfId="15649" xr:uid="{9541BE5B-B53E-4897-9BC3-CE4B512C9A3A}"/>
    <cellStyle name="Vírgula 2 6 2 4 4 2" xfId="41141" xr:uid="{31529166-1F3F-4B08-A871-9A0A4EA1C1EA}"/>
    <cellStyle name="Vírgula 2 6 2 4 5" xfId="28550" xr:uid="{00D569F5-1C0D-4B26-B20A-FE7B722DE431}"/>
    <cellStyle name="Vírgula 2 6 2 5" xfId="3460" xr:uid="{096084F4-B42A-40CA-85BF-3B4C74F36870}"/>
    <cellStyle name="Vírgula 2 6 2 5 2" xfId="6614" xr:uid="{C8DC8938-3CE4-414B-A044-AD775D246146}"/>
    <cellStyle name="Vírgula 2 6 2 5 2 2" xfId="12907" xr:uid="{6F5AD211-2FF0-4C01-BC23-E3799A2DD3C1}"/>
    <cellStyle name="Vírgula 2 6 2 5 2 2 2" xfId="25589" xr:uid="{EDE754D0-4705-4545-9995-D3383097D66C}"/>
    <cellStyle name="Vírgula 2 6 2 5 2 2 2 2" xfId="51081" xr:uid="{30921F60-D157-4990-AECA-FB1CA6AB6F41}"/>
    <cellStyle name="Vírgula 2 6 2 5 2 2 3" xfId="38490" xr:uid="{F7CD1DC4-B5D3-401B-9FA9-93781588A2E3}"/>
    <cellStyle name="Vírgula 2 6 2 5 2 3" xfId="19311" xr:uid="{9128E248-9655-4A27-8A2D-A10BCCAA2550}"/>
    <cellStyle name="Vírgula 2 6 2 5 2 3 2" xfId="44803" xr:uid="{DE5B8013-621A-4CAC-9F8F-3A43FB2DF6EB}"/>
    <cellStyle name="Vírgula 2 6 2 5 2 4" xfId="32212" xr:uid="{8C5879C3-48B8-474A-8743-9EAB3C9C1230}"/>
    <cellStyle name="Vírgula 2 6 2 5 3" xfId="9768" xr:uid="{829CCD12-0B00-45D2-A312-9A58561CF4A5}"/>
    <cellStyle name="Vírgula 2 6 2 5 3 2" xfId="22450" xr:uid="{ECDC50C9-533E-4F1E-B43E-BC95BF3863B2}"/>
    <cellStyle name="Vírgula 2 6 2 5 3 2 2" xfId="47942" xr:uid="{912D96B0-E052-4B9B-BCC0-FA4295C44164}"/>
    <cellStyle name="Vírgula 2 6 2 5 3 3" xfId="35351" xr:uid="{FF3D54BD-18C4-4C62-A9D2-214B683CD149}"/>
    <cellStyle name="Vírgula 2 6 2 5 4" xfId="16172" xr:uid="{6E32912B-1DE0-48B6-95B2-B8CEFD8B9765}"/>
    <cellStyle name="Vírgula 2 6 2 5 4 2" xfId="41664" xr:uid="{963D0E66-AA9C-49D1-88F0-6D47A8E5FFFC}"/>
    <cellStyle name="Vírgula 2 6 2 5 5" xfId="29073" xr:uid="{2B5C2C02-C450-4EDC-90EE-B50EF4480A27}"/>
    <cellStyle name="Vírgula 2 6 2 6" xfId="4260" xr:uid="{627D0A0B-2097-45CC-8133-9E350D25F98D}"/>
    <cellStyle name="Vírgula 2 6 2 6 2" xfId="10553" xr:uid="{E1FC804D-629E-4E03-86A5-34B3C0F813BA}"/>
    <cellStyle name="Vírgula 2 6 2 6 2 2" xfId="23235" xr:uid="{7AE7E68B-D59A-422A-B283-DF13AF7E2F92}"/>
    <cellStyle name="Vírgula 2 6 2 6 2 2 2" xfId="48727" xr:uid="{2F9141B7-A89B-45B7-AEB1-A2726AA25037}"/>
    <cellStyle name="Vírgula 2 6 2 6 2 3" xfId="36136" xr:uid="{B0E54DF5-6EAC-49EA-BC21-B457F3AB9327}"/>
    <cellStyle name="Vírgula 2 6 2 6 3" xfId="16957" xr:uid="{0840371E-F1BF-4C46-BC01-7A5A7141E01B}"/>
    <cellStyle name="Vírgula 2 6 2 6 3 2" xfId="42449" xr:uid="{4F12FFA7-B5B8-415F-9F2D-789F5268901F}"/>
    <cellStyle name="Vírgula 2 6 2 6 4" xfId="29858" xr:uid="{AABCC8EC-3961-40A6-BB7E-F1A39130678F}"/>
    <cellStyle name="Vírgula 2 6 2 7" xfId="7414" xr:uid="{8A47729C-0B2B-4EC4-9036-A2FA20F21E97}"/>
    <cellStyle name="Vírgula 2 6 2 7 2" xfId="20096" xr:uid="{DBC30CA2-F3BD-47E0-A752-246639A171F7}"/>
    <cellStyle name="Vírgula 2 6 2 7 2 2" xfId="45588" xr:uid="{917B5A19-75DF-4D6B-952F-B23A04B6077F}"/>
    <cellStyle name="Vírgula 2 6 2 7 3" xfId="32997" xr:uid="{58A6D9CF-4353-4578-80D3-22AFE4B9FABF}"/>
    <cellStyle name="Vírgula 2 6 2 8" xfId="13818" xr:uid="{3B5F22E8-6A8C-4711-9335-1F471309EDEA}"/>
    <cellStyle name="Vírgula 2 6 2 8 2" xfId="39310" xr:uid="{C90879AE-20EB-4538-8EE6-43A097951835}"/>
    <cellStyle name="Vírgula 2 6 2 9" xfId="26719" xr:uid="{F6240BC1-682E-4671-9E30-65307ACEB211}"/>
    <cellStyle name="Vírgula 2 6 3" xfId="846" xr:uid="{F376ADB3-7617-462F-B7F6-6C92B6DD37B0}"/>
    <cellStyle name="Vírgula 2 6 3 2" xfId="2153" xr:uid="{CD7E5EAC-59E7-42A6-8419-587781FE921F}"/>
    <cellStyle name="Vírgula 2 6 3 2 2" xfId="5307" xr:uid="{C9866B0C-320A-45A4-A0EA-0186D1A8919A}"/>
    <cellStyle name="Vírgula 2 6 3 2 2 2" xfId="11600" xr:uid="{C37CE546-662F-41C4-9B73-B06483C1CAF6}"/>
    <cellStyle name="Vírgula 2 6 3 2 2 2 2" xfId="24282" xr:uid="{A57C76C0-CD99-4403-B141-E01D4758F10D}"/>
    <cellStyle name="Vírgula 2 6 3 2 2 2 2 2" xfId="49774" xr:uid="{C7AB9E66-2BF1-4F87-9ACD-E93EB606121E}"/>
    <cellStyle name="Vírgula 2 6 3 2 2 2 3" xfId="37183" xr:uid="{3A044C22-6FE2-46D4-8F0B-637AC13EEF59}"/>
    <cellStyle name="Vírgula 2 6 3 2 2 3" xfId="18004" xr:uid="{05AF7D6C-0ED8-4F4D-83A3-A2E58AB3BEA2}"/>
    <cellStyle name="Vírgula 2 6 3 2 2 3 2" xfId="43496" xr:uid="{0C85A343-E815-4258-B2EB-EAFC39DE0136}"/>
    <cellStyle name="Vírgula 2 6 3 2 2 4" xfId="30905" xr:uid="{3BC0EE52-9D5B-47EE-838C-14C4C10D1F18}"/>
    <cellStyle name="Vírgula 2 6 3 2 3" xfId="8461" xr:uid="{50C06BEA-73B1-4C6A-B816-AB27584DDE73}"/>
    <cellStyle name="Vírgula 2 6 3 2 3 2" xfId="21143" xr:uid="{66642679-4658-4FBE-895E-B6A97C9C8CFE}"/>
    <cellStyle name="Vírgula 2 6 3 2 3 2 2" xfId="46635" xr:uid="{F6FE4FFE-6D55-40CA-B73E-937E240B3328}"/>
    <cellStyle name="Vírgula 2 6 3 2 3 3" xfId="34044" xr:uid="{8E18ADFD-7A3D-479A-B0F0-F4D1EA13F86E}"/>
    <cellStyle name="Vírgula 2 6 3 2 4" xfId="14865" xr:uid="{AC5D6D08-5243-45D8-82AD-78F7E1FDBC09}"/>
    <cellStyle name="Vírgula 2 6 3 2 4 2" xfId="40357" xr:uid="{381D4E50-BCEF-4EF0-B4C6-CF058E63C383}"/>
    <cellStyle name="Vírgula 2 6 3 2 5" xfId="27766" xr:uid="{5D941485-4F6D-4DBE-8A9F-7EC61AAB264A}"/>
    <cellStyle name="Vírgula 2 6 3 3" xfId="4000" xr:uid="{92B64745-4F44-4D44-B431-BFC26AB030E8}"/>
    <cellStyle name="Vírgula 2 6 3 3 2" xfId="10293" xr:uid="{91F8F3D2-486D-42A4-ADE9-CB9E6C805CEE}"/>
    <cellStyle name="Vírgula 2 6 3 3 2 2" xfId="22975" xr:uid="{D4E1BDE3-0AC8-49CD-9DAE-2B674FEB7A2E}"/>
    <cellStyle name="Vírgula 2 6 3 3 2 2 2" xfId="48467" xr:uid="{0CDF3F1A-B81A-49E6-B86F-78A0955877C7}"/>
    <cellStyle name="Vírgula 2 6 3 3 2 3" xfId="35876" xr:uid="{E457881C-30AF-4670-A426-31D3B2963875}"/>
    <cellStyle name="Vírgula 2 6 3 3 3" xfId="16697" xr:uid="{B827C28D-207D-4A7D-A846-39011FEA19F9}"/>
    <cellStyle name="Vírgula 2 6 3 3 3 2" xfId="42189" xr:uid="{D8F5AC3F-9F42-4076-AFEE-EDFFE0B3D74C}"/>
    <cellStyle name="Vírgula 2 6 3 3 4" xfId="29598" xr:uid="{B8E28483-A491-4DCB-A41B-9DD1201B29B6}"/>
    <cellStyle name="Vírgula 2 6 3 4" xfId="7154" xr:uid="{31B15F29-8531-47B2-BD41-4EAD22EF529D}"/>
    <cellStyle name="Vírgula 2 6 3 4 2" xfId="19836" xr:uid="{97A30055-DBF0-4CD6-904F-F102874ED56D}"/>
    <cellStyle name="Vírgula 2 6 3 4 2 2" xfId="45328" xr:uid="{002033C0-CAAC-4DEE-9067-0D7704F638E6}"/>
    <cellStyle name="Vírgula 2 6 3 4 3" xfId="32737" xr:uid="{E35A7377-4913-4C92-AA31-9BC18AFD3494}"/>
    <cellStyle name="Vírgula 2 6 3 5" xfId="13558" xr:uid="{7198D4EA-CC6E-4BB3-86F3-F2D8837E5B72}"/>
    <cellStyle name="Vírgula 2 6 3 5 2" xfId="39050" xr:uid="{346C094B-4F14-43F3-BFDF-9145F54EF5AA}"/>
    <cellStyle name="Vírgula 2 6 3 6" xfId="26459" xr:uid="{0DC2B896-0428-47BB-9CD1-B46AF71FA6CF}"/>
    <cellStyle name="Vírgula 2 6 4" xfId="1891" xr:uid="{4952A9E0-F3B0-4CD3-B7FA-7E7D3662CC07}"/>
    <cellStyle name="Vírgula 2 6 4 2" xfId="5045" xr:uid="{66E125CC-2420-4D35-9D58-03CFE285EB9F}"/>
    <cellStyle name="Vírgula 2 6 4 2 2" xfId="11338" xr:uid="{DBFF870C-07CC-4692-A4F5-D000493BA896}"/>
    <cellStyle name="Vírgula 2 6 4 2 2 2" xfId="24020" xr:uid="{BCC0F11C-038F-451C-ADBA-66B801586F08}"/>
    <cellStyle name="Vírgula 2 6 4 2 2 2 2" xfId="49512" xr:uid="{10CFD7A9-FD5B-495C-9F9E-33A43946D050}"/>
    <cellStyle name="Vírgula 2 6 4 2 2 3" xfId="36921" xr:uid="{AF3332E6-F65D-40BD-A622-1822705E6B2C}"/>
    <cellStyle name="Vírgula 2 6 4 2 3" xfId="17742" xr:uid="{D9CD4450-CE84-4E22-9149-B67F9CB63B57}"/>
    <cellStyle name="Vírgula 2 6 4 2 3 2" xfId="43234" xr:uid="{7283DB37-69D0-4018-B1FD-A924D52EC8E2}"/>
    <cellStyle name="Vírgula 2 6 4 2 4" xfId="30643" xr:uid="{B155B38D-0549-495A-93F4-08227A6AE78E}"/>
    <cellStyle name="Vírgula 2 6 4 3" xfId="8199" xr:uid="{C0D115F2-0C18-49ED-BB56-91846EC58BFD}"/>
    <cellStyle name="Vírgula 2 6 4 3 2" xfId="20881" xr:uid="{99AAD438-B461-4860-9785-0D195A649B2B}"/>
    <cellStyle name="Vírgula 2 6 4 3 2 2" xfId="46373" xr:uid="{1CA8BDBE-4485-46A1-B675-069928819CA4}"/>
    <cellStyle name="Vírgula 2 6 4 3 3" xfId="33782" xr:uid="{B5B60B5D-5E22-4761-895F-4641E6ED4FA9}"/>
    <cellStyle name="Vírgula 2 6 4 4" xfId="14603" xr:uid="{219AC591-1CB9-49B9-9B56-B0F684E60BE6}"/>
    <cellStyle name="Vírgula 2 6 4 4 2" xfId="40095" xr:uid="{B46ED632-E886-4CBB-AEA8-E91F29105FBB}"/>
    <cellStyle name="Vírgula 2 6 4 5" xfId="27504" xr:uid="{7C4B5916-2221-4154-BADF-0F483AB857E5}"/>
    <cellStyle name="Vírgula 2 6 5" xfId="1369" xr:uid="{54AE7613-9678-4ABC-840E-F4C4A8DF9F93}"/>
    <cellStyle name="Vírgula 2 6 5 2" xfId="4523" xr:uid="{7744D285-C6ED-4DF7-8C5E-A32296654689}"/>
    <cellStyle name="Vírgula 2 6 5 2 2" xfId="10816" xr:uid="{997C3032-35BF-4C4D-A13C-6D2EB6F0C11F}"/>
    <cellStyle name="Vírgula 2 6 5 2 2 2" xfId="23498" xr:uid="{1EB09DC9-1F13-443A-AA71-8F14F33144CA}"/>
    <cellStyle name="Vírgula 2 6 5 2 2 2 2" xfId="48990" xr:uid="{6076C02A-27E5-4381-9E27-E711BF6744BB}"/>
    <cellStyle name="Vírgula 2 6 5 2 2 3" xfId="36399" xr:uid="{0F27463F-122B-4B0A-8BCC-B3ED8B598CCE}"/>
    <cellStyle name="Vírgula 2 6 5 2 3" xfId="17220" xr:uid="{00F70A3E-6EB5-4579-9BA2-FA8488161722}"/>
    <cellStyle name="Vírgula 2 6 5 2 3 2" xfId="42712" xr:uid="{2E00058D-7722-4050-A7F4-754FC6B8FEC5}"/>
    <cellStyle name="Vírgula 2 6 5 2 4" xfId="30121" xr:uid="{DC116E12-7931-430A-8A99-01DE6A816EA8}"/>
    <cellStyle name="Vírgula 2 6 5 3" xfId="7677" xr:uid="{CA396F38-50E2-406B-91CC-5CB42DAF6F7C}"/>
    <cellStyle name="Vírgula 2 6 5 3 2" xfId="20359" xr:uid="{362EC656-7145-41AB-8503-985A3EE93CDE}"/>
    <cellStyle name="Vírgula 2 6 5 3 2 2" xfId="45851" xr:uid="{E74805FB-889E-48DA-B6F1-4E8A033A58EB}"/>
    <cellStyle name="Vírgula 2 6 5 3 3" xfId="33260" xr:uid="{125832C6-3D55-4B3B-B397-0178FA33A304}"/>
    <cellStyle name="Vírgula 2 6 5 4" xfId="14081" xr:uid="{EB9F726C-A425-4317-B81B-D7774E381528}"/>
    <cellStyle name="Vírgula 2 6 5 4 2" xfId="39573" xr:uid="{B9B49EE0-9902-4F27-A978-3923E5C37CF0}"/>
    <cellStyle name="Vírgula 2 6 5 5" xfId="26982" xr:uid="{D818B17A-DF49-4DC3-A556-16069197FA8D}"/>
    <cellStyle name="Vírgula 2 6 6" xfId="2676" xr:uid="{53855A0D-C7E1-4CA4-B91F-FECAFB7F44CC}"/>
    <cellStyle name="Vírgula 2 6 6 2" xfId="5830" xr:uid="{D379ED30-1BD8-4F4D-A257-1D61AA0CAA87}"/>
    <cellStyle name="Vírgula 2 6 6 2 2" xfId="12123" xr:uid="{40760419-D89E-4A77-A5EE-523B2194CDB0}"/>
    <cellStyle name="Vírgula 2 6 6 2 2 2" xfId="24805" xr:uid="{7D7DEAC4-1133-4AEF-BDED-49B2EAE26FED}"/>
    <cellStyle name="Vírgula 2 6 6 2 2 2 2" xfId="50297" xr:uid="{43692DFF-E40D-4FE5-93F9-43A65D489D28}"/>
    <cellStyle name="Vírgula 2 6 6 2 2 3" xfId="37706" xr:uid="{FB1E7C42-6FF5-4D8A-80A6-33CFF92A19D6}"/>
    <cellStyle name="Vírgula 2 6 6 2 3" xfId="18527" xr:uid="{56E21B4C-DC4E-4F8A-A1F6-08EF266DF90A}"/>
    <cellStyle name="Vírgula 2 6 6 2 3 2" xfId="44019" xr:uid="{82B3E748-F447-4772-9687-1E265558A7D5}"/>
    <cellStyle name="Vírgula 2 6 6 2 4" xfId="31428" xr:uid="{95D5CF64-FC5B-4B70-81C2-3D97CCD862E3}"/>
    <cellStyle name="Vírgula 2 6 6 3" xfId="8984" xr:uid="{7675289E-FD04-4970-8D1C-AFDB3B81A364}"/>
    <cellStyle name="Vírgula 2 6 6 3 2" xfId="21666" xr:uid="{0BC140BE-FF42-4C3B-8E06-61251AF79878}"/>
    <cellStyle name="Vírgula 2 6 6 3 2 2" xfId="47158" xr:uid="{98AB5683-B8DD-4036-9B9B-D9C22A73A759}"/>
    <cellStyle name="Vírgula 2 6 6 3 3" xfId="34567" xr:uid="{D2A053BE-7921-46C6-B833-5AC53670A654}"/>
    <cellStyle name="Vírgula 2 6 6 4" xfId="15388" xr:uid="{838901ED-D107-48A9-8AE0-7598CBCCB827}"/>
    <cellStyle name="Vírgula 2 6 6 4 2" xfId="40880" xr:uid="{53B2E4BE-9C69-4F1E-9E4E-496B4113B97C}"/>
    <cellStyle name="Vírgula 2 6 6 5" xfId="28289" xr:uid="{98941D8D-6658-453B-BAF3-3F71292738BF}"/>
    <cellStyle name="Vírgula 2 6 7" xfId="3199" xr:uid="{6A03E184-06A4-45CE-8A3C-07261D881395}"/>
    <cellStyle name="Vírgula 2 6 7 2" xfId="6353" xr:uid="{EF01FFE4-E3A4-4FC8-B54C-D772AA966A97}"/>
    <cellStyle name="Vírgula 2 6 7 2 2" xfId="12646" xr:uid="{FB139329-1022-4404-B9C5-D09FF6476475}"/>
    <cellStyle name="Vírgula 2 6 7 2 2 2" xfId="25328" xr:uid="{9EC1B81D-3571-4017-8880-31C3CA09EEF4}"/>
    <cellStyle name="Vírgula 2 6 7 2 2 2 2" xfId="50820" xr:uid="{268A17FA-4317-4A46-9042-9EEC11F9DDAD}"/>
    <cellStyle name="Vírgula 2 6 7 2 2 3" xfId="38229" xr:uid="{50C49D1A-88EB-42FA-930B-395578695DC1}"/>
    <cellStyle name="Vírgula 2 6 7 2 3" xfId="19050" xr:uid="{9BABF1AF-1238-4C17-9D45-C4C2768ABB24}"/>
    <cellStyle name="Vírgula 2 6 7 2 3 2" xfId="44542" xr:uid="{48B0D2EF-5D8B-416C-B237-C494B90BDDEA}"/>
    <cellStyle name="Vírgula 2 6 7 2 4" xfId="31951" xr:uid="{EBFDF108-8737-460B-A32E-813288373DCF}"/>
    <cellStyle name="Vírgula 2 6 7 3" xfId="9507" xr:uid="{FEBD7BE3-44FB-41C6-BD9E-828FD0AD3294}"/>
    <cellStyle name="Vírgula 2 6 7 3 2" xfId="22189" xr:uid="{AB83A633-4E3C-4F45-820C-5124CF027FEA}"/>
    <cellStyle name="Vírgula 2 6 7 3 2 2" xfId="47681" xr:uid="{D72481D4-DFA5-4FD1-AE56-22CB6F703C66}"/>
    <cellStyle name="Vírgula 2 6 7 3 3" xfId="35090" xr:uid="{57211F38-733F-425A-9A36-257D0A95AA60}"/>
    <cellStyle name="Vírgula 2 6 7 4" xfId="15911" xr:uid="{BBF7359E-BC36-43C3-8FAE-05C58FBD0005}"/>
    <cellStyle name="Vírgula 2 6 7 4 2" xfId="41403" xr:uid="{539AC116-C100-45FA-87D3-C6CD35458759}"/>
    <cellStyle name="Vírgula 2 6 7 5" xfId="28812" xr:uid="{28A0E30B-7D00-4056-BB2A-40B5AD2590C0}"/>
    <cellStyle name="Vírgula 2 6 8" xfId="3738" xr:uid="{9D513CC4-67F0-4B99-B95F-F2B4BE27B7E6}"/>
    <cellStyle name="Vírgula 2 6 8 2" xfId="10031" xr:uid="{78779AF4-4FEB-46CA-B492-F084FF077B26}"/>
    <cellStyle name="Vírgula 2 6 8 2 2" xfId="22713" xr:uid="{BAA8911F-BB45-45FF-9DBE-B839F7BF1255}"/>
    <cellStyle name="Vírgula 2 6 8 2 2 2" xfId="48205" xr:uid="{09E0003E-5288-485A-8615-8563973C4E53}"/>
    <cellStyle name="Vírgula 2 6 8 2 3" xfId="35614" xr:uid="{8B29FD4D-C14C-4E79-BC71-84FB2F7A3186}"/>
    <cellStyle name="Vírgula 2 6 8 3" xfId="16435" xr:uid="{9FBFC354-C583-4136-A916-ED6C997B8FCC}"/>
    <cellStyle name="Vírgula 2 6 8 3 2" xfId="41927" xr:uid="{DFEF803E-7DFB-404F-BC29-FF5F81FC9EA4}"/>
    <cellStyle name="Vírgula 2 6 8 4" xfId="29336" xr:uid="{4B286383-BD45-49C2-9BDC-7B354E6DBFBB}"/>
    <cellStyle name="Vírgula 2 6 9" xfId="6892" xr:uid="{5BA61DF7-04CF-4C4F-8422-716453F749FC}"/>
    <cellStyle name="Vírgula 2 6 9 2" xfId="19574" xr:uid="{3ECA3751-ECC0-4918-9B51-BBDBCD8540EA}"/>
    <cellStyle name="Vírgula 2 6 9 2 2" xfId="45066" xr:uid="{1746C3F7-6A30-4A9B-ABE8-3452FEFB1761}"/>
    <cellStyle name="Vírgula 2 6 9 3" xfId="32475" xr:uid="{57C132D4-A0BB-4A59-AA3D-22F194FBF823}"/>
    <cellStyle name="Vírgula 2 7" xfId="511" xr:uid="{7F9C803D-001B-4543-A60B-59B6AEA29DB5}"/>
    <cellStyle name="Vírgula 2 7 10" xfId="13238" xr:uid="{32AD2D3E-B168-4B11-94C6-DBCAA2A67404}"/>
    <cellStyle name="Vírgula 2 7 10 2" xfId="38730" xr:uid="{905F8349-907E-4BAB-A6D8-DE7F3DC1D4EA}"/>
    <cellStyle name="Vírgula 2 7 11" xfId="26139" xr:uid="{23E20035-F89D-4B72-BA81-CF1E7DB47BD8}"/>
    <cellStyle name="Vírgula 2 7 2" xfId="1048" xr:uid="{36C4F9DC-4B4F-4871-BFB3-0F402834ECC2}"/>
    <cellStyle name="Vírgula 2 7 2 2" xfId="2355" xr:uid="{460309D5-91D1-42FE-AF62-D4A3F5AC6144}"/>
    <cellStyle name="Vírgula 2 7 2 2 2" xfId="5509" xr:uid="{F70F1C8D-1934-4677-AF39-CDB758575B0A}"/>
    <cellStyle name="Vírgula 2 7 2 2 2 2" xfId="11802" xr:uid="{9ACE8086-0C51-481C-9A77-B0602F5D1764}"/>
    <cellStyle name="Vírgula 2 7 2 2 2 2 2" xfId="24484" xr:uid="{2E87AD69-9A65-45E4-9AD4-1BD4DE0CBC6B}"/>
    <cellStyle name="Vírgula 2 7 2 2 2 2 2 2" xfId="49976" xr:uid="{D792FD37-FD3F-444B-BB04-465D13E6592C}"/>
    <cellStyle name="Vírgula 2 7 2 2 2 2 3" xfId="37385" xr:uid="{58686287-E764-45C9-A7D3-A74003C1B399}"/>
    <cellStyle name="Vírgula 2 7 2 2 2 3" xfId="18206" xr:uid="{2C45335D-F604-4ED6-988A-11AD70821891}"/>
    <cellStyle name="Vírgula 2 7 2 2 2 3 2" xfId="43698" xr:uid="{546BF6D8-004C-46E6-91F2-83CE21069E0A}"/>
    <cellStyle name="Vírgula 2 7 2 2 2 4" xfId="31107" xr:uid="{1E1602C4-5830-43D9-9EDA-62278D91D538}"/>
    <cellStyle name="Vírgula 2 7 2 2 3" xfId="8663" xr:uid="{3A92F703-5344-463C-84F3-BE4EB4242044}"/>
    <cellStyle name="Vírgula 2 7 2 2 3 2" xfId="21345" xr:uid="{1343AF52-AAEB-47AE-A738-158CB1713B9A}"/>
    <cellStyle name="Vírgula 2 7 2 2 3 2 2" xfId="46837" xr:uid="{DEFF4B9F-6B6B-4738-AEA9-86AFB521B768}"/>
    <cellStyle name="Vírgula 2 7 2 2 3 3" xfId="34246" xr:uid="{3AC513A8-1B35-47ED-B136-136FC68B7DB0}"/>
    <cellStyle name="Vírgula 2 7 2 2 4" xfId="15067" xr:uid="{4D67824D-AD78-405F-8363-2BF9860BCB70}"/>
    <cellStyle name="Vírgula 2 7 2 2 4 2" xfId="40559" xr:uid="{53DACE36-8B93-4CEB-BDEF-00FB82577FF6}"/>
    <cellStyle name="Vírgula 2 7 2 2 5" xfId="27968" xr:uid="{BB96DC5A-CEEE-4A05-8222-55448327A322}"/>
    <cellStyle name="Vírgula 2 7 2 3" xfId="1572" xr:uid="{D39555CB-6937-4333-B792-EFFE34F62816}"/>
    <cellStyle name="Vírgula 2 7 2 3 2" xfId="4726" xr:uid="{1B7485D0-F156-438D-BF5B-DC1E0EDEDBAD}"/>
    <cellStyle name="Vírgula 2 7 2 3 2 2" xfId="11019" xr:uid="{4B9095A4-98B8-4BE2-BB60-9BB3618E701E}"/>
    <cellStyle name="Vírgula 2 7 2 3 2 2 2" xfId="23701" xr:uid="{0CDABD43-FBDF-4DEF-A03B-16EB8E40AAE0}"/>
    <cellStyle name="Vírgula 2 7 2 3 2 2 2 2" xfId="49193" xr:uid="{ACBBD967-0620-4AC7-96B3-D15B3FB2C784}"/>
    <cellStyle name="Vírgula 2 7 2 3 2 2 3" xfId="36602" xr:uid="{043627BD-A2AF-4B7F-B1F2-6BC049F5FDE3}"/>
    <cellStyle name="Vírgula 2 7 2 3 2 3" xfId="17423" xr:uid="{77BB2E8D-6BF3-490E-8F94-307798DE0D85}"/>
    <cellStyle name="Vírgula 2 7 2 3 2 3 2" xfId="42915" xr:uid="{3B7DE868-5595-4DE8-A368-44C3AEFF66CA}"/>
    <cellStyle name="Vírgula 2 7 2 3 2 4" xfId="30324" xr:uid="{27368369-1DFB-4F6E-97BA-CC8638F395B8}"/>
    <cellStyle name="Vírgula 2 7 2 3 3" xfId="7880" xr:uid="{51529CB2-069D-4788-B64D-F9C4BAE11863}"/>
    <cellStyle name="Vírgula 2 7 2 3 3 2" xfId="20562" xr:uid="{B3821990-540E-4A06-97B5-384D913A521B}"/>
    <cellStyle name="Vírgula 2 7 2 3 3 2 2" xfId="46054" xr:uid="{AA00DE11-EF28-4585-9F0A-B5C42712618E}"/>
    <cellStyle name="Vírgula 2 7 2 3 3 3" xfId="33463" xr:uid="{1F997638-6D85-4BA0-B78A-5AA7BD5F11C0}"/>
    <cellStyle name="Vírgula 2 7 2 3 4" xfId="14284" xr:uid="{614CDAAB-8D81-4756-B37F-8B1235A8F563}"/>
    <cellStyle name="Vírgula 2 7 2 3 4 2" xfId="39776" xr:uid="{EFA2E93D-07D6-43CA-AD2D-0E8CA9223B9C}"/>
    <cellStyle name="Vírgula 2 7 2 3 5" xfId="27185" xr:uid="{0DC26637-E3E1-40F5-888A-198775669E5E}"/>
    <cellStyle name="Vírgula 2 7 2 4" xfId="2879" xr:uid="{04BF0F56-4870-4E54-BA67-35541322609B}"/>
    <cellStyle name="Vírgula 2 7 2 4 2" xfId="6033" xr:uid="{03B125D4-2263-4F45-9759-39B7634A4DA6}"/>
    <cellStyle name="Vírgula 2 7 2 4 2 2" xfId="12326" xr:uid="{BBDEBCED-DFB0-4EA1-BF6C-B68019E4D464}"/>
    <cellStyle name="Vírgula 2 7 2 4 2 2 2" xfId="25008" xr:uid="{5E1A8154-3C6A-4D41-A8CF-295FB5DBFEE3}"/>
    <cellStyle name="Vírgula 2 7 2 4 2 2 2 2" xfId="50500" xr:uid="{1866C462-1E99-4B90-ADC8-17586EA752B8}"/>
    <cellStyle name="Vírgula 2 7 2 4 2 2 3" xfId="37909" xr:uid="{0B8D830C-99E0-4DC3-B99B-D2F5295C7BAB}"/>
    <cellStyle name="Vírgula 2 7 2 4 2 3" xfId="18730" xr:uid="{CF961760-ADF5-466B-BC00-F68EB592BA26}"/>
    <cellStyle name="Vírgula 2 7 2 4 2 3 2" xfId="44222" xr:uid="{CA8BDF93-A9DB-4574-A853-F639454E0AEB}"/>
    <cellStyle name="Vírgula 2 7 2 4 2 4" xfId="31631" xr:uid="{5D4D6659-A665-4ED1-AC17-E00798E6123B}"/>
    <cellStyle name="Vírgula 2 7 2 4 3" xfId="9187" xr:uid="{15753710-11FB-4BFF-ABF9-104832251CDA}"/>
    <cellStyle name="Vírgula 2 7 2 4 3 2" xfId="21869" xr:uid="{3BD06B08-2132-42DE-95E1-B03570992FEF}"/>
    <cellStyle name="Vírgula 2 7 2 4 3 2 2" xfId="47361" xr:uid="{DE1317D7-E967-467B-91AB-8C138A81778F}"/>
    <cellStyle name="Vírgula 2 7 2 4 3 3" xfId="34770" xr:uid="{17865900-B497-4B2B-A11F-ADDFFC34AA7B}"/>
    <cellStyle name="Vírgula 2 7 2 4 4" xfId="15591" xr:uid="{AC4A1913-FF15-4D16-9407-EB5E4C211585}"/>
    <cellStyle name="Vírgula 2 7 2 4 4 2" xfId="41083" xr:uid="{96C21DA9-FDEB-46B4-BA12-B731648CF2D3}"/>
    <cellStyle name="Vírgula 2 7 2 4 5" xfId="28492" xr:uid="{1138C55A-E796-451A-A482-791D10B250E8}"/>
    <cellStyle name="Vírgula 2 7 2 5" xfId="3402" xr:uid="{86B8775F-9DE2-4B75-865B-5381FED5DC1B}"/>
    <cellStyle name="Vírgula 2 7 2 5 2" xfId="6556" xr:uid="{A918B2B4-B65A-492D-8EF0-10C0FBB445B9}"/>
    <cellStyle name="Vírgula 2 7 2 5 2 2" xfId="12849" xr:uid="{E1B2AD98-C711-4A07-8859-DDD71219E7AF}"/>
    <cellStyle name="Vírgula 2 7 2 5 2 2 2" xfId="25531" xr:uid="{31BCD718-438E-4F89-BFB1-D6119E97FDA3}"/>
    <cellStyle name="Vírgula 2 7 2 5 2 2 2 2" xfId="51023" xr:uid="{B5C01B4D-C8DA-4D61-8A9F-2160EA9B6306}"/>
    <cellStyle name="Vírgula 2 7 2 5 2 2 3" xfId="38432" xr:uid="{62A8DA83-D46C-495A-A9BF-335EC14122C8}"/>
    <cellStyle name="Vírgula 2 7 2 5 2 3" xfId="19253" xr:uid="{2842C8E4-162F-4C5A-833E-7152C143058C}"/>
    <cellStyle name="Vírgula 2 7 2 5 2 3 2" xfId="44745" xr:uid="{226FD798-0F4D-4DBA-9C8D-3159F27ACA59}"/>
    <cellStyle name="Vírgula 2 7 2 5 2 4" xfId="32154" xr:uid="{A5525135-210E-439D-94BA-098AE40BE065}"/>
    <cellStyle name="Vírgula 2 7 2 5 3" xfId="9710" xr:uid="{A122FBF0-69BF-4C4E-8DB0-E729074B809A}"/>
    <cellStyle name="Vírgula 2 7 2 5 3 2" xfId="22392" xr:uid="{8CE4B6B4-B5D1-46B9-B2DF-B2B13E5A8838}"/>
    <cellStyle name="Vírgula 2 7 2 5 3 2 2" xfId="47884" xr:uid="{B1CF473F-D6AA-4FB4-8FA1-1F0077F24D18}"/>
    <cellStyle name="Vírgula 2 7 2 5 3 3" xfId="35293" xr:uid="{42392333-9401-4C75-B1C6-73D2B326B489}"/>
    <cellStyle name="Vírgula 2 7 2 5 4" xfId="16114" xr:uid="{D18BC013-5C2D-46E4-8F76-B7DCEC3F1DE7}"/>
    <cellStyle name="Vírgula 2 7 2 5 4 2" xfId="41606" xr:uid="{5D197A41-542B-4309-9F05-803382D7C581}"/>
    <cellStyle name="Vírgula 2 7 2 5 5" xfId="29015" xr:uid="{6B5B3B6C-7A4D-45A5-AE94-0E6FE0F8ABA0}"/>
    <cellStyle name="Vírgula 2 7 2 6" xfId="4202" xr:uid="{E89E7DC7-5860-4B44-A6BC-81FE35556F1C}"/>
    <cellStyle name="Vírgula 2 7 2 6 2" xfId="10495" xr:uid="{FE41FDDF-93C3-4057-B498-111B7FB61893}"/>
    <cellStyle name="Vírgula 2 7 2 6 2 2" xfId="23177" xr:uid="{76BF84DA-01DF-410D-B3BA-2EB3138A3DDF}"/>
    <cellStyle name="Vírgula 2 7 2 6 2 2 2" xfId="48669" xr:uid="{A5D17F3E-D91E-4EF4-88D9-1C260C24A51B}"/>
    <cellStyle name="Vírgula 2 7 2 6 2 3" xfId="36078" xr:uid="{438EB82C-CA5E-43A2-B3AE-7545DF420EEA}"/>
    <cellStyle name="Vírgula 2 7 2 6 3" xfId="16899" xr:uid="{3717E41F-3EB7-43FF-8088-48084266D329}"/>
    <cellStyle name="Vírgula 2 7 2 6 3 2" xfId="42391" xr:uid="{FAF6455F-7D2F-4F91-9829-B972A420A44D}"/>
    <cellStyle name="Vírgula 2 7 2 6 4" xfId="29800" xr:uid="{EF049C35-F125-409A-A819-6E9D2C2F8BD4}"/>
    <cellStyle name="Vírgula 2 7 2 7" xfId="7356" xr:uid="{EEEA9F02-AEA2-43CF-90C6-63623A648FBA}"/>
    <cellStyle name="Vírgula 2 7 2 7 2" xfId="20038" xr:uid="{AD73DB7C-39DA-4094-80CD-914C49AEB031}"/>
    <cellStyle name="Vírgula 2 7 2 7 2 2" xfId="45530" xr:uid="{7A78AECE-86FB-4051-836E-614CC088CA20}"/>
    <cellStyle name="Vírgula 2 7 2 7 3" xfId="32939" xr:uid="{A3C8F8C2-377C-47CC-A244-EBBDF6E44F2D}"/>
    <cellStyle name="Vírgula 2 7 2 8" xfId="13760" xr:uid="{18FE3C78-6AEB-4F52-893A-55FB1109904A}"/>
    <cellStyle name="Vírgula 2 7 2 8 2" xfId="39252" xr:uid="{FE7CFCA1-EBCD-4B10-B31F-3C5D73728576}"/>
    <cellStyle name="Vírgula 2 7 2 9" xfId="26661" xr:uid="{08875E7C-1F04-4758-B9DA-315ACD442A87}"/>
    <cellStyle name="Vírgula 2 7 3" xfId="788" xr:uid="{D797ECBA-F49E-4B0F-8900-BAC4BE11EDDF}"/>
    <cellStyle name="Vírgula 2 7 3 2" xfId="2095" xr:uid="{18D8B24D-6940-42CF-BC52-D12738FC45F0}"/>
    <cellStyle name="Vírgula 2 7 3 2 2" xfId="5249" xr:uid="{0674272B-68DA-41E8-89CC-85C905AB2261}"/>
    <cellStyle name="Vírgula 2 7 3 2 2 2" xfId="11542" xr:uid="{6E599452-3A29-44D0-822D-9437FC7E3F12}"/>
    <cellStyle name="Vírgula 2 7 3 2 2 2 2" xfId="24224" xr:uid="{32ACD326-96E9-46D5-89FD-F0E6A89E3AFC}"/>
    <cellStyle name="Vírgula 2 7 3 2 2 2 2 2" xfId="49716" xr:uid="{8CDAE5DE-FE7E-4A46-A801-F2A8D524C588}"/>
    <cellStyle name="Vírgula 2 7 3 2 2 2 3" xfId="37125" xr:uid="{B7CF6183-C5FA-456F-8375-8F3E6D2C572A}"/>
    <cellStyle name="Vírgula 2 7 3 2 2 3" xfId="17946" xr:uid="{2CEE4641-8F45-4306-8FB0-71DBC3D329D7}"/>
    <cellStyle name="Vírgula 2 7 3 2 2 3 2" xfId="43438" xr:uid="{FBA20563-09DE-4D99-A6F4-7954B9DDA37A}"/>
    <cellStyle name="Vírgula 2 7 3 2 2 4" xfId="30847" xr:uid="{743279A6-8871-41B8-982E-4B8E028C9A86}"/>
    <cellStyle name="Vírgula 2 7 3 2 3" xfId="8403" xr:uid="{409C8FAB-7D2C-41C2-AC30-5D6837A71853}"/>
    <cellStyle name="Vírgula 2 7 3 2 3 2" xfId="21085" xr:uid="{EF515729-1883-4AE3-AAFE-D4FB547F65D2}"/>
    <cellStyle name="Vírgula 2 7 3 2 3 2 2" xfId="46577" xr:uid="{C3FC7295-0828-489C-B506-813A6F1ECC51}"/>
    <cellStyle name="Vírgula 2 7 3 2 3 3" xfId="33986" xr:uid="{8EB623FA-2B85-49A9-8B4C-D61F64D80C0B}"/>
    <cellStyle name="Vírgula 2 7 3 2 4" xfId="14807" xr:uid="{6739D411-DA6B-4A7E-BEDA-1A112FA2249F}"/>
    <cellStyle name="Vírgula 2 7 3 2 4 2" xfId="40299" xr:uid="{D6DB5345-1597-468F-B64A-5A1F10825A48}"/>
    <cellStyle name="Vírgula 2 7 3 2 5" xfId="27708" xr:uid="{46B6FC61-B7ED-4060-9F40-078EADDD647F}"/>
    <cellStyle name="Vírgula 2 7 3 3" xfId="3942" xr:uid="{B01E7E34-612E-40E9-9EBE-321F4A8D6650}"/>
    <cellStyle name="Vírgula 2 7 3 3 2" xfId="10235" xr:uid="{E72F722E-E580-4C6A-8851-ED34066E4CBE}"/>
    <cellStyle name="Vírgula 2 7 3 3 2 2" xfId="22917" xr:uid="{8E778DDD-A29D-45B1-97CB-21AEDD691A9D}"/>
    <cellStyle name="Vírgula 2 7 3 3 2 2 2" xfId="48409" xr:uid="{04816A07-A413-420C-ADB1-5D652F8DB6CB}"/>
    <cellStyle name="Vírgula 2 7 3 3 2 3" xfId="35818" xr:uid="{05B3AFCD-A85D-4756-BAF4-FF59191731D8}"/>
    <cellStyle name="Vírgula 2 7 3 3 3" xfId="16639" xr:uid="{2F621F15-A0B1-4001-B15A-42C4E00DC183}"/>
    <cellStyle name="Vírgula 2 7 3 3 3 2" xfId="42131" xr:uid="{AE0EE47B-DCE2-46FD-940F-DCB0ECE82AE0}"/>
    <cellStyle name="Vírgula 2 7 3 3 4" xfId="29540" xr:uid="{505C69FB-2F01-49E4-B1E8-08CDBA9E0FC6}"/>
    <cellStyle name="Vírgula 2 7 3 4" xfId="7096" xr:uid="{3DBAA838-16C7-460C-AA92-B8C69EA6F985}"/>
    <cellStyle name="Vírgula 2 7 3 4 2" xfId="19778" xr:uid="{A81C0747-CD73-416D-9F66-469B42A562E5}"/>
    <cellStyle name="Vírgula 2 7 3 4 2 2" xfId="45270" xr:uid="{244E8594-0F5F-4E2E-9EC2-8886144BEB78}"/>
    <cellStyle name="Vírgula 2 7 3 4 3" xfId="32679" xr:uid="{A95AFD09-9CC4-4A8E-A2CB-57F537CB039F}"/>
    <cellStyle name="Vírgula 2 7 3 5" xfId="13500" xr:uid="{D80561AB-24D8-43BA-83A5-87DCF9E9C8B6}"/>
    <cellStyle name="Vírgula 2 7 3 5 2" xfId="38992" xr:uid="{3123B804-A4F2-4A3B-BF7B-4DBCC3FC7B0E}"/>
    <cellStyle name="Vírgula 2 7 3 6" xfId="26401" xr:uid="{093B1CF5-DB20-4AF0-B52F-333F711A2051}"/>
    <cellStyle name="Vírgula 2 7 4" xfId="1833" xr:uid="{757E7CFE-163E-4847-881F-375B1F7EC499}"/>
    <cellStyle name="Vírgula 2 7 4 2" xfId="4987" xr:uid="{011A41A8-FA4B-4A8D-A604-4BFC5EC7502C}"/>
    <cellStyle name="Vírgula 2 7 4 2 2" xfId="11280" xr:uid="{A8ED4411-9F25-45A8-98F8-703A81B56D9D}"/>
    <cellStyle name="Vírgula 2 7 4 2 2 2" xfId="23962" xr:uid="{35940C37-8FE9-45C5-808E-7A68D4246D8F}"/>
    <cellStyle name="Vírgula 2 7 4 2 2 2 2" xfId="49454" xr:uid="{7225D7DA-5A87-411C-8A5F-5A31A3F71A96}"/>
    <cellStyle name="Vírgula 2 7 4 2 2 3" xfId="36863" xr:uid="{28A7BF1C-C500-48D2-B8EA-92480CD2EF11}"/>
    <cellStyle name="Vírgula 2 7 4 2 3" xfId="17684" xr:uid="{4A7B7DE0-D92D-4234-8511-E11A6017B5B1}"/>
    <cellStyle name="Vírgula 2 7 4 2 3 2" xfId="43176" xr:uid="{D932FE46-B96E-4F12-ADDE-4897BE6D3B42}"/>
    <cellStyle name="Vírgula 2 7 4 2 4" xfId="30585" xr:uid="{BF304FDF-DE70-4BC9-877C-452278F01C08}"/>
    <cellStyle name="Vírgula 2 7 4 3" xfId="8141" xr:uid="{03445A1F-FE41-40DE-92DD-40BFA523FD99}"/>
    <cellStyle name="Vírgula 2 7 4 3 2" xfId="20823" xr:uid="{80AE9A42-1B4E-49B0-A2CF-0975330952D7}"/>
    <cellStyle name="Vírgula 2 7 4 3 2 2" xfId="46315" xr:uid="{F607386E-64F0-4022-BFEA-B30B13A2574C}"/>
    <cellStyle name="Vírgula 2 7 4 3 3" xfId="33724" xr:uid="{CD6D8487-5EF4-4396-9EA8-1DB351BA0D45}"/>
    <cellStyle name="Vírgula 2 7 4 4" xfId="14545" xr:uid="{2914428B-3293-4110-93F0-535716C8E614}"/>
    <cellStyle name="Vírgula 2 7 4 4 2" xfId="40037" xr:uid="{9628398E-94CB-4218-80B3-35A12737DF1D}"/>
    <cellStyle name="Vírgula 2 7 4 5" xfId="27446" xr:uid="{4AB3117E-B4F0-4064-A3E3-53495BEA9569}"/>
    <cellStyle name="Vírgula 2 7 5" xfId="1311" xr:uid="{6E65BF9C-3C03-47F7-AECE-C7F7AE32E7BC}"/>
    <cellStyle name="Vírgula 2 7 5 2" xfId="4465" xr:uid="{CC46AABA-DB7D-4D65-9D03-621DD50EF20E}"/>
    <cellStyle name="Vírgula 2 7 5 2 2" xfId="10758" xr:uid="{7C2A627B-DDA9-4025-8AEF-347D01891A30}"/>
    <cellStyle name="Vírgula 2 7 5 2 2 2" xfId="23440" xr:uid="{543BBDD1-F280-401F-8DCC-80274D693ACA}"/>
    <cellStyle name="Vírgula 2 7 5 2 2 2 2" xfId="48932" xr:uid="{E2882164-69C9-4186-8038-A8EB8550B77D}"/>
    <cellStyle name="Vírgula 2 7 5 2 2 3" xfId="36341" xr:uid="{032BB141-94F8-43E4-AC97-F439C4FBCDFA}"/>
    <cellStyle name="Vírgula 2 7 5 2 3" xfId="17162" xr:uid="{DF13C1A0-CD7C-458A-A146-4EC2CFB5FDE5}"/>
    <cellStyle name="Vírgula 2 7 5 2 3 2" xfId="42654" xr:uid="{8E38C130-F6C6-4D72-A8BD-EEFB41DCD76B}"/>
    <cellStyle name="Vírgula 2 7 5 2 4" xfId="30063" xr:uid="{5EB43F2D-8C7F-407E-9866-E0A56B0123E6}"/>
    <cellStyle name="Vírgula 2 7 5 3" xfId="7619" xr:uid="{72A185B2-1D7E-40A3-9435-9AB46C17BC76}"/>
    <cellStyle name="Vírgula 2 7 5 3 2" xfId="20301" xr:uid="{1C67F493-19C9-430C-8792-33FB9AEE93EB}"/>
    <cellStyle name="Vírgula 2 7 5 3 2 2" xfId="45793" xr:uid="{1E080221-0F22-48C4-8F99-42F3D9A2B9A5}"/>
    <cellStyle name="Vírgula 2 7 5 3 3" xfId="33202" xr:uid="{0A202C77-9A1F-4BFB-BF37-D15459636593}"/>
    <cellStyle name="Vírgula 2 7 5 4" xfId="14023" xr:uid="{F047FEAF-E4E8-42A5-90B3-B93B22373DC7}"/>
    <cellStyle name="Vírgula 2 7 5 4 2" xfId="39515" xr:uid="{847725FD-071C-4DEA-B819-47262331222F}"/>
    <cellStyle name="Vírgula 2 7 5 5" xfId="26924" xr:uid="{9E89DE57-929A-4069-AEAA-861CFA61ECEC}"/>
    <cellStyle name="Vírgula 2 7 6" xfId="2618" xr:uid="{4A2A43FF-610F-4082-82A2-3F31B1C79463}"/>
    <cellStyle name="Vírgula 2 7 6 2" xfId="5772" xr:uid="{CAE9F640-E433-4DAE-9107-1E3F8455EB0D}"/>
    <cellStyle name="Vírgula 2 7 6 2 2" xfId="12065" xr:uid="{CA95C892-65C0-4383-931B-8A572D9ACFD6}"/>
    <cellStyle name="Vírgula 2 7 6 2 2 2" xfId="24747" xr:uid="{2EAF5A3F-DBC7-488E-94BB-0B7472CD2221}"/>
    <cellStyle name="Vírgula 2 7 6 2 2 2 2" xfId="50239" xr:uid="{109AC104-46B1-4DA1-9A97-27C1F8B1CFEE}"/>
    <cellStyle name="Vírgula 2 7 6 2 2 3" xfId="37648" xr:uid="{BC425C2A-ED7D-4C64-B2C6-9FE148795B2D}"/>
    <cellStyle name="Vírgula 2 7 6 2 3" xfId="18469" xr:uid="{63CB5033-5137-41EE-930C-756436C485A9}"/>
    <cellStyle name="Vírgula 2 7 6 2 3 2" xfId="43961" xr:uid="{A40A6312-F234-4E10-A049-3C873D87B056}"/>
    <cellStyle name="Vírgula 2 7 6 2 4" xfId="31370" xr:uid="{047F4532-EA71-4504-B16E-05E2ABE4CE00}"/>
    <cellStyle name="Vírgula 2 7 6 3" xfId="8926" xr:uid="{9EE44F43-637D-4102-A824-044771BD7D61}"/>
    <cellStyle name="Vírgula 2 7 6 3 2" xfId="21608" xr:uid="{876EE200-21C7-431E-B6FD-6D3EFE089710}"/>
    <cellStyle name="Vírgula 2 7 6 3 2 2" xfId="47100" xr:uid="{8E73D018-9470-46DB-8340-CDD827B9274C}"/>
    <cellStyle name="Vírgula 2 7 6 3 3" xfId="34509" xr:uid="{2614376A-B2EC-4874-A691-775FEB2F38D7}"/>
    <cellStyle name="Vírgula 2 7 6 4" xfId="15330" xr:uid="{C3867E21-DBAF-46C4-A75A-7F955F86FB00}"/>
    <cellStyle name="Vírgula 2 7 6 4 2" xfId="40822" xr:uid="{6D89B8D0-FE84-454C-9731-4977C0F275F4}"/>
    <cellStyle name="Vírgula 2 7 6 5" xfId="28231" xr:uid="{D064F0EF-0EC9-41EC-A712-F93A49E011D4}"/>
    <cellStyle name="Vírgula 2 7 7" xfId="3141" xr:uid="{F7E3D918-881F-4DB2-96D3-A16389EE4806}"/>
    <cellStyle name="Vírgula 2 7 7 2" xfId="6295" xr:uid="{B7D274FA-1382-47FA-8FFB-1C91663C9F7E}"/>
    <cellStyle name="Vírgula 2 7 7 2 2" xfId="12588" xr:uid="{61CF9F4F-93F6-40B4-A9BC-CF96873663F4}"/>
    <cellStyle name="Vírgula 2 7 7 2 2 2" xfId="25270" xr:uid="{210C7C7C-48A1-4BC0-A3E2-3D362480928C}"/>
    <cellStyle name="Vírgula 2 7 7 2 2 2 2" xfId="50762" xr:uid="{94B686E6-45D4-406A-BA8E-7CC4E77A51D3}"/>
    <cellStyle name="Vírgula 2 7 7 2 2 3" xfId="38171" xr:uid="{5497BFC6-B8DD-47B7-BD4B-91D12D936D34}"/>
    <cellStyle name="Vírgula 2 7 7 2 3" xfId="18992" xr:uid="{F6A77DBE-8009-4D91-92A1-61F9D4DB44BD}"/>
    <cellStyle name="Vírgula 2 7 7 2 3 2" xfId="44484" xr:uid="{8D9A6701-ED62-42E9-BC61-78818512EF03}"/>
    <cellStyle name="Vírgula 2 7 7 2 4" xfId="31893" xr:uid="{0B1AFDDB-26C6-48F4-BC10-512EA84C3A54}"/>
    <cellStyle name="Vírgula 2 7 7 3" xfId="9449" xr:uid="{D5AB268B-DA62-4899-9CF4-F606AB56B006}"/>
    <cellStyle name="Vírgula 2 7 7 3 2" xfId="22131" xr:uid="{87090336-6B95-40BC-8E13-530900D60D97}"/>
    <cellStyle name="Vírgula 2 7 7 3 2 2" xfId="47623" xr:uid="{8A1360EE-5FD6-46F1-A7DC-9C2C39D55E08}"/>
    <cellStyle name="Vírgula 2 7 7 3 3" xfId="35032" xr:uid="{2CB5CB21-B010-467D-B41E-DA5C9DE30C7D}"/>
    <cellStyle name="Vírgula 2 7 7 4" xfId="15853" xr:uid="{9C7C7678-24FE-4EF4-AE3F-33E53D06FAAC}"/>
    <cellStyle name="Vírgula 2 7 7 4 2" xfId="41345" xr:uid="{94287E08-3134-45D6-BF07-36D50335C46E}"/>
    <cellStyle name="Vírgula 2 7 7 5" xfId="28754" xr:uid="{B085451D-2286-4F57-8B53-8619A54BCD4B}"/>
    <cellStyle name="Vírgula 2 7 8" xfId="3680" xr:uid="{DD8D07BE-E8B2-427C-83BE-4DBE4A47C4B6}"/>
    <cellStyle name="Vírgula 2 7 8 2" xfId="9973" xr:uid="{33158F6B-F23F-48CD-AD28-6367F34CA337}"/>
    <cellStyle name="Vírgula 2 7 8 2 2" xfId="22655" xr:uid="{EAA51ED5-A4F5-4256-A425-550009EE4F28}"/>
    <cellStyle name="Vírgula 2 7 8 2 2 2" xfId="48147" xr:uid="{496C5120-93F3-4A9B-9F18-0FC41CBDD7B8}"/>
    <cellStyle name="Vírgula 2 7 8 2 3" xfId="35556" xr:uid="{254B93BB-7282-43D9-8E94-5864556702F8}"/>
    <cellStyle name="Vírgula 2 7 8 3" xfId="16377" xr:uid="{C5BD9A20-9057-42B8-91A6-05F035A04EED}"/>
    <cellStyle name="Vírgula 2 7 8 3 2" xfId="41869" xr:uid="{E7378CC2-3810-47EF-9F31-4856ED638A17}"/>
    <cellStyle name="Vírgula 2 7 8 4" xfId="29278" xr:uid="{C916D357-0B58-4296-BFAD-17509E409284}"/>
    <cellStyle name="Vírgula 2 7 9" xfId="6834" xr:uid="{C6C071C7-FE38-4D99-8DD7-B5AADA9E6869}"/>
    <cellStyle name="Vírgula 2 7 9 2" xfId="19516" xr:uid="{00F33D68-B4E7-49B0-89FB-CB0F37074B0F}"/>
    <cellStyle name="Vírgula 2 7 9 2 2" xfId="45008" xr:uid="{B12D1D27-FD0E-4510-A37F-53B0662B4F38}"/>
    <cellStyle name="Vírgula 2 7 9 3" xfId="32417" xr:uid="{5367F0A6-F8BE-4726-BD43-7CBD5A57F2B8}"/>
    <cellStyle name="Vírgula 2 8" xfId="947" xr:uid="{C96EB8F0-0112-44C5-B6DB-FD90FAFFD2ED}"/>
    <cellStyle name="Vírgula 2 8 2" xfId="2254" xr:uid="{6201CAF1-CE90-40FC-915E-D495C7747370}"/>
    <cellStyle name="Vírgula 2 8 2 2" xfId="5408" xr:uid="{C29E2875-708F-46B0-818F-0B9255EA2BBC}"/>
    <cellStyle name="Vírgula 2 8 2 2 2" xfId="11701" xr:uid="{F729FB7F-CF41-4A8F-9A50-136925EAA322}"/>
    <cellStyle name="Vírgula 2 8 2 2 2 2" xfId="24383" xr:uid="{94B40952-9F2D-4FD1-B854-3FC6519BBCD2}"/>
    <cellStyle name="Vírgula 2 8 2 2 2 2 2" xfId="49875" xr:uid="{57BD8CE3-97A2-4C05-AAE9-B01E5E06A4FA}"/>
    <cellStyle name="Vírgula 2 8 2 2 2 3" xfId="37284" xr:uid="{6C307183-EFD8-43B1-A5AF-613468B1CC77}"/>
    <cellStyle name="Vírgula 2 8 2 2 3" xfId="18105" xr:uid="{A2A69350-2A22-4C73-8158-9A7142EC70A2}"/>
    <cellStyle name="Vírgula 2 8 2 2 3 2" xfId="43597" xr:uid="{AD4B58B5-C5AE-4BDB-B616-7C363AB5ED0B}"/>
    <cellStyle name="Vírgula 2 8 2 2 4" xfId="31006" xr:uid="{C9B675C7-E483-4156-A70E-F399D5CFF8E0}"/>
    <cellStyle name="Vírgula 2 8 2 3" xfId="8562" xr:uid="{537A7250-D9EA-4084-835B-58D5A3659DDB}"/>
    <cellStyle name="Vírgula 2 8 2 3 2" xfId="21244" xr:uid="{78E42DF2-9477-4EF0-899B-70F814C4E8A2}"/>
    <cellStyle name="Vírgula 2 8 2 3 2 2" xfId="46736" xr:uid="{35B95D0C-E3D9-4FA3-8C41-FAAAC76F093C}"/>
    <cellStyle name="Vírgula 2 8 2 3 3" xfId="34145" xr:uid="{A7E6047F-B5D7-472A-8F7A-DC96A68E8C38}"/>
    <cellStyle name="Vírgula 2 8 2 4" xfId="14966" xr:uid="{D40B243D-88A0-493C-8984-5EC8B659381B}"/>
    <cellStyle name="Vírgula 2 8 2 4 2" xfId="40458" xr:uid="{95DA6A07-23BF-491F-8AE8-4D192B5344B8}"/>
    <cellStyle name="Vírgula 2 8 2 5" xfId="27867" xr:uid="{A304786F-A6E2-4D82-A054-9685FC1E965C}"/>
    <cellStyle name="Vírgula 2 8 3" xfId="1471" xr:uid="{272F33D4-9015-4597-9558-12CDE89EECD2}"/>
    <cellStyle name="Vírgula 2 8 3 2" xfId="4625" xr:uid="{0AE54320-5A5F-4A26-B0C8-1581522488FA}"/>
    <cellStyle name="Vírgula 2 8 3 2 2" xfId="10918" xr:uid="{BC8CA6D0-8E73-484C-A28B-1413E04B2FCC}"/>
    <cellStyle name="Vírgula 2 8 3 2 2 2" xfId="23600" xr:uid="{81E25589-1007-4751-91F2-D5A8898C19C0}"/>
    <cellStyle name="Vírgula 2 8 3 2 2 2 2" xfId="49092" xr:uid="{04CA31DC-7A98-4875-AEC3-602B1BC1139E}"/>
    <cellStyle name="Vírgula 2 8 3 2 2 3" xfId="36501" xr:uid="{3E9A0A47-E37E-4F5A-A004-F6140FEC7AC4}"/>
    <cellStyle name="Vírgula 2 8 3 2 3" xfId="17322" xr:uid="{E7C7B8E2-036F-4100-BA14-D3C1EC94B202}"/>
    <cellStyle name="Vírgula 2 8 3 2 3 2" xfId="42814" xr:uid="{1F6D2931-EA3B-4EDA-A271-58B44A5DCC58}"/>
    <cellStyle name="Vírgula 2 8 3 2 4" xfId="30223" xr:uid="{D9B17717-57AA-43E3-AAAD-A253E234543D}"/>
    <cellStyle name="Vírgula 2 8 3 3" xfId="7779" xr:uid="{BC8F9AF7-B5F9-47A2-B327-C0FE0CB604FF}"/>
    <cellStyle name="Vírgula 2 8 3 3 2" xfId="20461" xr:uid="{5D3EE39B-664B-43AD-9CD4-889014D55957}"/>
    <cellStyle name="Vírgula 2 8 3 3 2 2" xfId="45953" xr:uid="{8416F835-5045-401F-AF4B-5A11060E020B}"/>
    <cellStyle name="Vírgula 2 8 3 3 3" xfId="33362" xr:uid="{1228685F-0BC4-46F1-891E-0940B33DA57A}"/>
    <cellStyle name="Vírgula 2 8 3 4" xfId="14183" xr:uid="{DDBC9E26-B000-40AA-8845-3E2A0DFEA943}"/>
    <cellStyle name="Vírgula 2 8 3 4 2" xfId="39675" xr:uid="{CB95E15F-A995-432E-9CDE-A70C8FEF8F92}"/>
    <cellStyle name="Vírgula 2 8 3 5" xfId="27084" xr:uid="{88B6B27D-14A8-484C-AE7F-BD0A5C11DB55}"/>
    <cellStyle name="Vírgula 2 8 4" xfId="2778" xr:uid="{03D3B335-AECE-4C44-B420-2BF6F27F5409}"/>
    <cellStyle name="Vírgula 2 8 4 2" xfId="5932" xr:uid="{FC07C71D-4083-4D9B-A475-3935B6BE278B}"/>
    <cellStyle name="Vírgula 2 8 4 2 2" xfId="12225" xr:uid="{CE80FFB8-FB10-4FE7-82F3-83C18A691965}"/>
    <cellStyle name="Vírgula 2 8 4 2 2 2" xfId="24907" xr:uid="{B7FFCFAF-6E1F-4B9D-8D0F-3259730F52BF}"/>
    <cellStyle name="Vírgula 2 8 4 2 2 2 2" xfId="50399" xr:uid="{7AF4CD76-A8F9-4A73-A70F-0B9B9137B7CF}"/>
    <cellStyle name="Vírgula 2 8 4 2 2 3" xfId="37808" xr:uid="{F205AA06-4A13-42C1-8DC6-33EF8B90A246}"/>
    <cellStyle name="Vírgula 2 8 4 2 3" xfId="18629" xr:uid="{72C89922-AF84-4436-BE7E-1A0BB51C7AD7}"/>
    <cellStyle name="Vírgula 2 8 4 2 3 2" xfId="44121" xr:uid="{B196DCA0-58BE-4291-81FF-AAED86AC80A1}"/>
    <cellStyle name="Vírgula 2 8 4 2 4" xfId="31530" xr:uid="{741C56AE-BD2C-4D5B-8BD1-CEDA60804021}"/>
    <cellStyle name="Vírgula 2 8 4 3" xfId="9086" xr:uid="{9E71FB6B-9059-44B1-BA8C-CB69A163EBF2}"/>
    <cellStyle name="Vírgula 2 8 4 3 2" xfId="21768" xr:uid="{0E03F608-AF53-48C7-80C5-FBD87357A5B9}"/>
    <cellStyle name="Vírgula 2 8 4 3 2 2" xfId="47260" xr:uid="{5BBACC1A-E078-431A-B316-2E66CD6854F6}"/>
    <cellStyle name="Vírgula 2 8 4 3 3" xfId="34669" xr:uid="{AB20B883-B06C-40AA-965E-2955EEA3C7C8}"/>
    <cellStyle name="Vírgula 2 8 4 4" xfId="15490" xr:uid="{6C06A8CA-4B81-47AF-ADD1-B6B99FD01C80}"/>
    <cellStyle name="Vírgula 2 8 4 4 2" xfId="40982" xr:uid="{11ACB1EA-0916-4C5C-8346-584E5D9F376F}"/>
    <cellStyle name="Vírgula 2 8 4 5" xfId="28391" xr:uid="{C6D57010-DB8B-4F42-A518-9B8151D62245}"/>
    <cellStyle name="Vírgula 2 8 5" xfId="3301" xr:uid="{6976D98E-0E27-418C-990B-51F6E63D8DD7}"/>
    <cellStyle name="Vírgula 2 8 5 2" xfId="6455" xr:uid="{B74464A9-6FFF-4612-8C06-D1A78B69B08F}"/>
    <cellStyle name="Vírgula 2 8 5 2 2" xfId="12748" xr:uid="{4D4C7155-9A7C-480D-B795-0357E510F08F}"/>
    <cellStyle name="Vírgula 2 8 5 2 2 2" xfId="25430" xr:uid="{C1798282-61F0-45BC-8B8F-D8F1035D3A98}"/>
    <cellStyle name="Vírgula 2 8 5 2 2 2 2" xfId="50922" xr:uid="{F957A0C5-8482-4195-A8A4-2D4E378A15AE}"/>
    <cellStyle name="Vírgula 2 8 5 2 2 3" xfId="38331" xr:uid="{5C4D2E8D-A37F-49A3-8476-17AB9ECEF671}"/>
    <cellStyle name="Vírgula 2 8 5 2 3" xfId="19152" xr:uid="{412E6387-7AB0-495E-9F5D-13C01B97C274}"/>
    <cellStyle name="Vírgula 2 8 5 2 3 2" xfId="44644" xr:uid="{1D945AAB-F355-409D-83E2-273A58C51183}"/>
    <cellStyle name="Vírgula 2 8 5 2 4" xfId="32053" xr:uid="{D06E6F64-2ACD-4C86-BD41-A434D0EEE25D}"/>
    <cellStyle name="Vírgula 2 8 5 3" xfId="9609" xr:uid="{547EC6D7-3895-44FE-9F4E-F9889ACF765A}"/>
    <cellStyle name="Vírgula 2 8 5 3 2" xfId="22291" xr:uid="{93BC1C74-BD54-4DEF-A805-0230D1AE2F6F}"/>
    <cellStyle name="Vírgula 2 8 5 3 2 2" xfId="47783" xr:uid="{04A646E1-EB90-40BF-BDC0-613943A1FD76}"/>
    <cellStyle name="Vírgula 2 8 5 3 3" xfId="35192" xr:uid="{C3E0F700-7E4F-49D1-A938-239C493E6396}"/>
    <cellStyle name="Vírgula 2 8 5 4" xfId="16013" xr:uid="{4CAAACEE-840E-414F-A4B9-CF3A40FAF3A0}"/>
    <cellStyle name="Vírgula 2 8 5 4 2" xfId="41505" xr:uid="{B4A13798-262E-4F6E-8AF9-2BBD7A12FD25}"/>
    <cellStyle name="Vírgula 2 8 5 5" xfId="28914" xr:uid="{ED1EC7EA-FDA8-43AD-9C45-860BCB999976}"/>
    <cellStyle name="Vírgula 2 8 6" xfId="4101" xr:uid="{9E7AE7CA-FA96-47A9-AB01-9DD010216C42}"/>
    <cellStyle name="Vírgula 2 8 6 2" xfId="10394" xr:uid="{D43EDD11-C27A-4633-9E13-5676E603A2CA}"/>
    <cellStyle name="Vírgula 2 8 6 2 2" xfId="23076" xr:uid="{1595A5F2-0CFD-4E87-8F6B-DE68DB51EA3E}"/>
    <cellStyle name="Vírgula 2 8 6 2 2 2" xfId="48568" xr:uid="{BAB082CF-202C-4141-B171-545FD543F506}"/>
    <cellStyle name="Vírgula 2 8 6 2 3" xfId="35977" xr:uid="{C94607D1-E7F4-4E81-A318-6B2392561E53}"/>
    <cellStyle name="Vírgula 2 8 6 3" xfId="16798" xr:uid="{938E4DC9-1967-44C5-A972-1A01F5E44965}"/>
    <cellStyle name="Vírgula 2 8 6 3 2" xfId="42290" xr:uid="{17AC9179-4265-46AA-AC51-CA386CD5AECE}"/>
    <cellStyle name="Vírgula 2 8 6 4" xfId="29699" xr:uid="{3FFC9544-AB38-475F-A376-1E36063A9A3A}"/>
    <cellStyle name="Vírgula 2 8 7" xfId="7255" xr:uid="{1C72116D-2DE0-4153-888D-793051554ABF}"/>
    <cellStyle name="Vírgula 2 8 7 2" xfId="19937" xr:uid="{4BAF7961-38FF-429D-8E5D-B143E18AC524}"/>
    <cellStyle name="Vírgula 2 8 7 2 2" xfId="45429" xr:uid="{F6CDB695-FC17-403E-856D-113AD917A0DA}"/>
    <cellStyle name="Vírgula 2 8 7 3" xfId="32838" xr:uid="{9B89121B-87E8-460B-8C01-83F8E6D88D29}"/>
    <cellStyle name="Vírgula 2 8 8" xfId="13659" xr:uid="{44178B09-F50C-4892-8BF6-A5A9FEE38875}"/>
    <cellStyle name="Vírgula 2 8 8 2" xfId="39151" xr:uid="{C8E6A88C-F84A-4C10-8C55-EBE64114EA05}"/>
    <cellStyle name="Vírgula 2 8 9" xfId="26560" xr:uid="{20F4D12E-D973-41B7-9206-831BA72CFA1C}"/>
    <cellStyle name="Vírgula 2 9" xfId="687" xr:uid="{AB649618-EFA3-4948-80D1-EE89AF546D1A}"/>
    <cellStyle name="Vírgula 2 9 2" xfId="1994" xr:uid="{E8EC2784-162C-4BC3-8D04-2B30BEB12AB5}"/>
    <cellStyle name="Vírgula 2 9 2 2" xfId="5148" xr:uid="{AB6BA96C-3596-47B8-8196-6D9A21AF248B}"/>
    <cellStyle name="Vírgula 2 9 2 2 2" xfId="11441" xr:uid="{7AFC56A0-7225-4C25-9088-67BB2D25C68F}"/>
    <cellStyle name="Vírgula 2 9 2 2 2 2" xfId="24123" xr:uid="{517C2054-C53D-4E5C-92A8-06CE0B1792D6}"/>
    <cellStyle name="Vírgula 2 9 2 2 2 2 2" xfId="49615" xr:uid="{5B988253-2359-4CA9-874F-5AB429AE4DF7}"/>
    <cellStyle name="Vírgula 2 9 2 2 2 3" xfId="37024" xr:uid="{E71FE9FA-000D-4232-9C36-F5B419E70E34}"/>
    <cellStyle name="Vírgula 2 9 2 2 3" xfId="17845" xr:uid="{84CF3E2A-E7B4-4D1E-96BA-AEC46F38DE99}"/>
    <cellStyle name="Vírgula 2 9 2 2 3 2" xfId="43337" xr:uid="{69CBCAB3-B91F-41B7-B805-66F6F758502C}"/>
    <cellStyle name="Vírgula 2 9 2 2 4" xfId="30746" xr:uid="{CDFF6B22-0B94-4E6C-88F0-D9B4320A005C}"/>
    <cellStyle name="Vírgula 2 9 2 3" xfId="8302" xr:uid="{DFCAAF9E-5741-4D5C-9C0B-E6F024CD9B81}"/>
    <cellStyle name="Vírgula 2 9 2 3 2" xfId="20984" xr:uid="{E6AF2A47-D8FB-4FFE-AF2C-78D11221FC9A}"/>
    <cellStyle name="Vírgula 2 9 2 3 2 2" xfId="46476" xr:uid="{C837B41B-5D98-46F0-AE00-F4895842DB71}"/>
    <cellStyle name="Vírgula 2 9 2 3 3" xfId="33885" xr:uid="{15789EBB-6949-48A3-AE36-E7D43EFC1CBE}"/>
    <cellStyle name="Vírgula 2 9 2 4" xfId="14706" xr:uid="{E4F1E3FD-15D0-4590-ADC6-B03DD9750756}"/>
    <cellStyle name="Vírgula 2 9 2 4 2" xfId="40198" xr:uid="{D43F1A22-5EE7-4886-BE0F-842067BD4244}"/>
    <cellStyle name="Vírgula 2 9 2 5" xfId="27607" xr:uid="{A51C6AD4-97DC-420D-85A2-62BA7D69F468}"/>
    <cellStyle name="Vírgula 2 9 3" xfId="3841" xr:uid="{C2C5DB51-75A1-42F2-874A-283A3E165981}"/>
    <cellStyle name="Vírgula 2 9 3 2" xfId="10134" xr:uid="{6B21540A-A176-4F99-AABE-137C5A0171D3}"/>
    <cellStyle name="Vírgula 2 9 3 2 2" xfId="22816" xr:uid="{43530664-897C-4D79-9AD7-AA3B3CB61504}"/>
    <cellStyle name="Vírgula 2 9 3 2 2 2" xfId="48308" xr:uid="{E25D98A7-A566-4771-870A-F5144FF77804}"/>
    <cellStyle name="Vírgula 2 9 3 2 3" xfId="35717" xr:uid="{A7F6889D-8FF1-489E-8628-DB673BACFAC6}"/>
    <cellStyle name="Vírgula 2 9 3 3" xfId="16538" xr:uid="{ED1B145B-7596-4272-AB18-199A60589002}"/>
    <cellStyle name="Vírgula 2 9 3 3 2" xfId="42030" xr:uid="{D1A66DB6-BFF1-42EC-8E9A-5E7DBEE88020}"/>
    <cellStyle name="Vírgula 2 9 3 4" xfId="29439" xr:uid="{42AE9E59-D9E2-47DE-9EBD-CDE569AFE438}"/>
    <cellStyle name="Vírgula 2 9 4" xfId="6995" xr:uid="{37F68960-9131-491B-B75E-8CD7D33572C3}"/>
    <cellStyle name="Vírgula 2 9 4 2" xfId="19677" xr:uid="{2712B3BB-D3B8-403C-95BC-58234B849B1A}"/>
    <cellStyle name="Vírgula 2 9 4 2 2" xfId="45169" xr:uid="{0635B890-AAB2-418F-B200-19D4AE3D3009}"/>
    <cellStyle name="Vírgula 2 9 4 3" xfId="32578" xr:uid="{045415AE-BCFF-4EF4-A490-BB32B8C58009}"/>
    <cellStyle name="Vírgula 2 9 5" xfId="13399" xr:uid="{4B3C5A7F-E3AA-45F3-A857-E4A02E852534}"/>
    <cellStyle name="Vírgula 2 9 5 2" xfId="38891" xr:uid="{319430BB-E379-41E2-A539-E7E55813246F}"/>
    <cellStyle name="Vírgula 2 9 6" xfId="26300" xr:uid="{005786D0-521B-4BEE-B440-CCF3EEC831CC}"/>
    <cellStyle name="Vírgula 3" xfId="143" xr:uid="{AA8CE79A-F77C-4224-B3C3-CCC784D9B213}"/>
    <cellStyle name="Vírgula 3 10" xfId="1735" xr:uid="{2A3FAB94-9D9A-432E-89AB-1F051A466030}"/>
    <cellStyle name="Vírgula 3 10 2" xfId="4889" xr:uid="{8B5E0573-9297-47A7-9B19-5EB9BD91A771}"/>
    <cellStyle name="Vírgula 3 10 2 2" xfId="11182" xr:uid="{0019465D-31A0-405E-AC2B-F84C05C9CA16}"/>
    <cellStyle name="Vírgula 3 10 2 2 2" xfId="23864" xr:uid="{05E8EFC4-9CFB-4506-8EF6-2DF4E43C7323}"/>
    <cellStyle name="Vírgula 3 10 2 2 2 2" xfId="49356" xr:uid="{7780E0A1-BB14-4213-A484-B77B66628009}"/>
    <cellStyle name="Vírgula 3 10 2 2 3" xfId="36765" xr:uid="{63D4F8FF-1B1C-443D-82A0-CB563BE5CEF4}"/>
    <cellStyle name="Vírgula 3 10 2 3" xfId="17586" xr:uid="{A502E94B-616A-41E8-BCCF-B040B1C4D2D0}"/>
    <cellStyle name="Vírgula 3 10 2 3 2" xfId="43078" xr:uid="{5E8E181D-AB56-4BDE-8585-DAB7885120FA}"/>
    <cellStyle name="Vírgula 3 10 2 4" xfId="30487" xr:uid="{321E3B98-EBE5-4E13-B1DA-132EE7F35B79}"/>
    <cellStyle name="Vírgula 3 10 3" xfId="8043" xr:uid="{3EFA497E-E327-4548-B03C-AC15DBF3D63C}"/>
    <cellStyle name="Vírgula 3 10 3 2" xfId="20725" xr:uid="{BF8DDE5C-280E-4427-9E8F-128FD30AE7C5}"/>
    <cellStyle name="Vírgula 3 10 3 2 2" xfId="46217" xr:uid="{DCA7EEFA-A9F6-451B-9585-F56D2A39517C}"/>
    <cellStyle name="Vírgula 3 10 3 3" xfId="33626" xr:uid="{B38DE293-E5BA-41FF-A9E0-5D9E0BCB8ED9}"/>
    <cellStyle name="Vírgula 3 10 4" xfId="14447" xr:uid="{3095228F-86DE-4734-BFDF-E91D4A7B5609}"/>
    <cellStyle name="Vírgula 3 10 4 2" xfId="39939" xr:uid="{5A4F21AB-76C7-4B76-90AB-87757B076D04}"/>
    <cellStyle name="Vírgula 3 10 5" xfId="27348" xr:uid="{AAAA2440-DB9B-4E32-B40A-F6796E8FFF4F}"/>
    <cellStyle name="Vírgula 3 11" xfId="1213" xr:uid="{51DD7093-64B0-4B3F-BCDF-A70F1FE23577}"/>
    <cellStyle name="Vírgula 3 11 2" xfId="4367" xr:uid="{C8F1DDCF-DB94-4AA1-8AF0-9962C5EF415E}"/>
    <cellStyle name="Vírgula 3 11 2 2" xfId="10660" xr:uid="{09CDC796-C5F5-491A-B168-1643BE93DB52}"/>
    <cellStyle name="Vírgula 3 11 2 2 2" xfId="23342" xr:uid="{4BACBB0A-ADC1-4386-97A5-7824C978B7F1}"/>
    <cellStyle name="Vírgula 3 11 2 2 2 2" xfId="48834" xr:uid="{EA23E013-D37F-4B4E-A113-2349EDD60097}"/>
    <cellStyle name="Vírgula 3 11 2 2 3" xfId="36243" xr:uid="{5AEE08CA-1EF4-41B6-A6E3-640CD0BAC64D}"/>
    <cellStyle name="Vírgula 3 11 2 3" xfId="17064" xr:uid="{8ED8E431-CD47-452E-9F82-A1907D4936ED}"/>
    <cellStyle name="Vírgula 3 11 2 3 2" xfId="42556" xr:uid="{79CBA525-5AC6-48B0-B722-3814E961B85E}"/>
    <cellStyle name="Vírgula 3 11 2 4" xfId="29965" xr:uid="{48028939-BE25-4ECE-8406-4B6464829777}"/>
    <cellStyle name="Vírgula 3 11 3" xfId="7521" xr:uid="{52147BD6-C5EF-4B4C-B7FD-BA2848D11C9B}"/>
    <cellStyle name="Vírgula 3 11 3 2" xfId="20203" xr:uid="{B4EE72AE-DC4C-48B7-95DC-2198B21E7303}"/>
    <cellStyle name="Vírgula 3 11 3 2 2" xfId="45695" xr:uid="{42297BCA-C5CC-409F-A4DC-C6EB1BBC7191}"/>
    <cellStyle name="Vírgula 3 11 3 3" xfId="33104" xr:uid="{E5E60030-12E2-4B61-9121-45D447A2F35C}"/>
    <cellStyle name="Vírgula 3 11 4" xfId="13925" xr:uid="{38CC27CF-F863-4AEC-9030-72125E51C4F3}"/>
    <cellStyle name="Vírgula 3 11 4 2" xfId="39417" xr:uid="{DE0E52FE-0DF7-4A03-A2BA-05C1CF4DB680}"/>
    <cellStyle name="Vírgula 3 11 5" xfId="26826" xr:uid="{AA7DF4F4-898F-4D92-80BD-AF8F667F60C1}"/>
    <cellStyle name="Vírgula 3 12" xfId="2520" xr:uid="{C1D413BC-4242-475C-806D-BCDCF2B12C58}"/>
    <cellStyle name="Vírgula 3 12 2" xfId="5674" xr:uid="{F549AE18-D208-481D-929D-B8F3D84F7AD2}"/>
    <cellStyle name="Vírgula 3 12 2 2" xfId="11967" xr:uid="{8BBBEAF1-1860-4D2B-B406-B786AE4F2956}"/>
    <cellStyle name="Vírgula 3 12 2 2 2" xfId="24649" xr:uid="{2D474F7E-9008-4CF0-BA69-F7EACCDBAC31}"/>
    <cellStyle name="Vírgula 3 12 2 2 2 2" xfId="50141" xr:uid="{769D98BC-97EB-4DC4-9369-EAED5EA3FF68}"/>
    <cellStyle name="Vírgula 3 12 2 2 3" xfId="37550" xr:uid="{4681A747-8F69-459E-9062-68DA8511A8AC}"/>
    <cellStyle name="Vírgula 3 12 2 3" xfId="18371" xr:uid="{5713DB61-1432-46F1-82A5-CD056D614D19}"/>
    <cellStyle name="Vírgula 3 12 2 3 2" xfId="43863" xr:uid="{DFE69982-0E43-45A2-8968-54FA069BF3BB}"/>
    <cellStyle name="Vírgula 3 12 2 4" xfId="31272" xr:uid="{881EAD72-4C7E-4437-8432-CC76A72539D8}"/>
    <cellStyle name="Vírgula 3 12 3" xfId="8828" xr:uid="{A1548C1B-E495-4E18-AB8A-4C7B9F9AAA13}"/>
    <cellStyle name="Vírgula 3 12 3 2" xfId="21510" xr:uid="{5EB4C0A9-35F5-4AE5-A60F-4D39E795A3D6}"/>
    <cellStyle name="Vírgula 3 12 3 2 2" xfId="47002" xr:uid="{8071E46F-2247-4181-BD49-9CA023804F07}"/>
    <cellStyle name="Vírgula 3 12 3 3" xfId="34411" xr:uid="{41292352-A729-4CF5-B16B-110E637D6F3D}"/>
    <cellStyle name="Vírgula 3 12 4" xfId="15232" xr:uid="{CF16F284-10D4-4592-866E-85C644BC8D33}"/>
    <cellStyle name="Vírgula 3 12 4 2" xfId="40724" xr:uid="{0106FD7D-78A8-4351-9652-7F4D5162AF72}"/>
    <cellStyle name="Vírgula 3 12 5" xfId="28133" xr:uid="{68D16B26-EBC6-445E-8EDC-30B9BF9D022E}"/>
    <cellStyle name="Vírgula 3 13" xfId="3043" xr:uid="{4D6F83F7-3FBA-4038-B6EE-301E6CD4444F}"/>
    <cellStyle name="Vírgula 3 13 2" xfId="6197" xr:uid="{226CBF8F-41DF-45F4-9E9E-47F2EC9AF08C}"/>
    <cellStyle name="Vírgula 3 13 2 2" xfId="12490" xr:uid="{2F7C9840-FC4B-4252-90D6-29AA781B9B21}"/>
    <cellStyle name="Vírgula 3 13 2 2 2" xfId="25172" xr:uid="{9A40E7E6-1547-4A18-8ED7-16FBE2596BCF}"/>
    <cellStyle name="Vírgula 3 13 2 2 2 2" xfId="50664" xr:uid="{8C42BD45-640F-4F0F-9E20-49BAF37CCF18}"/>
    <cellStyle name="Vírgula 3 13 2 2 3" xfId="38073" xr:uid="{6207848D-FCB1-4D43-BFC3-6BD3C78D8098}"/>
    <cellStyle name="Vírgula 3 13 2 3" xfId="18894" xr:uid="{02AD62AA-76F0-47BC-9C96-F0CFB095F443}"/>
    <cellStyle name="Vírgula 3 13 2 3 2" xfId="44386" xr:uid="{6B654B46-CBF5-49C0-81DD-CC9ACF0AE5A4}"/>
    <cellStyle name="Vírgula 3 13 2 4" xfId="31795" xr:uid="{DDE1B2F0-41DC-414B-823B-1CCF09C15B57}"/>
    <cellStyle name="Vírgula 3 13 3" xfId="9351" xr:uid="{8CAFF905-F6C0-47EC-98DF-BD2695FE5090}"/>
    <cellStyle name="Vírgula 3 13 3 2" xfId="22033" xr:uid="{95307488-74EF-451F-9758-4C0FEF5A60F9}"/>
    <cellStyle name="Vírgula 3 13 3 2 2" xfId="47525" xr:uid="{A1319622-3A9D-42C3-8F62-9508F41CD659}"/>
    <cellStyle name="Vírgula 3 13 3 3" xfId="34934" xr:uid="{82F64032-5398-47A6-B585-967E29E90ECE}"/>
    <cellStyle name="Vírgula 3 13 4" xfId="15755" xr:uid="{B7501FB9-7B28-4397-8D63-7224C81AA7E4}"/>
    <cellStyle name="Vírgula 3 13 4 2" xfId="41247" xr:uid="{6F12211F-94A2-42D8-92DC-0661A6F33476}"/>
    <cellStyle name="Vírgula 3 13 5" xfId="28656" xr:uid="{E59B4D47-CDC2-44CB-8E33-0631192C478C}"/>
    <cellStyle name="Vírgula 3 14" xfId="3582" xr:uid="{E1F76A69-7712-46A2-B71E-10C4ABE2710B}"/>
    <cellStyle name="Vírgula 3 14 2" xfId="9875" xr:uid="{B5313F35-8A90-4DFE-9458-CBC13C0D6D71}"/>
    <cellStyle name="Vírgula 3 14 2 2" xfId="22557" xr:uid="{EA6F5B6A-B532-4993-BEB9-A6DA78C64727}"/>
    <cellStyle name="Vírgula 3 14 2 2 2" xfId="48049" xr:uid="{B27FE419-05EC-4BA9-92E6-96B3B36C5820}"/>
    <cellStyle name="Vírgula 3 14 2 3" xfId="35458" xr:uid="{602B64A3-92A0-4F37-8421-F47A1303DB19}"/>
    <cellStyle name="Vírgula 3 14 3" xfId="16279" xr:uid="{ABDF2024-8BD7-4FE9-AEDF-FAA2E947AD3D}"/>
    <cellStyle name="Vírgula 3 14 3 2" xfId="41771" xr:uid="{215239DB-8A09-414B-ACC4-61DC40D44A1E}"/>
    <cellStyle name="Vírgula 3 14 4" xfId="29180" xr:uid="{A07F19B5-BDBB-4C49-B85F-0A70CB704642}"/>
    <cellStyle name="Vírgula 3 15" xfId="6736" xr:uid="{2E7C68F0-C6CC-4DE6-B175-B10C69DA642A}"/>
    <cellStyle name="Vírgula 3 15 2" xfId="19418" xr:uid="{294C1370-ACC7-45FD-B17A-1C6FB6BFD665}"/>
    <cellStyle name="Vírgula 3 15 2 2" xfId="44910" xr:uid="{FFA9A64E-604E-448B-A58D-2002E039EA85}"/>
    <cellStyle name="Vírgula 3 15 3" xfId="32319" xr:uid="{DCC6ED7F-B6F2-44DF-843E-103FD1B24F1F}"/>
    <cellStyle name="Vírgula 3 16" xfId="13121" xr:uid="{EAEC0D7E-36CE-42B1-91E4-481B1041A3F9}"/>
    <cellStyle name="Vírgula 3 16 2" xfId="38630" xr:uid="{2990228F-3D16-4C76-94E8-81F7014A79DD}"/>
    <cellStyle name="Vírgula 3 17" xfId="13101" xr:uid="{389CC582-6AC3-45D9-BEAF-35A9B315D7E6}"/>
    <cellStyle name="Vírgula 3 18" xfId="26024" xr:uid="{DF2C87F1-248E-430D-ADA0-169FB8A22E03}"/>
    <cellStyle name="Vírgula 3 19" xfId="369" xr:uid="{835550E9-E4EE-4791-97AB-AD7484D49791}"/>
    <cellStyle name="Vírgula 3 2" xfId="407" xr:uid="{22A44D40-B239-4230-91B9-B3C029083028}"/>
    <cellStyle name="Vírgula 3 2 10" xfId="1222" xr:uid="{722548C0-EF72-4562-A1C3-2BA3049ECD3B}"/>
    <cellStyle name="Vírgula 3 2 10 2" xfId="4376" xr:uid="{675EE2F6-C3FF-4387-A424-FE900B860348}"/>
    <cellStyle name="Vírgula 3 2 10 2 2" xfId="10669" xr:uid="{288D4CB1-0610-4163-9FE1-F09E58BBEF07}"/>
    <cellStyle name="Vírgula 3 2 10 2 2 2" xfId="23351" xr:uid="{3DB6994C-B0EC-4647-A1C9-6997544F24C3}"/>
    <cellStyle name="Vírgula 3 2 10 2 2 2 2" xfId="48843" xr:uid="{CCC6CFF7-C46F-4309-8E18-26299EC1EE3A}"/>
    <cellStyle name="Vírgula 3 2 10 2 2 3" xfId="36252" xr:uid="{13320504-FFDB-4DE3-920C-6C05376678EB}"/>
    <cellStyle name="Vírgula 3 2 10 2 3" xfId="17073" xr:uid="{E9AE9347-9944-405B-8521-185B84215101}"/>
    <cellStyle name="Vírgula 3 2 10 2 3 2" xfId="42565" xr:uid="{F4527A5D-A1C2-462F-9A1A-AA1F5562E55E}"/>
    <cellStyle name="Vírgula 3 2 10 2 4" xfId="29974" xr:uid="{BBD09B16-FFA0-4382-9605-6EB3926E2D70}"/>
    <cellStyle name="Vírgula 3 2 10 3" xfId="7530" xr:uid="{D6D0F725-C0D5-4B63-B355-C2ED9FECF9A4}"/>
    <cellStyle name="Vírgula 3 2 10 3 2" xfId="20212" xr:uid="{C798FD4A-7B55-41F3-BF62-3C41D1F256D3}"/>
    <cellStyle name="Vírgula 3 2 10 3 2 2" xfId="45704" xr:uid="{EDA99751-94BD-4E97-8FFA-2FEE164E59AE}"/>
    <cellStyle name="Vírgula 3 2 10 3 3" xfId="33113" xr:uid="{4B5B88F3-0CDD-4D15-A07C-BA3AB5831D5F}"/>
    <cellStyle name="Vírgula 3 2 10 4" xfId="13934" xr:uid="{51DCA633-91DD-4D17-A62B-1A971AA99BD8}"/>
    <cellStyle name="Vírgula 3 2 10 4 2" xfId="39426" xr:uid="{43E54312-DE1F-4026-9836-AFC7C9AD44B7}"/>
    <cellStyle name="Vírgula 3 2 10 5" xfId="26835" xr:uid="{8DD87F02-2CD9-45B0-AFF9-6B7538CF8189}"/>
    <cellStyle name="Vírgula 3 2 11" xfId="2529" xr:uid="{43B3BA42-83CD-42DE-9221-F13ED3699011}"/>
    <cellStyle name="Vírgula 3 2 11 2" xfId="5683" xr:uid="{EA7228AF-24B7-48E8-A629-A87CEFA2E98F}"/>
    <cellStyle name="Vírgula 3 2 11 2 2" xfId="11976" xr:uid="{452FA5C9-A657-4149-AC70-14693DF15E81}"/>
    <cellStyle name="Vírgula 3 2 11 2 2 2" xfId="24658" xr:uid="{C561E66F-C2C1-4D54-8A88-9C7474942865}"/>
    <cellStyle name="Vírgula 3 2 11 2 2 2 2" xfId="50150" xr:uid="{EC9FD466-B057-406F-8881-5FB0D5999526}"/>
    <cellStyle name="Vírgula 3 2 11 2 2 3" xfId="37559" xr:uid="{1F42A9F5-54BE-421B-A8A3-FD7C96383D8A}"/>
    <cellStyle name="Vírgula 3 2 11 2 3" xfId="18380" xr:uid="{27B88D13-78E9-4CB7-A2C1-EC58FE5F2676}"/>
    <cellStyle name="Vírgula 3 2 11 2 3 2" xfId="43872" xr:uid="{1ED4F41F-A8B1-42B4-B748-DE35DB595755}"/>
    <cellStyle name="Vírgula 3 2 11 2 4" xfId="31281" xr:uid="{4C414F6E-4022-4054-8229-BE0E2216F154}"/>
    <cellStyle name="Vírgula 3 2 11 3" xfId="8837" xr:uid="{4C9960F8-C062-4059-AC35-0FAD48D99E79}"/>
    <cellStyle name="Vírgula 3 2 11 3 2" xfId="21519" xr:uid="{7704F8EA-6001-489B-8EBB-456184A6F9ED}"/>
    <cellStyle name="Vírgula 3 2 11 3 2 2" xfId="47011" xr:uid="{B6609946-885D-4B5F-BA30-0CBB22C0C8D0}"/>
    <cellStyle name="Vírgula 3 2 11 3 3" xfId="34420" xr:uid="{AC00C5B2-413F-472F-A06C-ED140A01F079}"/>
    <cellStyle name="Vírgula 3 2 11 4" xfId="15241" xr:uid="{AD73B284-51F0-4D7E-9633-956323B0DC20}"/>
    <cellStyle name="Vírgula 3 2 11 4 2" xfId="40733" xr:uid="{7A9387DE-1181-4A9B-B10E-52B4A952E80F}"/>
    <cellStyle name="Vírgula 3 2 11 5" xfId="28142" xr:uid="{2F8213E4-72FB-4FB8-8ABD-F45724C4BA75}"/>
    <cellStyle name="Vírgula 3 2 12" xfId="3052" xr:uid="{72139939-CC53-4628-A158-8514579754E0}"/>
    <cellStyle name="Vírgula 3 2 12 2" xfId="6206" xr:uid="{334F1916-DA2E-4D01-A5FE-49234F84435E}"/>
    <cellStyle name="Vírgula 3 2 12 2 2" xfId="12499" xr:uid="{FEEFEE2A-138C-44DA-859F-8B265A213125}"/>
    <cellStyle name="Vírgula 3 2 12 2 2 2" xfId="25181" xr:uid="{85D92F32-1D38-47B3-A04E-F66FB155D182}"/>
    <cellStyle name="Vírgula 3 2 12 2 2 2 2" xfId="50673" xr:uid="{528F805B-5FE1-4E1D-86EC-1C74FD16C6CE}"/>
    <cellStyle name="Vírgula 3 2 12 2 2 3" xfId="38082" xr:uid="{B3B1E5C9-EB70-496C-AC60-3BAE6479713B}"/>
    <cellStyle name="Vírgula 3 2 12 2 3" xfId="18903" xr:uid="{07CD959B-7F6A-4A07-BF6E-670DA25F50DB}"/>
    <cellStyle name="Vírgula 3 2 12 2 3 2" xfId="44395" xr:uid="{38D8734E-ABF3-475C-8012-6F62063F7A9B}"/>
    <cellStyle name="Vírgula 3 2 12 2 4" xfId="31804" xr:uid="{A9BA9101-87CB-42A4-927C-FC1142405AAC}"/>
    <cellStyle name="Vírgula 3 2 12 3" xfId="9360" xr:uid="{4FD3F677-8027-4E7B-9EBC-547E11055EE1}"/>
    <cellStyle name="Vírgula 3 2 12 3 2" xfId="22042" xr:uid="{91C597A1-D61F-4464-81B7-3B493DD42FD9}"/>
    <cellStyle name="Vírgula 3 2 12 3 2 2" xfId="47534" xr:uid="{69411DA6-4076-420D-BF7C-10EAF135170F}"/>
    <cellStyle name="Vírgula 3 2 12 3 3" xfId="34943" xr:uid="{EE918E9B-C130-4AC1-877F-B9C824064437}"/>
    <cellStyle name="Vírgula 3 2 12 4" xfId="15764" xr:uid="{1D8CE98F-20C6-4F68-9B50-2D6E9ED8BC63}"/>
    <cellStyle name="Vírgula 3 2 12 4 2" xfId="41256" xr:uid="{72087A7F-55D5-466F-9C49-E6D01CFF7143}"/>
    <cellStyle name="Vírgula 3 2 12 5" xfId="28665" xr:uid="{B69953BD-E608-4595-9A10-3EE977F3B90D}"/>
    <cellStyle name="Vírgula 3 2 13" xfId="3591" xr:uid="{E5E0B828-214F-4004-8E69-FF2142A2A418}"/>
    <cellStyle name="Vírgula 3 2 13 2" xfId="9884" xr:uid="{5913E8E3-508D-4708-9DE8-C7D5DC05C065}"/>
    <cellStyle name="Vírgula 3 2 13 2 2" xfId="22566" xr:uid="{5E56E504-0108-4C8E-8377-44C4761081AC}"/>
    <cellStyle name="Vírgula 3 2 13 2 2 2" xfId="48058" xr:uid="{832B1F2A-A945-46C2-B6CB-F7C147EC615B}"/>
    <cellStyle name="Vírgula 3 2 13 2 3" xfId="35467" xr:uid="{7A32506E-4971-4B0E-BFC8-66C3B7E829FD}"/>
    <cellStyle name="Vírgula 3 2 13 3" xfId="16288" xr:uid="{FD176F7C-508A-4133-BBF6-1F82E0E430C7}"/>
    <cellStyle name="Vírgula 3 2 13 3 2" xfId="41780" xr:uid="{889589FE-B101-4722-8009-EF2A742796C7}"/>
    <cellStyle name="Vírgula 3 2 13 4" xfId="29189" xr:uid="{BBC63600-D0AF-4FD8-9817-1CE22885C0DB}"/>
    <cellStyle name="Vírgula 3 2 14" xfId="6745" xr:uid="{8BB28AE6-426D-45F4-992B-0FF6C42C7360}"/>
    <cellStyle name="Vírgula 3 2 14 2" xfId="19427" xr:uid="{5F4221FA-2EF6-441F-9C91-E811E8E93FA1}"/>
    <cellStyle name="Vírgula 3 2 14 2 2" xfId="44919" xr:uid="{F08728EE-8A70-427F-B3D1-A6702BD5BA14}"/>
    <cellStyle name="Vírgula 3 2 14 3" xfId="32328" xr:uid="{BE6EF061-5CCF-47ED-9718-6E3C5FECF7FB}"/>
    <cellStyle name="Vírgula 3 2 15" xfId="13147" xr:uid="{B271D0B7-59CF-426C-BFDB-4EF6FD899830}"/>
    <cellStyle name="Vírgula 3 2 15 2" xfId="38640" xr:uid="{156421AE-365E-4378-9059-C56D0D735096}"/>
    <cellStyle name="Vírgula 3 2 16" xfId="26049" xr:uid="{FD0CA284-4B8D-4A0F-BC89-797C0E30F842}"/>
    <cellStyle name="Vírgula 3 2 2" xfId="442" xr:uid="{FF78CBA4-FC6D-43ED-8010-5E5FFCEBDFD7}"/>
    <cellStyle name="Vírgula 3 2 2 10" xfId="3072" xr:uid="{EB025613-A48B-4546-88E4-98105DA6524A}"/>
    <cellStyle name="Vírgula 3 2 2 10 2" xfId="6226" xr:uid="{A1288ED1-4339-4652-A2ED-EFF5B722157D}"/>
    <cellStyle name="Vírgula 3 2 2 10 2 2" xfId="12519" xr:uid="{A9215527-4D53-4E4F-88A1-4354A9FC395A}"/>
    <cellStyle name="Vírgula 3 2 2 10 2 2 2" xfId="25201" xr:uid="{E81DE80E-0BE6-4190-93E1-9848F4283A89}"/>
    <cellStyle name="Vírgula 3 2 2 10 2 2 2 2" xfId="50693" xr:uid="{E16435DA-FCAA-44A8-B79A-DCD40D141D60}"/>
    <cellStyle name="Vírgula 3 2 2 10 2 2 3" xfId="38102" xr:uid="{422157A1-3ACE-460B-9441-926CDA80DA55}"/>
    <cellStyle name="Vírgula 3 2 2 10 2 3" xfId="18923" xr:uid="{337E03C4-5C2C-4DE3-A9FD-5DF943C14925}"/>
    <cellStyle name="Vírgula 3 2 2 10 2 3 2" xfId="44415" xr:uid="{C57A36F9-E0BC-4EBE-8345-C23C70E1125D}"/>
    <cellStyle name="Vírgula 3 2 2 10 2 4" xfId="31824" xr:uid="{953F048B-E65F-4974-85A5-DB7C09EEA68E}"/>
    <cellStyle name="Vírgula 3 2 2 10 3" xfId="9380" xr:uid="{BED16C3A-370A-4DFA-8AC8-00929A3561D6}"/>
    <cellStyle name="Vírgula 3 2 2 10 3 2" xfId="22062" xr:uid="{A5BDF8FB-797B-48B4-AFC3-E4E112CC64F4}"/>
    <cellStyle name="Vírgula 3 2 2 10 3 2 2" xfId="47554" xr:uid="{CC7ADE60-1A30-416F-A94F-9CE274893033}"/>
    <cellStyle name="Vírgula 3 2 2 10 3 3" xfId="34963" xr:uid="{DFD1F303-5BE0-4213-BFAC-3842711DC2CC}"/>
    <cellStyle name="Vírgula 3 2 2 10 4" xfId="15784" xr:uid="{A88627A9-E53D-4BF9-95C9-E798F943B089}"/>
    <cellStyle name="Vírgula 3 2 2 10 4 2" xfId="41276" xr:uid="{5B18DB01-D2EE-4F9F-B1CD-AA42B116CC1B}"/>
    <cellStyle name="Vírgula 3 2 2 10 5" xfId="28685" xr:uid="{02B91279-6F34-45E5-A5AF-54EEA326346E}"/>
    <cellStyle name="Vírgula 3 2 2 11" xfId="3611" xr:uid="{FBE670EA-5F0F-4832-A71A-81818C898AFD}"/>
    <cellStyle name="Vírgula 3 2 2 11 2" xfId="9904" xr:uid="{16411107-295F-4363-98DF-9246DA41B32B}"/>
    <cellStyle name="Vírgula 3 2 2 11 2 2" xfId="22586" xr:uid="{46E6078F-95B7-4D16-913F-EE96E3BEE693}"/>
    <cellStyle name="Vírgula 3 2 2 11 2 2 2" xfId="48078" xr:uid="{CF36D467-317C-476D-B31F-CA389C5E7CEA}"/>
    <cellStyle name="Vírgula 3 2 2 11 2 3" xfId="35487" xr:uid="{AE367DCB-7C44-4138-BF23-2AF1501FB7E3}"/>
    <cellStyle name="Vírgula 3 2 2 11 3" xfId="16308" xr:uid="{A848638F-8FEC-494E-835F-2DBC498DAD76}"/>
    <cellStyle name="Vírgula 3 2 2 11 3 2" xfId="41800" xr:uid="{3E719382-3382-4B36-836B-C68E534E379C}"/>
    <cellStyle name="Vírgula 3 2 2 11 4" xfId="29209" xr:uid="{012B935E-587F-40A8-B164-A791446C600B}"/>
    <cellStyle name="Vírgula 3 2 2 12" xfId="6765" xr:uid="{2AEE9CAE-593E-48D5-8B21-6B5C0CE2CFD1}"/>
    <cellStyle name="Vírgula 3 2 2 12 2" xfId="19447" xr:uid="{663D1962-03A7-49E7-BF15-8BF1DCBE89C5}"/>
    <cellStyle name="Vírgula 3 2 2 12 2 2" xfId="44939" xr:uid="{933EBCF6-381A-4195-8B6A-250C3751EA16}"/>
    <cellStyle name="Vírgula 3 2 2 12 3" xfId="32348" xr:uid="{394AF0DF-7E19-4E29-A3D6-E8D29722C9D3}"/>
    <cellStyle name="Vírgula 3 2 2 13" xfId="13169" xr:uid="{06AB952E-A026-4861-9511-7041264AECFE}"/>
    <cellStyle name="Vírgula 3 2 2 13 2" xfId="38661" xr:uid="{58324752-9743-48BD-9296-79ACF000D1A4}"/>
    <cellStyle name="Vírgula 3 2 2 14" xfId="26070" xr:uid="{0E49CD76-15F3-4B5B-9720-F3AEBA7E092E}"/>
    <cellStyle name="Vírgula 3 2 2 2" xfId="503" xr:uid="{B6064A1B-AF20-4076-8C81-2CC757BAC73D}"/>
    <cellStyle name="Vírgula 3 2 2 2 10" xfId="6826" xr:uid="{C35A035A-E004-4D0E-AA0F-BECFEFE89687}"/>
    <cellStyle name="Vírgula 3 2 2 2 10 2" xfId="19508" xr:uid="{B15E1D02-77F7-4B2A-8D65-4ECE45F6FAB3}"/>
    <cellStyle name="Vírgula 3 2 2 2 10 2 2" xfId="45000" xr:uid="{38A351FD-7141-4732-B802-3B4E5DAD840F}"/>
    <cellStyle name="Vírgula 3 2 2 2 10 3" xfId="32409" xr:uid="{3BAFA851-8693-4137-A711-1FA58FB4EF0F}"/>
    <cellStyle name="Vírgula 3 2 2 2 11" xfId="13230" xr:uid="{EE17ED9B-239E-43E8-AFC6-01E343CF4DE1}"/>
    <cellStyle name="Vírgula 3 2 2 2 11 2" xfId="38722" xr:uid="{5D6212A7-3A27-45A9-B102-AA7D0F7F606C}"/>
    <cellStyle name="Vírgula 3 2 2 2 12" xfId="26131" xr:uid="{2A45A565-B79D-4636-A58F-9150D7C3B867}"/>
    <cellStyle name="Vírgula 3 2 2 2 2" xfId="662" xr:uid="{5BA550D6-081B-4354-BC37-CE99A7E778B1}"/>
    <cellStyle name="Vírgula 3 2 2 2 2 10" xfId="13389" xr:uid="{7D436F90-4C3D-40F5-B0F2-A25876035520}"/>
    <cellStyle name="Vírgula 3 2 2 2 2 10 2" xfId="38881" xr:uid="{C593EB36-DD86-4057-96DE-17A1E78F5B21}"/>
    <cellStyle name="Vírgula 3 2 2 2 2 11" xfId="26290" xr:uid="{95D4256C-7B37-47C7-A1A9-7F37D6EA5A8D}"/>
    <cellStyle name="Vírgula 3 2 2 2 2 2" xfId="1199" xr:uid="{AB36127B-D7B2-48BF-B5F6-44A645C7144D}"/>
    <cellStyle name="Vírgula 3 2 2 2 2 2 2" xfId="2506" xr:uid="{9FC03E6B-DE97-4DE5-8C85-4AAC17198146}"/>
    <cellStyle name="Vírgula 3 2 2 2 2 2 2 2" xfId="5660" xr:uid="{1023234B-5BF2-45C7-934B-5FB5EF215E25}"/>
    <cellStyle name="Vírgula 3 2 2 2 2 2 2 2 2" xfId="11953" xr:uid="{075FC2C6-F305-4949-8B79-AEB713428D05}"/>
    <cellStyle name="Vírgula 3 2 2 2 2 2 2 2 2 2" xfId="24635" xr:uid="{8C1D5C6A-38EC-4B07-86D6-DCA487E822D4}"/>
    <cellStyle name="Vírgula 3 2 2 2 2 2 2 2 2 2 2" xfId="50127" xr:uid="{23400DA1-C45F-4EF3-BD61-F15A2B3726C4}"/>
    <cellStyle name="Vírgula 3 2 2 2 2 2 2 2 2 3" xfId="37536" xr:uid="{5066C7A2-3370-4F37-B6FD-2FB999F7ED56}"/>
    <cellStyle name="Vírgula 3 2 2 2 2 2 2 2 3" xfId="18357" xr:uid="{3E9BA111-6A72-4191-B799-89B4814EF061}"/>
    <cellStyle name="Vírgula 3 2 2 2 2 2 2 2 3 2" xfId="43849" xr:uid="{F0510A8A-9CDC-491D-87BD-763185FF561E}"/>
    <cellStyle name="Vírgula 3 2 2 2 2 2 2 2 4" xfId="31258" xr:uid="{CE596D02-6F5B-4BE4-A140-8001A25D8471}"/>
    <cellStyle name="Vírgula 3 2 2 2 2 2 2 3" xfId="8814" xr:uid="{E8C887B0-F345-4360-9A41-BE8BF9E68BE6}"/>
    <cellStyle name="Vírgula 3 2 2 2 2 2 2 3 2" xfId="21496" xr:uid="{A4EDAE49-E51E-40EC-814D-841350DAE117}"/>
    <cellStyle name="Vírgula 3 2 2 2 2 2 2 3 2 2" xfId="46988" xr:uid="{95E88843-A911-4AE1-BAE5-4CDCE40D8490}"/>
    <cellStyle name="Vírgula 3 2 2 2 2 2 2 3 3" xfId="34397" xr:uid="{8CE83EEE-14EF-48E8-8108-84BFEE71413F}"/>
    <cellStyle name="Vírgula 3 2 2 2 2 2 2 4" xfId="15218" xr:uid="{CC19BDEB-40C7-4BBD-9702-D266E395F8AC}"/>
    <cellStyle name="Vírgula 3 2 2 2 2 2 2 4 2" xfId="40710" xr:uid="{B89A836A-010A-49B2-B34F-0853F63BCD6C}"/>
    <cellStyle name="Vírgula 3 2 2 2 2 2 2 5" xfId="28119" xr:uid="{83AC45EC-932C-4F47-9958-9FCFE412A572}"/>
    <cellStyle name="Vírgula 3 2 2 2 2 2 3" xfId="1723" xr:uid="{8F6F36F9-C57C-4332-B116-5A209851782C}"/>
    <cellStyle name="Vírgula 3 2 2 2 2 2 3 2" xfId="4877" xr:uid="{C163E8B7-C138-48AD-92D9-5313FB158F12}"/>
    <cellStyle name="Vírgula 3 2 2 2 2 2 3 2 2" xfId="11170" xr:uid="{4A4A2893-2130-4937-98F7-20D88F4E3F5E}"/>
    <cellStyle name="Vírgula 3 2 2 2 2 2 3 2 2 2" xfId="23852" xr:uid="{2B64F5EE-24D9-4828-B1FF-B843D89DB757}"/>
    <cellStyle name="Vírgula 3 2 2 2 2 2 3 2 2 2 2" xfId="49344" xr:uid="{72F3D535-D5DD-4B2F-81C5-476540386E60}"/>
    <cellStyle name="Vírgula 3 2 2 2 2 2 3 2 2 3" xfId="36753" xr:uid="{6020670F-5E74-4549-A973-DBDF226B1B9C}"/>
    <cellStyle name="Vírgula 3 2 2 2 2 2 3 2 3" xfId="17574" xr:uid="{5A1062EB-A736-4BE0-9A33-AF2D1B492453}"/>
    <cellStyle name="Vírgula 3 2 2 2 2 2 3 2 3 2" xfId="43066" xr:uid="{3C82852B-9BF1-4C84-B0F7-BA605493D0D1}"/>
    <cellStyle name="Vírgula 3 2 2 2 2 2 3 2 4" xfId="30475" xr:uid="{349968A6-62E7-4B2D-843C-1CF0E69635F2}"/>
    <cellStyle name="Vírgula 3 2 2 2 2 2 3 3" xfId="8031" xr:uid="{B9AD3E22-C31D-4F68-B250-57D8C10F88BF}"/>
    <cellStyle name="Vírgula 3 2 2 2 2 2 3 3 2" xfId="20713" xr:uid="{4C214B89-B98B-4EFB-8835-20FB38774E53}"/>
    <cellStyle name="Vírgula 3 2 2 2 2 2 3 3 2 2" xfId="46205" xr:uid="{6D8C492B-FADE-44AE-9561-763E66ADB5EE}"/>
    <cellStyle name="Vírgula 3 2 2 2 2 2 3 3 3" xfId="33614" xr:uid="{9FE1CC86-2E1A-4AA3-81BD-97301E92375F}"/>
    <cellStyle name="Vírgula 3 2 2 2 2 2 3 4" xfId="14435" xr:uid="{29F73CE4-C4E0-43C3-9E49-FE16F330B77A}"/>
    <cellStyle name="Vírgula 3 2 2 2 2 2 3 4 2" xfId="39927" xr:uid="{FC4F043A-EEE0-4868-9B71-43687022CF22}"/>
    <cellStyle name="Vírgula 3 2 2 2 2 2 3 5" xfId="27336" xr:uid="{30D68281-C05E-4E28-A3F3-4D93F1F4A283}"/>
    <cellStyle name="Vírgula 3 2 2 2 2 2 4" xfId="3030" xr:uid="{8C8A8E67-E646-474E-94E4-B8439F96EC15}"/>
    <cellStyle name="Vírgula 3 2 2 2 2 2 4 2" xfId="6184" xr:uid="{C7A5190D-BC35-400C-B222-CDA0C8E4F584}"/>
    <cellStyle name="Vírgula 3 2 2 2 2 2 4 2 2" xfId="12477" xr:uid="{80FEAFC8-D19B-4EA9-989B-23E0605B37A8}"/>
    <cellStyle name="Vírgula 3 2 2 2 2 2 4 2 2 2" xfId="25159" xr:uid="{5F0B53CB-D255-46A8-8675-40483DBDFF62}"/>
    <cellStyle name="Vírgula 3 2 2 2 2 2 4 2 2 2 2" xfId="50651" xr:uid="{7E498AC5-7643-438E-969F-C27E5815EBF5}"/>
    <cellStyle name="Vírgula 3 2 2 2 2 2 4 2 2 3" xfId="38060" xr:uid="{00AD926F-69DD-46A0-BAA0-42A008C40FF1}"/>
    <cellStyle name="Vírgula 3 2 2 2 2 2 4 2 3" xfId="18881" xr:uid="{A63C7293-C322-4195-A684-7F424F24373B}"/>
    <cellStyle name="Vírgula 3 2 2 2 2 2 4 2 3 2" xfId="44373" xr:uid="{BE9AA45F-AD08-4D94-9322-98C2D0293A01}"/>
    <cellStyle name="Vírgula 3 2 2 2 2 2 4 2 4" xfId="31782" xr:uid="{9766C031-7E06-4524-9F4A-15F6394F95A5}"/>
    <cellStyle name="Vírgula 3 2 2 2 2 2 4 3" xfId="9338" xr:uid="{3DC80864-09E5-4B85-844C-074358D9C563}"/>
    <cellStyle name="Vírgula 3 2 2 2 2 2 4 3 2" xfId="22020" xr:uid="{3D24B260-0B79-4982-9E53-0F7849CAE175}"/>
    <cellStyle name="Vírgula 3 2 2 2 2 2 4 3 2 2" xfId="47512" xr:uid="{4D8C1789-842C-4BC4-8BC7-2BF51EE9E38B}"/>
    <cellStyle name="Vírgula 3 2 2 2 2 2 4 3 3" xfId="34921" xr:uid="{F6428ED6-DC6C-48EF-AE82-7353622216B1}"/>
    <cellStyle name="Vírgula 3 2 2 2 2 2 4 4" xfId="15742" xr:uid="{9A9A6E7E-7072-4B32-824E-7157471A51E6}"/>
    <cellStyle name="Vírgula 3 2 2 2 2 2 4 4 2" xfId="41234" xr:uid="{7CFE48E1-1135-47A8-922E-3A0AC1EDD908}"/>
    <cellStyle name="Vírgula 3 2 2 2 2 2 4 5" xfId="28643" xr:uid="{F102BBEB-7955-42D2-8F53-3C25E0AD7FA5}"/>
    <cellStyle name="Vírgula 3 2 2 2 2 2 5" xfId="3553" xr:uid="{84C6DDA3-27CC-4DFC-BF34-137FEFDD397E}"/>
    <cellStyle name="Vírgula 3 2 2 2 2 2 5 2" xfId="6707" xr:uid="{2EA7E582-A152-4429-B737-51156CF5388D}"/>
    <cellStyle name="Vírgula 3 2 2 2 2 2 5 2 2" xfId="13000" xr:uid="{7947E3F5-5522-470A-9EF7-863510EC9ED3}"/>
    <cellStyle name="Vírgula 3 2 2 2 2 2 5 2 2 2" xfId="25682" xr:uid="{ADCBEBED-404C-4A93-BE6E-F8460EF71CC4}"/>
    <cellStyle name="Vírgula 3 2 2 2 2 2 5 2 2 2 2" xfId="51174" xr:uid="{69617BCC-A6C0-4640-BDFE-6ACC2A756252}"/>
    <cellStyle name="Vírgula 3 2 2 2 2 2 5 2 2 3" xfId="38583" xr:uid="{C2085C40-FCE7-46B2-BDB8-ACB3A47B78B2}"/>
    <cellStyle name="Vírgula 3 2 2 2 2 2 5 2 3" xfId="19404" xr:uid="{62B26B0F-E8CA-4177-99DA-AD582F8DD7F0}"/>
    <cellStyle name="Vírgula 3 2 2 2 2 2 5 2 3 2" xfId="44896" xr:uid="{323CF967-C309-4054-95DB-9F96567153F7}"/>
    <cellStyle name="Vírgula 3 2 2 2 2 2 5 2 4" xfId="32305" xr:uid="{F36F44A8-67B9-4823-9D68-9E1278628AFA}"/>
    <cellStyle name="Vírgula 3 2 2 2 2 2 5 3" xfId="9861" xr:uid="{C6A0E607-8F3B-4CEB-9B9F-310686C170D7}"/>
    <cellStyle name="Vírgula 3 2 2 2 2 2 5 3 2" xfId="22543" xr:uid="{E702D0CF-348A-46C6-B150-04BB061219DA}"/>
    <cellStyle name="Vírgula 3 2 2 2 2 2 5 3 2 2" xfId="48035" xr:uid="{9EA5B261-EF69-4D41-8262-823DF3DD9807}"/>
    <cellStyle name="Vírgula 3 2 2 2 2 2 5 3 3" xfId="35444" xr:uid="{D8DABD2F-E039-4625-87B9-8107CC56ACE5}"/>
    <cellStyle name="Vírgula 3 2 2 2 2 2 5 4" xfId="16265" xr:uid="{D3EBC8DD-E4D4-4FCF-BD9B-3E3539CD30F8}"/>
    <cellStyle name="Vírgula 3 2 2 2 2 2 5 4 2" xfId="41757" xr:uid="{81DDE6B8-3F7F-4C30-8AE4-DD52333C9B42}"/>
    <cellStyle name="Vírgula 3 2 2 2 2 2 5 5" xfId="29166" xr:uid="{2FCDAA56-E0F5-49A1-B1ED-659BCE1554E8}"/>
    <cellStyle name="Vírgula 3 2 2 2 2 2 6" xfId="4353" xr:uid="{CF4C4E60-DEA7-4CA6-839E-0015391FD65C}"/>
    <cellStyle name="Vírgula 3 2 2 2 2 2 6 2" xfId="10646" xr:uid="{07817332-3D3C-45AA-9786-6F68F046C482}"/>
    <cellStyle name="Vírgula 3 2 2 2 2 2 6 2 2" xfId="23328" xr:uid="{55CC2DC3-54C7-4EAE-B9DC-A02215C35B41}"/>
    <cellStyle name="Vírgula 3 2 2 2 2 2 6 2 2 2" xfId="48820" xr:uid="{DAB82363-6054-4851-A3C1-D129818AC2B9}"/>
    <cellStyle name="Vírgula 3 2 2 2 2 2 6 2 3" xfId="36229" xr:uid="{160EA7E3-54DD-4784-B485-9C7DECA37560}"/>
    <cellStyle name="Vírgula 3 2 2 2 2 2 6 3" xfId="17050" xr:uid="{233DD317-268C-43A4-831B-2970316B08A2}"/>
    <cellStyle name="Vírgula 3 2 2 2 2 2 6 3 2" xfId="42542" xr:uid="{F46C77AE-EBD2-4CF3-8269-615137B06451}"/>
    <cellStyle name="Vírgula 3 2 2 2 2 2 6 4" xfId="29951" xr:uid="{9DE0527C-9363-42C7-859A-072912CDB16D}"/>
    <cellStyle name="Vírgula 3 2 2 2 2 2 7" xfId="7507" xr:uid="{20DEBAFB-ACB4-4967-9463-B4C2D7B6FDD0}"/>
    <cellStyle name="Vírgula 3 2 2 2 2 2 7 2" xfId="20189" xr:uid="{22A71D5F-A3D5-4819-96B0-737D4008C18C}"/>
    <cellStyle name="Vírgula 3 2 2 2 2 2 7 2 2" xfId="45681" xr:uid="{0DC049FF-DA31-435F-8BAD-A4845E601C28}"/>
    <cellStyle name="Vírgula 3 2 2 2 2 2 7 3" xfId="33090" xr:uid="{AF02FFDE-B38C-4CFD-88BD-6E1125731192}"/>
    <cellStyle name="Vírgula 3 2 2 2 2 2 8" xfId="13911" xr:uid="{5D7C3FE4-778E-4318-AC37-F9F242072BF8}"/>
    <cellStyle name="Vírgula 3 2 2 2 2 2 8 2" xfId="39403" xr:uid="{6B85CE6C-1BFD-4E51-B30B-094F78E716ED}"/>
    <cellStyle name="Vírgula 3 2 2 2 2 2 9" xfId="26812" xr:uid="{D4BCB5AF-A628-4138-9438-EE55F749BF86}"/>
    <cellStyle name="Vírgula 3 2 2 2 2 3" xfId="939" xr:uid="{CB17F8BF-21CB-43E8-B7E6-DAF362E1E04E}"/>
    <cellStyle name="Vírgula 3 2 2 2 2 3 2" xfId="2246" xr:uid="{45735283-B192-496A-BEBD-2A15F3FC331C}"/>
    <cellStyle name="Vírgula 3 2 2 2 2 3 2 2" xfId="5400" xr:uid="{25D8D1A2-A9E4-4BE7-9BC3-1EDCA6A3EBF9}"/>
    <cellStyle name="Vírgula 3 2 2 2 2 3 2 2 2" xfId="11693" xr:uid="{FCB82A96-E9B1-47E9-8EBA-7494BCA8E989}"/>
    <cellStyle name="Vírgula 3 2 2 2 2 3 2 2 2 2" xfId="24375" xr:uid="{E61DF5E8-FF2C-4698-90DF-D53036745540}"/>
    <cellStyle name="Vírgula 3 2 2 2 2 3 2 2 2 2 2" xfId="49867" xr:uid="{40E607EB-18EC-4152-A13C-B31C512B9DAC}"/>
    <cellStyle name="Vírgula 3 2 2 2 2 3 2 2 2 3" xfId="37276" xr:uid="{6EB88E14-55CC-4B0D-89F9-CDD2164BF4CD}"/>
    <cellStyle name="Vírgula 3 2 2 2 2 3 2 2 3" xfId="18097" xr:uid="{1A52A73A-CED3-4B73-98AB-B5A7DF9DD7D0}"/>
    <cellStyle name="Vírgula 3 2 2 2 2 3 2 2 3 2" xfId="43589" xr:uid="{E41107C7-0059-48FD-B674-BDC03621E5E1}"/>
    <cellStyle name="Vírgula 3 2 2 2 2 3 2 2 4" xfId="30998" xr:uid="{22B64902-A810-4202-9F50-FDA07C076A9C}"/>
    <cellStyle name="Vírgula 3 2 2 2 2 3 2 3" xfId="8554" xr:uid="{22F4ADF9-457C-4981-96EE-40411633EAE9}"/>
    <cellStyle name="Vírgula 3 2 2 2 2 3 2 3 2" xfId="21236" xr:uid="{0CC32593-CC62-4FEE-BE35-A28A2C8CE431}"/>
    <cellStyle name="Vírgula 3 2 2 2 2 3 2 3 2 2" xfId="46728" xr:uid="{C55344FC-4585-4C15-BD48-215D1F550020}"/>
    <cellStyle name="Vírgula 3 2 2 2 2 3 2 3 3" xfId="34137" xr:uid="{33F2FFEF-A3FB-4D7B-A4AC-E6E2E8332BEE}"/>
    <cellStyle name="Vírgula 3 2 2 2 2 3 2 4" xfId="14958" xr:uid="{5FF836DA-9425-4AA8-BDC2-10D2D62D4B99}"/>
    <cellStyle name="Vírgula 3 2 2 2 2 3 2 4 2" xfId="40450" xr:uid="{F8797B10-EC82-4F96-AC76-362DB13CF864}"/>
    <cellStyle name="Vírgula 3 2 2 2 2 3 2 5" xfId="27859" xr:uid="{CBBCC1F7-05E1-4205-929A-8B33E0E2C311}"/>
    <cellStyle name="Vírgula 3 2 2 2 2 3 3" xfId="4093" xr:uid="{4DE85C82-2004-4805-B429-0E7FBA503500}"/>
    <cellStyle name="Vírgula 3 2 2 2 2 3 3 2" xfId="10386" xr:uid="{D70781E4-3306-44BB-98AF-6B9907D22E7C}"/>
    <cellStyle name="Vírgula 3 2 2 2 2 3 3 2 2" xfId="23068" xr:uid="{CB3FA4F3-32C2-4FDC-9CFF-C23EA9DEDA74}"/>
    <cellStyle name="Vírgula 3 2 2 2 2 3 3 2 2 2" xfId="48560" xr:uid="{A56C05DF-863D-4D07-87D8-AA9C1219F217}"/>
    <cellStyle name="Vírgula 3 2 2 2 2 3 3 2 3" xfId="35969" xr:uid="{2CE9CE71-08F3-4DFF-8957-A02669670537}"/>
    <cellStyle name="Vírgula 3 2 2 2 2 3 3 3" xfId="16790" xr:uid="{1F22223F-73C9-4EF3-AD64-2A4EFC893D4A}"/>
    <cellStyle name="Vírgula 3 2 2 2 2 3 3 3 2" xfId="42282" xr:uid="{008732C7-73D5-41D5-AE58-F2815B513D29}"/>
    <cellStyle name="Vírgula 3 2 2 2 2 3 3 4" xfId="29691" xr:uid="{22302F88-47CF-4845-9EB9-4CD92AE6C6D5}"/>
    <cellStyle name="Vírgula 3 2 2 2 2 3 4" xfId="7247" xr:uid="{6BD17DDE-4268-46EC-893A-A6752FB6CA68}"/>
    <cellStyle name="Vírgula 3 2 2 2 2 3 4 2" xfId="19929" xr:uid="{704CF426-A948-4406-989A-A46134EF2290}"/>
    <cellStyle name="Vírgula 3 2 2 2 2 3 4 2 2" xfId="45421" xr:uid="{C2AFC8D2-603F-461E-9D3F-712AA311E90A}"/>
    <cellStyle name="Vírgula 3 2 2 2 2 3 4 3" xfId="32830" xr:uid="{FA64BD4D-0CEA-4A12-9446-A39FC9C287BA}"/>
    <cellStyle name="Vírgula 3 2 2 2 2 3 5" xfId="13651" xr:uid="{C7DFD8A1-D5AD-4484-968D-DC9958453CCC}"/>
    <cellStyle name="Vírgula 3 2 2 2 2 3 5 2" xfId="39143" xr:uid="{7318322E-7C62-4D14-A798-775AD3C7E29E}"/>
    <cellStyle name="Vírgula 3 2 2 2 2 3 6" xfId="26552" xr:uid="{4512B125-0EE2-47C6-B5B6-989FE6392CAC}"/>
    <cellStyle name="Vírgula 3 2 2 2 2 4" xfId="1984" xr:uid="{9E8412D6-A5E9-4FC0-ABD3-6D4A31EBDC89}"/>
    <cellStyle name="Vírgula 3 2 2 2 2 4 2" xfId="5138" xr:uid="{0B4B7368-CF4D-419C-82B8-63BA1D57677B}"/>
    <cellStyle name="Vírgula 3 2 2 2 2 4 2 2" xfId="11431" xr:uid="{8EE11FED-E173-4BFB-B887-B7BB73A3C6A5}"/>
    <cellStyle name="Vírgula 3 2 2 2 2 4 2 2 2" xfId="24113" xr:uid="{7F7281AF-E9C6-43B1-A43C-2CC2868300BC}"/>
    <cellStyle name="Vírgula 3 2 2 2 2 4 2 2 2 2" xfId="49605" xr:uid="{8D224011-8B00-4A6A-BA0B-60D241788DCE}"/>
    <cellStyle name="Vírgula 3 2 2 2 2 4 2 2 3" xfId="37014" xr:uid="{B77A02CA-9DC8-4280-A2C7-17832C0E7894}"/>
    <cellStyle name="Vírgula 3 2 2 2 2 4 2 3" xfId="17835" xr:uid="{E7745AF2-65AB-4386-B63A-A664DDBDC7CC}"/>
    <cellStyle name="Vírgula 3 2 2 2 2 4 2 3 2" xfId="43327" xr:uid="{0399694A-3419-4AF3-A082-98F56A6FEDB9}"/>
    <cellStyle name="Vírgula 3 2 2 2 2 4 2 4" xfId="30736" xr:uid="{422FC5A8-35B0-4DC8-8F60-2F8CDDFB7D39}"/>
    <cellStyle name="Vírgula 3 2 2 2 2 4 3" xfId="8292" xr:uid="{C67F4390-2328-4430-B59C-09329187942C}"/>
    <cellStyle name="Vírgula 3 2 2 2 2 4 3 2" xfId="20974" xr:uid="{E5E19AC2-29BE-48E6-98FD-45D3B6CC5D11}"/>
    <cellStyle name="Vírgula 3 2 2 2 2 4 3 2 2" xfId="46466" xr:uid="{861AE24C-87C4-4712-A23E-611A48AB1212}"/>
    <cellStyle name="Vírgula 3 2 2 2 2 4 3 3" xfId="33875" xr:uid="{6A31D96F-A79B-4D1A-A645-8E8FC7115F5E}"/>
    <cellStyle name="Vírgula 3 2 2 2 2 4 4" xfId="14696" xr:uid="{02428A40-608B-4012-876A-CAD0ACD09877}"/>
    <cellStyle name="Vírgula 3 2 2 2 2 4 4 2" xfId="40188" xr:uid="{38173E1E-3E95-43A5-B635-24E3BB3E44D2}"/>
    <cellStyle name="Vírgula 3 2 2 2 2 4 5" xfId="27597" xr:uid="{2F5B98E3-792F-45EA-8C32-AFEAC48961EB}"/>
    <cellStyle name="Vírgula 3 2 2 2 2 5" xfId="1462" xr:uid="{DFDA7455-5657-4353-8E96-8FD85FA894DF}"/>
    <cellStyle name="Vírgula 3 2 2 2 2 5 2" xfId="4616" xr:uid="{39072428-F7DF-4770-8F98-F6AD59DC94B8}"/>
    <cellStyle name="Vírgula 3 2 2 2 2 5 2 2" xfId="10909" xr:uid="{770E3EAF-9CAA-4DC6-AFB9-AC67B8C5529D}"/>
    <cellStyle name="Vírgula 3 2 2 2 2 5 2 2 2" xfId="23591" xr:uid="{2894F4DB-ECE9-4400-9400-CBB1C9320919}"/>
    <cellStyle name="Vírgula 3 2 2 2 2 5 2 2 2 2" xfId="49083" xr:uid="{D5674AFF-773F-4606-A32B-7739F2E2B935}"/>
    <cellStyle name="Vírgula 3 2 2 2 2 5 2 2 3" xfId="36492" xr:uid="{A36ADE36-4ADF-4BB3-8149-8A6050F7239D}"/>
    <cellStyle name="Vírgula 3 2 2 2 2 5 2 3" xfId="17313" xr:uid="{BBEE6946-2A98-41BF-9DBA-014DDEDB0A1C}"/>
    <cellStyle name="Vírgula 3 2 2 2 2 5 2 3 2" xfId="42805" xr:uid="{8A745143-36BC-4BDF-89BC-7C74426E3ED0}"/>
    <cellStyle name="Vírgula 3 2 2 2 2 5 2 4" xfId="30214" xr:uid="{0425B1AA-62CA-422E-B26C-9CB4E4DB41E4}"/>
    <cellStyle name="Vírgula 3 2 2 2 2 5 3" xfId="7770" xr:uid="{589AEE76-32DF-4053-BB8B-D6986EFB0735}"/>
    <cellStyle name="Vírgula 3 2 2 2 2 5 3 2" xfId="20452" xr:uid="{F9E84DAD-5A5F-4B14-9387-067EE85FA407}"/>
    <cellStyle name="Vírgula 3 2 2 2 2 5 3 2 2" xfId="45944" xr:uid="{1099D290-D820-4066-AE30-C0C4B6903C42}"/>
    <cellStyle name="Vírgula 3 2 2 2 2 5 3 3" xfId="33353" xr:uid="{D549654D-72E2-4FAD-A3B5-DC835BC88AEA}"/>
    <cellStyle name="Vírgula 3 2 2 2 2 5 4" xfId="14174" xr:uid="{B8A2CFBC-DE95-4AD0-878C-70D1556F505B}"/>
    <cellStyle name="Vírgula 3 2 2 2 2 5 4 2" xfId="39666" xr:uid="{6603F47F-DD6E-43B4-986C-53E878BC3D49}"/>
    <cellStyle name="Vírgula 3 2 2 2 2 5 5" xfId="27075" xr:uid="{975779D2-E799-4AEA-9363-EA39D171D46C}"/>
    <cellStyle name="Vírgula 3 2 2 2 2 6" xfId="2769" xr:uid="{A61FD0A2-38DF-4AD8-910C-05AD52413679}"/>
    <cellStyle name="Vírgula 3 2 2 2 2 6 2" xfId="5923" xr:uid="{EE64291C-815D-4762-94CD-B66F58F35DF0}"/>
    <cellStyle name="Vírgula 3 2 2 2 2 6 2 2" xfId="12216" xr:uid="{3B502F3C-C8E2-4D04-B1EA-6D0812924C06}"/>
    <cellStyle name="Vírgula 3 2 2 2 2 6 2 2 2" xfId="24898" xr:uid="{FD260793-F199-4E95-AFE0-70D94E6003A2}"/>
    <cellStyle name="Vírgula 3 2 2 2 2 6 2 2 2 2" xfId="50390" xr:uid="{51EAF32C-C7C8-4363-AB71-0A51877A9E87}"/>
    <cellStyle name="Vírgula 3 2 2 2 2 6 2 2 3" xfId="37799" xr:uid="{AADE2D7C-F38F-4A92-9A3A-5C50BD5E2A9E}"/>
    <cellStyle name="Vírgula 3 2 2 2 2 6 2 3" xfId="18620" xr:uid="{0AD2CB13-14EE-48D3-B226-478B1AEB8C00}"/>
    <cellStyle name="Vírgula 3 2 2 2 2 6 2 3 2" xfId="44112" xr:uid="{9104B32A-0729-41D4-8102-FBE3AED6FA06}"/>
    <cellStyle name="Vírgula 3 2 2 2 2 6 2 4" xfId="31521" xr:uid="{A689A446-47DB-4219-9FFF-DC1A824A12DF}"/>
    <cellStyle name="Vírgula 3 2 2 2 2 6 3" xfId="9077" xr:uid="{57E028DB-1F26-4B3B-ABD9-8D469BEC364A}"/>
    <cellStyle name="Vírgula 3 2 2 2 2 6 3 2" xfId="21759" xr:uid="{4C500391-D6EB-4C0D-A34A-54FE7B14D128}"/>
    <cellStyle name="Vírgula 3 2 2 2 2 6 3 2 2" xfId="47251" xr:uid="{6C8BE078-123A-443C-85B5-25FE1411DDCB}"/>
    <cellStyle name="Vírgula 3 2 2 2 2 6 3 3" xfId="34660" xr:uid="{81A0BAAB-D02C-49D6-8498-2F7CCE19FF71}"/>
    <cellStyle name="Vírgula 3 2 2 2 2 6 4" xfId="15481" xr:uid="{21F2CF03-C678-4E0A-B6FA-AC4E15966BF2}"/>
    <cellStyle name="Vírgula 3 2 2 2 2 6 4 2" xfId="40973" xr:uid="{85DA662E-BB87-456E-9FCD-89712449B6AB}"/>
    <cellStyle name="Vírgula 3 2 2 2 2 6 5" xfId="28382" xr:uid="{FE99C10C-8410-4240-B154-7FC068698A02}"/>
    <cellStyle name="Vírgula 3 2 2 2 2 7" xfId="3292" xr:uid="{314A3E7C-DBB2-4B2B-A15D-C0F3CF8FE988}"/>
    <cellStyle name="Vírgula 3 2 2 2 2 7 2" xfId="6446" xr:uid="{E4B39DBA-A7EF-493E-8D25-8D5BE2A110CA}"/>
    <cellStyle name="Vírgula 3 2 2 2 2 7 2 2" xfId="12739" xr:uid="{A5C5ED2B-72EC-4FB7-858B-08F60782E522}"/>
    <cellStyle name="Vírgula 3 2 2 2 2 7 2 2 2" xfId="25421" xr:uid="{88D112D4-8278-41D5-AA1C-081C47109646}"/>
    <cellStyle name="Vírgula 3 2 2 2 2 7 2 2 2 2" xfId="50913" xr:uid="{0C8FE313-7373-4D03-9D0E-C53F160C0B52}"/>
    <cellStyle name="Vírgula 3 2 2 2 2 7 2 2 3" xfId="38322" xr:uid="{5217FCE1-85A0-4045-BE91-681CE2BCD4BD}"/>
    <cellStyle name="Vírgula 3 2 2 2 2 7 2 3" xfId="19143" xr:uid="{1A98DF53-5C58-42A1-A7B9-D77C3C57582E}"/>
    <cellStyle name="Vírgula 3 2 2 2 2 7 2 3 2" xfId="44635" xr:uid="{7A600DBE-5003-49D5-B04A-5254D07ED4A7}"/>
    <cellStyle name="Vírgula 3 2 2 2 2 7 2 4" xfId="32044" xr:uid="{B5434E5A-1CFB-447E-AE93-62DFF521164B}"/>
    <cellStyle name="Vírgula 3 2 2 2 2 7 3" xfId="9600" xr:uid="{4E0A619F-E46D-4421-BC6D-65C0ABE040FC}"/>
    <cellStyle name="Vírgula 3 2 2 2 2 7 3 2" xfId="22282" xr:uid="{862D0241-7799-4361-8F8C-8319AC7C0545}"/>
    <cellStyle name="Vírgula 3 2 2 2 2 7 3 2 2" xfId="47774" xr:uid="{C51B53B0-C147-4D84-8FA1-52A69C80F767}"/>
    <cellStyle name="Vírgula 3 2 2 2 2 7 3 3" xfId="35183" xr:uid="{ABD118C7-CB34-48F3-8B5D-EA9CDB0C6327}"/>
    <cellStyle name="Vírgula 3 2 2 2 2 7 4" xfId="16004" xr:uid="{A8AF8DD0-D653-44BF-B1EC-FED151A6E867}"/>
    <cellStyle name="Vírgula 3 2 2 2 2 7 4 2" xfId="41496" xr:uid="{7041BB02-9256-4AAF-A231-DDE748773F72}"/>
    <cellStyle name="Vírgula 3 2 2 2 2 7 5" xfId="28905" xr:uid="{ADB591F2-FB99-4040-AF2C-15F72FF06A72}"/>
    <cellStyle name="Vírgula 3 2 2 2 2 8" xfId="3831" xr:uid="{D19E303F-4E70-49B9-8BFE-FC2FD5062CAE}"/>
    <cellStyle name="Vírgula 3 2 2 2 2 8 2" xfId="10124" xr:uid="{F38D8E1B-CB2D-4D44-B23A-DC02F5C482CD}"/>
    <cellStyle name="Vírgula 3 2 2 2 2 8 2 2" xfId="22806" xr:uid="{8F3804B7-11AF-4EF4-B344-4C22AA82E2C2}"/>
    <cellStyle name="Vírgula 3 2 2 2 2 8 2 2 2" xfId="48298" xr:uid="{96CE6AB3-A4EB-4A0E-9358-B410869B60BA}"/>
    <cellStyle name="Vírgula 3 2 2 2 2 8 2 3" xfId="35707" xr:uid="{B70179F6-1591-4F3F-B09E-374649FD181A}"/>
    <cellStyle name="Vírgula 3 2 2 2 2 8 3" xfId="16528" xr:uid="{F0AD6254-54B8-452C-AAB5-4EEB05C6FB71}"/>
    <cellStyle name="Vírgula 3 2 2 2 2 8 3 2" xfId="42020" xr:uid="{D547C6E7-7AF6-4BB2-8F6A-24F85E470621}"/>
    <cellStyle name="Vírgula 3 2 2 2 2 8 4" xfId="29429" xr:uid="{407F2AFA-90DE-4C60-B96C-01D0B8A1AD6E}"/>
    <cellStyle name="Vírgula 3 2 2 2 2 9" xfId="6985" xr:uid="{D4F1F04D-9517-45DE-99D9-FCE712AFDE9F}"/>
    <cellStyle name="Vírgula 3 2 2 2 2 9 2" xfId="19667" xr:uid="{45760C6F-4A92-4819-94DD-9B2F44401C4E}"/>
    <cellStyle name="Vírgula 3 2 2 2 2 9 2 2" xfId="45159" xr:uid="{D0CE4C6A-26F3-478D-9A53-96C843A26D08}"/>
    <cellStyle name="Vírgula 3 2 2 2 2 9 3" xfId="32568" xr:uid="{3486E212-73FC-483B-8F33-EFDCCBD5E4D8}"/>
    <cellStyle name="Vírgula 3 2 2 2 3" xfId="1040" xr:uid="{2B3F4585-84CB-42AC-B706-ED7FABBA5F26}"/>
    <cellStyle name="Vírgula 3 2 2 2 3 2" xfId="2347" xr:uid="{BC63E642-0842-413A-A985-B7B397DAB936}"/>
    <cellStyle name="Vírgula 3 2 2 2 3 2 2" xfId="5501" xr:uid="{09A3484D-4741-4A63-BED2-C2FC4F0A8726}"/>
    <cellStyle name="Vírgula 3 2 2 2 3 2 2 2" xfId="11794" xr:uid="{86628C8F-8F98-4122-A3C3-7E22EBD91651}"/>
    <cellStyle name="Vírgula 3 2 2 2 3 2 2 2 2" xfId="24476" xr:uid="{58A2295C-8ABB-4BFC-A1A8-BE265AAFC18B}"/>
    <cellStyle name="Vírgula 3 2 2 2 3 2 2 2 2 2" xfId="49968" xr:uid="{483C90EA-7438-42A4-A015-EB0BFEBFF5AC}"/>
    <cellStyle name="Vírgula 3 2 2 2 3 2 2 2 3" xfId="37377" xr:uid="{559C70CF-AB75-42F0-99EA-46A7B1E7D334}"/>
    <cellStyle name="Vírgula 3 2 2 2 3 2 2 3" xfId="18198" xr:uid="{C7289FE2-4766-4516-AA6E-EF94CD83A4CA}"/>
    <cellStyle name="Vírgula 3 2 2 2 3 2 2 3 2" xfId="43690" xr:uid="{512EF22B-3D65-43C9-9E3F-D3B2766ACFF0}"/>
    <cellStyle name="Vírgula 3 2 2 2 3 2 2 4" xfId="31099" xr:uid="{6D4CFDD7-3B73-4FA6-8916-C1EEF2F99D93}"/>
    <cellStyle name="Vírgula 3 2 2 2 3 2 3" xfId="8655" xr:uid="{F28F9C5F-03F9-4480-A36A-EC3FD633043B}"/>
    <cellStyle name="Vírgula 3 2 2 2 3 2 3 2" xfId="21337" xr:uid="{26D44F2C-C554-4A62-8D87-E7A5C5D4256F}"/>
    <cellStyle name="Vírgula 3 2 2 2 3 2 3 2 2" xfId="46829" xr:uid="{E3907CB8-8C7B-48A5-8C72-FB7AA2BD62D7}"/>
    <cellStyle name="Vírgula 3 2 2 2 3 2 3 3" xfId="34238" xr:uid="{0A8A5CFE-4C40-400A-9C52-62882A1883D8}"/>
    <cellStyle name="Vírgula 3 2 2 2 3 2 4" xfId="15059" xr:uid="{388931FC-DB43-4861-972B-D95F9D2CFAAD}"/>
    <cellStyle name="Vírgula 3 2 2 2 3 2 4 2" xfId="40551" xr:uid="{DD499E5D-5A44-4DA5-8694-E15DADE69BD0}"/>
    <cellStyle name="Vírgula 3 2 2 2 3 2 5" xfId="27960" xr:uid="{03137034-B592-460F-9D6B-DF1A9F4C6810}"/>
    <cellStyle name="Vírgula 3 2 2 2 3 3" xfId="1564" xr:uid="{7308A0DB-916D-47DD-BBAC-BBAFB9AE168D}"/>
    <cellStyle name="Vírgula 3 2 2 2 3 3 2" xfId="4718" xr:uid="{498E1EE4-2496-4DFD-95F8-54969A270852}"/>
    <cellStyle name="Vírgula 3 2 2 2 3 3 2 2" xfId="11011" xr:uid="{47C8C3DA-3176-499D-899B-8DAF2FC20DE2}"/>
    <cellStyle name="Vírgula 3 2 2 2 3 3 2 2 2" xfId="23693" xr:uid="{275773D9-29F9-4E02-A0D3-C10E45A5C321}"/>
    <cellStyle name="Vírgula 3 2 2 2 3 3 2 2 2 2" xfId="49185" xr:uid="{A6061D76-4979-453D-874D-1CC80DC1CF04}"/>
    <cellStyle name="Vírgula 3 2 2 2 3 3 2 2 3" xfId="36594" xr:uid="{57B1CEFF-4958-4B88-8D06-05D598E0DFFA}"/>
    <cellStyle name="Vírgula 3 2 2 2 3 3 2 3" xfId="17415" xr:uid="{63ABB0A5-C404-4551-B0E9-D87CC78A4A84}"/>
    <cellStyle name="Vírgula 3 2 2 2 3 3 2 3 2" xfId="42907" xr:uid="{AD0AE457-F1CC-4459-9FF6-8FD4F82F7BC8}"/>
    <cellStyle name="Vírgula 3 2 2 2 3 3 2 4" xfId="30316" xr:uid="{8A48F6AA-CFC0-480A-9360-1AE04C51E0D8}"/>
    <cellStyle name="Vírgula 3 2 2 2 3 3 3" xfId="7872" xr:uid="{3ACE7D20-A55F-4308-ADD4-4ED54DDC54FA}"/>
    <cellStyle name="Vírgula 3 2 2 2 3 3 3 2" xfId="20554" xr:uid="{26FDCC69-6788-489B-9A2B-174CCCF23AA2}"/>
    <cellStyle name="Vírgula 3 2 2 2 3 3 3 2 2" xfId="46046" xr:uid="{695D498C-63D2-4E1A-90AA-555BED1F9918}"/>
    <cellStyle name="Vírgula 3 2 2 2 3 3 3 3" xfId="33455" xr:uid="{485312CA-5C84-4402-B6AF-B946AEBB0B4F}"/>
    <cellStyle name="Vírgula 3 2 2 2 3 3 4" xfId="14276" xr:uid="{4D59B4A4-7876-45F7-B408-E53ED483ED6F}"/>
    <cellStyle name="Vírgula 3 2 2 2 3 3 4 2" xfId="39768" xr:uid="{F4BD0434-76B6-4E74-92E6-78C4C7DFC21F}"/>
    <cellStyle name="Vírgula 3 2 2 2 3 3 5" xfId="27177" xr:uid="{CA6A77D1-E1DA-4C1A-B572-09E8365493CC}"/>
    <cellStyle name="Vírgula 3 2 2 2 3 4" xfId="2871" xr:uid="{74DFDBEB-2682-4A46-899A-12EBA5A16E8C}"/>
    <cellStyle name="Vírgula 3 2 2 2 3 4 2" xfId="6025" xr:uid="{33A2A274-79F5-406E-89F4-12E204578D2B}"/>
    <cellStyle name="Vírgula 3 2 2 2 3 4 2 2" xfId="12318" xr:uid="{D565355D-1573-42A1-8B6D-308F39B5B4B1}"/>
    <cellStyle name="Vírgula 3 2 2 2 3 4 2 2 2" xfId="25000" xr:uid="{9B0A6662-2C07-4BB8-AFF1-1810E685E860}"/>
    <cellStyle name="Vírgula 3 2 2 2 3 4 2 2 2 2" xfId="50492" xr:uid="{B9C9D10B-C831-4051-8871-AA7A3B2289A8}"/>
    <cellStyle name="Vírgula 3 2 2 2 3 4 2 2 3" xfId="37901" xr:uid="{7656D94D-036E-45F6-A64A-93DEEBD5055D}"/>
    <cellStyle name="Vírgula 3 2 2 2 3 4 2 3" xfId="18722" xr:uid="{010D07D0-5C86-4EF2-9963-5675AC7D58BF}"/>
    <cellStyle name="Vírgula 3 2 2 2 3 4 2 3 2" xfId="44214" xr:uid="{9C1F9594-8EA4-4BD3-AA9E-C5D811B7A243}"/>
    <cellStyle name="Vírgula 3 2 2 2 3 4 2 4" xfId="31623" xr:uid="{F0264ED6-273A-4DB6-97D5-C7A232EA6D92}"/>
    <cellStyle name="Vírgula 3 2 2 2 3 4 3" xfId="9179" xr:uid="{797AE312-01F7-487A-8B3A-570F12EB0485}"/>
    <cellStyle name="Vírgula 3 2 2 2 3 4 3 2" xfId="21861" xr:uid="{4D6E4000-A6DF-4C5E-940F-019982411326}"/>
    <cellStyle name="Vírgula 3 2 2 2 3 4 3 2 2" xfId="47353" xr:uid="{AB28E387-7DAE-4B8B-9326-1370594CB1FB}"/>
    <cellStyle name="Vírgula 3 2 2 2 3 4 3 3" xfId="34762" xr:uid="{EEECDA34-431B-48D8-BEB6-57881BB5C8DF}"/>
    <cellStyle name="Vírgula 3 2 2 2 3 4 4" xfId="15583" xr:uid="{E264A8DC-9603-4A7C-92C0-EBF001E13980}"/>
    <cellStyle name="Vírgula 3 2 2 2 3 4 4 2" xfId="41075" xr:uid="{0161B12B-A5DD-4D48-8FAD-695BFD1338A8}"/>
    <cellStyle name="Vírgula 3 2 2 2 3 4 5" xfId="28484" xr:uid="{A3FA0439-722E-4697-AF53-D0B4BEDAC984}"/>
    <cellStyle name="Vírgula 3 2 2 2 3 5" xfId="3394" xr:uid="{40EC38C0-D7BD-4187-B89D-2D8285E80FF3}"/>
    <cellStyle name="Vírgula 3 2 2 2 3 5 2" xfId="6548" xr:uid="{DF1A1D1B-D100-43D2-9FB2-411A75D6D595}"/>
    <cellStyle name="Vírgula 3 2 2 2 3 5 2 2" xfId="12841" xr:uid="{A3A3C08B-4D0C-4DB2-B385-0CFEC035663F}"/>
    <cellStyle name="Vírgula 3 2 2 2 3 5 2 2 2" xfId="25523" xr:uid="{66B6C4F2-A212-4684-8679-8FE0A5B4944C}"/>
    <cellStyle name="Vírgula 3 2 2 2 3 5 2 2 2 2" xfId="51015" xr:uid="{EF92FF2A-862B-4E52-8260-6E11A865DCD6}"/>
    <cellStyle name="Vírgula 3 2 2 2 3 5 2 2 3" xfId="38424" xr:uid="{9F8A1FF0-3123-4AA4-B773-CE846A15D90D}"/>
    <cellStyle name="Vírgula 3 2 2 2 3 5 2 3" xfId="19245" xr:uid="{62864F83-2E78-4DB1-93B9-4761249CEACF}"/>
    <cellStyle name="Vírgula 3 2 2 2 3 5 2 3 2" xfId="44737" xr:uid="{2C9FBBC9-894C-43BC-BF7E-7A3B5995F583}"/>
    <cellStyle name="Vírgula 3 2 2 2 3 5 2 4" xfId="32146" xr:uid="{C365AE81-138B-45D7-933E-27564D5C06C0}"/>
    <cellStyle name="Vírgula 3 2 2 2 3 5 3" xfId="9702" xr:uid="{DF490941-F913-4605-8803-8619274FC5C0}"/>
    <cellStyle name="Vírgula 3 2 2 2 3 5 3 2" xfId="22384" xr:uid="{45F0F23B-AD91-498B-864E-C15B0433A066}"/>
    <cellStyle name="Vírgula 3 2 2 2 3 5 3 2 2" xfId="47876" xr:uid="{FC2197DC-19DF-4539-B422-03E7D33DEBF5}"/>
    <cellStyle name="Vírgula 3 2 2 2 3 5 3 3" xfId="35285" xr:uid="{261C9058-EF87-4E53-8CD2-9736F978854A}"/>
    <cellStyle name="Vírgula 3 2 2 2 3 5 4" xfId="16106" xr:uid="{031CC936-C5CA-4C3B-BA07-EE1EBA9AD15F}"/>
    <cellStyle name="Vírgula 3 2 2 2 3 5 4 2" xfId="41598" xr:uid="{B050395F-FBD5-4F00-9E97-412D28C00E0F}"/>
    <cellStyle name="Vírgula 3 2 2 2 3 5 5" xfId="29007" xr:uid="{2CE7D25F-CD6B-4382-B997-C5D0021C8462}"/>
    <cellStyle name="Vírgula 3 2 2 2 3 6" xfId="4194" xr:uid="{FFB9F417-27B0-4C90-8A9F-36F31DA1A782}"/>
    <cellStyle name="Vírgula 3 2 2 2 3 6 2" xfId="10487" xr:uid="{15E0321D-90EE-45B0-B344-71A4051DE54D}"/>
    <cellStyle name="Vírgula 3 2 2 2 3 6 2 2" xfId="23169" xr:uid="{283237FE-9AF0-4792-B02C-7613285F78DD}"/>
    <cellStyle name="Vírgula 3 2 2 2 3 6 2 2 2" xfId="48661" xr:uid="{0DF40624-4C57-4652-9908-0463CD60C359}"/>
    <cellStyle name="Vírgula 3 2 2 2 3 6 2 3" xfId="36070" xr:uid="{6F0058C0-3397-4DAD-B77C-6D17B08DAFBF}"/>
    <cellStyle name="Vírgula 3 2 2 2 3 6 3" xfId="16891" xr:uid="{ABBDB6F9-B139-4FA7-8867-D74940832F59}"/>
    <cellStyle name="Vírgula 3 2 2 2 3 6 3 2" xfId="42383" xr:uid="{EB55861A-00D3-49AE-8057-EF87FD47581D}"/>
    <cellStyle name="Vírgula 3 2 2 2 3 6 4" xfId="29792" xr:uid="{EF5E9EB7-9E2C-4C83-8978-A3ECC3976A42}"/>
    <cellStyle name="Vírgula 3 2 2 2 3 7" xfId="7348" xr:uid="{E8212427-89E2-4329-9677-F601BF5373F0}"/>
    <cellStyle name="Vírgula 3 2 2 2 3 7 2" xfId="20030" xr:uid="{2A22C4A5-7111-4334-B5B5-F12B01E1048F}"/>
    <cellStyle name="Vírgula 3 2 2 2 3 7 2 2" xfId="45522" xr:uid="{C80745DB-BE25-4AAF-BE0F-33B2AA2741FE}"/>
    <cellStyle name="Vírgula 3 2 2 2 3 7 3" xfId="32931" xr:uid="{0B3AC63B-0F1F-4D78-B07D-CBA8048FFAE8}"/>
    <cellStyle name="Vírgula 3 2 2 2 3 8" xfId="13752" xr:uid="{EC925D44-C5C4-4FAE-9CEE-AEA297A67E15}"/>
    <cellStyle name="Vírgula 3 2 2 2 3 8 2" xfId="39244" xr:uid="{989C6CF6-28A2-4A58-AEAA-F3A34FA15497}"/>
    <cellStyle name="Vírgula 3 2 2 2 3 9" xfId="26653" xr:uid="{2A617E39-7A4D-4AA9-B01E-A1A8FE7387CE}"/>
    <cellStyle name="Vírgula 3 2 2 2 4" xfId="780" xr:uid="{FFA47079-B398-42D1-BB07-D671D02B7DEA}"/>
    <cellStyle name="Vírgula 3 2 2 2 4 2" xfId="2087" xr:uid="{1808828C-50FF-4E7F-842D-1A44218E9DF0}"/>
    <cellStyle name="Vírgula 3 2 2 2 4 2 2" xfId="5241" xr:uid="{AB2C7425-9B8F-4624-A7E0-AEEC14E86772}"/>
    <cellStyle name="Vírgula 3 2 2 2 4 2 2 2" xfId="11534" xr:uid="{CAF16E44-2DC6-4E82-9784-D99288F98C26}"/>
    <cellStyle name="Vírgula 3 2 2 2 4 2 2 2 2" xfId="24216" xr:uid="{B7F9041E-BB63-4293-8F4B-0257096CF634}"/>
    <cellStyle name="Vírgula 3 2 2 2 4 2 2 2 2 2" xfId="49708" xr:uid="{381C34D0-65FE-4B95-AB04-24C6571FBEBA}"/>
    <cellStyle name="Vírgula 3 2 2 2 4 2 2 2 3" xfId="37117" xr:uid="{7DC4431F-9583-48CA-997A-B40D83FEC1A1}"/>
    <cellStyle name="Vírgula 3 2 2 2 4 2 2 3" xfId="17938" xr:uid="{61A55988-00A6-4446-8491-27314D45D8D8}"/>
    <cellStyle name="Vírgula 3 2 2 2 4 2 2 3 2" xfId="43430" xr:uid="{83C209AB-89B6-40B0-B088-63849AE48883}"/>
    <cellStyle name="Vírgula 3 2 2 2 4 2 2 4" xfId="30839" xr:uid="{153632B6-067B-4E98-A4A0-CD5CB109C60B}"/>
    <cellStyle name="Vírgula 3 2 2 2 4 2 3" xfId="8395" xr:uid="{B0032422-1264-4158-B3CC-8A00D375D94B}"/>
    <cellStyle name="Vírgula 3 2 2 2 4 2 3 2" xfId="21077" xr:uid="{D67E17BE-394F-40AA-8F6E-2EADB686B161}"/>
    <cellStyle name="Vírgula 3 2 2 2 4 2 3 2 2" xfId="46569" xr:uid="{7D76C42C-7A24-44DE-967F-1590EEC853A9}"/>
    <cellStyle name="Vírgula 3 2 2 2 4 2 3 3" xfId="33978" xr:uid="{172CD381-085E-493E-A809-DC6C5567A827}"/>
    <cellStyle name="Vírgula 3 2 2 2 4 2 4" xfId="14799" xr:uid="{1E61A5D1-6E00-4D93-9AC6-C654958BDC43}"/>
    <cellStyle name="Vírgula 3 2 2 2 4 2 4 2" xfId="40291" xr:uid="{72139E70-A188-48DC-A209-2C0D1F3CA58C}"/>
    <cellStyle name="Vírgula 3 2 2 2 4 2 5" xfId="27700" xr:uid="{F6C8D91C-D000-4FF9-8AE3-17AD141EAB37}"/>
    <cellStyle name="Vírgula 3 2 2 2 4 3" xfId="3934" xr:uid="{4FC19B99-77F9-4D96-885F-DAA26D7C05CB}"/>
    <cellStyle name="Vírgula 3 2 2 2 4 3 2" xfId="10227" xr:uid="{B0845364-D74F-461C-BF29-FF76A2032FF1}"/>
    <cellStyle name="Vírgula 3 2 2 2 4 3 2 2" xfId="22909" xr:uid="{8EE087D1-C32D-4A18-ADC0-B0F5DBC339F3}"/>
    <cellStyle name="Vírgula 3 2 2 2 4 3 2 2 2" xfId="48401" xr:uid="{0D8FB0B6-CFB5-4B21-8D9D-05CB20F4F754}"/>
    <cellStyle name="Vírgula 3 2 2 2 4 3 2 3" xfId="35810" xr:uid="{314D295D-B280-492F-8806-3BF6572591A6}"/>
    <cellStyle name="Vírgula 3 2 2 2 4 3 3" xfId="16631" xr:uid="{6C5D3826-4A4C-4FD1-A89B-B74CEC25C4A8}"/>
    <cellStyle name="Vírgula 3 2 2 2 4 3 3 2" xfId="42123" xr:uid="{9EC9AF9F-8F26-4C29-822A-F01E685F10AC}"/>
    <cellStyle name="Vírgula 3 2 2 2 4 3 4" xfId="29532" xr:uid="{F304824D-148B-4DA7-B17B-D40E1A592BA9}"/>
    <cellStyle name="Vírgula 3 2 2 2 4 4" xfId="7088" xr:uid="{6FEB2329-1AF3-43F5-810B-6769A2794685}"/>
    <cellStyle name="Vírgula 3 2 2 2 4 4 2" xfId="19770" xr:uid="{863434B6-7453-4E7A-93BC-7B756B62F3F9}"/>
    <cellStyle name="Vírgula 3 2 2 2 4 4 2 2" xfId="45262" xr:uid="{9A214017-E544-4EA0-9F5D-8157343F01C0}"/>
    <cellStyle name="Vírgula 3 2 2 2 4 4 3" xfId="32671" xr:uid="{8530BE76-BFE9-4CEB-A5CC-96EB0FAA554D}"/>
    <cellStyle name="Vírgula 3 2 2 2 4 5" xfId="13492" xr:uid="{7868E67F-A8F1-4955-B4FF-6BF64D7587C3}"/>
    <cellStyle name="Vírgula 3 2 2 2 4 5 2" xfId="38984" xr:uid="{32EA1EC9-289B-4D63-8447-AF801CA6903F}"/>
    <cellStyle name="Vírgula 3 2 2 2 4 6" xfId="26393" xr:uid="{A4E1EDE2-5D6B-4786-A8D5-D78FCF3006AB}"/>
    <cellStyle name="Vírgula 3 2 2 2 5" xfId="1825" xr:uid="{0D72B3F2-1DF8-4C2D-8BC2-809D31D13C06}"/>
    <cellStyle name="Vírgula 3 2 2 2 5 2" xfId="4979" xr:uid="{563EA476-B634-4855-811C-14450FC384F6}"/>
    <cellStyle name="Vírgula 3 2 2 2 5 2 2" xfId="11272" xr:uid="{E9D20CF0-353F-491E-8BC0-36D613086A45}"/>
    <cellStyle name="Vírgula 3 2 2 2 5 2 2 2" xfId="23954" xr:uid="{4B09F6DC-BC2A-4F05-85B4-099AA1B34368}"/>
    <cellStyle name="Vírgula 3 2 2 2 5 2 2 2 2" xfId="49446" xr:uid="{BF732502-C228-47E6-924A-2DE7811E25E2}"/>
    <cellStyle name="Vírgula 3 2 2 2 5 2 2 3" xfId="36855" xr:uid="{CCDF8C82-752A-4AC1-AA85-D4B4D9FDA3AF}"/>
    <cellStyle name="Vírgula 3 2 2 2 5 2 3" xfId="17676" xr:uid="{49D69D95-078A-4E25-991D-6A57A3B7F4C0}"/>
    <cellStyle name="Vírgula 3 2 2 2 5 2 3 2" xfId="43168" xr:uid="{B57CCADC-5F76-41D0-9D4D-45CF62DAF977}"/>
    <cellStyle name="Vírgula 3 2 2 2 5 2 4" xfId="30577" xr:uid="{902E0AD3-779C-4B2B-91C4-27B66D0A3DC0}"/>
    <cellStyle name="Vírgula 3 2 2 2 5 3" xfId="8133" xr:uid="{E1CF4C2B-EDBF-45CA-91DF-BB4F5AF67191}"/>
    <cellStyle name="Vírgula 3 2 2 2 5 3 2" xfId="20815" xr:uid="{09C445DD-7E0A-4AFB-A513-9D0CD74E9151}"/>
    <cellStyle name="Vírgula 3 2 2 2 5 3 2 2" xfId="46307" xr:uid="{15FBA29F-9C40-490A-9791-3C1F3C59FE39}"/>
    <cellStyle name="Vírgula 3 2 2 2 5 3 3" xfId="33716" xr:uid="{DBA0939A-AA88-4100-8B0A-857EBB3884CD}"/>
    <cellStyle name="Vírgula 3 2 2 2 5 4" xfId="14537" xr:uid="{FA72ACE6-0C29-4518-81E1-69A4B4AC0773}"/>
    <cellStyle name="Vírgula 3 2 2 2 5 4 2" xfId="40029" xr:uid="{D731AE2B-8B81-43A3-90FD-04A19A86323D}"/>
    <cellStyle name="Vírgula 3 2 2 2 5 5" xfId="27438" xr:uid="{0E604412-5784-4C09-9591-AAE7B8F7C697}"/>
    <cellStyle name="Vírgula 3 2 2 2 6" xfId="1303" xr:uid="{C63FB0C6-C89B-4A7B-8AB0-C38EA16DFA7D}"/>
    <cellStyle name="Vírgula 3 2 2 2 6 2" xfId="4457" xr:uid="{0CA26096-5180-4A4D-93F0-77EFC89451E9}"/>
    <cellStyle name="Vírgula 3 2 2 2 6 2 2" xfId="10750" xr:uid="{936360D9-C883-491A-BD26-C99952B4992F}"/>
    <cellStyle name="Vírgula 3 2 2 2 6 2 2 2" xfId="23432" xr:uid="{C0C1F22B-2EDA-4DFA-9878-6ED32FBB023D}"/>
    <cellStyle name="Vírgula 3 2 2 2 6 2 2 2 2" xfId="48924" xr:uid="{61FD72EA-5E08-46D7-B365-9B045161AEAF}"/>
    <cellStyle name="Vírgula 3 2 2 2 6 2 2 3" xfId="36333" xr:uid="{F9C199FE-FCC2-4B18-8359-76C6D7F50771}"/>
    <cellStyle name="Vírgula 3 2 2 2 6 2 3" xfId="17154" xr:uid="{B37CAD2E-7627-46CB-BE35-A8E6D61464A7}"/>
    <cellStyle name="Vírgula 3 2 2 2 6 2 3 2" xfId="42646" xr:uid="{F736BB22-036A-4042-B4BC-B29E8E82A608}"/>
    <cellStyle name="Vírgula 3 2 2 2 6 2 4" xfId="30055" xr:uid="{79FE2EE7-C3E0-4105-8B65-923A448D203E}"/>
    <cellStyle name="Vírgula 3 2 2 2 6 3" xfId="7611" xr:uid="{3334C04B-99E9-4BCE-B375-A624429BB0B9}"/>
    <cellStyle name="Vírgula 3 2 2 2 6 3 2" xfId="20293" xr:uid="{D774FAE8-B85D-4F34-A222-776D2BB3284E}"/>
    <cellStyle name="Vírgula 3 2 2 2 6 3 2 2" xfId="45785" xr:uid="{DE65E58D-77B3-4402-984A-99C690E0830B}"/>
    <cellStyle name="Vírgula 3 2 2 2 6 3 3" xfId="33194" xr:uid="{A05658F5-9F3D-4EC4-A5EF-98DCD4629BA1}"/>
    <cellStyle name="Vírgula 3 2 2 2 6 4" xfId="14015" xr:uid="{2D74305A-A4BE-4C56-9326-345404E47348}"/>
    <cellStyle name="Vírgula 3 2 2 2 6 4 2" xfId="39507" xr:uid="{1F5E2913-D960-4804-9DAB-6116FD8D81F7}"/>
    <cellStyle name="Vírgula 3 2 2 2 6 5" xfId="26916" xr:uid="{60CB67BF-0459-462E-B098-981E1573EAA6}"/>
    <cellStyle name="Vírgula 3 2 2 2 7" xfId="2610" xr:uid="{CB6A408E-0AF3-4D52-87DD-9AF435DC1C5B}"/>
    <cellStyle name="Vírgula 3 2 2 2 7 2" xfId="5764" xr:uid="{1A446325-A6CF-4478-93C7-A80BB6FE6D1F}"/>
    <cellStyle name="Vírgula 3 2 2 2 7 2 2" xfId="12057" xr:uid="{1E25338C-B3C7-4659-8D51-B9024CC40549}"/>
    <cellStyle name="Vírgula 3 2 2 2 7 2 2 2" xfId="24739" xr:uid="{80D0AFCA-CF1A-454C-8B11-93335650E614}"/>
    <cellStyle name="Vírgula 3 2 2 2 7 2 2 2 2" xfId="50231" xr:uid="{C15492E8-7907-4B5D-8EA7-0EDFC8540323}"/>
    <cellStyle name="Vírgula 3 2 2 2 7 2 2 3" xfId="37640" xr:uid="{F155C38C-32DD-4088-A736-B0B70BAE46B1}"/>
    <cellStyle name="Vírgula 3 2 2 2 7 2 3" xfId="18461" xr:uid="{94F35CE5-9004-41B7-9D21-D74A9A16EE58}"/>
    <cellStyle name="Vírgula 3 2 2 2 7 2 3 2" xfId="43953" xr:uid="{D6BAD83B-3EA5-40A6-A140-13E8A1675233}"/>
    <cellStyle name="Vírgula 3 2 2 2 7 2 4" xfId="31362" xr:uid="{D5FE75D1-B05B-4DDB-BAB1-B7D2FFADEBD9}"/>
    <cellStyle name="Vírgula 3 2 2 2 7 3" xfId="8918" xr:uid="{0087BA2A-AB5C-48A0-ADE8-1517FB80BADA}"/>
    <cellStyle name="Vírgula 3 2 2 2 7 3 2" xfId="21600" xr:uid="{6E087087-2109-4314-A631-2D5F90F49F87}"/>
    <cellStyle name="Vírgula 3 2 2 2 7 3 2 2" xfId="47092" xr:uid="{74E1D28F-963B-469A-8940-83F3D64EA458}"/>
    <cellStyle name="Vírgula 3 2 2 2 7 3 3" xfId="34501" xr:uid="{E2736C5C-D000-4F7C-9FA1-18495B262210}"/>
    <cellStyle name="Vírgula 3 2 2 2 7 4" xfId="15322" xr:uid="{7652D4D0-2E13-41C6-B9AE-024972F9A5C9}"/>
    <cellStyle name="Vírgula 3 2 2 2 7 4 2" xfId="40814" xr:uid="{BAA7B1EC-73FE-44AA-ACC5-D36B3DD0749D}"/>
    <cellStyle name="Vírgula 3 2 2 2 7 5" xfId="28223" xr:uid="{D13CE700-6C35-4BA7-B42C-DBA357350F28}"/>
    <cellStyle name="Vírgula 3 2 2 2 8" xfId="3133" xr:uid="{897C5E24-4FF8-4476-A450-920AFD11FB87}"/>
    <cellStyle name="Vírgula 3 2 2 2 8 2" xfId="6287" xr:uid="{BBF4AD82-A275-4888-8DA6-E342CCA2AECD}"/>
    <cellStyle name="Vírgula 3 2 2 2 8 2 2" xfId="12580" xr:uid="{0F5EED42-80EE-4409-9A6D-DDE9D9FFFF79}"/>
    <cellStyle name="Vírgula 3 2 2 2 8 2 2 2" xfId="25262" xr:uid="{740C51A2-F8DC-437B-9B9F-28FCEF938D36}"/>
    <cellStyle name="Vírgula 3 2 2 2 8 2 2 2 2" xfId="50754" xr:uid="{62D3AA0C-3AB1-4192-AB6B-5A63FD1CC1E4}"/>
    <cellStyle name="Vírgula 3 2 2 2 8 2 2 3" xfId="38163" xr:uid="{73E02E90-C88E-4440-ADE9-C4F95C55DE0D}"/>
    <cellStyle name="Vírgula 3 2 2 2 8 2 3" xfId="18984" xr:uid="{280BA8CF-5B0B-4973-BD15-4A60A58BCF73}"/>
    <cellStyle name="Vírgula 3 2 2 2 8 2 3 2" xfId="44476" xr:uid="{582B13D4-CFB5-4838-BB1B-062D43B22914}"/>
    <cellStyle name="Vírgula 3 2 2 2 8 2 4" xfId="31885" xr:uid="{6A3B3707-CEBB-4630-BC6F-0C12090700E2}"/>
    <cellStyle name="Vírgula 3 2 2 2 8 3" xfId="9441" xr:uid="{D264A884-706D-42DE-882D-450171F9DDC9}"/>
    <cellStyle name="Vírgula 3 2 2 2 8 3 2" xfId="22123" xr:uid="{2EDBC900-B341-4585-9936-F8305AE17544}"/>
    <cellStyle name="Vírgula 3 2 2 2 8 3 2 2" xfId="47615" xr:uid="{8BE1FD3A-62C5-46BE-BE94-D0784DB249D6}"/>
    <cellStyle name="Vírgula 3 2 2 2 8 3 3" xfId="35024" xr:uid="{1E757A15-454E-4AE5-A59F-44CC79A1E93D}"/>
    <cellStyle name="Vírgula 3 2 2 2 8 4" xfId="15845" xr:uid="{E7A71982-6CCB-4370-A8E0-F70982C35FD6}"/>
    <cellStyle name="Vírgula 3 2 2 2 8 4 2" xfId="41337" xr:uid="{89639AA5-0950-4877-9DEC-8D1EB8DC6905}"/>
    <cellStyle name="Vírgula 3 2 2 2 8 5" xfId="28746" xr:uid="{86F6842E-3127-4A55-A353-64038B909A81}"/>
    <cellStyle name="Vírgula 3 2 2 2 9" xfId="3672" xr:uid="{A3CA984A-3B6F-4046-B0F6-5E47D9A9CB38}"/>
    <cellStyle name="Vírgula 3 2 2 2 9 2" xfId="9965" xr:uid="{83EB0684-A84C-483B-A4D2-23CD38A85620}"/>
    <cellStyle name="Vírgula 3 2 2 2 9 2 2" xfId="22647" xr:uid="{A6DC0138-AC5D-4846-8613-5D9630489486}"/>
    <cellStyle name="Vírgula 3 2 2 2 9 2 2 2" xfId="48139" xr:uid="{6C7A574F-634D-4FB0-BC64-506882690873}"/>
    <cellStyle name="Vírgula 3 2 2 2 9 2 3" xfId="35548" xr:uid="{F3816287-E30C-46AD-B882-E0CCE45BF1CE}"/>
    <cellStyle name="Vírgula 3 2 2 2 9 3" xfId="16369" xr:uid="{9BD82883-95D6-414F-9C16-0F3561D74DE7}"/>
    <cellStyle name="Vírgula 3 2 2 2 9 3 2" xfId="41861" xr:uid="{D78173F7-532C-4D52-B616-77D30AD7CD19}"/>
    <cellStyle name="Vírgula 3 2 2 2 9 4" xfId="29270" xr:uid="{341A1FE7-9D9D-4C97-8C86-54AE26E83AFB}"/>
    <cellStyle name="Vírgula 3 2 2 3" xfId="601" xr:uid="{8398DD91-2D91-4910-A1CC-22138C2054AB}"/>
    <cellStyle name="Vírgula 3 2 2 3 10" xfId="13328" xr:uid="{B6F7A47A-3620-477E-A9F4-C98C28046EAD}"/>
    <cellStyle name="Vírgula 3 2 2 3 10 2" xfId="38820" xr:uid="{9DB55908-7616-4B67-9E74-F79365C3975A}"/>
    <cellStyle name="Vírgula 3 2 2 3 11" xfId="26229" xr:uid="{2E367334-1A15-4566-9E16-0BD6A33A8EC0}"/>
    <cellStyle name="Vírgula 3 2 2 3 2" xfId="1138" xr:uid="{42828BA3-3536-42D0-82C4-D77F15F8B39F}"/>
    <cellStyle name="Vírgula 3 2 2 3 2 2" xfId="2445" xr:uid="{9CFBDA71-AC8A-4C06-8317-E92973EC033C}"/>
    <cellStyle name="Vírgula 3 2 2 3 2 2 2" xfId="5599" xr:uid="{EDC99925-9733-4E65-8DA0-12F521FEB833}"/>
    <cellStyle name="Vírgula 3 2 2 3 2 2 2 2" xfId="11892" xr:uid="{787749B1-857E-471A-B638-439E46F55F37}"/>
    <cellStyle name="Vírgula 3 2 2 3 2 2 2 2 2" xfId="24574" xr:uid="{073B8C8B-CDE7-46FA-AB16-DEAA476A2849}"/>
    <cellStyle name="Vírgula 3 2 2 3 2 2 2 2 2 2" xfId="50066" xr:uid="{27736AA8-A313-4B4E-8FBF-CB1F4185F7A3}"/>
    <cellStyle name="Vírgula 3 2 2 3 2 2 2 2 3" xfId="37475" xr:uid="{7D1BD6C7-BF5D-476A-A1AA-D4DE84C0569F}"/>
    <cellStyle name="Vírgula 3 2 2 3 2 2 2 3" xfId="18296" xr:uid="{331ABBD2-3FE2-4C16-A78E-55B80F32F054}"/>
    <cellStyle name="Vírgula 3 2 2 3 2 2 2 3 2" xfId="43788" xr:uid="{128955AB-5BBF-4079-BABE-1C898790DD27}"/>
    <cellStyle name="Vírgula 3 2 2 3 2 2 2 4" xfId="31197" xr:uid="{277EB411-D3FC-4F87-BAFB-97F48DDD30F2}"/>
    <cellStyle name="Vírgula 3 2 2 3 2 2 3" xfId="8753" xr:uid="{6E2857E5-B1E6-4293-BD91-9C44D43D4CC8}"/>
    <cellStyle name="Vírgula 3 2 2 3 2 2 3 2" xfId="21435" xr:uid="{EE21DF50-DAAE-42AA-8356-F39E84094B79}"/>
    <cellStyle name="Vírgula 3 2 2 3 2 2 3 2 2" xfId="46927" xr:uid="{37A47FE0-1726-4F40-8DBE-7A14A49F5F99}"/>
    <cellStyle name="Vírgula 3 2 2 3 2 2 3 3" xfId="34336" xr:uid="{7C622198-1FC8-490D-BEA2-09240DBF3E34}"/>
    <cellStyle name="Vírgula 3 2 2 3 2 2 4" xfId="15157" xr:uid="{377CBE30-139E-4948-951A-471B39E564F2}"/>
    <cellStyle name="Vírgula 3 2 2 3 2 2 4 2" xfId="40649" xr:uid="{3088DB62-EBBC-429A-A8B7-2C7DF4DDF0D5}"/>
    <cellStyle name="Vírgula 3 2 2 3 2 2 5" xfId="28058" xr:uid="{DE69F5B4-31A4-4AC4-8053-D5D6B1F54A22}"/>
    <cellStyle name="Vírgula 3 2 2 3 2 3" xfId="1662" xr:uid="{501C4DCE-7D88-443D-BE0E-92C279DDAB84}"/>
    <cellStyle name="Vírgula 3 2 2 3 2 3 2" xfId="4816" xr:uid="{98525CCE-D6D3-43B8-A14E-EABE2D0C8C1F}"/>
    <cellStyle name="Vírgula 3 2 2 3 2 3 2 2" xfId="11109" xr:uid="{D77689FA-248D-4C5E-90DD-3FD4F6FE5112}"/>
    <cellStyle name="Vírgula 3 2 2 3 2 3 2 2 2" xfId="23791" xr:uid="{F16C9738-2E6B-453E-A078-3F27275D0B90}"/>
    <cellStyle name="Vírgula 3 2 2 3 2 3 2 2 2 2" xfId="49283" xr:uid="{9C4E6CF4-D275-44E3-9061-DE0292D62096}"/>
    <cellStyle name="Vírgula 3 2 2 3 2 3 2 2 3" xfId="36692" xr:uid="{4A42D98C-F9A8-4772-B706-5E1A787FF0C0}"/>
    <cellStyle name="Vírgula 3 2 2 3 2 3 2 3" xfId="17513" xr:uid="{C6B6B6C2-E0AA-4BFA-8B50-66BF904457A1}"/>
    <cellStyle name="Vírgula 3 2 2 3 2 3 2 3 2" xfId="43005" xr:uid="{E4EA033D-F9EC-481E-82F4-F38EA754A8DE}"/>
    <cellStyle name="Vírgula 3 2 2 3 2 3 2 4" xfId="30414" xr:uid="{B61D49AB-7A34-4DAC-AD9B-ADF1B563DC4C}"/>
    <cellStyle name="Vírgula 3 2 2 3 2 3 3" xfId="7970" xr:uid="{EE0E3E9E-74DD-4720-A8E0-867273A6AF57}"/>
    <cellStyle name="Vírgula 3 2 2 3 2 3 3 2" xfId="20652" xr:uid="{0C98CF2C-4223-4218-A0B4-9F9164ADA6C7}"/>
    <cellStyle name="Vírgula 3 2 2 3 2 3 3 2 2" xfId="46144" xr:uid="{8A2EDB3F-9ED8-4F5A-B20B-5C2C1E7AC607}"/>
    <cellStyle name="Vírgula 3 2 2 3 2 3 3 3" xfId="33553" xr:uid="{A2B2706F-0BBC-40A9-9089-CAF5F6EDC126}"/>
    <cellStyle name="Vírgula 3 2 2 3 2 3 4" xfId="14374" xr:uid="{88AC2FA3-E36E-4D3F-9BFE-E83D0FD19A50}"/>
    <cellStyle name="Vírgula 3 2 2 3 2 3 4 2" xfId="39866" xr:uid="{FF674320-A60F-4221-A7B3-7799F99F17DF}"/>
    <cellStyle name="Vírgula 3 2 2 3 2 3 5" xfId="27275" xr:uid="{CE909132-E56F-4887-9919-C1E36859FEF6}"/>
    <cellStyle name="Vírgula 3 2 2 3 2 4" xfId="2969" xr:uid="{F57F66B2-A32A-43DC-BF22-FEEF5CC4BA12}"/>
    <cellStyle name="Vírgula 3 2 2 3 2 4 2" xfId="6123" xr:uid="{F306E192-6546-4F12-8375-B545CE557DE4}"/>
    <cellStyle name="Vírgula 3 2 2 3 2 4 2 2" xfId="12416" xr:uid="{FD4557E1-3036-4BE9-8BDF-6A32E844138E}"/>
    <cellStyle name="Vírgula 3 2 2 3 2 4 2 2 2" xfId="25098" xr:uid="{B5C114B8-EAA0-47E4-970D-25FB607ADC0D}"/>
    <cellStyle name="Vírgula 3 2 2 3 2 4 2 2 2 2" xfId="50590" xr:uid="{CBDBB5E0-8695-4055-9586-49A311E0EDAD}"/>
    <cellStyle name="Vírgula 3 2 2 3 2 4 2 2 3" xfId="37999" xr:uid="{41CF9F6E-43AE-45F7-BE8D-8ADDA25BF352}"/>
    <cellStyle name="Vírgula 3 2 2 3 2 4 2 3" xfId="18820" xr:uid="{F19AC88C-1780-4372-A563-5CE83B9BE936}"/>
    <cellStyle name="Vírgula 3 2 2 3 2 4 2 3 2" xfId="44312" xr:uid="{68B0F2DD-1277-4DD9-AB17-1C97A77EC20E}"/>
    <cellStyle name="Vírgula 3 2 2 3 2 4 2 4" xfId="31721" xr:uid="{EEDEBB30-5FF3-4CC9-8EE0-1746E3311321}"/>
    <cellStyle name="Vírgula 3 2 2 3 2 4 3" xfId="9277" xr:uid="{568ECF97-953B-4E92-8D0D-3D687E95286E}"/>
    <cellStyle name="Vírgula 3 2 2 3 2 4 3 2" xfId="21959" xr:uid="{C3071964-643A-46B2-B515-5930683FF642}"/>
    <cellStyle name="Vírgula 3 2 2 3 2 4 3 2 2" xfId="47451" xr:uid="{28824B87-46A3-417E-BB15-EB59568774E0}"/>
    <cellStyle name="Vírgula 3 2 2 3 2 4 3 3" xfId="34860" xr:uid="{18DDAFBF-6990-476E-B489-37DAA60C2C31}"/>
    <cellStyle name="Vírgula 3 2 2 3 2 4 4" xfId="15681" xr:uid="{A2F7D534-1C6F-446F-8717-6194891D4922}"/>
    <cellStyle name="Vírgula 3 2 2 3 2 4 4 2" xfId="41173" xr:uid="{B770C93F-F3B4-448D-BB6C-B2A4E9823EC1}"/>
    <cellStyle name="Vírgula 3 2 2 3 2 4 5" xfId="28582" xr:uid="{C9F18A4F-B8A4-499D-952D-5D173D719A40}"/>
    <cellStyle name="Vírgula 3 2 2 3 2 5" xfId="3492" xr:uid="{A44CA8F3-BBCB-4CCC-A8E5-E6530C0A3E7C}"/>
    <cellStyle name="Vírgula 3 2 2 3 2 5 2" xfId="6646" xr:uid="{C9C3DDC5-7279-4689-B0F9-19C8B5A6F05A}"/>
    <cellStyle name="Vírgula 3 2 2 3 2 5 2 2" xfId="12939" xr:uid="{FEC352DE-8AB0-4A57-A470-D70F8AE17139}"/>
    <cellStyle name="Vírgula 3 2 2 3 2 5 2 2 2" xfId="25621" xr:uid="{B2647523-AEC2-49DD-A02D-FDDD492AE081}"/>
    <cellStyle name="Vírgula 3 2 2 3 2 5 2 2 2 2" xfId="51113" xr:uid="{ECF34CFF-5BF4-4539-949A-AA857F7FCB34}"/>
    <cellStyle name="Vírgula 3 2 2 3 2 5 2 2 3" xfId="38522" xr:uid="{53E120CA-AB6F-4444-80F6-59B1134DA3E5}"/>
    <cellStyle name="Vírgula 3 2 2 3 2 5 2 3" xfId="19343" xr:uid="{15D6F905-F497-46DE-8E84-98BAA703D5B1}"/>
    <cellStyle name="Vírgula 3 2 2 3 2 5 2 3 2" xfId="44835" xr:uid="{32ADDF9B-18B4-48AB-A952-909F5579BCB2}"/>
    <cellStyle name="Vírgula 3 2 2 3 2 5 2 4" xfId="32244" xr:uid="{CFDA4324-EA24-4A05-8EE9-9016562F1999}"/>
    <cellStyle name="Vírgula 3 2 2 3 2 5 3" xfId="9800" xr:uid="{3537663B-7E2C-400C-A88C-2C6047CA66C4}"/>
    <cellStyle name="Vírgula 3 2 2 3 2 5 3 2" xfId="22482" xr:uid="{3FE45D46-6572-47B0-AB7A-8EB549684D9E}"/>
    <cellStyle name="Vírgula 3 2 2 3 2 5 3 2 2" xfId="47974" xr:uid="{F95A4E0D-0FEC-4A84-BC9D-192224719A06}"/>
    <cellStyle name="Vírgula 3 2 2 3 2 5 3 3" xfId="35383" xr:uid="{FAAD6EF5-977A-49A7-9923-B0B8808D8E42}"/>
    <cellStyle name="Vírgula 3 2 2 3 2 5 4" xfId="16204" xr:uid="{96F59C0F-A920-4122-A6AA-2A0599452DB1}"/>
    <cellStyle name="Vírgula 3 2 2 3 2 5 4 2" xfId="41696" xr:uid="{4124ED1B-C994-428A-9A04-4022B565F29D}"/>
    <cellStyle name="Vírgula 3 2 2 3 2 5 5" xfId="29105" xr:uid="{24097692-CF59-43EA-A671-B9F031256E29}"/>
    <cellStyle name="Vírgula 3 2 2 3 2 6" xfId="4292" xr:uid="{1748E95B-D78C-4FE9-A23F-84A1A277E2F9}"/>
    <cellStyle name="Vírgula 3 2 2 3 2 6 2" xfId="10585" xr:uid="{B3327DCA-06F3-45CC-96F7-66FC9330682D}"/>
    <cellStyle name="Vírgula 3 2 2 3 2 6 2 2" xfId="23267" xr:uid="{33C3D85E-1CFF-414B-ACF8-66AB05E073CA}"/>
    <cellStyle name="Vírgula 3 2 2 3 2 6 2 2 2" xfId="48759" xr:uid="{9A8B8BD6-1023-4AC2-885B-83016377AFBE}"/>
    <cellStyle name="Vírgula 3 2 2 3 2 6 2 3" xfId="36168" xr:uid="{DB963A41-BDB2-449E-B58F-8F52DE8ADEE6}"/>
    <cellStyle name="Vírgula 3 2 2 3 2 6 3" xfId="16989" xr:uid="{73DB7E92-CD08-4731-8241-EC83E8072D10}"/>
    <cellStyle name="Vírgula 3 2 2 3 2 6 3 2" xfId="42481" xr:uid="{E46112DE-390B-4C08-9D38-81B06D492B89}"/>
    <cellStyle name="Vírgula 3 2 2 3 2 6 4" xfId="29890" xr:uid="{2C8FE368-4062-4356-9F8B-B07603C6E971}"/>
    <cellStyle name="Vírgula 3 2 2 3 2 7" xfId="7446" xr:uid="{53B1D1B6-1676-44E1-9BCC-8087B3A5B94C}"/>
    <cellStyle name="Vírgula 3 2 2 3 2 7 2" xfId="20128" xr:uid="{31495D54-9761-42E0-93E4-FB27BC3540DA}"/>
    <cellStyle name="Vírgula 3 2 2 3 2 7 2 2" xfId="45620" xr:uid="{72703D41-BEF7-4E41-9BE4-903346C397C2}"/>
    <cellStyle name="Vírgula 3 2 2 3 2 7 3" xfId="33029" xr:uid="{DB1F9EB8-C9C9-416E-B774-330E91E944B7}"/>
    <cellStyle name="Vírgula 3 2 2 3 2 8" xfId="13850" xr:uid="{D77646E7-891A-4A63-B836-A474BA04EEB5}"/>
    <cellStyle name="Vírgula 3 2 2 3 2 8 2" xfId="39342" xr:uid="{225B4E79-A92A-4C88-AE15-A60D5F9B283A}"/>
    <cellStyle name="Vírgula 3 2 2 3 2 9" xfId="26751" xr:uid="{EFEA73D1-27D9-4188-ADFA-FD55BC79571C}"/>
    <cellStyle name="Vírgula 3 2 2 3 3" xfId="878" xr:uid="{D9A35790-A78C-477C-B428-AF39ED77EA2E}"/>
    <cellStyle name="Vírgula 3 2 2 3 3 2" xfId="2185" xr:uid="{039BCB30-4DF3-4B31-BA5C-FBA5DA6D4F79}"/>
    <cellStyle name="Vírgula 3 2 2 3 3 2 2" xfId="5339" xr:uid="{5D63282F-60F7-489D-AD42-3C3BAB7D7826}"/>
    <cellStyle name="Vírgula 3 2 2 3 3 2 2 2" xfId="11632" xr:uid="{243F1058-8108-4C3B-A6A7-A90B2F68929F}"/>
    <cellStyle name="Vírgula 3 2 2 3 3 2 2 2 2" xfId="24314" xr:uid="{4F45436F-8883-4E27-B237-48C969DBF3BE}"/>
    <cellStyle name="Vírgula 3 2 2 3 3 2 2 2 2 2" xfId="49806" xr:uid="{A748C0C5-B76E-46D6-AD60-9BD5B9BB03A9}"/>
    <cellStyle name="Vírgula 3 2 2 3 3 2 2 2 3" xfId="37215" xr:uid="{6807100E-0AB1-4AD5-B3A0-38595035035A}"/>
    <cellStyle name="Vírgula 3 2 2 3 3 2 2 3" xfId="18036" xr:uid="{1C65E8E0-BBFC-4BEB-9417-90EE80E39958}"/>
    <cellStyle name="Vírgula 3 2 2 3 3 2 2 3 2" xfId="43528" xr:uid="{F5854BD7-794A-4E1F-9211-0A8787D68A3F}"/>
    <cellStyle name="Vírgula 3 2 2 3 3 2 2 4" xfId="30937" xr:uid="{7E2306DE-9735-4AEE-B565-F856F80365DE}"/>
    <cellStyle name="Vírgula 3 2 2 3 3 2 3" xfId="8493" xr:uid="{334EB47B-3E04-43CE-A572-69790713E03F}"/>
    <cellStyle name="Vírgula 3 2 2 3 3 2 3 2" xfId="21175" xr:uid="{645890C1-009E-47E1-9BCE-6690CEC91498}"/>
    <cellStyle name="Vírgula 3 2 2 3 3 2 3 2 2" xfId="46667" xr:uid="{0FC510BC-32A3-44ED-898F-307CF64FD2CD}"/>
    <cellStyle name="Vírgula 3 2 2 3 3 2 3 3" xfId="34076" xr:uid="{3C227655-3829-45A0-8E45-79FF545222EF}"/>
    <cellStyle name="Vírgula 3 2 2 3 3 2 4" xfId="14897" xr:uid="{1D1E8498-0953-41CC-B60E-99D0E502E4CF}"/>
    <cellStyle name="Vírgula 3 2 2 3 3 2 4 2" xfId="40389" xr:uid="{B9BC772A-960D-418E-8780-BF98B7495089}"/>
    <cellStyle name="Vírgula 3 2 2 3 3 2 5" xfId="27798" xr:uid="{56F42FAE-480E-4CF7-935A-9CE96BB7FBE8}"/>
    <cellStyle name="Vírgula 3 2 2 3 3 3" xfId="4032" xr:uid="{9D82451A-9A21-464B-9BBA-3899C7FC19C4}"/>
    <cellStyle name="Vírgula 3 2 2 3 3 3 2" xfId="10325" xr:uid="{FBF5AEC0-55B5-4E5E-9540-CE46B3D66DCA}"/>
    <cellStyle name="Vírgula 3 2 2 3 3 3 2 2" xfId="23007" xr:uid="{04629A05-E051-4C61-9D4C-EAF5F6DC18C1}"/>
    <cellStyle name="Vírgula 3 2 2 3 3 3 2 2 2" xfId="48499" xr:uid="{BCC2249A-F15E-4A5E-99E8-47349B37BF92}"/>
    <cellStyle name="Vírgula 3 2 2 3 3 3 2 3" xfId="35908" xr:uid="{A31FC09A-A6EC-4424-8E3D-7A88EF257DE0}"/>
    <cellStyle name="Vírgula 3 2 2 3 3 3 3" xfId="16729" xr:uid="{7AF82BF0-3511-4C76-BD37-3DB9754A28E0}"/>
    <cellStyle name="Vírgula 3 2 2 3 3 3 3 2" xfId="42221" xr:uid="{B9FFE89E-92D1-4E7A-8733-3314C8284AC5}"/>
    <cellStyle name="Vírgula 3 2 2 3 3 3 4" xfId="29630" xr:uid="{FD809075-121D-4CEE-AC35-0468077D433E}"/>
    <cellStyle name="Vírgula 3 2 2 3 3 4" xfId="7186" xr:uid="{8F7FC477-E59F-401C-9079-6DA3AC927F40}"/>
    <cellStyle name="Vírgula 3 2 2 3 3 4 2" xfId="19868" xr:uid="{858AADC8-E94D-4C5B-8391-CDF082FCA10C}"/>
    <cellStyle name="Vírgula 3 2 2 3 3 4 2 2" xfId="45360" xr:uid="{0B0C30BB-7B6D-43CF-B5E3-02F8C73E82E7}"/>
    <cellStyle name="Vírgula 3 2 2 3 3 4 3" xfId="32769" xr:uid="{561D2A16-F90D-4EAF-B7E5-56B8CDDFF4A2}"/>
    <cellStyle name="Vírgula 3 2 2 3 3 5" xfId="13590" xr:uid="{D031A032-E4FC-4907-A7CD-74EFE51E7FB3}"/>
    <cellStyle name="Vírgula 3 2 2 3 3 5 2" xfId="39082" xr:uid="{E7679166-825B-426D-8498-12024188DD0A}"/>
    <cellStyle name="Vírgula 3 2 2 3 3 6" xfId="26491" xr:uid="{10B309B4-DE95-4230-85EC-FF7BA02B1958}"/>
    <cellStyle name="Vírgula 3 2 2 3 4" xfId="1923" xr:uid="{6A89AB39-3BB8-4B05-A8E6-9BA05ED5405C}"/>
    <cellStyle name="Vírgula 3 2 2 3 4 2" xfId="5077" xr:uid="{5C2D772F-DC76-4937-9161-66150B4D1826}"/>
    <cellStyle name="Vírgula 3 2 2 3 4 2 2" xfId="11370" xr:uid="{6EAC80EF-89B0-4152-A95C-B19E737EBEAB}"/>
    <cellStyle name="Vírgula 3 2 2 3 4 2 2 2" xfId="24052" xr:uid="{78854DE3-FE5F-4266-BF8B-FDEF2868ABFE}"/>
    <cellStyle name="Vírgula 3 2 2 3 4 2 2 2 2" xfId="49544" xr:uid="{80923D33-62C0-4EEF-9730-7FA8D90D60A3}"/>
    <cellStyle name="Vírgula 3 2 2 3 4 2 2 3" xfId="36953" xr:uid="{D6546B19-DBE6-4EF5-9F5A-5E2034D2A14B}"/>
    <cellStyle name="Vírgula 3 2 2 3 4 2 3" xfId="17774" xr:uid="{81D5E1B3-0F30-4B03-BEA6-C668E7A8494D}"/>
    <cellStyle name="Vírgula 3 2 2 3 4 2 3 2" xfId="43266" xr:uid="{84E11E8B-ED23-4748-878E-025FDE0C3D23}"/>
    <cellStyle name="Vírgula 3 2 2 3 4 2 4" xfId="30675" xr:uid="{21B15EE0-48E9-47A3-8B57-21678712C4E5}"/>
    <cellStyle name="Vírgula 3 2 2 3 4 3" xfId="8231" xr:uid="{09347CC9-3C0A-4B2B-A0A6-EA81C50A5279}"/>
    <cellStyle name="Vírgula 3 2 2 3 4 3 2" xfId="20913" xr:uid="{20F5DF2B-012F-4C0E-87BD-BC6F6C8F2665}"/>
    <cellStyle name="Vírgula 3 2 2 3 4 3 2 2" xfId="46405" xr:uid="{7E6FFB65-0167-4DD8-9D23-1A61EB0B9953}"/>
    <cellStyle name="Vírgula 3 2 2 3 4 3 3" xfId="33814" xr:uid="{784D0B34-550C-4AFB-A3B8-378876C7065B}"/>
    <cellStyle name="Vírgula 3 2 2 3 4 4" xfId="14635" xr:uid="{A40AC8C8-823B-4B04-8E93-7CAF60C3B0EC}"/>
    <cellStyle name="Vírgula 3 2 2 3 4 4 2" xfId="40127" xr:uid="{B7DD698E-8ADE-420F-97BC-FD06700C00FA}"/>
    <cellStyle name="Vírgula 3 2 2 3 4 5" xfId="27536" xr:uid="{8D4011FA-B7DD-4358-A914-DB73AF55F3F7}"/>
    <cellStyle name="Vírgula 3 2 2 3 5" xfId="1401" xr:uid="{739BD77B-AEA8-4E82-AA09-9BDD7F53FB34}"/>
    <cellStyle name="Vírgula 3 2 2 3 5 2" xfId="4555" xr:uid="{DDDCBAFD-6721-4026-885B-83B00100EFFC}"/>
    <cellStyle name="Vírgula 3 2 2 3 5 2 2" xfId="10848" xr:uid="{907609E2-6EF4-400E-8DA8-9A0407E2DAA9}"/>
    <cellStyle name="Vírgula 3 2 2 3 5 2 2 2" xfId="23530" xr:uid="{946D359F-D118-48C1-B1EE-AF54ACAF9E34}"/>
    <cellStyle name="Vírgula 3 2 2 3 5 2 2 2 2" xfId="49022" xr:uid="{68B5406D-71FE-4285-B0B1-8897F99CF7F5}"/>
    <cellStyle name="Vírgula 3 2 2 3 5 2 2 3" xfId="36431" xr:uid="{03F9F5F7-C71E-4095-ABCD-5014FDE44265}"/>
    <cellStyle name="Vírgula 3 2 2 3 5 2 3" xfId="17252" xr:uid="{583BD80A-361D-48A6-890E-2D5D46D63CDB}"/>
    <cellStyle name="Vírgula 3 2 2 3 5 2 3 2" xfId="42744" xr:uid="{5050C4E5-04E4-4AB4-9ADA-420F4DCB89D2}"/>
    <cellStyle name="Vírgula 3 2 2 3 5 2 4" xfId="30153" xr:uid="{03851287-E330-4261-B54E-7DDAEDC27231}"/>
    <cellStyle name="Vírgula 3 2 2 3 5 3" xfId="7709" xr:uid="{72F4FB97-9556-4F3A-8AB7-D001CC1436D7}"/>
    <cellStyle name="Vírgula 3 2 2 3 5 3 2" xfId="20391" xr:uid="{25711CA4-698B-4502-A97F-0CB2CE52D89A}"/>
    <cellStyle name="Vírgula 3 2 2 3 5 3 2 2" xfId="45883" xr:uid="{F721CCB5-770C-4201-91AC-68D1B0C20A6F}"/>
    <cellStyle name="Vírgula 3 2 2 3 5 3 3" xfId="33292" xr:uid="{CC50886C-F639-41BC-ACF9-6DA5CA506D8B}"/>
    <cellStyle name="Vírgula 3 2 2 3 5 4" xfId="14113" xr:uid="{AFC370F1-E2C0-4D9E-90E3-D66A771933F8}"/>
    <cellStyle name="Vírgula 3 2 2 3 5 4 2" xfId="39605" xr:uid="{D877F32F-31A7-43CE-BFF6-1AC487D49B7D}"/>
    <cellStyle name="Vírgula 3 2 2 3 5 5" xfId="27014" xr:uid="{E1E5A101-C6B6-4AA7-A311-289A3EE226A2}"/>
    <cellStyle name="Vírgula 3 2 2 3 6" xfId="2708" xr:uid="{8CE7286D-B869-4114-92CD-A66478B2FE99}"/>
    <cellStyle name="Vírgula 3 2 2 3 6 2" xfId="5862" xr:uid="{A45F571C-C33D-4711-B1E7-6A8B6E5A09A9}"/>
    <cellStyle name="Vírgula 3 2 2 3 6 2 2" xfId="12155" xr:uid="{464F38B2-5351-4873-92D5-3BB0BFE8694A}"/>
    <cellStyle name="Vírgula 3 2 2 3 6 2 2 2" xfId="24837" xr:uid="{69433BBA-E96C-4CC4-9755-5F293F654E8B}"/>
    <cellStyle name="Vírgula 3 2 2 3 6 2 2 2 2" xfId="50329" xr:uid="{977FAA17-70A5-46F1-8965-28777718E7C3}"/>
    <cellStyle name="Vírgula 3 2 2 3 6 2 2 3" xfId="37738" xr:uid="{C8AF3CB5-EEEF-4258-A248-9A863525EB5F}"/>
    <cellStyle name="Vírgula 3 2 2 3 6 2 3" xfId="18559" xr:uid="{1896AAD1-39B3-4006-8D09-93B462819FCE}"/>
    <cellStyle name="Vírgula 3 2 2 3 6 2 3 2" xfId="44051" xr:uid="{52080FD4-281B-4EE9-8508-10AE40C2257D}"/>
    <cellStyle name="Vírgula 3 2 2 3 6 2 4" xfId="31460" xr:uid="{7B656832-A46A-449A-A4B4-501FDD434DCD}"/>
    <cellStyle name="Vírgula 3 2 2 3 6 3" xfId="9016" xr:uid="{8A08147F-0EA3-43D5-AD78-AF4DAFD4ABE1}"/>
    <cellStyle name="Vírgula 3 2 2 3 6 3 2" xfId="21698" xr:uid="{4F777822-8369-4273-9556-7113D774AE1C}"/>
    <cellStyle name="Vírgula 3 2 2 3 6 3 2 2" xfId="47190" xr:uid="{1E85DE26-77AA-47B3-B084-0734AA05A1C7}"/>
    <cellStyle name="Vírgula 3 2 2 3 6 3 3" xfId="34599" xr:uid="{26FDFAEA-C1D7-405D-8E2B-CFDE1BFF11C1}"/>
    <cellStyle name="Vírgula 3 2 2 3 6 4" xfId="15420" xr:uid="{72BE5875-1594-4DF5-84DF-3FEFD90A4176}"/>
    <cellStyle name="Vírgula 3 2 2 3 6 4 2" xfId="40912" xr:uid="{06F671B5-F3AC-4F92-BAA0-69D624EFF53D}"/>
    <cellStyle name="Vírgula 3 2 2 3 6 5" xfId="28321" xr:uid="{E180C53C-6F04-4EFA-B996-05020BA03DA4}"/>
    <cellStyle name="Vírgula 3 2 2 3 7" xfId="3231" xr:uid="{D11B98C4-847E-4163-B6F9-4552ECB0ED54}"/>
    <cellStyle name="Vírgula 3 2 2 3 7 2" xfId="6385" xr:uid="{25A2D6F9-B2A0-4B2E-A005-60CEFCF7022C}"/>
    <cellStyle name="Vírgula 3 2 2 3 7 2 2" xfId="12678" xr:uid="{3169B17B-D5EF-4515-A780-4FB005838913}"/>
    <cellStyle name="Vírgula 3 2 2 3 7 2 2 2" xfId="25360" xr:uid="{69303311-ABF6-4054-B1D3-760839E35424}"/>
    <cellStyle name="Vírgula 3 2 2 3 7 2 2 2 2" xfId="50852" xr:uid="{C98EE911-F12E-4F3D-B2AA-34E2C57D4EC6}"/>
    <cellStyle name="Vírgula 3 2 2 3 7 2 2 3" xfId="38261" xr:uid="{E05A4427-9384-4A68-856F-77E9705B6B89}"/>
    <cellStyle name="Vírgula 3 2 2 3 7 2 3" xfId="19082" xr:uid="{F6EA4764-3A5D-4D86-8275-A693B4B89187}"/>
    <cellStyle name="Vírgula 3 2 2 3 7 2 3 2" xfId="44574" xr:uid="{F77AD8F5-CBE3-43F4-814F-A02D58B6A31E}"/>
    <cellStyle name="Vírgula 3 2 2 3 7 2 4" xfId="31983" xr:uid="{9EF86314-F165-467D-A637-9B6E3A0CF001}"/>
    <cellStyle name="Vírgula 3 2 2 3 7 3" xfId="9539" xr:uid="{0DF979A8-E2DA-475D-A93D-58E7D51C2788}"/>
    <cellStyle name="Vírgula 3 2 2 3 7 3 2" xfId="22221" xr:uid="{8591468F-9E7E-48F5-B1BD-C1BBEA895D75}"/>
    <cellStyle name="Vírgula 3 2 2 3 7 3 2 2" xfId="47713" xr:uid="{31216052-550A-4205-819F-8411417F5E2D}"/>
    <cellStyle name="Vírgula 3 2 2 3 7 3 3" xfId="35122" xr:uid="{9224A6C2-F3CD-4229-B2DB-5160187045E7}"/>
    <cellStyle name="Vírgula 3 2 2 3 7 4" xfId="15943" xr:uid="{B6D28602-94F4-4118-86FA-595395E53850}"/>
    <cellStyle name="Vírgula 3 2 2 3 7 4 2" xfId="41435" xr:uid="{93A3F013-743E-4B66-A36F-C71BC5C5F8E4}"/>
    <cellStyle name="Vírgula 3 2 2 3 7 5" xfId="28844" xr:uid="{A8103562-67E7-448C-A298-454460675783}"/>
    <cellStyle name="Vírgula 3 2 2 3 8" xfId="3770" xr:uid="{CC734875-C905-4700-930D-B016892164A2}"/>
    <cellStyle name="Vírgula 3 2 2 3 8 2" xfId="10063" xr:uid="{062242E4-1977-4972-9F2C-E378753AFD17}"/>
    <cellStyle name="Vírgula 3 2 2 3 8 2 2" xfId="22745" xr:uid="{FAB0AAFA-537A-4B42-A5A9-1053FB95DB85}"/>
    <cellStyle name="Vírgula 3 2 2 3 8 2 2 2" xfId="48237" xr:uid="{4E50A7A6-4D69-4258-A64D-B8853430452A}"/>
    <cellStyle name="Vírgula 3 2 2 3 8 2 3" xfId="35646" xr:uid="{94803448-9EA7-46A0-ACA5-C7215D7B2999}"/>
    <cellStyle name="Vírgula 3 2 2 3 8 3" xfId="16467" xr:uid="{4C615575-9B27-41EE-B3EA-8E75184CE68B}"/>
    <cellStyle name="Vírgula 3 2 2 3 8 3 2" xfId="41959" xr:uid="{BD44C5C6-4713-49C4-A8CD-B14161D0E7E3}"/>
    <cellStyle name="Vírgula 3 2 2 3 8 4" xfId="29368" xr:uid="{ADED5491-B2DB-4139-BC91-31A541C387D7}"/>
    <cellStyle name="Vírgula 3 2 2 3 9" xfId="6924" xr:uid="{D218881B-A3BD-4A79-8E28-F02ED7264990}"/>
    <cellStyle name="Vírgula 3 2 2 3 9 2" xfId="19606" xr:uid="{02A9EF54-5746-4D8F-A1BC-DCC7469D38C3}"/>
    <cellStyle name="Vírgula 3 2 2 3 9 2 2" xfId="45098" xr:uid="{F4C177E9-2C1F-4759-8E17-D018830277B7}"/>
    <cellStyle name="Vírgula 3 2 2 3 9 3" xfId="32507" xr:uid="{11D2A9F4-1FC5-48B3-91FE-64F92E75912A}"/>
    <cellStyle name="Vírgula 3 2 2 4" xfId="562" xr:uid="{FDF19229-7163-46F4-A1B3-D5BF781A5509}"/>
    <cellStyle name="Vírgula 3 2 2 4 10" xfId="13289" xr:uid="{76BA65A1-754F-46A0-BFF6-9B6FB260A842}"/>
    <cellStyle name="Vírgula 3 2 2 4 10 2" xfId="38781" xr:uid="{23F90F85-7B52-4C68-9CE5-AF746F09C574}"/>
    <cellStyle name="Vírgula 3 2 2 4 11" xfId="26190" xr:uid="{A3851FA2-7734-4332-83FB-2745F217195F}"/>
    <cellStyle name="Vírgula 3 2 2 4 2" xfId="1099" xr:uid="{1CA518E8-EA08-45A3-A344-1C21249967F9}"/>
    <cellStyle name="Vírgula 3 2 2 4 2 2" xfId="2406" xr:uid="{DA57332F-B722-4D6B-AD78-A1F944984C38}"/>
    <cellStyle name="Vírgula 3 2 2 4 2 2 2" xfId="5560" xr:uid="{592575AA-D18A-4D11-81A3-EE7B22D182A2}"/>
    <cellStyle name="Vírgula 3 2 2 4 2 2 2 2" xfId="11853" xr:uid="{E77FCD8A-7DF5-409F-A64C-9487284DEC2E}"/>
    <cellStyle name="Vírgula 3 2 2 4 2 2 2 2 2" xfId="24535" xr:uid="{65C12DA0-DE12-4C51-A991-27805E075AAC}"/>
    <cellStyle name="Vírgula 3 2 2 4 2 2 2 2 2 2" xfId="50027" xr:uid="{21A7B831-A312-4B72-992D-A146D2131593}"/>
    <cellStyle name="Vírgula 3 2 2 4 2 2 2 2 3" xfId="37436" xr:uid="{CD44E203-4E25-44EC-97C4-E4CAB78EF081}"/>
    <cellStyle name="Vírgula 3 2 2 4 2 2 2 3" xfId="18257" xr:uid="{5442885D-3A07-47D0-B280-D6BA528F8038}"/>
    <cellStyle name="Vírgula 3 2 2 4 2 2 2 3 2" xfId="43749" xr:uid="{1CEDC5AA-FF60-4ABC-836E-F483213C6C79}"/>
    <cellStyle name="Vírgula 3 2 2 4 2 2 2 4" xfId="31158" xr:uid="{E5098C7D-16BA-4026-ACD8-13E93875EB49}"/>
    <cellStyle name="Vírgula 3 2 2 4 2 2 3" xfId="8714" xr:uid="{A8759B54-7688-4FFD-90EC-C1415766DFC6}"/>
    <cellStyle name="Vírgula 3 2 2 4 2 2 3 2" xfId="21396" xr:uid="{21B6E755-63CD-4DB1-987F-B338DBE907ED}"/>
    <cellStyle name="Vírgula 3 2 2 4 2 2 3 2 2" xfId="46888" xr:uid="{61044B39-40C9-40BF-AAA9-B136355B0F6B}"/>
    <cellStyle name="Vírgula 3 2 2 4 2 2 3 3" xfId="34297" xr:uid="{D05007BD-CA51-4B0B-A3CD-BAF86280E6D3}"/>
    <cellStyle name="Vírgula 3 2 2 4 2 2 4" xfId="15118" xr:uid="{CDD4C00F-6C79-44F8-BCD1-12602D424019}"/>
    <cellStyle name="Vírgula 3 2 2 4 2 2 4 2" xfId="40610" xr:uid="{DD7C2CE8-DF2B-4CF8-8727-48DFFC61274E}"/>
    <cellStyle name="Vírgula 3 2 2 4 2 2 5" xfId="28019" xr:uid="{E68F1F41-A89D-4247-AE38-8CEB7EA9F70F}"/>
    <cellStyle name="Vírgula 3 2 2 4 2 3" xfId="1623" xr:uid="{E742AF4E-C4B8-4B6D-A6BA-9261C43C16CB}"/>
    <cellStyle name="Vírgula 3 2 2 4 2 3 2" xfId="4777" xr:uid="{F08D2F54-F659-480F-B80F-C6C4B36B6C9E}"/>
    <cellStyle name="Vírgula 3 2 2 4 2 3 2 2" xfId="11070" xr:uid="{6DD81E9E-5304-4427-BDB2-B1A6A6FB7890}"/>
    <cellStyle name="Vírgula 3 2 2 4 2 3 2 2 2" xfId="23752" xr:uid="{E1505C34-150C-43B9-A672-80DEE415A7EC}"/>
    <cellStyle name="Vírgula 3 2 2 4 2 3 2 2 2 2" xfId="49244" xr:uid="{B335B8D1-E281-4098-8399-4F05817CFF22}"/>
    <cellStyle name="Vírgula 3 2 2 4 2 3 2 2 3" xfId="36653" xr:uid="{13EB6578-D912-4C4A-8ADE-001939A10609}"/>
    <cellStyle name="Vírgula 3 2 2 4 2 3 2 3" xfId="17474" xr:uid="{543EC482-7B27-4029-AC85-57D4C22AC54F}"/>
    <cellStyle name="Vírgula 3 2 2 4 2 3 2 3 2" xfId="42966" xr:uid="{6A811E3D-2B3B-4D36-AB30-B993D456228F}"/>
    <cellStyle name="Vírgula 3 2 2 4 2 3 2 4" xfId="30375" xr:uid="{957FEB4E-2D81-41F0-B5F3-E0AE48B1B1CD}"/>
    <cellStyle name="Vírgula 3 2 2 4 2 3 3" xfId="7931" xr:uid="{916EC49F-B53B-4DF5-BE1D-5AC5FA83BEF6}"/>
    <cellStyle name="Vírgula 3 2 2 4 2 3 3 2" xfId="20613" xr:uid="{33C18752-40F6-4588-A2A5-8893D23AB1AA}"/>
    <cellStyle name="Vírgula 3 2 2 4 2 3 3 2 2" xfId="46105" xr:uid="{79EB37FF-446C-498E-8335-1C6AFA1C6B34}"/>
    <cellStyle name="Vírgula 3 2 2 4 2 3 3 3" xfId="33514" xr:uid="{70AC9DB2-6A0A-42AB-A5C1-0F4E91A04548}"/>
    <cellStyle name="Vírgula 3 2 2 4 2 3 4" xfId="14335" xr:uid="{E1C5FF69-B5BA-4BEB-8C78-75B912A6B9AD}"/>
    <cellStyle name="Vírgula 3 2 2 4 2 3 4 2" xfId="39827" xr:uid="{492DF491-48B9-4DF4-B144-34DF54BD675A}"/>
    <cellStyle name="Vírgula 3 2 2 4 2 3 5" xfId="27236" xr:uid="{E9AAA5B7-2D0A-4714-8CA9-84EB6DA863B1}"/>
    <cellStyle name="Vírgula 3 2 2 4 2 4" xfId="2930" xr:uid="{554D9172-17EF-4EFD-A791-B31D6197C636}"/>
    <cellStyle name="Vírgula 3 2 2 4 2 4 2" xfId="6084" xr:uid="{222CD217-1FE0-43AC-955D-C58ACE73E872}"/>
    <cellStyle name="Vírgula 3 2 2 4 2 4 2 2" xfId="12377" xr:uid="{33C3B61E-CF54-4E24-82E5-441A165E820E}"/>
    <cellStyle name="Vírgula 3 2 2 4 2 4 2 2 2" xfId="25059" xr:uid="{2C52F280-429D-4E2E-AACC-04A25C1FC2BA}"/>
    <cellStyle name="Vírgula 3 2 2 4 2 4 2 2 2 2" xfId="50551" xr:uid="{6D93537A-8B91-4C9F-BF34-F06679D4B797}"/>
    <cellStyle name="Vírgula 3 2 2 4 2 4 2 2 3" xfId="37960" xr:uid="{84C86A59-FC2A-4E2B-942B-7A9ED21F01E2}"/>
    <cellStyle name="Vírgula 3 2 2 4 2 4 2 3" xfId="18781" xr:uid="{F380AF48-D166-4613-BD6F-6F96F3AFB022}"/>
    <cellStyle name="Vírgula 3 2 2 4 2 4 2 3 2" xfId="44273" xr:uid="{C9F63680-E8A7-4E52-B575-B9D37E81E658}"/>
    <cellStyle name="Vírgula 3 2 2 4 2 4 2 4" xfId="31682" xr:uid="{610982FA-A8F2-4610-AEA6-C5CD3197085E}"/>
    <cellStyle name="Vírgula 3 2 2 4 2 4 3" xfId="9238" xr:uid="{58B214A2-BC46-4F2E-83E3-18680B72E815}"/>
    <cellStyle name="Vírgula 3 2 2 4 2 4 3 2" xfId="21920" xr:uid="{228BE689-4F91-4E53-B58F-7946BE9737C0}"/>
    <cellStyle name="Vírgula 3 2 2 4 2 4 3 2 2" xfId="47412" xr:uid="{7F4AA006-5BE3-41B9-A7B3-452E5CE8A9BC}"/>
    <cellStyle name="Vírgula 3 2 2 4 2 4 3 3" xfId="34821" xr:uid="{11951721-E35D-4EC7-8EDB-33B30914E8B1}"/>
    <cellStyle name="Vírgula 3 2 2 4 2 4 4" xfId="15642" xr:uid="{833AAC19-CB0A-4972-BA31-089D81FD4394}"/>
    <cellStyle name="Vírgula 3 2 2 4 2 4 4 2" xfId="41134" xr:uid="{E2D3AE2F-E891-439C-B600-CB3AF09A2835}"/>
    <cellStyle name="Vírgula 3 2 2 4 2 4 5" xfId="28543" xr:uid="{C9F3A87A-B4DF-4218-AF5A-F016A447978E}"/>
    <cellStyle name="Vírgula 3 2 2 4 2 5" xfId="3453" xr:uid="{FDDBD367-9705-41F8-BF43-35242FC0319D}"/>
    <cellStyle name="Vírgula 3 2 2 4 2 5 2" xfId="6607" xr:uid="{160AAC7C-ACEE-4924-8934-800BD63F08B5}"/>
    <cellStyle name="Vírgula 3 2 2 4 2 5 2 2" xfId="12900" xr:uid="{5389AD7C-EC4A-44ED-A88D-F2CC9C7B6DE6}"/>
    <cellStyle name="Vírgula 3 2 2 4 2 5 2 2 2" xfId="25582" xr:uid="{9C2C4429-1F81-43BC-9215-07BB7E8F37A1}"/>
    <cellStyle name="Vírgula 3 2 2 4 2 5 2 2 2 2" xfId="51074" xr:uid="{97028763-9187-4C35-BF0C-530653378AD2}"/>
    <cellStyle name="Vírgula 3 2 2 4 2 5 2 2 3" xfId="38483" xr:uid="{95F8DA70-BBF6-451E-8732-C04AB3674855}"/>
    <cellStyle name="Vírgula 3 2 2 4 2 5 2 3" xfId="19304" xr:uid="{A4DAFA06-68F4-4381-8B2F-C7DFCEFC9329}"/>
    <cellStyle name="Vírgula 3 2 2 4 2 5 2 3 2" xfId="44796" xr:uid="{33941BAE-684E-410E-8849-4C48654D0432}"/>
    <cellStyle name="Vírgula 3 2 2 4 2 5 2 4" xfId="32205" xr:uid="{B5FC02BC-DA6C-4595-AA73-7C09329A81F1}"/>
    <cellStyle name="Vírgula 3 2 2 4 2 5 3" xfId="9761" xr:uid="{7914D410-A873-4536-B517-CE60D3FAE058}"/>
    <cellStyle name="Vírgula 3 2 2 4 2 5 3 2" xfId="22443" xr:uid="{BC259A6E-70CE-414F-82B7-70C169FBAB2C}"/>
    <cellStyle name="Vírgula 3 2 2 4 2 5 3 2 2" xfId="47935" xr:uid="{3B4A5BE7-1125-4E35-8408-1DCEADF0A3D7}"/>
    <cellStyle name="Vírgula 3 2 2 4 2 5 3 3" xfId="35344" xr:uid="{7DDC464B-EBCA-4469-8C1E-C845A9A52E33}"/>
    <cellStyle name="Vírgula 3 2 2 4 2 5 4" xfId="16165" xr:uid="{9193D32E-7FCD-448C-BD87-9C4D82A89F89}"/>
    <cellStyle name="Vírgula 3 2 2 4 2 5 4 2" xfId="41657" xr:uid="{A62DF2CC-EFAC-4F4C-8633-23536DDA3DE3}"/>
    <cellStyle name="Vírgula 3 2 2 4 2 5 5" xfId="29066" xr:uid="{1CD6177A-3711-44A6-B133-771F974F6FA7}"/>
    <cellStyle name="Vírgula 3 2 2 4 2 6" xfId="4253" xr:uid="{96FCC440-1102-4DA3-941F-978E6883DAB3}"/>
    <cellStyle name="Vírgula 3 2 2 4 2 6 2" xfId="10546" xr:uid="{147CB8E6-69D9-4641-AF56-61449903B722}"/>
    <cellStyle name="Vírgula 3 2 2 4 2 6 2 2" xfId="23228" xr:uid="{B5413B19-8DB5-45DB-A493-F5752CAD5170}"/>
    <cellStyle name="Vírgula 3 2 2 4 2 6 2 2 2" xfId="48720" xr:uid="{9E1A75A0-1947-4D91-BE0E-07DB6107D049}"/>
    <cellStyle name="Vírgula 3 2 2 4 2 6 2 3" xfId="36129" xr:uid="{2DD95CC1-D9FC-434E-9596-E7290023500B}"/>
    <cellStyle name="Vírgula 3 2 2 4 2 6 3" xfId="16950" xr:uid="{6296BB42-158F-4B3A-9097-FDFE34A8C81B}"/>
    <cellStyle name="Vírgula 3 2 2 4 2 6 3 2" xfId="42442" xr:uid="{DA1359BD-6EE5-4D0F-901E-78A2110032DD}"/>
    <cellStyle name="Vírgula 3 2 2 4 2 6 4" xfId="29851" xr:uid="{4D180625-D824-4956-AA3F-A9D55ACA8C87}"/>
    <cellStyle name="Vírgula 3 2 2 4 2 7" xfId="7407" xr:uid="{066BAE47-D42A-485A-A5CA-292CB6A56CA0}"/>
    <cellStyle name="Vírgula 3 2 2 4 2 7 2" xfId="20089" xr:uid="{A6B1E405-A673-4D09-8514-8E1CB53A1126}"/>
    <cellStyle name="Vírgula 3 2 2 4 2 7 2 2" xfId="45581" xr:uid="{2213C00C-5F87-435A-B221-57EC18BC44BC}"/>
    <cellStyle name="Vírgula 3 2 2 4 2 7 3" xfId="32990" xr:uid="{297B7DAA-383F-46D3-985F-37C4CA51C5A0}"/>
    <cellStyle name="Vírgula 3 2 2 4 2 8" xfId="13811" xr:uid="{61070AD1-D153-47AB-9F6A-E1B1D16EB4E8}"/>
    <cellStyle name="Vírgula 3 2 2 4 2 8 2" xfId="39303" xr:uid="{CD7B0E76-1366-4D35-B743-1212B58973E2}"/>
    <cellStyle name="Vírgula 3 2 2 4 2 9" xfId="26712" xr:uid="{A25E53A0-59DB-4D3C-A6CF-3B1CD860F2EC}"/>
    <cellStyle name="Vírgula 3 2 2 4 3" xfId="839" xr:uid="{D1ED2A44-0DF5-4864-ADC4-6C656B0BB831}"/>
    <cellStyle name="Vírgula 3 2 2 4 3 2" xfId="2146" xr:uid="{C5CEB75C-9B5E-41DC-BB17-EF4C031D8918}"/>
    <cellStyle name="Vírgula 3 2 2 4 3 2 2" xfId="5300" xr:uid="{68F4C5B9-6AB4-449D-91D7-B8FDD4477144}"/>
    <cellStyle name="Vírgula 3 2 2 4 3 2 2 2" xfId="11593" xr:uid="{979F8D9C-5EBF-4BFD-AF85-93D3E6103B7D}"/>
    <cellStyle name="Vírgula 3 2 2 4 3 2 2 2 2" xfId="24275" xr:uid="{CEEB25F5-DEFB-42B1-B7CC-67ED06401883}"/>
    <cellStyle name="Vírgula 3 2 2 4 3 2 2 2 2 2" xfId="49767" xr:uid="{584DCFF6-1240-4A15-BB3B-081A0C3A3EB0}"/>
    <cellStyle name="Vírgula 3 2 2 4 3 2 2 2 3" xfId="37176" xr:uid="{8F52CDE8-BA14-40FE-978E-C162FC96A435}"/>
    <cellStyle name="Vírgula 3 2 2 4 3 2 2 3" xfId="17997" xr:uid="{298E46B0-B9D9-4DD9-BB81-7EC87FFD2C58}"/>
    <cellStyle name="Vírgula 3 2 2 4 3 2 2 3 2" xfId="43489" xr:uid="{CD571A09-0FCE-4C78-B956-118652BBB9AC}"/>
    <cellStyle name="Vírgula 3 2 2 4 3 2 2 4" xfId="30898" xr:uid="{DFC5A3FD-998E-49DA-91BE-B24F236BD480}"/>
    <cellStyle name="Vírgula 3 2 2 4 3 2 3" xfId="8454" xr:uid="{57BE52BA-9D85-44DC-8C9A-923D05EA1CFF}"/>
    <cellStyle name="Vírgula 3 2 2 4 3 2 3 2" xfId="21136" xr:uid="{8370D9BA-2703-4427-A17B-8B26EF73AE4D}"/>
    <cellStyle name="Vírgula 3 2 2 4 3 2 3 2 2" xfId="46628" xr:uid="{8231930C-7D6E-454C-8C4F-D735A9D98154}"/>
    <cellStyle name="Vírgula 3 2 2 4 3 2 3 3" xfId="34037" xr:uid="{970B582C-D187-470D-A326-C4FCD2BAB917}"/>
    <cellStyle name="Vírgula 3 2 2 4 3 2 4" xfId="14858" xr:uid="{F8734868-04E7-4647-ABCC-34887B9855AE}"/>
    <cellStyle name="Vírgula 3 2 2 4 3 2 4 2" xfId="40350" xr:uid="{4DE4E5D7-FFBF-4954-999B-67D4F519AD8F}"/>
    <cellStyle name="Vírgula 3 2 2 4 3 2 5" xfId="27759" xr:uid="{4B8CBEC2-E515-4126-9404-1F4DFEDAC614}"/>
    <cellStyle name="Vírgula 3 2 2 4 3 3" xfId="3993" xr:uid="{DE0676BE-9895-48CB-9561-2EB77906648A}"/>
    <cellStyle name="Vírgula 3 2 2 4 3 3 2" xfId="10286" xr:uid="{31644FC1-0609-4E71-B463-EF551EB21085}"/>
    <cellStyle name="Vírgula 3 2 2 4 3 3 2 2" xfId="22968" xr:uid="{2C2D4DA9-0315-4FC7-A126-AA5279318F51}"/>
    <cellStyle name="Vírgula 3 2 2 4 3 3 2 2 2" xfId="48460" xr:uid="{DB7E3E0B-1D23-4A41-9A90-675F61B6CF8F}"/>
    <cellStyle name="Vírgula 3 2 2 4 3 3 2 3" xfId="35869" xr:uid="{F01EC1A4-7A4E-43EE-B7A9-11AB2C2F23A6}"/>
    <cellStyle name="Vírgula 3 2 2 4 3 3 3" xfId="16690" xr:uid="{0F0D7F22-B52F-4B30-85B7-2A0CC4075E43}"/>
    <cellStyle name="Vírgula 3 2 2 4 3 3 3 2" xfId="42182" xr:uid="{188938D0-0C65-4C65-A740-9E13B246E314}"/>
    <cellStyle name="Vírgula 3 2 2 4 3 3 4" xfId="29591" xr:uid="{5E53B558-9426-462D-A3EB-51F319FC23CB}"/>
    <cellStyle name="Vírgula 3 2 2 4 3 4" xfId="7147" xr:uid="{9AB2AE73-CE10-4B92-93D4-F5E7B9B102EF}"/>
    <cellStyle name="Vírgula 3 2 2 4 3 4 2" xfId="19829" xr:uid="{11260E0E-0EB4-4724-8480-C4CDA8141062}"/>
    <cellStyle name="Vírgula 3 2 2 4 3 4 2 2" xfId="45321" xr:uid="{D958F14D-3D57-4067-B5C1-8A02B2E85467}"/>
    <cellStyle name="Vírgula 3 2 2 4 3 4 3" xfId="32730" xr:uid="{11DCE620-5CAD-4521-995A-CAFCEC79F724}"/>
    <cellStyle name="Vírgula 3 2 2 4 3 5" xfId="13551" xr:uid="{2D7F6569-087B-4C39-B7FF-BB728C873329}"/>
    <cellStyle name="Vírgula 3 2 2 4 3 5 2" xfId="39043" xr:uid="{732B646E-CD28-4FDE-B3BB-484FBF4A5627}"/>
    <cellStyle name="Vírgula 3 2 2 4 3 6" xfId="26452" xr:uid="{898678D0-CE7E-430A-A832-D54953383061}"/>
    <cellStyle name="Vírgula 3 2 2 4 4" xfId="1884" xr:uid="{D4717253-BD85-4383-90E5-623131A10E96}"/>
    <cellStyle name="Vírgula 3 2 2 4 4 2" xfId="5038" xr:uid="{305B4544-5DAE-46F1-ABE3-47659AE41CFD}"/>
    <cellStyle name="Vírgula 3 2 2 4 4 2 2" xfId="11331" xr:uid="{66612956-635A-486F-9BAA-D2D5D98ED7F7}"/>
    <cellStyle name="Vírgula 3 2 2 4 4 2 2 2" xfId="24013" xr:uid="{55311BE5-13EB-4BC4-8F52-5109FEC9697E}"/>
    <cellStyle name="Vírgula 3 2 2 4 4 2 2 2 2" xfId="49505" xr:uid="{341EC9D8-4D72-412C-A9FB-24719CC1B68E}"/>
    <cellStyle name="Vírgula 3 2 2 4 4 2 2 3" xfId="36914" xr:uid="{5A966597-EE14-4AE1-A865-9F7C7B10B2DC}"/>
    <cellStyle name="Vírgula 3 2 2 4 4 2 3" xfId="17735" xr:uid="{9B90A324-673B-4AA0-AB31-77B0C35E189E}"/>
    <cellStyle name="Vírgula 3 2 2 4 4 2 3 2" xfId="43227" xr:uid="{E4918893-FA86-4540-BEB6-DB3E2E3C5FDE}"/>
    <cellStyle name="Vírgula 3 2 2 4 4 2 4" xfId="30636" xr:uid="{82C9EE2D-F851-4760-BF4D-26C00CE3AD78}"/>
    <cellStyle name="Vírgula 3 2 2 4 4 3" xfId="8192" xr:uid="{5E88EB78-43F4-49FA-BBC6-ED558C3A1576}"/>
    <cellStyle name="Vírgula 3 2 2 4 4 3 2" xfId="20874" xr:uid="{AF75986B-23F5-41E7-9124-4B2EAE91173B}"/>
    <cellStyle name="Vírgula 3 2 2 4 4 3 2 2" xfId="46366" xr:uid="{1378E35C-8CF0-415E-A70F-DB13321E3E03}"/>
    <cellStyle name="Vírgula 3 2 2 4 4 3 3" xfId="33775" xr:uid="{AA50B4BA-C3A2-4FF8-A0F8-B6E4D7B3B5AF}"/>
    <cellStyle name="Vírgula 3 2 2 4 4 4" xfId="14596" xr:uid="{4C606E8E-77E8-4993-962B-DE9B49275AEE}"/>
    <cellStyle name="Vírgula 3 2 2 4 4 4 2" xfId="40088" xr:uid="{0603D449-0628-4874-9AF5-830FE9FDC4F8}"/>
    <cellStyle name="Vírgula 3 2 2 4 4 5" xfId="27497" xr:uid="{23A496AF-6721-414E-8A57-FEDF40C82591}"/>
    <cellStyle name="Vírgula 3 2 2 4 5" xfId="1362" xr:uid="{CB5ECF20-B837-4F9F-88DB-ED9B20DB7B85}"/>
    <cellStyle name="Vírgula 3 2 2 4 5 2" xfId="4516" xr:uid="{DE3FB239-1335-469C-B544-F0B9359134F3}"/>
    <cellStyle name="Vírgula 3 2 2 4 5 2 2" xfId="10809" xr:uid="{ECF462FA-ECE0-4089-B2BD-6D6628B9CACC}"/>
    <cellStyle name="Vírgula 3 2 2 4 5 2 2 2" xfId="23491" xr:uid="{2DEEA748-ACB7-43C3-88A2-975CA6D98D32}"/>
    <cellStyle name="Vírgula 3 2 2 4 5 2 2 2 2" xfId="48983" xr:uid="{2F4D7F03-4FF9-4ED4-9C51-81AE1C1E7B8F}"/>
    <cellStyle name="Vírgula 3 2 2 4 5 2 2 3" xfId="36392" xr:uid="{0DBD0F63-2CE2-472B-B996-A55C94304759}"/>
    <cellStyle name="Vírgula 3 2 2 4 5 2 3" xfId="17213" xr:uid="{02A8F2FD-70E4-4D28-9315-DD9CC3DBB40A}"/>
    <cellStyle name="Vírgula 3 2 2 4 5 2 3 2" xfId="42705" xr:uid="{B7843C2E-F068-4D6C-A20A-E7A93D318F32}"/>
    <cellStyle name="Vírgula 3 2 2 4 5 2 4" xfId="30114" xr:uid="{5514CFAF-123B-4310-9447-58727C7D7D4A}"/>
    <cellStyle name="Vírgula 3 2 2 4 5 3" xfId="7670" xr:uid="{AF8567A6-1307-4ABC-8C5E-EB5CB4608F06}"/>
    <cellStyle name="Vírgula 3 2 2 4 5 3 2" xfId="20352" xr:uid="{24C6C806-52BB-4026-9081-4044849A3743}"/>
    <cellStyle name="Vírgula 3 2 2 4 5 3 2 2" xfId="45844" xr:uid="{6EFA3285-5C50-4069-96B0-B2D04F1FBD2B}"/>
    <cellStyle name="Vírgula 3 2 2 4 5 3 3" xfId="33253" xr:uid="{5517250A-D962-48DC-8A60-325A26239DF3}"/>
    <cellStyle name="Vírgula 3 2 2 4 5 4" xfId="14074" xr:uid="{F04C2B91-8371-438D-9553-D159877240B0}"/>
    <cellStyle name="Vírgula 3 2 2 4 5 4 2" xfId="39566" xr:uid="{A639E034-498D-48B8-A07D-EBB0ADEDB5DE}"/>
    <cellStyle name="Vírgula 3 2 2 4 5 5" xfId="26975" xr:uid="{486AB141-C505-4403-A71B-483613B25F10}"/>
    <cellStyle name="Vírgula 3 2 2 4 6" xfId="2669" xr:uid="{8FE9D058-3388-443B-8A74-AECE85559F94}"/>
    <cellStyle name="Vírgula 3 2 2 4 6 2" xfId="5823" xr:uid="{4A661268-0390-4E1D-8A0F-1970F2D669DA}"/>
    <cellStyle name="Vírgula 3 2 2 4 6 2 2" xfId="12116" xr:uid="{AB958A7B-2158-4D9F-9AC2-F433849A5660}"/>
    <cellStyle name="Vírgula 3 2 2 4 6 2 2 2" xfId="24798" xr:uid="{612C3701-EF6A-44D0-9ECC-8E635146EDB7}"/>
    <cellStyle name="Vírgula 3 2 2 4 6 2 2 2 2" xfId="50290" xr:uid="{EE8353C6-4B40-4B18-A71D-A27FE7BC3FBD}"/>
    <cellStyle name="Vírgula 3 2 2 4 6 2 2 3" xfId="37699" xr:uid="{0B61F746-DEC4-4059-8F94-25A7338E2B28}"/>
    <cellStyle name="Vírgula 3 2 2 4 6 2 3" xfId="18520" xr:uid="{F7D2E6FE-E969-4BE8-8BD1-A754317519A9}"/>
    <cellStyle name="Vírgula 3 2 2 4 6 2 3 2" xfId="44012" xr:uid="{B1A5F1CA-9B63-4243-A7F7-2E5B4AD1E079}"/>
    <cellStyle name="Vírgula 3 2 2 4 6 2 4" xfId="31421" xr:uid="{7E1AD664-38B0-4CFE-9A69-B85CD41394E6}"/>
    <cellStyle name="Vírgula 3 2 2 4 6 3" xfId="8977" xr:uid="{28B13DB0-DE11-420D-A876-873ABFD7F805}"/>
    <cellStyle name="Vírgula 3 2 2 4 6 3 2" xfId="21659" xr:uid="{035CF9A7-6DC7-4E2D-AB25-A3530FA0540E}"/>
    <cellStyle name="Vírgula 3 2 2 4 6 3 2 2" xfId="47151" xr:uid="{13ABA440-FEC4-4020-A37B-02D0006D105B}"/>
    <cellStyle name="Vírgula 3 2 2 4 6 3 3" xfId="34560" xr:uid="{EB1A356B-81DD-4D71-9C50-C11F6F45483E}"/>
    <cellStyle name="Vírgula 3 2 2 4 6 4" xfId="15381" xr:uid="{59C18784-47A4-4A0A-B8C9-297F8E86C1EA}"/>
    <cellStyle name="Vírgula 3 2 2 4 6 4 2" xfId="40873" xr:uid="{3C40CE3E-65BC-4F2D-9890-CC46FD586F39}"/>
    <cellStyle name="Vírgula 3 2 2 4 6 5" xfId="28282" xr:uid="{9549CDE6-CAA7-4301-89CD-CFA4669F5C72}"/>
    <cellStyle name="Vírgula 3 2 2 4 7" xfId="3192" xr:uid="{9BD4FABC-AB82-4627-8B4E-78EFDA3DC47D}"/>
    <cellStyle name="Vírgula 3 2 2 4 7 2" xfId="6346" xr:uid="{B8775638-B01A-463F-BD1E-F67B0BC8E82A}"/>
    <cellStyle name="Vírgula 3 2 2 4 7 2 2" xfId="12639" xr:uid="{B14F89D8-3C04-4A83-B659-169F8017A7B3}"/>
    <cellStyle name="Vírgula 3 2 2 4 7 2 2 2" xfId="25321" xr:uid="{7DA92C13-C96F-41AE-92CF-2DD7FF61F3C5}"/>
    <cellStyle name="Vírgula 3 2 2 4 7 2 2 2 2" xfId="50813" xr:uid="{70355A81-CAFA-4314-82F2-510884BAC29D}"/>
    <cellStyle name="Vírgula 3 2 2 4 7 2 2 3" xfId="38222" xr:uid="{3FF08E44-509F-4395-86D9-1B258561ABAB}"/>
    <cellStyle name="Vírgula 3 2 2 4 7 2 3" xfId="19043" xr:uid="{234617D5-9766-4CEB-BEFF-D5662BE1C1F4}"/>
    <cellStyle name="Vírgula 3 2 2 4 7 2 3 2" xfId="44535" xr:uid="{7B6879E8-8076-43AE-BC59-6A2A55B6A734}"/>
    <cellStyle name="Vírgula 3 2 2 4 7 2 4" xfId="31944" xr:uid="{B72A2583-E085-416E-99BB-56FFD7F58D68}"/>
    <cellStyle name="Vírgula 3 2 2 4 7 3" xfId="9500" xr:uid="{6E21FA52-459A-43A0-AD61-1F9F2257CF48}"/>
    <cellStyle name="Vírgula 3 2 2 4 7 3 2" xfId="22182" xr:uid="{3CE51BCA-74A2-45FF-8B1B-CE719B81E63E}"/>
    <cellStyle name="Vírgula 3 2 2 4 7 3 2 2" xfId="47674" xr:uid="{5F20A431-EBDD-4575-8643-0516D73BF36D}"/>
    <cellStyle name="Vírgula 3 2 2 4 7 3 3" xfId="35083" xr:uid="{A0D44B9F-207E-42F3-B422-8B0C1A6664E5}"/>
    <cellStyle name="Vírgula 3 2 2 4 7 4" xfId="15904" xr:uid="{09349FBB-A042-42B8-B90E-DEEF958D9B92}"/>
    <cellStyle name="Vírgula 3 2 2 4 7 4 2" xfId="41396" xr:uid="{CAF6E738-1F88-4D14-960B-BB8D2D8E0B90}"/>
    <cellStyle name="Vírgula 3 2 2 4 7 5" xfId="28805" xr:uid="{233A000B-312E-4907-81BB-AB9C7B99CEDA}"/>
    <cellStyle name="Vírgula 3 2 2 4 8" xfId="3731" xr:uid="{C49566DF-0F9A-4F11-851C-26A593C905BB}"/>
    <cellStyle name="Vírgula 3 2 2 4 8 2" xfId="10024" xr:uid="{250179D5-4555-4E29-A077-AC1F8E2A4C47}"/>
    <cellStyle name="Vírgula 3 2 2 4 8 2 2" xfId="22706" xr:uid="{B306CD40-F07D-4334-8E35-B531B0A554EF}"/>
    <cellStyle name="Vírgula 3 2 2 4 8 2 2 2" xfId="48198" xr:uid="{C3287AD2-1301-4807-84F6-688D560E4CC3}"/>
    <cellStyle name="Vírgula 3 2 2 4 8 2 3" xfId="35607" xr:uid="{5A763ECF-86A9-48F7-97BB-F56768555415}"/>
    <cellStyle name="Vírgula 3 2 2 4 8 3" xfId="16428" xr:uid="{C20BB5FD-7D69-40AA-8D40-98526DFA803C}"/>
    <cellStyle name="Vírgula 3 2 2 4 8 3 2" xfId="41920" xr:uid="{D4DF88F6-AC76-4DD5-A809-89051150DF1F}"/>
    <cellStyle name="Vírgula 3 2 2 4 8 4" xfId="29329" xr:uid="{2151DB6E-4623-400C-AD62-8A8ACCBDC727}"/>
    <cellStyle name="Vírgula 3 2 2 4 9" xfId="6885" xr:uid="{7D4961B3-C445-41C5-99F3-6A11A3ECD0C8}"/>
    <cellStyle name="Vírgula 3 2 2 4 9 2" xfId="19567" xr:uid="{CE8860D1-F5B7-43A9-8702-2DB6CE486177}"/>
    <cellStyle name="Vírgula 3 2 2 4 9 2 2" xfId="45059" xr:uid="{30B0AD47-59C2-42D2-87E9-198DE6B74671}"/>
    <cellStyle name="Vírgula 3 2 2 4 9 3" xfId="32468" xr:uid="{86883D5A-7230-44CF-A7B4-BCB4DBB29A2D}"/>
    <cellStyle name="Vírgula 3 2 2 5" xfId="979" xr:uid="{AA6EED2A-46CF-465E-B4D1-F68148703FCF}"/>
    <cellStyle name="Vírgula 3 2 2 5 2" xfId="2286" xr:uid="{541015E4-4573-42EC-BA4E-74DAC339D011}"/>
    <cellStyle name="Vírgula 3 2 2 5 2 2" xfId="5440" xr:uid="{4FB96EC8-562C-46A1-8458-5EDA1527295A}"/>
    <cellStyle name="Vírgula 3 2 2 5 2 2 2" xfId="11733" xr:uid="{2CBA9840-2470-4828-8D26-1804D0B286DB}"/>
    <cellStyle name="Vírgula 3 2 2 5 2 2 2 2" xfId="24415" xr:uid="{223304DE-1C64-41D5-8FFA-82C05A639454}"/>
    <cellStyle name="Vírgula 3 2 2 5 2 2 2 2 2" xfId="49907" xr:uid="{1E7563B4-CE6F-4078-8C53-031A19CDCCC8}"/>
    <cellStyle name="Vírgula 3 2 2 5 2 2 2 3" xfId="37316" xr:uid="{73666A31-D453-4BED-9D74-5786B71F4C3F}"/>
    <cellStyle name="Vírgula 3 2 2 5 2 2 3" xfId="18137" xr:uid="{B5ED618C-5B8A-4C0E-9A30-E54499349B6F}"/>
    <cellStyle name="Vírgula 3 2 2 5 2 2 3 2" xfId="43629" xr:uid="{1D830C58-C121-4690-90E9-B83340BB0EBF}"/>
    <cellStyle name="Vírgula 3 2 2 5 2 2 4" xfId="31038" xr:uid="{26BA3352-8B46-4D9C-AB83-EF23937B88A5}"/>
    <cellStyle name="Vírgula 3 2 2 5 2 3" xfId="8594" xr:uid="{21355B5D-D1EA-4E05-8D7E-BA54FC8563AD}"/>
    <cellStyle name="Vírgula 3 2 2 5 2 3 2" xfId="21276" xr:uid="{211028C6-A9EE-480D-A23F-991EF4E10A62}"/>
    <cellStyle name="Vírgula 3 2 2 5 2 3 2 2" xfId="46768" xr:uid="{DE4F8D2A-221C-4BBB-82B2-4A71EE27205C}"/>
    <cellStyle name="Vírgula 3 2 2 5 2 3 3" xfId="34177" xr:uid="{2930D145-EDFF-4760-BEEF-03ED23D13A66}"/>
    <cellStyle name="Vírgula 3 2 2 5 2 4" xfId="14998" xr:uid="{1B33063C-FFB5-4FA3-8DA6-07913B7422EF}"/>
    <cellStyle name="Vírgula 3 2 2 5 2 4 2" xfId="40490" xr:uid="{00D530A0-5AC0-42B2-95A5-36CEA565F381}"/>
    <cellStyle name="Vírgula 3 2 2 5 2 5" xfId="27899" xr:uid="{BC253F05-35A5-4A75-A109-C79FDDB6FB2D}"/>
    <cellStyle name="Vírgula 3 2 2 5 3" xfId="1503" xr:uid="{F19EE845-D447-4C9C-B188-05FE777229AC}"/>
    <cellStyle name="Vírgula 3 2 2 5 3 2" xfId="4657" xr:uid="{4F670FAB-B4D5-4962-B031-ACBDFCFE5BBF}"/>
    <cellStyle name="Vírgula 3 2 2 5 3 2 2" xfId="10950" xr:uid="{99D12ADF-AB45-4B99-88C9-13B87645ECE2}"/>
    <cellStyle name="Vírgula 3 2 2 5 3 2 2 2" xfId="23632" xr:uid="{C4FEC7A1-5C4D-4206-9172-4B017D57EDE1}"/>
    <cellStyle name="Vírgula 3 2 2 5 3 2 2 2 2" xfId="49124" xr:uid="{C341F106-E34B-40FB-8094-E3C0DB3F187D}"/>
    <cellStyle name="Vírgula 3 2 2 5 3 2 2 3" xfId="36533" xr:uid="{D34D2B2F-40AA-40FD-89E1-F157002F39E7}"/>
    <cellStyle name="Vírgula 3 2 2 5 3 2 3" xfId="17354" xr:uid="{6190AF2B-CFA2-4B30-BF45-D41229DC86AF}"/>
    <cellStyle name="Vírgula 3 2 2 5 3 2 3 2" xfId="42846" xr:uid="{28131D6F-5C9C-4C70-A2C9-E5ED42CB6B2B}"/>
    <cellStyle name="Vírgula 3 2 2 5 3 2 4" xfId="30255" xr:uid="{329AB1E4-EC7C-4B2E-89EB-864920353289}"/>
    <cellStyle name="Vírgula 3 2 2 5 3 3" xfId="7811" xr:uid="{6DE2F330-4D5F-4197-838F-DD03D43B188F}"/>
    <cellStyle name="Vírgula 3 2 2 5 3 3 2" xfId="20493" xr:uid="{D81484EB-78ED-4896-9A54-6FE99C6752E6}"/>
    <cellStyle name="Vírgula 3 2 2 5 3 3 2 2" xfId="45985" xr:uid="{9D51589C-E475-43C0-B3FC-0AAC95B85096}"/>
    <cellStyle name="Vírgula 3 2 2 5 3 3 3" xfId="33394" xr:uid="{EE52818B-AB2F-4F2A-9A3A-C9862758CBBB}"/>
    <cellStyle name="Vírgula 3 2 2 5 3 4" xfId="14215" xr:uid="{42FE48FB-53F0-473F-A819-1BE7BEF0D7F4}"/>
    <cellStyle name="Vírgula 3 2 2 5 3 4 2" xfId="39707" xr:uid="{9348740E-10B8-4152-A2CE-6A3719B83052}"/>
    <cellStyle name="Vírgula 3 2 2 5 3 5" xfId="27116" xr:uid="{19C8FB8C-6D9A-4B8E-B399-DD330DCF4D1F}"/>
    <cellStyle name="Vírgula 3 2 2 5 4" xfId="2810" xr:uid="{52899B7B-E207-4DDF-B686-200FF3E2633F}"/>
    <cellStyle name="Vírgula 3 2 2 5 4 2" xfId="5964" xr:uid="{A19AA477-DB03-4E0E-AFF9-E4A3BA30724D}"/>
    <cellStyle name="Vírgula 3 2 2 5 4 2 2" xfId="12257" xr:uid="{736F1D25-20E1-4BF2-8889-5F7992524769}"/>
    <cellStyle name="Vírgula 3 2 2 5 4 2 2 2" xfId="24939" xr:uid="{6FCEDF0E-9A69-4D40-919E-B8E689214D28}"/>
    <cellStyle name="Vírgula 3 2 2 5 4 2 2 2 2" xfId="50431" xr:uid="{F8252353-0D43-41E6-BFEE-8ECB0A0ECF0E}"/>
    <cellStyle name="Vírgula 3 2 2 5 4 2 2 3" xfId="37840" xr:uid="{827E99FD-C434-45D0-9E21-D87D59C9049F}"/>
    <cellStyle name="Vírgula 3 2 2 5 4 2 3" xfId="18661" xr:uid="{4D853846-B949-48F1-A0F3-CCF0727E8357}"/>
    <cellStyle name="Vírgula 3 2 2 5 4 2 3 2" xfId="44153" xr:uid="{A555BA26-5111-43A3-88EB-D57FABE0874E}"/>
    <cellStyle name="Vírgula 3 2 2 5 4 2 4" xfId="31562" xr:uid="{C5A97A6E-E7E9-49C5-9DF1-174757FC70FD}"/>
    <cellStyle name="Vírgula 3 2 2 5 4 3" xfId="9118" xr:uid="{EEE28543-ABDA-4EB8-A410-973F5083F1B1}"/>
    <cellStyle name="Vírgula 3 2 2 5 4 3 2" xfId="21800" xr:uid="{90923629-27CF-40BB-A3AB-99DF2A5D0F2E}"/>
    <cellStyle name="Vírgula 3 2 2 5 4 3 2 2" xfId="47292" xr:uid="{5A266578-F384-4E61-8F00-71230042685E}"/>
    <cellStyle name="Vírgula 3 2 2 5 4 3 3" xfId="34701" xr:uid="{7E0499A5-99EF-4D79-82DC-5956B571860B}"/>
    <cellStyle name="Vírgula 3 2 2 5 4 4" xfId="15522" xr:uid="{C3627375-220C-4829-8457-AC5B7B6608F7}"/>
    <cellStyle name="Vírgula 3 2 2 5 4 4 2" xfId="41014" xr:uid="{6DDC090A-CF44-44CA-AF54-22B469EA5F6F}"/>
    <cellStyle name="Vírgula 3 2 2 5 4 5" xfId="28423" xr:uid="{E669E751-8241-43EB-96AD-A2FF6FA149A8}"/>
    <cellStyle name="Vírgula 3 2 2 5 5" xfId="3333" xr:uid="{C0354724-13A9-4873-A3DA-5692E912255F}"/>
    <cellStyle name="Vírgula 3 2 2 5 5 2" xfId="6487" xr:uid="{5FC6A423-69A6-474E-B8C6-6DA2FF5E3F1B}"/>
    <cellStyle name="Vírgula 3 2 2 5 5 2 2" xfId="12780" xr:uid="{232A1F9A-51C1-471D-BB22-DA2EF23E5DC0}"/>
    <cellStyle name="Vírgula 3 2 2 5 5 2 2 2" xfId="25462" xr:uid="{A20B94B6-47AB-49D6-BDD2-F7ABACFBEE69}"/>
    <cellStyle name="Vírgula 3 2 2 5 5 2 2 2 2" xfId="50954" xr:uid="{3F1E5A26-CBC6-485B-B5FC-255FF626F361}"/>
    <cellStyle name="Vírgula 3 2 2 5 5 2 2 3" xfId="38363" xr:uid="{CA4168CB-A8D3-43DE-BCF5-647ACEF2203D}"/>
    <cellStyle name="Vírgula 3 2 2 5 5 2 3" xfId="19184" xr:uid="{43758AF4-E6B3-4748-A0F5-D235806327B1}"/>
    <cellStyle name="Vírgula 3 2 2 5 5 2 3 2" xfId="44676" xr:uid="{228AC599-B77F-4260-915A-316441A6D185}"/>
    <cellStyle name="Vírgula 3 2 2 5 5 2 4" xfId="32085" xr:uid="{09BB237F-A8AB-43CE-8A4D-9559941112C1}"/>
    <cellStyle name="Vírgula 3 2 2 5 5 3" xfId="9641" xr:uid="{B372F162-5568-4238-8C58-99AF018E455B}"/>
    <cellStyle name="Vírgula 3 2 2 5 5 3 2" xfId="22323" xr:uid="{EBD3A7F4-D996-4BBE-87E7-85AD844BB372}"/>
    <cellStyle name="Vírgula 3 2 2 5 5 3 2 2" xfId="47815" xr:uid="{A58680C6-3BA5-47C0-AF1D-FFCEA5316182}"/>
    <cellStyle name="Vírgula 3 2 2 5 5 3 3" xfId="35224" xr:uid="{64274709-25F9-4F78-89CC-1A4269B8A90D}"/>
    <cellStyle name="Vírgula 3 2 2 5 5 4" xfId="16045" xr:uid="{CF7AD2F5-F7D5-4A99-9755-92FFA73F619A}"/>
    <cellStyle name="Vírgula 3 2 2 5 5 4 2" xfId="41537" xr:uid="{005FE017-D71A-4264-B268-83D6E5F4A245}"/>
    <cellStyle name="Vírgula 3 2 2 5 5 5" xfId="28946" xr:uid="{C75D25D8-D99C-48CD-93B5-713667A0BF24}"/>
    <cellStyle name="Vírgula 3 2 2 5 6" xfId="4133" xr:uid="{D3C4FFDA-51AA-4C2B-9B48-2287C2E59DE9}"/>
    <cellStyle name="Vírgula 3 2 2 5 6 2" xfId="10426" xr:uid="{B50F563C-1697-4F7F-9ED2-AA6AA96D16B3}"/>
    <cellStyle name="Vírgula 3 2 2 5 6 2 2" xfId="23108" xr:uid="{D309C5CB-4B68-4E1A-A89A-30700FA8E347}"/>
    <cellStyle name="Vírgula 3 2 2 5 6 2 2 2" xfId="48600" xr:uid="{F4D2D04C-040C-46C7-BD43-2CCF301CE8B3}"/>
    <cellStyle name="Vírgula 3 2 2 5 6 2 3" xfId="36009" xr:uid="{B66E5317-06CF-45E0-8A5F-D75E4D3116BE}"/>
    <cellStyle name="Vírgula 3 2 2 5 6 3" xfId="16830" xr:uid="{02122CA0-7533-4B1A-B21D-C3840BC7F0CC}"/>
    <cellStyle name="Vírgula 3 2 2 5 6 3 2" xfId="42322" xr:uid="{CA3B296C-F06F-4FFE-A99F-F5C7D19465FA}"/>
    <cellStyle name="Vírgula 3 2 2 5 6 4" xfId="29731" xr:uid="{A0C3C470-7BE8-414F-9F28-7B2CA9998BAE}"/>
    <cellStyle name="Vírgula 3 2 2 5 7" xfId="7287" xr:uid="{D47924F3-1FFC-44E1-9B95-3ABEAF61BDE6}"/>
    <cellStyle name="Vírgula 3 2 2 5 7 2" xfId="19969" xr:uid="{83A12E43-122B-4767-9AE8-F6700BE57CCA}"/>
    <cellStyle name="Vírgula 3 2 2 5 7 2 2" xfId="45461" xr:uid="{16A9C7F8-B8DA-4620-8529-B1765BEC533F}"/>
    <cellStyle name="Vírgula 3 2 2 5 7 3" xfId="32870" xr:uid="{BDEBAADD-637D-4298-830A-94D4B7C23333}"/>
    <cellStyle name="Vírgula 3 2 2 5 8" xfId="13691" xr:uid="{B9F86229-28B4-4224-844F-CC330674ADAA}"/>
    <cellStyle name="Vírgula 3 2 2 5 8 2" xfId="39183" xr:uid="{CFA05DB2-6552-4411-9B45-1EB8DA88A7F7}"/>
    <cellStyle name="Vírgula 3 2 2 5 9" xfId="26592" xr:uid="{8B96A1FD-F7AF-477B-B56D-2C731E48285A}"/>
    <cellStyle name="Vírgula 3 2 2 6" xfId="719" xr:uid="{7EFB3158-A0FE-4BB8-8066-F001CC1D69A8}"/>
    <cellStyle name="Vírgula 3 2 2 6 2" xfId="2026" xr:uid="{FDAEEA7E-804F-4590-A48A-DF65D7123FC7}"/>
    <cellStyle name="Vírgula 3 2 2 6 2 2" xfId="5180" xr:uid="{CD57F577-D7FC-4A8D-95CD-3FFF9FE31B7C}"/>
    <cellStyle name="Vírgula 3 2 2 6 2 2 2" xfId="11473" xr:uid="{0B77F3EC-EB32-44CE-979C-0B153CB15F03}"/>
    <cellStyle name="Vírgula 3 2 2 6 2 2 2 2" xfId="24155" xr:uid="{BC60C0AA-72D6-4DDB-99BB-102193DDC18B}"/>
    <cellStyle name="Vírgula 3 2 2 6 2 2 2 2 2" xfId="49647" xr:uid="{62027013-F575-4906-BADC-DB5075BAC6C0}"/>
    <cellStyle name="Vírgula 3 2 2 6 2 2 2 3" xfId="37056" xr:uid="{68143236-6ACB-4776-A7FA-B33F06C60CE8}"/>
    <cellStyle name="Vírgula 3 2 2 6 2 2 3" xfId="17877" xr:uid="{97209E12-69FD-4AD4-839B-7512538CF29B}"/>
    <cellStyle name="Vírgula 3 2 2 6 2 2 3 2" xfId="43369" xr:uid="{FF0DDE2B-132E-49ED-AFF4-6EE46656A1A2}"/>
    <cellStyle name="Vírgula 3 2 2 6 2 2 4" xfId="30778" xr:uid="{DDD8343B-77F5-49B8-ABF7-52843DB51DCE}"/>
    <cellStyle name="Vírgula 3 2 2 6 2 3" xfId="8334" xr:uid="{EA584A08-A55A-4BED-95ED-66FE0ECABF55}"/>
    <cellStyle name="Vírgula 3 2 2 6 2 3 2" xfId="21016" xr:uid="{C87E4DE3-51EC-4437-A74F-123AC286EFEC}"/>
    <cellStyle name="Vírgula 3 2 2 6 2 3 2 2" xfId="46508" xr:uid="{4B18190A-4411-44E3-BE01-372B96CFAF0C}"/>
    <cellStyle name="Vírgula 3 2 2 6 2 3 3" xfId="33917" xr:uid="{A98289DA-2D6C-43DB-A003-E778E6FA9051}"/>
    <cellStyle name="Vírgula 3 2 2 6 2 4" xfId="14738" xr:uid="{678B5C2E-F89C-4AF5-8902-6F709C2A7450}"/>
    <cellStyle name="Vírgula 3 2 2 6 2 4 2" xfId="40230" xr:uid="{29E0D63D-EBC6-4BFC-B583-586A88A7860F}"/>
    <cellStyle name="Vírgula 3 2 2 6 2 5" xfId="27639" xr:uid="{04C3AAD3-6CB4-425E-9711-61F39BB538EC}"/>
    <cellStyle name="Vírgula 3 2 2 6 3" xfId="3873" xr:uid="{8B387FF6-C995-4A9C-9A3C-D456E19B3AB7}"/>
    <cellStyle name="Vírgula 3 2 2 6 3 2" xfId="10166" xr:uid="{20C72BBD-5CF7-4AD9-920E-AC960BAF7DA3}"/>
    <cellStyle name="Vírgula 3 2 2 6 3 2 2" xfId="22848" xr:uid="{B0E5E637-518C-4D23-99E3-95F2D8EC0B20}"/>
    <cellStyle name="Vírgula 3 2 2 6 3 2 2 2" xfId="48340" xr:uid="{8DCE14C9-3D0E-485A-AB6C-DDDDF3B6A030}"/>
    <cellStyle name="Vírgula 3 2 2 6 3 2 3" xfId="35749" xr:uid="{A2782B35-60A3-4A41-996A-38C6E120424D}"/>
    <cellStyle name="Vírgula 3 2 2 6 3 3" xfId="16570" xr:uid="{F02C1DB6-39CA-428F-AB20-0F627D6D1241}"/>
    <cellStyle name="Vírgula 3 2 2 6 3 3 2" xfId="42062" xr:uid="{46BB9DBE-D4DC-4E31-BBB2-6944FB40D0FD}"/>
    <cellStyle name="Vírgula 3 2 2 6 3 4" xfId="29471" xr:uid="{8B3EC90D-96E5-4D97-8AA1-18C8D2AA38AA}"/>
    <cellStyle name="Vírgula 3 2 2 6 4" xfId="7027" xr:uid="{68C6483E-B01D-4A8C-A1E6-C3D63E7F568B}"/>
    <cellStyle name="Vírgula 3 2 2 6 4 2" xfId="19709" xr:uid="{F9CEDE9B-75E2-419B-8465-EFE6E34FBB88}"/>
    <cellStyle name="Vírgula 3 2 2 6 4 2 2" xfId="45201" xr:uid="{A1DAEB79-FE1A-4E7A-A45D-180EC39463E5}"/>
    <cellStyle name="Vírgula 3 2 2 6 4 3" xfId="32610" xr:uid="{D4DD90B0-2D92-4AAB-958E-8D72363848C1}"/>
    <cellStyle name="Vírgula 3 2 2 6 5" xfId="13431" xr:uid="{82FD8F7E-D426-48B4-8E0A-8FB46B78C3A5}"/>
    <cellStyle name="Vírgula 3 2 2 6 5 2" xfId="38923" xr:uid="{D1A5A82D-37CD-4DC1-BBFF-963A3AE56960}"/>
    <cellStyle name="Vírgula 3 2 2 6 6" xfId="26332" xr:uid="{54BB7199-4EB0-475C-ACBC-7D840244B265}"/>
    <cellStyle name="Vírgula 3 2 2 7" xfId="1764" xr:uid="{75A52515-E686-4E92-B28E-FD5BC1F6FC21}"/>
    <cellStyle name="Vírgula 3 2 2 7 2" xfId="4918" xr:uid="{64E5473E-89B4-4099-BF49-D390BD5CB19B}"/>
    <cellStyle name="Vírgula 3 2 2 7 2 2" xfId="11211" xr:uid="{72C74581-B325-4E60-BA66-4EBD671EEDEA}"/>
    <cellStyle name="Vírgula 3 2 2 7 2 2 2" xfId="23893" xr:uid="{25D4ADB6-8D01-4AC6-B1ED-94F66217B684}"/>
    <cellStyle name="Vírgula 3 2 2 7 2 2 2 2" xfId="49385" xr:uid="{6B63F064-BD58-4A6D-95DE-F40A1F547B16}"/>
    <cellStyle name="Vírgula 3 2 2 7 2 2 3" xfId="36794" xr:uid="{0B47E996-FBE7-4F4B-9AAC-EAB5ADC2F548}"/>
    <cellStyle name="Vírgula 3 2 2 7 2 3" xfId="17615" xr:uid="{7170EE19-AE40-4360-9D5B-931538043151}"/>
    <cellStyle name="Vírgula 3 2 2 7 2 3 2" xfId="43107" xr:uid="{1C2EBDF2-7211-4E4C-A9C1-E53A9E51FC73}"/>
    <cellStyle name="Vírgula 3 2 2 7 2 4" xfId="30516" xr:uid="{0F30E6B9-2A80-44B4-8B2C-20B9166F42BF}"/>
    <cellStyle name="Vírgula 3 2 2 7 3" xfId="8072" xr:uid="{9DBE57C1-B0BC-4A22-BA99-337A12555D0C}"/>
    <cellStyle name="Vírgula 3 2 2 7 3 2" xfId="20754" xr:uid="{459828F0-B70C-402A-A110-130E7036BD22}"/>
    <cellStyle name="Vírgula 3 2 2 7 3 2 2" xfId="46246" xr:uid="{BD43BA7D-82C5-4A51-B4D9-F64CFCD87258}"/>
    <cellStyle name="Vírgula 3 2 2 7 3 3" xfId="33655" xr:uid="{34F9797C-3D60-45AD-B3FB-7F02D9A181D7}"/>
    <cellStyle name="Vírgula 3 2 2 7 4" xfId="14476" xr:uid="{D631000D-18E7-46A0-912B-232188476C55}"/>
    <cellStyle name="Vírgula 3 2 2 7 4 2" xfId="39968" xr:uid="{BAC27FD6-EC16-4A59-9B8D-C53F31DCCEB2}"/>
    <cellStyle name="Vírgula 3 2 2 7 5" xfId="27377" xr:uid="{0F8A24C7-14BA-4172-9DD2-CEC9A152DC70}"/>
    <cellStyle name="Vírgula 3 2 2 8" xfId="1242" xr:uid="{1E94C8E6-5BFA-47F4-867B-4D297567AA49}"/>
    <cellStyle name="Vírgula 3 2 2 8 2" xfId="4396" xr:uid="{0141C10D-CB7B-4FC5-A4E5-DBAEEEB72370}"/>
    <cellStyle name="Vírgula 3 2 2 8 2 2" xfId="10689" xr:uid="{6EADF528-8A52-4E51-A194-4C20DB7B06E1}"/>
    <cellStyle name="Vírgula 3 2 2 8 2 2 2" xfId="23371" xr:uid="{023C68AC-F585-4496-9309-4FB47D715724}"/>
    <cellStyle name="Vírgula 3 2 2 8 2 2 2 2" xfId="48863" xr:uid="{9F1556EF-8B57-4E53-B105-FA3EBD69B5A0}"/>
    <cellStyle name="Vírgula 3 2 2 8 2 2 3" xfId="36272" xr:uid="{74A3D7B9-5A5D-4DF7-BFC0-8FF97EFAF5E4}"/>
    <cellStyle name="Vírgula 3 2 2 8 2 3" xfId="17093" xr:uid="{844457CB-5236-4B49-9885-4302DB93DB7F}"/>
    <cellStyle name="Vírgula 3 2 2 8 2 3 2" xfId="42585" xr:uid="{A0973B49-5099-4823-BB8E-EA6EEA2081DD}"/>
    <cellStyle name="Vírgula 3 2 2 8 2 4" xfId="29994" xr:uid="{7169A565-442F-4F4D-AC7E-5594C796DCA9}"/>
    <cellStyle name="Vírgula 3 2 2 8 3" xfId="7550" xr:uid="{9BFBB124-B5D0-41AC-A5A3-17AFF0B488AD}"/>
    <cellStyle name="Vírgula 3 2 2 8 3 2" xfId="20232" xr:uid="{157F30CA-558A-4DE0-8CCB-770208909295}"/>
    <cellStyle name="Vírgula 3 2 2 8 3 2 2" xfId="45724" xr:uid="{4CD35499-B08E-4B85-9745-6D0A31E7F5CE}"/>
    <cellStyle name="Vírgula 3 2 2 8 3 3" xfId="33133" xr:uid="{3AD277D0-E80E-4F96-B429-718601FBCA14}"/>
    <cellStyle name="Vírgula 3 2 2 8 4" xfId="13954" xr:uid="{5C29C036-65DE-4520-95C4-711B106CB0AF}"/>
    <cellStyle name="Vírgula 3 2 2 8 4 2" xfId="39446" xr:uid="{0047041A-65F6-4ACC-B866-675631BFC6C4}"/>
    <cellStyle name="Vírgula 3 2 2 8 5" xfId="26855" xr:uid="{839DC7C7-C426-46D4-AE78-53F0B00A50F0}"/>
    <cellStyle name="Vírgula 3 2 2 9" xfId="2549" xr:uid="{2E40BD0F-7CF6-4233-966B-4394C78CAE90}"/>
    <cellStyle name="Vírgula 3 2 2 9 2" xfId="5703" xr:uid="{2A7428EE-9CD5-4712-8AFE-FF075CD3ECCD}"/>
    <cellStyle name="Vírgula 3 2 2 9 2 2" xfId="11996" xr:uid="{B89FC87B-02F4-4185-A7C4-43F0815DF2DE}"/>
    <cellStyle name="Vírgula 3 2 2 9 2 2 2" xfId="24678" xr:uid="{49955755-1366-4497-9C0E-652EF4F6761C}"/>
    <cellStyle name="Vírgula 3 2 2 9 2 2 2 2" xfId="50170" xr:uid="{5904884F-F93C-49DC-B79B-90B8BE6F4BD9}"/>
    <cellStyle name="Vírgula 3 2 2 9 2 2 3" xfId="37579" xr:uid="{BDCCD084-0ABD-40BD-9049-D0F7D64E8200}"/>
    <cellStyle name="Vírgula 3 2 2 9 2 3" xfId="18400" xr:uid="{642581D7-D239-4A1E-9371-F07121335E10}"/>
    <cellStyle name="Vírgula 3 2 2 9 2 3 2" xfId="43892" xr:uid="{904F856F-EFF4-42B6-8285-27F43FCACD6B}"/>
    <cellStyle name="Vírgula 3 2 2 9 2 4" xfId="31301" xr:uid="{E9F37FFF-49B9-47E4-A05D-50159876E546}"/>
    <cellStyle name="Vírgula 3 2 2 9 3" xfId="8857" xr:uid="{82DEFC30-F428-4B4E-828E-2B642F69C506}"/>
    <cellStyle name="Vírgula 3 2 2 9 3 2" xfId="21539" xr:uid="{60609483-77DF-470D-B0D3-9D4D4C253F25}"/>
    <cellStyle name="Vírgula 3 2 2 9 3 2 2" xfId="47031" xr:uid="{CA0BBC2D-5883-4231-B5CB-44B3DD52CEDC}"/>
    <cellStyle name="Vírgula 3 2 2 9 3 3" xfId="34440" xr:uid="{43755D48-CC84-45B7-96BA-834E3AEF21E7}"/>
    <cellStyle name="Vírgula 3 2 2 9 4" xfId="15261" xr:uid="{756A0385-BCA7-4577-8566-2A3292C239B9}"/>
    <cellStyle name="Vírgula 3 2 2 9 4 2" xfId="40753" xr:uid="{0AE447CB-42D3-4F6E-8A0A-67B2F656A9CC}"/>
    <cellStyle name="Vírgula 3 2 2 9 5" xfId="28162" xr:uid="{CE8EDA41-8F55-4447-9055-3BAA7461AC40}"/>
    <cellStyle name="Vírgula 3 2 3" xfId="483" xr:uid="{5E7386F8-DDDB-4362-9049-284B884D3096}"/>
    <cellStyle name="Vírgula 3 2 3 10" xfId="3652" xr:uid="{5A842E5D-E8EA-4AF0-8F22-EAAE1EAE7115}"/>
    <cellStyle name="Vírgula 3 2 3 10 2" xfId="9945" xr:uid="{78E08BB1-5B5C-4B99-87D3-074D6CD0B737}"/>
    <cellStyle name="Vírgula 3 2 3 10 2 2" xfId="22627" xr:uid="{D23CD35D-C539-40D4-9D7D-06F4D9200934}"/>
    <cellStyle name="Vírgula 3 2 3 10 2 2 2" xfId="48119" xr:uid="{1C93598C-797A-4588-9213-A1BE79030373}"/>
    <cellStyle name="Vírgula 3 2 3 10 2 3" xfId="35528" xr:uid="{34800D41-AC68-4E2B-BB57-88CE282DEAF8}"/>
    <cellStyle name="Vírgula 3 2 3 10 3" xfId="16349" xr:uid="{D8A8D24C-1099-4C48-ADEB-6ACDCD1A90C0}"/>
    <cellStyle name="Vírgula 3 2 3 10 3 2" xfId="41841" xr:uid="{5321EC26-20BF-418F-9F6A-CB0F46121B9B}"/>
    <cellStyle name="Vírgula 3 2 3 10 4" xfId="29250" xr:uid="{46B02D38-75ED-4655-B77D-3726FD2EA43B}"/>
    <cellStyle name="Vírgula 3 2 3 11" xfId="6806" xr:uid="{9DE9B1A8-5B5F-4C5E-AB77-67ECCE505DDA}"/>
    <cellStyle name="Vírgula 3 2 3 11 2" xfId="19488" xr:uid="{C31DB9AB-A2EB-4091-86DA-0D7FE561CF7F}"/>
    <cellStyle name="Vírgula 3 2 3 11 2 2" xfId="44980" xr:uid="{417BD772-245D-4CC7-8A2B-8C49E7E6ED95}"/>
    <cellStyle name="Vírgula 3 2 3 11 3" xfId="32389" xr:uid="{9DE18BA1-C07D-465F-988B-DC1AD3297DB3}"/>
    <cellStyle name="Vírgula 3 2 3 12" xfId="13210" xr:uid="{74F21637-045A-4E82-B18D-CAB8A2C2DA3D}"/>
    <cellStyle name="Vírgula 3 2 3 12 2" xfId="38702" xr:uid="{96A09034-D3F6-4BE1-804C-B9B9935C0CAE}"/>
    <cellStyle name="Vírgula 3 2 3 13" xfId="26111" xr:uid="{AD6C0EE8-55C8-4D6E-81DD-659C97764CB9}"/>
    <cellStyle name="Vírgula 3 2 3 2" xfId="642" xr:uid="{E4B93B27-827D-4161-8B0C-C3064D7890EE}"/>
    <cellStyle name="Vírgula 3 2 3 2 10" xfId="13369" xr:uid="{8B2EB2BD-6A4B-4343-AF3E-ACFB3CDE7177}"/>
    <cellStyle name="Vírgula 3 2 3 2 10 2" xfId="38861" xr:uid="{B8EB11EC-4406-4886-A67C-F7C5EA46DE3D}"/>
    <cellStyle name="Vírgula 3 2 3 2 11" xfId="26270" xr:uid="{D5373126-B529-4B02-899B-EF91003E487D}"/>
    <cellStyle name="Vírgula 3 2 3 2 2" xfId="1179" xr:uid="{1192A950-CB06-4F0C-B22F-2C0E279C2625}"/>
    <cellStyle name="Vírgula 3 2 3 2 2 2" xfId="2486" xr:uid="{F338C698-3E2D-4BD6-BE06-C6B4830A0C93}"/>
    <cellStyle name="Vírgula 3 2 3 2 2 2 2" xfId="5640" xr:uid="{F5BFCD54-2D1B-4720-B2D4-A44606569FD2}"/>
    <cellStyle name="Vírgula 3 2 3 2 2 2 2 2" xfId="11933" xr:uid="{C12E5734-7AC0-418E-A8F7-93EDEA618DB9}"/>
    <cellStyle name="Vírgula 3 2 3 2 2 2 2 2 2" xfId="24615" xr:uid="{BC542F49-9B9D-4425-9595-EA17DCBC47B9}"/>
    <cellStyle name="Vírgula 3 2 3 2 2 2 2 2 2 2" xfId="50107" xr:uid="{21396856-6AB7-41F9-BF4B-DE7260E5C1EF}"/>
    <cellStyle name="Vírgula 3 2 3 2 2 2 2 2 3" xfId="37516" xr:uid="{941E3C09-3C0A-4C29-96D1-5990F9BA56FE}"/>
    <cellStyle name="Vírgula 3 2 3 2 2 2 2 3" xfId="18337" xr:uid="{4B08E078-FA17-4EDA-90DA-D758DCC7677E}"/>
    <cellStyle name="Vírgula 3 2 3 2 2 2 2 3 2" xfId="43829" xr:uid="{F5BF301E-E0CA-4362-B585-0154E59AB06C}"/>
    <cellStyle name="Vírgula 3 2 3 2 2 2 2 4" xfId="31238" xr:uid="{47FE414C-F2FD-4229-A516-7C7CEDF28B9A}"/>
    <cellStyle name="Vírgula 3 2 3 2 2 2 3" xfId="8794" xr:uid="{90795C2B-8365-4909-9EF0-C353CC9E377F}"/>
    <cellStyle name="Vírgula 3 2 3 2 2 2 3 2" xfId="21476" xr:uid="{66DB3F5D-3B7C-468F-B6E3-7FD743739376}"/>
    <cellStyle name="Vírgula 3 2 3 2 2 2 3 2 2" xfId="46968" xr:uid="{3307AE16-EC9D-436E-AB39-0BBECB40620C}"/>
    <cellStyle name="Vírgula 3 2 3 2 2 2 3 3" xfId="34377" xr:uid="{CE6700FE-4615-4FD9-8CDE-7616C7EDCF9F}"/>
    <cellStyle name="Vírgula 3 2 3 2 2 2 4" xfId="15198" xr:uid="{E5ED057B-2C0D-4209-936F-B6C04153E343}"/>
    <cellStyle name="Vírgula 3 2 3 2 2 2 4 2" xfId="40690" xr:uid="{AF927743-B75D-4CE1-828A-0927C3B44023}"/>
    <cellStyle name="Vírgula 3 2 3 2 2 2 5" xfId="28099" xr:uid="{53A75164-D0A2-4EEE-98E4-D4F29B6C3F27}"/>
    <cellStyle name="Vírgula 3 2 3 2 2 3" xfId="1703" xr:uid="{A24D89EC-5B95-4F5B-A0CC-DBD15CA01783}"/>
    <cellStyle name="Vírgula 3 2 3 2 2 3 2" xfId="4857" xr:uid="{FC732C31-3C2F-4AD6-BF3E-1093C502A0B4}"/>
    <cellStyle name="Vírgula 3 2 3 2 2 3 2 2" xfId="11150" xr:uid="{F56AD519-863F-4EC9-9AD7-9F22308E8A4A}"/>
    <cellStyle name="Vírgula 3 2 3 2 2 3 2 2 2" xfId="23832" xr:uid="{074C0793-E61C-44E5-8A95-96024083B052}"/>
    <cellStyle name="Vírgula 3 2 3 2 2 3 2 2 2 2" xfId="49324" xr:uid="{AF2427FE-C17F-430D-991A-AD3806BA1968}"/>
    <cellStyle name="Vírgula 3 2 3 2 2 3 2 2 3" xfId="36733" xr:uid="{930AAB6F-4986-491C-8605-E9A5077E0243}"/>
    <cellStyle name="Vírgula 3 2 3 2 2 3 2 3" xfId="17554" xr:uid="{33716D36-BF4C-4125-80B3-97A6B8943761}"/>
    <cellStyle name="Vírgula 3 2 3 2 2 3 2 3 2" xfId="43046" xr:uid="{28C212B9-C765-4AEB-B42D-0BF9E3F1E03D}"/>
    <cellStyle name="Vírgula 3 2 3 2 2 3 2 4" xfId="30455" xr:uid="{7E3EA280-4695-4428-9466-85F4A1681274}"/>
    <cellStyle name="Vírgula 3 2 3 2 2 3 3" xfId="8011" xr:uid="{7FA0B564-EBE2-4281-853A-E2D0D3436D83}"/>
    <cellStyle name="Vírgula 3 2 3 2 2 3 3 2" xfId="20693" xr:uid="{B9458BC0-6018-4A5E-8699-13C0A2A4EA4C}"/>
    <cellStyle name="Vírgula 3 2 3 2 2 3 3 2 2" xfId="46185" xr:uid="{02EFC6FB-353A-4AE1-93B8-B5D8A3845131}"/>
    <cellStyle name="Vírgula 3 2 3 2 2 3 3 3" xfId="33594" xr:uid="{B26A58FB-F78E-4932-909A-4F73DBF6BD8C}"/>
    <cellStyle name="Vírgula 3 2 3 2 2 3 4" xfId="14415" xr:uid="{22B10342-4CCE-4A2B-A87F-27872DCA3F96}"/>
    <cellStyle name="Vírgula 3 2 3 2 2 3 4 2" xfId="39907" xr:uid="{21A4A3EC-C60B-4297-B8A0-E0603B316D61}"/>
    <cellStyle name="Vírgula 3 2 3 2 2 3 5" xfId="27316" xr:uid="{1E319446-9F80-4EB5-B7D7-F9BC283B933C}"/>
    <cellStyle name="Vírgula 3 2 3 2 2 4" xfId="3010" xr:uid="{DFA4315C-E191-43B7-B443-ADEC631DE73E}"/>
    <cellStyle name="Vírgula 3 2 3 2 2 4 2" xfId="6164" xr:uid="{E27DD560-26D9-40D6-96CA-FAA40D39101F}"/>
    <cellStyle name="Vírgula 3 2 3 2 2 4 2 2" xfId="12457" xr:uid="{CD57AC1F-280F-421E-99DD-7012DE690838}"/>
    <cellStyle name="Vírgula 3 2 3 2 2 4 2 2 2" xfId="25139" xr:uid="{1CAABB52-5DD2-41CB-97E0-CDC2A613BE5F}"/>
    <cellStyle name="Vírgula 3 2 3 2 2 4 2 2 2 2" xfId="50631" xr:uid="{061AE4ED-04A1-4628-8DBB-676557B2F2E2}"/>
    <cellStyle name="Vírgula 3 2 3 2 2 4 2 2 3" xfId="38040" xr:uid="{241CE26C-1173-4CC7-98FD-10291962D2A6}"/>
    <cellStyle name="Vírgula 3 2 3 2 2 4 2 3" xfId="18861" xr:uid="{6D5D54FC-CC37-4E65-BE67-B178F82865DC}"/>
    <cellStyle name="Vírgula 3 2 3 2 2 4 2 3 2" xfId="44353" xr:uid="{78545F89-1916-4B83-BC66-E129AD05ADAE}"/>
    <cellStyle name="Vírgula 3 2 3 2 2 4 2 4" xfId="31762" xr:uid="{30948C1C-BB05-44DD-A889-D0C083D8910A}"/>
    <cellStyle name="Vírgula 3 2 3 2 2 4 3" xfId="9318" xr:uid="{9F06A1D7-21A4-4E4C-9E80-AA7516668551}"/>
    <cellStyle name="Vírgula 3 2 3 2 2 4 3 2" xfId="22000" xr:uid="{E9993AC6-63F9-4C8E-9540-74D4BC5AE28C}"/>
    <cellStyle name="Vírgula 3 2 3 2 2 4 3 2 2" xfId="47492" xr:uid="{C30956EB-444F-4C18-AB53-C7626A8BC51A}"/>
    <cellStyle name="Vírgula 3 2 3 2 2 4 3 3" xfId="34901" xr:uid="{FDACA0C4-61BB-45CA-8794-46A1C61D52CD}"/>
    <cellStyle name="Vírgula 3 2 3 2 2 4 4" xfId="15722" xr:uid="{8DA69244-35E1-40C3-9681-06A73C64B8F4}"/>
    <cellStyle name="Vírgula 3 2 3 2 2 4 4 2" xfId="41214" xr:uid="{86817595-A6F4-43C0-9CC2-88194D942FBF}"/>
    <cellStyle name="Vírgula 3 2 3 2 2 4 5" xfId="28623" xr:uid="{1D8CC59F-6A2D-44B0-BB4F-9D27133B5B68}"/>
    <cellStyle name="Vírgula 3 2 3 2 2 5" xfId="3533" xr:uid="{37DA9394-2530-4C87-8857-0E87FC1DBB7B}"/>
    <cellStyle name="Vírgula 3 2 3 2 2 5 2" xfId="6687" xr:uid="{99AEE383-E926-486C-96A3-9EA35F149D25}"/>
    <cellStyle name="Vírgula 3 2 3 2 2 5 2 2" xfId="12980" xr:uid="{6E30E636-EDE4-44B2-BF6C-901564B23C4C}"/>
    <cellStyle name="Vírgula 3 2 3 2 2 5 2 2 2" xfId="25662" xr:uid="{8347EC6C-8CC4-43BB-A67B-CFFAA61C593A}"/>
    <cellStyle name="Vírgula 3 2 3 2 2 5 2 2 2 2" xfId="51154" xr:uid="{1B8B6411-E067-415E-B33E-5D210E47741E}"/>
    <cellStyle name="Vírgula 3 2 3 2 2 5 2 2 3" xfId="38563" xr:uid="{D133F043-8207-41A3-A49D-2CA0DB8BF45B}"/>
    <cellStyle name="Vírgula 3 2 3 2 2 5 2 3" xfId="19384" xr:uid="{93E211D8-6999-4289-8DBF-29D35098A8FF}"/>
    <cellStyle name="Vírgula 3 2 3 2 2 5 2 3 2" xfId="44876" xr:uid="{69DD821C-06FC-4BC3-93F0-7FDC1CFA1884}"/>
    <cellStyle name="Vírgula 3 2 3 2 2 5 2 4" xfId="32285" xr:uid="{D5C6F2EB-F74E-4AE8-BB54-75C321DDC43E}"/>
    <cellStyle name="Vírgula 3 2 3 2 2 5 3" xfId="9841" xr:uid="{A6A9FB76-CF5C-433B-9406-5A223021A884}"/>
    <cellStyle name="Vírgula 3 2 3 2 2 5 3 2" xfId="22523" xr:uid="{9854F37F-4346-4ABC-8E0C-DAF45BB7C8D9}"/>
    <cellStyle name="Vírgula 3 2 3 2 2 5 3 2 2" xfId="48015" xr:uid="{8E3622D2-4316-4A01-BEB1-620FDF8EB9F2}"/>
    <cellStyle name="Vírgula 3 2 3 2 2 5 3 3" xfId="35424" xr:uid="{453D162D-C29D-4B71-AADB-7FADE0DD6DA6}"/>
    <cellStyle name="Vírgula 3 2 3 2 2 5 4" xfId="16245" xr:uid="{5F0AB3EF-2331-4C6B-B52B-04C7EB1D3757}"/>
    <cellStyle name="Vírgula 3 2 3 2 2 5 4 2" xfId="41737" xr:uid="{A3D39CD9-F4A2-474F-AC7F-6D44C3B33F0F}"/>
    <cellStyle name="Vírgula 3 2 3 2 2 5 5" xfId="29146" xr:uid="{09209492-428D-47EE-8775-6059C4B00EE3}"/>
    <cellStyle name="Vírgula 3 2 3 2 2 6" xfId="4333" xr:uid="{810B22D2-50F8-4D81-A37C-543AA78E89BE}"/>
    <cellStyle name="Vírgula 3 2 3 2 2 6 2" xfId="10626" xr:uid="{F6E5098E-AAE8-4006-83DF-8C2F8EFDE33E}"/>
    <cellStyle name="Vírgula 3 2 3 2 2 6 2 2" xfId="23308" xr:uid="{014A098B-B2C3-4C68-A8A3-4C252130FAF5}"/>
    <cellStyle name="Vírgula 3 2 3 2 2 6 2 2 2" xfId="48800" xr:uid="{B4FF9A10-625C-44F7-BCBE-48151BB1BEDE}"/>
    <cellStyle name="Vírgula 3 2 3 2 2 6 2 3" xfId="36209" xr:uid="{3AB74CF5-B71C-48F8-B0AA-B4183F4E28CB}"/>
    <cellStyle name="Vírgula 3 2 3 2 2 6 3" xfId="17030" xr:uid="{DF676262-4608-48C2-AC63-535D8D78C01E}"/>
    <cellStyle name="Vírgula 3 2 3 2 2 6 3 2" xfId="42522" xr:uid="{C7AB60FC-D07A-4829-BB35-BE95BBC8EC7C}"/>
    <cellStyle name="Vírgula 3 2 3 2 2 6 4" xfId="29931" xr:uid="{43864883-10CB-426A-B5D7-E5717A294A22}"/>
    <cellStyle name="Vírgula 3 2 3 2 2 7" xfId="7487" xr:uid="{FD2F6480-3289-4300-8ADD-8C6FC2009F40}"/>
    <cellStyle name="Vírgula 3 2 3 2 2 7 2" xfId="20169" xr:uid="{0974ED65-79CF-48C6-B995-491399A1BEF3}"/>
    <cellStyle name="Vírgula 3 2 3 2 2 7 2 2" xfId="45661" xr:uid="{FFED8F66-424A-4755-AC7B-DD4A62A4E5D6}"/>
    <cellStyle name="Vírgula 3 2 3 2 2 7 3" xfId="33070" xr:uid="{C27433BB-FB3A-44CA-AD91-5FEDA9313DAE}"/>
    <cellStyle name="Vírgula 3 2 3 2 2 8" xfId="13891" xr:uid="{7FCDCDB1-D6AD-4326-8DE2-8C17678382D1}"/>
    <cellStyle name="Vírgula 3 2 3 2 2 8 2" xfId="39383" xr:uid="{D71BCF3E-8ED8-4B9F-8929-BCE443C81972}"/>
    <cellStyle name="Vírgula 3 2 3 2 2 9" xfId="26792" xr:uid="{A7854EE4-20D2-494D-B9DC-1168B514AB90}"/>
    <cellStyle name="Vírgula 3 2 3 2 3" xfId="919" xr:uid="{D3C836DB-9B3A-4A0E-BA46-9F86B12C9530}"/>
    <cellStyle name="Vírgula 3 2 3 2 3 2" xfId="2226" xr:uid="{44A0607D-937A-4F40-B408-3CF16486AA44}"/>
    <cellStyle name="Vírgula 3 2 3 2 3 2 2" xfId="5380" xr:uid="{8CD92AE8-99BD-4209-BF69-0B5FED1CA505}"/>
    <cellStyle name="Vírgula 3 2 3 2 3 2 2 2" xfId="11673" xr:uid="{15265686-1CD4-474B-BF44-D72ADAF47341}"/>
    <cellStyle name="Vírgula 3 2 3 2 3 2 2 2 2" xfId="24355" xr:uid="{9C3D4BB9-CF71-4837-9D89-467D9EC6A48C}"/>
    <cellStyle name="Vírgula 3 2 3 2 3 2 2 2 2 2" xfId="49847" xr:uid="{EBF887BF-684F-43F8-A01C-53B3E409B0E3}"/>
    <cellStyle name="Vírgula 3 2 3 2 3 2 2 2 3" xfId="37256" xr:uid="{C6D6465E-48BD-488C-8EF9-8B1422EC9A3F}"/>
    <cellStyle name="Vírgula 3 2 3 2 3 2 2 3" xfId="18077" xr:uid="{05C94395-7BCF-44F0-AF8D-23CB011F98EF}"/>
    <cellStyle name="Vírgula 3 2 3 2 3 2 2 3 2" xfId="43569" xr:uid="{05CAF3CD-612E-4559-A12F-AC9E04107D43}"/>
    <cellStyle name="Vírgula 3 2 3 2 3 2 2 4" xfId="30978" xr:uid="{DB6064D2-CA80-4783-936E-A71E8553306A}"/>
    <cellStyle name="Vírgula 3 2 3 2 3 2 3" xfId="8534" xr:uid="{CC0E7584-FA3C-4721-B4D5-CBE8804B3200}"/>
    <cellStyle name="Vírgula 3 2 3 2 3 2 3 2" xfId="21216" xr:uid="{50909623-CB04-4259-8A52-F28F52877AEC}"/>
    <cellStyle name="Vírgula 3 2 3 2 3 2 3 2 2" xfId="46708" xr:uid="{070C385A-11DB-48CD-B0B6-0B3105CBAE58}"/>
    <cellStyle name="Vírgula 3 2 3 2 3 2 3 3" xfId="34117" xr:uid="{43FE6E6C-A55E-4A25-BC8B-B679391E0817}"/>
    <cellStyle name="Vírgula 3 2 3 2 3 2 4" xfId="14938" xr:uid="{308DA524-C2F3-45CF-B6F0-CD358ADB9659}"/>
    <cellStyle name="Vírgula 3 2 3 2 3 2 4 2" xfId="40430" xr:uid="{BE043E9B-BB5B-462F-9B40-C01ECFEFD11E}"/>
    <cellStyle name="Vírgula 3 2 3 2 3 2 5" xfId="27839" xr:uid="{8DF9EE57-E4F9-4E89-9053-ABCA34831511}"/>
    <cellStyle name="Vírgula 3 2 3 2 3 3" xfId="4073" xr:uid="{37D6CA6B-27E0-4070-A983-59871C07757F}"/>
    <cellStyle name="Vírgula 3 2 3 2 3 3 2" xfId="10366" xr:uid="{9C55B849-E524-429D-A311-44EBFD4D5A8E}"/>
    <cellStyle name="Vírgula 3 2 3 2 3 3 2 2" xfId="23048" xr:uid="{DD7E2FA7-99D3-4DBC-AB5E-354D5071C8E5}"/>
    <cellStyle name="Vírgula 3 2 3 2 3 3 2 2 2" xfId="48540" xr:uid="{D8BC9B65-389E-473E-9F24-18C8555C876C}"/>
    <cellStyle name="Vírgula 3 2 3 2 3 3 2 3" xfId="35949" xr:uid="{2E11D4F4-B91F-4FAB-96FE-CFF8B0DD4D86}"/>
    <cellStyle name="Vírgula 3 2 3 2 3 3 3" xfId="16770" xr:uid="{F4858A87-06D3-4A63-A4BF-640C89B7E485}"/>
    <cellStyle name="Vírgula 3 2 3 2 3 3 3 2" xfId="42262" xr:uid="{63F78B15-8B7B-4F3B-ADA4-C2C8F7A02B35}"/>
    <cellStyle name="Vírgula 3 2 3 2 3 3 4" xfId="29671" xr:uid="{1A54AD87-9D25-436E-9CB9-E13A51B5C2B6}"/>
    <cellStyle name="Vírgula 3 2 3 2 3 4" xfId="7227" xr:uid="{4A571AB7-2B17-47A0-9E2A-36BF153D2A10}"/>
    <cellStyle name="Vírgula 3 2 3 2 3 4 2" xfId="19909" xr:uid="{436D07D0-9C57-406E-B700-8182864E1377}"/>
    <cellStyle name="Vírgula 3 2 3 2 3 4 2 2" xfId="45401" xr:uid="{DDDA1C9F-C241-4472-BBFE-04463A26F5FA}"/>
    <cellStyle name="Vírgula 3 2 3 2 3 4 3" xfId="32810" xr:uid="{C7CF6F83-C6B0-4501-9091-CBEF2C46D87B}"/>
    <cellStyle name="Vírgula 3 2 3 2 3 5" xfId="13631" xr:uid="{077B3338-9C35-4F40-8D72-4E41A7D50614}"/>
    <cellStyle name="Vírgula 3 2 3 2 3 5 2" xfId="39123" xr:uid="{A2B495DF-0360-4B88-91F1-7C7CB05673F6}"/>
    <cellStyle name="Vírgula 3 2 3 2 3 6" xfId="26532" xr:uid="{2D0026DC-85D7-4159-AF79-4FD541EA1AA2}"/>
    <cellStyle name="Vírgula 3 2 3 2 4" xfId="1964" xr:uid="{58ECE8B3-5FC0-4452-B9E2-807444BDC217}"/>
    <cellStyle name="Vírgula 3 2 3 2 4 2" xfId="5118" xr:uid="{0CBA92E1-C3B5-4780-9D97-F5D95321EFA7}"/>
    <cellStyle name="Vírgula 3 2 3 2 4 2 2" xfId="11411" xr:uid="{2039343E-6564-45F7-89B4-123073A11A7E}"/>
    <cellStyle name="Vírgula 3 2 3 2 4 2 2 2" xfId="24093" xr:uid="{41430DEF-0530-477D-95B1-3D292A4369CD}"/>
    <cellStyle name="Vírgula 3 2 3 2 4 2 2 2 2" xfId="49585" xr:uid="{958172DF-1113-47BE-B806-64DAD109497A}"/>
    <cellStyle name="Vírgula 3 2 3 2 4 2 2 3" xfId="36994" xr:uid="{F464EC9D-C59D-4662-8AFB-1D69CDC43A07}"/>
    <cellStyle name="Vírgula 3 2 3 2 4 2 3" xfId="17815" xr:uid="{EDCFCA27-5594-4233-8B17-CB507E421D2E}"/>
    <cellStyle name="Vírgula 3 2 3 2 4 2 3 2" xfId="43307" xr:uid="{F8CF6379-2C7D-4A84-9464-3CEB37431420}"/>
    <cellStyle name="Vírgula 3 2 3 2 4 2 4" xfId="30716" xr:uid="{8BE95AA7-B693-4BD5-BB76-55B9DED278E8}"/>
    <cellStyle name="Vírgula 3 2 3 2 4 3" xfId="8272" xr:uid="{2D0331E5-A78E-45E0-B404-48553D52ABA8}"/>
    <cellStyle name="Vírgula 3 2 3 2 4 3 2" xfId="20954" xr:uid="{64E9D69D-3AD0-405D-BB0E-FC18ACDECCB9}"/>
    <cellStyle name="Vírgula 3 2 3 2 4 3 2 2" xfId="46446" xr:uid="{5B6BDA9A-95A3-4AB6-96CC-643B3920A0A0}"/>
    <cellStyle name="Vírgula 3 2 3 2 4 3 3" xfId="33855" xr:uid="{22E0C6F8-4022-4725-87DE-DEF0147610E3}"/>
    <cellStyle name="Vírgula 3 2 3 2 4 4" xfId="14676" xr:uid="{006A4032-C03D-4545-9425-E330EFBF697F}"/>
    <cellStyle name="Vírgula 3 2 3 2 4 4 2" xfId="40168" xr:uid="{FEFC9C64-5A76-4CA2-9E4C-D2EB8C3B57C3}"/>
    <cellStyle name="Vírgula 3 2 3 2 4 5" xfId="27577" xr:uid="{7ABC37E8-4C3D-4825-9799-60535098994C}"/>
    <cellStyle name="Vírgula 3 2 3 2 5" xfId="1442" xr:uid="{1D45573A-F71D-40B7-ADAB-B68194FADADB}"/>
    <cellStyle name="Vírgula 3 2 3 2 5 2" xfId="4596" xr:uid="{77CF41E0-4720-4F65-A369-C707933B8280}"/>
    <cellStyle name="Vírgula 3 2 3 2 5 2 2" xfId="10889" xr:uid="{781BB4E4-7596-4843-AF7F-BA562DA3365E}"/>
    <cellStyle name="Vírgula 3 2 3 2 5 2 2 2" xfId="23571" xr:uid="{D991DA38-E93B-4F8A-A5ED-F91D869516D1}"/>
    <cellStyle name="Vírgula 3 2 3 2 5 2 2 2 2" xfId="49063" xr:uid="{582D2EAA-0C6F-4539-830A-8F40F376EDD5}"/>
    <cellStyle name="Vírgula 3 2 3 2 5 2 2 3" xfId="36472" xr:uid="{2AF6AE22-71BF-4A19-886A-589774C66311}"/>
    <cellStyle name="Vírgula 3 2 3 2 5 2 3" xfId="17293" xr:uid="{004F3103-50DD-4ACF-9108-81A934ADFD40}"/>
    <cellStyle name="Vírgula 3 2 3 2 5 2 3 2" xfId="42785" xr:uid="{3BD58A0B-CD67-4372-AB00-A5741139FA14}"/>
    <cellStyle name="Vírgula 3 2 3 2 5 2 4" xfId="30194" xr:uid="{6A5D3F2E-AE17-4CBB-8F43-7CA95811511D}"/>
    <cellStyle name="Vírgula 3 2 3 2 5 3" xfId="7750" xr:uid="{B31EB9B9-C8BD-417E-BC38-15671B572805}"/>
    <cellStyle name="Vírgula 3 2 3 2 5 3 2" xfId="20432" xr:uid="{D13B54AF-C006-4889-BACE-0789BE7AFEF7}"/>
    <cellStyle name="Vírgula 3 2 3 2 5 3 2 2" xfId="45924" xr:uid="{C87DC538-66F5-477E-B3FE-BAC98253F4F9}"/>
    <cellStyle name="Vírgula 3 2 3 2 5 3 3" xfId="33333" xr:uid="{6FCDCFB2-F501-4BFA-A727-B8305647A055}"/>
    <cellStyle name="Vírgula 3 2 3 2 5 4" xfId="14154" xr:uid="{5E634837-45D8-4FDD-AD98-F889E8030DE3}"/>
    <cellStyle name="Vírgula 3 2 3 2 5 4 2" xfId="39646" xr:uid="{08FD53B9-809F-4823-8482-060339AD7088}"/>
    <cellStyle name="Vírgula 3 2 3 2 5 5" xfId="27055" xr:uid="{5BCD7C87-0085-42EE-8F72-023A41410C04}"/>
    <cellStyle name="Vírgula 3 2 3 2 6" xfId="2749" xr:uid="{639B02C9-EC9C-4C22-83F4-B2247E477151}"/>
    <cellStyle name="Vírgula 3 2 3 2 6 2" xfId="5903" xr:uid="{62694A17-4458-4710-BFBC-FC977F0CCD80}"/>
    <cellStyle name="Vírgula 3 2 3 2 6 2 2" xfId="12196" xr:uid="{A32D6DCC-16DA-4208-AACE-6585A75871E8}"/>
    <cellStyle name="Vírgula 3 2 3 2 6 2 2 2" xfId="24878" xr:uid="{8282D997-8A92-4DD0-BDE9-890FD1131750}"/>
    <cellStyle name="Vírgula 3 2 3 2 6 2 2 2 2" xfId="50370" xr:uid="{54327B7E-AA29-4ED7-9F50-C32E7AB57012}"/>
    <cellStyle name="Vírgula 3 2 3 2 6 2 2 3" xfId="37779" xr:uid="{CFB45CE8-2DCD-4488-8D94-DB2C5BC0E374}"/>
    <cellStyle name="Vírgula 3 2 3 2 6 2 3" xfId="18600" xr:uid="{E4D81C77-AED7-4D44-94B8-E64D0D281C74}"/>
    <cellStyle name="Vírgula 3 2 3 2 6 2 3 2" xfId="44092" xr:uid="{9E31DED6-9163-4861-912F-69A116B00E25}"/>
    <cellStyle name="Vírgula 3 2 3 2 6 2 4" xfId="31501" xr:uid="{978AE384-2791-4AA9-9420-3E8C71FD5714}"/>
    <cellStyle name="Vírgula 3 2 3 2 6 3" xfId="9057" xr:uid="{A903093A-B72E-460C-ADD4-491D274B2FA4}"/>
    <cellStyle name="Vírgula 3 2 3 2 6 3 2" xfId="21739" xr:uid="{24E43E9E-5FC9-44E5-99EE-82CADE15B785}"/>
    <cellStyle name="Vírgula 3 2 3 2 6 3 2 2" xfId="47231" xr:uid="{98814A9B-DC54-4FA5-82C4-E7F93360A0FF}"/>
    <cellStyle name="Vírgula 3 2 3 2 6 3 3" xfId="34640" xr:uid="{2C7EC4EF-E2DC-4900-A63A-C10665FCBEA0}"/>
    <cellStyle name="Vírgula 3 2 3 2 6 4" xfId="15461" xr:uid="{8DABCE9B-2BCE-404C-B73E-9B9FDB24F91E}"/>
    <cellStyle name="Vírgula 3 2 3 2 6 4 2" xfId="40953" xr:uid="{7A27D35B-7F65-407C-A308-80854D23CACC}"/>
    <cellStyle name="Vírgula 3 2 3 2 6 5" xfId="28362" xr:uid="{9017D217-EB6A-4A89-BC22-13F4E297B246}"/>
    <cellStyle name="Vírgula 3 2 3 2 7" xfId="3272" xr:uid="{FCBEBC78-56E1-49BC-AA69-225F3CFD0855}"/>
    <cellStyle name="Vírgula 3 2 3 2 7 2" xfId="6426" xr:uid="{29CF80F0-AA89-4425-AD25-2F768476A5A9}"/>
    <cellStyle name="Vírgula 3 2 3 2 7 2 2" xfId="12719" xr:uid="{C30C14BE-54F0-480A-B7AD-8BB15E86A715}"/>
    <cellStyle name="Vírgula 3 2 3 2 7 2 2 2" xfId="25401" xr:uid="{EBB4438D-62AC-497B-9150-EA77F72935D3}"/>
    <cellStyle name="Vírgula 3 2 3 2 7 2 2 2 2" xfId="50893" xr:uid="{4DBA7D92-9627-4B5B-B70F-977A49A251FE}"/>
    <cellStyle name="Vírgula 3 2 3 2 7 2 2 3" xfId="38302" xr:uid="{A87B2356-0763-4610-A970-292E296646BB}"/>
    <cellStyle name="Vírgula 3 2 3 2 7 2 3" xfId="19123" xr:uid="{9BA3D46D-5788-4961-B9D6-49B5D7A951C4}"/>
    <cellStyle name="Vírgula 3 2 3 2 7 2 3 2" xfId="44615" xr:uid="{7D7DB138-D40A-4935-A1E7-9B519371971E}"/>
    <cellStyle name="Vírgula 3 2 3 2 7 2 4" xfId="32024" xr:uid="{4327D950-8757-45D6-94A3-F100F70F29BF}"/>
    <cellStyle name="Vírgula 3 2 3 2 7 3" xfId="9580" xr:uid="{CEF3E25E-E1AC-4AA3-BE39-117AFC8048BA}"/>
    <cellStyle name="Vírgula 3 2 3 2 7 3 2" xfId="22262" xr:uid="{122422E3-3496-4360-A8BF-369E86CAADC9}"/>
    <cellStyle name="Vírgula 3 2 3 2 7 3 2 2" xfId="47754" xr:uid="{07B09A69-81A5-4F20-AF4B-7C4BE5426B23}"/>
    <cellStyle name="Vírgula 3 2 3 2 7 3 3" xfId="35163" xr:uid="{CB28E3DB-7A60-484A-B629-5B4F3EF1C325}"/>
    <cellStyle name="Vírgula 3 2 3 2 7 4" xfId="15984" xr:uid="{6B5ABDAB-C5DB-4BCC-93F3-8B27CF3439D8}"/>
    <cellStyle name="Vírgula 3 2 3 2 7 4 2" xfId="41476" xr:uid="{4B074A5C-AD64-41DD-890F-502E3B9DA315}"/>
    <cellStyle name="Vírgula 3 2 3 2 7 5" xfId="28885" xr:uid="{4EF89A50-0ACF-49C8-9F61-CE0F7B981125}"/>
    <cellStyle name="Vírgula 3 2 3 2 8" xfId="3811" xr:uid="{0AF79151-33AE-4777-97F7-2C14EA8F3F62}"/>
    <cellStyle name="Vírgula 3 2 3 2 8 2" xfId="10104" xr:uid="{9552C2FE-1A37-4329-B211-E5EB8AC605F9}"/>
    <cellStyle name="Vírgula 3 2 3 2 8 2 2" xfId="22786" xr:uid="{6FEA57E0-75DD-4F53-936B-5D5422563F94}"/>
    <cellStyle name="Vírgula 3 2 3 2 8 2 2 2" xfId="48278" xr:uid="{875808F6-151B-416F-9634-8A2875FAEC51}"/>
    <cellStyle name="Vírgula 3 2 3 2 8 2 3" xfId="35687" xr:uid="{F9E40D6B-E101-48FA-9C1B-2B24227674B8}"/>
    <cellStyle name="Vírgula 3 2 3 2 8 3" xfId="16508" xr:uid="{42779891-302D-45B1-BC94-25F5CDDD0EDE}"/>
    <cellStyle name="Vírgula 3 2 3 2 8 3 2" xfId="42000" xr:uid="{E8895892-0E60-4B2D-BCE5-9E1699A06A4A}"/>
    <cellStyle name="Vírgula 3 2 3 2 8 4" xfId="29409" xr:uid="{CF289927-781B-427F-92E2-0023964478F1}"/>
    <cellStyle name="Vírgula 3 2 3 2 9" xfId="6965" xr:uid="{A546BAD9-DA52-4989-9BBB-F4EB19067F0A}"/>
    <cellStyle name="Vírgula 3 2 3 2 9 2" xfId="19647" xr:uid="{74740A6D-BE12-49CA-9044-B6B90CFC545F}"/>
    <cellStyle name="Vírgula 3 2 3 2 9 2 2" xfId="45139" xr:uid="{971396E9-3C48-4906-A823-5F4A4983F598}"/>
    <cellStyle name="Vírgula 3 2 3 2 9 3" xfId="32548" xr:uid="{D2C16C88-EF04-4E39-9835-FD46AC98691A}"/>
    <cellStyle name="Vírgula 3 2 3 3" xfId="542" xr:uid="{94153B3D-9981-4C57-B724-763D6FA83D86}"/>
    <cellStyle name="Vírgula 3 2 3 3 10" xfId="13269" xr:uid="{D7AB2182-6D1F-4925-818B-4E5B519FCE32}"/>
    <cellStyle name="Vírgula 3 2 3 3 10 2" xfId="38761" xr:uid="{6B992662-5D50-4EC3-A949-2E971D8B3A9F}"/>
    <cellStyle name="Vírgula 3 2 3 3 11" xfId="26170" xr:uid="{878E7A67-5C25-4A22-87AC-1265A2329A3B}"/>
    <cellStyle name="Vírgula 3 2 3 3 2" xfId="1079" xr:uid="{B3415638-A9AB-4523-85CE-D19F99717D9A}"/>
    <cellStyle name="Vírgula 3 2 3 3 2 2" xfId="2386" xr:uid="{B22B625D-F57B-4667-A671-312B6005E917}"/>
    <cellStyle name="Vírgula 3 2 3 3 2 2 2" xfId="5540" xr:uid="{3D7F5C72-3FDB-490C-A347-435EA688736E}"/>
    <cellStyle name="Vírgula 3 2 3 3 2 2 2 2" xfId="11833" xr:uid="{4ED2A555-D616-4DCA-9E22-58409D918A88}"/>
    <cellStyle name="Vírgula 3 2 3 3 2 2 2 2 2" xfId="24515" xr:uid="{F17AC15A-7EBA-4803-85D2-D9EC9C2DDC8A}"/>
    <cellStyle name="Vírgula 3 2 3 3 2 2 2 2 2 2" xfId="50007" xr:uid="{D6AAD0F8-9F38-4D51-8D3B-83B37457A7D5}"/>
    <cellStyle name="Vírgula 3 2 3 3 2 2 2 2 3" xfId="37416" xr:uid="{4391C6EE-728A-49FD-86A5-C946D6B1EFC3}"/>
    <cellStyle name="Vírgula 3 2 3 3 2 2 2 3" xfId="18237" xr:uid="{7B603B27-5C41-4E28-B324-F86ABDBAA466}"/>
    <cellStyle name="Vírgula 3 2 3 3 2 2 2 3 2" xfId="43729" xr:uid="{195B4623-DA90-4363-8F5F-9E7799BD0EF6}"/>
    <cellStyle name="Vírgula 3 2 3 3 2 2 2 4" xfId="31138" xr:uid="{5FE559B3-471B-47B5-95FD-35CBCCE89069}"/>
    <cellStyle name="Vírgula 3 2 3 3 2 2 3" xfId="8694" xr:uid="{6851F9C6-3F51-437D-A634-DD9AFEA53866}"/>
    <cellStyle name="Vírgula 3 2 3 3 2 2 3 2" xfId="21376" xr:uid="{D4A12682-5383-4075-BA4C-BD07E7A952D4}"/>
    <cellStyle name="Vírgula 3 2 3 3 2 2 3 2 2" xfId="46868" xr:uid="{39A1B474-B29C-4EFD-A146-75908848F9DB}"/>
    <cellStyle name="Vírgula 3 2 3 3 2 2 3 3" xfId="34277" xr:uid="{27F4BCE9-A61E-4DDB-BF77-B7A3F3555428}"/>
    <cellStyle name="Vírgula 3 2 3 3 2 2 4" xfId="15098" xr:uid="{04725FAA-6996-443F-B0C0-DE585A39CD99}"/>
    <cellStyle name="Vírgula 3 2 3 3 2 2 4 2" xfId="40590" xr:uid="{039D95D2-A934-4DE5-9C25-E0CDD09C04E3}"/>
    <cellStyle name="Vírgula 3 2 3 3 2 2 5" xfId="27999" xr:uid="{588762E2-7279-4ED9-ACC4-88D0C9D5E2F5}"/>
    <cellStyle name="Vírgula 3 2 3 3 2 3" xfId="1603" xr:uid="{B956198F-F842-43AF-8C9D-DC1F99124D99}"/>
    <cellStyle name="Vírgula 3 2 3 3 2 3 2" xfId="4757" xr:uid="{0F6DE89D-0D56-426E-A898-2424F3B62ABF}"/>
    <cellStyle name="Vírgula 3 2 3 3 2 3 2 2" xfId="11050" xr:uid="{DD2277DC-84B7-4C2C-B133-30D6227C0202}"/>
    <cellStyle name="Vírgula 3 2 3 3 2 3 2 2 2" xfId="23732" xr:uid="{860DEDC8-0718-47E1-A060-8468BC7F41A4}"/>
    <cellStyle name="Vírgula 3 2 3 3 2 3 2 2 2 2" xfId="49224" xr:uid="{D9C092A3-BAD2-447F-BA9D-BBC514E85255}"/>
    <cellStyle name="Vírgula 3 2 3 3 2 3 2 2 3" xfId="36633" xr:uid="{7404C211-300D-4501-910C-FE53E44B7D9D}"/>
    <cellStyle name="Vírgula 3 2 3 3 2 3 2 3" xfId="17454" xr:uid="{B99F18CA-73ED-421B-887A-34C7777BC5DC}"/>
    <cellStyle name="Vírgula 3 2 3 3 2 3 2 3 2" xfId="42946" xr:uid="{B67234FB-3F75-4188-8D1E-D4E14B40C8B7}"/>
    <cellStyle name="Vírgula 3 2 3 3 2 3 2 4" xfId="30355" xr:uid="{47FBB7B7-0F80-4740-BF38-AE0707D1DBEC}"/>
    <cellStyle name="Vírgula 3 2 3 3 2 3 3" xfId="7911" xr:uid="{30E6E2FD-CD0A-4E15-AD71-81BB985B841E}"/>
    <cellStyle name="Vírgula 3 2 3 3 2 3 3 2" xfId="20593" xr:uid="{E9B628BE-2213-4317-BAE3-47E31834489D}"/>
    <cellStyle name="Vírgula 3 2 3 3 2 3 3 2 2" xfId="46085" xr:uid="{1A2581FB-5FBC-4C4A-A14C-DEEA1F62FC46}"/>
    <cellStyle name="Vírgula 3 2 3 3 2 3 3 3" xfId="33494" xr:uid="{61C8E57A-BB11-4D30-82E0-5F9161614E44}"/>
    <cellStyle name="Vírgula 3 2 3 3 2 3 4" xfId="14315" xr:uid="{27B1E758-4321-4893-8BA9-C692FE5C2C33}"/>
    <cellStyle name="Vírgula 3 2 3 3 2 3 4 2" xfId="39807" xr:uid="{A1061028-0D1E-47B4-93C9-5391F8F470DB}"/>
    <cellStyle name="Vírgula 3 2 3 3 2 3 5" xfId="27216" xr:uid="{7685F974-51B8-484F-8503-38B151B60130}"/>
    <cellStyle name="Vírgula 3 2 3 3 2 4" xfId="2910" xr:uid="{D3B19F12-6ACD-4C9E-B906-ADDF4B4FC929}"/>
    <cellStyle name="Vírgula 3 2 3 3 2 4 2" xfId="6064" xr:uid="{9D558D8E-A45C-41FB-BA0D-3EDC44965B41}"/>
    <cellStyle name="Vírgula 3 2 3 3 2 4 2 2" xfId="12357" xr:uid="{B9F1A914-5F5F-459C-B9C8-5994C4C70687}"/>
    <cellStyle name="Vírgula 3 2 3 3 2 4 2 2 2" xfId="25039" xr:uid="{5C8D73B9-D287-4B65-BC97-EC87FEBA4003}"/>
    <cellStyle name="Vírgula 3 2 3 3 2 4 2 2 2 2" xfId="50531" xr:uid="{A8147677-C87B-4B4E-AF38-98B22CFB65B0}"/>
    <cellStyle name="Vírgula 3 2 3 3 2 4 2 2 3" xfId="37940" xr:uid="{C35EDDAC-D535-4CAA-88F0-14055C193D93}"/>
    <cellStyle name="Vírgula 3 2 3 3 2 4 2 3" xfId="18761" xr:uid="{B2AB8CB5-DA4B-4C7F-B564-480A9BE28C2E}"/>
    <cellStyle name="Vírgula 3 2 3 3 2 4 2 3 2" xfId="44253" xr:uid="{D05C4EDC-AD96-4BF4-AE79-5D494340CDA1}"/>
    <cellStyle name="Vírgula 3 2 3 3 2 4 2 4" xfId="31662" xr:uid="{0F14FDBC-40D2-481A-B8D4-5DEDF594FB46}"/>
    <cellStyle name="Vírgula 3 2 3 3 2 4 3" xfId="9218" xr:uid="{49724863-7D45-4575-BEB9-DB94E7CB999E}"/>
    <cellStyle name="Vírgula 3 2 3 3 2 4 3 2" xfId="21900" xr:uid="{EF525C60-DB08-43CF-B7C6-A9E73CB46BE0}"/>
    <cellStyle name="Vírgula 3 2 3 3 2 4 3 2 2" xfId="47392" xr:uid="{E9D9F5DF-B2D3-460E-B83C-973F7EB1B6A9}"/>
    <cellStyle name="Vírgula 3 2 3 3 2 4 3 3" xfId="34801" xr:uid="{C14195F2-0A5E-43D7-8D6B-EFC1A8D4EDA8}"/>
    <cellStyle name="Vírgula 3 2 3 3 2 4 4" xfId="15622" xr:uid="{DC85F131-BD4C-4B9D-9610-838713834AC9}"/>
    <cellStyle name="Vírgula 3 2 3 3 2 4 4 2" xfId="41114" xr:uid="{2C27486B-F5E0-4109-B0D3-BAD56D438847}"/>
    <cellStyle name="Vírgula 3 2 3 3 2 4 5" xfId="28523" xr:uid="{0C0512A2-A846-4567-AA12-2BC6D2507DD7}"/>
    <cellStyle name="Vírgula 3 2 3 3 2 5" xfId="3433" xr:uid="{7856265B-27B8-4FB8-8269-59F162C762C9}"/>
    <cellStyle name="Vírgula 3 2 3 3 2 5 2" xfId="6587" xr:uid="{CA7C8D83-CF7F-4DAB-B627-01D8784E56D8}"/>
    <cellStyle name="Vírgula 3 2 3 3 2 5 2 2" xfId="12880" xr:uid="{7CA8BBE4-28EE-4820-BA44-C28A05F94188}"/>
    <cellStyle name="Vírgula 3 2 3 3 2 5 2 2 2" xfId="25562" xr:uid="{71086EC8-C911-45B5-9AB5-E58EFE6A0DF7}"/>
    <cellStyle name="Vírgula 3 2 3 3 2 5 2 2 2 2" xfId="51054" xr:uid="{8BCC7333-3D9E-45C7-8769-7EE404254598}"/>
    <cellStyle name="Vírgula 3 2 3 3 2 5 2 2 3" xfId="38463" xr:uid="{9750E734-B461-46B6-8420-C84BBA61474C}"/>
    <cellStyle name="Vírgula 3 2 3 3 2 5 2 3" xfId="19284" xr:uid="{0B348097-32E6-4E86-9BDB-E712BC7844BB}"/>
    <cellStyle name="Vírgula 3 2 3 3 2 5 2 3 2" xfId="44776" xr:uid="{3AE8472C-2CDB-4D00-AE63-FB85B4925CCF}"/>
    <cellStyle name="Vírgula 3 2 3 3 2 5 2 4" xfId="32185" xr:uid="{B9EB0D8F-44CA-48F0-AD7F-ACD7CA742AB3}"/>
    <cellStyle name="Vírgula 3 2 3 3 2 5 3" xfId="9741" xr:uid="{D88A5893-6058-4344-8A33-3AC71D940A47}"/>
    <cellStyle name="Vírgula 3 2 3 3 2 5 3 2" xfId="22423" xr:uid="{6160C60B-78BF-4EC7-BCCF-DEDA52934E72}"/>
    <cellStyle name="Vírgula 3 2 3 3 2 5 3 2 2" xfId="47915" xr:uid="{402FC85E-4B93-4B5B-9BB5-63349F627E42}"/>
    <cellStyle name="Vírgula 3 2 3 3 2 5 3 3" xfId="35324" xr:uid="{7506CD29-5BF2-4EF3-A7F8-3AE6B7D5D15A}"/>
    <cellStyle name="Vírgula 3 2 3 3 2 5 4" xfId="16145" xr:uid="{71591D47-3123-48CE-8982-7F36360C923B}"/>
    <cellStyle name="Vírgula 3 2 3 3 2 5 4 2" xfId="41637" xr:uid="{41357C37-8758-4B93-8BB2-4E082AA91E98}"/>
    <cellStyle name="Vírgula 3 2 3 3 2 5 5" xfId="29046" xr:uid="{115A4586-AE75-46B9-9981-D92E0A88058B}"/>
    <cellStyle name="Vírgula 3 2 3 3 2 6" xfId="4233" xr:uid="{7A5D6C15-F00C-4896-9177-E5298B09B9BA}"/>
    <cellStyle name="Vírgula 3 2 3 3 2 6 2" xfId="10526" xr:uid="{49E2F9D7-19CA-40AF-9368-ECFA7103CB57}"/>
    <cellStyle name="Vírgula 3 2 3 3 2 6 2 2" xfId="23208" xr:uid="{E2B4E98C-4C92-429C-A25C-1CA662DC9436}"/>
    <cellStyle name="Vírgula 3 2 3 3 2 6 2 2 2" xfId="48700" xr:uid="{EBBD501E-8F83-4024-888E-8345F784493C}"/>
    <cellStyle name="Vírgula 3 2 3 3 2 6 2 3" xfId="36109" xr:uid="{C7CABD91-8CE5-481F-82C5-D12204BAF084}"/>
    <cellStyle name="Vírgula 3 2 3 3 2 6 3" xfId="16930" xr:uid="{C621779F-CE69-4B34-B5D5-CF879F2EC4FE}"/>
    <cellStyle name="Vírgula 3 2 3 3 2 6 3 2" xfId="42422" xr:uid="{7E01C282-D4E3-4A04-B2D5-2A6CB42ADDA0}"/>
    <cellStyle name="Vírgula 3 2 3 3 2 6 4" xfId="29831" xr:uid="{95B68DE2-8A8C-4DEA-A560-5B47232518ED}"/>
    <cellStyle name="Vírgula 3 2 3 3 2 7" xfId="7387" xr:uid="{DCB65D6C-1D60-4AEF-B7C5-AD1C8EEFD934}"/>
    <cellStyle name="Vírgula 3 2 3 3 2 7 2" xfId="20069" xr:uid="{1317FFD3-52DD-446E-A158-8198B8A0E313}"/>
    <cellStyle name="Vírgula 3 2 3 3 2 7 2 2" xfId="45561" xr:uid="{35B2329C-E38C-4608-9DC6-89A1CAE11CD7}"/>
    <cellStyle name="Vírgula 3 2 3 3 2 7 3" xfId="32970" xr:uid="{AC3CCC1B-B31D-4A2C-909E-3553C6AB2225}"/>
    <cellStyle name="Vírgula 3 2 3 3 2 8" xfId="13791" xr:uid="{54462710-3FD1-48C8-A0EC-32F13BE0EAF5}"/>
    <cellStyle name="Vírgula 3 2 3 3 2 8 2" xfId="39283" xr:uid="{4DA20146-EFC8-4867-9638-623D6287E988}"/>
    <cellStyle name="Vírgula 3 2 3 3 2 9" xfId="26692" xr:uid="{6EC40090-0765-4666-9CFB-B6AF17269615}"/>
    <cellStyle name="Vírgula 3 2 3 3 3" xfId="819" xr:uid="{56604A29-7B2B-4D51-9A8F-6221ACD49002}"/>
    <cellStyle name="Vírgula 3 2 3 3 3 2" xfId="2126" xr:uid="{83B4A631-A63C-4065-BE7A-EF1517B2E775}"/>
    <cellStyle name="Vírgula 3 2 3 3 3 2 2" xfId="5280" xr:uid="{750489A3-87AC-4D9A-8EA0-C649D78E82A7}"/>
    <cellStyle name="Vírgula 3 2 3 3 3 2 2 2" xfId="11573" xr:uid="{619D5F61-67CC-4055-8D14-457818B77769}"/>
    <cellStyle name="Vírgula 3 2 3 3 3 2 2 2 2" xfId="24255" xr:uid="{2E21EEE8-BBC9-49D6-89A6-0844C91615A9}"/>
    <cellStyle name="Vírgula 3 2 3 3 3 2 2 2 2 2" xfId="49747" xr:uid="{58BA9BCC-215F-46C5-B851-B6391F7C1EBD}"/>
    <cellStyle name="Vírgula 3 2 3 3 3 2 2 2 3" xfId="37156" xr:uid="{E3A4F112-0BB1-4385-9234-B94B2CB09187}"/>
    <cellStyle name="Vírgula 3 2 3 3 3 2 2 3" xfId="17977" xr:uid="{4C7B6E1D-9A6A-4F40-BB5B-705FD28A9DF7}"/>
    <cellStyle name="Vírgula 3 2 3 3 3 2 2 3 2" xfId="43469" xr:uid="{E119B314-EE3D-431D-BD75-25996977F777}"/>
    <cellStyle name="Vírgula 3 2 3 3 3 2 2 4" xfId="30878" xr:uid="{0781F593-5066-4E26-AD06-F606E2AB9B87}"/>
    <cellStyle name="Vírgula 3 2 3 3 3 2 3" xfId="8434" xr:uid="{E7918F56-5A1B-43EE-BDF4-566006A5DA24}"/>
    <cellStyle name="Vírgula 3 2 3 3 3 2 3 2" xfId="21116" xr:uid="{92CFFC62-41EB-4CE8-B9B8-A4A7D48B2805}"/>
    <cellStyle name="Vírgula 3 2 3 3 3 2 3 2 2" xfId="46608" xr:uid="{0BAE723A-61A7-4990-9CE8-52E6B89824EB}"/>
    <cellStyle name="Vírgula 3 2 3 3 3 2 3 3" xfId="34017" xr:uid="{0480846C-48EE-47F8-AA01-69D8918221D6}"/>
    <cellStyle name="Vírgula 3 2 3 3 3 2 4" xfId="14838" xr:uid="{4660A417-2B7F-4529-8FB4-3653B8012276}"/>
    <cellStyle name="Vírgula 3 2 3 3 3 2 4 2" xfId="40330" xr:uid="{DE7F46EC-0F94-4B3D-B347-9FF81C98BBAD}"/>
    <cellStyle name="Vírgula 3 2 3 3 3 2 5" xfId="27739" xr:uid="{2AA9EDFA-95A8-4275-9053-FF73423714FE}"/>
    <cellStyle name="Vírgula 3 2 3 3 3 3" xfId="3973" xr:uid="{519104FB-4B04-4DAE-83FC-657C95913D21}"/>
    <cellStyle name="Vírgula 3 2 3 3 3 3 2" xfId="10266" xr:uid="{7F894A9F-D0E6-4B9E-9664-D3DD942D2308}"/>
    <cellStyle name="Vírgula 3 2 3 3 3 3 2 2" xfId="22948" xr:uid="{610877D1-F6EC-4D4A-876C-15988B3550FE}"/>
    <cellStyle name="Vírgula 3 2 3 3 3 3 2 2 2" xfId="48440" xr:uid="{55F7D520-6AE9-4111-B57D-64DFFA91B9FA}"/>
    <cellStyle name="Vírgula 3 2 3 3 3 3 2 3" xfId="35849" xr:uid="{3B336E4C-1E79-4D7F-A40A-CF3C988951E6}"/>
    <cellStyle name="Vírgula 3 2 3 3 3 3 3" xfId="16670" xr:uid="{A4DF7699-7FB0-4AE5-81CC-D71BF632F3E3}"/>
    <cellStyle name="Vírgula 3 2 3 3 3 3 3 2" xfId="42162" xr:uid="{2BEC3D8F-932B-469A-BDEC-68DD6CF6F4D7}"/>
    <cellStyle name="Vírgula 3 2 3 3 3 3 4" xfId="29571" xr:uid="{E3557B0A-1D7F-4ECE-BB90-DDCCC6180EA8}"/>
    <cellStyle name="Vírgula 3 2 3 3 3 4" xfId="7127" xr:uid="{D128688C-8ED6-43EE-AF36-8CE8DB0D2C22}"/>
    <cellStyle name="Vírgula 3 2 3 3 3 4 2" xfId="19809" xr:uid="{D83FD6BC-53F0-4E3E-B3DC-42DD040A2891}"/>
    <cellStyle name="Vírgula 3 2 3 3 3 4 2 2" xfId="45301" xr:uid="{0903CC4D-04CA-4860-8647-BA543C7B46E0}"/>
    <cellStyle name="Vírgula 3 2 3 3 3 4 3" xfId="32710" xr:uid="{7BD7DD46-2899-4BFE-A54F-5C8A0D3C0AFF}"/>
    <cellStyle name="Vírgula 3 2 3 3 3 5" xfId="13531" xr:uid="{A3F07111-44AC-499A-AE8D-526045F299C1}"/>
    <cellStyle name="Vírgula 3 2 3 3 3 5 2" xfId="39023" xr:uid="{4E43F082-39E5-43F6-8F66-163912D21756}"/>
    <cellStyle name="Vírgula 3 2 3 3 3 6" xfId="26432" xr:uid="{1972D981-9447-4CE6-A839-63028D962F9E}"/>
    <cellStyle name="Vírgula 3 2 3 3 4" xfId="1864" xr:uid="{FCAB1424-D67A-4276-BDD5-19CE0B7A1BEE}"/>
    <cellStyle name="Vírgula 3 2 3 3 4 2" xfId="5018" xr:uid="{BCD7504E-3CC7-482F-8F9B-0835AAC9B692}"/>
    <cellStyle name="Vírgula 3 2 3 3 4 2 2" xfId="11311" xr:uid="{242B10DE-6436-42E2-8BB9-339B71FDFB27}"/>
    <cellStyle name="Vírgula 3 2 3 3 4 2 2 2" xfId="23993" xr:uid="{F36A7241-3F37-40EE-9526-E9A9391E3EB5}"/>
    <cellStyle name="Vírgula 3 2 3 3 4 2 2 2 2" xfId="49485" xr:uid="{61076E24-48AE-4A7C-9C48-D1A3C0E06C3F}"/>
    <cellStyle name="Vírgula 3 2 3 3 4 2 2 3" xfId="36894" xr:uid="{E2F6CB82-4BA5-43E9-BD6D-ACF6DC80F945}"/>
    <cellStyle name="Vírgula 3 2 3 3 4 2 3" xfId="17715" xr:uid="{9D0B182F-EBF8-4930-B846-59680EC82F12}"/>
    <cellStyle name="Vírgula 3 2 3 3 4 2 3 2" xfId="43207" xr:uid="{5C428FEA-91B2-450E-8093-558C28F4F774}"/>
    <cellStyle name="Vírgula 3 2 3 3 4 2 4" xfId="30616" xr:uid="{86A05D7A-DE74-45DE-95DD-423EA8F18741}"/>
    <cellStyle name="Vírgula 3 2 3 3 4 3" xfId="8172" xr:uid="{FF604DBF-EAB3-4F95-A5F6-1A9045F1FB6E}"/>
    <cellStyle name="Vírgula 3 2 3 3 4 3 2" xfId="20854" xr:uid="{99C29763-ADE1-4A70-A775-E02EA4BDAA80}"/>
    <cellStyle name="Vírgula 3 2 3 3 4 3 2 2" xfId="46346" xr:uid="{BBFE0ABC-FD4B-4A50-B9EA-439E91BAB55B}"/>
    <cellStyle name="Vírgula 3 2 3 3 4 3 3" xfId="33755" xr:uid="{BD8532B7-4715-4453-A465-5461FDEA839E}"/>
    <cellStyle name="Vírgula 3 2 3 3 4 4" xfId="14576" xr:uid="{1859B690-5CC2-471E-B535-63AC0A010152}"/>
    <cellStyle name="Vírgula 3 2 3 3 4 4 2" xfId="40068" xr:uid="{0EBF9069-4B7A-4DB9-8817-DF2F1274B32A}"/>
    <cellStyle name="Vírgula 3 2 3 3 4 5" xfId="27477" xr:uid="{C84D0383-3356-4CCB-9F56-24292FB807D4}"/>
    <cellStyle name="Vírgula 3 2 3 3 5" xfId="1342" xr:uid="{C09A888F-6521-4459-ACB2-2CD0B307A1AB}"/>
    <cellStyle name="Vírgula 3 2 3 3 5 2" xfId="4496" xr:uid="{26F46BF2-297B-45CD-9877-42AE095E2B1B}"/>
    <cellStyle name="Vírgula 3 2 3 3 5 2 2" xfId="10789" xr:uid="{B304E38F-AA6D-44C4-B6CD-E261D1A1E4C7}"/>
    <cellStyle name="Vírgula 3 2 3 3 5 2 2 2" xfId="23471" xr:uid="{06CD1ABF-9C0A-43F4-93BC-3CDC3AC7693B}"/>
    <cellStyle name="Vírgula 3 2 3 3 5 2 2 2 2" xfId="48963" xr:uid="{1D0F8297-CF28-42FD-AFCF-2A0C21168591}"/>
    <cellStyle name="Vírgula 3 2 3 3 5 2 2 3" xfId="36372" xr:uid="{CBBB0766-0387-4636-80DC-BCFE720D5A32}"/>
    <cellStyle name="Vírgula 3 2 3 3 5 2 3" xfId="17193" xr:uid="{FCDA658E-777D-48E1-A431-C21316E41198}"/>
    <cellStyle name="Vírgula 3 2 3 3 5 2 3 2" xfId="42685" xr:uid="{B9C82CD1-270A-48A8-BE16-F98DE3D61C7E}"/>
    <cellStyle name="Vírgula 3 2 3 3 5 2 4" xfId="30094" xr:uid="{1355820C-F20E-4EBE-AB95-22978D88512D}"/>
    <cellStyle name="Vírgula 3 2 3 3 5 3" xfId="7650" xr:uid="{E96E17DB-474D-4BCB-9819-0BF7663F2B7C}"/>
    <cellStyle name="Vírgula 3 2 3 3 5 3 2" xfId="20332" xr:uid="{2CADA1C7-A710-4FD0-9201-87444BE6E685}"/>
    <cellStyle name="Vírgula 3 2 3 3 5 3 2 2" xfId="45824" xr:uid="{3657B54C-9BFD-4295-AA59-6B78DA30AC1E}"/>
    <cellStyle name="Vírgula 3 2 3 3 5 3 3" xfId="33233" xr:uid="{2F84E0FB-299B-461B-85E3-B3F500DBB872}"/>
    <cellStyle name="Vírgula 3 2 3 3 5 4" xfId="14054" xr:uid="{3E6C4C62-FC25-4231-BBF9-7171D1397696}"/>
    <cellStyle name="Vírgula 3 2 3 3 5 4 2" xfId="39546" xr:uid="{367DDA89-DDBD-475A-A754-6395DF4BFD3C}"/>
    <cellStyle name="Vírgula 3 2 3 3 5 5" xfId="26955" xr:uid="{EC2B7056-B448-4774-9E9B-A62112ED4C35}"/>
    <cellStyle name="Vírgula 3 2 3 3 6" xfId="2649" xr:uid="{2D80D924-CFD8-4748-A9E2-E618D9C32913}"/>
    <cellStyle name="Vírgula 3 2 3 3 6 2" xfId="5803" xr:uid="{2B18A4C5-C2CD-42D3-9CF2-49F7E9379143}"/>
    <cellStyle name="Vírgula 3 2 3 3 6 2 2" xfId="12096" xr:uid="{C21A0650-570A-4E7E-8D43-26CFC0114EC3}"/>
    <cellStyle name="Vírgula 3 2 3 3 6 2 2 2" xfId="24778" xr:uid="{A81DE6C6-7514-4945-A739-E9D4566D7F76}"/>
    <cellStyle name="Vírgula 3 2 3 3 6 2 2 2 2" xfId="50270" xr:uid="{59F412B6-5D7F-4916-A368-7A6F93E98D7B}"/>
    <cellStyle name="Vírgula 3 2 3 3 6 2 2 3" xfId="37679" xr:uid="{67C2E339-3826-4AD4-B8CD-7A2F5AEEF53F}"/>
    <cellStyle name="Vírgula 3 2 3 3 6 2 3" xfId="18500" xr:uid="{E7E0CFAC-8C5A-4698-9E47-94372EDD2624}"/>
    <cellStyle name="Vírgula 3 2 3 3 6 2 3 2" xfId="43992" xr:uid="{31CF8743-B666-4A7F-AF11-2119420B8D1A}"/>
    <cellStyle name="Vírgula 3 2 3 3 6 2 4" xfId="31401" xr:uid="{2E8E35D8-1A19-4055-826C-A229989CA3E0}"/>
    <cellStyle name="Vírgula 3 2 3 3 6 3" xfId="8957" xr:uid="{B5F7A3C8-8BF0-48AE-BD11-A347FDC30C8C}"/>
    <cellStyle name="Vírgula 3 2 3 3 6 3 2" xfId="21639" xr:uid="{9E3F03E0-9263-45D1-A6B3-B2BE019C6E87}"/>
    <cellStyle name="Vírgula 3 2 3 3 6 3 2 2" xfId="47131" xr:uid="{D7D36864-ABCE-4AA9-9609-D6418E499960}"/>
    <cellStyle name="Vírgula 3 2 3 3 6 3 3" xfId="34540" xr:uid="{C8351407-32EA-484E-B27A-93A356D06ACE}"/>
    <cellStyle name="Vírgula 3 2 3 3 6 4" xfId="15361" xr:uid="{3F9A803C-7A7B-4AA4-B59E-43359338E415}"/>
    <cellStyle name="Vírgula 3 2 3 3 6 4 2" xfId="40853" xr:uid="{3D3FDE74-9946-4E95-A7D4-D7D656FF9F8F}"/>
    <cellStyle name="Vírgula 3 2 3 3 6 5" xfId="28262" xr:uid="{166C3940-391D-4DE3-B074-3A4118350BA8}"/>
    <cellStyle name="Vírgula 3 2 3 3 7" xfId="3172" xr:uid="{7AC5C5FB-A145-451E-A1D4-AB8F2DC517B2}"/>
    <cellStyle name="Vírgula 3 2 3 3 7 2" xfId="6326" xr:uid="{DD0F65B8-0D55-4DCB-8D77-849D019F68FC}"/>
    <cellStyle name="Vírgula 3 2 3 3 7 2 2" xfId="12619" xr:uid="{92AF1FFE-0419-4CCC-9055-0B7EDE4AF2ED}"/>
    <cellStyle name="Vírgula 3 2 3 3 7 2 2 2" xfId="25301" xr:uid="{18EA0355-1C04-4A9A-85F3-701FB03363BB}"/>
    <cellStyle name="Vírgula 3 2 3 3 7 2 2 2 2" xfId="50793" xr:uid="{A38789A7-B271-4BFE-880F-D4B1C8BB0994}"/>
    <cellStyle name="Vírgula 3 2 3 3 7 2 2 3" xfId="38202" xr:uid="{2814E965-0E95-4A11-8597-32E6EA4C20E2}"/>
    <cellStyle name="Vírgula 3 2 3 3 7 2 3" xfId="19023" xr:uid="{842EC2D5-649B-44FC-9F2A-0C8F2749F259}"/>
    <cellStyle name="Vírgula 3 2 3 3 7 2 3 2" xfId="44515" xr:uid="{D1DFF8AA-34C6-4031-BEA8-213E9A6D8F2A}"/>
    <cellStyle name="Vírgula 3 2 3 3 7 2 4" xfId="31924" xr:uid="{AEE1425C-96A2-4870-9BEC-F98B710DE78A}"/>
    <cellStyle name="Vírgula 3 2 3 3 7 3" xfId="9480" xr:uid="{0B7F261E-61AF-4FF8-BE3A-925CED0FD41D}"/>
    <cellStyle name="Vírgula 3 2 3 3 7 3 2" xfId="22162" xr:uid="{67390571-F2ED-4799-9219-E552BDC5B349}"/>
    <cellStyle name="Vírgula 3 2 3 3 7 3 2 2" xfId="47654" xr:uid="{BCA3A156-205A-4B6D-A80D-10734E0F97B8}"/>
    <cellStyle name="Vírgula 3 2 3 3 7 3 3" xfId="35063" xr:uid="{D92BD9E5-0CF0-4E63-B3B8-0C426C85DADC}"/>
    <cellStyle name="Vírgula 3 2 3 3 7 4" xfId="15884" xr:uid="{A43879C3-FA5E-4C8B-9C2F-5F7770E68443}"/>
    <cellStyle name="Vírgula 3 2 3 3 7 4 2" xfId="41376" xr:uid="{14E9DEDA-B8BE-4421-ADAD-36CF0E867E60}"/>
    <cellStyle name="Vírgula 3 2 3 3 7 5" xfId="28785" xr:uid="{3C6406AC-4156-4FCA-B71D-6ACAC23EC378}"/>
    <cellStyle name="Vírgula 3 2 3 3 8" xfId="3711" xr:uid="{29FF0758-0E93-4217-A41E-F429F9B2D751}"/>
    <cellStyle name="Vírgula 3 2 3 3 8 2" xfId="10004" xr:uid="{71C537A0-33DE-4CB0-B315-56BAC172B07D}"/>
    <cellStyle name="Vírgula 3 2 3 3 8 2 2" xfId="22686" xr:uid="{2053235D-F3BD-4BF2-8C56-B45310C1A18E}"/>
    <cellStyle name="Vírgula 3 2 3 3 8 2 2 2" xfId="48178" xr:uid="{42056579-D6F4-4655-B964-7D1252ADE47C}"/>
    <cellStyle name="Vírgula 3 2 3 3 8 2 3" xfId="35587" xr:uid="{E789F572-4E5A-4459-8CB8-F4FC6F670E5D}"/>
    <cellStyle name="Vírgula 3 2 3 3 8 3" xfId="16408" xr:uid="{71CE089C-6C91-4DD5-BBBB-6D373EB2B116}"/>
    <cellStyle name="Vírgula 3 2 3 3 8 3 2" xfId="41900" xr:uid="{D6885251-F9EA-4566-9CEB-74BDC5C169F4}"/>
    <cellStyle name="Vírgula 3 2 3 3 8 4" xfId="29309" xr:uid="{6806EB56-6E12-4957-AEC7-964A2FD80E9D}"/>
    <cellStyle name="Vírgula 3 2 3 3 9" xfId="6865" xr:uid="{23F3184D-2D1A-45E5-A9E0-FDEBE0C57116}"/>
    <cellStyle name="Vírgula 3 2 3 3 9 2" xfId="19547" xr:uid="{89C63FE9-E84D-4C91-9366-3678D4CC1AE0}"/>
    <cellStyle name="Vírgula 3 2 3 3 9 2 2" xfId="45039" xr:uid="{219E5B64-FF3D-4D55-B115-7DE731E0DBE3}"/>
    <cellStyle name="Vírgula 3 2 3 3 9 3" xfId="32448" xr:uid="{FAB9D9C1-5BB2-44C8-815C-5711BD0E7C50}"/>
    <cellStyle name="Vírgula 3 2 3 4" xfId="1020" xr:uid="{F1C3E159-AB3F-4E52-904C-9B62FAEA98F2}"/>
    <cellStyle name="Vírgula 3 2 3 4 2" xfId="2327" xr:uid="{842CB75C-ECC4-4491-9CDE-9FC4094E56DD}"/>
    <cellStyle name="Vírgula 3 2 3 4 2 2" xfId="5481" xr:uid="{5EC76D91-D464-4B86-9817-7B09EC28B4F0}"/>
    <cellStyle name="Vírgula 3 2 3 4 2 2 2" xfId="11774" xr:uid="{3A851781-3F7F-49EE-8582-DD77FCCDA874}"/>
    <cellStyle name="Vírgula 3 2 3 4 2 2 2 2" xfId="24456" xr:uid="{2F1E8112-C565-4355-AC03-616AC13D3BF8}"/>
    <cellStyle name="Vírgula 3 2 3 4 2 2 2 2 2" xfId="49948" xr:uid="{C666CFFB-89EA-4C30-9037-1F7DB3C4E8C4}"/>
    <cellStyle name="Vírgula 3 2 3 4 2 2 2 3" xfId="37357" xr:uid="{FEB38262-52FA-4933-92A2-DB9130BAFE5B}"/>
    <cellStyle name="Vírgula 3 2 3 4 2 2 3" xfId="18178" xr:uid="{224F726B-6065-4A44-8DBA-43247A82EA50}"/>
    <cellStyle name="Vírgula 3 2 3 4 2 2 3 2" xfId="43670" xr:uid="{BC937EE9-B785-4E36-A3EE-C0D2BF9DCC77}"/>
    <cellStyle name="Vírgula 3 2 3 4 2 2 4" xfId="31079" xr:uid="{89CAD5E6-E5DB-436C-9F3E-5B9D08A36100}"/>
    <cellStyle name="Vírgula 3 2 3 4 2 3" xfId="8635" xr:uid="{EC6BB245-D08E-40C4-A609-41254E4906D3}"/>
    <cellStyle name="Vírgula 3 2 3 4 2 3 2" xfId="21317" xr:uid="{3E6A9330-5811-4911-8573-45EA99B09430}"/>
    <cellStyle name="Vírgula 3 2 3 4 2 3 2 2" xfId="46809" xr:uid="{E8348A79-53A1-4AEE-A285-27AA02C23F9E}"/>
    <cellStyle name="Vírgula 3 2 3 4 2 3 3" xfId="34218" xr:uid="{BEE408A4-A2B3-4F10-BEBF-B25724350899}"/>
    <cellStyle name="Vírgula 3 2 3 4 2 4" xfId="15039" xr:uid="{3E991037-A7C0-4E5C-9237-39AD990674CA}"/>
    <cellStyle name="Vírgula 3 2 3 4 2 4 2" xfId="40531" xr:uid="{6F3FD7AF-0514-4ABE-982B-5C3AE15CCB57}"/>
    <cellStyle name="Vírgula 3 2 3 4 2 5" xfId="27940" xr:uid="{25B3FA14-9294-42C7-962F-5EF9AFECD768}"/>
    <cellStyle name="Vírgula 3 2 3 4 3" xfId="1544" xr:uid="{3E1649A3-6116-4DB3-8302-C4B6A6C4DC42}"/>
    <cellStyle name="Vírgula 3 2 3 4 3 2" xfId="4698" xr:uid="{ADB89732-51B0-4194-8DF1-421AA5EC03E4}"/>
    <cellStyle name="Vírgula 3 2 3 4 3 2 2" xfId="10991" xr:uid="{4BFCFC50-AA71-4693-A79F-03CD4F975877}"/>
    <cellStyle name="Vírgula 3 2 3 4 3 2 2 2" xfId="23673" xr:uid="{9B6D5131-E705-4EB2-8180-1B6FD8F1BB6F}"/>
    <cellStyle name="Vírgula 3 2 3 4 3 2 2 2 2" xfId="49165" xr:uid="{7607C52A-89AE-4EF0-B9C2-77E5418C84E8}"/>
    <cellStyle name="Vírgula 3 2 3 4 3 2 2 3" xfId="36574" xr:uid="{8EDBE662-FFB4-4BA3-9FAF-46E7530311AB}"/>
    <cellStyle name="Vírgula 3 2 3 4 3 2 3" xfId="17395" xr:uid="{5518F3F5-A9D3-4713-9FE1-5C888AACEFB6}"/>
    <cellStyle name="Vírgula 3 2 3 4 3 2 3 2" xfId="42887" xr:uid="{CBF01E14-AE41-4D62-A4C4-2F089049C777}"/>
    <cellStyle name="Vírgula 3 2 3 4 3 2 4" xfId="30296" xr:uid="{60996A20-9273-4215-BE7B-1D9D0B65DB34}"/>
    <cellStyle name="Vírgula 3 2 3 4 3 3" xfId="7852" xr:uid="{6171C9F4-77DA-4614-A4E3-1B3D22C07811}"/>
    <cellStyle name="Vírgula 3 2 3 4 3 3 2" xfId="20534" xr:uid="{8DB1F3AB-A884-424A-9DCE-212AA62A5A09}"/>
    <cellStyle name="Vírgula 3 2 3 4 3 3 2 2" xfId="46026" xr:uid="{AA561763-A014-4A2C-9BA2-5039AE1E1EFD}"/>
    <cellStyle name="Vírgula 3 2 3 4 3 3 3" xfId="33435" xr:uid="{4E93D720-42A4-454F-9A92-54AD4F8406A6}"/>
    <cellStyle name="Vírgula 3 2 3 4 3 4" xfId="14256" xr:uid="{62587B8B-9F6D-434E-BF3F-457E570CA000}"/>
    <cellStyle name="Vírgula 3 2 3 4 3 4 2" xfId="39748" xr:uid="{C18A1E48-107A-4936-B779-6FF9252F9850}"/>
    <cellStyle name="Vírgula 3 2 3 4 3 5" xfId="27157" xr:uid="{1C072E10-BA11-4334-8817-84D1EEEE09E6}"/>
    <cellStyle name="Vírgula 3 2 3 4 4" xfId="2851" xr:uid="{5B8CAAD9-AA6E-4586-8E62-D00263389074}"/>
    <cellStyle name="Vírgula 3 2 3 4 4 2" xfId="6005" xr:uid="{82ED2D7F-CC3A-467A-BFEB-2A688B577744}"/>
    <cellStyle name="Vírgula 3 2 3 4 4 2 2" xfId="12298" xr:uid="{AFCDB4EC-58CC-41FA-BFA3-47CEA039129E}"/>
    <cellStyle name="Vírgula 3 2 3 4 4 2 2 2" xfId="24980" xr:uid="{1058C296-73E4-46E0-AD76-6F45D570A820}"/>
    <cellStyle name="Vírgula 3 2 3 4 4 2 2 2 2" xfId="50472" xr:uid="{73B5EC1A-58F9-44FB-85D5-4149EC238BA3}"/>
    <cellStyle name="Vírgula 3 2 3 4 4 2 2 3" xfId="37881" xr:uid="{A50268DE-01CE-478B-A254-766CBDFA07EC}"/>
    <cellStyle name="Vírgula 3 2 3 4 4 2 3" xfId="18702" xr:uid="{C7B5390B-9E41-4E07-89E2-496249EF0B2E}"/>
    <cellStyle name="Vírgula 3 2 3 4 4 2 3 2" xfId="44194" xr:uid="{4FFB4B49-9C6F-4C8D-B98C-9133BFC8BC54}"/>
    <cellStyle name="Vírgula 3 2 3 4 4 2 4" xfId="31603" xr:uid="{F118A718-ADDF-4177-A980-42DA1ED3E8F5}"/>
    <cellStyle name="Vírgula 3 2 3 4 4 3" xfId="9159" xr:uid="{1C417E35-E5E6-4E14-B0A7-0120995D9E76}"/>
    <cellStyle name="Vírgula 3 2 3 4 4 3 2" xfId="21841" xr:uid="{940EF9F9-EA95-461C-A392-C6D1C8B25C69}"/>
    <cellStyle name="Vírgula 3 2 3 4 4 3 2 2" xfId="47333" xr:uid="{5E6D371F-9A95-4AB5-849A-EEA08FB66AB5}"/>
    <cellStyle name="Vírgula 3 2 3 4 4 3 3" xfId="34742" xr:uid="{C8A10CFC-CF81-48A0-821C-6C8D9B8EAE15}"/>
    <cellStyle name="Vírgula 3 2 3 4 4 4" xfId="15563" xr:uid="{4DE038FA-F2BF-4AFE-9858-52F13099AB12}"/>
    <cellStyle name="Vírgula 3 2 3 4 4 4 2" xfId="41055" xr:uid="{5A48861C-24F0-4FF3-8EA2-2F6A91B87B6A}"/>
    <cellStyle name="Vírgula 3 2 3 4 4 5" xfId="28464" xr:uid="{A41E89B7-230A-49FA-B0CA-255666731AC2}"/>
    <cellStyle name="Vírgula 3 2 3 4 5" xfId="3374" xr:uid="{6BA0C94D-8916-47B7-8D6D-876BECEF8279}"/>
    <cellStyle name="Vírgula 3 2 3 4 5 2" xfId="6528" xr:uid="{E4E6C9EA-27E9-47AC-A5E3-1A3272C5F320}"/>
    <cellStyle name="Vírgula 3 2 3 4 5 2 2" xfId="12821" xr:uid="{1B259BB8-4225-4C59-B51E-C18D1502875B}"/>
    <cellStyle name="Vírgula 3 2 3 4 5 2 2 2" xfId="25503" xr:uid="{CDCFD10B-E547-4054-AB77-2CAA2B9D58B1}"/>
    <cellStyle name="Vírgula 3 2 3 4 5 2 2 2 2" xfId="50995" xr:uid="{DD045E0A-373B-4E3F-8EB0-603B17D7F4AD}"/>
    <cellStyle name="Vírgula 3 2 3 4 5 2 2 3" xfId="38404" xr:uid="{5BA881AB-CFAD-4968-A011-88A869F3971F}"/>
    <cellStyle name="Vírgula 3 2 3 4 5 2 3" xfId="19225" xr:uid="{B6572018-A631-4107-872A-BA71499CC285}"/>
    <cellStyle name="Vírgula 3 2 3 4 5 2 3 2" xfId="44717" xr:uid="{358D8E19-9F5F-421B-A12C-DEFCBCE90FB1}"/>
    <cellStyle name="Vírgula 3 2 3 4 5 2 4" xfId="32126" xr:uid="{31322A72-0381-4D67-9A8F-FF3A358385FD}"/>
    <cellStyle name="Vírgula 3 2 3 4 5 3" xfId="9682" xr:uid="{8A21E1E9-D632-4C34-B25B-DB414408485E}"/>
    <cellStyle name="Vírgula 3 2 3 4 5 3 2" xfId="22364" xr:uid="{ECFB636F-F204-4DA5-9B3D-3E3C2950B26A}"/>
    <cellStyle name="Vírgula 3 2 3 4 5 3 2 2" xfId="47856" xr:uid="{93A31908-B94F-4D56-9DAA-E10ECE4B4668}"/>
    <cellStyle name="Vírgula 3 2 3 4 5 3 3" xfId="35265" xr:uid="{982E5A29-98CB-4B18-8006-F9C7CFBC282A}"/>
    <cellStyle name="Vírgula 3 2 3 4 5 4" xfId="16086" xr:uid="{D156A6D2-4C0C-4A14-9F25-FB943D214CB6}"/>
    <cellStyle name="Vírgula 3 2 3 4 5 4 2" xfId="41578" xr:uid="{01277D29-5C6D-4672-AD89-A1415A9FB1E0}"/>
    <cellStyle name="Vírgula 3 2 3 4 5 5" xfId="28987" xr:uid="{4F560F4C-2A57-4762-8D0A-C173A2CE86DC}"/>
    <cellStyle name="Vírgula 3 2 3 4 6" xfId="4174" xr:uid="{937FED3A-2FF0-4243-A447-595BD8E77955}"/>
    <cellStyle name="Vírgula 3 2 3 4 6 2" xfId="10467" xr:uid="{DB658B18-3475-4A3B-8951-AA80EE1B58E4}"/>
    <cellStyle name="Vírgula 3 2 3 4 6 2 2" xfId="23149" xr:uid="{BBAE700D-5BA7-4FB7-AF62-E7A23BD5ABE1}"/>
    <cellStyle name="Vírgula 3 2 3 4 6 2 2 2" xfId="48641" xr:uid="{869C77B9-BBD1-44C5-BF40-82940BD33183}"/>
    <cellStyle name="Vírgula 3 2 3 4 6 2 3" xfId="36050" xr:uid="{B012CDC6-CF59-4B2A-8F3A-B8CE33369BB4}"/>
    <cellStyle name="Vírgula 3 2 3 4 6 3" xfId="16871" xr:uid="{F0DE6D71-F973-47C9-A9DD-966B3F98DEAC}"/>
    <cellStyle name="Vírgula 3 2 3 4 6 3 2" xfId="42363" xr:uid="{348CC185-B121-4DA5-BDA3-03416007E696}"/>
    <cellStyle name="Vírgula 3 2 3 4 6 4" xfId="29772" xr:uid="{2C505F0F-70CA-417F-956E-9A2F94CDBC77}"/>
    <cellStyle name="Vírgula 3 2 3 4 7" xfId="7328" xr:uid="{35D2157A-8A5F-4998-86E8-5B97144A5C6D}"/>
    <cellStyle name="Vírgula 3 2 3 4 7 2" xfId="20010" xr:uid="{191ABD04-B09C-4A3A-B1EB-989D02464DDC}"/>
    <cellStyle name="Vírgula 3 2 3 4 7 2 2" xfId="45502" xr:uid="{0FAACFD5-BE92-4D29-B3A3-D0A4B4A9A3AE}"/>
    <cellStyle name="Vírgula 3 2 3 4 7 3" xfId="32911" xr:uid="{A0931C93-5112-4C2F-A8F5-3FBCDC306475}"/>
    <cellStyle name="Vírgula 3 2 3 4 8" xfId="13732" xr:uid="{CA5E48BB-2610-4220-99C7-12EE0915C9C1}"/>
    <cellStyle name="Vírgula 3 2 3 4 8 2" xfId="39224" xr:uid="{2C90E1CA-5683-4A22-9A89-62556E60D088}"/>
    <cellStyle name="Vírgula 3 2 3 4 9" xfId="26633" xr:uid="{46676785-DB80-45AA-8ED5-3FE6387DE822}"/>
    <cellStyle name="Vírgula 3 2 3 5" xfId="760" xr:uid="{84354BB7-C1D1-4EDD-9F29-5F68B397B336}"/>
    <cellStyle name="Vírgula 3 2 3 5 2" xfId="2067" xr:uid="{FF5D711D-4D79-4A36-B84D-84D6AE3402F5}"/>
    <cellStyle name="Vírgula 3 2 3 5 2 2" xfId="5221" xr:uid="{B102B06D-C07B-402C-8A25-33F2EFF2D88B}"/>
    <cellStyle name="Vírgula 3 2 3 5 2 2 2" xfId="11514" xr:uid="{B6BBE1F7-E239-446C-8E43-5E8CD49B694C}"/>
    <cellStyle name="Vírgula 3 2 3 5 2 2 2 2" xfId="24196" xr:uid="{11ACA424-1103-4A44-9A4B-BDC94CCE8AE3}"/>
    <cellStyle name="Vírgula 3 2 3 5 2 2 2 2 2" xfId="49688" xr:uid="{2DCB4A98-FEAE-4EEF-A6FB-D0B515627851}"/>
    <cellStyle name="Vírgula 3 2 3 5 2 2 2 3" xfId="37097" xr:uid="{109CFC1F-8414-41F4-AE14-85DE59745CC1}"/>
    <cellStyle name="Vírgula 3 2 3 5 2 2 3" xfId="17918" xr:uid="{4F96C1C0-8CA1-457B-A533-223094F3D0D3}"/>
    <cellStyle name="Vírgula 3 2 3 5 2 2 3 2" xfId="43410" xr:uid="{0CE7E6C7-869C-492B-BDE0-2EBC2545CE45}"/>
    <cellStyle name="Vírgula 3 2 3 5 2 2 4" xfId="30819" xr:uid="{BBFE166F-D43A-48C5-BCE3-D9CB1E25759B}"/>
    <cellStyle name="Vírgula 3 2 3 5 2 3" xfId="8375" xr:uid="{4A09E311-81EB-4C5F-AF17-1F13623668DB}"/>
    <cellStyle name="Vírgula 3 2 3 5 2 3 2" xfId="21057" xr:uid="{7997DDAA-7A99-4317-B586-47C273B88B1F}"/>
    <cellStyle name="Vírgula 3 2 3 5 2 3 2 2" xfId="46549" xr:uid="{54B6F37F-6919-44D0-B948-8C0C3C2134FE}"/>
    <cellStyle name="Vírgula 3 2 3 5 2 3 3" xfId="33958" xr:uid="{B60991D1-F49C-4A57-A83C-656FD1D62855}"/>
    <cellStyle name="Vírgula 3 2 3 5 2 4" xfId="14779" xr:uid="{B0D73387-54A0-4CCF-921A-FABDD4C4D527}"/>
    <cellStyle name="Vírgula 3 2 3 5 2 4 2" xfId="40271" xr:uid="{E1FDCA56-7F14-413C-A87D-4C2EA96A5CCB}"/>
    <cellStyle name="Vírgula 3 2 3 5 2 5" xfId="27680" xr:uid="{1574CF31-C9C3-4B1A-8C4B-49B82F7A4568}"/>
    <cellStyle name="Vírgula 3 2 3 5 3" xfId="3914" xr:uid="{0DB0EE8B-87EE-4277-A209-1B3215F5BEEE}"/>
    <cellStyle name="Vírgula 3 2 3 5 3 2" xfId="10207" xr:uid="{674B14A4-9E57-4796-B80F-81268D294C1D}"/>
    <cellStyle name="Vírgula 3 2 3 5 3 2 2" xfId="22889" xr:uid="{4CFBCBA6-CFF5-44AC-80A6-5C3C5F47027E}"/>
    <cellStyle name="Vírgula 3 2 3 5 3 2 2 2" xfId="48381" xr:uid="{BB87D9C6-20CE-4CBB-ABAF-AB9301DD3AED}"/>
    <cellStyle name="Vírgula 3 2 3 5 3 2 3" xfId="35790" xr:uid="{D65B8618-2DF8-4AA2-9163-87AB4A1B5522}"/>
    <cellStyle name="Vírgula 3 2 3 5 3 3" xfId="16611" xr:uid="{4FA41628-9ADB-4889-B889-FF34CF99EF17}"/>
    <cellStyle name="Vírgula 3 2 3 5 3 3 2" xfId="42103" xr:uid="{60C7695B-C6E5-45E4-B8E4-7BBDDB8BA2BB}"/>
    <cellStyle name="Vírgula 3 2 3 5 3 4" xfId="29512" xr:uid="{F94F3F36-DFF3-4C15-8487-CE50DE3C41F1}"/>
    <cellStyle name="Vírgula 3 2 3 5 4" xfId="7068" xr:uid="{CA8F8A70-ED59-4060-B322-E94F81D17C08}"/>
    <cellStyle name="Vírgula 3 2 3 5 4 2" xfId="19750" xr:uid="{5F468218-7652-460A-AD56-7B1E4D54364D}"/>
    <cellStyle name="Vírgula 3 2 3 5 4 2 2" xfId="45242" xr:uid="{A629C52B-F9CE-42C4-999B-74056D9A8BC2}"/>
    <cellStyle name="Vírgula 3 2 3 5 4 3" xfId="32651" xr:uid="{8568E3AC-49BD-401E-B701-3293C6DF5150}"/>
    <cellStyle name="Vírgula 3 2 3 5 5" xfId="13472" xr:uid="{13FF9E52-8A49-41BC-97CF-488A0915CC78}"/>
    <cellStyle name="Vírgula 3 2 3 5 5 2" xfId="38964" xr:uid="{82CDD27E-294F-4C3D-B1CF-CFC157351C6A}"/>
    <cellStyle name="Vírgula 3 2 3 5 6" xfId="26373" xr:uid="{EDDCD5A3-6341-4294-B923-C06305C4C561}"/>
    <cellStyle name="Vírgula 3 2 3 6" xfId="1805" xr:uid="{08E49EA4-D596-469A-806E-F0626CBE18FF}"/>
    <cellStyle name="Vírgula 3 2 3 6 2" xfId="4959" xr:uid="{5349F812-0923-41D3-99E0-B06BEA99F01A}"/>
    <cellStyle name="Vírgula 3 2 3 6 2 2" xfId="11252" xr:uid="{855607F8-F3C2-4350-947B-9411950E3995}"/>
    <cellStyle name="Vírgula 3 2 3 6 2 2 2" xfId="23934" xr:uid="{A0913453-2EE4-4F39-AE4C-F89A84108576}"/>
    <cellStyle name="Vírgula 3 2 3 6 2 2 2 2" xfId="49426" xr:uid="{BFFBFB0B-85BD-4385-B05F-9EB777ABB907}"/>
    <cellStyle name="Vírgula 3 2 3 6 2 2 3" xfId="36835" xr:uid="{1B471F76-B374-4ACA-AC71-30BC293302EF}"/>
    <cellStyle name="Vírgula 3 2 3 6 2 3" xfId="17656" xr:uid="{E657E750-ED9C-43F4-865A-395CB3F00CD8}"/>
    <cellStyle name="Vírgula 3 2 3 6 2 3 2" xfId="43148" xr:uid="{562556AD-4EBB-4A06-9614-C26B6CD5AA01}"/>
    <cellStyle name="Vírgula 3 2 3 6 2 4" xfId="30557" xr:uid="{D265AA64-6096-4D06-B208-A1C14A0C697A}"/>
    <cellStyle name="Vírgula 3 2 3 6 3" xfId="8113" xr:uid="{F439ADD3-D61E-42B3-B91F-65AEDA772713}"/>
    <cellStyle name="Vírgula 3 2 3 6 3 2" xfId="20795" xr:uid="{2BA5D129-5D92-4F6D-9F2C-02588519901A}"/>
    <cellStyle name="Vírgula 3 2 3 6 3 2 2" xfId="46287" xr:uid="{5BAFD5AE-85F4-412A-AC79-14EA90D520B2}"/>
    <cellStyle name="Vírgula 3 2 3 6 3 3" xfId="33696" xr:uid="{0D42D1A7-3064-457D-9DA2-91EDCAFD153B}"/>
    <cellStyle name="Vírgula 3 2 3 6 4" xfId="14517" xr:uid="{7312676F-7B93-4314-8774-E75D5C6B263B}"/>
    <cellStyle name="Vírgula 3 2 3 6 4 2" xfId="40009" xr:uid="{61C92E67-A7AD-47D4-BF13-F6DB6D14D14F}"/>
    <cellStyle name="Vírgula 3 2 3 6 5" xfId="27418" xr:uid="{2802C01A-2C8F-490A-BE74-40948F68B312}"/>
    <cellStyle name="Vírgula 3 2 3 7" xfId="1283" xr:uid="{E480E4D9-6A0F-46FC-A7D8-28B6FE197C52}"/>
    <cellStyle name="Vírgula 3 2 3 7 2" xfId="4437" xr:uid="{58A6CCB5-0C0D-4E60-B56B-E19F39D51454}"/>
    <cellStyle name="Vírgula 3 2 3 7 2 2" xfId="10730" xr:uid="{6C38EDAB-3891-4EDD-9EEE-1C1B6F689EF0}"/>
    <cellStyle name="Vírgula 3 2 3 7 2 2 2" xfId="23412" xr:uid="{AB6BD55D-8073-474F-98F0-2DE4FE3595F0}"/>
    <cellStyle name="Vírgula 3 2 3 7 2 2 2 2" xfId="48904" xr:uid="{78F302AA-EFEE-4080-A81B-BC804B1A4A99}"/>
    <cellStyle name="Vírgula 3 2 3 7 2 2 3" xfId="36313" xr:uid="{77364913-E3AA-4578-83D9-34CB60E14CFF}"/>
    <cellStyle name="Vírgula 3 2 3 7 2 3" xfId="17134" xr:uid="{2EC39B0E-6DF9-4DDA-AD13-ADEDDCDDBC06}"/>
    <cellStyle name="Vírgula 3 2 3 7 2 3 2" xfId="42626" xr:uid="{F7510960-8866-4BA5-B960-2D7F0E8FCBB9}"/>
    <cellStyle name="Vírgula 3 2 3 7 2 4" xfId="30035" xr:uid="{958BDFE4-92E0-42AD-B504-8D402AFC6B57}"/>
    <cellStyle name="Vírgula 3 2 3 7 3" xfId="7591" xr:uid="{D8A8AE20-11E1-4BAC-B554-64B11D2D2B59}"/>
    <cellStyle name="Vírgula 3 2 3 7 3 2" xfId="20273" xr:uid="{0683990F-69C7-461D-9237-629CE5D0E98E}"/>
    <cellStyle name="Vírgula 3 2 3 7 3 2 2" xfId="45765" xr:uid="{F8EB0416-37B4-405D-BDD0-FB744FCC2ED8}"/>
    <cellStyle name="Vírgula 3 2 3 7 3 3" xfId="33174" xr:uid="{B15817DD-E3F2-4CA8-B1F1-25C3C53A2F11}"/>
    <cellStyle name="Vírgula 3 2 3 7 4" xfId="13995" xr:uid="{9454149E-7D57-4F22-BDD8-4FF229A9B7BA}"/>
    <cellStyle name="Vírgula 3 2 3 7 4 2" xfId="39487" xr:uid="{BFB7BD25-3750-4687-96D8-0599C42A0E4B}"/>
    <cellStyle name="Vírgula 3 2 3 7 5" xfId="26896" xr:uid="{B4F09F01-20E8-4766-A546-A9643FD30DB6}"/>
    <cellStyle name="Vírgula 3 2 3 8" xfId="2590" xr:uid="{EB6A37A8-E825-4907-9931-576F2640E6DF}"/>
    <cellStyle name="Vírgula 3 2 3 8 2" xfId="5744" xr:uid="{0C6C68FA-29B4-4FA2-9225-E7B04175D281}"/>
    <cellStyle name="Vírgula 3 2 3 8 2 2" xfId="12037" xr:uid="{C214B06E-14F1-4BA2-AB4B-03FE094A96A6}"/>
    <cellStyle name="Vírgula 3 2 3 8 2 2 2" xfId="24719" xr:uid="{6894AFF3-896F-468B-B2FE-059DC36A3616}"/>
    <cellStyle name="Vírgula 3 2 3 8 2 2 2 2" xfId="50211" xr:uid="{33138454-20A0-47FF-8EE4-90AEA6A42057}"/>
    <cellStyle name="Vírgula 3 2 3 8 2 2 3" xfId="37620" xr:uid="{FBB61F79-2CFD-4A71-8B5B-28426AA847B7}"/>
    <cellStyle name="Vírgula 3 2 3 8 2 3" xfId="18441" xr:uid="{8B119A02-BA17-4271-9078-06BB303569F4}"/>
    <cellStyle name="Vírgula 3 2 3 8 2 3 2" xfId="43933" xr:uid="{9E432F9E-5890-477C-9618-C798876CCB38}"/>
    <cellStyle name="Vírgula 3 2 3 8 2 4" xfId="31342" xr:uid="{46612994-A6F6-43E0-AE5D-E1960DDDAE3A}"/>
    <cellStyle name="Vírgula 3 2 3 8 3" xfId="8898" xr:uid="{890BD64B-328C-4FE0-BC96-DBFD85D317A2}"/>
    <cellStyle name="Vírgula 3 2 3 8 3 2" xfId="21580" xr:uid="{EC4B46EE-4A54-4645-83A7-F1CA53BABD80}"/>
    <cellStyle name="Vírgula 3 2 3 8 3 2 2" xfId="47072" xr:uid="{B911956D-E3E4-4A81-B663-A9D3A4A1140E}"/>
    <cellStyle name="Vírgula 3 2 3 8 3 3" xfId="34481" xr:uid="{7B4195DF-BF82-49BE-91E5-388B23CB9BCD}"/>
    <cellStyle name="Vírgula 3 2 3 8 4" xfId="15302" xr:uid="{E158B0C5-AFE3-44F5-B53A-7E433506EF84}"/>
    <cellStyle name="Vírgula 3 2 3 8 4 2" xfId="40794" xr:uid="{B1C07FBF-9166-42BB-9E6A-ECBE9C8DADF8}"/>
    <cellStyle name="Vírgula 3 2 3 8 5" xfId="28203" xr:uid="{B33809B4-F9C9-44BC-9164-9647EB0E454B}"/>
    <cellStyle name="Vírgula 3 2 3 9" xfId="3113" xr:uid="{7E11AFE6-B313-4B8E-A364-32027B9E1E7D}"/>
    <cellStyle name="Vírgula 3 2 3 9 2" xfId="6267" xr:uid="{4AE33AB5-004C-487C-B572-79517DEEA4FB}"/>
    <cellStyle name="Vírgula 3 2 3 9 2 2" xfId="12560" xr:uid="{2D63CBAA-CF16-4DBB-8128-55DE2EF12E85}"/>
    <cellStyle name="Vírgula 3 2 3 9 2 2 2" xfId="25242" xr:uid="{7B82890D-B5E6-4691-BB76-63CB87A6CAA4}"/>
    <cellStyle name="Vírgula 3 2 3 9 2 2 2 2" xfId="50734" xr:uid="{B1F95EFF-BD9E-4865-9DBD-DE65653D63C3}"/>
    <cellStyle name="Vírgula 3 2 3 9 2 2 3" xfId="38143" xr:uid="{532AF46E-5B9B-4717-B654-7B5388E0FD59}"/>
    <cellStyle name="Vírgula 3 2 3 9 2 3" xfId="18964" xr:uid="{9AC7C337-1745-48CC-94BB-1CD92AEBA175}"/>
    <cellStyle name="Vírgula 3 2 3 9 2 3 2" xfId="44456" xr:uid="{9CA261C0-34A1-47AB-B78D-C09A12F876B1}"/>
    <cellStyle name="Vírgula 3 2 3 9 2 4" xfId="31865" xr:uid="{14AEB945-746C-4FD2-90BC-13CF1A9D2893}"/>
    <cellStyle name="Vírgula 3 2 3 9 3" xfId="9421" xr:uid="{9A2FC6C2-575C-4B95-B131-AE8429E5B5E1}"/>
    <cellStyle name="Vírgula 3 2 3 9 3 2" xfId="22103" xr:uid="{F5CF7A30-8FB0-421D-97C3-4C2B5474DD56}"/>
    <cellStyle name="Vírgula 3 2 3 9 3 2 2" xfId="47595" xr:uid="{32FDE960-DFFC-4E8E-BFAB-6F65010A40E9}"/>
    <cellStyle name="Vírgula 3 2 3 9 3 3" xfId="35004" xr:uid="{7C80AE86-BEBE-4CF1-ADB0-9E7468EC7633}"/>
    <cellStyle name="Vírgula 3 2 3 9 4" xfId="15825" xr:uid="{986BB34D-50EA-4C71-A967-DD54AC7EA6FD}"/>
    <cellStyle name="Vírgula 3 2 3 9 4 2" xfId="41317" xr:uid="{3D92D92F-6F00-424F-B885-457B90AC6371}"/>
    <cellStyle name="Vírgula 3 2 3 9 5" xfId="28726" xr:uid="{1F98FFED-1D6B-4D0C-8F4E-2129CB0D455A}"/>
    <cellStyle name="Vírgula 3 2 4" xfId="464" xr:uid="{6BD38A09-53D0-4C36-B33B-11C9076C2237}"/>
    <cellStyle name="Vírgula 3 2 4 10" xfId="6787" xr:uid="{35C14A05-F30E-477C-8669-ABAD2523F987}"/>
    <cellStyle name="Vírgula 3 2 4 10 2" xfId="19469" xr:uid="{637FF671-A0EC-467F-8195-D12D0FF306DE}"/>
    <cellStyle name="Vírgula 3 2 4 10 2 2" xfId="44961" xr:uid="{9B7B2BAE-A7E7-4C67-8F73-C4177D76F234}"/>
    <cellStyle name="Vírgula 3 2 4 10 3" xfId="32370" xr:uid="{9BEB08B8-75B9-49ED-B8E1-C60D8D9F3E9F}"/>
    <cellStyle name="Vírgula 3 2 4 11" xfId="13191" xr:uid="{81C2AB6E-9D99-44BE-B42F-E7CD44E04AE1}"/>
    <cellStyle name="Vírgula 3 2 4 11 2" xfId="38683" xr:uid="{07DDE5A1-0878-4EED-83FC-A42270AAA2E7}"/>
    <cellStyle name="Vírgula 3 2 4 12" xfId="26092" xr:uid="{0E7E94A2-9FAA-49D4-862D-2AE83CB67B8B}"/>
    <cellStyle name="Vírgula 3 2 4 2" xfId="623" xr:uid="{B4CE71C7-CF49-4C44-B4EB-CDE188AAFBCA}"/>
    <cellStyle name="Vírgula 3 2 4 2 10" xfId="13350" xr:uid="{E9192BF4-457C-4FFB-BD27-B367933E653D}"/>
    <cellStyle name="Vírgula 3 2 4 2 10 2" xfId="38842" xr:uid="{4FAAD002-33A2-4CD1-BF53-4729C720B922}"/>
    <cellStyle name="Vírgula 3 2 4 2 11" xfId="26251" xr:uid="{2AC787E3-6628-4027-911C-2F6160A3F765}"/>
    <cellStyle name="Vírgula 3 2 4 2 2" xfId="1160" xr:uid="{F569243E-1DCB-45F9-8328-B92E467AD853}"/>
    <cellStyle name="Vírgula 3 2 4 2 2 2" xfId="2467" xr:uid="{4C295F0B-2193-4CD0-903E-47EA57B81BA7}"/>
    <cellStyle name="Vírgula 3 2 4 2 2 2 2" xfId="5621" xr:uid="{F20FEE57-1805-43A7-B6D3-5568C45B7F9C}"/>
    <cellStyle name="Vírgula 3 2 4 2 2 2 2 2" xfId="11914" xr:uid="{CBFD0B6E-7B4A-4F4F-885D-4289EF8B5FD6}"/>
    <cellStyle name="Vírgula 3 2 4 2 2 2 2 2 2" xfId="24596" xr:uid="{745E7E6C-9AEF-4525-972F-148EC7F1C06C}"/>
    <cellStyle name="Vírgula 3 2 4 2 2 2 2 2 2 2" xfId="50088" xr:uid="{C5C4C6B0-4270-4204-B722-B3AE495F4C5C}"/>
    <cellStyle name="Vírgula 3 2 4 2 2 2 2 2 3" xfId="37497" xr:uid="{D2F3B187-10E1-434E-A511-6FF75ACA7B4F}"/>
    <cellStyle name="Vírgula 3 2 4 2 2 2 2 3" xfId="18318" xr:uid="{6724535C-2007-42D7-B783-2338F460F525}"/>
    <cellStyle name="Vírgula 3 2 4 2 2 2 2 3 2" xfId="43810" xr:uid="{55EECD95-87AB-41F8-BA68-DE475023AEE0}"/>
    <cellStyle name="Vírgula 3 2 4 2 2 2 2 4" xfId="31219" xr:uid="{462FB64A-1881-40F1-B82C-59F51F4818F3}"/>
    <cellStyle name="Vírgula 3 2 4 2 2 2 3" xfId="8775" xr:uid="{B2A4906A-1C94-41BD-B1A3-F74089297F2C}"/>
    <cellStyle name="Vírgula 3 2 4 2 2 2 3 2" xfId="21457" xr:uid="{337191A0-9CBA-4807-B6BA-DA722C327DF6}"/>
    <cellStyle name="Vírgula 3 2 4 2 2 2 3 2 2" xfId="46949" xr:uid="{CB601A30-0846-47D7-907A-2A43F1A43377}"/>
    <cellStyle name="Vírgula 3 2 4 2 2 2 3 3" xfId="34358" xr:uid="{EB130E04-C279-4499-B638-AC0227B5E260}"/>
    <cellStyle name="Vírgula 3 2 4 2 2 2 4" xfId="15179" xr:uid="{C5CC06B5-B5BA-4253-A431-FAEC8C62B148}"/>
    <cellStyle name="Vírgula 3 2 4 2 2 2 4 2" xfId="40671" xr:uid="{24BE9877-EC18-4D1B-9289-BB244FCCF074}"/>
    <cellStyle name="Vírgula 3 2 4 2 2 2 5" xfId="28080" xr:uid="{39C16CEA-9A23-4EE6-B924-DB126F4E340A}"/>
    <cellStyle name="Vírgula 3 2 4 2 2 3" xfId="1684" xr:uid="{61FFF898-DE12-4CF2-B60D-093C67D6DA95}"/>
    <cellStyle name="Vírgula 3 2 4 2 2 3 2" xfId="4838" xr:uid="{D41DC11F-2A51-4561-960C-D35208010279}"/>
    <cellStyle name="Vírgula 3 2 4 2 2 3 2 2" xfId="11131" xr:uid="{4726587D-8CF0-4ADC-99A1-EB881FD00073}"/>
    <cellStyle name="Vírgula 3 2 4 2 2 3 2 2 2" xfId="23813" xr:uid="{F2BB4E21-B3DA-40A4-A352-BB14C2CF021B}"/>
    <cellStyle name="Vírgula 3 2 4 2 2 3 2 2 2 2" xfId="49305" xr:uid="{209B09E1-C17C-4EF5-9D07-2A9BC98ACF97}"/>
    <cellStyle name="Vírgula 3 2 4 2 2 3 2 2 3" xfId="36714" xr:uid="{9082726F-C595-41E8-80EA-60B7548B04B4}"/>
    <cellStyle name="Vírgula 3 2 4 2 2 3 2 3" xfId="17535" xr:uid="{BBCCF28C-D024-4BC7-B122-D6BB6445E44A}"/>
    <cellStyle name="Vírgula 3 2 4 2 2 3 2 3 2" xfId="43027" xr:uid="{D4D82670-2EE5-4749-A433-1A6E165F9308}"/>
    <cellStyle name="Vírgula 3 2 4 2 2 3 2 4" xfId="30436" xr:uid="{E01F8417-F25F-4DAE-9CF6-AA8CFCEDB5C0}"/>
    <cellStyle name="Vírgula 3 2 4 2 2 3 3" xfId="7992" xr:uid="{06607092-4892-4BA5-838C-70040A30BE6B}"/>
    <cellStyle name="Vírgula 3 2 4 2 2 3 3 2" xfId="20674" xr:uid="{8C12855E-9D08-44F0-8F41-8F935CD1F9DD}"/>
    <cellStyle name="Vírgula 3 2 4 2 2 3 3 2 2" xfId="46166" xr:uid="{63D9AD77-49EC-4A3B-B08C-7E0CAC053D76}"/>
    <cellStyle name="Vírgula 3 2 4 2 2 3 3 3" xfId="33575" xr:uid="{1617E805-E288-4C18-BA06-F82AE1E0F695}"/>
    <cellStyle name="Vírgula 3 2 4 2 2 3 4" xfId="14396" xr:uid="{432EF5CB-9166-4C8D-BFC5-337E29124356}"/>
    <cellStyle name="Vírgula 3 2 4 2 2 3 4 2" xfId="39888" xr:uid="{F78C6807-80F3-4960-9CC0-B66D3821F15F}"/>
    <cellStyle name="Vírgula 3 2 4 2 2 3 5" xfId="27297" xr:uid="{DA56B90E-D55F-469F-9754-5EC62BD7C279}"/>
    <cellStyle name="Vírgula 3 2 4 2 2 4" xfId="2991" xr:uid="{EEF46C3F-5B1A-4756-A449-F2CD9B18A799}"/>
    <cellStyle name="Vírgula 3 2 4 2 2 4 2" xfId="6145" xr:uid="{55C7C9A4-341B-4D41-9F62-948CEC4C5495}"/>
    <cellStyle name="Vírgula 3 2 4 2 2 4 2 2" xfId="12438" xr:uid="{89F2AD1E-CEA0-4E2A-BCF8-99D1FAF85F32}"/>
    <cellStyle name="Vírgula 3 2 4 2 2 4 2 2 2" xfId="25120" xr:uid="{E140CEC8-E664-4A49-9AA7-46F17A718382}"/>
    <cellStyle name="Vírgula 3 2 4 2 2 4 2 2 2 2" xfId="50612" xr:uid="{6AEA6115-A0CA-40D1-B009-24F2E682CE07}"/>
    <cellStyle name="Vírgula 3 2 4 2 2 4 2 2 3" xfId="38021" xr:uid="{EB8879E0-1D2E-4D91-893E-C1838D9E194F}"/>
    <cellStyle name="Vírgula 3 2 4 2 2 4 2 3" xfId="18842" xr:uid="{B029D24E-9507-45F7-913A-8846035AA78D}"/>
    <cellStyle name="Vírgula 3 2 4 2 2 4 2 3 2" xfId="44334" xr:uid="{8E1DDCE7-8A2B-4A03-AB06-B66CA0C34960}"/>
    <cellStyle name="Vírgula 3 2 4 2 2 4 2 4" xfId="31743" xr:uid="{2911F0FA-8243-47DF-9608-0D200329993B}"/>
    <cellStyle name="Vírgula 3 2 4 2 2 4 3" xfId="9299" xr:uid="{FB490EAB-3080-482E-949D-5DFFD7A4E43C}"/>
    <cellStyle name="Vírgula 3 2 4 2 2 4 3 2" xfId="21981" xr:uid="{1C1EB254-527D-4237-A112-70FBA3356055}"/>
    <cellStyle name="Vírgula 3 2 4 2 2 4 3 2 2" xfId="47473" xr:uid="{5C3247D7-5896-4359-A55A-1AFB2AAE9833}"/>
    <cellStyle name="Vírgula 3 2 4 2 2 4 3 3" xfId="34882" xr:uid="{F612F242-0BB5-4328-AD0F-5F91035DBA82}"/>
    <cellStyle name="Vírgula 3 2 4 2 2 4 4" xfId="15703" xr:uid="{B75A9908-2BED-4905-BAA1-D818807DD7A8}"/>
    <cellStyle name="Vírgula 3 2 4 2 2 4 4 2" xfId="41195" xr:uid="{A91BEBE3-4557-4B27-86D3-2B6B6759D294}"/>
    <cellStyle name="Vírgula 3 2 4 2 2 4 5" xfId="28604" xr:uid="{0C3F36BB-8453-4FEB-A722-F66DF0FE2ED7}"/>
    <cellStyle name="Vírgula 3 2 4 2 2 5" xfId="3514" xr:uid="{BE4391C6-8629-4ED1-8E9C-668723C616A8}"/>
    <cellStyle name="Vírgula 3 2 4 2 2 5 2" xfId="6668" xr:uid="{F32AB29F-D734-4C3E-AB34-B9B72C20833C}"/>
    <cellStyle name="Vírgula 3 2 4 2 2 5 2 2" xfId="12961" xr:uid="{83C8995A-24CA-44B4-826E-BCD5E0B4DBF1}"/>
    <cellStyle name="Vírgula 3 2 4 2 2 5 2 2 2" xfId="25643" xr:uid="{6191A6F7-5AA3-41EB-BDB8-7A82E6E57000}"/>
    <cellStyle name="Vírgula 3 2 4 2 2 5 2 2 2 2" xfId="51135" xr:uid="{FE0D781E-738D-4957-B14F-B1080516AF20}"/>
    <cellStyle name="Vírgula 3 2 4 2 2 5 2 2 3" xfId="38544" xr:uid="{4A9AD050-4805-4301-8E49-E3F2FCBE3A60}"/>
    <cellStyle name="Vírgula 3 2 4 2 2 5 2 3" xfId="19365" xr:uid="{FDD880D2-5E72-45CB-A903-9308FF59729A}"/>
    <cellStyle name="Vírgula 3 2 4 2 2 5 2 3 2" xfId="44857" xr:uid="{2F3AA398-D48A-4C69-864B-8668591EB63F}"/>
    <cellStyle name="Vírgula 3 2 4 2 2 5 2 4" xfId="32266" xr:uid="{46C58891-0FB9-462E-94C2-FD2917C7D00D}"/>
    <cellStyle name="Vírgula 3 2 4 2 2 5 3" xfId="9822" xr:uid="{E2D315A0-7995-491A-99EC-0475AC3B15C0}"/>
    <cellStyle name="Vírgula 3 2 4 2 2 5 3 2" xfId="22504" xr:uid="{90CC334C-E636-46D9-9D79-214E6D2DD2D1}"/>
    <cellStyle name="Vírgula 3 2 4 2 2 5 3 2 2" xfId="47996" xr:uid="{B62264E3-CA1D-43C2-970D-C6BFCB87B265}"/>
    <cellStyle name="Vírgula 3 2 4 2 2 5 3 3" xfId="35405" xr:uid="{8768EA49-09D3-4A4E-A908-D55127BCB776}"/>
    <cellStyle name="Vírgula 3 2 4 2 2 5 4" xfId="16226" xr:uid="{EFA7AA65-A5BB-4B97-9DB6-67C6C9BFF8C2}"/>
    <cellStyle name="Vírgula 3 2 4 2 2 5 4 2" xfId="41718" xr:uid="{A65DB87C-25BE-43F5-BBC8-7BCC273C1DAE}"/>
    <cellStyle name="Vírgula 3 2 4 2 2 5 5" xfId="29127" xr:uid="{634177E5-AFF4-4378-9CCB-6AA2E5954ABE}"/>
    <cellStyle name="Vírgula 3 2 4 2 2 6" xfId="4314" xr:uid="{47C01DDA-3F43-4F37-9195-CAA04F679CD8}"/>
    <cellStyle name="Vírgula 3 2 4 2 2 6 2" xfId="10607" xr:uid="{5F469BD0-1A73-4D6B-BBCA-1298F2A6EFDC}"/>
    <cellStyle name="Vírgula 3 2 4 2 2 6 2 2" xfId="23289" xr:uid="{E27F51BF-62F2-4035-8F8E-A0EC0C517492}"/>
    <cellStyle name="Vírgula 3 2 4 2 2 6 2 2 2" xfId="48781" xr:uid="{E4357235-8241-4EB7-920E-D8FE6510781E}"/>
    <cellStyle name="Vírgula 3 2 4 2 2 6 2 3" xfId="36190" xr:uid="{99E8F6B8-5932-4441-9560-1846616E5A2F}"/>
    <cellStyle name="Vírgula 3 2 4 2 2 6 3" xfId="17011" xr:uid="{11EF987D-F2DA-48FE-A47E-A5A1095F9065}"/>
    <cellStyle name="Vírgula 3 2 4 2 2 6 3 2" xfId="42503" xr:uid="{3A2F056E-EF3B-4C1E-A52A-D26E2061AD26}"/>
    <cellStyle name="Vírgula 3 2 4 2 2 6 4" xfId="29912" xr:uid="{D2AD40B1-B139-40B0-B266-E1FCADF3970F}"/>
    <cellStyle name="Vírgula 3 2 4 2 2 7" xfId="7468" xr:uid="{A61650F7-EBF6-4E65-94D2-364391EB3D1D}"/>
    <cellStyle name="Vírgula 3 2 4 2 2 7 2" xfId="20150" xr:uid="{CEE8CF97-6A24-4BCB-A46D-30C2603B9C17}"/>
    <cellStyle name="Vírgula 3 2 4 2 2 7 2 2" xfId="45642" xr:uid="{09CBEACF-D192-45D6-8340-269FD1265ABF}"/>
    <cellStyle name="Vírgula 3 2 4 2 2 7 3" xfId="33051" xr:uid="{D6AD1C94-E8E5-4AAC-B49E-F96CA90AFA83}"/>
    <cellStyle name="Vírgula 3 2 4 2 2 8" xfId="13872" xr:uid="{8BD9163B-D3E4-4FAD-B794-FD355EC6BDBD}"/>
    <cellStyle name="Vírgula 3 2 4 2 2 8 2" xfId="39364" xr:uid="{5ED62520-1F8D-4190-B2CC-D7CAA1E30B9D}"/>
    <cellStyle name="Vírgula 3 2 4 2 2 9" xfId="26773" xr:uid="{58F22C36-D2B9-4108-BCC4-94A8870D29C5}"/>
    <cellStyle name="Vírgula 3 2 4 2 3" xfId="900" xr:uid="{DCDF914C-F95B-4565-951E-CC6B00BD6037}"/>
    <cellStyle name="Vírgula 3 2 4 2 3 2" xfId="2207" xr:uid="{8F900E1B-CC09-46F2-B09B-8041DD24D097}"/>
    <cellStyle name="Vírgula 3 2 4 2 3 2 2" xfId="5361" xr:uid="{6A3AA1F0-B77E-4E49-86B6-A2910989553E}"/>
    <cellStyle name="Vírgula 3 2 4 2 3 2 2 2" xfId="11654" xr:uid="{D1322B8C-FBA3-4A71-8262-78A590DA3F2D}"/>
    <cellStyle name="Vírgula 3 2 4 2 3 2 2 2 2" xfId="24336" xr:uid="{761607EC-D5F1-4494-A498-45E93A3D59BE}"/>
    <cellStyle name="Vírgula 3 2 4 2 3 2 2 2 2 2" xfId="49828" xr:uid="{A1595773-F470-467A-AED7-EB4A6B55F032}"/>
    <cellStyle name="Vírgula 3 2 4 2 3 2 2 2 3" xfId="37237" xr:uid="{52F23963-A929-499A-B440-7A179BD699FD}"/>
    <cellStyle name="Vírgula 3 2 4 2 3 2 2 3" xfId="18058" xr:uid="{2FC04AE3-80DA-4A9A-A64D-A2BB0B56EE36}"/>
    <cellStyle name="Vírgula 3 2 4 2 3 2 2 3 2" xfId="43550" xr:uid="{4BBABBA6-38C8-4956-B085-95010872C289}"/>
    <cellStyle name="Vírgula 3 2 4 2 3 2 2 4" xfId="30959" xr:uid="{61B49B51-FEF5-41A4-BBFD-A587E062BC3E}"/>
    <cellStyle name="Vírgula 3 2 4 2 3 2 3" xfId="8515" xr:uid="{C52251DD-677A-48E5-B233-834BDA11AE27}"/>
    <cellStyle name="Vírgula 3 2 4 2 3 2 3 2" xfId="21197" xr:uid="{41097F6F-7FDF-4D8B-9CAE-E236D1DA65C4}"/>
    <cellStyle name="Vírgula 3 2 4 2 3 2 3 2 2" xfId="46689" xr:uid="{95991029-9B64-40D5-879B-CA01E54E8CD1}"/>
    <cellStyle name="Vírgula 3 2 4 2 3 2 3 3" xfId="34098" xr:uid="{220BE3AB-82D9-495E-9FBC-8BAA1D2C103F}"/>
    <cellStyle name="Vírgula 3 2 4 2 3 2 4" xfId="14919" xr:uid="{2F458D23-21FE-4960-B679-59FFDBCF114A}"/>
    <cellStyle name="Vírgula 3 2 4 2 3 2 4 2" xfId="40411" xr:uid="{FD3C2DF3-4298-4B7D-9B6C-340EF1AAAA10}"/>
    <cellStyle name="Vírgula 3 2 4 2 3 2 5" xfId="27820" xr:uid="{AF51CDF7-57AB-47A7-95C8-321532BCCBC0}"/>
    <cellStyle name="Vírgula 3 2 4 2 3 3" xfId="4054" xr:uid="{E74B2084-AB32-4C96-8655-EA28B65BCD5E}"/>
    <cellStyle name="Vírgula 3 2 4 2 3 3 2" xfId="10347" xr:uid="{29CA0B13-5D4F-40EB-9244-B522B840F5C7}"/>
    <cellStyle name="Vírgula 3 2 4 2 3 3 2 2" xfId="23029" xr:uid="{CCC0249A-1BE6-4CFE-AF3F-FF042329DB10}"/>
    <cellStyle name="Vírgula 3 2 4 2 3 3 2 2 2" xfId="48521" xr:uid="{B833CB71-9BAD-46B1-A123-406FBDD0CD1F}"/>
    <cellStyle name="Vírgula 3 2 4 2 3 3 2 3" xfId="35930" xr:uid="{79855BB2-3613-48EA-AD22-D00BA9682E3A}"/>
    <cellStyle name="Vírgula 3 2 4 2 3 3 3" xfId="16751" xr:uid="{B5FB70E5-B04D-4896-A450-6F5AD6E9AF42}"/>
    <cellStyle name="Vírgula 3 2 4 2 3 3 3 2" xfId="42243" xr:uid="{543232E9-C80A-4BAB-97FC-ED10910594C4}"/>
    <cellStyle name="Vírgula 3 2 4 2 3 3 4" xfId="29652" xr:uid="{8C968BF7-3593-469B-84EA-DFEEF1B8B3B5}"/>
    <cellStyle name="Vírgula 3 2 4 2 3 4" xfId="7208" xr:uid="{B1629F7D-1F0E-4BDB-97DA-400AB8EDCC93}"/>
    <cellStyle name="Vírgula 3 2 4 2 3 4 2" xfId="19890" xr:uid="{B4FF801B-D469-4045-B993-EFB40A146AEB}"/>
    <cellStyle name="Vírgula 3 2 4 2 3 4 2 2" xfId="45382" xr:uid="{35EACB99-2911-4A14-9058-D95FE07273C8}"/>
    <cellStyle name="Vírgula 3 2 4 2 3 4 3" xfId="32791" xr:uid="{38556DB3-01EE-46F4-9915-5C51A567FAD5}"/>
    <cellStyle name="Vírgula 3 2 4 2 3 5" xfId="13612" xr:uid="{9083DBD6-08D5-4031-BF60-C975D7938A48}"/>
    <cellStyle name="Vírgula 3 2 4 2 3 5 2" xfId="39104" xr:uid="{61AB667F-553F-4BC3-B4C0-645E7E5E3A87}"/>
    <cellStyle name="Vírgula 3 2 4 2 3 6" xfId="26513" xr:uid="{55980F60-6571-469F-BFFC-54F07EFED205}"/>
    <cellStyle name="Vírgula 3 2 4 2 4" xfId="1945" xr:uid="{09D2C0B7-A21E-42D5-913F-12C8D0084094}"/>
    <cellStyle name="Vírgula 3 2 4 2 4 2" xfId="5099" xr:uid="{A7A463CB-3175-4E0C-A42F-3212E2AB80A3}"/>
    <cellStyle name="Vírgula 3 2 4 2 4 2 2" xfId="11392" xr:uid="{965F6225-5435-475D-A371-623A080BE059}"/>
    <cellStyle name="Vírgula 3 2 4 2 4 2 2 2" xfId="24074" xr:uid="{73146759-064B-4A4B-840C-947D25BEA5E5}"/>
    <cellStyle name="Vírgula 3 2 4 2 4 2 2 2 2" xfId="49566" xr:uid="{C2D4F0E0-9CE1-4E95-95FF-935DF02F32BF}"/>
    <cellStyle name="Vírgula 3 2 4 2 4 2 2 3" xfId="36975" xr:uid="{0FB507F1-462E-4576-86FE-4EA8977C8B59}"/>
    <cellStyle name="Vírgula 3 2 4 2 4 2 3" xfId="17796" xr:uid="{905C23EC-F9DA-431D-B0CB-FA46244663C1}"/>
    <cellStyle name="Vírgula 3 2 4 2 4 2 3 2" xfId="43288" xr:uid="{88FCB965-0EB2-4459-A850-1214814FFCBB}"/>
    <cellStyle name="Vírgula 3 2 4 2 4 2 4" xfId="30697" xr:uid="{F9188A4C-124F-495E-BB8B-C0822DD63CA3}"/>
    <cellStyle name="Vírgula 3 2 4 2 4 3" xfId="8253" xr:uid="{7A86174D-F20B-4017-838E-F5703B697C5B}"/>
    <cellStyle name="Vírgula 3 2 4 2 4 3 2" xfId="20935" xr:uid="{9BA6F334-2C71-40E3-96B0-638402263836}"/>
    <cellStyle name="Vírgula 3 2 4 2 4 3 2 2" xfId="46427" xr:uid="{5232A872-90E3-496E-9977-7FB398A182F7}"/>
    <cellStyle name="Vírgula 3 2 4 2 4 3 3" xfId="33836" xr:uid="{29036E1A-6F3B-432F-821A-7DB2E53A3AF8}"/>
    <cellStyle name="Vírgula 3 2 4 2 4 4" xfId="14657" xr:uid="{40B0F321-7917-4327-857A-B418F7345EC4}"/>
    <cellStyle name="Vírgula 3 2 4 2 4 4 2" xfId="40149" xr:uid="{B0F0CEC8-CDC4-4561-BD3F-E807BBA866DB}"/>
    <cellStyle name="Vírgula 3 2 4 2 4 5" xfId="27558" xr:uid="{A1227187-EDDF-4E24-A86B-236F2E7DED6B}"/>
    <cellStyle name="Vírgula 3 2 4 2 5" xfId="1423" xr:uid="{13269932-07C3-469A-973C-DA491682EE7A}"/>
    <cellStyle name="Vírgula 3 2 4 2 5 2" xfId="4577" xr:uid="{6FAEB5D2-8970-4FDB-A98C-BDF18E97CE49}"/>
    <cellStyle name="Vírgula 3 2 4 2 5 2 2" xfId="10870" xr:uid="{78416E06-093C-4F85-BE62-130B4B756C78}"/>
    <cellStyle name="Vírgula 3 2 4 2 5 2 2 2" xfId="23552" xr:uid="{4DE7171C-45B4-4B9C-8D04-817EC91668AA}"/>
    <cellStyle name="Vírgula 3 2 4 2 5 2 2 2 2" xfId="49044" xr:uid="{6B1D6412-1251-4A03-84DE-84BC0E2D3734}"/>
    <cellStyle name="Vírgula 3 2 4 2 5 2 2 3" xfId="36453" xr:uid="{6A06E25F-85F7-4E3C-AA38-8523C48762D3}"/>
    <cellStyle name="Vírgula 3 2 4 2 5 2 3" xfId="17274" xr:uid="{E256A7F2-F1D9-4D28-90D4-9A18429AE75C}"/>
    <cellStyle name="Vírgula 3 2 4 2 5 2 3 2" xfId="42766" xr:uid="{1E5F8D07-7FDF-4D52-B3B0-49C4ED44A714}"/>
    <cellStyle name="Vírgula 3 2 4 2 5 2 4" xfId="30175" xr:uid="{3DC340E5-9E43-4276-A1A7-116FB766D96C}"/>
    <cellStyle name="Vírgula 3 2 4 2 5 3" xfId="7731" xr:uid="{C9A86444-F882-4AAC-B259-1A138FDA8C73}"/>
    <cellStyle name="Vírgula 3 2 4 2 5 3 2" xfId="20413" xr:uid="{49AF5334-9F5D-4B85-849D-6DC5F1870F88}"/>
    <cellStyle name="Vírgula 3 2 4 2 5 3 2 2" xfId="45905" xr:uid="{721CD336-2CAF-4112-88ED-E87EECB6D136}"/>
    <cellStyle name="Vírgula 3 2 4 2 5 3 3" xfId="33314" xr:uid="{3C8DF884-3A61-43A3-8A61-C6F5511EAE74}"/>
    <cellStyle name="Vírgula 3 2 4 2 5 4" xfId="14135" xr:uid="{A50BC07B-C6A0-4975-AF58-C30885F68BF7}"/>
    <cellStyle name="Vírgula 3 2 4 2 5 4 2" xfId="39627" xr:uid="{7FCF6FEC-AD62-4E43-9D1A-E69999D98421}"/>
    <cellStyle name="Vírgula 3 2 4 2 5 5" xfId="27036" xr:uid="{75A1DAE4-DE86-4BC9-B3EB-EA11C7EA0AF7}"/>
    <cellStyle name="Vírgula 3 2 4 2 6" xfId="2730" xr:uid="{91A81E33-606A-4E4A-A98C-236E6B17ED40}"/>
    <cellStyle name="Vírgula 3 2 4 2 6 2" xfId="5884" xr:uid="{6C03F8CF-4E0F-41C0-96C4-F4DA16BC3A27}"/>
    <cellStyle name="Vírgula 3 2 4 2 6 2 2" xfId="12177" xr:uid="{27DA774F-7DCB-4515-B7D3-935DA699FE02}"/>
    <cellStyle name="Vírgula 3 2 4 2 6 2 2 2" xfId="24859" xr:uid="{28ECDA42-9274-47E7-AFB8-C47CABB6307A}"/>
    <cellStyle name="Vírgula 3 2 4 2 6 2 2 2 2" xfId="50351" xr:uid="{DFFD866E-C23E-4BE8-88BD-191D5363B33B}"/>
    <cellStyle name="Vírgula 3 2 4 2 6 2 2 3" xfId="37760" xr:uid="{952B758A-1D3F-454C-BC00-BD014A0090AD}"/>
    <cellStyle name="Vírgula 3 2 4 2 6 2 3" xfId="18581" xr:uid="{C5892899-11C3-4976-8838-26E6FFACF7D1}"/>
    <cellStyle name="Vírgula 3 2 4 2 6 2 3 2" xfId="44073" xr:uid="{E1BF7B74-444C-425A-8CB6-0A38010BD75E}"/>
    <cellStyle name="Vírgula 3 2 4 2 6 2 4" xfId="31482" xr:uid="{0186186A-0FE7-4890-8BB2-787F05667CB9}"/>
    <cellStyle name="Vírgula 3 2 4 2 6 3" xfId="9038" xr:uid="{612025A3-4FD6-4A73-9C9B-5E9D0304B0CA}"/>
    <cellStyle name="Vírgula 3 2 4 2 6 3 2" xfId="21720" xr:uid="{1EE324AF-BF9B-4B67-8A1D-36624534C9D9}"/>
    <cellStyle name="Vírgula 3 2 4 2 6 3 2 2" xfId="47212" xr:uid="{E3173FEE-ADB1-4C2F-98F4-9D5DCF072440}"/>
    <cellStyle name="Vírgula 3 2 4 2 6 3 3" xfId="34621" xr:uid="{5EDB29E7-8BDE-421B-85C6-31EFC54A6F35}"/>
    <cellStyle name="Vírgula 3 2 4 2 6 4" xfId="15442" xr:uid="{2457DA93-F846-442F-A663-DC168F598CA1}"/>
    <cellStyle name="Vírgula 3 2 4 2 6 4 2" xfId="40934" xr:uid="{1C29098D-5120-4D8D-9D96-3B8A787D673E}"/>
    <cellStyle name="Vírgula 3 2 4 2 6 5" xfId="28343" xr:uid="{8305FB1C-BD8A-4F98-BB21-144FDC94D5D9}"/>
    <cellStyle name="Vírgula 3 2 4 2 7" xfId="3253" xr:uid="{331EAD3D-F21F-46A5-B0AA-6D7CBB1F3ABE}"/>
    <cellStyle name="Vírgula 3 2 4 2 7 2" xfId="6407" xr:uid="{A110AE73-77BC-4D56-8476-B65C16C173DA}"/>
    <cellStyle name="Vírgula 3 2 4 2 7 2 2" xfId="12700" xr:uid="{51DD1C17-B8CD-4048-B34C-D4BC0F6885CF}"/>
    <cellStyle name="Vírgula 3 2 4 2 7 2 2 2" xfId="25382" xr:uid="{C9517233-7D84-4603-BED9-F9B4E900799C}"/>
    <cellStyle name="Vírgula 3 2 4 2 7 2 2 2 2" xfId="50874" xr:uid="{F6603F11-35B7-45D7-A6A2-34F48D5081BA}"/>
    <cellStyle name="Vírgula 3 2 4 2 7 2 2 3" xfId="38283" xr:uid="{1BBB10D1-A715-4C5A-8CE4-9F2F17EC745D}"/>
    <cellStyle name="Vírgula 3 2 4 2 7 2 3" xfId="19104" xr:uid="{C94CA75B-9EDC-4F9F-BAF5-78920950E0B6}"/>
    <cellStyle name="Vírgula 3 2 4 2 7 2 3 2" xfId="44596" xr:uid="{66FD0DD2-5443-4B8F-8281-A494A35355F4}"/>
    <cellStyle name="Vírgula 3 2 4 2 7 2 4" xfId="32005" xr:uid="{D2C1C6AD-AC35-4262-8556-1368F0C70FFD}"/>
    <cellStyle name="Vírgula 3 2 4 2 7 3" xfId="9561" xr:uid="{283E8B00-2FAB-4913-9202-292E3166DDD7}"/>
    <cellStyle name="Vírgula 3 2 4 2 7 3 2" xfId="22243" xr:uid="{C563AE02-DB8B-464C-BCEC-053D9AE718C5}"/>
    <cellStyle name="Vírgula 3 2 4 2 7 3 2 2" xfId="47735" xr:uid="{0444F1D9-7B69-4A9E-AABA-992E2F77232D}"/>
    <cellStyle name="Vírgula 3 2 4 2 7 3 3" xfId="35144" xr:uid="{9F0CB981-E079-407E-AD1F-B68379DAC0A1}"/>
    <cellStyle name="Vírgula 3 2 4 2 7 4" xfId="15965" xr:uid="{91BE2FF5-5F8A-4068-B3FC-A53F2F03C802}"/>
    <cellStyle name="Vírgula 3 2 4 2 7 4 2" xfId="41457" xr:uid="{C3DF564A-6F7B-4956-9D31-42CAFC4C1C67}"/>
    <cellStyle name="Vírgula 3 2 4 2 7 5" xfId="28866" xr:uid="{39B7A559-B639-4AAE-B256-516084750B65}"/>
    <cellStyle name="Vírgula 3 2 4 2 8" xfId="3792" xr:uid="{E6CC9E90-FB02-4C50-9C91-1E211CC690DF}"/>
    <cellStyle name="Vírgula 3 2 4 2 8 2" xfId="10085" xr:uid="{A40533F6-A287-492F-AD3D-9FE61C2BCD66}"/>
    <cellStyle name="Vírgula 3 2 4 2 8 2 2" xfId="22767" xr:uid="{3E39D680-CA0C-4811-BA95-E5E428545956}"/>
    <cellStyle name="Vírgula 3 2 4 2 8 2 2 2" xfId="48259" xr:uid="{2353253C-8326-436F-8D16-143DAAF59476}"/>
    <cellStyle name="Vírgula 3 2 4 2 8 2 3" xfId="35668" xr:uid="{DD03A20F-246D-4542-9C13-0358C3FC904F}"/>
    <cellStyle name="Vírgula 3 2 4 2 8 3" xfId="16489" xr:uid="{356FCFCC-DD16-43C6-815E-B11B6350EC1F}"/>
    <cellStyle name="Vírgula 3 2 4 2 8 3 2" xfId="41981" xr:uid="{C3BEFA1C-7383-4B95-B2C4-FE86D8EE2535}"/>
    <cellStyle name="Vírgula 3 2 4 2 8 4" xfId="29390" xr:uid="{AC2B6FAF-9254-4A3E-A8EF-BA4CD963D404}"/>
    <cellStyle name="Vírgula 3 2 4 2 9" xfId="6946" xr:uid="{634DF433-866D-47CE-9ED7-4932D08DEE76}"/>
    <cellStyle name="Vírgula 3 2 4 2 9 2" xfId="19628" xr:uid="{6B481295-2297-41CF-8DFF-F92C1D4A8FAE}"/>
    <cellStyle name="Vírgula 3 2 4 2 9 2 2" xfId="45120" xr:uid="{5AA113A8-8D55-4AEB-B3AF-8F00DED1687A}"/>
    <cellStyle name="Vírgula 3 2 4 2 9 3" xfId="32529" xr:uid="{D3E8D54A-4F44-43A8-AEB2-1BAEEA9FD17D}"/>
    <cellStyle name="Vírgula 3 2 4 3" xfId="1001" xr:uid="{80F49F7B-033C-4CCB-A33B-A0CF7F8C4CB6}"/>
    <cellStyle name="Vírgula 3 2 4 3 2" xfId="2308" xr:uid="{CF796F7B-646A-42B9-9403-00DC31F900E7}"/>
    <cellStyle name="Vírgula 3 2 4 3 2 2" xfId="5462" xr:uid="{A07D599F-87DF-43CD-BC5C-B2CA0CEB5879}"/>
    <cellStyle name="Vírgula 3 2 4 3 2 2 2" xfId="11755" xr:uid="{4B5D233D-DAE7-4F45-A67A-3403F7ACCEA7}"/>
    <cellStyle name="Vírgula 3 2 4 3 2 2 2 2" xfId="24437" xr:uid="{106785E0-3DF9-4A26-8B95-B18A33242007}"/>
    <cellStyle name="Vírgula 3 2 4 3 2 2 2 2 2" xfId="49929" xr:uid="{547A4E82-38D6-4451-A24D-84B4E59E5F18}"/>
    <cellStyle name="Vírgula 3 2 4 3 2 2 2 3" xfId="37338" xr:uid="{DFBCD410-A6DD-467A-A919-778672DFC344}"/>
    <cellStyle name="Vírgula 3 2 4 3 2 2 3" xfId="18159" xr:uid="{6F2D17BA-321D-4F60-A6BA-6ABD1F841DCE}"/>
    <cellStyle name="Vírgula 3 2 4 3 2 2 3 2" xfId="43651" xr:uid="{2B44972E-CD73-40D1-98DF-391B6F6E0D8B}"/>
    <cellStyle name="Vírgula 3 2 4 3 2 2 4" xfId="31060" xr:uid="{CAC66F73-8985-4650-9DFF-230BCFD0ECD5}"/>
    <cellStyle name="Vírgula 3 2 4 3 2 3" xfId="8616" xr:uid="{71ABAE71-2D2C-4058-8223-635B6C4A2DFB}"/>
    <cellStyle name="Vírgula 3 2 4 3 2 3 2" xfId="21298" xr:uid="{AF2E897A-A9FC-465F-A90B-4DA7AB01B3F4}"/>
    <cellStyle name="Vírgula 3 2 4 3 2 3 2 2" xfId="46790" xr:uid="{690E14AC-9787-4619-9F79-29569EE6883E}"/>
    <cellStyle name="Vírgula 3 2 4 3 2 3 3" xfId="34199" xr:uid="{DBD988AF-FDAA-4CBC-8E59-E54193D52B5F}"/>
    <cellStyle name="Vírgula 3 2 4 3 2 4" xfId="15020" xr:uid="{56A80FB8-76BD-4850-A404-239BAD29B9B3}"/>
    <cellStyle name="Vírgula 3 2 4 3 2 4 2" xfId="40512" xr:uid="{CA993523-553A-4E4F-AD4D-4F140C44B372}"/>
    <cellStyle name="Vírgula 3 2 4 3 2 5" xfId="27921" xr:uid="{B7C1005E-597E-4F6B-AD35-58D7823EB31C}"/>
    <cellStyle name="Vírgula 3 2 4 3 3" xfId="1525" xr:uid="{B996D1A4-0A93-4C00-8150-94B0BDA043F1}"/>
    <cellStyle name="Vírgula 3 2 4 3 3 2" xfId="4679" xr:uid="{3D7E6DE6-6C17-447E-B11F-E6EDD39B2B32}"/>
    <cellStyle name="Vírgula 3 2 4 3 3 2 2" xfId="10972" xr:uid="{3F258D82-9159-4903-8683-B81AD299F7DC}"/>
    <cellStyle name="Vírgula 3 2 4 3 3 2 2 2" xfId="23654" xr:uid="{D2C970D5-431F-449C-BC8C-5D81A58AB08D}"/>
    <cellStyle name="Vírgula 3 2 4 3 3 2 2 2 2" xfId="49146" xr:uid="{769C2DC2-1D28-470C-8566-68207F3DE691}"/>
    <cellStyle name="Vírgula 3 2 4 3 3 2 2 3" xfId="36555" xr:uid="{B37F1FC3-D025-4B3A-B957-6AEA446E7A00}"/>
    <cellStyle name="Vírgula 3 2 4 3 3 2 3" xfId="17376" xr:uid="{D5E8851F-CE94-427E-9202-CD73B9744CC7}"/>
    <cellStyle name="Vírgula 3 2 4 3 3 2 3 2" xfId="42868" xr:uid="{303D0792-0293-4E5E-B9E8-6D744E437307}"/>
    <cellStyle name="Vírgula 3 2 4 3 3 2 4" xfId="30277" xr:uid="{C910BB9D-718A-4B83-948B-710E2CEEA24D}"/>
    <cellStyle name="Vírgula 3 2 4 3 3 3" xfId="7833" xr:uid="{45477FBE-6DD4-491B-81C1-2198721A7811}"/>
    <cellStyle name="Vírgula 3 2 4 3 3 3 2" xfId="20515" xr:uid="{95758061-B4AE-457F-9D90-C2979C024D1C}"/>
    <cellStyle name="Vírgula 3 2 4 3 3 3 2 2" xfId="46007" xr:uid="{CB485118-3EF0-4EC7-8988-F75FC07F19B1}"/>
    <cellStyle name="Vírgula 3 2 4 3 3 3 3" xfId="33416" xr:uid="{3C9DD593-1759-45B4-BC40-79B8764CF2C0}"/>
    <cellStyle name="Vírgula 3 2 4 3 3 4" xfId="14237" xr:uid="{22E4560F-2EBD-4742-AAF5-C9E449868827}"/>
    <cellStyle name="Vírgula 3 2 4 3 3 4 2" xfId="39729" xr:uid="{68BE45C7-6F03-4617-A81E-A9C43B4F86DA}"/>
    <cellStyle name="Vírgula 3 2 4 3 3 5" xfId="27138" xr:uid="{8E0D25E4-EA58-4419-9EAA-9B96416D1B48}"/>
    <cellStyle name="Vírgula 3 2 4 3 4" xfId="2832" xr:uid="{DE412F9A-C3FE-474F-AFD9-8415567926DF}"/>
    <cellStyle name="Vírgula 3 2 4 3 4 2" xfId="5986" xr:uid="{D0D10E05-A1FC-4A47-A744-A9032AA665BD}"/>
    <cellStyle name="Vírgula 3 2 4 3 4 2 2" xfId="12279" xr:uid="{08E87B72-73FF-4C59-83D2-262DC5A6E297}"/>
    <cellStyle name="Vírgula 3 2 4 3 4 2 2 2" xfId="24961" xr:uid="{B6A58740-8B07-4F07-8DC8-E622583C29D5}"/>
    <cellStyle name="Vírgula 3 2 4 3 4 2 2 2 2" xfId="50453" xr:uid="{3EDB7BE7-D7A8-4117-9550-0F91C1A29BBE}"/>
    <cellStyle name="Vírgula 3 2 4 3 4 2 2 3" xfId="37862" xr:uid="{8A0AD473-B289-4718-85A4-1645B58FAEC6}"/>
    <cellStyle name="Vírgula 3 2 4 3 4 2 3" xfId="18683" xr:uid="{3482B303-4963-496E-BC97-0F12EED94E26}"/>
    <cellStyle name="Vírgula 3 2 4 3 4 2 3 2" xfId="44175" xr:uid="{068FE24B-472C-4632-96A4-730EC1228644}"/>
    <cellStyle name="Vírgula 3 2 4 3 4 2 4" xfId="31584" xr:uid="{20611F7C-37DC-46CF-998A-42887E65CC87}"/>
    <cellStyle name="Vírgula 3 2 4 3 4 3" xfId="9140" xr:uid="{BC9FA1A7-AA06-4C9D-ADF4-FE35D4A442DA}"/>
    <cellStyle name="Vírgula 3 2 4 3 4 3 2" xfId="21822" xr:uid="{86E7EC7E-C2DB-4517-8F9F-E3DAE48B3E15}"/>
    <cellStyle name="Vírgula 3 2 4 3 4 3 2 2" xfId="47314" xr:uid="{6F02A250-AF71-4215-99BF-FA4E73C753F3}"/>
    <cellStyle name="Vírgula 3 2 4 3 4 3 3" xfId="34723" xr:uid="{6E196C41-4511-4DA7-929C-5E4CC965CF55}"/>
    <cellStyle name="Vírgula 3 2 4 3 4 4" xfId="15544" xr:uid="{13CFFBAD-E778-4A31-978F-D3D389761350}"/>
    <cellStyle name="Vírgula 3 2 4 3 4 4 2" xfId="41036" xr:uid="{48EA18DE-A925-4F27-8EBE-C692DDD5AE58}"/>
    <cellStyle name="Vírgula 3 2 4 3 4 5" xfId="28445" xr:uid="{648A0E59-DC23-4976-80B1-E659DFF8A60C}"/>
    <cellStyle name="Vírgula 3 2 4 3 5" xfId="3355" xr:uid="{97276356-48B6-4783-99DC-FE980760BA43}"/>
    <cellStyle name="Vírgula 3 2 4 3 5 2" xfId="6509" xr:uid="{BD5E1134-F03C-49EB-8F01-34C53A2025C2}"/>
    <cellStyle name="Vírgula 3 2 4 3 5 2 2" xfId="12802" xr:uid="{43062B87-1254-48A3-B3E3-3F0593B47AD6}"/>
    <cellStyle name="Vírgula 3 2 4 3 5 2 2 2" xfId="25484" xr:uid="{66821C7F-D061-4795-858B-A01E6FCD5D64}"/>
    <cellStyle name="Vírgula 3 2 4 3 5 2 2 2 2" xfId="50976" xr:uid="{0E72AD86-037B-48FF-9C13-E6F3319A2375}"/>
    <cellStyle name="Vírgula 3 2 4 3 5 2 2 3" xfId="38385" xr:uid="{063D64FE-5160-4679-A673-794FD9D529C3}"/>
    <cellStyle name="Vírgula 3 2 4 3 5 2 3" xfId="19206" xr:uid="{ACBC4EEF-6948-4D57-8904-D3D5E22E1903}"/>
    <cellStyle name="Vírgula 3 2 4 3 5 2 3 2" xfId="44698" xr:uid="{67004A32-CAF4-4115-8920-1BFA2615E211}"/>
    <cellStyle name="Vírgula 3 2 4 3 5 2 4" xfId="32107" xr:uid="{82CE36F6-B471-4EDB-BDF1-73B4265F292A}"/>
    <cellStyle name="Vírgula 3 2 4 3 5 3" xfId="9663" xr:uid="{5A1C3953-9BD1-4155-98B4-A48C8E586AEB}"/>
    <cellStyle name="Vírgula 3 2 4 3 5 3 2" xfId="22345" xr:uid="{7F4C549F-8165-45CC-B996-CD3C28C48F78}"/>
    <cellStyle name="Vírgula 3 2 4 3 5 3 2 2" xfId="47837" xr:uid="{81ABA7FE-480B-4CC7-AA3D-F37D7C7E240B}"/>
    <cellStyle name="Vírgula 3 2 4 3 5 3 3" xfId="35246" xr:uid="{94F26C17-CC2C-4101-A2F7-FD587AD96C1C}"/>
    <cellStyle name="Vírgula 3 2 4 3 5 4" xfId="16067" xr:uid="{79B32EFB-8B5E-40DE-846B-A06749318224}"/>
    <cellStyle name="Vírgula 3 2 4 3 5 4 2" xfId="41559" xr:uid="{288D9E78-A429-4DB6-8122-12A56E998226}"/>
    <cellStyle name="Vírgula 3 2 4 3 5 5" xfId="28968" xr:uid="{9F43AE14-5D8B-45BE-AB81-CE2A87F0A83B}"/>
    <cellStyle name="Vírgula 3 2 4 3 6" xfId="4155" xr:uid="{8BED9334-35E0-4917-BF99-168C7772A60F}"/>
    <cellStyle name="Vírgula 3 2 4 3 6 2" xfId="10448" xr:uid="{CB6A5392-4ABC-4BFF-8DC0-05CA22B7F80D}"/>
    <cellStyle name="Vírgula 3 2 4 3 6 2 2" xfId="23130" xr:uid="{C36B1178-3C0D-4FF8-88F6-00CD31D8C763}"/>
    <cellStyle name="Vírgula 3 2 4 3 6 2 2 2" xfId="48622" xr:uid="{6B0EB9AE-BB63-4A2D-9EC7-5B9A65F95026}"/>
    <cellStyle name="Vírgula 3 2 4 3 6 2 3" xfId="36031" xr:uid="{C4868FA8-A179-4172-860D-C72F646A384F}"/>
    <cellStyle name="Vírgula 3 2 4 3 6 3" xfId="16852" xr:uid="{22A86CBE-8356-41D4-BA03-FEA072DC57B8}"/>
    <cellStyle name="Vírgula 3 2 4 3 6 3 2" xfId="42344" xr:uid="{DE14ED8E-A19E-45AA-A00B-B61BD7726866}"/>
    <cellStyle name="Vírgula 3 2 4 3 6 4" xfId="29753" xr:uid="{1E1B330F-24FE-43EF-A0BA-B986BFC2FC2C}"/>
    <cellStyle name="Vírgula 3 2 4 3 7" xfId="7309" xr:uid="{6ABEDBC1-FC90-47E1-827B-4CA79E42F22A}"/>
    <cellStyle name="Vírgula 3 2 4 3 7 2" xfId="19991" xr:uid="{BAC5F6D5-0DE2-40A8-9A46-0FD045F59962}"/>
    <cellStyle name="Vírgula 3 2 4 3 7 2 2" xfId="45483" xr:uid="{7B800AAD-9E4E-4AF9-AAAD-248B993ACB33}"/>
    <cellStyle name="Vírgula 3 2 4 3 7 3" xfId="32892" xr:uid="{31C0360E-3B70-47E3-BBD9-EFA6F145CBBC}"/>
    <cellStyle name="Vírgula 3 2 4 3 8" xfId="13713" xr:uid="{A2B70F64-BBF8-4D24-95D8-9A3C613830FF}"/>
    <cellStyle name="Vírgula 3 2 4 3 8 2" xfId="39205" xr:uid="{38CCCDD0-2C25-4AFE-9731-CD7278546383}"/>
    <cellStyle name="Vírgula 3 2 4 3 9" xfId="26614" xr:uid="{F7570781-DE1D-4C31-8818-A5214F53270B}"/>
    <cellStyle name="Vírgula 3 2 4 4" xfId="741" xr:uid="{15B4AC8C-CCB6-4D76-A428-A9177200F2C6}"/>
    <cellStyle name="Vírgula 3 2 4 4 2" xfId="2048" xr:uid="{91A9ABF5-A144-4086-87D8-DA59D398FADA}"/>
    <cellStyle name="Vírgula 3 2 4 4 2 2" xfId="5202" xr:uid="{844DF7D6-213C-4DAB-8949-8AB734AA9057}"/>
    <cellStyle name="Vírgula 3 2 4 4 2 2 2" xfId="11495" xr:uid="{913D8DD3-4C8B-4637-9787-F244D96DB41A}"/>
    <cellStyle name="Vírgula 3 2 4 4 2 2 2 2" xfId="24177" xr:uid="{79B2A7AE-65E2-4178-A329-C3B631CCC84A}"/>
    <cellStyle name="Vírgula 3 2 4 4 2 2 2 2 2" xfId="49669" xr:uid="{23C683D1-588C-485E-8DF0-334821B009D3}"/>
    <cellStyle name="Vírgula 3 2 4 4 2 2 2 3" xfId="37078" xr:uid="{3191857E-4971-425A-B96F-EB4D1A56BE51}"/>
    <cellStyle name="Vírgula 3 2 4 4 2 2 3" xfId="17899" xr:uid="{826A0F5D-6DBC-4A5A-B17E-4D08840A6E5F}"/>
    <cellStyle name="Vírgula 3 2 4 4 2 2 3 2" xfId="43391" xr:uid="{EE01DD42-61D5-4664-9632-EA9BE2C0AD88}"/>
    <cellStyle name="Vírgula 3 2 4 4 2 2 4" xfId="30800" xr:uid="{5689573B-0187-409B-9266-240E6FB5B83A}"/>
    <cellStyle name="Vírgula 3 2 4 4 2 3" xfId="8356" xr:uid="{60D75CB1-47B0-49E3-8AE9-6B749FDDF85C}"/>
    <cellStyle name="Vírgula 3 2 4 4 2 3 2" xfId="21038" xr:uid="{939EDA91-BB23-49DD-BDEE-D6FAF3706C3F}"/>
    <cellStyle name="Vírgula 3 2 4 4 2 3 2 2" xfId="46530" xr:uid="{320B7150-FA59-4831-BEB3-9EC5F551EF14}"/>
    <cellStyle name="Vírgula 3 2 4 4 2 3 3" xfId="33939" xr:uid="{4D6AA2B6-C24E-4D2F-BAB7-AFAFE3C7D35D}"/>
    <cellStyle name="Vírgula 3 2 4 4 2 4" xfId="14760" xr:uid="{8703CB80-B5B0-4587-9F33-1E7DAF260762}"/>
    <cellStyle name="Vírgula 3 2 4 4 2 4 2" xfId="40252" xr:uid="{539DE117-1448-409F-8950-3DE79CA4735B}"/>
    <cellStyle name="Vírgula 3 2 4 4 2 5" xfId="27661" xr:uid="{897FE560-A24B-458A-AC1A-A0FE3A1125D5}"/>
    <cellStyle name="Vírgula 3 2 4 4 3" xfId="3895" xr:uid="{A094DBDC-839A-4718-B3FF-1A985FE9E369}"/>
    <cellStyle name="Vírgula 3 2 4 4 3 2" xfId="10188" xr:uid="{A6319864-E2BE-405C-AC95-DD92CE28CCC0}"/>
    <cellStyle name="Vírgula 3 2 4 4 3 2 2" xfId="22870" xr:uid="{EF2C848C-FB1B-4D98-A112-7299E78CEF37}"/>
    <cellStyle name="Vírgula 3 2 4 4 3 2 2 2" xfId="48362" xr:uid="{E63F6FAD-6200-4E7D-BBE6-4E08D627145F}"/>
    <cellStyle name="Vírgula 3 2 4 4 3 2 3" xfId="35771" xr:uid="{99D02398-F39E-43C6-8B7A-F08ED1EEB4EC}"/>
    <cellStyle name="Vírgula 3 2 4 4 3 3" xfId="16592" xr:uid="{ED41F7B6-DAE8-41B5-AEB9-39B05F67E484}"/>
    <cellStyle name="Vírgula 3 2 4 4 3 3 2" xfId="42084" xr:uid="{40E8BE60-BE30-4FCC-B13E-4EBFE5D760B2}"/>
    <cellStyle name="Vírgula 3 2 4 4 3 4" xfId="29493" xr:uid="{449801FB-7D35-4305-908B-21393EE123B6}"/>
    <cellStyle name="Vírgula 3 2 4 4 4" xfId="7049" xr:uid="{80FDD7E9-4374-4BEE-91D5-3813E5F61EB4}"/>
    <cellStyle name="Vírgula 3 2 4 4 4 2" xfId="19731" xr:uid="{E0D908A1-1706-49C1-8184-A8ED3B2F8161}"/>
    <cellStyle name="Vírgula 3 2 4 4 4 2 2" xfId="45223" xr:uid="{C4D449A8-A9A2-4B12-A4E1-A03E37837052}"/>
    <cellStyle name="Vírgula 3 2 4 4 4 3" xfId="32632" xr:uid="{785F676E-E689-473A-A795-E4A1E9F0B41C}"/>
    <cellStyle name="Vírgula 3 2 4 4 5" xfId="13453" xr:uid="{D53A78BE-EA36-4CBE-AA98-34E18B14AA92}"/>
    <cellStyle name="Vírgula 3 2 4 4 5 2" xfId="38945" xr:uid="{883B9032-13E1-4B37-80B7-F5968C003E6B}"/>
    <cellStyle name="Vírgula 3 2 4 4 6" xfId="26354" xr:uid="{E62413EA-B352-44EC-844D-4ACCAD86FB5A}"/>
    <cellStyle name="Vírgula 3 2 4 5" xfId="1786" xr:uid="{0C0245A2-6268-4878-B29E-93FA1142C43C}"/>
    <cellStyle name="Vírgula 3 2 4 5 2" xfId="4940" xr:uid="{AE3E8DC5-1928-4083-B616-999C3F6E951A}"/>
    <cellStyle name="Vírgula 3 2 4 5 2 2" xfId="11233" xr:uid="{99B4BFAB-CE8F-4002-ABDE-E5AD9E2372B9}"/>
    <cellStyle name="Vírgula 3 2 4 5 2 2 2" xfId="23915" xr:uid="{C9238E02-2FFB-4922-B467-8CB8A38F1077}"/>
    <cellStyle name="Vírgula 3 2 4 5 2 2 2 2" xfId="49407" xr:uid="{A4F4A911-1B50-49ED-BD81-A06383CCB9AB}"/>
    <cellStyle name="Vírgula 3 2 4 5 2 2 3" xfId="36816" xr:uid="{8814927B-9DA9-4CED-BAF8-CBA0A122EFE2}"/>
    <cellStyle name="Vírgula 3 2 4 5 2 3" xfId="17637" xr:uid="{EA74C08D-8EB0-4EA2-AB83-5B47386B1057}"/>
    <cellStyle name="Vírgula 3 2 4 5 2 3 2" xfId="43129" xr:uid="{3AA29825-05D3-4CA2-85A6-AF1248A7D63D}"/>
    <cellStyle name="Vírgula 3 2 4 5 2 4" xfId="30538" xr:uid="{A42A0509-72C1-462F-8E6D-B4D3C61BCAA7}"/>
    <cellStyle name="Vírgula 3 2 4 5 3" xfId="8094" xr:uid="{CE86F2B1-320F-4B14-A1A7-368D7D2B797A}"/>
    <cellStyle name="Vírgula 3 2 4 5 3 2" xfId="20776" xr:uid="{AB653110-02EE-4007-8327-F7D511BD6764}"/>
    <cellStyle name="Vírgula 3 2 4 5 3 2 2" xfId="46268" xr:uid="{6D2B1235-113B-41AA-8EDA-CDEFB6D918C6}"/>
    <cellStyle name="Vírgula 3 2 4 5 3 3" xfId="33677" xr:uid="{D967E86E-8445-4986-A99A-FDF4EC3EED5E}"/>
    <cellStyle name="Vírgula 3 2 4 5 4" xfId="14498" xr:uid="{D03CC271-0971-490D-8C56-22EFD85B227C}"/>
    <cellStyle name="Vírgula 3 2 4 5 4 2" xfId="39990" xr:uid="{B4844A8E-F6AC-4E01-9A21-3BA1EADF9086}"/>
    <cellStyle name="Vírgula 3 2 4 5 5" xfId="27399" xr:uid="{A5DA13DD-E42F-4F58-9D94-6F51BD48A38E}"/>
    <cellStyle name="Vírgula 3 2 4 6" xfId="1264" xr:uid="{59FEA33A-BBE2-4F33-A909-D8D1D6A6C047}"/>
    <cellStyle name="Vírgula 3 2 4 6 2" xfId="4418" xr:uid="{0BC03496-202C-44A7-94AF-E3C8F8B45D63}"/>
    <cellStyle name="Vírgula 3 2 4 6 2 2" xfId="10711" xr:uid="{AFBEB0D5-00CA-4D0F-9A37-D8E250F753F7}"/>
    <cellStyle name="Vírgula 3 2 4 6 2 2 2" xfId="23393" xr:uid="{DDB56576-431E-41FB-89DD-3A50937AC160}"/>
    <cellStyle name="Vírgula 3 2 4 6 2 2 2 2" xfId="48885" xr:uid="{FEFBF3A3-5C0C-43D2-9ADF-A1312CCCEA19}"/>
    <cellStyle name="Vírgula 3 2 4 6 2 2 3" xfId="36294" xr:uid="{D9AC6DE6-BAC4-4E70-8149-7F23AADF9D30}"/>
    <cellStyle name="Vírgula 3 2 4 6 2 3" xfId="17115" xr:uid="{4F0A6DE3-610A-487B-B219-EEBB478D7E4F}"/>
    <cellStyle name="Vírgula 3 2 4 6 2 3 2" xfId="42607" xr:uid="{DF4C04F6-DFA7-4594-9F70-778A63CDB4E2}"/>
    <cellStyle name="Vírgula 3 2 4 6 2 4" xfId="30016" xr:uid="{46580EE1-4F97-4D80-A11C-0A38DB02643F}"/>
    <cellStyle name="Vírgula 3 2 4 6 3" xfId="7572" xr:uid="{6BBAB5E9-9611-4D78-99F3-0196B4BCBAD7}"/>
    <cellStyle name="Vírgula 3 2 4 6 3 2" xfId="20254" xr:uid="{F7319EB1-A7F9-4B0D-B9B1-67D95771C686}"/>
    <cellStyle name="Vírgula 3 2 4 6 3 2 2" xfId="45746" xr:uid="{C10264B7-171A-4615-B61C-48BABF9570D2}"/>
    <cellStyle name="Vírgula 3 2 4 6 3 3" xfId="33155" xr:uid="{74DFD88D-B7F2-4DAF-91CF-F61BE9F6EBB9}"/>
    <cellStyle name="Vírgula 3 2 4 6 4" xfId="13976" xr:uid="{AB13C874-F31F-4FC0-8FE1-7146FB8E1D9B}"/>
    <cellStyle name="Vírgula 3 2 4 6 4 2" xfId="39468" xr:uid="{36FAD000-83CF-4D3A-A7CE-CA7B6B1E4932}"/>
    <cellStyle name="Vírgula 3 2 4 6 5" xfId="26877" xr:uid="{7E4BC6EF-7981-4F10-9446-9D78E4489E2C}"/>
    <cellStyle name="Vírgula 3 2 4 7" xfId="2571" xr:uid="{C8F0E3CB-2064-4EE3-A026-FA6D37D4A400}"/>
    <cellStyle name="Vírgula 3 2 4 7 2" xfId="5725" xr:uid="{4ACABD90-C886-4F82-A06C-0AA95C9265FC}"/>
    <cellStyle name="Vírgula 3 2 4 7 2 2" xfId="12018" xr:uid="{6BA636F0-1E75-40A1-BCA4-F221C054F106}"/>
    <cellStyle name="Vírgula 3 2 4 7 2 2 2" xfId="24700" xr:uid="{D6CB10BC-A58B-4315-9DF3-74DC30B0131D}"/>
    <cellStyle name="Vírgula 3 2 4 7 2 2 2 2" xfId="50192" xr:uid="{4C1FDBAF-8CDD-4349-9999-C27C0F9FE6C1}"/>
    <cellStyle name="Vírgula 3 2 4 7 2 2 3" xfId="37601" xr:uid="{ED1BAC6A-0D2E-40C1-ADBB-0CADB6DA8190}"/>
    <cellStyle name="Vírgula 3 2 4 7 2 3" xfId="18422" xr:uid="{1E21B75E-16EF-42CC-885A-67E06A2AC3D5}"/>
    <cellStyle name="Vírgula 3 2 4 7 2 3 2" xfId="43914" xr:uid="{89196883-C512-4F7C-BC3C-2B79E9A3520D}"/>
    <cellStyle name="Vírgula 3 2 4 7 2 4" xfId="31323" xr:uid="{0098FE71-DFEF-40F7-BF5A-9797FCA64A2D}"/>
    <cellStyle name="Vírgula 3 2 4 7 3" xfId="8879" xr:uid="{208E3939-A7F4-4B66-869D-DDDD9BA20FA5}"/>
    <cellStyle name="Vírgula 3 2 4 7 3 2" xfId="21561" xr:uid="{477D5B1C-31A2-4213-B120-5933CD8FB54B}"/>
    <cellStyle name="Vírgula 3 2 4 7 3 2 2" xfId="47053" xr:uid="{9433D1F3-8A9D-4085-A169-7357A7D039BB}"/>
    <cellStyle name="Vírgula 3 2 4 7 3 3" xfId="34462" xr:uid="{E625D292-7DF7-423E-A129-118E8FE161C9}"/>
    <cellStyle name="Vírgula 3 2 4 7 4" xfId="15283" xr:uid="{0EE2AE61-A0B1-4FD4-A919-1351F30F666F}"/>
    <cellStyle name="Vírgula 3 2 4 7 4 2" xfId="40775" xr:uid="{ADA1F8A0-A3EF-4563-BE9D-F18D64B74EAD}"/>
    <cellStyle name="Vírgula 3 2 4 7 5" xfId="28184" xr:uid="{8485BCE4-2D2B-4E40-800A-4D0C1923033F}"/>
    <cellStyle name="Vírgula 3 2 4 8" xfId="3094" xr:uid="{1FC2EA22-B4AD-4856-8591-A9A4DAEE02D1}"/>
    <cellStyle name="Vírgula 3 2 4 8 2" xfId="6248" xr:uid="{85FB8AE2-22FD-41A9-AB89-5506E161AC2E}"/>
    <cellStyle name="Vírgula 3 2 4 8 2 2" xfId="12541" xr:uid="{FA9A0FCB-79EF-4297-A828-5360D8F9394E}"/>
    <cellStyle name="Vírgula 3 2 4 8 2 2 2" xfId="25223" xr:uid="{68D96E87-2A6F-44E6-90C0-CA0FB9CA9C81}"/>
    <cellStyle name="Vírgula 3 2 4 8 2 2 2 2" xfId="50715" xr:uid="{3E7687AA-27D1-47C1-80D9-19C8AD4FA259}"/>
    <cellStyle name="Vírgula 3 2 4 8 2 2 3" xfId="38124" xr:uid="{46381CD3-8F46-49BA-A5DA-0BCB22F0673F}"/>
    <cellStyle name="Vírgula 3 2 4 8 2 3" xfId="18945" xr:uid="{DF946281-843E-4E61-897E-097AE9131916}"/>
    <cellStyle name="Vírgula 3 2 4 8 2 3 2" xfId="44437" xr:uid="{FA46485C-50A7-409A-9CAD-708ECB0EFE9A}"/>
    <cellStyle name="Vírgula 3 2 4 8 2 4" xfId="31846" xr:uid="{7F2083C2-5739-4A2C-B746-0F02A60079DF}"/>
    <cellStyle name="Vírgula 3 2 4 8 3" xfId="9402" xr:uid="{56155F80-838E-4EEA-8128-603A73060B12}"/>
    <cellStyle name="Vírgula 3 2 4 8 3 2" xfId="22084" xr:uid="{8731D624-E395-4B95-873A-A79FA97D8E58}"/>
    <cellStyle name="Vírgula 3 2 4 8 3 2 2" xfId="47576" xr:uid="{28CA61F8-C91A-4E4F-AD84-56F4E8ADC4C2}"/>
    <cellStyle name="Vírgula 3 2 4 8 3 3" xfId="34985" xr:uid="{C5F9CD0F-ECAF-4418-874A-7255F4218F62}"/>
    <cellStyle name="Vírgula 3 2 4 8 4" xfId="15806" xr:uid="{7DA52A8B-F470-4240-8BE2-8ED76FFC33C8}"/>
    <cellStyle name="Vírgula 3 2 4 8 4 2" xfId="41298" xr:uid="{B898F068-8AB3-4290-B270-C4753B672B47}"/>
    <cellStyle name="Vírgula 3 2 4 8 5" xfId="28707" xr:uid="{70F09D7D-3C0E-4A71-8704-A0870B91624B}"/>
    <cellStyle name="Vírgula 3 2 4 9" xfId="3633" xr:uid="{CE5F78BF-A100-4B1D-BCF9-A0EDF03C0A2E}"/>
    <cellStyle name="Vírgula 3 2 4 9 2" xfId="9926" xr:uid="{0DB3C437-1DC9-4B0E-91D0-EE07F3925038}"/>
    <cellStyle name="Vírgula 3 2 4 9 2 2" xfId="22608" xr:uid="{B76BBAA7-47E3-4A4F-BA3E-743C9CF8C5C3}"/>
    <cellStyle name="Vírgula 3 2 4 9 2 2 2" xfId="48100" xr:uid="{8EB5C30A-1E6A-4547-9EC5-536E6F14DA6B}"/>
    <cellStyle name="Vírgula 3 2 4 9 2 3" xfId="35509" xr:uid="{5A781336-F2F6-4508-AEA2-2AC8C92CF566}"/>
    <cellStyle name="Vírgula 3 2 4 9 3" xfId="16330" xr:uid="{21387DB1-9EBB-4B53-B7C4-4BA87211AAEB}"/>
    <cellStyle name="Vírgula 3 2 4 9 3 2" xfId="41822" xr:uid="{01BE4A1E-E475-4AC0-AB87-3E3F9D006CD9}"/>
    <cellStyle name="Vírgula 3 2 4 9 4" xfId="29231" xr:uid="{A7F0D3EF-7E69-4EDB-94B3-D64F32F3AA19}"/>
    <cellStyle name="Vírgula 3 2 5" xfId="581" xr:uid="{DDE3832A-C8D5-468F-9AA9-9A6490995EBC}"/>
    <cellStyle name="Vírgula 3 2 5 10" xfId="13308" xr:uid="{BFAB1524-72EA-4B50-AE54-E2C5F4619E75}"/>
    <cellStyle name="Vírgula 3 2 5 10 2" xfId="38800" xr:uid="{2FC72946-4150-4C06-94D2-E99F07E128E8}"/>
    <cellStyle name="Vírgula 3 2 5 11" xfId="26209" xr:uid="{38509609-FBA8-4C3A-9D07-FF82E667F1E4}"/>
    <cellStyle name="Vírgula 3 2 5 2" xfId="1118" xr:uid="{69F6A35F-6E78-48BA-9D6A-035089FBBBAD}"/>
    <cellStyle name="Vírgula 3 2 5 2 2" xfId="2425" xr:uid="{2D55B8FF-921C-4D98-B851-1369B96FC0FB}"/>
    <cellStyle name="Vírgula 3 2 5 2 2 2" xfId="5579" xr:uid="{19E61945-EE04-446F-B1F2-CA6E1730EEAD}"/>
    <cellStyle name="Vírgula 3 2 5 2 2 2 2" xfId="11872" xr:uid="{19A5C588-60B6-4B8B-A788-0A23904B7C54}"/>
    <cellStyle name="Vírgula 3 2 5 2 2 2 2 2" xfId="24554" xr:uid="{88BB3A45-A4F3-41E8-8290-303E75F00E9C}"/>
    <cellStyle name="Vírgula 3 2 5 2 2 2 2 2 2" xfId="50046" xr:uid="{AC6DF9E7-DEE3-4842-812A-B915C208A237}"/>
    <cellStyle name="Vírgula 3 2 5 2 2 2 2 3" xfId="37455" xr:uid="{9BD05DC8-EAA4-4C86-913E-AD06B5B04000}"/>
    <cellStyle name="Vírgula 3 2 5 2 2 2 3" xfId="18276" xr:uid="{30F2E9F3-65F5-487D-BF0E-82B59B87A97D}"/>
    <cellStyle name="Vírgula 3 2 5 2 2 2 3 2" xfId="43768" xr:uid="{8BDB073E-33B8-437A-8F81-667F62A2FD30}"/>
    <cellStyle name="Vírgula 3 2 5 2 2 2 4" xfId="31177" xr:uid="{20E91779-FF53-4A90-B6B3-3D186EFA1998}"/>
    <cellStyle name="Vírgula 3 2 5 2 2 3" xfId="8733" xr:uid="{DE21A33A-19EC-4FB2-B8D3-B6741ED16E88}"/>
    <cellStyle name="Vírgula 3 2 5 2 2 3 2" xfId="21415" xr:uid="{2A183A82-6B9C-4867-8494-800D3C6C4464}"/>
    <cellStyle name="Vírgula 3 2 5 2 2 3 2 2" xfId="46907" xr:uid="{8A450E70-5F98-4B32-9785-FBB9AD5FF399}"/>
    <cellStyle name="Vírgula 3 2 5 2 2 3 3" xfId="34316" xr:uid="{12690147-CDAA-4B4A-9EF2-2A1A4DA15BF2}"/>
    <cellStyle name="Vírgula 3 2 5 2 2 4" xfId="15137" xr:uid="{6A846BFD-E2BD-4BD2-A2A2-2E33250CB1C8}"/>
    <cellStyle name="Vírgula 3 2 5 2 2 4 2" xfId="40629" xr:uid="{D5E63588-5A9F-4D3E-8B1F-A71B7D353B61}"/>
    <cellStyle name="Vírgula 3 2 5 2 2 5" xfId="28038" xr:uid="{EAFDB2BD-D530-48A7-9555-4736B34A2AB9}"/>
    <cellStyle name="Vírgula 3 2 5 2 3" xfId="1642" xr:uid="{2C888B66-9D60-46E9-9FBA-2926829F37C6}"/>
    <cellStyle name="Vírgula 3 2 5 2 3 2" xfId="4796" xr:uid="{09FA77E3-443C-4E33-8C99-D56CEA3032C5}"/>
    <cellStyle name="Vírgula 3 2 5 2 3 2 2" xfId="11089" xr:uid="{D7F471A3-5085-49EA-871C-3C763F27EACC}"/>
    <cellStyle name="Vírgula 3 2 5 2 3 2 2 2" xfId="23771" xr:uid="{21F8E415-5C7A-4B98-A3D7-8666C7E78DAF}"/>
    <cellStyle name="Vírgula 3 2 5 2 3 2 2 2 2" xfId="49263" xr:uid="{16286B8C-6831-4794-9730-4173B06671B7}"/>
    <cellStyle name="Vírgula 3 2 5 2 3 2 2 3" xfId="36672" xr:uid="{B8576E0A-8A2E-4A17-BF79-05B85D30323B}"/>
    <cellStyle name="Vírgula 3 2 5 2 3 2 3" xfId="17493" xr:uid="{7DD66423-CB8C-4E2E-BEBF-B53EAA17BC0E}"/>
    <cellStyle name="Vírgula 3 2 5 2 3 2 3 2" xfId="42985" xr:uid="{9AD6419A-B4ED-4B93-8FC7-B24B4EFC7BE9}"/>
    <cellStyle name="Vírgula 3 2 5 2 3 2 4" xfId="30394" xr:uid="{4A9ED78E-CABD-4D20-BD54-3B3A243EF34F}"/>
    <cellStyle name="Vírgula 3 2 5 2 3 3" xfId="7950" xr:uid="{431FC733-A096-43D1-93B4-A45A04F768ED}"/>
    <cellStyle name="Vírgula 3 2 5 2 3 3 2" xfId="20632" xr:uid="{7A9C05D8-D775-4053-9782-663C83B5E07F}"/>
    <cellStyle name="Vírgula 3 2 5 2 3 3 2 2" xfId="46124" xr:uid="{AFB73646-A739-4C03-AE2A-E11B03720860}"/>
    <cellStyle name="Vírgula 3 2 5 2 3 3 3" xfId="33533" xr:uid="{A30F528B-89D1-4F95-98B9-6D6911416D17}"/>
    <cellStyle name="Vírgula 3 2 5 2 3 4" xfId="14354" xr:uid="{97AA765C-224C-42EC-A1D3-C5C1367D48C7}"/>
    <cellStyle name="Vírgula 3 2 5 2 3 4 2" xfId="39846" xr:uid="{583601F0-7698-4981-9284-5F95EE7F5C27}"/>
    <cellStyle name="Vírgula 3 2 5 2 3 5" xfId="27255" xr:uid="{6879D24A-43B0-49D5-AB59-E39D869D1867}"/>
    <cellStyle name="Vírgula 3 2 5 2 4" xfId="2949" xr:uid="{99F2FE63-0AAD-4924-84AA-E9AB19EC33A0}"/>
    <cellStyle name="Vírgula 3 2 5 2 4 2" xfId="6103" xr:uid="{0725022D-0052-4527-8DAE-E53C01D0FB97}"/>
    <cellStyle name="Vírgula 3 2 5 2 4 2 2" xfId="12396" xr:uid="{63C08129-9F37-4367-8F95-EFC32E2B1C6A}"/>
    <cellStyle name="Vírgula 3 2 5 2 4 2 2 2" xfId="25078" xr:uid="{DC46D2C4-381D-4097-B101-60DE7ABFAD1D}"/>
    <cellStyle name="Vírgula 3 2 5 2 4 2 2 2 2" xfId="50570" xr:uid="{EAD3BBDA-6E54-4AC0-913A-5B105391AE58}"/>
    <cellStyle name="Vírgula 3 2 5 2 4 2 2 3" xfId="37979" xr:uid="{64580587-32FA-44C4-AD9F-5AB8B920972B}"/>
    <cellStyle name="Vírgula 3 2 5 2 4 2 3" xfId="18800" xr:uid="{93809E9C-F221-4B79-A0CC-2F620F581025}"/>
    <cellStyle name="Vírgula 3 2 5 2 4 2 3 2" xfId="44292" xr:uid="{27D66290-0982-4FF9-95A6-D760B7C74E80}"/>
    <cellStyle name="Vírgula 3 2 5 2 4 2 4" xfId="31701" xr:uid="{CC661A3C-7016-48D2-8024-02A79C5988CB}"/>
    <cellStyle name="Vírgula 3 2 5 2 4 3" xfId="9257" xr:uid="{397BFC6E-B19B-4279-A7FA-2773F8E45AFB}"/>
    <cellStyle name="Vírgula 3 2 5 2 4 3 2" xfId="21939" xr:uid="{A4B1B0C8-3355-4C16-AAFF-51C842BD7AC1}"/>
    <cellStyle name="Vírgula 3 2 5 2 4 3 2 2" xfId="47431" xr:uid="{1027B3F2-9514-4D4D-9C25-7C127B0B4E01}"/>
    <cellStyle name="Vírgula 3 2 5 2 4 3 3" xfId="34840" xr:uid="{21FF0638-6834-45BE-9B84-31EC52A58664}"/>
    <cellStyle name="Vírgula 3 2 5 2 4 4" xfId="15661" xr:uid="{14A2423B-D106-433F-BCF3-DA783D837378}"/>
    <cellStyle name="Vírgula 3 2 5 2 4 4 2" xfId="41153" xr:uid="{EDDEE689-472A-4067-8F78-A0DFF6062CDC}"/>
    <cellStyle name="Vírgula 3 2 5 2 4 5" xfId="28562" xr:uid="{BA4AE2ED-4B22-44CD-85AE-F1AC36E48D40}"/>
    <cellStyle name="Vírgula 3 2 5 2 5" xfId="3472" xr:uid="{0A867034-A5B6-4CA6-8B09-DD854E9BF9AC}"/>
    <cellStyle name="Vírgula 3 2 5 2 5 2" xfId="6626" xr:uid="{9FB18560-FAF7-42C5-8707-B82CC0C06503}"/>
    <cellStyle name="Vírgula 3 2 5 2 5 2 2" xfId="12919" xr:uid="{3691A93A-29A0-4ED0-8A30-C3A86AD7AD41}"/>
    <cellStyle name="Vírgula 3 2 5 2 5 2 2 2" xfId="25601" xr:uid="{02274012-1084-45E0-BE27-1758A174FC2B}"/>
    <cellStyle name="Vírgula 3 2 5 2 5 2 2 2 2" xfId="51093" xr:uid="{976A66E7-D482-42AA-81D3-BA075E75F175}"/>
    <cellStyle name="Vírgula 3 2 5 2 5 2 2 3" xfId="38502" xr:uid="{77829BC0-73DD-4DE2-83B1-B954CD745D47}"/>
    <cellStyle name="Vírgula 3 2 5 2 5 2 3" xfId="19323" xr:uid="{A93F27FB-2469-4B18-B45D-3BC23306BBF4}"/>
    <cellStyle name="Vírgula 3 2 5 2 5 2 3 2" xfId="44815" xr:uid="{DAA3A926-B1BD-461D-9500-8C8CA26B89B4}"/>
    <cellStyle name="Vírgula 3 2 5 2 5 2 4" xfId="32224" xr:uid="{9398DFF5-51EA-458D-916E-B7780C4317E1}"/>
    <cellStyle name="Vírgula 3 2 5 2 5 3" xfId="9780" xr:uid="{F5A0B139-5B71-4AEA-B6FD-A8A47A8A39C4}"/>
    <cellStyle name="Vírgula 3 2 5 2 5 3 2" xfId="22462" xr:uid="{FA203259-FAE2-4CE1-9400-E15D71A68910}"/>
    <cellStyle name="Vírgula 3 2 5 2 5 3 2 2" xfId="47954" xr:uid="{A381BECD-3C55-4A2A-A053-8245AAC20344}"/>
    <cellStyle name="Vírgula 3 2 5 2 5 3 3" xfId="35363" xr:uid="{7004DCB2-5CE1-4E66-8F8D-085A280029AE}"/>
    <cellStyle name="Vírgula 3 2 5 2 5 4" xfId="16184" xr:uid="{17B617E2-17C5-40FD-8E46-250A07241FD3}"/>
    <cellStyle name="Vírgula 3 2 5 2 5 4 2" xfId="41676" xr:uid="{E27F50D5-EDCA-4239-8F1A-807CA17ECBBE}"/>
    <cellStyle name="Vírgula 3 2 5 2 5 5" xfId="29085" xr:uid="{20CFA452-BC11-45AC-92A7-A975575E53AF}"/>
    <cellStyle name="Vírgula 3 2 5 2 6" xfId="4272" xr:uid="{7E3B59F6-ABC7-46BC-9A2C-439EFC537FBF}"/>
    <cellStyle name="Vírgula 3 2 5 2 6 2" xfId="10565" xr:uid="{6C6DCD84-490B-414B-B177-CEEFF1117735}"/>
    <cellStyle name="Vírgula 3 2 5 2 6 2 2" xfId="23247" xr:uid="{8D7ED0E5-4B41-4EFD-8AFF-55B442657C40}"/>
    <cellStyle name="Vírgula 3 2 5 2 6 2 2 2" xfId="48739" xr:uid="{D7CE7FC3-9DF5-4B2B-8E6D-E037E1C9D77F}"/>
    <cellStyle name="Vírgula 3 2 5 2 6 2 3" xfId="36148" xr:uid="{6BE40DEA-6A30-4D89-BE1E-B1050310F567}"/>
    <cellStyle name="Vírgula 3 2 5 2 6 3" xfId="16969" xr:uid="{1584D68D-3B61-4C64-8F66-90BD52DF1DA6}"/>
    <cellStyle name="Vírgula 3 2 5 2 6 3 2" xfId="42461" xr:uid="{A320B78E-F928-4BED-957C-1704A64B7B0C}"/>
    <cellStyle name="Vírgula 3 2 5 2 6 4" xfId="29870" xr:uid="{6EEC38D0-B0C4-454C-99DD-839AA53652E8}"/>
    <cellStyle name="Vírgula 3 2 5 2 7" xfId="7426" xr:uid="{71B25E86-FC81-4E32-BA75-57FAC01C1CE8}"/>
    <cellStyle name="Vírgula 3 2 5 2 7 2" xfId="20108" xr:uid="{71D0DCB4-2BCE-4EBA-BE7D-9E86A4E99A5A}"/>
    <cellStyle name="Vírgula 3 2 5 2 7 2 2" xfId="45600" xr:uid="{DE183582-B1A8-4D77-9B89-2D750D16D198}"/>
    <cellStyle name="Vírgula 3 2 5 2 7 3" xfId="33009" xr:uid="{6CF76B68-F2A2-4F99-BD90-92A593BEA3F8}"/>
    <cellStyle name="Vírgula 3 2 5 2 8" xfId="13830" xr:uid="{86B65632-FD3D-41EF-A559-BD12C846741E}"/>
    <cellStyle name="Vírgula 3 2 5 2 8 2" xfId="39322" xr:uid="{A680D01E-C576-4D84-A875-549F6982A2BF}"/>
    <cellStyle name="Vírgula 3 2 5 2 9" xfId="26731" xr:uid="{B0CA3C5C-D60D-4E5B-9E5C-26C0F1116069}"/>
    <cellStyle name="Vírgula 3 2 5 3" xfId="858" xr:uid="{02DD99B7-2E37-4CE4-80E6-A15C5B9B4C97}"/>
    <cellStyle name="Vírgula 3 2 5 3 2" xfId="2165" xr:uid="{2F6CF19A-E76F-405C-93EE-BDD9DBAE80A7}"/>
    <cellStyle name="Vírgula 3 2 5 3 2 2" xfId="5319" xr:uid="{DE90C8F5-5D89-4B1E-B394-DA073EE0AE1E}"/>
    <cellStyle name="Vírgula 3 2 5 3 2 2 2" xfId="11612" xr:uid="{DDAD8FB6-DEFD-4951-A6FA-D27AB57B7B9D}"/>
    <cellStyle name="Vírgula 3 2 5 3 2 2 2 2" xfId="24294" xr:uid="{6F0302C6-ABC8-457B-80A3-C1E131D51584}"/>
    <cellStyle name="Vírgula 3 2 5 3 2 2 2 2 2" xfId="49786" xr:uid="{D4A84E0A-EC35-4971-A62C-FDBF0F09657C}"/>
    <cellStyle name="Vírgula 3 2 5 3 2 2 2 3" xfId="37195" xr:uid="{4BEF83CE-B366-412E-BA75-8A9C56891BE9}"/>
    <cellStyle name="Vírgula 3 2 5 3 2 2 3" xfId="18016" xr:uid="{6C5C0732-1A69-4FCA-848C-2678FC7DA49D}"/>
    <cellStyle name="Vírgula 3 2 5 3 2 2 3 2" xfId="43508" xr:uid="{DC1DC985-CA62-4704-BDD6-32027189D51E}"/>
    <cellStyle name="Vírgula 3 2 5 3 2 2 4" xfId="30917" xr:uid="{2FF4638D-5605-4F34-8A4A-0A5CBEDF4123}"/>
    <cellStyle name="Vírgula 3 2 5 3 2 3" xfId="8473" xr:uid="{661B56E8-A5AF-4C28-B5CB-F239CEF42C40}"/>
    <cellStyle name="Vírgula 3 2 5 3 2 3 2" xfId="21155" xr:uid="{A2169400-1A5F-450E-9552-87DE9C398BEB}"/>
    <cellStyle name="Vírgula 3 2 5 3 2 3 2 2" xfId="46647" xr:uid="{6BEBF735-602B-46DC-A503-33D3E18FF8D7}"/>
    <cellStyle name="Vírgula 3 2 5 3 2 3 3" xfId="34056" xr:uid="{E6B32185-BB40-4074-88E2-29CDE42CAD7D}"/>
    <cellStyle name="Vírgula 3 2 5 3 2 4" xfId="14877" xr:uid="{43040310-6701-4455-981B-B5C18B3394D1}"/>
    <cellStyle name="Vírgula 3 2 5 3 2 4 2" xfId="40369" xr:uid="{6C9770A8-21E9-4BDC-A88A-99A2345CA245}"/>
    <cellStyle name="Vírgula 3 2 5 3 2 5" xfId="27778" xr:uid="{9BC39D3E-289C-4AFA-AF02-ADDF393DA581}"/>
    <cellStyle name="Vírgula 3 2 5 3 3" xfId="4012" xr:uid="{DBBAA103-E506-4ACD-B0D0-A5A485828E5B}"/>
    <cellStyle name="Vírgula 3 2 5 3 3 2" xfId="10305" xr:uid="{C3A815FD-D45C-47CB-B9BE-4677B21F66EE}"/>
    <cellStyle name="Vírgula 3 2 5 3 3 2 2" xfId="22987" xr:uid="{E67B5939-B9A8-4A2C-BB00-BC9AD40B8E6C}"/>
    <cellStyle name="Vírgula 3 2 5 3 3 2 2 2" xfId="48479" xr:uid="{FADAEB77-05A9-4F9C-9D4E-3774F910EE64}"/>
    <cellStyle name="Vírgula 3 2 5 3 3 2 3" xfId="35888" xr:uid="{07FBA96A-12F0-4AF5-B634-1747C5FF9C5D}"/>
    <cellStyle name="Vírgula 3 2 5 3 3 3" xfId="16709" xr:uid="{0F5BAF42-4157-4185-9566-47383FE25ADA}"/>
    <cellStyle name="Vírgula 3 2 5 3 3 3 2" xfId="42201" xr:uid="{64C40179-1BA8-414F-B7FF-18D426816262}"/>
    <cellStyle name="Vírgula 3 2 5 3 3 4" xfId="29610" xr:uid="{0CBE8C45-0A95-4401-BC6E-0E5B2E8F47B3}"/>
    <cellStyle name="Vírgula 3 2 5 3 4" xfId="7166" xr:uid="{39768081-4225-4B55-921E-182D791B7B7D}"/>
    <cellStyle name="Vírgula 3 2 5 3 4 2" xfId="19848" xr:uid="{473961D2-EF17-4503-8CCC-4C553D874CB9}"/>
    <cellStyle name="Vírgula 3 2 5 3 4 2 2" xfId="45340" xr:uid="{42A8CAF1-7173-4B3F-9D05-0EBB31920F1F}"/>
    <cellStyle name="Vírgula 3 2 5 3 4 3" xfId="32749" xr:uid="{53955985-7FE0-4A35-AEC9-E66CA052AA97}"/>
    <cellStyle name="Vírgula 3 2 5 3 5" xfId="13570" xr:uid="{6A361D04-8DAC-42F8-892C-A9FE557C713A}"/>
    <cellStyle name="Vírgula 3 2 5 3 5 2" xfId="39062" xr:uid="{458C04D6-359D-461F-B524-EA9D5F305F1D}"/>
    <cellStyle name="Vírgula 3 2 5 3 6" xfId="26471" xr:uid="{6F37CFE4-2656-4F70-9B48-FCEA55B959DF}"/>
    <cellStyle name="Vírgula 3 2 5 4" xfId="1903" xr:uid="{40BB69C6-6D0C-4BB3-9D17-84474117984A}"/>
    <cellStyle name="Vírgula 3 2 5 4 2" xfId="5057" xr:uid="{42882720-2359-4EB3-9C5D-26BF9796D181}"/>
    <cellStyle name="Vírgula 3 2 5 4 2 2" xfId="11350" xr:uid="{39352549-6FF0-4DF6-8137-41E9BDCB0CD1}"/>
    <cellStyle name="Vírgula 3 2 5 4 2 2 2" xfId="24032" xr:uid="{BB330489-EA36-4FF1-A214-7BC577E9CBBC}"/>
    <cellStyle name="Vírgula 3 2 5 4 2 2 2 2" xfId="49524" xr:uid="{CD257574-711F-41D3-82CF-02596208A507}"/>
    <cellStyle name="Vírgula 3 2 5 4 2 2 3" xfId="36933" xr:uid="{415E04AD-F87D-4D6E-A504-89264FB8188E}"/>
    <cellStyle name="Vírgula 3 2 5 4 2 3" xfId="17754" xr:uid="{13B352F4-93B9-4EF2-89FE-1F83597698C5}"/>
    <cellStyle name="Vírgula 3 2 5 4 2 3 2" xfId="43246" xr:uid="{20676E49-ADA1-46A8-920A-74EC088544CB}"/>
    <cellStyle name="Vírgula 3 2 5 4 2 4" xfId="30655" xr:uid="{B7659F00-2E14-4F59-8EE1-381CC9F5D820}"/>
    <cellStyle name="Vírgula 3 2 5 4 3" xfId="8211" xr:uid="{6675DFAC-0387-4921-967D-AA74F0C17FE4}"/>
    <cellStyle name="Vírgula 3 2 5 4 3 2" xfId="20893" xr:uid="{EFAE0CCD-505F-4EBE-9A5D-65DF83E3C077}"/>
    <cellStyle name="Vírgula 3 2 5 4 3 2 2" xfId="46385" xr:uid="{09D68F65-FF8E-4174-B7DA-897CBA6E8533}"/>
    <cellStyle name="Vírgula 3 2 5 4 3 3" xfId="33794" xr:uid="{98198B6A-A539-4874-A14C-B61F14D50D6F}"/>
    <cellStyle name="Vírgula 3 2 5 4 4" xfId="14615" xr:uid="{CC972B82-C921-492A-9323-0E52F1A8F704}"/>
    <cellStyle name="Vírgula 3 2 5 4 4 2" xfId="40107" xr:uid="{1F78E76E-3E86-463C-A500-0722E66592C6}"/>
    <cellStyle name="Vírgula 3 2 5 4 5" xfId="27516" xr:uid="{1E627871-24A9-44CC-8B8B-9A5F7AFC0F0E}"/>
    <cellStyle name="Vírgula 3 2 5 5" xfId="1381" xr:uid="{7C7FF693-8630-41D7-956F-32C51ABD1F2E}"/>
    <cellStyle name="Vírgula 3 2 5 5 2" xfId="4535" xr:uid="{DF82C464-DA34-4BEB-9B1E-70B6F32008A1}"/>
    <cellStyle name="Vírgula 3 2 5 5 2 2" xfId="10828" xr:uid="{A9929993-AEFE-45CE-9C78-5E7B80E10BC6}"/>
    <cellStyle name="Vírgula 3 2 5 5 2 2 2" xfId="23510" xr:uid="{BF953721-1D0D-485C-B126-2B7C92AD501C}"/>
    <cellStyle name="Vírgula 3 2 5 5 2 2 2 2" xfId="49002" xr:uid="{FC35502A-B53C-45D6-9FEC-83796DEC84A6}"/>
    <cellStyle name="Vírgula 3 2 5 5 2 2 3" xfId="36411" xr:uid="{5769D6B7-0EC6-4115-9485-81F1360CBB52}"/>
    <cellStyle name="Vírgula 3 2 5 5 2 3" xfId="17232" xr:uid="{3B9E7C42-9E3F-4B26-A3B4-6B579B2AAC8B}"/>
    <cellStyle name="Vírgula 3 2 5 5 2 3 2" xfId="42724" xr:uid="{A5208C26-6094-4FD0-9BD4-0DC4E8101F1C}"/>
    <cellStyle name="Vírgula 3 2 5 5 2 4" xfId="30133" xr:uid="{C94948CA-3728-493A-8CA7-7B33E36FB62E}"/>
    <cellStyle name="Vírgula 3 2 5 5 3" xfId="7689" xr:uid="{40F11F57-969A-406F-AEB0-C35B7BCB8673}"/>
    <cellStyle name="Vírgula 3 2 5 5 3 2" xfId="20371" xr:uid="{B292E12B-3D33-477A-AF70-FEA9AF205D2B}"/>
    <cellStyle name="Vírgula 3 2 5 5 3 2 2" xfId="45863" xr:uid="{5DF23EA9-1003-4E7C-ADC4-8DE593AB8428}"/>
    <cellStyle name="Vírgula 3 2 5 5 3 3" xfId="33272" xr:uid="{1030BD46-9DA8-4450-AF53-53AE64A8FA19}"/>
    <cellStyle name="Vírgula 3 2 5 5 4" xfId="14093" xr:uid="{61E85E2E-E052-4911-A650-19977EE8EC03}"/>
    <cellStyle name="Vírgula 3 2 5 5 4 2" xfId="39585" xr:uid="{711952E1-DC9C-461C-A01C-C4C19840DD7E}"/>
    <cellStyle name="Vírgula 3 2 5 5 5" xfId="26994" xr:uid="{5FA4BBB8-1A6F-4BD4-AD91-C4038F8F230C}"/>
    <cellStyle name="Vírgula 3 2 5 6" xfId="2688" xr:uid="{06419B51-490A-4B12-9EA0-B87843620105}"/>
    <cellStyle name="Vírgula 3 2 5 6 2" xfId="5842" xr:uid="{CB51B68C-75AE-409B-8848-A321C365DCD2}"/>
    <cellStyle name="Vírgula 3 2 5 6 2 2" xfId="12135" xr:uid="{2F03E422-D3AB-4B07-9896-8D4A7EB902CC}"/>
    <cellStyle name="Vírgula 3 2 5 6 2 2 2" xfId="24817" xr:uid="{C3555353-FD62-421E-92F8-57B765E151E1}"/>
    <cellStyle name="Vírgula 3 2 5 6 2 2 2 2" xfId="50309" xr:uid="{E31881FF-E416-4183-AE76-E85A5E994582}"/>
    <cellStyle name="Vírgula 3 2 5 6 2 2 3" xfId="37718" xr:uid="{EE951816-C1BD-4E21-8CF4-18C1571FCF11}"/>
    <cellStyle name="Vírgula 3 2 5 6 2 3" xfId="18539" xr:uid="{D01D9D97-734F-474A-8BD0-2EDEAE98769F}"/>
    <cellStyle name="Vírgula 3 2 5 6 2 3 2" xfId="44031" xr:uid="{09417E3B-7EAA-4FD5-B923-16C24B9C8076}"/>
    <cellStyle name="Vírgula 3 2 5 6 2 4" xfId="31440" xr:uid="{2D95C506-4843-467A-9B7E-40D75D4AD3FA}"/>
    <cellStyle name="Vírgula 3 2 5 6 3" xfId="8996" xr:uid="{AFDD3738-C172-46FC-8472-F9C7F9DEB18E}"/>
    <cellStyle name="Vírgula 3 2 5 6 3 2" xfId="21678" xr:uid="{DE6753EB-889C-4DFD-A4D8-3FD5E6BC1DCB}"/>
    <cellStyle name="Vírgula 3 2 5 6 3 2 2" xfId="47170" xr:uid="{324B8235-1E54-4DB0-A98C-7C5DED904F51}"/>
    <cellStyle name="Vírgula 3 2 5 6 3 3" xfId="34579" xr:uid="{A54D81A3-45CE-4C20-BE77-3ECB0E631DEF}"/>
    <cellStyle name="Vírgula 3 2 5 6 4" xfId="15400" xr:uid="{F3CA9193-2B7E-4FD2-9D8C-EF0B51D99749}"/>
    <cellStyle name="Vírgula 3 2 5 6 4 2" xfId="40892" xr:uid="{FEF2D9C1-BD30-4D2D-A0E2-2445B200E0BD}"/>
    <cellStyle name="Vírgula 3 2 5 6 5" xfId="28301" xr:uid="{978FF171-1310-4985-BFBE-0C844FC7A401}"/>
    <cellStyle name="Vírgula 3 2 5 7" xfId="3211" xr:uid="{437BA61A-CFDA-4B4F-96F4-4B96102D89CF}"/>
    <cellStyle name="Vírgula 3 2 5 7 2" xfId="6365" xr:uid="{F6C7DA99-0FAC-484A-9C62-ADF90D1AEB2B}"/>
    <cellStyle name="Vírgula 3 2 5 7 2 2" xfId="12658" xr:uid="{A0ED33ED-4A83-45A3-A6F6-E6B41FAF72FB}"/>
    <cellStyle name="Vírgula 3 2 5 7 2 2 2" xfId="25340" xr:uid="{8A1172E1-A5A0-464F-80D7-81283C692629}"/>
    <cellStyle name="Vírgula 3 2 5 7 2 2 2 2" xfId="50832" xr:uid="{425B6A32-5C55-4A59-8F35-78806E31E224}"/>
    <cellStyle name="Vírgula 3 2 5 7 2 2 3" xfId="38241" xr:uid="{9A192E4D-E700-4C77-898C-067B0D99E2A8}"/>
    <cellStyle name="Vírgula 3 2 5 7 2 3" xfId="19062" xr:uid="{B398062A-DFD3-49FE-9B8D-FF53A302B05D}"/>
    <cellStyle name="Vírgula 3 2 5 7 2 3 2" xfId="44554" xr:uid="{127C799F-551F-448D-A054-549C4485AFB5}"/>
    <cellStyle name="Vírgula 3 2 5 7 2 4" xfId="31963" xr:uid="{E91EDEB6-30FC-4FE5-B466-8C36B498E827}"/>
    <cellStyle name="Vírgula 3 2 5 7 3" xfId="9519" xr:uid="{8D0A17CC-C276-44C6-AE72-638CC13B0FB4}"/>
    <cellStyle name="Vírgula 3 2 5 7 3 2" xfId="22201" xr:uid="{A5C46749-5174-4DE7-B6C5-9045D36BFBBE}"/>
    <cellStyle name="Vírgula 3 2 5 7 3 2 2" xfId="47693" xr:uid="{A9A481C1-C75E-4232-80C7-C987AE84875E}"/>
    <cellStyle name="Vírgula 3 2 5 7 3 3" xfId="35102" xr:uid="{A0823D4F-3FA5-47B5-82D8-3FB15EFE1D27}"/>
    <cellStyle name="Vírgula 3 2 5 7 4" xfId="15923" xr:uid="{59EB8040-160D-4AC9-9F59-EF60A6C20681}"/>
    <cellStyle name="Vírgula 3 2 5 7 4 2" xfId="41415" xr:uid="{87DF8927-E43F-4BEA-B206-99FE944A538B}"/>
    <cellStyle name="Vírgula 3 2 5 7 5" xfId="28824" xr:uid="{C75AF4C3-7BDC-496E-8B4E-D1546ED32649}"/>
    <cellStyle name="Vírgula 3 2 5 8" xfId="3750" xr:uid="{D7B935D5-A0D2-452B-AC54-9F2A782D6BA3}"/>
    <cellStyle name="Vírgula 3 2 5 8 2" xfId="10043" xr:uid="{D6F5A496-A051-422C-88CF-8713209F005B}"/>
    <cellStyle name="Vírgula 3 2 5 8 2 2" xfId="22725" xr:uid="{B3B23398-9374-4E66-AC49-0A5D46F1B6BA}"/>
    <cellStyle name="Vírgula 3 2 5 8 2 2 2" xfId="48217" xr:uid="{2685DE8A-E2A6-4087-B373-2560B16FC0BD}"/>
    <cellStyle name="Vírgula 3 2 5 8 2 3" xfId="35626" xr:uid="{33F78F97-5B79-42F3-B617-AD8F3A17D4C8}"/>
    <cellStyle name="Vírgula 3 2 5 8 3" xfId="16447" xr:uid="{F64D0F0E-B99F-4840-819F-DCF9AD4CBEB4}"/>
    <cellStyle name="Vírgula 3 2 5 8 3 2" xfId="41939" xr:uid="{365325BF-F2DD-428A-9EC7-2EBF3D8A51FD}"/>
    <cellStyle name="Vírgula 3 2 5 8 4" xfId="29348" xr:uid="{C0CBA1D2-7482-4021-9B45-BCD5AEC399F4}"/>
    <cellStyle name="Vírgula 3 2 5 9" xfId="6904" xr:uid="{EC9B5D15-55F9-4355-A1F5-5F3F7C8D721F}"/>
    <cellStyle name="Vírgula 3 2 5 9 2" xfId="19586" xr:uid="{8573C742-20D2-4900-8364-2D02A1622C54}"/>
    <cellStyle name="Vírgula 3 2 5 9 2 2" xfId="45078" xr:uid="{B407805D-BF6C-43D0-9835-075DB81113C8}"/>
    <cellStyle name="Vírgula 3 2 5 9 3" xfId="32487" xr:uid="{D412B2E1-9870-4D82-BA3B-C41FA16A88D4}"/>
    <cellStyle name="Vírgula 3 2 6" xfId="523" xr:uid="{81086FAD-ADA5-4155-A590-E6EB372ABD69}"/>
    <cellStyle name="Vírgula 3 2 6 10" xfId="13250" xr:uid="{1ADAD0DD-2CE0-4296-BBDF-67F6C77E22B5}"/>
    <cellStyle name="Vírgula 3 2 6 10 2" xfId="38742" xr:uid="{D032B90A-1BDE-42F3-A37D-F2F6793D1239}"/>
    <cellStyle name="Vírgula 3 2 6 11" xfId="26151" xr:uid="{E38A21E9-46E7-449A-B176-C7F4438907BA}"/>
    <cellStyle name="Vírgula 3 2 6 2" xfId="1060" xr:uid="{F75744A5-2BBA-46D0-AA77-832B3ADE1BF3}"/>
    <cellStyle name="Vírgula 3 2 6 2 2" xfId="2367" xr:uid="{65C5C318-FCF1-4B74-ABF3-A13C82737F22}"/>
    <cellStyle name="Vírgula 3 2 6 2 2 2" xfId="5521" xr:uid="{C8094963-2483-4796-844E-06C20CC09C7F}"/>
    <cellStyle name="Vírgula 3 2 6 2 2 2 2" xfId="11814" xr:uid="{838DE05F-BB27-49ED-8EAD-43E0720DD96F}"/>
    <cellStyle name="Vírgula 3 2 6 2 2 2 2 2" xfId="24496" xr:uid="{D081E07A-0279-4EFE-B28A-44FA9E1C0F3F}"/>
    <cellStyle name="Vírgula 3 2 6 2 2 2 2 2 2" xfId="49988" xr:uid="{C2786641-2298-412C-A826-E19429114859}"/>
    <cellStyle name="Vírgula 3 2 6 2 2 2 2 3" xfId="37397" xr:uid="{C56F7EF5-BDDB-4B9B-882F-7B13AAD015F5}"/>
    <cellStyle name="Vírgula 3 2 6 2 2 2 3" xfId="18218" xr:uid="{D0EB78AD-6C78-4CE3-9256-7C6F2D4B1145}"/>
    <cellStyle name="Vírgula 3 2 6 2 2 2 3 2" xfId="43710" xr:uid="{73AD1D36-6A32-4202-92FB-50413A3E403B}"/>
    <cellStyle name="Vírgula 3 2 6 2 2 2 4" xfId="31119" xr:uid="{0B700CD0-C9CA-4CAD-9314-17F4D02188AE}"/>
    <cellStyle name="Vírgula 3 2 6 2 2 3" xfId="8675" xr:uid="{20B85BAC-785C-4E13-B18F-8BCAF39C8FBA}"/>
    <cellStyle name="Vírgula 3 2 6 2 2 3 2" xfId="21357" xr:uid="{2A54B514-0B2B-4421-B6E0-6A0D801CF7FD}"/>
    <cellStyle name="Vírgula 3 2 6 2 2 3 2 2" xfId="46849" xr:uid="{3C988A50-BC39-4622-9064-2CF785D39EB6}"/>
    <cellStyle name="Vírgula 3 2 6 2 2 3 3" xfId="34258" xr:uid="{B3356A0C-2C83-4F39-910A-6B004777A42D}"/>
    <cellStyle name="Vírgula 3 2 6 2 2 4" xfId="15079" xr:uid="{A22E43F3-608D-409E-8850-82C2786CC892}"/>
    <cellStyle name="Vírgula 3 2 6 2 2 4 2" xfId="40571" xr:uid="{7C7FCF1D-6725-4E82-89F7-A932E1F2E3A8}"/>
    <cellStyle name="Vírgula 3 2 6 2 2 5" xfId="27980" xr:uid="{408551BE-B2C9-48D6-A765-C9C702505625}"/>
    <cellStyle name="Vírgula 3 2 6 2 3" xfId="1584" xr:uid="{21292D10-E9A0-4D62-B444-1F08B72713D0}"/>
    <cellStyle name="Vírgula 3 2 6 2 3 2" xfId="4738" xr:uid="{2314806C-9FC4-4DE8-81AB-4BC276B3A9CD}"/>
    <cellStyle name="Vírgula 3 2 6 2 3 2 2" xfId="11031" xr:uid="{91A8FB69-9C14-4BAA-979A-2D887B36E06B}"/>
    <cellStyle name="Vírgula 3 2 6 2 3 2 2 2" xfId="23713" xr:uid="{3F2229DF-ADDA-4A3A-A33C-4D056E942A51}"/>
    <cellStyle name="Vírgula 3 2 6 2 3 2 2 2 2" xfId="49205" xr:uid="{9DBEE24E-A46C-47E5-B2B6-EF1D5970C661}"/>
    <cellStyle name="Vírgula 3 2 6 2 3 2 2 3" xfId="36614" xr:uid="{2DE8846F-82DA-4557-BEDF-C6F9B24AF4EE}"/>
    <cellStyle name="Vírgula 3 2 6 2 3 2 3" xfId="17435" xr:uid="{5F3C52FC-E9CE-443A-956C-C43F6D3D415D}"/>
    <cellStyle name="Vírgula 3 2 6 2 3 2 3 2" xfId="42927" xr:uid="{D7A1A564-1E49-4D75-9324-2D7455FABC16}"/>
    <cellStyle name="Vírgula 3 2 6 2 3 2 4" xfId="30336" xr:uid="{3293C037-C5AF-482C-B437-A2FC96EAC75D}"/>
    <cellStyle name="Vírgula 3 2 6 2 3 3" xfId="7892" xr:uid="{DCB06059-385A-4060-8ABB-4D99E484FB3B}"/>
    <cellStyle name="Vírgula 3 2 6 2 3 3 2" xfId="20574" xr:uid="{CCC072BA-6C77-4299-B6B0-D3DDC27C3BCF}"/>
    <cellStyle name="Vírgula 3 2 6 2 3 3 2 2" xfId="46066" xr:uid="{04323092-661B-4A83-AB14-0F1EC5153DC8}"/>
    <cellStyle name="Vírgula 3 2 6 2 3 3 3" xfId="33475" xr:uid="{07C3FD09-B7EF-4196-B6F4-E48E4538A2FD}"/>
    <cellStyle name="Vírgula 3 2 6 2 3 4" xfId="14296" xr:uid="{672945D4-55F7-4896-9006-265354C5C58F}"/>
    <cellStyle name="Vírgula 3 2 6 2 3 4 2" xfId="39788" xr:uid="{4680CCC1-6C9F-4EC0-BE7B-BC964FE1E953}"/>
    <cellStyle name="Vírgula 3 2 6 2 3 5" xfId="27197" xr:uid="{5EE50ABB-7789-4ABC-8BEF-6A41B5C0799F}"/>
    <cellStyle name="Vírgula 3 2 6 2 4" xfId="2891" xr:uid="{7E137C39-1A68-4CC6-8CCE-3E9452336F2C}"/>
    <cellStyle name="Vírgula 3 2 6 2 4 2" xfId="6045" xr:uid="{B0C5BEE9-CEFA-41AB-A269-6F0CEF28EAA2}"/>
    <cellStyle name="Vírgula 3 2 6 2 4 2 2" xfId="12338" xr:uid="{F3664E6F-9146-48B0-AD9A-184E904A0A5C}"/>
    <cellStyle name="Vírgula 3 2 6 2 4 2 2 2" xfId="25020" xr:uid="{C2823823-C870-42FE-8766-A50E7264F55C}"/>
    <cellStyle name="Vírgula 3 2 6 2 4 2 2 2 2" xfId="50512" xr:uid="{44780026-70A0-44EB-8BE3-2CABD0D27851}"/>
    <cellStyle name="Vírgula 3 2 6 2 4 2 2 3" xfId="37921" xr:uid="{3EF1FFA9-5085-4D41-B120-C9DF50F15DA3}"/>
    <cellStyle name="Vírgula 3 2 6 2 4 2 3" xfId="18742" xr:uid="{7767BEFB-0573-4367-94D0-BF32E6970CB2}"/>
    <cellStyle name="Vírgula 3 2 6 2 4 2 3 2" xfId="44234" xr:uid="{8AFBC7E7-AB16-49D7-826A-534CDE8334EC}"/>
    <cellStyle name="Vírgula 3 2 6 2 4 2 4" xfId="31643" xr:uid="{A76AED29-35C3-497E-AD8F-64E36307AD08}"/>
    <cellStyle name="Vírgula 3 2 6 2 4 3" xfId="9199" xr:uid="{20CEEE91-1580-4174-B39B-5E373FE281BA}"/>
    <cellStyle name="Vírgula 3 2 6 2 4 3 2" xfId="21881" xr:uid="{EB195650-1CF2-4441-952A-512CE9C57560}"/>
    <cellStyle name="Vírgula 3 2 6 2 4 3 2 2" xfId="47373" xr:uid="{D51528FD-3073-40DA-8B3C-D9EF0538ADB3}"/>
    <cellStyle name="Vírgula 3 2 6 2 4 3 3" xfId="34782" xr:uid="{217BD4E6-5F4F-4876-9772-3F194837A8DB}"/>
    <cellStyle name="Vírgula 3 2 6 2 4 4" xfId="15603" xr:uid="{B793D835-298C-4199-B066-7565266C4AD9}"/>
    <cellStyle name="Vírgula 3 2 6 2 4 4 2" xfId="41095" xr:uid="{6AEEF7B7-6D01-47E5-8B8A-2FD3477EB50A}"/>
    <cellStyle name="Vírgula 3 2 6 2 4 5" xfId="28504" xr:uid="{C9C1041A-CC4E-4A38-82C1-C64571775C94}"/>
    <cellStyle name="Vírgula 3 2 6 2 5" xfId="3414" xr:uid="{F030B243-7607-4A19-A1B1-373CEF58AD48}"/>
    <cellStyle name="Vírgula 3 2 6 2 5 2" xfId="6568" xr:uid="{D41DA3DD-8594-4FB7-8A5F-A411316D590A}"/>
    <cellStyle name="Vírgula 3 2 6 2 5 2 2" xfId="12861" xr:uid="{76464FD3-E670-4844-9353-ADD6964902AD}"/>
    <cellStyle name="Vírgula 3 2 6 2 5 2 2 2" xfId="25543" xr:uid="{96ACFF5D-B537-487F-A198-7C7EC78C06A8}"/>
    <cellStyle name="Vírgula 3 2 6 2 5 2 2 2 2" xfId="51035" xr:uid="{C6F769E9-1045-485C-BA16-F146286FF818}"/>
    <cellStyle name="Vírgula 3 2 6 2 5 2 2 3" xfId="38444" xr:uid="{5BA2B41F-E9EC-4D94-8736-E00FF9326846}"/>
    <cellStyle name="Vírgula 3 2 6 2 5 2 3" xfId="19265" xr:uid="{869E1BC7-F19D-499A-95CA-8F0727EDBE11}"/>
    <cellStyle name="Vírgula 3 2 6 2 5 2 3 2" xfId="44757" xr:uid="{5FC52D31-2CC8-4190-9228-AA1E5ACF0AAA}"/>
    <cellStyle name="Vírgula 3 2 6 2 5 2 4" xfId="32166" xr:uid="{270FB262-4DF8-4FAC-9117-E59CB5728E57}"/>
    <cellStyle name="Vírgula 3 2 6 2 5 3" xfId="9722" xr:uid="{07592359-3666-4AAD-A61F-3A1E21E0F491}"/>
    <cellStyle name="Vírgula 3 2 6 2 5 3 2" xfId="22404" xr:uid="{C8C02806-D8AA-42C6-9CD2-0F16215F1B7C}"/>
    <cellStyle name="Vírgula 3 2 6 2 5 3 2 2" xfId="47896" xr:uid="{C8B13A49-9FC3-4796-99E0-7F38F98B88B9}"/>
    <cellStyle name="Vírgula 3 2 6 2 5 3 3" xfId="35305" xr:uid="{15B506A2-243B-49A4-A468-830C1BBF515B}"/>
    <cellStyle name="Vírgula 3 2 6 2 5 4" xfId="16126" xr:uid="{52E74B7B-D896-4C59-B482-BB36FA5C92CF}"/>
    <cellStyle name="Vírgula 3 2 6 2 5 4 2" xfId="41618" xr:uid="{17328269-3F10-4D20-AA93-AEC610BA6A47}"/>
    <cellStyle name="Vírgula 3 2 6 2 5 5" xfId="29027" xr:uid="{56B50A70-0DB8-4B9A-8D48-384E595AC7D2}"/>
    <cellStyle name="Vírgula 3 2 6 2 6" xfId="4214" xr:uid="{3B1649A1-032F-4EB7-8932-049620582689}"/>
    <cellStyle name="Vírgula 3 2 6 2 6 2" xfId="10507" xr:uid="{1DECAE32-A2BF-4B93-9468-DF87B85AA048}"/>
    <cellStyle name="Vírgula 3 2 6 2 6 2 2" xfId="23189" xr:uid="{BA2D5585-4DD7-4C79-99AA-80986C3E48FA}"/>
    <cellStyle name="Vírgula 3 2 6 2 6 2 2 2" xfId="48681" xr:uid="{7CA762B6-E34D-41D0-B5D8-4CC0F4BFAD5B}"/>
    <cellStyle name="Vírgula 3 2 6 2 6 2 3" xfId="36090" xr:uid="{FD30D644-B614-4B9D-9A81-5ED6F4F30214}"/>
    <cellStyle name="Vírgula 3 2 6 2 6 3" xfId="16911" xr:uid="{8355FE23-E425-4724-8C73-63A2FE513A8E}"/>
    <cellStyle name="Vírgula 3 2 6 2 6 3 2" xfId="42403" xr:uid="{F3B53F47-819B-4E87-948A-36D44784C772}"/>
    <cellStyle name="Vírgula 3 2 6 2 6 4" xfId="29812" xr:uid="{4C509C07-9F79-44F0-A9E7-1DEA4CF3DA1A}"/>
    <cellStyle name="Vírgula 3 2 6 2 7" xfId="7368" xr:uid="{0A6FC8B2-5A97-4298-B304-21DF3504A14F}"/>
    <cellStyle name="Vírgula 3 2 6 2 7 2" xfId="20050" xr:uid="{19D582ED-52B3-4584-A19E-16E38E91210A}"/>
    <cellStyle name="Vírgula 3 2 6 2 7 2 2" xfId="45542" xr:uid="{7B33A7E1-7B48-4A68-9BEA-36106ADAD640}"/>
    <cellStyle name="Vírgula 3 2 6 2 7 3" xfId="32951" xr:uid="{0AA133A4-2709-43CD-ACD9-F85F9F961BED}"/>
    <cellStyle name="Vírgula 3 2 6 2 8" xfId="13772" xr:uid="{3BFF9A87-1989-40D3-92E4-8D27162BE5C6}"/>
    <cellStyle name="Vírgula 3 2 6 2 8 2" xfId="39264" xr:uid="{1824DB5E-E8A7-47B6-9D28-4BDE2828A7ED}"/>
    <cellStyle name="Vírgula 3 2 6 2 9" xfId="26673" xr:uid="{D453FE71-D447-4912-9674-E9B678997689}"/>
    <cellStyle name="Vírgula 3 2 6 3" xfId="800" xr:uid="{98636EFE-5C92-4205-80F9-4702AD7401A3}"/>
    <cellStyle name="Vírgula 3 2 6 3 2" xfId="2107" xr:uid="{699C2FEB-4C42-4BE4-A476-54CBBD1E8816}"/>
    <cellStyle name="Vírgula 3 2 6 3 2 2" xfId="5261" xr:uid="{08A24705-38BD-44A3-8C58-72873B28F2F7}"/>
    <cellStyle name="Vírgula 3 2 6 3 2 2 2" xfId="11554" xr:uid="{A14BAFBE-CDEA-4222-8679-5791D52FA9E3}"/>
    <cellStyle name="Vírgula 3 2 6 3 2 2 2 2" xfId="24236" xr:uid="{445692AE-D6A6-4FA3-9C76-91A53ADA91D7}"/>
    <cellStyle name="Vírgula 3 2 6 3 2 2 2 2 2" xfId="49728" xr:uid="{BE100DBD-DEF6-407A-9A02-CCA627AD19DA}"/>
    <cellStyle name="Vírgula 3 2 6 3 2 2 2 3" xfId="37137" xr:uid="{B876D731-1C55-45D2-A62A-32933EDE5C70}"/>
    <cellStyle name="Vírgula 3 2 6 3 2 2 3" xfId="17958" xr:uid="{A4C337B7-16A5-4489-B251-05969D8A4535}"/>
    <cellStyle name="Vírgula 3 2 6 3 2 2 3 2" xfId="43450" xr:uid="{67DB1135-861E-476F-842F-F2F93492D329}"/>
    <cellStyle name="Vírgula 3 2 6 3 2 2 4" xfId="30859" xr:uid="{CA011EAD-E2D0-44B5-94A0-58EDAB86F1C6}"/>
    <cellStyle name="Vírgula 3 2 6 3 2 3" xfId="8415" xr:uid="{DFD85A14-E511-40C8-A02B-E43878741259}"/>
    <cellStyle name="Vírgula 3 2 6 3 2 3 2" xfId="21097" xr:uid="{9C03D0BA-9AF0-4E63-A75F-F4E4A399C9B7}"/>
    <cellStyle name="Vírgula 3 2 6 3 2 3 2 2" xfId="46589" xr:uid="{CCA333B0-9C28-4C97-9E62-83EAD44D3041}"/>
    <cellStyle name="Vírgula 3 2 6 3 2 3 3" xfId="33998" xr:uid="{0DE5C7D4-C761-4D42-AD51-14C2D5D4D050}"/>
    <cellStyle name="Vírgula 3 2 6 3 2 4" xfId="14819" xr:uid="{3D600EE0-2653-4183-8F0B-2E62DBD00090}"/>
    <cellStyle name="Vírgula 3 2 6 3 2 4 2" xfId="40311" xr:uid="{23FF8049-16B5-4684-A8CC-A422513F3ECD}"/>
    <cellStyle name="Vírgula 3 2 6 3 2 5" xfId="27720" xr:uid="{AC0325E8-009D-4182-BD0D-35E881F2520C}"/>
    <cellStyle name="Vírgula 3 2 6 3 3" xfId="3954" xr:uid="{5150D833-9E1D-426B-9E27-D7E61F43EC66}"/>
    <cellStyle name="Vírgula 3 2 6 3 3 2" xfId="10247" xr:uid="{7BF94A6A-4C66-42E4-90B0-829B1F521D7F}"/>
    <cellStyle name="Vírgula 3 2 6 3 3 2 2" xfId="22929" xr:uid="{1D1ACA00-DAB3-42E6-AFA4-5902B58C20CA}"/>
    <cellStyle name="Vírgula 3 2 6 3 3 2 2 2" xfId="48421" xr:uid="{6F1FD14D-8F87-4619-9FCA-35731C8191DF}"/>
    <cellStyle name="Vírgula 3 2 6 3 3 2 3" xfId="35830" xr:uid="{25A9F74A-6323-4996-B289-87507308ADEB}"/>
    <cellStyle name="Vírgula 3 2 6 3 3 3" xfId="16651" xr:uid="{664DD77A-1883-466C-BC0D-D88351B31793}"/>
    <cellStyle name="Vírgula 3 2 6 3 3 3 2" xfId="42143" xr:uid="{B6F20239-8CC8-476E-8AC3-F1D686CE1EB3}"/>
    <cellStyle name="Vírgula 3 2 6 3 3 4" xfId="29552" xr:uid="{FE2900AC-253B-4223-A8B0-BFE2B37532AE}"/>
    <cellStyle name="Vírgula 3 2 6 3 4" xfId="7108" xr:uid="{C93A4A12-F4F3-4AF1-AF9A-4A228AE31576}"/>
    <cellStyle name="Vírgula 3 2 6 3 4 2" xfId="19790" xr:uid="{A86FAFFF-FCB9-4A9F-A9A9-0B97D74F9D22}"/>
    <cellStyle name="Vírgula 3 2 6 3 4 2 2" xfId="45282" xr:uid="{583D8EFF-4996-4A2B-9AE7-DFB8733CC1AB}"/>
    <cellStyle name="Vírgula 3 2 6 3 4 3" xfId="32691" xr:uid="{5BDD7512-8AC9-4F97-A611-7708598D5B96}"/>
    <cellStyle name="Vírgula 3 2 6 3 5" xfId="13512" xr:uid="{A124D98D-AA0A-47DC-A6F9-638B10B10C4B}"/>
    <cellStyle name="Vírgula 3 2 6 3 5 2" xfId="39004" xr:uid="{A968C894-6818-44B8-9A20-58583CB2A101}"/>
    <cellStyle name="Vírgula 3 2 6 3 6" xfId="26413" xr:uid="{F5C5FCD6-513D-46FB-B06B-AD46028C819A}"/>
    <cellStyle name="Vírgula 3 2 6 4" xfId="1845" xr:uid="{AD472888-B4C9-47AC-B62C-DC53665676FA}"/>
    <cellStyle name="Vírgula 3 2 6 4 2" xfId="4999" xr:uid="{942C048D-DCDA-4EC7-AC38-8E8DF7F89225}"/>
    <cellStyle name="Vírgula 3 2 6 4 2 2" xfId="11292" xr:uid="{34C5A15B-546F-4E64-AE2A-8E5913A4913F}"/>
    <cellStyle name="Vírgula 3 2 6 4 2 2 2" xfId="23974" xr:uid="{5A7AF9CA-A1DB-4587-B17D-5FED7B2494D8}"/>
    <cellStyle name="Vírgula 3 2 6 4 2 2 2 2" xfId="49466" xr:uid="{8BEF6104-91E6-4DE1-BE69-EC588D937E7D}"/>
    <cellStyle name="Vírgula 3 2 6 4 2 2 3" xfId="36875" xr:uid="{B71507A2-C389-45D8-8D79-23481B62307A}"/>
    <cellStyle name="Vírgula 3 2 6 4 2 3" xfId="17696" xr:uid="{FC6CB24C-D1BC-47B1-9BB3-FD14F6845665}"/>
    <cellStyle name="Vírgula 3 2 6 4 2 3 2" xfId="43188" xr:uid="{C7E8FDCC-4A24-416E-9F7C-A41790A276B6}"/>
    <cellStyle name="Vírgula 3 2 6 4 2 4" xfId="30597" xr:uid="{C220DA42-110B-48E2-8FC0-307BE5E2A28C}"/>
    <cellStyle name="Vírgula 3 2 6 4 3" xfId="8153" xr:uid="{C6B36B9A-96C5-4BD7-B053-4CDA6EE89A31}"/>
    <cellStyle name="Vírgula 3 2 6 4 3 2" xfId="20835" xr:uid="{DC12EC1A-8DBD-439C-9358-02122B31D962}"/>
    <cellStyle name="Vírgula 3 2 6 4 3 2 2" xfId="46327" xr:uid="{C29A92A3-755A-4BE4-B010-3D0E8D36B29C}"/>
    <cellStyle name="Vírgula 3 2 6 4 3 3" xfId="33736" xr:uid="{9B5064A1-124A-4D57-9BE5-AE3E5AA19242}"/>
    <cellStyle name="Vírgula 3 2 6 4 4" xfId="14557" xr:uid="{DA4ABDFD-DF60-4C4F-946B-26032B80F986}"/>
    <cellStyle name="Vírgula 3 2 6 4 4 2" xfId="40049" xr:uid="{5382EF67-596F-4A4F-A292-CDAC17270558}"/>
    <cellStyle name="Vírgula 3 2 6 4 5" xfId="27458" xr:uid="{931B77E8-5D54-4C70-A53D-DC05E7BEF6AE}"/>
    <cellStyle name="Vírgula 3 2 6 5" xfId="1323" xr:uid="{175A76E1-2F21-49E1-ACC9-EFEB1200D4EE}"/>
    <cellStyle name="Vírgula 3 2 6 5 2" xfId="4477" xr:uid="{FC5592B8-DD65-47F0-AFCF-AE14FE48DC07}"/>
    <cellStyle name="Vírgula 3 2 6 5 2 2" xfId="10770" xr:uid="{8710F925-4867-4AE6-B0DF-F3E53E3EB84B}"/>
    <cellStyle name="Vírgula 3 2 6 5 2 2 2" xfId="23452" xr:uid="{A372E9A4-F145-4B48-B7B9-7FB9E4CFEF30}"/>
    <cellStyle name="Vírgula 3 2 6 5 2 2 2 2" xfId="48944" xr:uid="{4709B45A-8941-4AF2-B6D9-709AF5C9581A}"/>
    <cellStyle name="Vírgula 3 2 6 5 2 2 3" xfId="36353" xr:uid="{BB5464ED-F935-458A-A17B-F7BDA1D4EF00}"/>
    <cellStyle name="Vírgula 3 2 6 5 2 3" xfId="17174" xr:uid="{102C6838-D35E-4D8E-8D71-6C91548E2966}"/>
    <cellStyle name="Vírgula 3 2 6 5 2 3 2" xfId="42666" xr:uid="{F0285003-D9DE-4AA5-8D65-8A4049D762D2}"/>
    <cellStyle name="Vírgula 3 2 6 5 2 4" xfId="30075" xr:uid="{D0A900A8-B224-43B8-80E7-D48D4805CE03}"/>
    <cellStyle name="Vírgula 3 2 6 5 3" xfId="7631" xr:uid="{E6131137-3BD3-4017-B683-7178969739D9}"/>
    <cellStyle name="Vírgula 3 2 6 5 3 2" xfId="20313" xr:uid="{ED1DC31C-B80F-49A7-9FDC-7FAEC4767A77}"/>
    <cellStyle name="Vírgula 3 2 6 5 3 2 2" xfId="45805" xr:uid="{C5E2BAE8-634F-47C5-9D57-0DB4CB52F485}"/>
    <cellStyle name="Vírgula 3 2 6 5 3 3" xfId="33214" xr:uid="{1573D20F-212D-4680-9AF3-B6B1C832FD66}"/>
    <cellStyle name="Vírgula 3 2 6 5 4" xfId="14035" xr:uid="{8338418B-375E-441C-8E6E-616ADA654BE3}"/>
    <cellStyle name="Vírgula 3 2 6 5 4 2" xfId="39527" xr:uid="{70F9876C-9952-4BBF-A783-F343612DD933}"/>
    <cellStyle name="Vírgula 3 2 6 5 5" xfId="26936" xr:uid="{880C3F07-BCC2-44BF-B431-F524A011E534}"/>
    <cellStyle name="Vírgula 3 2 6 6" xfId="2630" xr:uid="{DB01D9F5-7351-4462-9354-888386193EF6}"/>
    <cellStyle name="Vírgula 3 2 6 6 2" xfId="5784" xr:uid="{F442CAD2-89A2-4C3C-98DC-15C8B8B4C6CE}"/>
    <cellStyle name="Vírgula 3 2 6 6 2 2" xfId="12077" xr:uid="{5059EF68-F406-4B78-83F5-AE8AAF882F9C}"/>
    <cellStyle name="Vírgula 3 2 6 6 2 2 2" xfId="24759" xr:uid="{CFA1EBEC-EB2B-4B17-A38A-D64AB0BA4A3A}"/>
    <cellStyle name="Vírgula 3 2 6 6 2 2 2 2" xfId="50251" xr:uid="{87CCC65D-FE2B-4BEA-93B5-22FDE1C833A9}"/>
    <cellStyle name="Vírgula 3 2 6 6 2 2 3" xfId="37660" xr:uid="{5B105F3D-8BBA-401C-BD0B-C643FD2D97AE}"/>
    <cellStyle name="Vírgula 3 2 6 6 2 3" xfId="18481" xr:uid="{84733E2B-EBEC-4EE6-A2CA-275A59CA8954}"/>
    <cellStyle name="Vírgula 3 2 6 6 2 3 2" xfId="43973" xr:uid="{E82CDE6A-18AB-4B5D-BD9C-8EEED7B3B1C6}"/>
    <cellStyle name="Vírgula 3 2 6 6 2 4" xfId="31382" xr:uid="{DEC7F0A8-83BC-41F4-935C-764D6A06CC9E}"/>
    <cellStyle name="Vírgula 3 2 6 6 3" xfId="8938" xr:uid="{73188CD5-5974-4DD4-ADDB-0029F15E4D30}"/>
    <cellStyle name="Vírgula 3 2 6 6 3 2" xfId="21620" xr:uid="{53908DDA-5A11-4493-982F-C8EB7264C2FA}"/>
    <cellStyle name="Vírgula 3 2 6 6 3 2 2" xfId="47112" xr:uid="{420A3C65-42B3-40D9-A686-B0104DF17471}"/>
    <cellStyle name="Vírgula 3 2 6 6 3 3" xfId="34521" xr:uid="{13DA994C-AC80-4705-992E-AD20176D9742}"/>
    <cellStyle name="Vírgula 3 2 6 6 4" xfId="15342" xr:uid="{0A5760A5-43A6-4C1F-B9FB-15442FD2B425}"/>
    <cellStyle name="Vírgula 3 2 6 6 4 2" xfId="40834" xr:uid="{11325D2C-4FBD-4851-9DA4-F02BA1F8037E}"/>
    <cellStyle name="Vírgula 3 2 6 6 5" xfId="28243" xr:uid="{D677BB1F-4128-450F-95C1-47BEE989B759}"/>
    <cellStyle name="Vírgula 3 2 6 7" xfId="3153" xr:uid="{9E8FDE90-8769-4D73-82F1-3B91DE21EF73}"/>
    <cellStyle name="Vírgula 3 2 6 7 2" xfId="6307" xr:uid="{E5A7B3D1-2A21-462A-B2DA-E8DA15B974B7}"/>
    <cellStyle name="Vírgula 3 2 6 7 2 2" xfId="12600" xr:uid="{B48C05B4-7490-41CD-8040-15A4D387F3A9}"/>
    <cellStyle name="Vírgula 3 2 6 7 2 2 2" xfId="25282" xr:uid="{9A869084-DACA-4882-8D4D-30B2ED8D622C}"/>
    <cellStyle name="Vírgula 3 2 6 7 2 2 2 2" xfId="50774" xr:uid="{2187407C-186C-4BAA-B21D-6A8C06CBE434}"/>
    <cellStyle name="Vírgula 3 2 6 7 2 2 3" xfId="38183" xr:uid="{048DF0AB-0EEA-487B-87FC-9A037AFC54AC}"/>
    <cellStyle name="Vírgula 3 2 6 7 2 3" xfId="19004" xr:uid="{5194E654-9158-4161-814E-0A2CF40DC9C2}"/>
    <cellStyle name="Vírgula 3 2 6 7 2 3 2" xfId="44496" xr:uid="{F1802D75-706A-47CA-9D67-AAD512C3278C}"/>
    <cellStyle name="Vírgula 3 2 6 7 2 4" xfId="31905" xr:uid="{2B98C696-ACD8-4B76-BF11-E41A2225DBA9}"/>
    <cellStyle name="Vírgula 3 2 6 7 3" xfId="9461" xr:uid="{0186F253-2C88-4DDC-A028-58848D998B96}"/>
    <cellStyle name="Vírgula 3 2 6 7 3 2" xfId="22143" xr:uid="{D1889C93-C965-4827-B4EB-FB4F8FDC1335}"/>
    <cellStyle name="Vírgula 3 2 6 7 3 2 2" xfId="47635" xr:uid="{AB020C35-037A-426D-A216-ECB98D566F28}"/>
    <cellStyle name="Vírgula 3 2 6 7 3 3" xfId="35044" xr:uid="{F0AF56D7-571D-4346-B4CC-9DB1F9752252}"/>
    <cellStyle name="Vírgula 3 2 6 7 4" xfId="15865" xr:uid="{FC1B42D2-FC01-4EC2-9978-76AF293CF6C2}"/>
    <cellStyle name="Vírgula 3 2 6 7 4 2" xfId="41357" xr:uid="{ECD0C3EA-8406-4C8D-AA3C-735248AC6222}"/>
    <cellStyle name="Vírgula 3 2 6 7 5" xfId="28766" xr:uid="{260407A6-B315-4248-A6EF-531C4A1017E2}"/>
    <cellStyle name="Vírgula 3 2 6 8" xfId="3692" xr:uid="{0B93C3CA-328D-4974-87EA-050DB02D30B3}"/>
    <cellStyle name="Vírgula 3 2 6 8 2" xfId="9985" xr:uid="{8B81E481-0CE1-4A45-BF84-351DD625321B}"/>
    <cellStyle name="Vírgula 3 2 6 8 2 2" xfId="22667" xr:uid="{9BDBE416-EC74-41C5-9C16-DA19585C3E51}"/>
    <cellStyle name="Vírgula 3 2 6 8 2 2 2" xfId="48159" xr:uid="{4BEE3649-55F2-448A-9F24-722329FC9E6C}"/>
    <cellStyle name="Vírgula 3 2 6 8 2 3" xfId="35568" xr:uid="{A5D8C514-1E66-4F2A-9940-F553F54B9C99}"/>
    <cellStyle name="Vírgula 3 2 6 8 3" xfId="16389" xr:uid="{A4B80B83-2C31-4286-BB4A-F87055287210}"/>
    <cellStyle name="Vírgula 3 2 6 8 3 2" xfId="41881" xr:uid="{AEB19DB8-05C1-4591-9187-4432A5C76AF1}"/>
    <cellStyle name="Vírgula 3 2 6 8 4" xfId="29290" xr:uid="{F634CFA0-FCD3-4665-9FB6-EBB1855914F6}"/>
    <cellStyle name="Vírgula 3 2 6 9" xfId="6846" xr:uid="{D831F906-96B4-4341-BF44-48D3FBF305AD}"/>
    <cellStyle name="Vírgula 3 2 6 9 2" xfId="19528" xr:uid="{391A96D3-3BE9-4071-9E6F-0E1FBF96D4D3}"/>
    <cellStyle name="Vírgula 3 2 6 9 2 2" xfId="45020" xr:uid="{D3B8AC0C-E0CC-4A88-B47C-508072C30EF7}"/>
    <cellStyle name="Vírgula 3 2 6 9 3" xfId="32429" xr:uid="{F6F5B990-DE98-4605-BDF1-EFEB36B834AB}"/>
    <cellStyle name="Vírgula 3 2 7" xfId="959" xr:uid="{1F155672-4816-4EAB-B800-00B11A79F845}"/>
    <cellStyle name="Vírgula 3 2 7 2" xfId="2266" xr:uid="{C4847EF6-4484-4DE7-8268-93A1E6CD5B59}"/>
    <cellStyle name="Vírgula 3 2 7 2 2" xfId="5420" xr:uid="{429997FC-FE26-4010-BBD8-4EF681E5F0A1}"/>
    <cellStyle name="Vírgula 3 2 7 2 2 2" xfId="11713" xr:uid="{6C389856-7FB5-451C-A245-515B5730E881}"/>
    <cellStyle name="Vírgula 3 2 7 2 2 2 2" xfId="24395" xr:uid="{25DD93CA-C37B-495E-ACBF-86C2D34F2C5F}"/>
    <cellStyle name="Vírgula 3 2 7 2 2 2 2 2" xfId="49887" xr:uid="{E87F02EF-8AFB-4D71-90C5-4E0EEE3A4CF5}"/>
    <cellStyle name="Vírgula 3 2 7 2 2 2 3" xfId="37296" xr:uid="{02BF1940-E224-4615-B85D-091C1478AD7E}"/>
    <cellStyle name="Vírgula 3 2 7 2 2 3" xfId="18117" xr:uid="{229D13FA-D267-4C74-A21D-9CCA84055CCB}"/>
    <cellStyle name="Vírgula 3 2 7 2 2 3 2" xfId="43609" xr:uid="{03F3EB87-5D93-4A04-A1B3-0B458AD02313}"/>
    <cellStyle name="Vírgula 3 2 7 2 2 4" xfId="31018" xr:uid="{F28F4BD6-5CB8-4D88-A827-934E10D526C6}"/>
    <cellStyle name="Vírgula 3 2 7 2 3" xfId="8574" xr:uid="{EAC2C7A7-3A19-4262-BE86-296CE0D5E5EC}"/>
    <cellStyle name="Vírgula 3 2 7 2 3 2" xfId="21256" xr:uid="{4EFDD738-7697-4DFE-9AD2-CCB436468D45}"/>
    <cellStyle name="Vírgula 3 2 7 2 3 2 2" xfId="46748" xr:uid="{7B07E280-3D6E-4619-B379-C44C0C038846}"/>
    <cellStyle name="Vírgula 3 2 7 2 3 3" xfId="34157" xr:uid="{15C22604-5066-4DC1-8EF1-5DA3B2A54A4A}"/>
    <cellStyle name="Vírgula 3 2 7 2 4" xfId="14978" xr:uid="{348F9F8B-2D67-4E08-A6A9-59A317A214EE}"/>
    <cellStyle name="Vírgula 3 2 7 2 4 2" xfId="40470" xr:uid="{E8D06D65-4480-41C2-A0CE-1AE4B9CB7556}"/>
    <cellStyle name="Vírgula 3 2 7 2 5" xfId="27879" xr:uid="{175B4D01-8FBD-4AFE-8FEB-4DD50797F9D1}"/>
    <cellStyle name="Vírgula 3 2 7 3" xfId="1483" xr:uid="{9AE8B446-B710-4995-8BB4-D4F9F83D8990}"/>
    <cellStyle name="Vírgula 3 2 7 3 2" xfId="4637" xr:uid="{25F2056D-5D4A-428E-8E50-A4DFC7D87A97}"/>
    <cellStyle name="Vírgula 3 2 7 3 2 2" xfId="10930" xr:uid="{AD0120F4-CB1A-470F-AFA4-DA2162F01DDD}"/>
    <cellStyle name="Vírgula 3 2 7 3 2 2 2" xfId="23612" xr:uid="{A6B2B375-0D9F-48A9-9BB5-48B4E0AAB9DA}"/>
    <cellStyle name="Vírgula 3 2 7 3 2 2 2 2" xfId="49104" xr:uid="{E4369A69-E97F-4C60-9682-3FAA948DE561}"/>
    <cellStyle name="Vírgula 3 2 7 3 2 2 3" xfId="36513" xr:uid="{530E15CA-A2B9-4D01-AEFA-170207711379}"/>
    <cellStyle name="Vírgula 3 2 7 3 2 3" xfId="17334" xr:uid="{324AA764-FB7F-403F-910A-EAD8E96D3371}"/>
    <cellStyle name="Vírgula 3 2 7 3 2 3 2" xfId="42826" xr:uid="{E7058EE8-EC76-4665-B1B5-6BA17D3752E7}"/>
    <cellStyle name="Vírgula 3 2 7 3 2 4" xfId="30235" xr:uid="{486F4195-0942-479E-96AD-E9234600A377}"/>
    <cellStyle name="Vírgula 3 2 7 3 3" xfId="7791" xr:uid="{6BA1601B-3291-4568-9A89-C13D460430C8}"/>
    <cellStyle name="Vírgula 3 2 7 3 3 2" xfId="20473" xr:uid="{6524F370-CB49-494B-ACA5-33887C596CEB}"/>
    <cellStyle name="Vírgula 3 2 7 3 3 2 2" xfId="45965" xr:uid="{5C30C183-B07A-4E04-9102-83EC402E2CB9}"/>
    <cellStyle name="Vírgula 3 2 7 3 3 3" xfId="33374" xr:uid="{B3D0F294-5FB1-4390-9772-2BDC57BF1D7F}"/>
    <cellStyle name="Vírgula 3 2 7 3 4" xfId="14195" xr:uid="{42005070-9BF9-4F2A-B0E3-246C26689871}"/>
    <cellStyle name="Vírgula 3 2 7 3 4 2" xfId="39687" xr:uid="{2F8B0A6D-700F-49D3-A24B-4C948B43DF99}"/>
    <cellStyle name="Vírgula 3 2 7 3 5" xfId="27096" xr:uid="{78EEC1F2-DA43-4D9A-B235-6AFB1CA8BF36}"/>
    <cellStyle name="Vírgula 3 2 7 4" xfId="2790" xr:uid="{F78B9DA4-1E20-4933-BE5D-0C59FA73E000}"/>
    <cellStyle name="Vírgula 3 2 7 4 2" xfId="5944" xr:uid="{5AE1BEED-C88F-4783-8A11-3543F7393EB3}"/>
    <cellStyle name="Vírgula 3 2 7 4 2 2" xfId="12237" xr:uid="{F8D5869A-4DBB-41B8-BDAA-38F5E84FD96D}"/>
    <cellStyle name="Vírgula 3 2 7 4 2 2 2" xfId="24919" xr:uid="{54CC3A55-E598-404D-9B9E-EFC789AFEAA3}"/>
    <cellStyle name="Vírgula 3 2 7 4 2 2 2 2" xfId="50411" xr:uid="{D3F34291-D4DA-4132-B33A-889E5350162C}"/>
    <cellStyle name="Vírgula 3 2 7 4 2 2 3" xfId="37820" xr:uid="{69A2C594-54EE-460B-918D-390DCA599D38}"/>
    <cellStyle name="Vírgula 3 2 7 4 2 3" xfId="18641" xr:uid="{560E37B9-1D06-41A2-956E-725583137565}"/>
    <cellStyle name="Vírgula 3 2 7 4 2 3 2" xfId="44133" xr:uid="{B659BE90-3C95-4D4C-9EE2-AB94E5E69F41}"/>
    <cellStyle name="Vírgula 3 2 7 4 2 4" xfId="31542" xr:uid="{4D719BAB-F505-43E0-BA02-4292F485149D}"/>
    <cellStyle name="Vírgula 3 2 7 4 3" xfId="9098" xr:uid="{9FEA3CE7-BB7E-4624-98F7-0857228DF388}"/>
    <cellStyle name="Vírgula 3 2 7 4 3 2" xfId="21780" xr:uid="{F948B3DC-562C-4467-9BC5-10795DBB8D83}"/>
    <cellStyle name="Vírgula 3 2 7 4 3 2 2" xfId="47272" xr:uid="{4B2BC3BE-4457-445D-B494-B2D283F2FC0B}"/>
    <cellStyle name="Vírgula 3 2 7 4 3 3" xfId="34681" xr:uid="{CA52BDBC-6159-4E94-9A2B-1C87B96BCDF4}"/>
    <cellStyle name="Vírgula 3 2 7 4 4" xfId="15502" xr:uid="{DA1FCAE7-651B-4C8C-8E82-5B238D9C38F1}"/>
    <cellStyle name="Vírgula 3 2 7 4 4 2" xfId="40994" xr:uid="{38A81B90-F5C3-4959-8A48-05EA3C7449C6}"/>
    <cellStyle name="Vírgula 3 2 7 4 5" xfId="28403" xr:uid="{313E15AA-BDAF-4AEF-B6A5-990164FF1ADB}"/>
    <cellStyle name="Vírgula 3 2 7 5" xfId="3313" xr:uid="{1B16FE7C-8A48-4637-B6D5-765153FA6AFF}"/>
    <cellStyle name="Vírgula 3 2 7 5 2" xfId="6467" xr:uid="{D88D3A17-21E1-4032-AE25-A925F446EE73}"/>
    <cellStyle name="Vírgula 3 2 7 5 2 2" xfId="12760" xr:uid="{B7F89A35-E6CF-4B61-80D0-F9ABB16DA369}"/>
    <cellStyle name="Vírgula 3 2 7 5 2 2 2" xfId="25442" xr:uid="{70651E35-F13B-4066-A7AC-9C81A68CCC90}"/>
    <cellStyle name="Vírgula 3 2 7 5 2 2 2 2" xfId="50934" xr:uid="{F5B9E6F8-39B4-430E-A74D-CAC5C0C92702}"/>
    <cellStyle name="Vírgula 3 2 7 5 2 2 3" xfId="38343" xr:uid="{5CFB9197-A469-4070-AA0D-99C1F46A37BA}"/>
    <cellStyle name="Vírgula 3 2 7 5 2 3" xfId="19164" xr:uid="{B47C1EAA-D232-4209-A7E6-168F50636F2B}"/>
    <cellStyle name="Vírgula 3 2 7 5 2 3 2" xfId="44656" xr:uid="{544712DC-B89F-4E08-807E-2B463F560487}"/>
    <cellStyle name="Vírgula 3 2 7 5 2 4" xfId="32065" xr:uid="{376235EF-1D74-4C4A-B9FF-4633B559E008}"/>
    <cellStyle name="Vírgula 3 2 7 5 3" xfId="9621" xr:uid="{F49B6E89-626E-454A-9C3B-8C09F72E233C}"/>
    <cellStyle name="Vírgula 3 2 7 5 3 2" xfId="22303" xr:uid="{4107A240-60AD-4BD9-8DDC-46062D2E1D67}"/>
    <cellStyle name="Vírgula 3 2 7 5 3 2 2" xfId="47795" xr:uid="{6181BCF3-7601-49C7-8117-96AA5EFEA6A0}"/>
    <cellStyle name="Vírgula 3 2 7 5 3 3" xfId="35204" xr:uid="{37315336-76B2-4F4B-A5F7-E406F5FEF375}"/>
    <cellStyle name="Vírgula 3 2 7 5 4" xfId="16025" xr:uid="{73755523-EAAC-41B7-96C9-CBBB406742D5}"/>
    <cellStyle name="Vírgula 3 2 7 5 4 2" xfId="41517" xr:uid="{EBF7D47B-2C50-43FD-92FD-C318F9C8A26D}"/>
    <cellStyle name="Vírgula 3 2 7 5 5" xfId="28926" xr:uid="{9379DA73-C4A0-41C0-806B-621581F9D712}"/>
    <cellStyle name="Vírgula 3 2 7 6" xfId="4113" xr:uid="{1D48A289-C051-4AE1-8AE9-D0D57BDABD26}"/>
    <cellStyle name="Vírgula 3 2 7 6 2" xfId="10406" xr:uid="{6436BBBF-020B-4420-8063-054D2FEBF67A}"/>
    <cellStyle name="Vírgula 3 2 7 6 2 2" xfId="23088" xr:uid="{87A5BDF3-C91C-4159-AC91-78C71672B604}"/>
    <cellStyle name="Vírgula 3 2 7 6 2 2 2" xfId="48580" xr:uid="{B7E07DCA-9382-4E39-BE3C-262768A9BBCD}"/>
    <cellStyle name="Vírgula 3 2 7 6 2 3" xfId="35989" xr:uid="{596752F3-72D9-4D52-9FAD-2599136E34A1}"/>
    <cellStyle name="Vírgula 3 2 7 6 3" xfId="16810" xr:uid="{66E50468-A1A6-41A9-B7E0-63FE5F1C8AB9}"/>
    <cellStyle name="Vírgula 3 2 7 6 3 2" xfId="42302" xr:uid="{D2125A24-F08E-4B11-BFB8-10EA084A08EB}"/>
    <cellStyle name="Vírgula 3 2 7 6 4" xfId="29711" xr:uid="{B4C93D56-BC39-4DFC-9616-870FDCC221C8}"/>
    <cellStyle name="Vírgula 3 2 7 7" xfId="7267" xr:uid="{964DD688-F8BA-4254-9C1A-BF647931B423}"/>
    <cellStyle name="Vírgula 3 2 7 7 2" xfId="19949" xr:uid="{87C6D53C-4D34-4C9E-8C67-B75E58EF8DF7}"/>
    <cellStyle name="Vírgula 3 2 7 7 2 2" xfId="45441" xr:uid="{81956306-7673-466F-93AC-ABB9C20F8F29}"/>
    <cellStyle name="Vírgula 3 2 7 7 3" xfId="32850" xr:uid="{7D91A550-9476-4F0E-899D-E187968A442F}"/>
    <cellStyle name="Vírgula 3 2 7 8" xfId="13671" xr:uid="{938A928B-9B89-4A21-9F14-8A8C4F0E29B4}"/>
    <cellStyle name="Vírgula 3 2 7 8 2" xfId="39163" xr:uid="{02542EAE-041B-4384-8FA1-642C65086AE1}"/>
    <cellStyle name="Vírgula 3 2 7 9" xfId="26572" xr:uid="{36D5B189-7573-43A3-9E27-5B217653B845}"/>
    <cellStyle name="Vírgula 3 2 8" xfId="699" xr:uid="{9EFB5A53-FED6-49BB-8268-3EBE12EC4D22}"/>
    <cellStyle name="Vírgula 3 2 8 2" xfId="2006" xr:uid="{639C0C47-E7E8-45D5-9473-B3D7098F2C97}"/>
    <cellStyle name="Vírgula 3 2 8 2 2" xfId="5160" xr:uid="{8FC0A48E-507D-4C79-BC94-087F06687FCB}"/>
    <cellStyle name="Vírgula 3 2 8 2 2 2" xfId="11453" xr:uid="{C8EC37AA-1E90-4451-AFF6-EDBE7C1BAFD0}"/>
    <cellStyle name="Vírgula 3 2 8 2 2 2 2" xfId="24135" xr:uid="{DE6EC9BF-89F2-462E-BA5F-BB8E84D5F4C3}"/>
    <cellStyle name="Vírgula 3 2 8 2 2 2 2 2" xfId="49627" xr:uid="{CCE87878-CC3D-46C6-82F3-A3D8C1F08311}"/>
    <cellStyle name="Vírgula 3 2 8 2 2 2 3" xfId="37036" xr:uid="{A06DCA41-4B41-4522-B059-1629ABA4AAB4}"/>
    <cellStyle name="Vírgula 3 2 8 2 2 3" xfId="17857" xr:uid="{C9140C3B-4C70-44BE-AFEE-D9947D8F0427}"/>
    <cellStyle name="Vírgula 3 2 8 2 2 3 2" xfId="43349" xr:uid="{07F86D72-E3F5-4038-91A6-2DB9B361E844}"/>
    <cellStyle name="Vírgula 3 2 8 2 2 4" xfId="30758" xr:uid="{DA334FE5-69B2-4EC5-8475-52A4E5A20442}"/>
    <cellStyle name="Vírgula 3 2 8 2 3" xfId="8314" xr:uid="{C109F961-3A0D-4055-A648-00FCE399BC01}"/>
    <cellStyle name="Vírgula 3 2 8 2 3 2" xfId="20996" xr:uid="{5000842F-12F8-43CC-8C65-486F8BE8C042}"/>
    <cellStyle name="Vírgula 3 2 8 2 3 2 2" xfId="46488" xr:uid="{90E6B1CA-334A-4BC4-A550-F791F1A313A9}"/>
    <cellStyle name="Vírgula 3 2 8 2 3 3" xfId="33897" xr:uid="{14D06198-ACDD-44FB-BDA9-E8D5ED778629}"/>
    <cellStyle name="Vírgula 3 2 8 2 4" xfId="14718" xr:uid="{DD2EAF11-9371-45B8-8587-D855F1BA203B}"/>
    <cellStyle name="Vírgula 3 2 8 2 4 2" xfId="40210" xr:uid="{54B00B5B-6813-4BDC-8D61-20D3600B8BEA}"/>
    <cellStyle name="Vírgula 3 2 8 2 5" xfId="27619" xr:uid="{D96D3648-C1E1-4FD5-9460-DB00D4CD8E07}"/>
    <cellStyle name="Vírgula 3 2 8 3" xfId="3853" xr:uid="{44E96B91-A7E4-4E17-AF12-82524AA32E3C}"/>
    <cellStyle name="Vírgula 3 2 8 3 2" xfId="10146" xr:uid="{AD723194-588F-435C-9B60-C68087C71B0D}"/>
    <cellStyle name="Vírgula 3 2 8 3 2 2" xfId="22828" xr:uid="{E4AA8C5C-81C6-4406-B9DB-BECF3DF42730}"/>
    <cellStyle name="Vírgula 3 2 8 3 2 2 2" xfId="48320" xr:uid="{A435AF0B-F56C-48EC-AE08-6A78A6DC548C}"/>
    <cellStyle name="Vírgula 3 2 8 3 2 3" xfId="35729" xr:uid="{E2F5D945-BB0F-465D-8DFE-8FCE8702224E}"/>
    <cellStyle name="Vírgula 3 2 8 3 3" xfId="16550" xr:uid="{024F03BD-ECFF-4863-A335-A49E283A2D18}"/>
    <cellStyle name="Vírgula 3 2 8 3 3 2" xfId="42042" xr:uid="{D680F9F1-D3BF-49C7-95E8-39B18CBC54E4}"/>
    <cellStyle name="Vírgula 3 2 8 3 4" xfId="29451" xr:uid="{B2D1EA3E-540F-4D80-9183-1017DB6D0C1D}"/>
    <cellStyle name="Vírgula 3 2 8 4" xfId="7007" xr:uid="{3E684ABE-002D-4291-B775-C8523535B64C}"/>
    <cellStyle name="Vírgula 3 2 8 4 2" xfId="19689" xr:uid="{50AB71AE-A679-409C-996D-F83BCF08F429}"/>
    <cellStyle name="Vírgula 3 2 8 4 2 2" xfId="45181" xr:uid="{E9A3DFF2-39FA-433D-A4E0-C80BA59922A7}"/>
    <cellStyle name="Vírgula 3 2 8 4 3" xfId="32590" xr:uid="{77463DCC-EA69-4C08-8F80-A320740C8904}"/>
    <cellStyle name="Vírgula 3 2 8 5" xfId="13411" xr:uid="{42701DDF-C4A5-4DA5-91FA-2337E5982B84}"/>
    <cellStyle name="Vírgula 3 2 8 5 2" xfId="38903" xr:uid="{693B4A15-F9FB-414C-88CB-369126E9CF9C}"/>
    <cellStyle name="Vírgula 3 2 8 6" xfId="26312" xr:uid="{414533CB-56D4-4A77-856D-CE635DBFAF3A}"/>
    <cellStyle name="Vírgula 3 2 9" xfId="1744" xr:uid="{F8C7B68F-82ED-476B-A988-56C17A5453FD}"/>
    <cellStyle name="Vírgula 3 2 9 2" xfId="4898" xr:uid="{5FB35C7C-9F4F-4CBA-88CC-22F70000361F}"/>
    <cellStyle name="Vírgula 3 2 9 2 2" xfId="11191" xr:uid="{F86B2369-9B6D-46C1-B883-DD789FE7C00E}"/>
    <cellStyle name="Vírgula 3 2 9 2 2 2" xfId="23873" xr:uid="{2D9623FC-19AA-4A63-99EA-2DBF860D5096}"/>
    <cellStyle name="Vírgula 3 2 9 2 2 2 2" xfId="49365" xr:uid="{0DEFDA05-6E5B-471A-AE83-80D64E6FA2DC}"/>
    <cellStyle name="Vírgula 3 2 9 2 2 3" xfId="36774" xr:uid="{C36184EB-4590-4D24-A30B-903831CC6DE2}"/>
    <cellStyle name="Vírgula 3 2 9 2 3" xfId="17595" xr:uid="{5AC7641D-74A4-4EFD-AD3E-684539E34A03}"/>
    <cellStyle name="Vírgula 3 2 9 2 3 2" xfId="43087" xr:uid="{83CC56B3-ACFB-4CD1-AE23-7420D04A79C4}"/>
    <cellStyle name="Vírgula 3 2 9 2 4" xfId="30496" xr:uid="{B120712C-28A8-46A8-A8D3-9DEC2CCF335C}"/>
    <cellStyle name="Vírgula 3 2 9 3" xfId="8052" xr:uid="{11E766D5-2251-4FC2-BBA4-117235A5D6BC}"/>
    <cellStyle name="Vírgula 3 2 9 3 2" xfId="20734" xr:uid="{2C618064-52ED-4BEC-872D-AC13BE100594}"/>
    <cellStyle name="Vírgula 3 2 9 3 2 2" xfId="46226" xr:uid="{42054E72-06EB-4F01-AFBF-D7264DBD3156}"/>
    <cellStyle name="Vírgula 3 2 9 3 3" xfId="33635" xr:uid="{3D4E781E-5715-48E4-9FDF-A480DC5CF370}"/>
    <cellStyle name="Vírgula 3 2 9 4" xfId="14456" xr:uid="{515DCF05-3F56-498F-85BA-26EA450B13C6}"/>
    <cellStyle name="Vírgula 3 2 9 4 2" xfId="39948" xr:uid="{F76017D3-800F-4FEB-B3DB-7761CBDF9EA0}"/>
    <cellStyle name="Vírgula 3 2 9 5" xfId="27357" xr:uid="{1AEA6CAE-EE54-4382-B048-0C3B60A89769}"/>
    <cellStyle name="Vírgula 3 20" xfId="349" xr:uid="{D978EBFF-B15B-4752-AD02-4F7FB0CE9E96}"/>
    <cellStyle name="Vírgula 3 3" xfId="433" xr:uid="{9E42796A-EDD8-49B3-AEDC-257C8E3BA742}"/>
    <cellStyle name="Vírgula 3 3 10" xfId="3063" xr:uid="{E8517EA7-D9D3-4C4F-8E1A-969EBD5BFDD2}"/>
    <cellStyle name="Vírgula 3 3 10 2" xfId="6217" xr:uid="{05286D9C-EBFE-41B4-86E6-899023C3EA74}"/>
    <cellStyle name="Vírgula 3 3 10 2 2" xfId="12510" xr:uid="{302F2BBE-8897-48E1-8C3C-75BB7D4E6295}"/>
    <cellStyle name="Vírgula 3 3 10 2 2 2" xfId="25192" xr:uid="{48529E79-ED9B-47BD-A63B-34F5B4C631AD}"/>
    <cellStyle name="Vírgula 3 3 10 2 2 2 2" xfId="50684" xr:uid="{67621B47-A383-4369-9688-1B60554768B4}"/>
    <cellStyle name="Vírgula 3 3 10 2 2 3" xfId="38093" xr:uid="{D7EAF880-9A50-40D3-BA17-42806D2ADD82}"/>
    <cellStyle name="Vírgula 3 3 10 2 3" xfId="18914" xr:uid="{9EED244E-6ACD-4065-9032-2AA8198B0627}"/>
    <cellStyle name="Vírgula 3 3 10 2 3 2" xfId="44406" xr:uid="{BF3B3ADB-6A1A-428F-8743-21A1BB8DBE44}"/>
    <cellStyle name="Vírgula 3 3 10 2 4" xfId="31815" xr:uid="{7814E210-066E-42FA-B73F-C67D9A60214C}"/>
    <cellStyle name="Vírgula 3 3 10 3" xfId="9371" xr:uid="{5B61D73C-1DC6-4A52-9BCF-3440D50C157C}"/>
    <cellStyle name="Vírgula 3 3 10 3 2" xfId="22053" xr:uid="{554AFC55-3832-43C3-8600-5491119852CD}"/>
    <cellStyle name="Vírgula 3 3 10 3 2 2" xfId="47545" xr:uid="{1AB31499-4BD7-4BA8-AD39-F7176E1861E7}"/>
    <cellStyle name="Vírgula 3 3 10 3 3" xfId="34954" xr:uid="{8A94BE34-46E1-4CE9-8451-AAF71AAC69CC}"/>
    <cellStyle name="Vírgula 3 3 10 4" xfId="15775" xr:uid="{553088B4-84A6-4795-AC90-C0AC95F6F0E2}"/>
    <cellStyle name="Vírgula 3 3 10 4 2" xfId="41267" xr:uid="{609BE7A8-41BC-440F-ACB9-22D2E1A3FC06}"/>
    <cellStyle name="Vírgula 3 3 10 5" xfId="28676" xr:uid="{F592071B-6BE2-46C9-986C-D04A3DC1F2F6}"/>
    <cellStyle name="Vírgula 3 3 11" xfId="3602" xr:uid="{524D6C16-1A15-44B6-8EAD-9D62D2192B7F}"/>
    <cellStyle name="Vírgula 3 3 11 2" xfId="9895" xr:uid="{B3DA5D01-0E5A-4365-9649-AC894F20D9D7}"/>
    <cellStyle name="Vírgula 3 3 11 2 2" xfId="22577" xr:uid="{DF2752F3-5BB3-4831-948B-DD24FCAA7C65}"/>
    <cellStyle name="Vírgula 3 3 11 2 2 2" xfId="48069" xr:uid="{77E0EDBB-685B-4A89-BE51-F8E80164C861}"/>
    <cellStyle name="Vírgula 3 3 11 2 3" xfId="35478" xr:uid="{8BA7471E-CF84-47C7-B16A-8A045A9E6B5C}"/>
    <cellStyle name="Vírgula 3 3 11 3" xfId="16299" xr:uid="{AE97C432-CFFF-444B-A589-87E3D8478344}"/>
    <cellStyle name="Vírgula 3 3 11 3 2" xfId="41791" xr:uid="{D67FD4DF-6377-4E7F-9FA9-06F14FCE77D3}"/>
    <cellStyle name="Vírgula 3 3 11 4" xfId="29200" xr:uid="{1FE4C04B-8C9E-4301-B3F0-EF2953AAC15E}"/>
    <cellStyle name="Vírgula 3 3 12" xfId="6756" xr:uid="{C38757F4-05FF-455E-8CE8-5C8FD405466E}"/>
    <cellStyle name="Vírgula 3 3 12 2" xfId="19438" xr:uid="{3E3688BC-E005-42B9-93E7-FF07DA220FDA}"/>
    <cellStyle name="Vírgula 3 3 12 2 2" xfId="44930" xr:uid="{7F0DFA8F-F4EF-404C-8F44-DDD2D7C068AA}"/>
    <cellStyle name="Vírgula 3 3 12 3" xfId="32339" xr:uid="{41F5CAAC-7773-4424-BB4A-EEFA371C6590}"/>
    <cellStyle name="Vírgula 3 3 13" xfId="13160" xr:uid="{454810DC-7840-47D9-AF78-3BECC91599A1}"/>
    <cellStyle name="Vírgula 3 3 13 2" xfId="38652" xr:uid="{8AB1D8E3-F3F2-4B51-8909-3A5F0DE6DBB4}"/>
    <cellStyle name="Vírgula 3 3 14" xfId="26061" xr:uid="{4047B625-DA75-4301-BFBC-F9EEF98F74BF}"/>
    <cellStyle name="Vírgula 3 3 2" xfId="494" xr:uid="{BF2691DB-F147-474A-BEBB-C2489EE43A99}"/>
    <cellStyle name="Vírgula 3 3 2 10" xfId="6817" xr:uid="{42CB9E18-FEAB-4137-B3BA-027450FAD73F}"/>
    <cellStyle name="Vírgula 3 3 2 10 2" xfId="19499" xr:uid="{7455746C-419D-4054-964E-3DDB467ECBE1}"/>
    <cellStyle name="Vírgula 3 3 2 10 2 2" xfId="44991" xr:uid="{C0112F5E-53FB-46E1-BF81-810F75D37520}"/>
    <cellStyle name="Vírgula 3 3 2 10 3" xfId="32400" xr:uid="{82AC518A-7E98-4B26-84EC-31E32AF18037}"/>
    <cellStyle name="Vírgula 3 3 2 11" xfId="13221" xr:uid="{61880054-D245-4744-856B-94897430D380}"/>
    <cellStyle name="Vírgula 3 3 2 11 2" xfId="38713" xr:uid="{ADB42735-28EB-45CB-9736-6DE587276559}"/>
    <cellStyle name="Vírgula 3 3 2 12" xfId="26122" xr:uid="{47D04579-98E5-4ED3-8719-8090CF6C6E1B}"/>
    <cellStyle name="Vírgula 3 3 2 2" xfId="653" xr:uid="{EF65C785-BDB3-4A30-AF76-659BFF072DD2}"/>
    <cellStyle name="Vírgula 3 3 2 2 10" xfId="13380" xr:uid="{C77EE3F9-50A2-46BE-8D03-C2BD8C0C2E09}"/>
    <cellStyle name="Vírgula 3 3 2 2 10 2" xfId="38872" xr:uid="{A6029F41-F4EA-423C-88A8-D2E1D4528AF1}"/>
    <cellStyle name="Vírgula 3 3 2 2 11" xfId="26281" xr:uid="{FD430191-B207-4877-9A03-3D1B95B2FBD6}"/>
    <cellStyle name="Vírgula 3 3 2 2 2" xfId="1190" xr:uid="{517D8E2F-477B-47F9-A421-A84BA8CCB04A}"/>
    <cellStyle name="Vírgula 3 3 2 2 2 2" xfId="2497" xr:uid="{5125193E-881E-40D5-8C9F-5CC0701C979F}"/>
    <cellStyle name="Vírgula 3 3 2 2 2 2 2" xfId="5651" xr:uid="{632D32BD-600C-4981-B79C-B28BDF4C89E4}"/>
    <cellStyle name="Vírgula 3 3 2 2 2 2 2 2" xfId="11944" xr:uid="{0C8209B4-C5BF-4F4F-8A62-5A926EFD8B5D}"/>
    <cellStyle name="Vírgula 3 3 2 2 2 2 2 2 2" xfId="24626" xr:uid="{6F95EA27-2C22-4D59-AFE2-08E25B257D1F}"/>
    <cellStyle name="Vírgula 3 3 2 2 2 2 2 2 2 2" xfId="50118" xr:uid="{21DD9124-E30C-46CD-87B2-C5769CF99EFA}"/>
    <cellStyle name="Vírgula 3 3 2 2 2 2 2 2 3" xfId="37527" xr:uid="{D758BA21-FE73-44A7-A4A0-EDAD9EC5C6F0}"/>
    <cellStyle name="Vírgula 3 3 2 2 2 2 2 3" xfId="18348" xr:uid="{EAD8D84A-EC31-473C-AD6D-20FA6DEFA326}"/>
    <cellStyle name="Vírgula 3 3 2 2 2 2 2 3 2" xfId="43840" xr:uid="{FD24F655-E9A4-4092-B9B1-D6FB73F935DC}"/>
    <cellStyle name="Vírgula 3 3 2 2 2 2 2 4" xfId="31249" xr:uid="{95A463D1-9EC6-4FF8-95CE-45BD05BF6462}"/>
    <cellStyle name="Vírgula 3 3 2 2 2 2 3" xfId="8805" xr:uid="{830D4F40-7B1C-488E-9B6C-7897C997AF13}"/>
    <cellStyle name="Vírgula 3 3 2 2 2 2 3 2" xfId="21487" xr:uid="{A6028A2D-4692-4860-B520-B0763D98AEA9}"/>
    <cellStyle name="Vírgula 3 3 2 2 2 2 3 2 2" xfId="46979" xr:uid="{0D32C994-BE7C-4D6E-A2C8-E0A920A9FB92}"/>
    <cellStyle name="Vírgula 3 3 2 2 2 2 3 3" xfId="34388" xr:uid="{5A2C3006-496F-4659-A7DF-9F6890534F80}"/>
    <cellStyle name="Vírgula 3 3 2 2 2 2 4" xfId="15209" xr:uid="{F7736588-0434-4BC1-9D64-A4155223C1C0}"/>
    <cellStyle name="Vírgula 3 3 2 2 2 2 4 2" xfId="40701" xr:uid="{4E7358A2-02C4-46CD-8A56-826B3B7250EF}"/>
    <cellStyle name="Vírgula 3 3 2 2 2 2 5" xfId="28110" xr:uid="{F55CAAF4-EB3B-4C3D-A072-5ADB83692071}"/>
    <cellStyle name="Vírgula 3 3 2 2 2 3" xfId="1714" xr:uid="{BBC6B49A-1315-4CA9-9F81-7A976449D57A}"/>
    <cellStyle name="Vírgula 3 3 2 2 2 3 2" xfId="4868" xr:uid="{B0F58B34-F85A-4AC5-A53D-545281EC992F}"/>
    <cellStyle name="Vírgula 3 3 2 2 2 3 2 2" xfId="11161" xr:uid="{2E9E49ED-4BCA-4589-B771-0D615C091FAE}"/>
    <cellStyle name="Vírgula 3 3 2 2 2 3 2 2 2" xfId="23843" xr:uid="{14E561B2-A199-4C71-AC1D-99263E08F360}"/>
    <cellStyle name="Vírgula 3 3 2 2 2 3 2 2 2 2" xfId="49335" xr:uid="{E03551FD-F3AC-46CA-9A27-185D322A3ABB}"/>
    <cellStyle name="Vírgula 3 3 2 2 2 3 2 2 3" xfId="36744" xr:uid="{32FC6517-0C7A-4D85-A07E-96F8A059B588}"/>
    <cellStyle name="Vírgula 3 3 2 2 2 3 2 3" xfId="17565" xr:uid="{F86DD5C8-3FA3-4EE7-8E04-E7724E8B4CD3}"/>
    <cellStyle name="Vírgula 3 3 2 2 2 3 2 3 2" xfId="43057" xr:uid="{A146A30B-3265-409D-86BC-E8AC50FFCE0B}"/>
    <cellStyle name="Vírgula 3 3 2 2 2 3 2 4" xfId="30466" xr:uid="{104181E3-AD90-4364-B9CC-F4C9C37A2A99}"/>
    <cellStyle name="Vírgula 3 3 2 2 2 3 3" xfId="8022" xr:uid="{47C4DFDE-C5C0-4F34-AF92-187FBED6F234}"/>
    <cellStyle name="Vírgula 3 3 2 2 2 3 3 2" xfId="20704" xr:uid="{CF3DE5D7-DD8A-465A-B0AB-B62D5C7C5201}"/>
    <cellStyle name="Vírgula 3 3 2 2 2 3 3 2 2" xfId="46196" xr:uid="{57F4E749-805B-4863-86B7-0AFEEF7FE675}"/>
    <cellStyle name="Vírgula 3 3 2 2 2 3 3 3" xfId="33605" xr:uid="{515D1A26-5020-4B6E-AE43-F2851C5E956E}"/>
    <cellStyle name="Vírgula 3 3 2 2 2 3 4" xfId="14426" xr:uid="{C495FB27-066F-4CC8-930E-F4DD42E462EA}"/>
    <cellStyle name="Vírgula 3 3 2 2 2 3 4 2" xfId="39918" xr:uid="{D50B65B4-F2B8-488F-A42C-39A665CFDB78}"/>
    <cellStyle name="Vírgula 3 3 2 2 2 3 5" xfId="27327" xr:uid="{79DD8888-2D06-47C5-8D3A-20DFD7D85A18}"/>
    <cellStyle name="Vírgula 3 3 2 2 2 4" xfId="3021" xr:uid="{7F6FBE48-B3CD-4E53-8DE3-6CC337057865}"/>
    <cellStyle name="Vírgula 3 3 2 2 2 4 2" xfId="6175" xr:uid="{DB2DC9E1-A782-4781-8BE1-F66D94BD9D17}"/>
    <cellStyle name="Vírgula 3 3 2 2 2 4 2 2" xfId="12468" xr:uid="{1ADBE469-4553-4455-A1B8-9D69856FFC5C}"/>
    <cellStyle name="Vírgula 3 3 2 2 2 4 2 2 2" xfId="25150" xr:uid="{A4F6FDE5-D6B6-4537-BF50-FE09313DF82C}"/>
    <cellStyle name="Vírgula 3 3 2 2 2 4 2 2 2 2" xfId="50642" xr:uid="{90F7CCFD-7F1B-4F08-A47F-69E654BBA4E0}"/>
    <cellStyle name="Vírgula 3 3 2 2 2 4 2 2 3" xfId="38051" xr:uid="{E4005C3C-B2A1-4747-83DE-1F3D096D2183}"/>
    <cellStyle name="Vírgula 3 3 2 2 2 4 2 3" xfId="18872" xr:uid="{EB5C2A5F-99B7-4208-86E5-F64E680CFEC8}"/>
    <cellStyle name="Vírgula 3 3 2 2 2 4 2 3 2" xfId="44364" xr:uid="{D19988B3-35F0-4224-A771-41518F8CB10F}"/>
    <cellStyle name="Vírgula 3 3 2 2 2 4 2 4" xfId="31773" xr:uid="{2829DED4-0E71-4A3A-82F2-FF4A0BA1ED26}"/>
    <cellStyle name="Vírgula 3 3 2 2 2 4 3" xfId="9329" xr:uid="{5D5A3B70-3F60-483B-B75B-18BA68088A5D}"/>
    <cellStyle name="Vírgula 3 3 2 2 2 4 3 2" xfId="22011" xr:uid="{545DB238-A7FE-46DE-8729-8EA499F34756}"/>
    <cellStyle name="Vírgula 3 3 2 2 2 4 3 2 2" xfId="47503" xr:uid="{E8485E33-BB37-4526-A5B0-64B2DBD79865}"/>
    <cellStyle name="Vírgula 3 3 2 2 2 4 3 3" xfId="34912" xr:uid="{D566191A-464D-495D-87CD-D148044BBEE9}"/>
    <cellStyle name="Vírgula 3 3 2 2 2 4 4" xfId="15733" xr:uid="{04DE9CDA-D852-4EA3-9C40-BF4968C1DB74}"/>
    <cellStyle name="Vírgula 3 3 2 2 2 4 4 2" xfId="41225" xr:uid="{AE228D8A-9BAB-48FE-8171-6C6F01230F78}"/>
    <cellStyle name="Vírgula 3 3 2 2 2 4 5" xfId="28634" xr:uid="{4F07EBCE-8639-4330-836A-28FC26CF354F}"/>
    <cellStyle name="Vírgula 3 3 2 2 2 5" xfId="3544" xr:uid="{B2ED760D-AB7B-4281-96DA-4A6188CA005D}"/>
    <cellStyle name="Vírgula 3 3 2 2 2 5 2" xfId="6698" xr:uid="{95A100A9-9EB7-45A8-8E82-8BDCD91BD478}"/>
    <cellStyle name="Vírgula 3 3 2 2 2 5 2 2" xfId="12991" xr:uid="{2CA21FE5-3C8D-45FC-92DB-6A2CAE638AD9}"/>
    <cellStyle name="Vírgula 3 3 2 2 2 5 2 2 2" xfId="25673" xr:uid="{E4EE4048-01AB-4E96-B2D0-A4710FEAF742}"/>
    <cellStyle name="Vírgula 3 3 2 2 2 5 2 2 2 2" xfId="51165" xr:uid="{A6F3F2D6-B5B1-4F4E-9240-1D2A0B1A9A2B}"/>
    <cellStyle name="Vírgula 3 3 2 2 2 5 2 2 3" xfId="38574" xr:uid="{49BACF05-110C-483D-AEC2-76D5E7576DDB}"/>
    <cellStyle name="Vírgula 3 3 2 2 2 5 2 3" xfId="19395" xr:uid="{C554CF20-D9D9-4772-8039-A9CF60B9F099}"/>
    <cellStyle name="Vírgula 3 3 2 2 2 5 2 3 2" xfId="44887" xr:uid="{CFA93006-6F7D-499F-BC85-6533574DE35B}"/>
    <cellStyle name="Vírgula 3 3 2 2 2 5 2 4" xfId="32296" xr:uid="{B43F5325-A8E1-4539-8D20-25E3D4E645FA}"/>
    <cellStyle name="Vírgula 3 3 2 2 2 5 3" xfId="9852" xr:uid="{A00AF950-57CE-45B2-95A0-8428B4EDB38B}"/>
    <cellStyle name="Vírgula 3 3 2 2 2 5 3 2" xfId="22534" xr:uid="{B3B36A38-A4C6-4224-914D-92A5D539AF51}"/>
    <cellStyle name="Vírgula 3 3 2 2 2 5 3 2 2" xfId="48026" xr:uid="{4EE42FE3-8C16-4D58-B778-D41B77CDCEA0}"/>
    <cellStyle name="Vírgula 3 3 2 2 2 5 3 3" xfId="35435" xr:uid="{A6813573-11FE-468B-BAE8-1AC44DF2043A}"/>
    <cellStyle name="Vírgula 3 3 2 2 2 5 4" xfId="16256" xr:uid="{9FB579D9-AA1F-4072-AC76-1BF5F941498D}"/>
    <cellStyle name="Vírgula 3 3 2 2 2 5 4 2" xfId="41748" xr:uid="{11BEF2FC-4FD8-44D7-9A5B-48D395CC821A}"/>
    <cellStyle name="Vírgula 3 3 2 2 2 5 5" xfId="29157" xr:uid="{8BDF13A6-0256-411C-B303-67AB1165AAE3}"/>
    <cellStyle name="Vírgula 3 3 2 2 2 6" xfId="4344" xr:uid="{C5B58B53-C630-49BE-9DB9-2D43618BA434}"/>
    <cellStyle name="Vírgula 3 3 2 2 2 6 2" xfId="10637" xr:uid="{BDE30831-0708-4B05-B0A1-C348FEF4703C}"/>
    <cellStyle name="Vírgula 3 3 2 2 2 6 2 2" xfId="23319" xr:uid="{15DCCCFD-EDD9-488C-83FF-57D78BB5DB32}"/>
    <cellStyle name="Vírgula 3 3 2 2 2 6 2 2 2" xfId="48811" xr:uid="{E3EB7FF4-E9DA-4247-9655-B7DA4C7858E2}"/>
    <cellStyle name="Vírgula 3 3 2 2 2 6 2 3" xfId="36220" xr:uid="{B08109CD-AAE1-4047-BABE-7CECC0F7855D}"/>
    <cellStyle name="Vírgula 3 3 2 2 2 6 3" xfId="17041" xr:uid="{69621948-AA76-4439-BC76-CD1091915C0D}"/>
    <cellStyle name="Vírgula 3 3 2 2 2 6 3 2" xfId="42533" xr:uid="{A662D9F3-E1F3-4157-A922-C3598D23A098}"/>
    <cellStyle name="Vírgula 3 3 2 2 2 6 4" xfId="29942" xr:uid="{6C8CA3C0-6646-4B5F-8EF5-910EC45AA4EF}"/>
    <cellStyle name="Vírgula 3 3 2 2 2 7" xfId="7498" xr:uid="{A50138F0-693B-4BC6-B864-0B4AE9AF4E90}"/>
    <cellStyle name="Vírgula 3 3 2 2 2 7 2" xfId="20180" xr:uid="{EE28C70E-B0C0-4AA2-9919-21FA5624371F}"/>
    <cellStyle name="Vírgula 3 3 2 2 2 7 2 2" xfId="45672" xr:uid="{9399CD4C-6E85-4C50-B974-627824B63A35}"/>
    <cellStyle name="Vírgula 3 3 2 2 2 7 3" xfId="33081" xr:uid="{436305D1-E07D-450C-9306-36954F0D2A1A}"/>
    <cellStyle name="Vírgula 3 3 2 2 2 8" xfId="13902" xr:uid="{FBAC2DA6-DD7F-41ED-A716-64B5D55613D7}"/>
    <cellStyle name="Vírgula 3 3 2 2 2 8 2" xfId="39394" xr:uid="{6204D358-93CE-4CCD-A6C3-2C22CF87DBB0}"/>
    <cellStyle name="Vírgula 3 3 2 2 2 9" xfId="26803" xr:uid="{9D577932-B593-4C27-B08B-561C9F4F59B9}"/>
    <cellStyle name="Vírgula 3 3 2 2 3" xfId="930" xr:uid="{E1677214-D3C0-4D21-B55D-46B0F82A4CF9}"/>
    <cellStyle name="Vírgula 3 3 2 2 3 2" xfId="2237" xr:uid="{D66434AF-6923-496A-8A3A-1F1580C8ED9D}"/>
    <cellStyle name="Vírgula 3 3 2 2 3 2 2" xfId="5391" xr:uid="{AB30F82E-D3F7-4947-93A4-657C82B3873E}"/>
    <cellStyle name="Vírgula 3 3 2 2 3 2 2 2" xfId="11684" xr:uid="{C5C90E0E-AA82-4163-9484-B33C80B69DE8}"/>
    <cellStyle name="Vírgula 3 3 2 2 3 2 2 2 2" xfId="24366" xr:uid="{B3749DBE-8804-431F-9D5E-0516E799A52E}"/>
    <cellStyle name="Vírgula 3 3 2 2 3 2 2 2 2 2" xfId="49858" xr:uid="{A2CF1722-BEFE-4DD3-9485-0313EE80A019}"/>
    <cellStyle name="Vírgula 3 3 2 2 3 2 2 2 3" xfId="37267" xr:uid="{7072557B-405B-466F-BA52-AFA95EDFE2AE}"/>
    <cellStyle name="Vírgula 3 3 2 2 3 2 2 3" xfId="18088" xr:uid="{2704A87D-B2E0-4390-84CF-7D839A458D99}"/>
    <cellStyle name="Vírgula 3 3 2 2 3 2 2 3 2" xfId="43580" xr:uid="{629E18C3-BBE9-4F48-9D75-20B81D476A60}"/>
    <cellStyle name="Vírgula 3 3 2 2 3 2 2 4" xfId="30989" xr:uid="{13182104-43F7-4C2E-B598-FD61755F50DD}"/>
    <cellStyle name="Vírgula 3 3 2 2 3 2 3" xfId="8545" xr:uid="{56273536-B85D-4810-AA87-EC789A35B69D}"/>
    <cellStyle name="Vírgula 3 3 2 2 3 2 3 2" xfId="21227" xr:uid="{9580ABB5-3541-46F7-8D19-7DC61AFFB1C2}"/>
    <cellStyle name="Vírgula 3 3 2 2 3 2 3 2 2" xfId="46719" xr:uid="{293C42AD-3B9E-4A7E-9305-6A6DDC6087E8}"/>
    <cellStyle name="Vírgula 3 3 2 2 3 2 3 3" xfId="34128" xr:uid="{4D5C9D55-F5E2-46C9-A7BB-07168691C7DB}"/>
    <cellStyle name="Vírgula 3 3 2 2 3 2 4" xfId="14949" xr:uid="{C3D4A548-7D09-4E14-9DE4-01EE470357F5}"/>
    <cellStyle name="Vírgula 3 3 2 2 3 2 4 2" xfId="40441" xr:uid="{45DC78F3-AC7E-475B-887F-4658C47E86A3}"/>
    <cellStyle name="Vírgula 3 3 2 2 3 2 5" xfId="27850" xr:uid="{B43AA8FF-E095-48A9-B2A0-11009E9E4CBE}"/>
    <cellStyle name="Vírgula 3 3 2 2 3 3" xfId="4084" xr:uid="{B9695648-3689-492D-B577-CA6BE18B23E9}"/>
    <cellStyle name="Vírgula 3 3 2 2 3 3 2" xfId="10377" xr:uid="{FBEE303A-796D-4E5F-9B7E-3F7FC38868F7}"/>
    <cellStyle name="Vírgula 3 3 2 2 3 3 2 2" xfId="23059" xr:uid="{7DAF1444-89A5-485A-9832-E282F306EB72}"/>
    <cellStyle name="Vírgula 3 3 2 2 3 3 2 2 2" xfId="48551" xr:uid="{120FD110-F211-47F3-B901-0DFCEE4CD3EE}"/>
    <cellStyle name="Vírgula 3 3 2 2 3 3 2 3" xfId="35960" xr:uid="{AB4E8972-C373-4BD2-B5E8-BC2278B7A6E0}"/>
    <cellStyle name="Vírgula 3 3 2 2 3 3 3" xfId="16781" xr:uid="{2E817BF9-0ACD-4455-B5A6-B370F469E956}"/>
    <cellStyle name="Vírgula 3 3 2 2 3 3 3 2" xfId="42273" xr:uid="{23B1404B-1BF5-4914-82F6-676F40F02F8F}"/>
    <cellStyle name="Vírgula 3 3 2 2 3 3 4" xfId="29682" xr:uid="{8AB63111-A24F-4221-BCB4-EEC74448824B}"/>
    <cellStyle name="Vírgula 3 3 2 2 3 4" xfId="7238" xr:uid="{E75A8D59-D4F2-4DB7-9022-AFB1E13C9402}"/>
    <cellStyle name="Vírgula 3 3 2 2 3 4 2" xfId="19920" xr:uid="{FE4EA1E0-843D-4FB1-B961-52912BF48B2A}"/>
    <cellStyle name="Vírgula 3 3 2 2 3 4 2 2" xfId="45412" xr:uid="{9AD9D456-CB54-47B1-A22A-8052B51A1751}"/>
    <cellStyle name="Vírgula 3 3 2 2 3 4 3" xfId="32821" xr:uid="{9BA2643A-96AB-4D1A-B3D1-E272B9FB85E8}"/>
    <cellStyle name="Vírgula 3 3 2 2 3 5" xfId="13642" xr:uid="{5312EE79-ECC0-4BA6-A7BF-810466935D23}"/>
    <cellStyle name="Vírgula 3 3 2 2 3 5 2" xfId="39134" xr:uid="{3C813CA6-BA67-4387-BB92-CF7412FD8383}"/>
    <cellStyle name="Vírgula 3 3 2 2 3 6" xfId="26543" xr:uid="{72949DC4-43B5-4D56-A37C-2CE357DF3C6C}"/>
    <cellStyle name="Vírgula 3 3 2 2 4" xfId="1975" xr:uid="{A36ED7B1-32AB-4D21-B9CE-D7B3484B2B22}"/>
    <cellStyle name="Vírgula 3 3 2 2 4 2" xfId="5129" xr:uid="{F50E7DA9-39B7-4FA9-912C-BFD53DA190AC}"/>
    <cellStyle name="Vírgula 3 3 2 2 4 2 2" xfId="11422" xr:uid="{F7DF5A25-4A03-441A-A32F-0C098E7C3E77}"/>
    <cellStyle name="Vírgula 3 3 2 2 4 2 2 2" xfId="24104" xr:uid="{1E6EF4A3-A7B1-4045-8032-C8F632E16100}"/>
    <cellStyle name="Vírgula 3 3 2 2 4 2 2 2 2" xfId="49596" xr:uid="{3F081680-E64B-42C2-9B1D-358588503C87}"/>
    <cellStyle name="Vírgula 3 3 2 2 4 2 2 3" xfId="37005" xr:uid="{1ED13EC6-64D2-4E3B-ADDB-D7CF7AB42A1A}"/>
    <cellStyle name="Vírgula 3 3 2 2 4 2 3" xfId="17826" xr:uid="{34917EEB-0509-43B7-B05B-A72FD7F72BC1}"/>
    <cellStyle name="Vírgula 3 3 2 2 4 2 3 2" xfId="43318" xr:uid="{7B8D153B-1CAC-4F22-8DD0-046C6FFEEFDB}"/>
    <cellStyle name="Vírgula 3 3 2 2 4 2 4" xfId="30727" xr:uid="{F7B54605-6860-4203-9B1E-C04E48B692B3}"/>
    <cellStyle name="Vírgula 3 3 2 2 4 3" xfId="8283" xr:uid="{7D277338-380F-4D3B-AC73-015C87E98E2E}"/>
    <cellStyle name="Vírgula 3 3 2 2 4 3 2" xfId="20965" xr:uid="{40718E64-10F2-44CE-B196-E54817FE025E}"/>
    <cellStyle name="Vírgula 3 3 2 2 4 3 2 2" xfId="46457" xr:uid="{B72F703B-B827-40FF-919B-06357034FBA0}"/>
    <cellStyle name="Vírgula 3 3 2 2 4 3 3" xfId="33866" xr:uid="{FD44E2D8-F15B-4DE9-890B-300EDB569084}"/>
    <cellStyle name="Vírgula 3 3 2 2 4 4" xfId="14687" xr:uid="{AC0B12DA-4520-4519-A952-AB9D32ECFA22}"/>
    <cellStyle name="Vírgula 3 3 2 2 4 4 2" xfId="40179" xr:uid="{29DCF6A3-8455-4100-8AC3-D53EB8A27F3E}"/>
    <cellStyle name="Vírgula 3 3 2 2 4 5" xfId="27588" xr:uid="{0B70ECEA-16B2-428A-920F-9A6CF38BD678}"/>
    <cellStyle name="Vírgula 3 3 2 2 5" xfId="1453" xr:uid="{D1A30E09-2264-4651-998D-7A28DCD14DA4}"/>
    <cellStyle name="Vírgula 3 3 2 2 5 2" xfId="4607" xr:uid="{755DA683-424C-45DF-AF06-F692F17DA368}"/>
    <cellStyle name="Vírgula 3 3 2 2 5 2 2" xfId="10900" xr:uid="{0369D56B-E416-4FA8-AE94-8A636C606E80}"/>
    <cellStyle name="Vírgula 3 3 2 2 5 2 2 2" xfId="23582" xr:uid="{689F2877-2C88-4359-99C3-60CA9E4A1599}"/>
    <cellStyle name="Vírgula 3 3 2 2 5 2 2 2 2" xfId="49074" xr:uid="{D516DF11-7BDB-436B-B614-CB11B1050708}"/>
    <cellStyle name="Vírgula 3 3 2 2 5 2 2 3" xfId="36483" xr:uid="{9CA119AD-1B32-47BA-8A96-BB205EC822F1}"/>
    <cellStyle name="Vírgula 3 3 2 2 5 2 3" xfId="17304" xr:uid="{BBE6BE1C-CBFB-45E2-90E7-1FD1BEB388B8}"/>
    <cellStyle name="Vírgula 3 3 2 2 5 2 3 2" xfId="42796" xr:uid="{3BB25E07-6B0D-40FE-A708-82F988DF1E80}"/>
    <cellStyle name="Vírgula 3 3 2 2 5 2 4" xfId="30205" xr:uid="{169BEBB4-6F65-4828-931E-EEC30007EE3E}"/>
    <cellStyle name="Vírgula 3 3 2 2 5 3" xfId="7761" xr:uid="{F1154EFC-A4CF-49D7-9C9E-67EF5D511D42}"/>
    <cellStyle name="Vírgula 3 3 2 2 5 3 2" xfId="20443" xr:uid="{E9C40512-ABE0-4910-8084-5AC86A82A6BD}"/>
    <cellStyle name="Vírgula 3 3 2 2 5 3 2 2" xfId="45935" xr:uid="{2F1C1824-36D6-4EB6-B835-65C013C85993}"/>
    <cellStyle name="Vírgula 3 3 2 2 5 3 3" xfId="33344" xr:uid="{CC984E10-4708-454E-B73F-09AE14634DEA}"/>
    <cellStyle name="Vírgula 3 3 2 2 5 4" xfId="14165" xr:uid="{646F70B8-9CB5-4A64-BBB1-5635B9F9FF7F}"/>
    <cellStyle name="Vírgula 3 3 2 2 5 4 2" xfId="39657" xr:uid="{18B351D5-E0DC-4411-9889-5F95B557DF8D}"/>
    <cellStyle name="Vírgula 3 3 2 2 5 5" xfId="27066" xr:uid="{E77EB204-E60C-4315-8C1D-805FEE9E830B}"/>
    <cellStyle name="Vírgula 3 3 2 2 6" xfId="2760" xr:uid="{25F6ABB5-AAD8-4522-9D8D-BFF9DEDEE113}"/>
    <cellStyle name="Vírgula 3 3 2 2 6 2" xfId="5914" xr:uid="{5FE1BD76-C7ED-4345-8AF0-56B84A9ADB64}"/>
    <cellStyle name="Vírgula 3 3 2 2 6 2 2" xfId="12207" xr:uid="{6EEF169F-9820-429A-88D5-3F62E7E80BBD}"/>
    <cellStyle name="Vírgula 3 3 2 2 6 2 2 2" xfId="24889" xr:uid="{69636D20-8397-4B4B-8954-97A0879CE9DA}"/>
    <cellStyle name="Vírgula 3 3 2 2 6 2 2 2 2" xfId="50381" xr:uid="{E103B506-6558-4DEB-8F09-C8D893D38441}"/>
    <cellStyle name="Vírgula 3 3 2 2 6 2 2 3" xfId="37790" xr:uid="{5A868124-C2F7-4FA2-84CD-3BDCC9EB6556}"/>
    <cellStyle name="Vírgula 3 3 2 2 6 2 3" xfId="18611" xr:uid="{0CB455B1-2B1A-4549-B3F5-4B07B1F61C15}"/>
    <cellStyle name="Vírgula 3 3 2 2 6 2 3 2" xfId="44103" xr:uid="{FAF214F8-22C1-46B3-A1BC-17F609814452}"/>
    <cellStyle name="Vírgula 3 3 2 2 6 2 4" xfId="31512" xr:uid="{23DF70A8-AEFC-40F9-8B35-C1755A364B8D}"/>
    <cellStyle name="Vírgula 3 3 2 2 6 3" xfId="9068" xr:uid="{B3E56B6B-B3BB-4C26-B8C5-F4C6AB5CBD72}"/>
    <cellStyle name="Vírgula 3 3 2 2 6 3 2" xfId="21750" xr:uid="{C95B4B19-34E8-4646-A9D1-19B87AA6C309}"/>
    <cellStyle name="Vírgula 3 3 2 2 6 3 2 2" xfId="47242" xr:uid="{9E373130-18FF-4642-9B4E-BE257539A1E9}"/>
    <cellStyle name="Vírgula 3 3 2 2 6 3 3" xfId="34651" xr:uid="{FE5E8B5D-6B9B-4508-BD6D-298D5FE3EAA0}"/>
    <cellStyle name="Vírgula 3 3 2 2 6 4" xfId="15472" xr:uid="{244A6CB3-4D75-457B-B8A3-6A33F06C8153}"/>
    <cellStyle name="Vírgula 3 3 2 2 6 4 2" xfId="40964" xr:uid="{C7DEB51E-E37A-4B2C-8755-2EC8C0DF9D1A}"/>
    <cellStyle name="Vírgula 3 3 2 2 6 5" xfId="28373" xr:uid="{92C029AD-5F26-49A4-9715-E62F90C32FBC}"/>
    <cellStyle name="Vírgula 3 3 2 2 7" xfId="3283" xr:uid="{ABBA8050-0A7F-42D6-872B-1073304006BC}"/>
    <cellStyle name="Vírgula 3 3 2 2 7 2" xfId="6437" xr:uid="{316DDA69-4FFB-4320-9414-1AFD38583E7D}"/>
    <cellStyle name="Vírgula 3 3 2 2 7 2 2" xfId="12730" xr:uid="{7CCAD7CD-982D-42B1-834D-8C87EDE4A2D0}"/>
    <cellStyle name="Vírgula 3 3 2 2 7 2 2 2" xfId="25412" xr:uid="{E3538848-93A2-4631-A7C3-8B5C72244507}"/>
    <cellStyle name="Vírgula 3 3 2 2 7 2 2 2 2" xfId="50904" xr:uid="{84FA2C7C-51E4-4BBE-944D-4EFA061CFEF9}"/>
    <cellStyle name="Vírgula 3 3 2 2 7 2 2 3" xfId="38313" xr:uid="{A2217581-E8A2-4F15-BD30-A475E0173798}"/>
    <cellStyle name="Vírgula 3 3 2 2 7 2 3" xfId="19134" xr:uid="{11ADCEA4-44E8-4057-90DA-E69CACCCF987}"/>
    <cellStyle name="Vírgula 3 3 2 2 7 2 3 2" xfId="44626" xr:uid="{5EDD20F8-86C2-4684-800A-BE25ACD033E0}"/>
    <cellStyle name="Vírgula 3 3 2 2 7 2 4" xfId="32035" xr:uid="{D3F1D883-B32E-4ABC-9CC4-D6F10A3B502D}"/>
    <cellStyle name="Vírgula 3 3 2 2 7 3" xfId="9591" xr:uid="{6159D2F4-76D1-4FB7-AA50-58811DD8FA46}"/>
    <cellStyle name="Vírgula 3 3 2 2 7 3 2" xfId="22273" xr:uid="{B4C6D7C7-F171-4FCE-B010-2A4D9EB5465B}"/>
    <cellStyle name="Vírgula 3 3 2 2 7 3 2 2" xfId="47765" xr:uid="{90D900ED-0981-435E-A940-A3E0F803B153}"/>
    <cellStyle name="Vírgula 3 3 2 2 7 3 3" xfId="35174" xr:uid="{15B66C44-6998-488F-8D68-F0E36D86118F}"/>
    <cellStyle name="Vírgula 3 3 2 2 7 4" xfId="15995" xr:uid="{24C22503-B62B-441F-837A-D4C69FF8AC24}"/>
    <cellStyle name="Vírgula 3 3 2 2 7 4 2" xfId="41487" xr:uid="{2FB56A54-D51B-406B-A1F4-8781F86CDC40}"/>
    <cellStyle name="Vírgula 3 3 2 2 7 5" xfId="28896" xr:uid="{128FE2F5-5E2E-4A7E-A5DA-05D10428274E}"/>
    <cellStyle name="Vírgula 3 3 2 2 8" xfId="3822" xr:uid="{FF407B6B-82AD-4CC2-9922-055AAA1D0769}"/>
    <cellStyle name="Vírgula 3 3 2 2 8 2" xfId="10115" xr:uid="{4974D37E-D659-48FA-992E-0DD65182E508}"/>
    <cellStyle name="Vírgula 3 3 2 2 8 2 2" xfId="22797" xr:uid="{9CA77CB6-A5C6-4EEC-8F1A-C0EADF2F59F6}"/>
    <cellStyle name="Vírgula 3 3 2 2 8 2 2 2" xfId="48289" xr:uid="{A295254D-04FF-4296-9BB9-D608F5EA2499}"/>
    <cellStyle name="Vírgula 3 3 2 2 8 2 3" xfId="35698" xr:uid="{12AE0032-F06D-4309-9B66-E7EC6C8F4548}"/>
    <cellStyle name="Vírgula 3 3 2 2 8 3" xfId="16519" xr:uid="{34698DAF-7ABA-44BB-8356-C0AC69DE5815}"/>
    <cellStyle name="Vírgula 3 3 2 2 8 3 2" xfId="42011" xr:uid="{6BBFE94C-8BA2-4B17-B63B-FD593869D891}"/>
    <cellStyle name="Vírgula 3 3 2 2 8 4" xfId="29420" xr:uid="{AB28C76D-2BB3-43F4-A7D4-406509F1352E}"/>
    <cellStyle name="Vírgula 3 3 2 2 9" xfId="6976" xr:uid="{E4B4ABB5-D9D5-4D26-84F0-562B91A80C16}"/>
    <cellStyle name="Vírgula 3 3 2 2 9 2" xfId="19658" xr:uid="{4E15CD6A-3C2D-43C5-A059-965C6E7A4E41}"/>
    <cellStyle name="Vírgula 3 3 2 2 9 2 2" xfId="45150" xr:uid="{45357165-18C6-4D35-96D4-B591B2576AD0}"/>
    <cellStyle name="Vírgula 3 3 2 2 9 3" xfId="32559" xr:uid="{ADAF401A-BB75-4D25-96E7-AEC8CA64741E}"/>
    <cellStyle name="Vírgula 3 3 2 3" xfId="1031" xr:uid="{A0E43867-802A-4BE4-87A8-35764F649874}"/>
    <cellStyle name="Vírgula 3 3 2 3 2" xfId="2338" xr:uid="{9303FCBE-1041-4B93-BB02-20441677F363}"/>
    <cellStyle name="Vírgula 3 3 2 3 2 2" xfId="5492" xr:uid="{230ED6CA-9B50-4C8C-A72E-AC5D87C4ED9F}"/>
    <cellStyle name="Vírgula 3 3 2 3 2 2 2" xfId="11785" xr:uid="{102A9526-7EBB-4AC3-9DE6-AE1DEB363479}"/>
    <cellStyle name="Vírgula 3 3 2 3 2 2 2 2" xfId="24467" xr:uid="{5BF53C56-7B30-4BB3-B12B-B3AC62ECCF00}"/>
    <cellStyle name="Vírgula 3 3 2 3 2 2 2 2 2" xfId="49959" xr:uid="{54380F36-7B3A-433E-AEAD-74D47A7463A7}"/>
    <cellStyle name="Vírgula 3 3 2 3 2 2 2 3" xfId="37368" xr:uid="{617A43D5-22DB-43D3-828A-F128E0F7B203}"/>
    <cellStyle name="Vírgula 3 3 2 3 2 2 3" xfId="18189" xr:uid="{608B519F-B3F7-48F0-B541-632F223CCD23}"/>
    <cellStyle name="Vírgula 3 3 2 3 2 2 3 2" xfId="43681" xr:uid="{35B82366-81C2-4864-8C84-0CA698BF1785}"/>
    <cellStyle name="Vírgula 3 3 2 3 2 2 4" xfId="31090" xr:uid="{CEE67901-CD9F-4263-B48D-245D2724BB28}"/>
    <cellStyle name="Vírgula 3 3 2 3 2 3" xfId="8646" xr:uid="{5A9FBF94-228C-4F82-B914-8642957384AE}"/>
    <cellStyle name="Vírgula 3 3 2 3 2 3 2" xfId="21328" xr:uid="{9A7D0477-338D-4010-A528-F9D2D9A5389E}"/>
    <cellStyle name="Vírgula 3 3 2 3 2 3 2 2" xfId="46820" xr:uid="{B14F628C-5593-4061-A544-42EC6C52581C}"/>
    <cellStyle name="Vírgula 3 3 2 3 2 3 3" xfId="34229" xr:uid="{F5C34524-EAAE-4A70-95E9-917CFBF29355}"/>
    <cellStyle name="Vírgula 3 3 2 3 2 4" xfId="15050" xr:uid="{082280D5-EEC2-4681-8373-3608676A073D}"/>
    <cellStyle name="Vírgula 3 3 2 3 2 4 2" xfId="40542" xr:uid="{6FF2F263-F539-49B5-B062-77460E2DD4B7}"/>
    <cellStyle name="Vírgula 3 3 2 3 2 5" xfId="27951" xr:uid="{15EEE71D-AD3F-48FB-9767-DECD1F78362B}"/>
    <cellStyle name="Vírgula 3 3 2 3 3" xfId="1555" xr:uid="{474536A7-5FFA-4147-A095-1D62155AB5E4}"/>
    <cellStyle name="Vírgula 3 3 2 3 3 2" xfId="4709" xr:uid="{57EC1686-C3FD-40A9-899C-B608AD996D9B}"/>
    <cellStyle name="Vírgula 3 3 2 3 3 2 2" xfId="11002" xr:uid="{1121393E-0BEE-459B-ABCB-1B16BE60B6E1}"/>
    <cellStyle name="Vírgula 3 3 2 3 3 2 2 2" xfId="23684" xr:uid="{13C75DC0-3681-4324-9906-CF00132BC725}"/>
    <cellStyle name="Vírgula 3 3 2 3 3 2 2 2 2" xfId="49176" xr:uid="{8E717E91-D785-4D48-8A57-B202E9DAA956}"/>
    <cellStyle name="Vírgula 3 3 2 3 3 2 2 3" xfId="36585" xr:uid="{B751F160-9639-4424-9609-A7A1EF07E376}"/>
    <cellStyle name="Vírgula 3 3 2 3 3 2 3" xfId="17406" xr:uid="{E7815981-0FBA-4CCA-A072-93429CFC0958}"/>
    <cellStyle name="Vírgula 3 3 2 3 3 2 3 2" xfId="42898" xr:uid="{89B7C564-F720-40FE-A9A9-CEFF1C539A87}"/>
    <cellStyle name="Vírgula 3 3 2 3 3 2 4" xfId="30307" xr:uid="{D4A13744-FEFE-4781-8730-77B99E356B51}"/>
    <cellStyle name="Vírgula 3 3 2 3 3 3" xfId="7863" xr:uid="{68A4D30E-2340-4047-8805-1D0E315750D8}"/>
    <cellStyle name="Vírgula 3 3 2 3 3 3 2" xfId="20545" xr:uid="{B9022BB7-9DF1-42EB-959A-2BC1365B56CD}"/>
    <cellStyle name="Vírgula 3 3 2 3 3 3 2 2" xfId="46037" xr:uid="{49D7244A-A308-47E6-BE23-1FE20EB1ADD6}"/>
    <cellStyle name="Vírgula 3 3 2 3 3 3 3" xfId="33446" xr:uid="{F19702DE-D091-4AA9-83F8-8745BC4EC629}"/>
    <cellStyle name="Vírgula 3 3 2 3 3 4" xfId="14267" xr:uid="{60828DC5-DC30-4BF5-9BE7-1EC10B3C5E20}"/>
    <cellStyle name="Vírgula 3 3 2 3 3 4 2" xfId="39759" xr:uid="{A81C7E69-B2F8-490C-90EE-76F1B3557662}"/>
    <cellStyle name="Vírgula 3 3 2 3 3 5" xfId="27168" xr:uid="{C3EA5E9B-FE82-4D50-BF34-3FED6114C75A}"/>
    <cellStyle name="Vírgula 3 3 2 3 4" xfId="2862" xr:uid="{3F3C4270-B10C-4405-A6F8-79BB5D2A7D2E}"/>
    <cellStyle name="Vírgula 3 3 2 3 4 2" xfId="6016" xr:uid="{1557E923-538E-4E48-BBFA-9FF88D942F21}"/>
    <cellStyle name="Vírgula 3 3 2 3 4 2 2" xfId="12309" xr:uid="{9FA4315D-03FD-48D8-ABE9-EA9AC5501356}"/>
    <cellStyle name="Vírgula 3 3 2 3 4 2 2 2" xfId="24991" xr:uid="{7C1FF918-57AB-4BD4-B8D7-9F1EBC5D9111}"/>
    <cellStyle name="Vírgula 3 3 2 3 4 2 2 2 2" xfId="50483" xr:uid="{A57D98B2-66C7-4FB2-9A4E-F7ED6AA3FFCA}"/>
    <cellStyle name="Vírgula 3 3 2 3 4 2 2 3" xfId="37892" xr:uid="{5AD032A1-B1DE-454D-AFF1-9868CF90EE2D}"/>
    <cellStyle name="Vírgula 3 3 2 3 4 2 3" xfId="18713" xr:uid="{2CEB3164-BBF1-41AF-AF03-D33D6B7E6907}"/>
    <cellStyle name="Vírgula 3 3 2 3 4 2 3 2" xfId="44205" xr:uid="{6E70012D-3F1E-475E-B789-A178EF3B0E05}"/>
    <cellStyle name="Vírgula 3 3 2 3 4 2 4" xfId="31614" xr:uid="{70721D1C-6FED-4E2F-89D0-20D283C500B8}"/>
    <cellStyle name="Vírgula 3 3 2 3 4 3" xfId="9170" xr:uid="{F0FDEA02-D9FC-43C0-ABA6-EE31D99FAE8B}"/>
    <cellStyle name="Vírgula 3 3 2 3 4 3 2" xfId="21852" xr:uid="{9CE94A84-AD88-446F-8376-B804D87EDFCC}"/>
    <cellStyle name="Vírgula 3 3 2 3 4 3 2 2" xfId="47344" xr:uid="{0A722A16-78B4-4948-B690-7380C32F6084}"/>
    <cellStyle name="Vírgula 3 3 2 3 4 3 3" xfId="34753" xr:uid="{EB107F22-4572-4B61-9C38-4E0EF0459965}"/>
    <cellStyle name="Vírgula 3 3 2 3 4 4" xfId="15574" xr:uid="{D9FF5933-5C5B-4040-9AA1-F53E11435064}"/>
    <cellStyle name="Vírgula 3 3 2 3 4 4 2" xfId="41066" xr:uid="{263AFF93-CCE8-4048-8035-77195557F5A3}"/>
    <cellStyle name="Vírgula 3 3 2 3 4 5" xfId="28475" xr:uid="{EE0B9D77-AA4A-4D79-9C41-AA5A75FF982D}"/>
    <cellStyle name="Vírgula 3 3 2 3 5" xfId="3385" xr:uid="{91FACAEA-F842-42FD-8F35-3C096AB890F7}"/>
    <cellStyle name="Vírgula 3 3 2 3 5 2" xfId="6539" xr:uid="{7E4BBCDE-972D-4B16-A8AE-6BFC34AC6987}"/>
    <cellStyle name="Vírgula 3 3 2 3 5 2 2" xfId="12832" xr:uid="{9B59294C-6315-466C-847D-16105F2DC6FB}"/>
    <cellStyle name="Vírgula 3 3 2 3 5 2 2 2" xfId="25514" xr:uid="{3C4FA8B2-9A6A-4097-8543-1F0BC01CB516}"/>
    <cellStyle name="Vírgula 3 3 2 3 5 2 2 2 2" xfId="51006" xr:uid="{177E43E1-138F-4DA6-86B9-4FECA7786BC5}"/>
    <cellStyle name="Vírgula 3 3 2 3 5 2 2 3" xfId="38415" xr:uid="{FC33028F-6965-4B99-908A-9EBA9678F8E8}"/>
    <cellStyle name="Vírgula 3 3 2 3 5 2 3" xfId="19236" xr:uid="{DBC9226F-E05C-4F0B-BC89-800E045845B2}"/>
    <cellStyle name="Vírgula 3 3 2 3 5 2 3 2" xfId="44728" xr:uid="{1148EC6E-6E5F-4818-890B-B59AD40BD115}"/>
    <cellStyle name="Vírgula 3 3 2 3 5 2 4" xfId="32137" xr:uid="{5FEEE522-9396-4198-9EA9-13DC1BE69F67}"/>
    <cellStyle name="Vírgula 3 3 2 3 5 3" xfId="9693" xr:uid="{FCC87ECF-4087-4842-9AEB-CD3121939948}"/>
    <cellStyle name="Vírgula 3 3 2 3 5 3 2" xfId="22375" xr:uid="{A48982D0-AB58-42AD-A8DC-A4985365C83E}"/>
    <cellStyle name="Vírgula 3 3 2 3 5 3 2 2" xfId="47867" xr:uid="{9D32A963-2B23-4CD0-B636-02203B5F9F1F}"/>
    <cellStyle name="Vírgula 3 3 2 3 5 3 3" xfId="35276" xr:uid="{2FAB6B6E-7FC3-43EB-9E1E-B440BC17FE9E}"/>
    <cellStyle name="Vírgula 3 3 2 3 5 4" xfId="16097" xr:uid="{2931EB07-FEBD-4758-ADF0-B4BAF3D74BD4}"/>
    <cellStyle name="Vírgula 3 3 2 3 5 4 2" xfId="41589" xr:uid="{07A468B9-7E16-4191-89C7-A807F16C343B}"/>
    <cellStyle name="Vírgula 3 3 2 3 5 5" xfId="28998" xr:uid="{A60698A6-0E4B-4261-A8A6-4A54A004F368}"/>
    <cellStyle name="Vírgula 3 3 2 3 6" xfId="4185" xr:uid="{8888BE17-E76A-43CF-AE95-7708E7896AD3}"/>
    <cellStyle name="Vírgula 3 3 2 3 6 2" xfId="10478" xr:uid="{63BFE6E1-DF29-4C1F-A6FD-89E8228508EE}"/>
    <cellStyle name="Vírgula 3 3 2 3 6 2 2" xfId="23160" xr:uid="{EF8E888B-1C28-4602-AFDE-3897A554971E}"/>
    <cellStyle name="Vírgula 3 3 2 3 6 2 2 2" xfId="48652" xr:uid="{F316F6FF-61E8-44E5-81D1-B12B7B45A9AE}"/>
    <cellStyle name="Vírgula 3 3 2 3 6 2 3" xfId="36061" xr:uid="{10B399AE-C2DB-4B9A-85E1-7734A5CD34C9}"/>
    <cellStyle name="Vírgula 3 3 2 3 6 3" xfId="16882" xr:uid="{ED253EE3-1437-4DD1-A0D7-123F4120A2EC}"/>
    <cellStyle name="Vírgula 3 3 2 3 6 3 2" xfId="42374" xr:uid="{806D64F3-E860-448D-8067-DEC5DA7667A7}"/>
    <cellStyle name="Vírgula 3 3 2 3 6 4" xfId="29783" xr:uid="{486BC5F0-95A5-4001-819D-FAFC5368940C}"/>
    <cellStyle name="Vírgula 3 3 2 3 7" xfId="7339" xr:uid="{7949885E-05BD-4E72-A07A-EC31EE08B649}"/>
    <cellStyle name="Vírgula 3 3 2 3 7 2" xfId="20021" xr:uid="{8D5DA6C3-5851-4455-A6D7-2A8E6989A869}"/>
    <cellStyle name="Vírgula 3 3 2 3 7 2 2" xfId="45513" xr:uid="{1307AE7F-526B-46C9-B2C2-198910FB1BFD}"/>
    <cellStyle name="Vírgula 3 3 2 3 7 3" xfId="32922" xr:uid="{DB91588E-2931-4A4D-ACC4-A3ADC1D27F52}"/>
    <cellStyle name="Vírgula 3 3 2 3 8" xfId="13743" xr:uid="{AAB1C7DA-903B-4A8A-9093-51C99BD14AFD}"/>
    <cellStyle name="Vírgula 3 3 2 3 8 2" xfId="39235" xr:uid="{2E73FDB8-3CAE-4B35-A0C5-AB17CACEBB1F}"/>
    <cellStyle name="Vírgula 3 3 2 3 9" xfId="26644" xr:uid="{942908CB-A467-40D1-BF72-7E3C935D8156}"/>
    <cellStyle name="Vírgula 3 3 2 4" xfId="771" xr:uid="{CA1ADB31-6DF5-4A99-8DD8-0B9C55F75297}"/>
    <cellStyle name="Vírgula 3 3 2 4 2" xfId="2078" xr:uid="{FF069CD9-F00F-4766-B3A1-48C10F61CC36}"/>
    <cellStyle name="Vírgula 3 3 2 4 2 2" xfId="5232" xr:uid="{5450F37F-C44E-4356-A5A6-5A13A65CE79D}"/>
    <cellStyle name="Vírgula 3 3 2 4 2 2 2" xfId="11525" xr:uid="{344DBDB6-360C-4DD8-872D-2936277ABF3C}"/>
    <cellStyle name="Vírgula 3 3 2 4 2 2 2 2" xfId="24207" xr:uid="{475D2A02-EDB4-4E77-904D-33E6CCC586F7}"/>
    <cellStyle name="Vírgula 3 3 2 4 2 2 2 2 2" xfId="49699" xr:uid="{6A4ABCB4-2098-48A1-991B-0488C66AC47A}"/>
    <cellStyle name="Vírgula 3 3 2 4 2 2 2 3" xfId="37108" xr:uid="{3CD44AA4-FF9C-43BB-A637-08E92F13AD98}"/>
    <cellStyle name="Vírgula 3 3 2 4 2 2 3" xfId="17929" xr:uid="{B9ED9EFC-26C4-4599-ACF2-24C8D7E29EED}"/>
    <cellStyle name="Vírgula 3 3 2 4 2 2 3 2" xfId="43421" xr:uid="{BDE4CF31-6D29-467D-966B-54857949B559}"/>
    <cellStyle name="Vírgula 3 3 2 4 2 2 4" xfId="30830" xr:uid="{F30AC16E-48BD-401B-A735-6947A967DAEE}"/>
    <cellStyle name="Vírgula 3 3 2 4 2 3" xfId="8386" xr:uid="{D16530DC-F9D8-430A-8104-D3E2D33967EC}"/>
    <cellStyle name="Vírgula 3 3 2 4 2 3 2" xfId="21068" xr:uid="{D12469FE-EFC3-4068-9499-6A8849CCD3D9}"/>
    <cellStyle name="Vírgula 3 3 2 4 2 3 2 2" xfId="46560" xr:uid="{4121CE87-3487-4997-8CFA-A64E1E0DAFDC}"/>
    <cellStyle name="Vírgula 3 3 2 4 2 3 3" xfId="33969" xr:uid="{358C55DC-D507-4209-8B33-D3F6640FD288}"/>
    <cellStyle name="Vírgula 3 3 2 4 2 4" xfId="14790" xr:uid="{373FA286-298F-4081-B14C-424213E2128E}"/>
    <cellStyle name="Vírgula 3 3 2 4 2 4 2" xfId="40282" xr:uid="{946B26D3-323F-4C4B-834A-7C96FD514786}"/>
    <cellStyle name="Vírgula 3 3 2 4 2 5" xfId="27691" xr:uid="{C8FC21B3-4C3A-4CBE-9920-7A5CDED7E425}"/>
    <cellStyle name="Vírgula 3 3 2 4 3" xfId="3925" xr:uid="{D0BC16D6-DEE5-4874-9DDF-00336CD78A7B}"/>
    <cellStyle name="Vírgula 3 3 2 4 3 2" xfId="10218" xr:uid="{411CBCD7-424B-400A-800F-57479739AE8A}"/>
    <cellStyle name="Vírgula 3 3 2 4 3 2 2" xfId="22900" xr:uid="{562A0878-54CF-4120-B5C0-CE4356D8F2BF}"/>
    <cellStyle name="Vírgula 3 3 2 4 3 2 2 2" xfId="48392" xr:uid="{81B40972-3F23-4087-B396-08B391629C4B}"/>
    <cellStyle name="Vírgula 3 3 2 4 3 2 3" xfId="35801" xr:uid="{010DFBAE-5C8B-4FE4-8B79-5B8385180F96}"/>
    <cellStyle name="Vírgula 3 3 2 4 3 3" xfId="16622" xr:uid="{ACEA8989-900E-491A-BBCA-EB760BEF8923}"/>
    <cellStyle name="Vírgula 3 3 2 4 3 3 2" xfId="42114" xr:uid="{1D6A8714-7F99-466F-8095-66FE89C882D1}"/>
    <cellStyle name="Vírgula 3 3 2 4 3 4" xfId="29523" xr:uid="{EE07B5FA-BB57-4349-9899-C6176F20CB13}"/>
    <cellStyle name="Vírgula 3 3 2 4 4" xfId="7079" xr:uid="{1124ECA2-E7E7-490C-8075-FE3168ADBB93}"/>
    <cellStyle name="Vírgula 3 3 2 4 4 2" xfId="19761" xr:uid="{FC3F67EB-2262-4787-B961-0566C5C76CCD}"/>
    <cellStyle name="Vírgula 3 3 2 4 4 2 2" xfId="45253" xr:uid="{B8CE6909-8ADA-44FB-A1BA-B086C1319441}"/>
    <cellStyle name="Vírgula 3 3 2 4 4 3" xfId="32662" xr:uid="{7FC57511-F30E-4AAA-B166-97CB7A48AEE3}"/>
    <cellStyle name="Vírgula 3 3 2 4 5" xfId="13483" xr:uid="{F173DA59-5FB4-4F64-80C7-21FB4297E659}"/>
    <cellStyle name="Vírgula 3 3 2 4 5 2" xfId="38975" xr:uid="{0685F657-5C6D-4139-8A8C-E76575FBAF0A}"/>
    <cellStyle name="Vírgula 3 3 2 4 6" xfId="26384" xr:uid="{FF2085A2-CB35-4F65-8945-4A836083D8AC}"/>
    <cellStyle name="Vírgula 3 3 2 5" xfId="1816" xr:uid="{95C7F9FF-1B7D-49A0-85BF-16FE8E975980}"/>
    <cellStyle name="Vírgula 3 3 2 5 2" xfId="4970" xr:uid="{AB366614-94ED-47CB-A02A-F27F96D31F1B}"/>
    <cellStyle name="Vírgula 3 3 2 5 2 2" xfId="11263" xr:uid="{043A6700-9C4D-419B-9639-DEABEEA4A8C2}"/>
    <cellStyle name="Vírgula 3 3 2 5 2 2 2" xfId="23945" xr:uid="{A785930A-FAA0-4043-A66F-420C194983BA}"/>
    <cellStyle name="Vírgula 3 3 2 5 2 2 2 2" xfId="49437" xr:uid="{AC6C8B3A-FAA4-496A-A994-746D133CDEAC}"/>
    <cellStyle name="Vírgula 3 3 2 5 2 2 3" xfId="36846" xr:uid="{6D684357-A4D4-4242-93B6-6F5BEDFD5844}"/>
    <cellStyle name="Vírgula 3 3 2 5 2 3" xfId="17667" xr:uid="{D8CDD7F9-B7B9-4382-B1CA-787B2A3B88D5}"/>
    <cellStyle name="Vírgula 3 3 2 5 2 3 2" xfId="43159" xr:uid="{40A49036-638F-449A-A5D6-A13BB1382AC1}"/>
    <cellStyle name="Vírgula 3 3 2 5 2 4" xfId="30568" xr:uid="{0B27D351-4269-4060-AC09-25CCA91A2E8E}"/>
    <cellStyle name="Vírgula 3 3 2 5 3" xfId="8124" xr:uid="{1C729813-D25B-417C-A041-49C693B212EB}"/>
    <cellStyle name="Vírgula 3 3 2 5 3 2" xfId="20806" xr:uid="{BF0241D9-24CE-4C06-90DF-F047C957D9C3}"/>
    <cellStyle name="Vírgula 3 3 2 5 3 2 2" xfId="46298" xr:uid="{BAF6F8BC-7C52-4A4F-BE5B-5B40897A8323}"/>
    <cellStyle name="Vírgula 3 3 2 5 3 3" xfId="33707" xr:uid="{D60F79C8-93A8-4245-BA03-3121D8B66E5B}"/>
    <cellStyle name="Vírgula 3 3 2 5 4" xfId="14528" xr:uid="{2A4382CB-6ED9-4623-BB90-77F658445AB3}"/>
    <cellStyle name="Vírgula 3 3 2 5 4 2" xfId="40020" xr:uid="{8F07764B-FCAD-45B1-8B32-24FC523F5EB9}"/>
    <cellStyle name="Vírgula 3 3 2 5 5" xfId="27429" xr:uid="{C20382EC-E0A5-46B0-BAD2-46782AC0DE4D}"/>
    <cellStyle name="Vírgula 3 3 2 6" xfId="1294" xr:uid="{4AF84B2D-F74D-494F-BD11-9C6A633B954B}"/>
    <cellStyle name="Vírgula 3 3 2 6 2" xfId="4448" xr:uid="{BDC8C6E1-F27B-4AF4-97B9-299C4861F194}"/>
    <cellStyle name="Vírgula 3 3 2 6 2 2" xfId="10741" xr:uid="{D5D0F6E7-EE77-4019-BAA3-05AE465B5004}"/>
    <cellStyle name="Vírgula 3 3 2 6 2 2 2" xfId="23423" xr:uid="{A570F4DD-A82E-4DD4-9D73-8CD6A34DA4F6}"/>
    <cellStyle name="Vírgula 3 3 2 6 2 2 2 2" xfId="48915" xr:uid="{6359ED99-FE9E-4194-A7BE-A992CDD81A46}"/>
    <cellStyle name="Vírgula 3 3 2 6 2 2 3" xfId="36324" xr:uid="{42B0D9B3-C7A4-4276-AA5C-07E54E5AFA19}"/>
    <cellStyle name="Vírgula 3 3 2 6 2 3" xfId="17145" xr:uid="{4B432A37-55D4-49AD-BAEC-CEF5B8109954}"/>
    <cellStyle name="Vírgula 3 3 2 6 2 3 2" xfId="42637" xr:uid="{B05147B5-014A-42C7-AB97-1F73FBDFB82B}"/>
    <cellStyle name="Vírgula 3 3 2 6 2 4" xfId="30046" xr:uid="{8AA56EC4-73AA-4330-8FC5-5C2950203B20}"/>
    <cellStyle name="Vírgula 3 3 2 6 3" xfId="7602" xr:uid="{E527B4EA-5E1D-4B36-8471-4DF726DF20B3}"/>
    <cellStyle name="Vírgula 3 3 2 6 3 2" xfId="20284" xr:uid="{DFD51DA9-1EE2-47C1-B7DE-1C867456F1D2}"/>
    <cellStyle name="Vírgula 3 3 2 6 3 2 2" xfId="45776" xr:uid="{798ABFFE-DCC3-4651-92D1-BAC4AB74154D}"/>
    <cellStyle name="Vírgula 3 3 2 6 3 3" xfId="33185" xr:uid="{3A81ECD5-EF85-479D-BB37-E451EAFDE8C6}"/>
    <cellStyle name="Vírgula 3 3 2 6 4" xfId="14006" xr:uid="{5A8D320D-68A7-4918-9451-8822EF39D208}"/>
    <cellStyle name="Vírgula 3 3 2 6 4 2" xfId="39498" xr:uid="{F8DC0F08-C279-4658-8B83-F3BF5929A0B1}"/>
    <cellStyle name="Vírgula 3 3 2 6 5" xfId="26907" xr:uid="{1907EA29-AF03-4CAB-A47D-4038B12CBB0D}"/>
    <cellStyle name="Vírgula 3 3 2 7" xfId="2601" xr:uid="{64D7A214-98DD-4782-AFA9-1558666A9ED9}"/>
    <cellStyle name="Vírgula 3 3 2 7 2" xfId="5755" xr:uid="{31B651AA-9F16-4838-861C-3C76538D8C3F}"/>
    <cellStyle name="Vírgula 3 3 2 7 2 2" xfId="12048" xr:uid="{2B519084-D516-4C07-8177-E997B999C2BD}"/>
    <cellStyle name="Vírgula 3 3 2 7 2 2 2" xfId="24730" xr:uid="{15B34359-FB26-415A-9777-0FF6F0DD0D28}"/>
    <cellStyle name="Vírgula 3 3 2 7 2 2 2 2" xfId="50222" xr:uid="{F5BCD14F-93B8-4C97-8F97-EECAA4671D08}"/>
    <cellStyle name="Vírgula 3 3 2 7 2 2 3" xfId="37631" xr:uid="{D47804E8-B0A6-49D5-81C4-921DADB3EDAE}"/>
    <cellStyle name="Vírgula 3 3 2 7 2 3" xfId="18452" xr:uid="{306E8DD3-E3E7-4B9F-A0CA-81C9522CE2B1}"/>
    <cellStyle name="Vírgula 3 3 2 7 2 3 2" xfId="43944" xr:uid="{081FB0EB-A6B1-419A-AFF9-60344DF84C6E}"/>
    <cellStyle name="Vírgula 3 3 2 7 2 4" xfId="31353" xr:uid="{9F32974A-14EF-4577-BD8D-4416A46AFB92}"/>
    <cellStyle name="Vírgula 3 3 2 7 3" xfId="8909" xr:uid="{BB094FA4-9D14-4A37-9AD1-0CEAC3928885}"/>
    <cellStyle name="Vírgula 3 3 2 7 3 2" xfId="21591" xr:uid="{63DDAB72-0CFF-42EE-9096-89A7411DE72C}"/>
    <cellStyle name="Vírgula 3 3 2 7 3 2 2" xfId="47083" xr:uid="{D9C2960E-DAD7-4B39-AB37-5F0E7B27CB53}"/>
    <cellStyle name="Vírgula 3 3 2 7 3 3" xfId="34492" xr:uid="{ED3C0BF7-48F1-48ED-B541-C2261A66D386}"/>
    <cellStyle name="Vírgula 3 3 2 7 4" xfId="15313" xr:uid="{542D63E8-C3C4-4492-86AD-F7386232B72D}"/>
    <cellStyle name="Vírgula 3 3 2 7 4 2" xfId="40805" xr:uid="{650F6FA3-F92D-4E58-AF63-5F12DB11DD55}"/>
    <cellStyle name="Vírgula 3 3 2 7 5" xfId="28214" xr:uid="{133E4F8C-BAC7-4AC9-8452-99EC010712C9}"/>
    <cellStyle name="Vírgula 3 3 2 8" xfId="3124" xr:uid="{670ED18E-8BF3-4E56-9C37-9DE22062B2ED}"/>
    <cellStyle name="Vírgula 3 3 2 8 2" xfId="6278" xr:uid="{EFE14913-9706-4510-BB24-49D366CDA736}"/>
    <cellStyle name="Vírgula 3 3 2 8 2 2" xfId="12571" xr:uid="{FB5A6715-5C39-47A9-9156-4D155F3C4BD3}"/>
    <cellStyle name="Vírgula 3 3 2 8 2 2 2" xfId="25253" xr:uid="{588150D3-522C-42B9-95E6-617AAAE207E8}"/>
    <cellStyle name="Vírgula 3 3 2 8 2 2 2 2" xfId="50745" xr:uid="{B6B2BFF0-45D5-4DA8-B5AD-F06218FC848F}"/>
    <cellStyle name="Vírgula 3 3 2 8 2 2 3" xfId="38154" xr:uid="{B6433A4B-CA4D-422C-8C62-28FFCF669AC2}"/>
    <cellStyle name="Vírgula 3 3 2 8 2 3" xfId="18975" xr:uid="{0DC4838E-40AB-497A-BA7A-C3723E9DF376}"/>
    <cellStyle name="Vírgula 3 3 2 8 2 3 2" xfId="44467" xr:uid="{5764764B-FFBA-4708-A561-CBE93BD39C27}"/>
    <cellStyle name="Vírgula 3 3 2 8 2 4" xfId="31876" xr:uid="{FDCB76BA-490E-4CA3-AD67-E7414EC9B313}"/>
    <cellStyle name="Vírgula 3 3 2 8 3" xfId="9432" xr:uid="{781E00F8-C0EE-43DB-97C7-339AD9D65CE5}"/>
    <cellStyle name="Vírgula 3 3 2 8 3 2" xfId="22114" xr:uid="{F2EA18B4-A9AE-48DE-AABF-457544353A86}"/>
    <cellStyle name="Vírgula 3 3 2 8 3 2 2" xfId="47606" xr:uid="{00DECA60-97DB-4ACA-A67C-724A6B7DFB8B}"/>
    <cellStyle name="Vírgula 3 3 2 8 3 3" xfId="35015" xr:uid="{7240413A-F0C9-4404-937B-AD6B41F39F0F}"/>
    <cellStyle name="Vírgula 3 3 2 8 4" xfId="15836" xr:uid="{5F3EDAFC-8175-4B50-9E29-D8CE9FC560DD}"/>
    <cellStyle name="Vírgula 3 3 2 8 4 2" xfId="41328" xr:uid="{C01CAB6D-927F-46AC-98EC-8BBF5D7DFB60}"/>
    <cellStyle name="Vírgula 3 3 2 8 5" xfId="28737" xr:uid="{B8EDE44F-74FF-4D16-88A3-86D93C7E4F8F}"/>
    <cellStyle name="Vírgula 3 3 2 9" xfId="3663" xr:uid="{E611118F-D846-4251-9E7E-E7FE68E76D9E}"/>
    <cellStyle name="Vírgula 3 3 2 9 2" xfId="9956" xr:uid="{A763479E-634B-47A4-899C-4D795BA82810}"/>
    <cellStyle name="Vírgula 3 3 2 9 2 2" xfId="22638" xr:uid="{6E39B7C5-6BDD-440E-8123-134B581A3A9F}"/>
    <cellStyle name="Vírgula 3 3 2 9 2 2 2" xfId="48130" xr:uid="{A0D4C2E5-C1FE-4232-A398-726FC7A3B02C}"/>
    <cellStyle name="Vírgula 3 3 2 9 2 3" xfId="35539" xr:uid="{A0D39F7F-26A8-473F-B8DD-0746E48EA2E6}"/>
    <cellStyle name="Vírgula 3 3 2 9 3" xfId="16360" xr:uid="{4EB957B1-941C-4AC9-B491-E5C5D1E08C62}"/>
    <cellStyle name="Vírgula 3 3 2 9 3 2" xfId="41852" xr:uid="{D1830C24-0B28-44A2-92B9-D98BEF1C2829}"/>
    <cellStyle name="Vírgula 3 3 2 9 4" xfId="29261" xr:uid="{A4E6ED75-D1E0-4A21-8428-8EC283C0BFC9}"/>
    <cellStyle name="Vírgula 3 3 3" xfId="592" xr:uid="{804CA822-EA42-4BE6-96DF-1EA503A14CB7}"/>
    <cellStyle name="Vírgula 3 3 3 10" xfId="13319" xr:uid="{F283F6A3-095D-4A34-8227-1E0DA5C7D50A}"/>
    <cellStyle name="Vírgula 3 3 3 10 2" xfId="38811" xr:uid="{E14710F1-42EB-4670-B7B1-FCD25DF37694}"/>
    <cellStyle name="Vírgula 3 3 3 11" xfId="26220" xr:uid="{85812A1B-E442-47F0-A5FB-E4A526955D7D}"/>
    <cellStyle name="Vírgula 3 3 3 2" xfId="1129" xr:uid="{5E59B458-597E-4BC6-B45A-1EB2F37F265C}"/>
    <cellStyle name="Vírgula 3 3 3 2 2" xfId="2436" xr:uid="{2EE521E1-3F1E-4E8C-AB76-B40C64B764BF}"/>
    <cellStyle name="Vírgula 3 3 3 2 2 2" xfId="5590" xr:uid="{39382115-71FE-4182-A18C-C17875CF2E8E}"/>
    <cellStyle name="Vírgula 3 3 3 2 2 2 2" xfId="11883" xr:uid="{A935C7A9-1452-4823-9E76-78BC30E0F094}"/>
    <cellStyle name="Vírgula 3 3 3 2 2 2 2 2" xfId="24565" xr:uid="{9DA7784D-812A-426F-9892-6211B3B8048F}"/>
    <cellStyle name="Vírgula 3 3 3 2 2 2 2 2 2" xfId="50057" xr:uid="{7CF11C40-806C-4776-B445-6E68282BEBAE}"/>
    <cellStyle name="Vírgula 3 3 3 2 2 2 2 3" xfId="37466" xr:uid="{55EC976A-B508-446D-A86A-475423913E14}"/>
    <cellStyle name="Vírgula 3 3 3 2 2 2 3" xfId="18287" xr:uid="{78AE8C9D-F794-4CA9-AB3D-2511C0BB9347}"/>
    <cellStyle name="Vírgula 3 3 3 2 2 2 3 2" xfId="43779" xr:uid="{D927470A-6665-4249-9FBC-7C937BEBF089}"/>
    <cellStyle name="Vírgula 3 3 3 2 2 2 4" xfId="31188" xr:uid="{F8012EF9-4B23-4119-A43C-E97D8E325328}"/>
    <cellStyle name="Vírgula 3 3 3 2 2 3" xfId="8744" xr:uid="{7ECC3FFF-C846-404E-85A0-AB868123B009}"/>
    <cellStyle name="Vírgula 3 3 3 2 2 3 2" xfId="21426" xr:uid="{F3F48449-B8BB-4CE5-B1E3-2A63143D4755}"/>
    <cellStyle name="Vírgula 3 3 3 2 2 3 2 2" xfId="46918" xr:uid="{56879B98-534F-4E49-9241-BA828B6F0AE2}"/>
    <cellStyle name="Vírgula 3 3 3 2 2 3 3" xfId="34327" xr:uid="{C9DFD95B-4CF7-4B5A-A2ED-794E90F3817F}"/>
    <cellStyle name="Vírgula 3 3 3 2 2 4" xfId="15148" xr:uid="{BEDA709C-89C0-44EC-889B-ED22ADE7097C}"/>
    <cellStyle name="Vírgula 3 3 3 2 2 4 2" xfId="40640" xr:uid="{8ECD90FE-AC04-46D7-B296-8C49A824941E}"/>
    <cellStyle name="Vírgula 3 3 3 2 2 5" xfId="28049" xr:uid="{61220082-B5C9-43D2-8BEC-60D5A2A31300}"/>
    <cellStyle name="Vírgula 3 3 3 2 3" xfId="1653" xr:uid="{8D843BE2-2F65-41E5-9272-AC98E5E1E5D3}"/>
    <cellStyle name="Vírgula 3 3 3 2 3 2" xfId="4807" xr:uid="{0AEB6E17-1E3C-4014-87CE-73E731E1B366}"/>
    <cellStyle name="Vírgula 3 3 3 2 3 2 2" xfId="11100" xr:uid="{2A6E1AF5-15B0-47D4-A8D1-79475989A354}"/>
    <cellStyle name="Vírgula 3 3 3 2 3 2 2 2" xfId="23782" xr:uid="{004CFB0E-4B62-4D2C-81BD-8EF54972EF50}"/>
    <cellStyle name="Vírgula 3 3 3 2 3 2 2 2 2" xfId="49274" xr:uid="{7799C376-0DC9-484D-8A8F-47D47BAB8963}"/>
    <cellStyle name="Vírgula 3 3 3 2 3 2 2 3" xfId="36683" xr:uid="{26A1B637-1D04-46ED-A245-657019F9C8C0}"/>
    <cellStyle name="Vírgula 3 3 3 2 3 2 3" xfId="17504" xr:uid="{42FB8A0F-F7EF-45DB-A319-9DCFC39F3F7E}"/>
    <cellStyle name="Vírgula 3 3 3 2 3 2 3 2" xfId="42996" xr:uid="{47ACF448-F9BB-431C-986A-91DBA31D76D3}"/>
    <cellStyle name="Vírgula 3 3 3 2 3 2 4" xfId="30405" xr:uid="{2DF6916A-56DE-4177-B87B-A6ED2C72E616}"/>
    <cellStyle name="Vírgula 3 3 3 2 3 3" xfId="7961" xr:uid="{82B5EA40-6765-4984-87B1-D92AE4F2E5E5}"/>
    <cellStyle name="Vírgula 3 3 3 2 3 3 2" xfId="20643" xr:uid="{33E7CB24-19E9-4A6B-8A77-9BF57439A62B}"/>
    <cellStyle name="Vírgula 3 3 3 2 3 3 2 2" xfId="46135" xr:uid="{BF85D3C8-635E-47FC-9D4C-F4773F9AD776}"/>
    <cellStyle name="Vírgula 3 3 3 2 3 3 3" xfId="33544" xr:uid="{AD0F94F8-22CF-45FB-BD96-326A6A157BB4}"/>
    <cellStyle name="Vírgula 3 3 3 2 3 4" xfId="14365" xr:uid="{0C47100F-7B5F-4A37-8F30-64D426DC1F92}"/>
    <cellStyle name="Vírgula 3 3 3 2 3 4 2" xfId="39857" xr:uid="{6B45D26D-AF16-432D-9C21-0AADD109ADDA}"/>
    <cellStyle name="Vírgula 3 3 3 2 3 5" xfId="27266" xr:uid="{7C6F2127-4C7F-4F9F-9819-7269BAC47DBD}"/>
    <cellStyle name="Vírgula 3 3 3 2 4" xfId="2960" xr:uid="{19C722AB-D084-4EAE-8D6E-646B9E6546CA}"/>
    <cellStyle name="Vírgula 3 3 3 2 4 2" xfId="6114" xr:uid="{F2F07D80-4F28-4A55-9A0F-CAA107DEAA06}"/>
    <cellStyle name="Vírgula 3 3 3 2 4 2 2" xfId="12407" xr:uid="{1AB34C78-B805-4042-8B61-9FDF2F5B0028}"/>
    <cellStyle name="Vírgula 3 3 3 2 4 2 2 2" xfId="25089" xr:uid="{064AB2D8-988B-4322-B456-F8BC6FD551A0}"/>
    <cellStyle name="Vírgula 3 3 3 2 4 2 2 2 2" xfId="50581" xr:uid="{06CA456E-AE9B-4C67-9B28-2E124BC3D793}"/>
    <cellStyle name="Vírgula 3 3 3 2 4 2 2 3" xfId="37990" xr:uid="{C7418673-0ED3-44D0-9789-3ACCB4063750}"/>
    <cellStyle name="Vírgula 3 3 3 2 4 2 3" xfId="18811" xr:uid="{0B71C801-F7C3-470E-AC8F-BD329B056BA3}"/>
    <cellStyle name="Vírgula 3 3 3 2 4 2 3 2" xfId="44303" xr:uid="{46158D9F-A25B-4F1D-AD68-C46802BCFEE5}"/>
    <cellStyle name="Vírgula 3 3 3 2 4 2 4" xfId="31712" xr:uid="{C83B0711-6027-4DA4-9E71-0F8F42FE112A}"/>
    <cellStyle name="Vírgula 3 3 3 2 4 3" xfId="9268" xr:uid="{9C2973AC-C6C4-45F7-BF21-078FE5B805B8}"/>
    <cellStyle name="Vírgula 3 3 3 2 4 3 2" xfId="21950" xr:uid="{51B9BC86-88CC-4657-ABA5-7C0349E5ADCA}"/>
    <cellStyle name="Vírgula 3 3 3 2 4 3 2 2" xfId="47442" xr:uid="{AD2808D7-3673-489C-8713-90725A817410}"/>
    <cellStyle name="Vírgula 3 3 3 2 4 3 3" xfId="34851" xr:uid="{53229C52-C962-40C1-8AB4-E0DCCFBCDC87}"/>
    <cellStyle name="Vírgula 3 3 3 2 4 4" xfId="15672" xr:uid="{301CF2FF-D183-4865-9678-B50689740126}"/>
    <cellStyle name="Vírgula 3 3 3 2 4 4 2" xfId="41164" xr:uid="{67A59A4A-3269-4B07-B51A-CA8BE22832F1}"/>
    <cellStyle name="Vírgula 3 3 3 2 4 5" xfId="28573" xr:uid="{4AAEAA8C-007F-4549-94FE-2FC9253D01AE}"/>
    <cellStyle name="Vírgula 3 3 3 2 5" xfId="3483" xr:uid="{43E0E7AA-7A89-48CC-B659-9D7A50BBE916}"/>
    <cellStyle name="Vírgula 3 3 3 2 5 2" xfId="6637" xr:uid="{FBD005D1-FC11-4BFF-BC1F-2DF91ACE7BF5}"/>
    <cellStyle name="Vírgula 3 3 3 2 5 2 2" xfId="12930" xr:uid="{2461F8FF-CA3E-4DF9-BB0E-CBCFB5E36303}"/>
    <cellStyle name="Vírgula 3 3 3 2 5 2 2 2" xfId="25612" xr:uid="{A92EA9AF-E66F-454C-BEBD-6BEC59C158D8}"/>
    <cellStyle name="Vírgula 3 3 3 2 5 2 2 2 2" xfId="51104" xr:uid="{36EA54A5-94F7-4B19-B8EA-156D67DA0E8E}"/>
    <cellStyle name="Vírgula 3 3 3 2 5 2 2 3" xfId="38513" xr:uid="{94EE3D02-F2C2-467D-A21F-D65D9BC4CD7F}"/>
    <cellStyle name="Vírgula 3 3 3 2 5 2 3" xfId="19334" xr:uid="{E1397A61-F27F-4548-8D22-23EBEEB864C9}"/>
    <cellStyle name="Vírgula 3 3 3 2 5 2 3 2" xfId="44826" xr:uid="{C79F6FC5-6E14-4BB9-B4E0-2F24B8FC0AE9}"/>
    <cellStyle name="Vírgula 3 3 3 2 5 2 4" xfId="32235" xr:uid="{C57F86DD-A72E-4A9C-8531-BB1AE095E45A}"/>
    <cellStyle name="Vírgula 3 3 3 2 5 3" xfId="9791" xr:uid="{A97D341E-26DF-453E-AE62-41E4F63997C2}"/>
    <cellStyle name="Vírgula 3 3 3 2 5 3 2" xfId="22473" xr:uid="{A3F4F312-21EA-4D0C-882F-B7DC5CB06414}"/>
    <cellStyle name="Vírgula 3 3 3 2 5 3 2 2" xfId="47965" xr:uid="{599BA8F8-7562-4F97-BCFC-2D13341A2D14}"/>
    <cellStyle name="Vírgula 3 3 3 2 5 3 3" xfId="35374" xr:uid="{222C1BAA-8C65-4C38-9E93-3858351B4976}"/>
    <cellStyle name="Vírgula 3 3 3 2 5 4" xfId="16195" xr:uid="{E3BAA52E-13FC-4874-9971-CBFD8C82C941}"/>
    <cellStyle name="Vírgula 3 3 3 2 5 4 2" xfId="41687" xr:uid="{825F1C8C-BB39-461E-B133-2E9F39F432AF}"/>
    <cellStyle name="Vírgula 3 3 3 2 5 5" xfId="29096" xr:uid="{F72EB958-6AED-4A9A-8ECA-A9A6A3208CC2}"/>
    <cellStyle name="Vírgula 3 3 3 2 6" xfId="4283" xr:uid="{B2CE9C48-30EA-4356-A6EB-B4C97453E62A}"/>
    <cellStyle name="Vírgula 3 3 3 2 6 2" xfId="10576" xr:uid="{872444FE-D200-4347-9321-CBBCE2B84663}"/>
    <cellStyle name="Vírgula 3 3 3 2 6 2 2" xfId="23258" xr:uid="{4C97D894-EA99-44A0-8DD7-8AF06A1D3BD7}"/>
    <cellStyle name="Vírgula 3 3 3 2 6 2 2 2" xfId="48750" xr:uid="{9BF4067A-42A8-455D-9628-EAA1DC5C0238}"/>
    <cellStyle name="Vírgula 3 3 3 2 6 2 3" xfId="36159" xr:uid="{DF3555B7-F206-455A-96CF-60454D469FB0}"/>
    <cellStyle name="Vírgula 3 3 3 2 6 3" xfId="16980" xr:uid="{E8B1950B-C368-417D-8946-EB8531F4191F}"/>
    <cellStyle name="Vírgula 3 3 3 2 6 3 2" xfId="42472" xr:uid="{FC094E03-0E89-4A08-82D0-B1D9871A618E}"/>
    <cellStyle name="Vírgula 3 3 3 2 6 4" xfId="29881" xr:uid="{4611BDB7-5E60-438F-A916-BBB4798E4018}"/>
    <cellStyle name="Vírgula 3 3 3 2 7" xfId="7437" xr:uid="{1B7A6CC6-35EC-4B4F-9B5F-16D2215AF991}"/>
    <cellStyle name="Vírgula 3 3 3 2 7 2" xfId="20119" xr:uid="{69DB076E-AF00-46A3-B6B9-687E83A00B77}"/>
    <cellStyle name="Vírgula 3 3 3 2 7 2 2" xfId="45611" xr:uid="{664C1818-0FA8-4AB7-B1D2-40AF2E1D1F4C}"/>
    <cellStyle name="Vírgula 3 3 3 2 7 3" xfId="33020" xr:uid="{EFA11BBA-5FC6-41F6-A601-9CE0F1E40C69}"/>
    <cellStyle name="Vírgula 3 3 3 2 8" xfId="13841" xr:uid="{68DD9BE4-49ED-4216-A070-BD3C9A58FA28}"/>
    <cellStyle name="Vírgula 3 3 3 2 8 2" xfId="39333" xr:uid="{08FF96D3-A2F0-47B6-A8EC-80CFC71D7D38}"/>
    <cellStyle name="Vírgula 3 3 3 2 9" xfId="26742" xr:uid="{A1399629-2378-4A44-BA1A-6859F6D02C25}"/>
    <cellStyle name="Vírgula 3 3 3 3" xfId="869" xr:uid="{9D0C1A86-BC33-403A-9E35-A62BA342585D}"/>
    <cellStyle name="Vírgula 3 3 3 3 2" xfId="2176" xr:uid="{AE20F8AF-817C-4EEA-B5F3-31804D70EBED}"/>
    <cellStyle name="Vírgula 3 3 3 3 2 2" xfId="5330" xr:uid="{95C9BB88-CA34-4F37-A2D7-3248C4085C61}"/>
    <cellStyle name="Vírgula 3 3 3 3 2 2 2" xfId="11623" xr:uid="{5146DB9B-BA5B-4741-8FA4-2BBF3F1BBF88}"/>
    <cellStyle name="Vírgula 3 3 3 3 2 2 2 2" xfId="24305" xr:uid="{1FB78E34-AF26-4525-A6E5-CC4BD1764A63}"/>
    <cellStyle name="Vírgula 3 3 3 3 2 2 2 2 2" xfId="49797" xr:uid="{044897D9-DF7E-4900-BF06-58C76BB8E9C3}"/>
    <cellStyle name="Vírgula 3 3 3 3 2 2 2 3" xfId="37206" xr:uid="{2F523FD9-904C-4BEC-99D5-67E9EBEF37DF}"/>
    <cellStyle name="Vírgula 3 3 3 3 2 2 3" xfId="18027" xr:uid="{4BA3EF49-BFE6-4DEF-A146-E35CA247D8B6}"/>
    <cellStyle name="Vírgula 3 3 3 3 2 2 3 2" xfId="43519" xr:uid="{3A3668D6-74E3-448C-B803-D1726A22F4CA}"/>
    <cellStyle name="Vírgula 3 3 3 3 2 2 4" xfId="30928" xr:uid="{F2F840DA-A0FA-4E5B-B497-DE6CBA7122DB}"/>
    <cellStyle name="Vírgula 3 3 3 3 2 3" xfId="8484" xr:uid="{152A414D-0B74-4C3C-A6CF-519B4B6F88ED}"/>
    <cellStyle name="Vírgula 3 3 3 3 2 3 2" xfId="21166" xr:uid="{1873F3F4-50D0-41D1-B495-C78F2488356A}"/>
    <cellStyle name="Vírgula 3 3 3 3 2 3 2 2" xfId="46658" xr:uid="{173EC0E8-8823-4413-BA89-B66E64DF04B9}"/>
    <cellStyle name="Vírgula 3 3 3 3 2 3 3" xfId="34067" xr:uid="{A56FBF16-F6EE-4A03-92DD-ABF30B98D805}"/>
    <cellStyle name="Vírgula 3 3 3 3 2 4" xfId="14888" xr:uid="{10FCB8C9-875C-4DF0-A6A3-282FF0F07BF0}"/>
    <cellStyle name="Vírgula 3 3 3 3 2 4 2" xfId="40380" xr:uid="{ADC4CF61-AFE3-44BB-8CC5-BA488F912EF6}"/>
    <cellStyle name="Vírgula 3 3 3 3 2 5" xfId="27789" xr:uid="{389FBABF-1653-47CC-BF2D-E04C974E3D6C}"/>
    <cellStyle name="Vírgula 3 3 3 3 3" xfId="4023" xr:uid="{18E7A8BA-FFFC-49CC-8ADA-070CDB4BF4CA}"/>
    <cellStyle name="Vírgula 3 3 3 3 3 2" xfId="10316" xr:uid="{CF4D4E8D-47CA-4AEB-9A88-A6A648F5FA67}"/>
    <cellStyle name="Vírgula 3 3 3 3 3 2 2" xfId="22998" xr:uid="{37A5C738-FE92-40D2-93D4-86A6272E6DFA}"/>
    <cellStyle name="Vírgula 3 3 3 3 3 2 2 2" xfId="48490" xr:uid="{14EAFA7D-BE24-47EE-A778-0F4AB5A9F389}"/>
    <cellStyle name="Vírgula 3 3 3 3 3 2 3" xfId="35899" xr:uid="{607D89F8-6675-4EF8-A9B3-122CD82CB160}"/>
    <cellStyle name="Vírgula 3 3 3 3 3 3" xfId="16720" xr:uid="{CCFE26A9-9761-4416-A692-1D3089618305}"/>
    <cellStyle name="Vírgula 3 3 3 3 3 3 2" xfId="42212" xr:uid="{578FFD3B-2661-4026-9E5E-80BC84F58012}"/>
    <cellStyle name="Vírgula 3 3 3 3 3 4" xfId="29621" xr:uid="{95ECBC67-FC50-47A6-9DFA-105B7C79D9FB}"/>
    <cellStyle name="Vírgula 3 3 3 3 4" xfId="7177" xr:uid="{4FC1F26A-CF41-4E72-AC27-9BB85082F36A}"/>
    <cellStyle name="Vírgula 3 3 3 3 4 2" xfId="19859" xr:uid="{608431DD-25FA-45B1-AD84-30890479442E}"/>
    <cellStyle name="Vírgula 3 3 3 3 4 2 2" xfId="45351" xr:uid="{08A0AE83-F818-4A11-BC5E-ECAA3FD2D7C5}"/>
    <cellStyle name="Vírgula 3 3 3 3 4 3" xfId="32760" xr:uid="{21B608AF-EDE7-40DF-9F90-CFB7F1DC2F3E}"/>
    <cellStyle name="Vírgula 3 3 3 3 5" xfId="13581" xr:uid="{439E801E-E961-4A4E-A1E2-2FFD9F3D531E}"/>
    <cellStyle name="Vírgula 3 3 3 3 5 2" xfId="39073" xr:uid="{CA224A2F-B08C-45CB-BB64-D2E24565D0DE}"/>
    <cellStyle name="Vírgula 3 3 3 3 6" xfId="26482" xr:uid="{D8AD890C-001A-48B5-A32F-3BF22BD1947B}"/>
    <cellStyle name="Vírgula 3 3 3 4" xfId="1914" xr:uid="{D45274ED-E279-4CC2-A763-8CB6A88EAB49}"/>
    <cellStyle name="Vírgula 3 3 3 4 2" xfId="5068" xr:uid="{51329052-D40E-49EF-B544-17208619D8F1}"/>
    <cellStyle name="Vírgula 3 3 3 4 2 2" xfId="11361" xr:uid="{1BD18028-AEB3-4E98-A92A-D3155D1C3E27}"/>
    <cellStyle name="Vírgula 3 3 3 4 2 2 2" xfId="24043" xr:uid="{AE4462F5-0EE2-4AF1-AFC5-2DE7E0371D39}"/>
    <cellStyle name="Vírgula 3 3 3 4 2 2 2 2" xfId="49535" xr:uid="{F540709A-A0F9-4151-8F27-D0FC2A5A6DDD}"/>
    <cellStyle name="Vírgula 3 3 3 4 2 2 3" xfId="36944" xr:uid="{9A59474C-64BD-444F-BD1F-643C867CA8AA}"/>
    <cellStyle name="Vírgula 3 3 3 4 2 3" xfId="17765" xr:uid="{7B98FAB1-128F-4D0A-A3FA-A738E4D7188C}"/>
    <cellStyle name="Vírgula 3 3 3 4 2 3 2" xfId="43257" xr:uid="{45503E23-FE17-4B53-9270-65D77E24D014}"/>
    <cellStyle name="Vírgula 3 3 3 4 2 4" xfId="30666" xr:uid="{CB212019-E21B-44DE-87DD-D72FA6A2626A}"/>
    <cellStyle name="Vírgula 3 3 3 4 3" xfId="8222" xr:uid="{5CCF0779-D897-498C-AC20-87B172FDC413}"/>
    <cellStyle name="Vírgula 3 3 3 4 3 2" xfId="20904" xr:uid="{2C3E3410-FEA5-4CF0-8D0D-7748A5A1B786}"/>
    <cellStyle name="Vírgula 3 3 3 4 3 2 2" xfId="46396" xr:uid="{5BB6182C-E6E5-41B0-ADF8-8C00B56FA59E}"/>
    <cellStyle name="Vírgula 3 3 3 4 3 3" xfId="33805" xr:uid="{1AD99B73-EDD7-403E-8E23-4DF1985F3405}"/>
    <cellStyle name="Vírgula 3 3 3 4 4" xfId="14626" xr:uid="{87997E1B-0B98-4B23-B848-E5D396E07E22}"/>
    <cellStyle name="Vírgula 3 3 3 4 4 2" xfId="40118" xr:uid="{63AF1EF0-BFDB-4AFD-A38F-AE702BD33AD2}"/>
    <cellStyle name="Vírgula 3 3 3 4 5" xfId="27527" xr:uid="{BC145126-F6B4-458B-9D5C-EA7DE585E1AC}"/>
    <cellStyle name="Vírgula 3 3 3 5" xfId="1392" xr:uid="{17FE2A71-B100-4759-B09D-EF963CD362EE}"/>
    <cellStyle name="Vírgula 3 3 3 5 2" xfId="4546" xr:uid="{5502DD39-14F4-4772-ACC8-1823C4304852}"/>
    <cellStyle name="Vírgula 3 3 3 5 2 2" xfId="10839" xr:uid="{B46DEC75-0FA3-4B5F-B14E-AA86EE09DB9C}"/>
    <cellStyle name="Vírgula 3 3 3 5 2 2 2" xfId="23521" xr:uid="{D740E3C8-DD66-4D86-8DE6-EACE3ABEF317}"/>
    <cellStyle name="Vírgula 3 3 3 5 2 2 2 2" xfId="49013" xr:uid="{3EBBD2AF-746A-4D5C-B32C-100F0DA23996}"/>
    <cellStyle name="Vírgula 3 3 3 5 2 2 3" xfId="36422" xr:uid="{48BC916D-D502-4173-AB40-D230677E8C04}"/>
    <cellStyle name="Vírgula 3 3 3 5 2 3" xfId="17243" xr:uid="{9D30AA43-BD8D-42C8-AB06-A7092F8CF1C5}"/>
    <cellStyle name="Vírgula 3 3 3 5 2 3 2" xfId="42735" xr:uid="{8D13A45B-BF0C-45CE-9989-148DDB815594}"/>
    <cellStyle name="Vírgula 3 3 3 5 2 4" xfId="30144" xr:uid="{5E27BA5E-1F3E-47C5-B539-292FD73B0F82}"/>
    <cellStyle name="Vírgula 3 3 3 5 3" xfId="7700" xr:uid="{616F6E20-3BC4-460F-92B7-8E155DD1CB9A}"/>
    <cellStyle name="Vírgula 3 3 3 5 3 2" xfId="20382" xr:uid="{D6C87414-58D9-4444-8471-CC9F0552108B}"/>
    <cellStyle name="Vírgula 3 3 3 5 3 2 2" xfId="45874" xr:uid="{BA936525-4098-4626-9BD6-9D164250F365}"/>
    <cellStyle name="Vírgula 3 3 3 5 3 3" xfId="33283" xr:uid="{07B20D5F-AE6E-4794-9493-645690025105}"/>
    <cellStyle name="Vírgula 3 3 3 5 4" xfId="14104" xr:uid="{C79F09FE-B077-46E0-AD5C-4A67C813D56D}"/>
    <cellStyle name="Vírgula 3 3 3 5 4 2" xfId="39596" xr:uid="{1DA1A3BF-2DBF-417B-9954-93322E435A2A}"/>
    <cellStyle name="Vírgula 3 3 3 5 5" xfId="27005" xr:uid="{DE7ADC1C-5FAD-4E07-95A0-D628578B71C0}"/>
    <cellStyle name="Vírgula 3 3 3 6" xfId="2699" xr:uid="{FD0DB226-69C2-4E36-8573-AEFF614BAEFC}"/>
    <cellStyle name="Vírgula 3 3 3 6 2" xfId="5853" xr:uid="{1D7AC986-9365-4301-A024-229AD4383FC4}"/>
    <cellStyle name="Vírgula 3 3 3 6 2 2" xfId="12146" xr:uid="{336C86A5-3B61-492F-AA14-0FA31F4812EA}"/>
    <cellStyle name="Vírgula 3 3 3 6 2 2 2" xfId="24828" xr:uid="{CCDDBFA7-8C66-4D48-9B29-DBC3125CBFA4}"/>
    <cellStyle name="Vírgula 3 3 3 6 2 2 2 2" xfId="50320" xr:uid="{38399ACC-FE28-4BFC-8A24-B57960B8BA10}"/>
    <cellStyle name="Vírgula 3 3 3 6 2 2 3" xfId="37729" xr:uid="{8C3F1121-4828-469E-9B42-1E95674B04C7}"/>
    <cellStyle name="Vírgula 3 3 3 6 2 3" xfId="18550" xr:uid="{771D89B9-E532-4578-93D4-F9AD67952540}"/>
    <cellStyle name="Vírgula 3 3 3 6 2 3 2" xfId="44042" xr:uid="{0858D958-BFAC-4E13-AEC5-68D164E0BA7E}"/>
    <cellStyle name="Vírgula 3 3 3 6 2 4" xfId="31451" xr:uid="{FBB081B0-82AE-49F4-9EAD-25A8E3F0150E}"/>
    <cellStyle name="Vírgula 3 3 3 6 3" xfId="9007" xr:uid="{99699263-2A30-4D88-A698-A34C1C88AD17}"/>
    <cellStyle name="Vírgula 3 3 3 6 3 2" xfId="21689" xr:uid="{CDFA901B-793D-49EE-99F3-AF549FFCDCBB}"/>
    <cellStyle name="Vírgula 3 3 3 6 3 2 2" xfId="47181" xr:uid="{034E1F1D-A9ED-4164-809E-3270A7F588F9}"/>
    <cellStyle name="Vírgula 3 3 3 6 3 3" xfId="34590" xr:uid="{E4FC68A3-0008-4DEF-A4E2-35C8CE8BD51F}"/>
    <cellStyle name="Vírgula 3 3 3 6 4" xfId="15411" xr:uid="{D510A967-BA1B-47CC-A431-7D75239DDEBF}"/>
    <cellStyle name="Vírgula 3 3 3 6 4 2" xfId="40903" xr:uid="{067577FD-A50D-4218-9981-693C1582E04E}"/>
    <cellStyle name="Vírgula 3 3 3 6 5" xfId="28312" xr:uid="{404B84E6-0759-415D-8008-CBFCDE7C4F12}"/>
    <cellStyle name="Vírgula 3 3 3 7" xfId="3222" xr:uid="{1682C767-8181-4DB6-AE1A-CF59D66E1FD3}"/>
    <cellStyle name="Vírgula 3 3 3 7 2" xfId="6376" xr:uid="{3AFF6E05-6BD9-47D1-9B28-F20AA496190F}"/>
    <cellStyle name="Vírgula 3 3 3 7 2 2" xfId="12669" xr:uid="{0A6B1F74-ACBB-4C02-9AF5-B770B25B3625}"/>
    <cellStyle name="Vírgula 3 3 3 7 2 2 2" xfId="25351" xr:uid="{A7871C3A-3CB5-4AD9-AABB-8BDDE4D828C3}"/>
    <cellStyle name="Vírgula 3 3 3 7 2 2 2 2" xfId="50843" xr:uid="{B457F39D-4D93-4C00-8740-93613D30E609}"/>
    <cellStyle name="Vírgula 3 3 3 7 2 2 3" xfId="38252" xr:uid="{6EFC519B-C87B-42DF-B0D6-DE521D0C86DB}"/>
    <cellStyle name="Vírgula 3 3 3 7 2 3" xfId="19073" xr:uid="{F3AF9561-2D0C-496E-8ED6-E12FCE3F45E2}"/>
    <cellStyle name="Vírgula 3 3 3 7 2 3 2" xfId="44565" xr:uid="{E3CC37DC-5881-44EA-B7AE-AAACD8963708}"/>
    <cellStyle name="Vírgula 3 3 3 7 2 4" xfId="31974" xr:uid="{086E9ABF-ED5E-4483-B9F9-A2FCCF81887A}"/>
    <cellStyle name="Vírgula 3 3 3 7 3" xfId="9530" xr:uid="{C24653B5-B6EB-424F-A29C-84298DA51843}"/>
    <cellStyle name="Vírgula 3 3 3 7 3 2" xfId="22212" xr:uid="{9FC8FC02-B023-42A0-85E5-D5344BAE492C}"/>
    <cellStyle name="Vírgula 3 3 3 7 3 2 2" xfId="47704" xr:uid="{48AEA59A-5B66-456A-8F5B-F9038D63304B}"/>
    <cellStyle name="Vírgula 3 3 3 7 3 3" xfId="35113" xr:uid="{5C66D5CD-9788-486F-B62E-0C2FCF98E159}"/>
    <cellStyle name="Vírgula 3 3 3 7 4" xfId="15934" xr:uid="{4B15E45F-9A6E-492C-9F95-DB6128D107F6}"/>
    <cellStyle name="Vírgula 3 3 3 7 4 2" xfId="41426" xr:uid="{9612B0A9-52CB-4175-9C9A-7FF6B3EDC419}"/>
    <cellStyle name="Vírgula 3 3 3 7 5" xfId="28835" xr:uid="{576293EB-C7DE-4BDB-A0D1-BFAFF1658287}"/>
    <cellStyle name="Vírgula 3 3 3 8" xfId="3761" xr:uid="{E598FE0D-446C-4D5C-B121-E8FCDDA6346D}"/>
    <cellStyle name="Vírgula 3 3 3 8 2" xfId="10054" xr:uid="{E47A131D-B16E-4ED1-ACB3-D5B142D14B28}"/>
    <cellStyle name="Vírgula 3 3 3 8 2 2" xfId="22736" xr:uid="{0FBB0CEB-8E23-43A1-9F01-C3FBE8058C23}"/>
    <cellStyle name="Vírgula 3 3 3 8 2 2 2" xfId="48228" xr:uid="{EB1ABEF2-073D-4C0F-89DE-4F17F69A6803}"/>
    <cellStyle name="Vírgula 3 3 3 8 2 3" xfId="35637" xr:uid="{2F27F47C-20C1-4600-B973-708BEA70A3AB}"/>
    <cellStyle name="Vírgula 3 3 3 8 3" xfId="16458" xr:uid="{E4503B12-8C2A-4825-B7D9-CBF171514525}"/>
    <cellStyle name="Vírgula 3 3 3 8 3 2" xfId="41950" xr:uid="{EE8BBDDE-0F11-43A4-83C0-D7C77C0906C4}"/>
    <cellStyle name="Vírgula 3 3 3 8 4" xfId="29359" xr:uid="{FAF7AA98-E621-4D08-BCB3-DF8EFF31F975}"/>
    <cellStyle name="Vírgula 3 3 3 9" xfId="6915" xr:uid="{B56BE033-B932-496E-96BB-AD8F2AF77435}"/>
    <cellStyle name="Vírgula 3 3 3 9 2" xfId="19597" xr:uid="{DD12DF7F-E420-4F41-A2DF-8D321A8739B4}"/>
    <cellStyle name="Vírgula 3 3 3 9 2 2" xfId="45089" xr:uid="{4EF7A961-8735-471D-8F15-483BC904B09B}"/>
    <cellStyle name="Vírgula 3 3 3 9 3" xfId="32498" xr:uid="{B4F2C119-6E1F-4A30-85D4-0BBB64742490}"/>
    <cellStyle name="Vírgula 3 3 4" xfId="553" xr:uid="{26147BCB-281C-425E-966E-0C6C9A6C283C}"/>
    <cellStyle name="Vírgula 3 3 4 10" xfId="13280" xr:uid="{21338DA7-4CDE-4A3F-88C4-ED49C28B4271}"/>
    <cellStyle name="Vírgula 3 3 4 10 2" xfId="38772" xr:uid="{095F87AC-99E5-46AC-A0A1-4EFB19DC9C79}"/>
    <cellStyle name="Vírgula 3 3 4 11" xfId="26181" xr:uid="{C20F338C-C41B-4616-9F08-A38EDF83E684}"/>
    <cellStyle name="Vírgula 3 3 4 2" xfId="1090" xr:uid="{B2C93BDC-BF73-4762-8E5D-08F13AD65F79}"/>
    <cellStyle name="Vírgula 3 3 4 2 2" xfId="2397" xr:uid="{C69FEDA2-9035-4B3B-A614-E22575870C4E}"/>
    <cellStyle name="Vírgula 3 3 4 2 2 2" xfId="5551" xr:uid="{EFA05AA9-69FC-45D3-8177-826EDD731E26}"/>
    <cellStyle name="Vírgula 3 3 4 2 2 2 2" xfId="11844" xr:uid="{151ED047-8686-47D8-87C7-241A55A600B3}"/>
    <cellStyle name="Vírgula 3 3 4 2 2 2 2 2" xfId="24526" xr:uid="{AA4A5117-CD64-4226-85BF-F58C78DC7294}"/>
    <cellStyle name="Vírgula 3 3 4 2 2 2 2 2 2" xfId="50018" xr:uid="{C1AA27B7-4218-4F92-B2A5-195174D1423D}"/>
    <cellStyle name="Vírgula 3 3 4 2 2 2 2 3" xfId="37427" xr:uid="{10B32255-E521-4D46-B02D-61FDD10C6800}"/>
    <cellStyle name="Vírgula 3 3 4 2 2 2 3" xfId="18248" xr:uid="{88147A39-AD26-45F0-995A-5E13E76808E9}"/>
    <cellStyle name="Vírgula 3 3 4 2 2 2 3 2" xfId="43740" xr:uid="{1B33AAD5-FDC2-4F45-9CA1-B4D063593C57}"/>
    <cellStyle name="Vírgula 3 3 4 2 2 2 4" xfId="31149" xr:uid="{ED2E35BD-AE78-43E1-B685-474006FDBCFF}"/>
    <cellStyle name="Vírgula 3 3 4 2 2 3" xfId="8705" xr:uid="{569A49EB-A189-4ABC-BA84-52D2F1880195}"/>
    <cellStyle name="Vírgula 3 3 4 2 2 3 2" xfId="21387" xr:uid="{D5AB8E56-9C99-438B-B2EF-FFAC1BC269E3}"/>
    <cellStyle name="Vírgula 3 3 4 2 2 3 2 2" xfId="46879" xr:uid="{6668AD10-B833-4C53-A420-63BB87BA37B7}"/>
    <cellStyle name="Vírgula 3 3 4 2 2 3 3" xfId="34288" xr:uid="{F8BA8437-E1EB-4AD8-8308-5A7021BAA7C5}"/>
    <cellStyle name="Vírgula 3 3 4 2 2 4" xfId="15109" xr:uid="{E36D6BD1-CDB1-4BCA-B56D-C5A951F54AD5}"/>
    <cellStyle name="Vírgula 3 3 4 2 2 4 2" xfId="40601" xr:uid="{6ACD6F1C-2539-4EB0-AC3C-5A91D8D59EFA}"/>
    <cellStyle name="Vírgula 3 3 4 2 2 5" xfId="28010" xr:uid="{3BDFCB69-506E-4827-BB58-842E854E2FAB}"/>
    <cellStyle name="Vírgula 3 3 4 2 3" xfId="1614" xr:uid="{16DD27D6-AFE8-4E9F-AA62-786718A7088E}"/>
    <cellStyle name="Vírgula 3 3 4 2 3 2" xfId="4768" xr:uid="{78849321-B1B2-4DEB-9D06-A4B6D71A31BA}"/>
    <cellStyle name="Vírgula 3 3 4 2 3 2 2" xfId="11061" xr:uid="{A2DF6311-6450-4167-B83E-FB3EB1326272}"/>
    <cellStyle name="Vírgula 3 3 4 2 3 2 2 2" xfId="23743" xr:uid="{73E50F79-50B3-40C3-9F8B-41634FA82217}"/>
    <cellStyle name="Vírgula 3 3 4 2 3 2 2 2 2" xfId="49235" xr:uid="{92CC4939-7AED-41F8-B6B6-772337F24C00}"/>
    <cellStyle name="Vírgula 3 3 4 2 3 2 2 3" xfId="36644" xr:uid="{D32E3343-AE96-40D1-B6A5-66EDB975257B}"/>
    <cellStyle name="Vírgula 3 3 4 2 3 2 3" xfId="17465" xr:uid="{252F8384-9D32-4C60-9DE6-E598DC63D2E5}"/>
    <cellStyle name="Vírgula 3 3 4 2 3 2 3 2" xfId="42957" xr:uid="{00BEB9DF-B614-414A-A806-96B76272EE00}"/>
    <cellStyle name="Vírgula 3 3 4 2 3 2 4" xfId="30366" xr:uid="{312CE27B-3E29-492C-8951-7ABDB5A2E06D}"/>
    <cellStyle name="Vírgula 3 3 4 2 3 3" xfId="7922" xr:uid="{7EC76D2C-06F8-49B9-B9DE-C83D6B4D5B1D}"/>
    <cellStyle name="Vírgula 3 3 4 2 3 3 2" xfId="20604" xr:uid="{337E9EA3-D258-4B8B-80AA-41EF78FB6D0A}"/>
    <cellStyle name="Vírgula 3 3 4 2 3 3 2 2" xfId="46096" xr:uid="{ECCB64A8-9305-444B-BD9C-777D6CB205E5}"/>
    <cellStyle name="Vírgula 3 3 4 2 3 3 3" xfId="33505" xr:uid="{35B591A2-9138-4530-908A-F3B1A7E44F0D}"/>
    <cellStyle name="Vírgula 3 3 4 2 3 4" xfId="14326" xr:uid="{E510DB75-5B5E-4096-91DD-7FDA819C5426}"/>
    <cellStyle name="Vírgula 3 3 4 2 3 4 2" xfId="39818" xr:uid="{30D12138-C0B3-4217-868D-35607DA37FCC}"/>
    <cellStyle name="Vírgula 3 3 4 2 3 5" xfId="27227" xr:uid="{5749F045-A697-4990-A6D5-68E2E29E8450}"/>
    <cellStyle name="Vírgula 3 3 4 2 4" xfId="2921" xr:uid="{3D1C4E6C-EC06-4BD0-A655-D159A6D007F8}"/>
    <cellStyle name="Vírgula 3 3 4 2 4 2" xfId="6075" xr:uid="{64D28D9A-7C84-4355-A185-82C6F61ADB7D}"/>
    <cellStyle name="Vírgula 3 3 4 2 4 2 2" xfId="12368" xr:uid="{7818A538-F903-4349-93C1-2F263A1720EE}"/>
    <cellStyle name="Vírgula 3 3 4 2 4 2 2 2" xfId="25050" xr:uid="{D03554DF-6110-4819-8506-6F51E99C30EE}"/>
    <cellStyle name="Vírgula 3 3 4 2 4 2 2 2 2" xfId="50542" xr:uid="{794FA588-76F9-45AA-9A48-75B1A262FCDF}"/>
    <cellStyle name="Vírgula 3 3 4 2 4 2 2 3" xfId="37951" xr:uid="{B5C3D82C-7EFD-49A0-A25D-3B9F93891E8E}"/>
    <cellStyle name="Vírgula 3 3 4 2 4 2 3" xfId="18772" xr:uid="{174DDD53-1111-4505-9B09-C33B7F73F4CB}"/>
    <cellStyle name="Vírgula 3 3 4 2 4 2 3 2" xfId="44264" xr:uid="{5A2A8814-BE57-4DF2-882A-1C159985A98D}"/>
    <cellStyle name="Vírgula 3 3 4 2 4 2 4" xfId="31673" xr:uid="{A6B3F47E-8914-4E6B-A510-FC118BDA7901}"/>
    <cellStyle name="Vírgula 3 3 4 2 4 3" xfId="9229" xr:uid="{57C79E15-FC1C-4DCF-8C84-10EA25246D74}"/>
    <cellStyle name="Vírgula 3 3 4 2 4 3 2" xfId="21911" xr:uid="{E986863D-1F1A-4692-8AA7-AFF867CB2575}"/>
    <cellStyle name="Vírgula 3 3 4 2 4 3 2 2" xfId="47403" xr:uid="{1323A85D-46B3-4098-BE15-97976D83F752}"/>
    <cellStyle name="Vírgula 3 3 4 2 4 3 3" xfId="34812" xr:uid="{DF1DC630-CCA9-4964-95DE-F0D9243459E5}"/>
    <cellStyle name="Vírgula 3 3 4 2 4 4" xfId="15633" xr:uid="{8918CFB1-5677-4B5A-8BCC-6131593340DB}"/>
    <cellStyle name="Vírgula 3 3 4 2 4 4 2" xfId="41125" xr:uid="{5D16C51D-67B5-460B-8F6D-EF670587B040}"/>
    <cellStyle name="Vírgula 3 3 4 2 4 5" xfId="28534" xr:uid="{34297312-360B-4455-A3DD-0062039C9A85}"/>
    <cellStyle name="Vírgula 3 3 4 2 5" xfId="3444" xr:uid="{6688129C-C222-47DF-A8F9-B6BCE22BB9FE}"/>
    <cellStyle name="Vírgula 3 3 4 2 5 2" xfId="6598" xr:uid="{B0B277A6-27BA-4EB2-8FAB-6898D8FF7AB8}"/>
    <cellStyle name="Vírgula 3 3 4 2 5 2 2" xfId="12891" xr:uid="{C24DB6DC-DDFC-4C95-AEC8-91FD91FCF5AD}"/>
    <cellStyle name="Vírgula 3 3 4 2 5 2 2 2" xfId="25573" xr:uid="{19CF01B6-45D8-42BB-846C-CC79FD3128F7}"/>
    <cellStyle name="Vírgula 3 3 4 2 5 2 2 2 2" xfId="51065" xr:uid="{138B9545-FB58-49E9-8503-8D954B0A9A40}"/>
    <cellStyle name="Vírgula 3 3 4 2 5 2 2 3" xfId="38474" xr:uid="{29CF6821-A54F-416E-ABF7-AD85F772CC15}"/>
    <cellStyle name="Vírgula 3 3 4 2 5 2 3" xfId="19295" xr:uid="{97E36E1B-4465-4A84-B01A-C13D6C11DA7F}"/>
    <cellStyle name="Vírgula 3 3 4 2 5 2 3 2" xfId="44787" xr:uid="{87D47EC0-C2F7-42C4-8753-3CF59626EF77}"/>
    <cellStyle name="Vírgula 3 3 4 2 5 2 4" xfId="32196" xr:uid="{51FA5433-6B07-4C07-81B0-C10C83844F85}"/>
    <cellStyle name="Vírgula 3 3 4 2 5 3" xfId="9752" xr:uid="{1AC09CA0-10B1-4547-9061-22E560A00199}"/>
    <cellStyle name="Vírgula 3 3 4 2 5 3 2" xfId="22434" xr:uid="{5652CCF6-8555-4020-A4AB-E09DBEF9702E}"/>
    <cellStyle name="Vírgula 3 3 4 2 5 3 2 2" xfId="47926" xr:uid="{E120E255-2ABA-4430-8A46-C5E186184C38}"/>
    <cellStyle name="Vírgula 3 3 4 2 5 3 3" xfId="35335" xr:uid="{0FD7323D-529F-4A20-A922-70A45E8B2F3C}"/>
    <cellStyle name="Vírgula 3 3 4 2 5 4" xfId="16156" xr:uid="{C80DE35B-3BB6-4F3F-83A2-E9F61EC20488}"/>
    <cellStyle name="Vírgula 3 3 4 2 5 4 2" xfId="41648" xr:uid="{829C9678-B801-4325-87A3-FE8546487BDE}"/>
    <cellStyle name="Vírgula 3 3 4 2 5 5" xfId="29057" xr:uid="{AF339B55-A9F4-4441-B59C-E961ABA2B87F}"/>
    <cellStyle name="Vírgula 3 3 4 2 6" xfId="4244" xr:uid="{9D5AD5C8-C7D1-4B8B-AA9D-6EE60CCBE9A5}"/>
    <cellStyle name="Vírgula 3 3 4 2 6 2" xfId="10537" xr:uid="{BE667CF8-EE22-44A9-8BCE-6A00777BF25E}"/>
    <cellStyle name="Vírgula 3 3 4 2 6 2 2" xfId="23219" xr:uid="{36A1129D-B172-4B28-BF8D-E3FAE2518C70}"/>
    <cellStyle name="Vírgula 3 3 4 2 6 2 2 2" xfId="48711" xr:uid="{E89545E7-26C0-4D2E-9407-C272D06839C0}"/>
    <cellStyle name="Vírgula 3 3 4 2 6 2 3" xfId="36120" xr:uid="{DC3C0540-AACC-4E50-BCD1-10ADC2D7F45D}"/>
    <cellStyle name="Vírgula 3 3 4 2 6 3" xfId="16941" xr:uid="{56541B33-4415-498A-A0AC-273C43829642}"/>
    <cellStyle name="Vírgula 3 3 4 2 6 3 2" xfId="42433" xr:uid="{37AB9DE7-73C6-493D-9BBD-1153753E3829}"/>
    <cellStyle name="Vírgula 3 3 4 2 6 4" xfId="29842" xr:uid="{AF17E387-EB9D-4332-98AD-E4C1ABA7871B}"/>
    <cellStyle name="Vírgula 3 3 4 2 7" xfId="7398" xr:uid="{6EA250E3-17AB-4CDD-8191-43FB787D5788}"/>
    <cellStyle name="Vírgula 3 3 4 2 7 2" xfId="20080" xr:uid="{12AAF29D-9767-46FA-AE89-AFCBA0F0EEAD}"/>
    <cellStyle name="Vírgula 3 3 4 2 7 2 2" xfId="45572" xr:uid="{475459DE-CA0E-4417-AEB3-9DE64A2DAAF5}"/>
    <cellStyle name="Vírgula 3 3 4 2 7 3" xfId="32981" xr:uid="{48B969D1-36F0-43F5-9BB9-B6AA125F8532}"/>
    <cellStyle name="Vírgula 3 3 4 2 8" xfId="13802" xr:uid="{9C3D1734-47AB-41D3-89A2-EA2D2FDA1F16}"/>
    <cellStyle name="Vírgula 3 3 4 2 8 2" xfId="39294" xr:uid="{9E3020AF-7687-4644-9ADE-8F6E5E6232B4}"/>
    <cellStyle name="Vírgula 3 3 4 2 9" xfId="26703" xr:uid="{AD9ED194-B385-4C95-B01A-DAFD6FBDAD01}"/>
    <cellStyle name="Vírgula 3 3 4 3" xfId="830" xr:uid="{7FBCAEFE-F66C-4DC4-8F0B-6135077D5999}"/>
    <cellStyle name="Vírgula 3 3 4 3 2" xfId="2137" xr:uid="{B9C1C3E0-EC8A-413E-AF0E-AA43CBD3D7F4}"/>
    <cellStyle name="Vírgula 3 3 4 3 2 2" xfId="5291" xr:uid="{8B78E610-476E-4881-8124-432D3482565A}"/>
    <cellStyle name="Vírgula 3 3 4 3 2 2 2" xfId="11584" xr:uid="{320C8B5F-32A1-41C5-9CD4-FC334943B685}"/>
    <cellStyle name="Vírgula 3 3 4 3 2 2 2 2" xfId="24266" xr:uid="{CCFD7089-4945-488E-8B98-94D880F659EA}"/>
    <cellStyle name="Vírgula 3 3 4 3 2 2 2 2 2" xfId="49758" xr:uid="{B3F76430-293E-4910-8DD4-B04A5EA8779F}"/>
    <cellStyle name="Vírgula 3 3 4 3 2 2 2 3" xfId="37167" xr:uid="{2B3A8540-029E-4B6C-A487-A4119DED4E8F}"/>
    <cellStyle name="Vírgula 3 3 4 3 2 2 3" xfId="17988" xr:uid="{5C9CF96B-F40F-4254-B5FC-1C9AE4A12D08}"/>
    <cellStyle name="Vírgula 3 3 4 3 2 2 3 2" xfId="43480" xr:uid="{A9AF9B23-A6A8-4D4A-8E73-D332B06A484B}"/>
    <cellStyle name="Vírgula 3 3 4 3 2 2 4" xfId="30889" xr:uid="{70C137DA-1BA5-4C83-8984-562E609500D3}"/>
    <cellStyle name="Vírgula 3 3 4 3 2 3" xfId="8445" xr:uid="{29443FF4-624B-44CA-B127-C80862BCE5B0}"/>
    <cellStyle name="Vírgula 3 3 4 3 2 3 2" xfId="21127" xr:uid="{0447A550-0D70-42E0-B19D-93CAEF050F14}"/>
    <cellStyle name="Vírgula 3 3 4 3 2 3 2 2" xfId="46619" xr:uid="{3556BC11-E97C-43F2-B90E-A889694945EA}"/>
    <cellStyle name="Vírgula 3 3 4 3 2 3 3" xfId="34028" xr:uid="{F813785D-A69A-44E6-A2EA-200DB6D0CC08}"/>
    <cellStyle name="Vírgula 3 3 4 3 2 4" xfId="14849" xr:uid="{D47280B9-4054-4E9E-BE02-C497AFC2731F}"/>
    <cellStyle name="Vírgula 3 3 4 3 2 4 2" xfId="40341" xr:uid="{E155D030-5B2B-4F60-AFBC-581D4E75A7FE}"/>
    <cellStyle name="Vírgula 3 3 4 3 2 5" xfId="27750" xr:uid="{5CFA7DA8-BF2A-4BDB-845C-EF6737D86B0E}"/>
    <cellStyle name="Vírgula 3 3 4 3 3" xfId="3984" xr:uid="{8D4CBDEB-10EE-4D29-BA36-D771AE81912B}"/>
    <cellStyle name="Vírgula 3 3 4 3 3 2" xfId="10277" xr:uid="{E803D988-6ECA-4F1D-9738-5B068D12801F}"/>
    <cellStyle name="Vírgula 3 3 4 3 3 2 2" xfId="22959" xr:uid="{2EBEADD3-A235-495E-A949-A6F12F7FD220}"/>
    <cellStyle name="Vírgula 3 3 4 3 3 2 2 2" xfId="48451" xr:uid="{67150781-D97C-4E18-AC58-FCDA6B49948B}"/>
    <cellStyle name="Vírgula 3 3 4 3 3 2 3" xfId="35860" xr:uid="{45DD569B-3D11-4307-9EA3-11F3EDDAAEA3}"/>
    <cellStyle name="Vírgula 3 3 4 3 3 3" xfId="16681" xr:uid="{28A04007-2557-4277-B9A8-22EF32A04933}"/>
    <cellStyle name="Vírgula 3 3 4 3 3 3 2" xfId="42173" xr:uid="{7FA5F1BD-BEBD-478E-9843-52DB353FEBCC}"/>
    <cellStyle name="Vírgula 3 3 4 3 3 4" xfId="29582" xr:uid="{C3E4D413-0CE9-4260-BAF6-E83ADEDE10D4}"/>
    <cellStyle name="Vírgula 3 3 4 3 4" xfId="7138" xr:uid="{45DF876C-AD81-4EBF-864F-A78667D4B3E3}"/>
    <cellStyle name="Vírgula 3 3 4 3 4 2" xfId="19820" xr:uid="{3C136F7D-6560-43A1-83F7-2DB3DD2AD533}"/>
    <cellStyle name="Vírgula 3 3 4 3 4 2 2" xfId="45312" xr:uid="{35199869-8437-43B7-9662-94FD12524E17}"/>
    <cellStyle name="Vírgula 3 3 4 3 4 3" xfId="32721" xr:uid="{D835EA63-7CD8-47EB-8C24-F55DDDEC3C05}"/>
    <cellStyle name="Vírgula 3 3 4 3 5" xfId="13542" xr:uid="{0813C5F0-9013-4326-907C-1D9E007C79D9}"/>
    <cellStyle name="Vírgula 3 3 4 3 5 2" xfId="39034" xr:uid="{E35DAE14-9587-4CC6-8191-19AAE8CB9E2D}"/>
    <cellStyle name="Vírgula 3 3 4 3 6" xfId="26443" xr:uid="{42009124-5B2F-4FA5-8487-9D03CECE133C}"/>
    <cellStyle name="Vírgula 3 3 4 4" xfId="1875" xr:uid="{0FDB9F56-F949-4AD9-AC3E-F4AFD952CC48}"/>
    <cellStyle name="Vírgula 3 3 4 4 2" xfId="5029" xr:uid="{0B3BB0CF-EC28-4222-B2F8-B0C822EF3F3D}"/>
    <cellStyle name="Vírgula 3 3 4 4 2 2" xfId="11322" xr:uid="{90779BA9-4FEA-49B9-8739-D7A60D28F8F6}"/>
    <cellStyle name="Vírgula 3 3 4 4 2 2 2" xfId="24004" xr:uid="{A3116624-4371-4456-AA2D-1C4DFF96ACB9}"/>
    <cellStyle name="Vírgula 3 3 4 4 2 2 2 2" xfId="49496" xr:uid="{06C41852-DDBF-4A51-94D9-611BDB5B3A25}"/>
    <cellStyle name="Vírgula 3 3 4 4 2 2 3" xfId="36905" xr:uid="{235161D4-CD9F-4DFF-89A7-A24183FCE16C}"/>
    <cellStyle name="Vírgula 3 3 4 4 2 3" xfId="17726" xr:uid="{45D6F3EC-D406-44AB-A01F-0445256217A2}"/>
    <cellStyle name="Vírgula 3 3 4 4 2 3 2" xfId="43218" xr:uid="{FCF58538-2763-454B-889A-8E6CF09BD2DE}"/>
    <cellStyle name="Vírgula 3 3 4 4 2 4" xfId="30627" xr:uid="{A48947DD-3CAF-4109-A5FA-BC56D751E36B}"/>
    <cellStyle name="Vírgula 3 3 4 4 3" xfId="8183" xr:uid="{5A4A5C47-BAAF-472E-967D-57B21FF15524}"/>
    <cellStyle name="Vírgula 3 3 4 4 3 2" xfId="20865" xr:uid="{1804E55C-BD8C-4515-8CC8-BD8CD9B9698A}"/>
    <cellStyle name="Vírgula 3 3 4 4 3 2 2" xfId="46357" xr:uid="{D16B5EE9-E502-4C75-B721-DF2693E8584C}"/>
    <cellStyle name="Vírgula 3 3 4 4 3 3" xfId="33766" xr:uid="{2656A67D-2B05-416C-A576-EAEDF2C9A0ED}"/>
    <cellStyle name="Vírgula 3 3 4 4 4" xfId="14587" xr:uid="{F9FE7952-DFAD-4C6A-8FA3-4590B924EE9B}"/>
    <cellStyle name="Vírgula 3 3 4 4 4 2" xfId="40079" xr:uid="{0615A800-C2BF-440E-9FA0-8EB013440A04}"/>
    <cellStyle name="Vírgula 3 3 4 4 5" xfId="27488" xr:uid="{9C3AD880-1AFF-4BB5-B4D6-823E81B04D84}"/>
    <cellStyle name="Vírgula 3 3 4 5" xfId="1353" xr:uid="{BAA94934-8E04-48DF-B251-AAB45C4738B8}"/>
    <cellStyle name="Vírgula 3 3 4 5 2" xfId="4507" xr:uid="{3FE1C756-52A5-424F-8D78-0D3072BB9C5F}"/>
    <cellStyle name="Vírgula 3 3 4 5 2 2" xfId="10800" xr:uid="{81CD6C7C-BB39-4EE7-9079-9B8545324645}"/>
    <cellStyle name="Vírgula 3 3 4 5 2 2 2" xfId="23482" xr:uid="{23294603-1D7A-44AE-A683-EA20B3D7E9ED}"/>
    <cellStyle name="Vírgula 3 3 4 5 2 2 2 2" xfId="48974" xr:uid="{E87B81E5-3D9A-4030-9D3A-D1A645AAC17B}"/>
    <cellStyle name="Vírgula 3 3 4 5 2 2 3" xfId="36383" xr:uid="{EBE17B78-4149-4F2B-99A3-75B2634FD86D}"/>
    <cellStyle name="Vírgula 3 3 4 5 2 3" xfId="17204" xr:uid="{FBB72B95-5B8A-436F-87F5-362EA8412289}"/>
    <cellStyle name="Vírgula 3 3 4 5 2 3 2" xfId="42696" xr:uid="{C64855CF-47A1-4ACF-ACA5-CF5C8BBE9FD9}"/>
    <cellStyle name="Vírgula 3 3 4 5 2 4" xfId="30105" xr:uid="{1059E957-37CA-48F5-9132-64C553664077}"/>
    <cellStyle name="Vírgula 3 3 4 5 3" xfId="7661" xr:uid="{7E418F4D-241E-4350-B057-7A33FD1649A9}"/>
    <cellStyle name="Vírgula 3 3 4 5 3 2" xfId="20343" xr:uid="{293215DB-1FB2-40A6-9E85-B1B4FFAF1D3E}"/>
    <cellStyle name="Vírgula 3 3 4 5 3 2 2" xfId="45835" xr:uid="{1D69C646-8877-4BF5-AB2A-7373A91B592A}"/>
    <cellStyle name="Vírgula 3 3 4 5 3 3" xfId="33244" xr:uid="{AAD94B72-EA24-4424-B85E-8C8FB82906E1}"/>
    <cellStyle name="Vírgula 3 3 4 5 4" xfId="14065" xr:uid="{20FEAC3E-55DD-4F22-B4BB-4A53A6713883}"/>
    <cellStyle name="Vírgula 3 3 4 5 4 2" xfId="39557" xr:uid="{2FC27C8E-D7AD-48EA-8DBC-51CE1BE83B21}"/>
    <cellStyle name="Vírgula 3 3 4 5 5" xfId="26966" xr:uid="{F417ACEB-2BB3-47F5-AF98-4A29F9768843}"/>
    <cellStyle name="Vírgula 3 3 4 6" xfId="2660" xr:uid="{9476163A-41EB-4070-A0C8-38DD36DD8030}"/>
    <cellStyle name="Vírgula 3 3 4 6 2" xfId="5814" xr:uid="{E7B540B3-5166-4B9E-83C5-4283692F0FD1}"/>
    <cellStyle name="Vírgula 3 3 4 6 2 2" xfId="12107" xr:uid="{052F5E7C-FFD2-446D-BF34-ABB5F2F483B3}"/>
    <cellStyle name="Vírgula 3 3 4 6 2 2 2" xfId="24789" xr:uid="{43FEBA30-79B8-431F-B6C1-E61F73D560C6}"/>
    <cellStyle name="Vírgula 3 3 4 6 2 2 2 2" xfId="50281" xr:uid="{34D38B94-D4A4-4D7E-95CB-2E54B49D7740}"/>
    <cellStyle name="Vírgula 3 3 4 6 2 2 3" xfId="37690" xr:uid="{D1E4064D-8620-44A2-A641-3A658B87CB7B}"/>
    <cellStyle name="Vírgula 3 3 4 6 2 3" xfId="18511" xr:uid="{645A4F35-342D-4098-A8AD-21ACEF18C2CB}"/>
    <cellStyle name="Vírgula 3 3 4 6 2 3 2" xfId="44003" xr:uid="{653B66AB-A1CA-4CB2-8E86-8CE1A5C43609}"/>
    <cellStyle name="Vírgula 3 3 4 6 2 4" xfId="31412" xr:uid="{90F468BF-EFCC-4147-B32C-149BC967BCD8}"/>
    <cellStyle name="Vírgula 3 3 4 6 3" xfId="8968" xr:uid="{273A29EF-B276-419A-9058-71EA85B630D3}"/>
    <cellStyle name="Vírgula 3 3 4 6 3 2" xfId="21650" xr:uid="{EE22F375-B8DF-4F9F-9D65-2F391D14EC85}"/>
    <cellStyle name="Vírgula 3 3 4 6 3 2 2" xfId="47142" xr:uid="{C37F6580-EC0E-4FBB-9576-487F21C1A90B}"/>
    <cellStyle name="Vírgula 3 3 4 6 3 3" xfId="34551" xr:uid="{6C87BC6A-7603-4AFC-ADF8-753A95310410}"/>
    <cellStyle name="Vírgula 3 3 4 6 4" xfId="15372" xr:uid="{EF01B8F2-7876-4D49-B968-DF59029BBB23}"/>
    <cellStyle name="Vírgula 3 3 4 6 4 2" xfId="40864" xr:uid="{6EE8FB30-B65A-4BF3-84C5-50FED57EE8E5}"/>
    <cellStyle name="Vírgula 3 3 4 6 5" xfId="28273" xr:uid="{3F8FB0EC-9B58-488D-BD3F-4837EB6C1C21}"/>
    <cellStyle name="Vírgula 3 3 4 7" xfId="3183" xr:uid="{17407965-291E-482C-89CE-6E43B339817C}"/>
    <cellStyle name="Vírgula 3 3 4 7 2" xfId="6337" xr:uid="{4C293311-F6EF-495F-9544-9E0ABBA5DEB0}"/>
    <cellStyle name="Vírgula 3 3 4 7 2 2" xfId="12630" xr:uid="{10BC2C02-52BC-4475-8259-AD29C485C5CC}"/>
    <cellStyle name="Vírgula 3 3 4 7 2 2 2" xfId="25312" xr:uid="{7AC1BDA3-CAA0-4AD3-B9DD-AC6AF4EBD460}"/>
    <cellStyle name="Vírgula 3 3 4 7 2 2 2 2" xfId="50804" xr:uid="{079D4864-87E5-42DA-BF52-59122A36AB04}"/>
    <cellStyle name="Vírgula 3 3 4 7 2 2 3" xfId="38213" xr:uid="{33097841-D18F-4B86-89A0-584AC0884E73}"/>
    <cellStyle name="Vírgula 3 3 4 7 2 3" xfId="19034" xr:uid="{58CA4258-1793-4A9F-A5DA-7B8BCFB3B30D}"/>
    <cellStyle name="Vírgula 3 3 4 7 2 3 2" xfId="44526" xr:uid="{B94D372A-65BD-4681-A9E3-478ADF4407A7}"/>
    <cellStyle name="Vírgula 3 3 4 7 2 4" xfId="31935" xr:uid="{FEBD20FD-715F-4E6C-BD27-43407013FAA9}"/>
    <cellStyle name="Vírgula 3 3 4 7 3" xfId="9491" xr:uid="{0CCD67FA-F865-46E1-853E-487A6A7B855E}"/>
    <cellStyle name="Vírgula 3 3 4 7 3 2" xfId="22173" xr:uid="{62F4298F-9EE2-4801-A4AB-9A5CB5C929C5}"/>
    <cellStyle name="Vírgula 3 3 4 7 3 2 2" xfId="47665" xr:uid="{E5BEC5E4-A80E-4D2A-B032-15C93C96F301}"/>
    <cellStyle name="Vírgula 3 3 4 7 3 3" xfId="35074" xr:uid="{9D42A9B4-9B4E-45C1-8948-898A09D3C7BC}"/>
    <cellStyle name="Vírgula 3 3 4 7 4" xfId="15895" xr:uid="{CB2A84B6-9450-40DC-9D0C-5BC5561C907A}"/>
    <cellStyle name="Vírgula 3 3 4 7 4 2" xfId="41387" xr:uid="{2C93DE08-2150-4937-93F4-80AAC0CD3A37}"/>
    <cellStyle name="Vírgula 3 3 4 7 5" xfId="28796" xr:uid="{4AE27692-6397-45C1-A476-C0551FF69B4A}"/>
    <cellStyle name="Vírgula 3 3 4 8" xfId="3722" xr:uid="{648156E5-7FD3-4A30-B4CD-59E38075D65B}"/>
    <cellStyle name="Vírgula 3 3 4 8 2" xfId="10015" xr:uid="{6E802268-BB3A-4F64-8D78-70EA9068EDF5}"/>
    <cellStyle name="Vírgula 3 3 4 8 2 2" xfId="22697" xr:uid="{E9B3F2FF-E891-440F-8AA0-1A4F00C284B7}"/>
    <cellStyle name="Vírgula 3 3 4 8 2 2 2" xfId="48189" xr:uid="{30C8F3CD-A47D-429F-9ACA-39630006AEB1}"/>
    <cellStyle name="Vírgula 3 3 4 8 2 3" xfId="35598" xr:uid="{C133875E-1A39-4B14-80DA-ACB15BCBE423}"/>
    <cellStyle name="Vírgula 3 3 4 8 3" xfId="16419" xr:uid="{393AD4D9-150C-4CC8-A123-92D5A1DF6B53}"/>
    <cellStyle name="Vírgula 3 3 4 8 3 2" xfId="41911" xr:uid="{2534FDC9-37A3-45F8-8043-B64C57DEE69A}"/>
    <cellStyle name="Vírgula 3 3 4 8 4" xfId="29320" xr:uid="{F1D17A05-61E5-4D47-8A01-9E920CF37732}"/>
    <cellStyle name="Vírgula 3 3 4 9" xfId="6876" xr:uid="{9B02A348-F4E8-467C-927E-881484CA3029}"/>
    <cellStyle name="Vírgula 3 3 4 9 2" xfId="19558" xr:uid="{CE9A4367-0AD8-479B-A9C1-6FB957B10E2A}"/>
    <cellStyle name="Vírgula 3 3 4 9 2 2" xfId="45050" xr:uid="{F20B55AF-AFA1-4BC8-8665-181493647B1A}"/>
    <cellStyle name="Vírgula 3 3 4 9 3" xfId="32459" xr:uid="{E49B1AC8-7032-4211-9D33-1119ABBCF3F7}"/>
    <cellStyle name="Vírgula 3 3 5" xfId="970" xr:uid="{8C16B170-1B3B-41E2-95C0-7FDB9F9F08A6}"/>
    <cellStyle name="Vírgula 3 3 5 2" xfId="2277" xr:uid="{0C8F1344-4E49-442C-9EF6-CF1B3FEC6C00}"/>
    <cellStyle name="Vírgula 3 3 5 2 2" xfId="5431" xr:uid="{0A031E72-E5B6-4D54-9268-9608A0C00A7D}"/>
    <cellStyle name="Vírgula 3 3 5 2 2 2" xfId="11724" xr:uid="{42F5C368-6A33-4780-BAE7-1013680F7B65}"/>
    <cellStyle name="Vírgula 3 3 5 2 2 2 2" xfId="24406" xr:uid="{4396C417-8314-4C23-B461-E2D464499F9A}"/>
    <cellStyle name="Vírgula 3 3 5 2 2 2 2 2" xfId="49898" xr:uid="{785E8895-A84A-4DBA-9A89-69DF16F2AAA5}"/>
    <cellStyle name="Vírgula 3 3 5 2 2 2 3" xfId="37307" xr:uid="{80AB2896-5C21-4E56-8E06-9E1DBE1AF551}"/>
    <cellStyle name="Vírgula 3 3 5 2 2 3" xfId="18128" xr:uid="{345A977A-B55C-47C5-A5BF-3B61E1E3E431}"/>
    <cellStyle name="Vírgula 3 3 5 2 2 3 2" xfId="43620" xr:uid="{2F8E15B0-9239-4B3E-9882-B0A9D15B5C61}"/>
    <cellStyle name="Vírgula 3 3 5 2 2 4" xfId="31029" xr:uid="{482E58EE-7307-41AB-B0F6-ECDCD5B33BDC}"/>
    <cellStyle name="Vírgula 3 3 5 2 3" xfId="8585" xr:uid="{AC8D9F6C-28DC-4498-B0F3-41DC0A830305}"/>
    <cellStyle name="Vírgula 3 3 5 2 3 2" xfId="21267" xr:uid="{CAC72929-B0A9-4987-857E-8BF905F34B93}"/>
    <cellStyle name="Vírgula 3 3 5 2 3 2 2" xfId="46759" xr:uid="{036E81ED-EF54-4D4A-AC87-F6742268DA03}"/>
    <cellStyle name="Vírgula 3 3 5 2 3 3" xfId="34168" xr:uid="{95359AEF-C0FB-473F-A7C5-C2402F76A289}"/>
    <cellStyle name="Vírgula 3 3 5 2 4" xfId="14989" xr:uid="{FBDA6631-8A37-470E-AB53-61C22B229FF5}"/>
    <cellStyle name="Vírgula 3 3 5 2 4 2" xfId="40481" xr:uid="{AA208B15-9A95-489D-A20A-80BA555185A1}"/>
    <cellStyle name="Vírgula 3 3 5 2 5" xfId="27890" xr:uid="{5FF25865-D733-48F6-9AEC-39DAF99AF65B}"/>
    <cellStyle name="Vírgula 3 3 5 3" xfId="1494" xr:uid="{8E8288E4-5582-49BB-B37E-C3B7DD0BEF9F}"/>
    <cellStyle name="Vírgula 3 3 5 3 2" xfId="4648" xr:uid="{14661C50-BCEB-45D2-B25A-357CB4DFE553}"/>
    <cellStyle name="Vírgula 3 3 5 3 2 2" xfId="10941" xr:uid="{7305B4BA-DFCA-4636-A2F0-E65B938A26D1}"/>
    <cellStyle name="Vírgula 3 3 5 3 2 2 2" xfId="23623" xr:uid="{1D5BB87B-CD5B-4355-88BB-B7BEEBE06D45}"/>
    <cellStyle name="Vírgula 3 3 5 3 2 2 2 2" xfId="49115" xr:uid="{33B2E073-A3B0-483D-A628-EC9A4831D728}"/>
    <cellStyle name="Vírgula 3 3 5 3 2 2 3" xfId="36524" xr:uid="{3490FE9D-5C82-4B4D-881A-4313A3B56324}"/>
    <cellStyle name="Vírgula 3 3 5 3 2 3" xfId="17345" xr:uid="{48E23DCA-3399-4D4A-AABC-85A996D5BD68}"/>
    <cellStyle name="Vírgula 3 3 5 3 2 3 2" xfId="42837" xr:uid="{08B43291-195B-49E5-9F55-A2ABEC46BE2F}"/>
    <cellStyle name="Vírgula 3 3 5 3 2 4" xfId="30246" xr:uid="{786E2425-65C8-40BE-9BB2-19C1B542A16F}"/>
    <cellStyle name="Vírgula 3 3 5 3 3" xfId="7802" xr:uid="{1689F3A0-54FA-46E1-B527-CD9FD583437E}"/>
    <cellStyle name="Vírgula 3 3 5 3 3 2" xfId="20484" xr:uid="{A3D45326-A89A-44FA-8E7F-61C50810D985}"/>
    <cellStyle name="Vírgula 3 3 5 3 3 2 2" xfId="45976" xr:uid="{A61F067E-28E7-4617-8A56-9BA851FD69C8}"/>
    <cellStyle name="Vírgula 3 3 5 3 3 3" xfId="33385" xr:uid="{8D1864E4-71E6-4D66-AB58-BF31A82FA1AD}"/>
    <cellStyle name="Vírgula 3 3 5 3 4" xfId="14206" xr:uid="{9E7712CD-3880-4462-9DFE-FD8D175A0556}"/>
    <cellStyle name="Vírgula 3 3 5 3 4 2" xfId="39698" xr:uid="{F1796932-1659-4555-89FF-353244C7A5C7}"/>
    <cellStyle name="Vírgula 3 3 5 3 5" xfId="27107" xr:uid="{1D4D149C-6E6D-4600-BB0C-802E5F0C5A17}"/>
    <cellStyle name="Vírgula 3 3 5 4" xfId="2801" xr:uid="{462D44B8-FEF4-4F28-B19E-3FAFF506DF20}"/>
    <cellStyle name="Vírgula 3 3 5 4 2" xfId="5955" xr:uid="{2226045F-D2DE-4C9B-920A-9E493FDBF02C}"/>
    <cellStyle name="Vírgula 3 3 5 4 2 2" xfId="12248" xr:uid="{C25063F0-8E45-482C-B62E-65B9D067109D}"/>
    <cellStyle name="Vírgula 3 3 5 4 2 2 2" xfId="24930" xr:uid="{75D283C2-EF81-455A-9A51-2F2660F86011}"/>
    <cellStyle name="Vírgula 3 3 5 4 2 2 2 2" xfId="50422" xr:uid="{D8B180B1-10DB-4197-9959-5F211A8EDBE2}"/>
    <cellStyle name="Vírgula 3 3 5 4 2 2 3" xfId="37831" xr:uid="{C6752ACC-DC80-4037-824F-C8DDB269C7C0}"/>
    <cellStyle name="Vírgula 3 3 5 4 2 3" xfId="18652" xr:uid="{DAEDABBB-0DD2-4CF6-B730-8DBAE042D0B1}"/>
    <cellStyle name="Vírgula 3 3 5 4 2 3 2" xfId="44144" xr:uid="{9D2A0C81-B954-4E42-835D-814373CFD59B}"/>
    <cellStyle name="Vírgula 3 3 5 4 2 4" xfId="31553" xr:uid="{B433C2F6-9028-48D5-A73A-E8E3EEC85EEE}"/>
    <cellStyle name="Vírgula 3 3 5 4 3" xfId="9109" xr:uid="{3A8FF952-699C-4B43-85AA-7F10EC83A5CA}"/>
    <cellStyle name="Vírgula 3 3 5 4 3 2" xfId="21791" xr:uid="{F75BE14C-4AAB-4D35-9040-A2106E86AE02}"/>
    <cellStyle name="Vírgula 3 3 5 4 3 2 2" xfId="47283" xr:uid="{7FAD7577-1212-4397-80C7-5A5BB3A047B6}"/>
    <cellStyle name="Vírgula 3 3 5 4 3 3" xfId="34692" xr:uid="{FA4F385E-CDAA-4863-AB06-931D27978822}"/>
    <cellStyle name="Vírgula 3 3 5 4 4" xfId="15513" xr:uid="{6EBD0FBD-F138-4393-9EDA-E87630F7B187}"/>
    <cellStyle name="Vírgula 3 3 5 4 4 2" xfId="41005" xr:uid="{91275A8D-BC66-4AA0-BF20-F8753555DB58}"/>
    <cellStyle name="Vírgula 3 3 5 4 5" xfId="28414" xr:uid="{135E8D7F-D0A1-4034-9267-178CBB067DA8}"/>
    <cellStyle name="Vírgula 3 3 5 5" xfId="3324" xr:uid="{E1836B2E-6F35-43F2-94B2-55512044D352}"/>
    <cellStyle name="Vírgula 3 3 5 5 2" xfId="6478" xr:uid="{F6F8F8D3-ED10-4C01-9C4B-B5D252390EB1}"/>
    <cellStyle name="Vírgula 3 3 5 5 2 2" xfId="12771" xr:uid="{FDC1F843-5B90-48C5-9643-FD5DEF803D89}"/>
    <cellStyle name="Vírgula 3 3 5 5 2 2 2" xfId="25453" xr:uid="{2CAF78B1-A887-4F12-99DA-6BC00C6B500D}"/>
    <cellStyle name="Vírgula 3 3 5 5 2 2 2 2" xfId="50945" xr:uid="{3FF05DF8-891C-4BAA-8BEE-9671671447BE}"/>
    <cellStyle name="Vírgula 3 3 5 5 2 2 3" xfId="38354" xr:uid="{16902E47-B751-495F-8EE2-8CD47343589E}"/>
    <cellStyle name="Vírgula 3 3 5 5 2 3" xfId="19175" xr:uid="{1828D25B-1A82-44AF-8E62-14DEAA9234C6}"/>
    <cellStyle name="Vírgula 3 3 5 5 2 3 2" xfId="44667" xr:uid="{CBCAA363-F423-4BEF-AD67-68C3DFC03696}"/>
    <cellStyle name="Vírgula 3 3 5 5 2 4" xfId="32076" xr:uid="{CF6C0847-7AD7-4DF2-8319-74E495BD3F90}"/>
    <cellStyle name="Vírgula 3 3 5 5 3" xfId="9632" xr:uid="{7F2552BD-7972-464B-A130-2653E213D577}"/>
    <cellStyle name="Vírgula 3 3 5 5 3 2" xfId="22314" xr:uid="{F1603B4A-D8A7-4AA1-BF09-89B866C8B382}"/>
    <cellStyle name="Vírgula 3 3 5 5 3 2 2" xfId="47806" xr:uid="{8C13DBEB-63B3-4EC7-AA61-18DE34561C84}"/>
    <cellStyle name="Vírgula 3 3 5 5 3 3" xfId="35215" xr:uid="{0F3FEF8B-00AB-4BA9-B1D8-225B42700650}"/>
    <cellStyle name="Vírgula 3 3 5 5 4" xfId="16036" xr:uid="{61138056-6147-4254-B13A-6DF115AB4D98}"/>
    <cellStyle name="Vírgula 3 3 5 5 4 2" xfId="41528" xr:uid="{B98FBB48-D5AE-4F84-B830-59315E1C560F}"/>
    <cellStyle name="Vírgula 3 3 5 5 5" xfId="28937" xr:uid="{31267729-66F3-401A-9F3C-9C4E64728772}"/>
    <cellStyle name="Vírgula 3 3 5 6" xfId="4124" xr:uid="{9C82771E-891C-4E79-8210-C22023A58201}"/>
    <cellStyle name="Vírgula 3 3 5 6 2" xfId="10417" xr:uid="{FE58EBD2-BB74-4F93-A907-25B86DBB54DA}"/>
    <cellStyle name="Vírgula 3 3 5 6 2 2" xfId="23099" xr:uid="{7F0D9D69-25AC-44E3-8ECD-DA70C582B07B}"/>
    <cellStyle name="Vírgula 3 3 5 6 2 2 2" xfId="48591" xr:uid="{07FC5C04-690E-4553-AA42-0D23AFE43ABA}"/>
    <cellStyle name="Vírgula 3 3 5 6 2 3" xfId="36000" xr:uid="{5584BFB2-781C-4E93-80FF-06E53698D0EE}"/>
    <cellStyle name="Vírgula 3 3 5 6 3" xfId="16821" xr:uid="{D0C2C8F4-883B-427C-BFE5-E3B315FFBF0C}"/>
    <cellStyle name="Vírgula 3 3 5 6 3 2" xfId="42313" xr:uid="{C5E40ABD-E071-49C4-9549-C20D6486DA19}"/>
    <cellStyle name="Vírgula 3 3 5 6 4" xfId="29722" xr:uid="{AC4C7FD6-030A-4517-9D5D-7FBF263138CB}"/>
    <cellStyle name="Vírgula 3 3 5 7" xfId="7278" xr:uid="{D575F912-1782-41A7-B182-660594D19817}"/>
    <cellStyle name="Vírgula 3 3 5 7 2" xfId="19960" xr:uid="{F41BC822-13F6-46B2-84C4-AF2A947AFF74}"/>
    <cellStyle name="Vírgula 3 3 5 7 2 2" xfId="45452" xr:uid="{E18476A7-6D75-4924-A765-B3A0D283B861}"/>
    <cellStyle name="Vírgula 3 3 5 7 3" xfId="32861" xr:uid="{41250E47-7688-4285-94C1-BE42FE8C1D62}"/>
    <cellStyle name="Vírgula 3 3 5 8" xfId="13682" xr:uid="{63A4893E-1466-4CBE-886C-6E9DBAD91421}"/>
    <cellStyle name="Vírgula 3 3 5 8 2" xfId="39174" xr:uid="{74C58C36-C7CE-495C-81AB-BBED56C8604C}"/>
    <cellStyle name="Vírgula 3 3 5 9" xfId="26583" xr:uid="{B1545F0C-1973-4193-B45E-2A246348F531}"/>
    <cellStyle name="Vírgula 3 3 6" xfId="710" xr:uid="{6D032F9F-CC13-4ED2-98FB-A39EC5ED6802}"/>
    <cellStyle name="Vírgula 3 3 6 2" xfId="2017" xr:uid="{7A590FE6-0C5F-4C2A-A7A4-07E94AB7FFC8}"/>
    <cellStyle name="Vírgula 3 3 6 2 2" xfId="5171" xr:uid="{30FAF9F4-F4CF-4641-B427-E87185CACADE}"/>
    <cellStyle name="Vírgula 3 3 6 2 2 2" xfId="11464" xr:uid="{5317522B-1993-4B76-80AD-B52E22CCB85A}"/>
    <cellStyle name="Vírgula 3 3 6 2 2 2 2" xfId="24146" xr:uid="{49CC1B86-6BEE-4568-9B99-6290DE100B56}"/>
    <cellStyle name="Vírgula 3 3 6 2 2 2 2 2" xfId="49638" xr:uid="{5E202A69-6CE2-48CE-8D80-78798917E354}"/>
    <cellStyle name="Vírgula 3 3 6 2 2 2 3" xfId="37047" xr:uid="{09489692-C9A8-48FD-9A34-D22C646AC36F}"/>
    <cellStyle name="Vírgula 3 3 6 2 2 3" xfId="17868" xr:uid="{5D7A176E-6C42-477B-82FA-2522F899445C}"/>
    <cellStyle name="Vírgula 3 3 6 2 2 3 2" xfId="43360" xr:uid="{49002377-9E94-4C76-8D0D-B77C197362DB}"/>
    <cellStyle name="Vírgula 3 3 6 2 2 4" xfId="30769" xr:uid="{FDA06AEE-90AD-4250-8B2F-E7BB17F39912}"/>
    <cellStyle name="Vírgula 3 3 6 2 3" xfId="8325" xr:uid="{9A60F459-725B-4733-82B5-CB63CC859F16}"/>
    <cellStyle name="Vírgula 3 3 6 2 3 2" xfId="21007" xr:uid="{E55CF5A1-A041-40D5-A9B0-9E112551DA5F}"/>
    <cellStyle name="Vírgula 3 3 6 2 3 2 2" xfId="46499" xr:uid="{E068B9D3-D1BB-41BE-9791-6ABC87F4CF74}"/>
    <cellStyle name="Vírgula 3 3 6 2 3 3" xfId="33908" xr:uid="{7E5DD225-B88E-4167-80AD-5B44B96B09BD}"/>
    <cellStyle name="Vírgula 3 3 6 2 4" xfId="14729" xr:uid="{DE37E98C-AAC8-4DA5-A10F-2430AC68E63F}"/>
    <cellStyle name="Vírgula 3 3 6 2 4 2" xfId="40221" xr:uid="{D08A0B11-65FC-40CE-A8B2-83042D99E083}"/>
    <cellStyle name="Vírgula 3 3 6 2 5" xfId="27630" xr:uid="{8EF3BBE9-48DA-48A1-B828-88CB50B6A730}"/>
    <cellStyle name="Vírgula 3 3 6 3" xfId="3864" xr:uid="{1AD70349-9C57-41C9-92C6-007680C57294}"/>
    <cellStyle name="Vírgula 3 3 6 3 2" xfId="10157" xr:uid="{D6A6307A-8C31-4100-8A62-C6FE4084111F}"/>
    <cellStyle name="Vírgula 3 3 6 3 2 2" xfId="22839" xr:uid="{80F363B2-37EE-47E4-86FF-143884F4136D}"/>
    <cellStyle name="Vírgula 3 3 6 3 2 2 2" xfId="48331" xr:uid="{DF1E9F0E-5DDE-450C-8482-92966DB04F71}"/>
    <cellStyle name="Vírgula 3 3 6 3 2 3" xfId="35740" xr:uid="{0401D89A-3E9C-4785-BEEF-A6BAFC7CA300}"/>
    <cellStyle name="Vírgula 3 3 6 3 3" xfId="16561" xr:uid="{09481B53-CEB1-4704-BF24-9D2213AFFD76}"/>
    <cellStyle name="Vírgula 3 3 6 3 3 2" xfId="42053" xr:uid="{EBEF11EC-064C-4676-9F4A-160581827D72}"/>
    <cellStyle name="Vírgula 3 3 6 3 4" xfId="29462" xr:uid="{0BF829D3-1219-45F0-B018-94B20EF9F145}"/>
    <cellStyle name="Vírgula 3 3 6 4" xfId="7018" xr:uid="{65E4B0D6-DAB3-4FFE-A2D5-C995BEBA4DD6}"/>
    <cellStyle name="Vírgula 3 3 6 4 2" xfId="19700" xr:uid="{EC1E0F6B-D3BE-4BDD-B6F4-175CC2876FB7}"/>
    <cellStyle name="Vírgula 3 3 6 4 2 2" xfId="45192" xr:uid="{80351D81-3B07-4F56-A37D-0454EBD5B76B}"/>
    <cellStyle name="Vírgula 3 3 6 4 3" xfId="32601" xr:uid="{C79CAFB9-BB11-465A-B45A-6602A106B777}"/>
    <cellStyle name="Vírgula 3 3 6 5" xfId="13422" xr:uid="{EBDD2C29-BECC-487A-BBD9-7908E717D952}"/>
    <cellStyle name="Vírgula 3 3 6 5 2" xfId="38914" xr:uid="{C872816B-737A-4901-86E5-9EC109EF477E}"/>
    <cellStyle name="Vírgula 3 3 6 6" xfId="26323" xr:uid="{AA9D959A-46A2-4500-9796-E999DBCCAC69}"/>
    <cellStyle name="Vírgula 3 3 7" xfId="1755" xr:uid="{A5639ADC-F5EF-4171-9AE2-7F548C2931B8}"/>
    <cellStyle name="Vírgula 3 3 7 2" xfId="4909" xr:uid="{C5709C93-E936-4503-B5F3-9457C43689E7}"/>
    <cellStyle name="Vírgula 3 3 7 2 2" xfId="11202" xr:uid="{AF71104E-F97D-43B6-BD05-009F54FF6509}"/>
    <cellStyle name="Vírgula 3 3 7 2 2 2" xfId="23884" xr:uid="{79A693D6-C844-47A3-9126-24404C965D7B}"/>
    <cellStyle name="Vírgula 3 3 7 2 2 2 2" xfId="49376" xr:uid="{267A26FA-55B0-4F9E-B3C6-F6092858AC85}"/>
    <cellStyle name="Vírgula 3 3 7 2 2 3" xfId="36785" xr:uid="{2A7E3300-744F-4F6C-87D9-36E9CD3B80E1}"/>
    <cellStyle name="Vírgula 3 3 7 2 3" xfId="17606" xr:uid="{0933B6F3-28E0-4C08-B774-700F5BF92BE8}"/>
    <cellStyle name="Vírgula 3 3 7 2 3 2" xfId="43098" xr:uid="{59DEC951-D859-4241-AF96-EE5032A5129E}"/>
    <cellStyle name="Vírgula 3 3 7 2 4" xfId="30507" xr:uid="{6978F3B9-6829-43F5-9AC2-194E471FD4F7}"/>
    <cellStyle name="Vírgula 3 3 7 3" xfId="8063" xr:uid="{6124405B-00DB-49E3-B783-20B064F74DB4}"/>
    <cellStyle name="Vírgula 3 3 7 3 2" xfId="20745" xr:uid="{B87E0DB9-6995-45E2-853A-A7D1FD954842}"/>
    <cellStyle name="Vírgula 3 3 7 3 2 2" xfId="46237" xr:uid="{B1871350-2987-44A5-9D4A-E65BE42B7319}"/>
    <cellStyle name="Vírgula 3 3 7 3 3" xfId="33646" xr:uid="{FF4F18AA-25CC-4FA9-BFA5-D2D02BA31417}"/>
    <cellStyle name="Vírgula 3 3 7 4" xfId="14467" xr:uid="{80B116A8-3F15-4C53-953F-A4D21FA1480A}"/>
    <cellStyle name="Vírgula 3 3 7 4 2" xfId="39959" xr:uid="{5A2182BA-B6C0-4D70-BCB2-845930793CC4}"/>
    <cellStyle name="Vírgula 3 3 7 5" xfId="27368" xr:uid="{145D793C-61B4-4245-92E5-BE2D78E21416}"/>
    <cellStyle name="Vírgula 3 3 8" xfId="1233" xr:uid="{C949763E-7530-4F8C-9E47-7AD7B85D4D02}"/>
    <cellStyle name="Vírgula 3 3 8 2" xfId="4387" xr:uid="{EC6F4535-E465-4EBA-9FBC-73DAC96947EC}"/>
    <cellStyle name="Vírgula 3 3 8 2 2" xfId="10680" xr:uid="{03524C1B-9D52-4614-B138-DC66A111A987}"/>
    <cellStyle name="Vírgula 3 3 8 2 2 2" xfId="23362" xr:uid="{AEF297D0-FC2E-4489-AA49-CFE407F707AF}"/>
    <cellStyle name="Vírgula 3 3 8 2 2 2 2" xfId="48854" xr:uid="{B79284CB-DE40-4465-A7F6-B05BDF1CBB1E}"/>
    <cellStyle name="Vírgula 3 3 8 2 2 3" xfId="36263" xr:uid="{63FF4CE1-8397-40BC-8D7B-C1EB8E8138DA}"/>
    <cellStyle name="Vírgula 3 3 8 2 3" xfId="17084" xr:uid="{B3515878-32E3-4D4D-9593-D3EFE2F12AC5}"/>
    <cellStyle name="Vírgula 3 3 8 2 3 2" xfId="42576" xr:uid="{16131B7F-E456-46F9-9BEC-3814D9A417F7}"/>
    <cellStyle name="Vírgula 3 3 8 2 4" xfId="29985" xr:uid="{B4D12F3A-1828-4A23-A90A-1C593CF2C4DF}"/>
    <cellStyle name="Vírgula 3 3 8 3" xfId="7541" xr:uid="{6F65FE32-56A6-4981-847C-C5A881D42D5B}"/>
    <cellStyle name="Vírgula 3 3 8 3 2" xfId="20223" xr:uid="{ADADB250-DECA-49FB-A988-F0C7047FB51E}"/>
    <cellStyle name="Vírgula 3 3 8 3 2 2" xfId="45715" xr:uid="{C51039F6-3C65-49E1-A5EC-C7F5EC9087DB}"/>
    <cellStyle name="Vírgula 3 3 8 3 3" xfId="33124" xr:uid="{06672447-0270-4DB7-9DEE-30EC969FDAE3}"/>
    <cellStyle name="Vírgula 3 3 8 4" xfId="13945" xr:uid="{92D1DDB9-F7CD-45EA-B71D-D7100F6D45B5}"/>
    <cellStyle name="Vírgula 3 3 8 4 2" xfId="39437" xr:uid="{9488BD7D-A134-4C59-B8D2-1BEBD7E924D1}"/>
    <cellStyle name="Vírgula 3 3 8 5" xfId="26846" xr:uid="{F1DFD1F4-DE73-4312-9467-6BA133B062BC}"/>
    <cellStyle name="Vírgula 3 3 9" xfId="2540" xr:uid="{AF5D0F62-0898-4F75-A793-4DD9023D78CD}"/>
    <cellStyle name="Vírgula 3 3 9 2" xfId="5694" xr:uid="{95B269F8-27D4-45B7-97FB-99C5B80A95C1}"/>
    <cellStyle name="Vírgula 3 3 9 2 2" xfId="11987" xr:uid="{73E89341-4F58-4688-B514-B7483B41E1BD}"/>
    <cellStyle name="Vírgula 3 3 9 2 2 2" xfId="24669" xr:uid="{6713757C-17AA-442C-81B5-16ACD90AB2E4}"/>
    <cellStyle name="Vírgula 3 3 9 2 2 2 2" xfId="50161" xr:uid="{922AB4A3-C116-4243-9D14-9F820900F994}"/>
    <cellStyle name="Vírgula 3 3 9 2 2 3" xfId="37570" xr:uid="{1D006F2B-C7B3-4F54-845E-E64DA7F0331D}"/>
    <cellStyle name="Vírgula 3 3 9 2 3" xfId="18391" xr:uid="{5ED2562E-0635-447D-84B4-DFCD40521FBE}"/>
    <cellStyle name="Vírgula 3 3 9 2 3 2" xfId="43883" xr:uid="{56A5AE60-E7B8-47A6-AB20-CE5F78096351}"/>
    <cellStyle name="Vírgula 3 3 9 2 4" xfId="31292" xr:uid="{C873C10E-A864-4FA1-9389-2C86FE159AF0}"/>
    <cellStyle name="Vírgula 3 3 9 3" xfId="8848" xr:uid="{3C34E66C-2455-4534-AB12-23BE88F6AFDC}"/>
    <cellStyle name="Vírgula 3 3 9 3 2" xfId="21530" xr:uid="{4CACE4D1-7257-488A-8919-C32B7250EEFA}"/>
    <cellStyle name="Vírgula 3 3 9 3 2 2" xfId="47022" xr:uid="{157074E8-249F-48E2-95CD-E938A8736D37}"/>
    <cellStyle name="Vírgula 3 3 9 3 3" xfId="34431" xr:uid="{0E21AB01-6D58-4363-8C0F-75A7DFDB2F30}"/>
    <cellStyle name="Vírgula 3 3 9 4" xfId="15252" xr:uid="{0C44B6BD-2C6C-48EF-B671-BCA5B24DA2A9}"/>
    <cellStyle name="Vírgula 3 3 9 4 2" xfId="40744" xr:uid="{C38B13B7-06F6-44F4-802E-F6A8171EB09B}"/>
    <cellStyle name="Vírgula 3 3 9 5" xfId="28153" xr:uid="{F7D64C22-C3D1-499F-A505-98D3BABE8F85}"/>
    <cellStyle name="Vírgula 3 4" xfId="474" xr:uid="{2F6F3B72-0ED5-4265-B1B8-FC00337AF6EF}"/>
    <cellStyle name="Vírgula 3 4 10" xfId="3643" xr:uid="{244D0985-36AA-4F60-9CF1-E59241BA1463}"/>
    <cellStyle name="Vírgula 3 4 10 2" xfId="9936" xr:uid="{0DCDDD96-6DB8-4C87-8110-1DEC1C861E49}"/>
    <cellStyle name="Vírgula 3 4 10 2 2" xfId="22618" xr:uid="{55DD9433-7896-49EF-81DB-5371F631AC52}"/>
    <cellStyle name="Vírgula 3 4 10 2 2 2" xfId="48110" xr:uid="{133C47E8-0416-4A86-9344-78A5BD529BE2}"/>
    <cellStyle name="Vírgula 3 4 10 2 3" xfId="35519" xr:uid="{7E86835B-6DB9-41A0-8E71-A7F7629102C5}"/>
    <cellStyle name="Vírgula 3 4 10 3" xfId="16340" xr:uid="{D9134C25-8202-42D1-8F11-054E3D67B6AC}"/>
    <cellStyle name="Vírgula 3 4 10 3 2" xfId="41832" xr:uid="{B8BDF236-752D-4BFD-8039-F637F69F9ED4}"/>
    <cellStyle name="Vírgula 3 4 10 4" xfId="29241" xr:uid="{910634DD-A731-4313-91F5-64C91C93E787}"/>
    <cellStyle name="Vírgula 3 4 11" xfId="6797" xr:uid="{E0A6B361-474D-4E85-B694-E467687CEEE5}"/>
    <cellStyle name="Vírgula 3 4 11 2" xfId="19479" xr:uid="{E225400A-B767-4BC5-8C15-3FE61A8A82C1}"/>
    <cellStyle name="Vírgula 3 4 11 2 2" xfId="44971" xr:uid="{D78687E0-AD55-44D9-B41D-B31A3047DF65}"/>
    <cellStyle name="Vírgula 3 4 11 3" xfId="32380" xr:uid="{14D9B19D-A8E1-4100-9524-2162B6C94147}"/>
    <cellStyle name="Vírgula 3 4 12" xfId="13201" xr:uid="{826551C8-9DE3-4DBC-B0D5-0C2B503A6F25}"/>
    <cellStyle name="Vírgula 3 4 12 2" xfId="38693" xr:uid="{722D7E3A-7632-4AC1-AE85-337F54861285}"/>
    <cellStyle name="Vírgula 3 4 13" xfId="26102" xr:uid="{A3DD34CC-3A76-459D-AAB5-3C816B439C7C}"/>
    <cellStyle name="Vírgula 3 4 2" xfId="633" xr:uid="{DFADE64D-1369-46B1-AF5A-EB5FE6E795A1}"/>
    <cellStyle name="Vírgula 3 4 2 10" xfId="13360" xr:uid="{BFE5869D-2B40-484E-B0E8-C7E37DDBF4DB}"/>
    <cellStyle name="Vírgula 3 4 2 10 2" xfId="38852" xr:uid="{464B02DE-82BD-4614-9EFB-EBEB57864F1D}"/>
    <cellStyle name="Vírgula 3 4 2 11" xfId="26261" xr:uid="{219149AD-4D96-499B-95FE-FA837D98B3EC}"/>
    <cellStyle name="Vírgula 3 4 2 2" xfId="1170" xr:uid="{5F28C25A-D6EE-47FB-8367-B3552854EF40}"/>
    <cellStyle name="Vírgula 3 4 2 2 2" xfId="2477" xr:uid="{77F03D6E-6E80-46A4-8306-DE670F94FB66}"/>
    <cellStyle name="Vírgula 3 4 2 2 2 2" xfId="5631" xr:uid="{30C57BF4-2F3C-4C31-AA7C-EF1314BEE87E}"/>
    <cellStyle name="Vírgula 3 4 2 2 2 2 2" xfId="11924" xr:uid="{DE838A76-03AC-4A18-8B6F-EDA6E81838D0}"/>
    <cellStyle name="Vírgula 3 4 2 2 2 2 2 2" xfId="24606" xr:uid="{28D71DD9-978A-4999-A83B-E5A5AA1EB408}"/>
    <cellStyle name="Vírgula 3 4 2 2 2 2 2 2 2" xfId="50098" xr:uid="{D96DB5FF-9C99-49C5-BC92-8F40A1195E60}"/>
    <cellStyle name="Vírgula 3 4 2 2 2 2 2 3" xfId="37507" xr:uid="{D55EA730-44B9-4A2C-BD54-BB4765D57275}"/>
    <cellStyle name="Vírgula 3 4 2 2 2 2 3" xfId="18328" xr:uid="{9D5342F3-A3DC-4785-8952-4D94525BB4DE}"/>
    <cellStyle name="Vírgula 3 4 2 2 2 2 3 2" xfId="43820" xr:uid="{4695FBAA-FE21-4043-80AF-04FE8909D60D}"/>
    <cellStyle name="Vírgula 3 4 2 2 2 2 4" xfId="31229" xr:uid="{788BA089-9CCE-4C52-866F-E27E6170181F}"/>
    <cellStyle name="Vírgula 3 4 2 2 2 3" xfId="8785" xr:uid="{47BD8573-286E-41C1-A803-44C5F5812DF3}"/>
    <cellStyle name="Vírgula 3 4 2 2 2 3 2" xfId="21467" xr:uid="{15DDF0E1-B826-414A-B6F9-F0D867940ED1}"/>
    <cellStyle name="Vírgula 3 4 2 2 2 3 2 2" xfId="46959" xr:uid="{D2F7A239-ED0D-450E-82EE-E5CD51DFBABC}"/>
    <cellStyle name="Vírgula 3 4 2 2 2 3 3" xfId="34368" xr:uid="{A68C4F72-1B64-4CCE-9C73-88EC104CFE5A}"/>
    <cellStyle name="Vírgula 3 4 2 2 2 4" xfId="15189" xr:uid="{746AA43C-17B8-4796-A1C5-35A6FA2ABE3E}"/>
    <cellStyle name="Vírgula 3 4 2 2 2 4 2" xfId="40681" xr:uid="{96B78815-D9E1-48AD-BF08-FF5D384F6B95}"/>
    <cellStyle name="Vírgula 3 4 2 2 2 5" xfId="28090" xr:uid="{CB463794-5F30-4887-836A-D4F20394A66E}"/>
    <cellStyle name="Vírgula 3 4 2 2 3" xfId="1694" xr:uid="{3E8C4B5A-F1D0-4933-B7BD-6975AADDFAA7}"/>
    <cellStyle name="Vírgula 3 4 2 2 3 2" xfId="4848" xr:uid="{78CDCA31-0389-42D4-A92D-377B1A4FD69C}"/>
    <cellStyle name="Vírgula 3 4 2 2 3 2 2" xfId="11141" xr:uid="{2E6D7BDC-684B-4437-8B05-F55E62853755}"/>
    <cellStyle name="Vírgula 3 4 2 2 3 2 2 2" xfId="23823" xr:uid="{167465C7-3978-4EF4-9540-A89F1B7DC890}"/>
    <cellStyle name="Vírgula 3 4 2 2 3 2 2 2 2" xfId="49315" xr:uid="{1B40FDB2-277B-4BAD-9E8B-DC05AFE4803E}"/>
    <cellStyle name="Vírgula 3 4 2 2 3 2 2 3" xfId="36724" xr:uid="{3974A664-36B4-4E62-9385-6F7B5067B748}"/>
    <cellStyle name="Vírgula 3 4 2 2 3 2 3" xfId="17545" xr:uid="{E52EE466-CFED-4759-AC18-C96E34922D1C}"/>
    <cellStyle name="Vírgula 3 4 2 2 3 2 3 2" xfId="43037" xr:uid="{24B9D54D-A2E5-489C-8CCD-9CF98A845B1C}"/>
    <cellStyle name="Vírgula 3 4 2 2 3 2 4" xfId="30446" xr:uid="{9C326522-AC58-42CE-B38A-8C3C9496F805}"/>
    <cellStyle name="Vírgula 3 4 2 2 3 3" xfId="8002" xr:uid="{FBFDEBC4-6CE7-4501-B2AE-3B102EEF9A41}"/>
    <cellStyle name="Vírgula 3 4 2 2 3 3 2" xfId="20684" xr:uid="{10957041-159D-4D01-9C21-5F51E107A9BF}"/>
    <cellStyle name="Vírgula 3 4 2 2 3 3 2 2" xfId="46176" xr:uid="{33968700-DA8E-4ECC-BAD8-07B4C865BC17}"/>
    <cellStyle name="Vírgula 3 4 2 2 3 3 3" xfId="33585" xr:uid="{ACFAD28C-18EA-40A5-A14A-9C72490F5363}"/>
    <cellStyle name="Vírgula 3 4 2 2 3 4" xfId="14406" xr:uid="{471D3BBD-A0B0-4D83-82FD-6F0EF538C3B1}"/>
    <cellStyle name="Vírgula 3 4 2 2 3 4 2" xfId="39898" xr:uid="{8EE596DF-5C86-4C48-BBF7-BE1130908C3F}"/>
    <cellStyle name="Vírgula 3 4 2 2 3 5" xfId="27307" xr:uid="{309488FE-80DB-48A1-8C26-37983A94559F}"/>
    <cellStyle name="Vírgula 3 4 2 2 4" xfId="3001" xr:uid="{32F83943-10C7-4A80-BFA1-AE9AE0A98305}"/>
    <cellStyle name="Vírgula 3 4 2 2 4 2" xfId="6155" xr:uid="{7C4FBAEB-0755-4841-8C89-4715EB68A0EF}"/>
    <cellStyle name="Vírgula 3 4 2 2 4 2 2" xfId="12448" xr:uid="{5F974CEA-E0D7-413A-BA58-D1D6861C4158}"/>
    <cellStyle name="Vírgula 3 4 2 2 4 2 2 2" xfId="25130" xr:uid="{2021931A-EF7E-4B6D-82E7-B1FFAF27A7C7}"/>
    <cellStyle name="Vírgula 3 4 2 2 4 2 2 2 2" xfId="50622" xr:uid="{8570602C-4603-410D-A070-C86D26143AF1}"/>
    <cellStyle name="Vírgula 3 4 2 2 4 2 2 3" xfId="38031" xr:uid="{83A07B73-133F-46AE-B20D-A34257E97B76}"/>
    <cellStyle name="Vírgula 3 4 2 2 4 2 3" xfId="18852" xr:uid="{AD726C33-2DA5-4DF1-9707-A95695CC5461}"/>
    <cellStyle name="Vírgula 3 4 2 2 4 2 3 2" xfId="44344" xr:uid="{BAD76AB4-A17D-4676-986D-F9457409E629}"/>
    <cellStyle name="Vírgula 3 4 2 2 4 2 4" xfId="31753" xr:uid="{780694EA-38C3-455B-A78D-484DD32A1185}"/>
    <cellStyle name="Vírgula 3 4 2 2 4 3" xfId="9309" xr:uid="{0DE44C3D-E9FA-42D4-BCB4-2A11C7655B45}"/>
    <cellStyle name="Vírgula 3 4 2 2 4 3 2" xfId="21991" xr:uid="{2ED9588D-4DD6-4169-8FE0-44A8426CF121}"/>
    <cellStyle name="Vírgula 3 4 2 2 4 3 2 2" xfId="47483" xr:uid="{B90DF434-F8DB-4F40-920E-9403856B5C97}"/>
    <cellStyle name="Vírgula 3 4 2 2 4 3 3" xfId="34892" xr:uid="{F545C8CF-F900-4A29-B3AC-69312FC75790}"/>
    <cellStyle name="Vírgula 3 4 2 2 4 4" xfId="15713" xr:uid="{1E91DFBB-CE2D-4F36-8DE4-87F851EB83CA}"/>
    <cellStyle name="Vírgula 3 4 2 2 4 4 2" xfId="41205" xr:uid="{87E4C263-9672-4C50-8F59-DE6D9A6BAB67}"/>
    <cellStyle name="Vírgula 3 4 2 2 4 5" xfId="28614" xr:uid="{6350C20D-ED5A-4C47-A0F5-4E538DA8A21C}"/>
    <cellStyle name="Vírgula 3 4 2 2 5" xfId="3524" xr:uid="{9DA911C8-5FD9-4162-A47E-19EED12EA2D8}"/>
    <cellStyle name="Vírgula 3 4 2 2 5 2" xfId="6678" xr:uid="{5A1DB7BD-C471-4168-9D18-E3A991707824}"/>
    <cellStyle name="Vírgula 3 4 2 2 5 2 2" xfId="12971" xr:uid="{F688D4CD-4871-45DB-A33A-4EE822363C85}"/>
    <cellStyle name="Vírgula 3 4 2 2 5 2 2 2" xfId="25653" xr:uid="{E1D2573C-14B4-4D9E-9B02-FDD755D75419}"/>
    <cellStyle name="Vírgula 3 4 2 2 5 2 2 2 2" xfId="51145" xr:uid="{38E26F45-E841-4469-85DF-EC4B46AE8C27}"/>
    <cellStyle name="Vírgula 3 4 2 2 5 2 2 3" xfId="38554" xr:uid="{600D62DC-770B-4DAD-88B0-B49B55BECB79}"/>
    <cellStyle name="Vírgula 3 4 2 2 5 2 3" xfId="19375" xr:uid="{30B87B81-6B6A-4100-8CE6-969DE852FB81}"/>
    <cellStyle name="Vírgula 3 4 2 2 5 2 3 2" xfId="44867" xr:uid="{3715B156-D9F0-4411-A6C5-8CC95949CBFD}"/>
    <cellStyle name="Vírgula 3 4 2 2 5 2 4" xfId="32276" xr:uid="{46D081FD-28A6-4B43-B09B-A9CEC93D458F}"/>
    <cellStyle name="Vírgula 3 4 2 2 5 3" xfId="9832" xr:uid="{7639C65B-8AE7-4DF0-B464-32AEFB6B133F}"/>
    <cellStyle name="Vírgula 3 4 2 2 5 3 2" xfId="22514" xr:uid="{B24B3360-6DB3-4419-91D7-3E38ED30DA41}"/>
    <cellStyle name="Vírgula 3 4 2 2 5 3 2 2" xfId="48006" xr:uid="{E0D9DBD7-1C30-4037-9A20-89E03EA4AC20}"/>
    <cellStyle name="Vírgula 3 4 2 2 5 3 3" xfId="35415" xr:uid="{2D6CFE8A-5B74-473F-A0B2-462B84EB128F}"/>
    <cellStyle name="Vírgula 3 4 2 2 5 4" xfId="16236" xr:uid="{AE3D1622-BF75-4592-BCCB-0C9666554A32}"/>
    <cellStyle name="Vírgula 3 4 2 2 5 4 2" xfId="41728" xr:uid="{D8E69F8F-8ADB-498D-9E46-3FEDA7E1C334}"/>
    <cellStyle name="Vírgula 3 4 2 2 5 5" xfId="29137" xr:uid="{FFDC7DD2-CA19-45D0-81F6-67D5B93AB8BF}"/>
    <cellStyle name="Vírgula 3 4 2 2 6" xfId="4324" xr:uid="{537A1C09-F0B9-4C99-B1DA-EBEE3B964B7A}"/>
    <cellStyle name="Vírgula 3 4 2 2 6 2" xfId="10617" xr:uid="{F73A2FBC-53DC-455A-9446-D87F24E1D481}"/>
    <cellStyle name="Vírgula 3 4 2 2 6 2 2" xfId="23299" xr:uid="{4B98DB1A-3F1E-40BB-AE10-3E83B321AEED}"/>
    <cellStyle name="Vírgula 3 4 2 2 6 2 2 2" xfId="48791" xr:uid="{38C8F3D9-853C-45B0-9EDA-D45BBD7BD2DF}"/>
    <cellStyle name="Vírgula 3 4 2 2 6 2 3" xfId="36200" xr:uid="{D8500F5D-A7C7-4E0D-9A1C-2AA750C639C1}"/>
    <cellStyle name="Vírgula 3 4 2 2 6 3" xfId="17021" xr:uid="{3AA91C4B-24C7-4665-9F09-F11330617F4D}"/>
    <cellStyle name="Vírgula 3 4 2 2 6 3 2" xfId="42513" xr:uid="{AE0089D6-F5D7-4838-9F9B-C07B17884B75}"/>
    <cellStyle name="Vírgula 3 4 2 2 6 4" xfId="29922" xr:uid="{8F6464B2-0F5C-4676-A6E6-A7AC49B2CFC4}"/>
    <cellStyle name="Vírgula 3 4 2 2 7" xfId="7478" xr:uid="{B82C4884-4B0F-43D2-9B21-035317E7C794}"/>
    <cellStyle name="Vírgula 3 4 2 2 7 2" xfId="20160" xr:uid="{EC7D45D2-C684-4F63-ADFB-4C461A0DE3DF}"/>
    <cellStyle name="Vírgula 3 4 2 2 7 2 2" xfId="45652" xr:uid="{26C68A35-49EB-461E-B670-55D6E417EF36}"/>
    <cellStyle name="Vírgula 3 4 2 2 7 3" xfId="33061" xr:uid="{700DDA53-150F-4D9B-9B91-BB78A8BA77B3}"/>
    <cellStyle name="Vírgula 3 4 2 2 8" xfId="13882" xr:uid="{BDE52BAC-1812-41F7-9B27-1E4490B29DD4}"/>
    <cellStyle name="Vírgula 3 4 2 2 8 2" xfId="39374" xr:uid="{EE2B8310-3696-43F7-BE73-BD239A8B9228}"/>
    <cellStyle name="Vírgula 3 4 2 2 9" xfId="26783" xr:uid="{E2B60892-381A-4425-87BE-31C414D8AE8C}"/>
    <cellStyle name="Vírgula 3 4 2 3" xfId="910" xr:uid="{2991C8FE-09FA-4DEB-9E10-CC8C2B6B866E}"/>
    <cellStyle name="Vírgula 3 4 2 3 2" xfId="2217" xr:uid="{C218D855-B76E-4246-9FE9-3DEA0D827717}"/>
    <cellStyle name="Vírgula 3 4 2 3 2 2" xfId="5371" xr:uid="{C351DF53-36D5-401F-A398-5B094092DFCB}"/>
    <cellStyle name="Vírgula 3 4 2 3 2 2 2" xfId="11664" xr:uid="{8B2E7D66-0700-4A34-AFBE-51491F3AB119}"/>
    <cellStyle name="Vírgula 3 4 2 3 2 2 2 2" xfId="24346" xr:uid="{ED367B92-C925-4896-885F-12F19A9588CD}"/>
    <cellStyle name="Vírgula 3 4 2 3 2 2 2 2 2" xfId="49838" xr:uid="{0ECE3F41-D204-4E88-8BC5-591C92DC7AEB}"/>
    <cellStyle name="Vírgula 3 4 2 3 2 2 2 3" xfId="37247" xr:uid="{66CF68C3-4C4D-4098-90E7-F28EAA529F07}"/>
    <cellStyle name="Vírgula 3 4 2 3 2 2 3" xfId="18068" xr:uid="{4AF7F586-1828-4B5E-BBC5-A7B72944846A}"/>
    <cellStyle name="Vírgula 3 4 2 3 2 2 3 2" xfId="43560" xr:uid="{553FE6DB-6882-44DF-A484-085ABBC11472}"/>
    <cellStyle name="Vírgula 3 4 2 3 2 2 4" xfId="30969" xr:uid="{33222552-363E-42FD-91B3-0461B27B9470}"/>
    <cellStyle name="Vírgula 3 4 2 3 2 3" xfId="8525" xr:uid="{E19B975A-9E3C-4CF8-A745-0BE6508A2001}"/>
    <cellStyle name="Vírgula 3 4 2 3 2 3 2" xfId="21207" xr:uid="{3D029E32-C27A-4B30-85DB-12CDEC07D9DF}"/>
    <cellStyle name="Vírgula 3 4 2 3 2 3 2 2" xfId="46699" xr:uid="{7CA14A7B-17B0-4D88-928E-9F8A4E8B59A3}"/>
    <cellStyle name="Vírgula 3 4 2 3 2 3 3" xfId="34108" xr:uid="{30B707C1-F974-4F95-8E86-8472A91C93D9}"/>
    <cellStyle name="Vírgula 3 4 2 3 2 4" xfId="14929" xr:uid="{380E64F2-026E-4E05-AC0D-EC2BAC70736A}"/>
    <cellStyle name="Vírgula 3 4 2 3 2 4 2" xfId="40421" xr:uid="{64026346-9778-4626-ADED-B40DE60E1DCE}"/>
    <cellStyle name="Vírgula 3 4 2 3 2 5" xfId="27830" xr:uid="{9F43010B-3706-4424-AE28-A99845840856}"/>
    <cellStyle name="Vírgula 3 4 2 3 3" xfId="4064" xr:uid="{177D06B7-64E5-4F72-8C63-024ED145FC4E}"/>
    <cellStyle name="Vírgula 3 4 2 3 3 2" xfId="10357" xr:uid="{3AE91AAC-C746-4D33-B695-63F1C4F426D3}"/>
    <cellStyle name="Vírgula 3 4 2 3 3 2 2" xfId="23039" xr:uid="{BC8EAB9F-071D-428D-97E4-2148E9DA1CD2}"/>
    <cellStyle name="Vírgula 3 4 2 3 3 2 2 2" xfId="48531" xr:uid="{101AACE4-CDDE-4841-8CE1-90DA97326BCB}"/>
    <cellStyle name="Vírgula 3 4 2 3 3 2 3" xfId="35940" xr:uid="{736D7D57-B732-46AB-8F11-8E4E84D88DD5}"/>
    <cellStyle name="Vírgula 3 4 2 3 3 3" xfId="16761" xr:uid="{FA8FE557-398E-448A-BBE9-CEE1F19F45E4}"/>
    <cellStyle name="Vírgula 3 4 2 3 3 3 2" xfId="42253" xr:uid="{9334DA21-E143-46CA-AE4F-366316AE5372}"/>
    <cellStyle name="Vírgula 3 4 2 3 3 4" xfId="29662" xr:uid="{F4834BD2-C8E2-43AD-B35B-148CBC6970A5}"/>
    <cellStyle name="Vírgula 3 4 2 3 4" xfId="7218" xr:uid="{2DB37D91-A05A-48A2-BCB5-4829AFE2AAFD}"/>
    <cellStyle name="Vírgula 3 4 2 3 4 2" xfId="19900" xr:uid="{32062357-6D3C-43F2-A213-3514B2C4408F}"/>
    <cellStyle name="Vírgula 3 4 2 3 4 2 2" xfId="45392" xr:uid="{4B3C43AB-959D-4E9C-A196-9F2684A10810}"/>
    <cellStyle name="Vírgula 3 4 2 3 4 3" xfId="32801" xr:uid="{B8B3947C-4B3D-4E81-9485-58C63E446BB8}"/>
    <cellStyle name="Vírgula 3 4 2 3 5" xfId="13622" xr:uid="{35E1F1BD-7181-4F7C-AC41-6F70CF074178}"/>
    <cellStyle name="Vírgula 3 4 2 3 5 2" xfId="39114" xr:uid="{723F1828-F881-4082-AD2B-1AB641FF32A1}"/>
    <cellStyle name="Vírgula 3 4 2 3 6" xfId="26523" xr:uid="{54D83A5D-435B-4622-8FA4-A6A80074569C}"/>
    <cellStyle name="Vírgula 3 4 2 4" xfId="1955" xr:uid="{BF1F828B-5177-429E-8472-61C0CAD9359C}"/>
    <cellStyle name="Vírgula 3 4 2 4 2" xfId="5109" xr:uid="{B0BB693C-BF9C-4593-9961-B640B09AF3D4}"/>
    <cellStyle name="Vírgula 3 4 2 4 2 2" xfId="11402" xr:uid="{48837B35-94C7-4C38-A920-B30B84A7C39B}"/>
    <cellStyle name="Vírgula 3 4 2 4 2 2 2" xfId="24084" xr:uid="{86B0F6E3-BE67-4A5B-8BD8-49E1851599DA}"/>
    <cellStyle name="Vírgula 3 4 2 4 2 2 2 2" xfId="49576" xr:uid="{179F8145-C3A4-417C-A529-6F9D5BE30CE3}"/>
    <cellStyle name="Vírgula 3 4 2 4 2 2 3" xfId="36985" xr:uid="{B1688C1E-3825-48A9-B2B8-74C4B5BEBF63}"/>
    <cellStyle name="Vírgula 3 4 2 4 2 3" xfId="17806" xr:uid="{0912E598-27F5-4BC6-B67D-F380A1C34CE1}"/>
    <cellStyle name="Vírgula 3 4 2 4 2 3 2" xfId="43298" xr:uid="{1DBA46D7-0979-4E92-90D3-91AEB09AF1EF}"/>
    <cellStyle name="Vírgula 3 4 2 4 2 4" xfId="30707" xr:uid="{5CEC4AA1-B76A-49B8-92C0-58A70FB2E2D5}"/>
    <cellStyle name="Vírgula 3 4 2 4 3" xfId="8263" xr:uid="{0FF96A26-C8BB-4261-AB99-5DA9ECD94199}"/>
    <cellStyle name="Vírgula 3 4 2 4 3 2" xfId="20945" xr:uid="{8B4B5F12-6D35-4B7C-8073-410A3D635812}"/>
    <cellStyle name="Vírgula 3 4 2 4 3 2 2" xfId="46437" xr:uid="{E773F8FF-781E-4A13-8259-47DFED794CC9}"/>
    <cellStyle name="Vírgula 3 4 2 4 3 3" xfId="33846" xr:uid="{1E2D7B67-5AA3-442B-84D9-660E06518B7E}"/>
    <cellStyle name="Vírgula 3 4 2 4 4" xfId="14667" xr:uid="{645CF719-F800-48E6-9789-137EDEB2B461}"/>
    <cellStyle name="Vírgula 3 4 2 4 4 2" xfId="40159" xr:uid="{EE734AD0-7519-4CAA-A472-84D8D24785B4}"/>
    <cellStyle name="Vírgula 3 4 2 4 5" xfId="27568" xr:uid="{5B68485A-5F2A-4E2B-9FF0-E34C855B0145}"/>
    <cellStyle name="Vírgula 3 4 2 5" xfId="1433" xr:uid="{8A82BC23-7901-4D0D-9A85-279DF49AC9AF}"/>
    <cellStyle name="Vírgula 3 4 2 5 2" xfId="4587" xr:uid="{8751903F-5147-43F3-9FF3-EAB2238F536C}"/>
    <cellStyle name="Vírgula 3 4 2 5 2 2" xfId="10880" xr:uid="{77EC0B94-CEF7-49AB-95D7-CAD6C2962A6C}"/>
    <cellStyle name="Vírgula 3 4 2 5 2 2 2" xfId="23562" xr:uid="{5A377168-5155-4414-A991-A79ECE7D74CB}"/>
    <cellStyle name="Vírgula 3 4 2 5 2 2 2 2" xfId="49054" xr:uid="{39DF2C12-3492-4103-82B1-AC790DC9AA66}"/>
    <cellStyle name="Vírgula 3 4 2 5 2 2 3" xfId="36463" xr:uid="{BC604767-0D42-4EC4-8A0B-D56ADCF5893B}"/>
    <cellStyle name="Vírgula 3 4 2 5 2 3" xfId="17284" xr:uid="{384FF8F5-65A6-48F3-B1C2-9D59DC501D69}"/>
    <cellStyle name="Vírgula 3 4 2 5 2 3 2" xfId="42776" xr:uid="{AF696B99-A871-4BB7-8336-FDBA4A9117D6}"/>
    <cellStyle name="Vírgula 3 4 2 5 2 4" xfId="30185" xr:uid="{C1FE6427-2A2A-42BA-BC6B-8858AA29BC1E}"/>
    <cellStyle name="Vírgula 3 4 2 5 3" xfId="7741" xr:uid="{2ACF79B1-3815-40C3-A803-C5654B159844}"/>
    <cellStyle name="Vírgula 3 4 2 5 3 2" xfId="20423" xr:uid="{142A44C9-A1A2-46E1-B43C-89A12F6F36FB}"/>
    <cellStyle name="Vírgula 3 4 2 5 3 2 2" xfId="45915" xr:uid="{B0A89F55-94BE-4DF1-AE9B-40F6539E702D}"/>
    <cellStyle name="Vírgula 3 4 2 5 3 3" xfId="33324" xr:uid="{204AF0A8-381D-4EA5-BC6E-18E8C3EB63D0}"/>
    <cellStyle name="Vírgula 3 4 2 5 4" xfId="14145" xr:uid="{B0A426DE-D091-4DB9-84A8-70958489B519}"/>
    <cellStyle name="Vírgula 3 4 2 5 4 2" xfId="39637" xr:uid="{87CF5D01-6485-4C76-8899-AC4499117DA3}"/>
    <cellStyle name="Vírgula 3 4 2 5 5" xfId="27046" xr:uid="{E4719431-EC36-437D-98C7-C94BC66F7E95}"/>
    <cellStyle name="Vírgula 3 4 2 6" xfId="2740" xr:uid="{8BCD7900-B0EA-414C-BDD5-000CC7C003B9}"/>
    <cellStyle name="Vírgula 3 4 2 6 2" xfId="5894" xr:uid="{3EB9A942-8810-4B06-A171-15F04C5276B3}"/>
    <cellStyle name="Vírgula 3 4 2 6 2 2" xfId="12187" xr:uid="{69C79959-CEC4-48C5-92C1-1340A28DEF98}"/>
    <cellStyle name="Vírgula 3 4 2 6 2 2 2" xfId="24869" xr:uid="{BB65BB71-8F31-4268-BC5D-63BDB3E5AA58}"/>
    <cellStyle name="Vírgula 3 4 2 6 2 2 2 2" xfId="50361" xr:uid="{2A7B536B-A75D-4368-BB3C-CFB4A17043C8}"/>
    <cellStyle name="Vírgula 3 4 2 6 2 2 3" xfId="37770" xr:uid="{B5C5B7AB-D8CF-474F-A358-3175FA078C80}"/>
    <cellStyle name="Vírgula 3 4 2 6 2 3" xfId="18591" xr:uid="{74AEF70F-1E7F-47BA-98B2-034EF0FB1E63}"/>
    <cellStyle name="Vírgula 3 4 2 6 2 3 2" xfId="44083" xr:uid="{4BA18909-5664-4347-9150-92142362B4BF}"/>
    <cellStyle name="Vírgula 3 4 2 6 2 4" xfId="31492" xr:uid="{0334F062-4439-4B27-AD65-780386A417D1}"/>
    <cellStyle name="Vírgula 3 4 2 6 3" xfId="9048" xr:uid="{90B108A9-2069-42FC-83AB-F9FC7EA6F0EE}"/>
    <cellStyle name="Vírgula 3 4 2 6 3 2" xfId="21730" xr:uid="{448099AB-9580-4510-8006-A73965208A58}"/>
    <cellStyle name="Vírgula 3 4 2 6 3 2 2" xfId="47222" xr:uid="{DCF84DE3-1EBF-492B-B401-68DA2D85911A}"/>
    <cellStyle name="Vírgula 3 4 2 6 3 3" xfId="34631" xr:uid="{B1C62A0C-C4AF-4FAC-882F-7ED7430CEFC5}"/>
    <cellStyle name="Vírgula 3 4 2 6 4" xfId="15452" xr:uid="{EB2F8F5F-132F-431C-BFAB-931D4EE695C2}"/>
    <cellStyle name="Vírgula 3 4 2 6 4 2" xfId="40944" xr:uid="{CF6C6766-E92D-4AF9-B844-859EEF84284F}"/>
    <cellStyle name="Vírgula 3 4 2 6 5" xfId="28353" xr:uid="{86790853-6B68-480B-B238-3CCB2E8C9787}"/>
    <cellStyle name="Vírgula 3 4 2 7" xfId="3263" xr:uid="{CED505A0-44A7-430E-B488-89D2BDFF4339}"/>
    <cellStyle name="Vírgula 3 4 2 7 2" xfId="6417" xr:uid="{F8BF5867-1A78-40D0-AAC1-18CE3DA14311}"/>
    <cellStyle name="Vírgula 3 4 2 7 2 2" xfId="12710" xr:uid="{A7093D8F-3DB9-4144-8F1D-1A41E97CFC26}"/>
    <cellStyle name="Vírgula 3 4 2 7 2 2 2" xfId="25392" xr:uid="{4127C818-F2CC-4A86-8B44-AE7470F1F91F}"/>
    <cellStyle name="Vírgula 3 4 2 7 2 2 2 2" xfId="50884" xr:uid="{A1F2F2A0-BCEC-4AA8-9FD0-A60FB7F00773}"/>
    <cellStyle name="Vírgula 3 4 2 7 2 2 3" xfId="38293" xr:uid="{DE076356-6983-4DE7-B906-F5A71856CEDA}"/>
    <cellStyle name="Vírgula 3 4 2 7 2 3" xfId="19114" xr:uid="{87E519FB-E316-4CC5-A372-F73E3EC3A72C}"/>
    <cellStyle name="Vírgula 3 4 2 7 2 3 2" xfId="44606" xr:uid="{67445DE3-974B-4C35-AEAD-1C3A81BAA13A}"/>
    <cellStyle name="Vírgula 3 4 2 7 2 4" xfId="32015" xr:uid="{341BE812-091F-4740-B832-C3C00E831C6F}"/>
    <cellStyle name="Vírgula 3 4 2 7 3" xfId="9571" xr:uid="{D2B7DE3C-7057-4B4D-9993-737CE0FC60E6}"/>
    <cellStyle name="Vírgula 3 4 2 7 3 2" xfId="22253" xr:uid="{624C1AE6-F019-4E7C-AADB-384A7932CE99}"/>
    <cellStyle name="Vírgula 3 4 2 7 3 2 2" xfId="47745" xr:uid="{D59A27E0-D2A6-429B-8E90-58A9CB35CF87}"/>
    <cellStyle name="Vírgula 3 4 2 7 3 3" xfId="35154" xr:uid="{BC9B7AE7-A793-48B1-96DE-FBD6B6AC894B}"/>
    <cellStyle name="Vírgula 3 4 2 7 4" xfId="15975" xr:uid="{6258E825-E30D-403D-9E37-60801122A4B3}"/>
    <cellStyle name="Vírgula 3 4 2 7 4 2" xfId="41467" xr:uid="{4BAD108D-F7E0-4193-9E39-2DE8FA7D7033}"/>
    <cellStyle name="Vírgula 3 4 2 7 5" xfId="28876" xr:uid="{B91EB478-5EF8-412A-B720-AA755D28BA6D}"/>
    <cellStyle name="Vírgula 3 4 2 8" xfId="3802" xr:uid="{4B1AB60A-469F-4C5C-859E-9ADC95FBFE08}"/>
    <cellStyle name="Vírgula 3 4 2 8 2" xfId="10095" xr:uid="{64AFDFFB-826D-4AE3-BB4D-1021266D19B3}"/>
    <cellStyle name="Vírgula 3 4 2 8 2 2" xfId="22777" xr:uid="{39290FA3-96E8-4E87-A2BB-EF12390786D4}"/>
    <cellStyle name="Vírgula 3 4 2 8 2 2 2" xfId="48269" xr:uid="{85D7B3D1-6624-41EB-BCB5-AC638F76A47A}"/>
    <cellStyle name="Vírgula 3 4 2 8 2 3" xfId="35678" xr:uid="{C095CA70-4FB6-4064-AD35-8E796A234DC5}"/>
    <cellStyle name="Vírgula 3 4 2 8 3" xfId="16499" xr:uid="{CFA93B47-CFD3-46A0-BCE8-2CAD33325361}"/>
    <cellStyle name="Vírgula 3 4 2 8 3 2" xfId="41991" xr:uid="{C080D9A3-1B09-4917-9B8F-01B365A9BC49}"/>
    <cellStyle name="Vírgula 3 4 2 8 4" xfId="29400" xr:uid="{53E84E1C-8E52-485D-BE57-81E6EF84A18A}"/>
    <cellStyle name="Vírgula 3 4 2 9" xfId="6956" xr:uid="{B4D1DBB9-8062-479F-83AF-9FF21F7E11B0}"/>
    <cellStyle name="Vírgula 3 4 2 9 2" xfId="19638" xr:uid="{28795F5C-B999-4CCC-94D3-4926CEF7C9F8}"/>
    <cellStyle name="Vírgula 3 4 2 9 2 2" xfId="45130" xr:uid="{107745A1-D4E4-4B0F-82D4-AC63A294EF07}"/>
    <cellStyle name="Vírgula 3 4 2 9 3" xfId="32539" xr:uid="{9A380A7D-4D28-46D4-B92D-7D8944D245D6}"/>
    <cellStyle name="Vírgula 3 4 3" xfId="533" xr:uid="{A03E3BA8-BF6A-46C5-80E1-97E7D1534D87}"/>
    <cellStyle name="Vírgula 3 4 3 10" xfId="13260" xr:uid="{2838C99E-CC0B-45D5-935D-CE4557B9AF3E}"/>
    <cellStyle name="Vírgula 3 4 3 10 2" xfId="38752" xr:uid="{4F47C974-0FB1-42F2-A945-2F5BF5A57924}"/>
    <cellStyle name="Vírgula 3 4 3 11" xfId="26161" xr:uid="{A89F633A-885F-4C86-92C0-F99F48BD5283}"/>
    <cellStyle name="Vírgula 3 4 3 2" xfId="1070" xr:uid="{626ECB57-5FA4-4AE2-8153-171258F748A5}"/>
    <cellStyle name="Vírgula 3 4 3 2 2" xfId="2377" xr:uid="{A27E7BAB-9119-4B06-9C83-3BA3505D9AA1}"/>
    <cellStyle name="Vírgula 3 4 3 2 2 2" xfId="5531" xr:uid="{B7A4565D-E279-45FA-B562-58EC59100A71}"/>
    <cellStyle name="Vírgula 3 4 3 2 2 2 2" xfId="11824" xr:uid="{25FE88E2-BDA1-4CFA-A8D8-E84862AB4B40}"/>
    <cellStyle name="Vírgula 3 4 3 2 2 2 2 2" xfId="24506" xr:uid="{1D3F2621-13EF-4AD7-ADBB-E8C40BBBD31E}"/>
    <cellStyle name="Vírgula 3 4 3 2 2 2 2 2 2" xfId="49998" xr:uid="{76FFC216-EF5E-42C1-98A0-351D8CC0B3E0}"/>
    <cellStyle name="Vírgula 3 4 3 2 2 2 2 3" xfId="37407" xr:uid="{CA870FA7-39B2-4494-BD20-4CF6C089D2F6}"/>
    <cellStyle name="Vírgula 3 4 3 2 2 2 3" xfId="18228" xr:uid="{6EFE8FE4-C6E2-4D02-9D55-A41B25411EDB}"/>
    <cellStyle name="Vírgula 3 4 3 2 2 2 3 2" xfId="43720" xr:uid="{B7F808B4-0087-4711-A3DA-E061E4D727CC}"/>
    <cellStyle name="Vírgula 3 4 3 2 2 2 4" xfId="31129" xr:uid="{F4419BFE-C473-4F54-8650-FA03FBF2BFE1}"/>
    <cellStyle name="Vírgula 3 4 3 2 2 3" xfId="8685" xr:uid="{7C64A35E-F441-46C5-AD34-D43E29AB7730}"/>
    <cellStyle name="Vírgula 3 4 3 2 2 3 2" xfId="21367" xr:uid="{DF006F11-77FF-465D-B5B0-FD2145EBD0E4}"/>
    <cellStyle name="Vírgula 3 4 3 2 2 3 2 2" xfId="46859" xr:uid="{0A1CCD5A-1C63-4BE1-9B54-B34F151BE1BD}"/>
    <cellStyle name="Vírgula 3 4 3 2 2 3 3" xfId="34268" xr:uid="{18866394-9CD4-4E97-9F3D-43EDBFCCB87E}"/>
    <cellStyle name="Vírgula 3 4 3 2 2 4" xfId="15089" xr:uid="{A9E3C7FE-2136-4CD1-B435-A6469AB48D7A}"/>
    <cellStyle name="Vírgula 3 4 3 2 2 4 2" xfId="40581" xr:uid="{B9B3AE86-7E42-466C-A9EE-09F17CDEA6B8}"/>
    <cellStyle name="Vírgula 3 4 3 2 2 5" xfId="27990" xr:uid="{CC69CE48-2472-4146-AA40-2AB985E914D2}"/>
    <cellStyle name="Vírgula 3 4 3 2 3" xfId="1594" xr:uid="{52F8EE27-6CDE-4399-A69A-07C383A009FC}"/>
    <cellStyle name="Vírgula 3 4 3 2 3 2" xfId="4748" xr:uid="{B67E6F5F-7581-4087-8318-9562CE5B34C6}"/>
    <cellStyle name="Vírgula 3 4 3 2 3 2 2" xfId="11041" xr:uid="{C6AEA850-0D97-4F17-AB6D-4F69D80F061D}"/>
    <cellStyle name="Vírgula 3 4 3 2 3 2 2 2" xfId="23723" xr:uid="{E9E32570-AC19-4E01-8015-23F6F10716E4}"/>
    <cellStyle name="Vírgula 3 4 3 2 3 2 2 2 2" xfId="49215" xr:uid="{76DBA867-21A5-45ED-AE26-1FD1EDBAFDBE}"/>
    <cellStyle name="Vírgula 3 4 3 2 3 2 2 3" xfId="36624" xr:uid="{83E29057-5531-4899-A1F0-A4F456A6A578}"/>
    <cellStyle name="Vírgula 3 4 3 2 3 2 3" xfId="17445" xr:uid="{75AACEDE-62F9-4922-9A22-B83E310FD864}"/>
    <cellStyle name="Vírgula 3 4 3 2 3 2 3 2" xfId="42937" xr:uid="{53714687-677B-4847-9E67-1E45EA20004E}"/>
    <cellStyle name="Vírgula 3 4 3 2 3 2 4" xfId="30346" xr:uid="{E0C879B5-6C11-4799-97D0-BAF18E75EA6C}"/>
    <cellStyle name="Vírgula 3 4 3 2 3 3" xfId="7902" xr:uid="{E5338E2A-8B9B-417F-B75F-85537BA2F506}"/>
    <cellStyle name="Vírgula 3 4 3 2 3 3 2" xfId="20584" xr:uid="{C903E3C4-5918-417B-9902-E609CBA1E14E}"/>
    <cellStyle name="Vírgula 3 4 3 2 3 3 2 2" xfId="46076" xr:uid="{EE51EA10-E19A-420C-A2BE-444BF90AB386}"/>
    <cellStyle name="Vírgula 3 4 3 2 3 3 3" xfId="33485" xr:uid="{FAAD5DCB-12E3-499F-9F3E-A715F83166DC}"/>
    <cellStyle name="Vírgula 3 4 3 2 3 4" xfId="14306" xr:uid="{CD68C6E8-1125-445F-A2C4-4B344A8A3A45}"/>
    <cellStyle name="Vírgula 3 4 3 2 3 4 2" xfId="39798" xr:uid="{5E9A514E-B5FE-4E9E-8397-5F83FEDCAFD9}"/>
    <cellStyle name="Vírgula 3 4 3 2 3 5" xfId="27207" xr:uid="{0ED8D9E3-C5D7-44BC-9A60-E0AE8A2C4619}"/>
    <cellStyle name="Vírgula 3 4 3 2 4" xfId="2901" xr:uid="{F59EB283-4484-4D5D-9317-424B4571BEF8}"/>
    <cellStyle name="Vírgula 3 4 3 2 4 2" xfId="6055" xr:uid="{993EF01E-DABA-411D-A5A0-1C7ECBF26E21}"/>
    <cellStyle name="Vírgula 3 4 3 2 4 2 2" xfId="12348" xr:uid="{DF5DE06A-D812-47AB-A79E-995B64ED987C}"/>
    <cellStyle name="Vírgula 3 4 3 2 4 2 2 2" xfId="25030" xr:uid="{2E1DE428-397D-422E-9BEE-E4C6FAF84DE3}"/>
    <cellStyle name="Vírgula 3 4 3 2 4 2 2 2 2" xfId="50522" xr:uid="{94F7F930-EA6C-46BE-9795-85858D083146}"/>
    <cellStyle name="Vírgula 3 4 3 2 4 2 2 3" xfId="37931" xr:uid="{41D1846B-0AE9-4B92-A2DF-A17BC712350B}"/>
    <cellStyle name="Vírgula 3 4 3 2 4 2 3" xfId="18752" xr:uid="{F652A81B-F04B-4966-BB31-C9BE59502C31}"/>
    <cellStyle name="Vírgula 3 4 3 2 4 2 3 2" xfId="44244" xr:uid="{8BB77C90-617D-4B2A-BE55-F8D63B2AD34F}"/>
    <cellStyle name="Vírgula 3 4 3 2 4 2 4" xfId="31653" xr:uid="{B957DF29-65CB-4CC5-8EB6-1A5E06AED038}"/>
    <cellStyle name="Vírgula 3 4 3 2 4 3" xfId="9209" xr:uid="{09665949-AE61-4429-93AB-66A8729CAA37}"/>
    <cellStyle name="Vírgula 3 4 3 2 4 3 2" xfId="21891" xr:uid="{9ED9F0F3-16DC-456D-B7D8-4DBDA1112EB9}"/>
    <cellStyle name="Vírgula 3 4 3 2 4 3 2 2" xfId="47383" xr:uid="{F56D5D5C-9986-4117-AA82-894B1E28B458}"/>
    <cellStyle name="Vírgula 3 4 3 2 4 3 3" xfId="34792" xr:uid="{C9C9C4E5-B21F-41A0-AAD3-3CE160A552B7}"/>
    <cellStyle name="Vírgula 3 4 3 2 4 4" xfId="15613" xr:uid="{35A3D306-80CB-42A7-9636-B22929312159}"/>
    <cellStyle name="Vírgula 3 4 3 2 4 4 2" xfId="41105" xr:uid="{F1A545C1-BE8D-4988-A81B-609ED8A8701D}"/>
    <cellStyle name="Vírgula 3 4 3 2 4 5" xfId="28514" xr:uid="{36250460-F41D-492C-9C7C-952975166A75}"/>
    <cellStyle name="Vírgula 3 4 3 2 5" xfId="3424" xr:uid="{8A688E3C-E509-4184-95E7-4AB4787F69C7}"/>
    <cellStyle name="Vírgula 3 4 3 2 5 2" xfId="6578" xr:uid="{4BD10C96-3C4F-4112-BD29-F469C3EB9E21}"/>
    <cellStyle name="Vírgula 3 4 3 2 5 2 2" xfId="12871" xr:uid="{67D50FCC-D53D-42CF-A271-E8A9596678AB}"/>
    <cellStyle name="Vírgula 3 4 3 2 5 2 2 2" xfId="25553" xr:uid="{DC4C4086-6F95-427A-93DE-F71B980512F4}"/>
    <cellStyle name="Vírgula 3 4 3 2 5 2 2 2 2" xfId="51045" xr:uid="{24FA33E2-6FB2-439B-B287-3EFE1E7502B7}"/>
    <cellStyle name="Vírgula 3 4 3 2 5 2 2 3" xfId="38454" xr:uid="{656080F7-9174-47DD-8675-0B70339AD129}"/>
    <cellStyle name="Vírgula 3 4 3 2 5 2 3" xfId="19275" xr:uid="{83E07CA7-89CE-4C0D-9708-5ABE5AD3764C}"/>
    <cellStyle name="Vírgula 3 4 3 2 5 2 3 2" xfId="44767" xr:uid="{6BC9893A-765B-488E-9FF6-3042F0F92700}"/>
    <cellStyle name="Vírgula 3 4 3 2 5 2 4" xfId="32176" xr:uid="{67EE0F53-0A52-4443-8366-5414EB4F9950}"/>
    <cellStyle name="Vírgula 3 4 3 2 5 3" xfId="9732" xr:uid="{998CBAD5-7AEA-4ED7-84F9-AF3EA70CCF43}"/>
    <cellStyle name="Vírgula 3 4 3 2 5 3 2" xfId="22414" xr:uid="{9CB02928-E7B4-4DBE-BBBF-BBC3C19CC1FD}"/>
    <cellStyle name="Vírgula 3 4 3 2 5 3 2 2" xfId="47906" xr:uid="{8D985A89-35FE-4EB1-B940-F693380A20A1}"/>
    <cellStyle name="Vírgula 3 4 3 2 5 3 3" xfId="35315" xr:uid="{670F89F5-BBB0-40E8-A093-2BC8FD6B6F02}"/>
    <cellStyle name="Vírgula 3 4 3 2 5 4" xfId="16136" xr:uid="{F4EFCA56-1F28-4207-A655-97F9CFF78814}"/>
    <cellStyle name="Vírgula 3 4 3 2 5 4 2" xfId="41628" xr:uid="{F2145345-ABF0-47B2-A03A-FA3535F1B35D}"/>
    <cellStyle name="Vírgula 3 4 3 2 5 5" xfId="29037" xr:uid="{D82BF00D-FBB4-4818-8203-D5F0F2464F6D}"/>
    <cellStyle name="Vírgula 3 4 3 2 6" xfId="4224" xr:uid="{171CCBAC-B643-465C-A8DD-F8089EDE3757}"/>
    <cellStyle name="Vírgula 3 4 3 2 6 2" xfId="10517" xr:uid="{C3F871EB-B1F2-42BB-A42C-7137DD2DAC8B}"/>
    <cellStyle name="Vírgula 3 4 3 2 6 2 2" xfId="23199" xr:uid="{239A8EED-EEC9-41E5-A0C1-3BB84E124843}"/>
    <cellStyle name="Vírgula 3 4 3 2 6 2 2 2" xfId="48691" xr:uid="{162EBF41-B621-48DA-B172-FA4232C1A37D}"/>
    <cellStyle name="Vírgula 3 4 3 2 6 2 3" xfId="36100" xr:uid="{C0C573E1-A0EB-44B6-ADDB-AF351D4D2B26}"/>
    <cellStyle name="Vírgula 3 4 3 2 6 3" xfId="16921" xr:uid="{C3FBAE43-B518-47E6-B020-44614D2C473E}"/>
    <cellStyle name="Vírgula 3 4 3 2 6 3 2" xfId="42413" xr:uid="{3479D03D-619A-451A-BC77-E92E4181D9C6}"/>
    <cellStyle name="Vírgula 3 4 3 2 6 4" xfId="29822" xr:uid="{3E5C9B13-D6D4-4CA3-B679-FB8DCAECA125}"/>
    <cellStyle name="Vírgula 3 4 3 2 7" xfId="7378" xr:uid="{35051F17-6FB3-4685-BDFF-43F00E75D18E}"/>
    <cellStyle name="Vírgula 3 4 3 2 7 2" xfId="20060" xr:uid="{5DDA6291-C25E-4327-A51C-2E04CB43A8A7}"/>
    <cellStyle name="Vírgula 3 4 3 2 7 2 2" xfId="45552" xr:uid="{F14B0BC9-23F2-4D9E-B0D2-28D42D4F77B4}"/>
    <cellStyle name="Vírgula 3 4 3 2 7 3" xfId="32961" xr:uid="{0E36F1F4-24B9-4898-91F5-FDF71C48184B}"/>
    <cellStyle name="Vírgula 3 4 3 2 8" xfId="13782" xr:uid="{4874EB7E-0A80-4D05-9EF1-9FCCF3ABBFBB}"/>
    <cellStyle name="Vírgula 3 4 3 2 8 2" xfId="39274" xr:uid="{37278A0C-3CC2-4DA7-9D66-143D2822D243}"/>
    <cellStyle name="Vírgula 3 4 3 2 9" xfId="26683" xr:uid="{CF0C9534-DCE3-4324-97E3-27080601AD04}"/>
    <cellStyle name="Vírgula 3 4 3 3" xfId="810" xr:uid="{3276AB7E-5B43-4B18-965F-6AF42D632FAE}"/>
    <cellStyle name="Vírgula 3 4 3 3 2" xfId="2117" xr:uid="{D2089015-2F59-4103-BD82-5471A126BBEE}"/>
    <cellStyle name="Vírgula 3 4 3 3 2 2" xfId="5271" xr:uid="{CBFBE171-8846-4688-90E0-E446A3D6A318}"/>
    <cellStyle name="Vírgula 3 4 3 3 2 2 2" xfId="11564" xr:uid="{E82E19A5-D921-4B5B-B6CE-1719B864BDFC}"/>
    <cellStyle name="Vírgula 3 4 3 3 2 2 2 2" xfId="24246" xr:uid="{B0821CAF-32FF-4489-8815-D2B0292A74C8}"/>
    <cellStyle name="Vírgula 3 4 3 3 2 2 2 2 2" xfId="49738" xr:uid="{B7F613FD-EBF8-422E-81A8-1E9795DE2E90}"/>
    <cellStyle name="Vírgula 3 4 3 3 2 2 2 3" xfId="37147" xr:uid="{EF9EBE16-8C4D-4105-B8FC-F151EBB2F2EA}"/>
    <cellStyle name="Vírgula 3 4 3 3 2 2 3" xfId="17968" xr:uid="{CF90536B-B515-4F91-9EE9-9B8725B7F668}"/>
    <cellStyle name="Vírgula 3 4 3 3 2 2 3 2" xfId="43460" xr:uid="{FA7334E9-E6B1-4CA0-B607-BCEA78653E44}"/>
    <cellStyle name="Vírgula 3 4 3 3 2 2 4" xfId="30869" xr:uid="{7745FD18-C693-4156-A041-63BC2D4588A2}"/>
    <cellStyle name="Vírgula 3 4 3 3 2 3" xfId="8425" xr:uid="{75DD884C-849E-4CBB-A824-32FF4D0DD9B0}"/>
    <cellStyle name="Vírgula 3 4 3 3 2 3 2" xfId="21107" xr:uid="{151A5030-CA54-4BC3-B50A-54098E709227}"/>
    <cellStyle name="Vírgula 3 4 3 3 2 3 2 2" xfId="46599" xr:uid="{3CBC3DD5-E129-4F82-8A1A-32D8AA0C3236}"/>
    <cellStyle name="Vírgula 3 4 3 3 2 3 3" xfId="34008" xr:uid="{A4DBD39C-46AE-47EB-88FD-DD159B0F40F1}"/>
    <cellStyle name="Vírgula 3 4 3 3 2 4" xfId="14829" xr:uid="{85316B9B-8E01-4C75-AC7F-04878BD23E13}"/>
    <cellStyle name="Vírgula 3 4 3 3 2 4 2" xfId="40321" xr:uid="{3461FFF4-6CDB-4E2B-8E59-E71786A004BA}"/>
    <cellStyle name="Vírgula 3 4 3 3 2 5" xfId="27730" xr:uid="{5E352A1E-E596-4422-8ACB-7EB983C197F7}"/>
    <cellStyle name="Vírgula 3 4 3 3 3" xfId="3964" xr:uid="{D7BF0446-9858-4BEB-AA95-50553048FF5D}"/>
    <cellStyle name="Vírgula 3 4 3 3 3 2" xfId="10257" xr:uid="{5CF7EF50-8A70-4AA7-B546-C26E79CA7AA8}"/>
    <cellStyle name="Vírgula 3 4 3 3 3 2 2" xfId="22939" xr:uid="{6D9BE7C8-96FF-4431-86DF-3072C5EC904D}"/>
    <cellStyle name="Vírgula 3 4 3 3 3 2 2 2" xfId="48431" xr:uid="{D2399C7F-30E2-408B-9CF1-2294E10E2708}"/>
    <cellStyle name="Vírgula 3 4 3 3 3 2 3" xfId="35840" xr:uid="{58828715-B14B-499C-B1C6-6CA072A679BD}"/>
    <cellStyle name="Vírgula 3 4 3 3 3 3" xfId="16661" xr:uid="{FA427585-4A5B-40F3-8E32-39502FE5F6B2}"/>
    <cellStyle name="Vírgula 3 4 3 3 3 3 2" xfId="42153" xr:uid="{F0C45939-AEC1-4375-8619-90A0322BE6D9}"/>
    <cellStyle name="Vírgula 3 4 3 3 3 4" xfId="29562" xr:uid="{11612DF0-D7CD-44E5-A044-A6D906B908B4}"/>
    <cellStyle name="Vírgula 3 4 3 3 4" xfId="7118" xr:uid="{9C3CAAEF-2942-4787-A289-1C13917CFD67}"/>
    <cellStyle name="Vírgula 3 4 3 3 4 2" xfId="19800" xr:uid="{5AA5B2A6-9475-4AB8-904B-B7EFC9DBFEDE}"/>
    <cellStyle name="Vírgula 3 4 3 3 4 2 2" xfId="45292" xr:uid="{9B59FD6A-1AD1-4091-91AD-7DD7D42700D2}"/>
    <cellStyle name="Vírgula 3 4 3 3 4 3" xfId="32701" xr:uid="{8C6BEE3B-21F6-4083-8799-1F1F8A523B53}"/>
    <cellStyle name="Vírgula 3 4 3 3 5" xfId="13522" xr:uid="{131BE38D-AEE0-41C4-B963-EB4DA0D2B3D4}"/>
    <cellStyle name="Vírgula 3 4 3 3 5 2" xfId="39014" xr:uid="{9AD67E22-9AF2-4E77-9500-5DE369522770}"/>
    <cellStyle name="Vírgula 3 4 3 3 6" xfId="26423" xr:uid="{707894A2-A09B-460D-BE74-C4AE9C3AA082}"/>
    <cellStyle name="Vírgula 3 4 3 4" xfId="1855" xr:uid="{9E36C83F-45C1-491E-AE30-0EFA583C8112}"/>
    <cellStyle name="Vírgula 3 4 3 4 2" xfId="5009" xr:uid="{24894E73-89BE-48C8-B9A9-79AB23017839}"/>
    <cellStyle name="Vírgula 3 4 3 4 2 2" xfId="11302" xr:uid="{9B071658-8FA8-4DB9-AEE2-5E66B0948285}"/>
    <cellStyle name="Vírgula 3 4 3 4 2 2 2" xfId="23984" xr:uid="{9622E543-1CCB-4D21-843F-FEFEA1B95077}"/>
    <cellStyle name="Vírgula 3 4 3 4 2 2 2 2" xfId="49476" xr:uid="{BEBF1839-F506-466A-995C-2D2DC805D738}"/>
    <cellStyle name="Vírgula 3 4 3 4 2 2 3" xfId="36885" xr:uid="{9BC83669-3846-40EB-BE20-171FE847E08D}"/>
    <cellStyle name="Vírgula 3 4 3 4 2 3" xfId="17706" xr:uid="{C7A2F868-9558-434B-B294-0C59D35F3ECD}"/>
    <cellStyle name="Vírgula 3 4 3 4 2 3 2" xfId="43198" xr:uid="{ECB643AE-195F-48A9-A03A-BE546CC7F398}"/>
    <cellStyle name="Vírgula 3 4 3 4 2 4" xfId="30607" xr:uid="{4905B763-BCBC-4154-B902-02A678ED7F94}"/>
    <cellStyle name="Vírgula 3 4 3 4 3" xfId="8163" xr:uid="{CA20CDD3-C063-4A7C-86AD-5E02E3EF2E2E}"/>
    <cellStyle name="Vírgula 3 4 3 4 3 2" xfId="20845" xr:uid="{2815E436-424F-4024-B321-FAA7B9DAFC93}"/>
    <cellStyle name="Vírgula 3 4 3 4 3 2 2" xfId="46337" xr:uid="{1E110E89-0D21-4FB7-A0D3-D05F68D12783}"/>
    <cellStyle name="Vírgula 3 4 3 4 3 3" xfId="33746" xr:uid="{85003C61-2170-4AFD-9FA4-70B35560D388}"/>
    <cellStyle name="Vírgula 3 4 3 4 4" xfId="14567" xr:uid="{364AEF0A-0378-4B8E-8109-ADD6378733C4}"/>
    <cellStyle name="Vírgula 3 4 3 4 4 2" xfId="40059" xr:uid="{BD42BF4D-CBC2-43F6-8EC3-6F8F583E01C3}"/>
    <cellStyle name="Vírgula 3 4 3 4 5" xfId="27468" xr:uid="{966F46F1-8694-411D-A813-D42DC52821AC}"/>
    <cellStyle name="Vírgula 3 4 3 5" xfId="1333" xr:uid="{E0EDF1FD-EDF1-42CA-85D6-1C923A7C6F63}"/>
    <cellStyle name="Vírgula 3 4 3 5 2" xfId="4487" xr:uid="{60B2BA6E-B360-4B4A-8D41-401B1CB52239}"/>
    <cellStyle name="Vírgula 3 4 3 5 2 2" xfId="10780" xr:uid="{40FF063A-5862-433C-AFDC-FF82BE529627}"/>
    <cellStyle name="Vírgula 3 4 3 5 2 2 2" xfId="23462" xr:uid="{A6D09EA0-641D-459A-AC02-A527D2246E56}"/>
    <cellStyle name="Vírgula 3 4 3 5 2 2 2 2" xfId="48954" xr:uid="{70E22AB0-5700-49FB-B9B3-39683A734168}"/>
    <cellStyle name="Vírgula 3 4 3 5 2 2 3" xfId="36363" xr:uid="{183D3CAF-5330-434B-91FD-39576D28F67F}"/>
    <cellStyle name="Vírgula 3 4 3 5 2 3" xfId="17184" xr:uid="{55B01AA9-3EFA-4F29-A8A9-AE584AE6CC50}"/>
    <cellStyle name="Vírgula 3 4 3 5 2 3 2" xfId="42676" xr:uid="{7D2C1869-C623-450E-9E8E-0C0F175659DD}"/>
    <cellStyle name="Vírgula 3 4 3 5 2 4" xfId="30085" xr:uid="{22847904-6738-4A88-AEF8-EE9C5148692E}"/>
    <cellStyle name="Vírgula 3 4 3 5 3" xfId="7641" xr:uid="{9C373DE5-1140-449F-B846-DD92153C6894}"/>
    <cellStyle name="Vírgula 3 4 3 5 3 2" xfId="20323" xr:uid="{2A46258F-3204-4249-9B9F-A9C37245F744}"/>
    <cellStyle name="Vírgula 3 4 3 5 3 2 2" xfId="45815" xr:uid="{AB0CB388-227E-4AC6-A80E-C3915C9E050C}"/>
    <cellStyle name="Vírgula 3 4 3 5 3 3" xfId="33224" xr:uid="{25C7A6D7-B2EB-46C9-B24A-8241E40DA81A}"/>
    <cellStyle name="Vírgula 3 4 3 5 4" xfId="14045" xr:uid="{6C8A169B-392C-46C5-906D-1A922D71B246}"/>
    <cellStyle name="Vírgula 3 4 3 5 4 2" xfId="39537" xr:uid="{B742C22B-607D-4CAA-B0F1-0528FDEE82FC}"/>
    <cellStyle name="Vírgula 3 4 3 5 5" xfId="26946" xr:uid="{E4EEB548-14EB-4B1A-8890-9FDFA96F0CA6}"/>
    <cellStyle name="Vírgula 3 4 3 6" xfId="2640" xr:uid="{2C9AD77A-6002-44D0-84F0-71F48E7376BA}"/>
    <cellStyle name="Vírgula 3 4 3 6 2" xfId="5794" xr:uid="{560806E3-E366-4FB4-A3FB-1EAD7D716CCA}"/>
    <cellStyle name="Vírgula 3 4 3 6 2 2" xfId="12087" xr:uid="{EB15E53D-6EBA-41FA-B2E7-7BB948531E25}"/>
    <cellStyle name="Vírgula 3 4 3 6 2 2 2" xfId="24769" xr:uid="{108EBCFC-62AB-4E2E-A1DF-43C26A929587}"/>
    <cellStyle name="Vírgula 3 4 3 6 2 2 2 2" xfId="50261" xr:uid="{C68268A8-2E74-43F9-B5FE-A108142CA8FE}"/>
    <cellStyle name="Vírgula 3 4 3 6 2 2 3" xfId="37670" xr:uid="{E89B82D8-0338-42CB-AFBF-5324FA4A69B4}"/>
    <cellStyle name="Vírgula 3 4 3 6 2 3" xfId="18491" xr:uid="{CA9A05F1-8664-466B-8E86-5BC4C1F8F64E}"/>
    <cellStyle name="Vírgula 3 4 3 6 2 3 2" xfId="43983" xr:uid="{7B0209C9-D061-439C-B0C3-73255D94AD64}"/>
    <cellStyle name="Vírgula 3 4 3 6 2 4" xfId="31392" xr:uid="{398064B2-BBFF-40C7-9430-B9C40A61AFFD}"/>
    <cellStyle name="Vírgula 3 4 3 6 3" xfId="8948" xr:uid="{B4EF8090-0ED4-4AFB-B02D-4B96AFCC59F9}"/>
    <cellStyle name="Vírgula 3 4 3 6 3 2" xfId="21630" xr:uid="{B9AB6991-F12C-480F-B55A-E061A78DC44C}"/>
    <cellStyle name="Vírgula 3 4 3 6 3 2 2" xfId="47122" xr:uid="{BDA69DBC-7217-404D-A6CE-C9D13BD09A56}"/>
    <cellStyle name="Vírgula 3 4 3 6 3 3" xfId="34531" xr:uid="{DFF5407D-3298-4FE7-B21B-9476E7C9BA19}"/>
    <cellStyle name="Vírgula 3 4 3 6 4" xfId="15352" xr:uid="{51BE818C-D785-4E90-AA21-50DA5133CF00}"/>
    <cellStyle name="Vírgula 3 4 3 6 4 2" xfId="40844" xr:uid="{BD77EDDE-DA60-4525-87C6-86A1DAB83B9B}"/>
    <cellStyle name="Vírgula 3 4 3 6 5" xfId="28253" xr:uid="{1581D724-833E-4DF7-BC38-D1F49976BADB}"/>
    <cellStyle name="Vírgula 3 4 3 7" xfId="3163" xr:uid="{3A2807F6-1363-47E9-A94A-D004A0692CDE}"/>
    <cellStyle name="Vírgula 3 4 3 7 2" xfId="6317" xr:uid="{CAFF697B-C25A-487F-A5AF-F03CB9192276}"/>
    <cellStyle name="Vírgula 3 4 3 7 2 2" xfId="12610" xr:uid="{C99865A3-6225-4269-A24F-1EC866A2FF49}"/>
    <cellStyle name="Vírgula 3 4 3 7 2 2 2" xfId="25292" xr:uid="{FF1DEB9A-63DF-4C60-A611-8A2C38991570}"/>
    <cellStyle name="Vírgula 3 4 3 7 2 2 2 2" xfId="50784" xr:uid="{93E70ECA-D50C-4F0B-A753-33AB1A0E3ED8}"/>
    <cellStyle name="Vírgula 3 4 3 7 2 2 3" xfId="38193" xr:uid="{2A724795-9FD8-4942-8009-B880F6CD2CB5}"/>
    <cellStyle name="Vírgula 3 4 3 7 2 3" xfId="19014" xr:uid="{0E536037-5C51-460C-82C8-BC835CFFA6BB}"/>
    <cellStyle name="Vírgula 3 4 3 7 2 3 2" xfId="44506" xr:uid="{BD56BC86-F425-4086-9CF8-700F8CFD598E}"/>
    <cellStyle name="Vírgula 3 4 3 7 2 4" xfId="31915" xr:uid="{65A0D5DD-20B3-4B13-B577-0EB82048F638}"/>
    <cellStyle name="Vírgula 3 4 3 7 3" xfId="9471" xr:uid="{DB5F5A27-235A-4F38-AB37-D8055E3AE497}"/>
    <cellStyle name="Vírgula 3 4 3 7 3 2" xfId="22153" xr:uid="{4E21CD1D-3D63-44FC-90FC-14B528B76C15}"/>
    <cellStyle name="Vírgula 3 4 3 7 3 2 2" xfId="47645" xr:uid="{0CC18998-8F70-4CD6-9208-548AA54B74AF}"/>
    <cellStyle name="Vírgula 3 4 3 7 3 3" xfId="35054" xr:uid="{B87A6FBD-15AB-4D56-9949-DC7B199D32DB}"/>
    <cellStyle name="Vírgula 3 4 3 7 4" xfId="15875" xr:uid="{48C30316-193B-45D6-A052-B1C79DB2B090}"/>
    <cellStyle name="Vírgula 3 4 3 7 4 2" xfId="41367" xr:uid="{E513B9B5-2D04-422E-A2FB-8B3E1B87F2FF}"/>
    <cellStyle name="Vírgula 3 4 3 7 5" xfId="28776" xr:uid="{A7C8FDA2-08E6-4C27-8B12-C96FC26AEFA8}"/>
    <cellStyle name="Vírgula 3 4 3 8" xfId="3702" xr:uid="{851A25E1-B7C3-47AC-9D2A-259B9D8074E6}"/>
    <cellStyle name="Vírgula 3 4 3 8 2" xfId="9995" xr:uid="{8C98B136-5727-4DCD-9909-9C41A431030C}"/>
    <cellStyle name="Vírgula 3 4 3 8 2 2" xfId="22677" xr:uid="{56F971F0-670F-42EC-8246-1CA8795E3507}"/>
    <cellStyle name="Vírgula 3 4 3 8 2 2 2" xfId="48169" xr:uid="{08238657-1054-471B-BE0B-789C38133276}"/>
    <cellStyle name="Vírgula 3 4 3 8 2 3" xfId="35578" xr:uid="{7271FE84-8E1C-4672-B17B-6B81552B8A48}"/>
    <cellStyle name="Vírgula 3 4 3 8 3" xfId="16399" xr:uid="{D3373BFE-CBA2-48C6-8EB7-71D63B771C7A}"/>
    <cellStyle name="Vírgula 3 4 3 8 3 2" xfId="41891" xr:uid="{517795CD-BB1B-470F-862B-DBD3190605DB}"/>
    <cellStyle name="Vírgula 3 4 3 8 4" xfId="29300" xr:uid="{3BBB0781-1853-4F14-B984-E5C3ED58BA12}"/>
    <cellStyle name="Vírgula 3 4 3 9" xfId="6856" xr:uid="{F40E4A5C-3BF7-4D5B-BB38-D7DD6A474409}"/>
    <cellStyle name="Vírgula 3 4 3 9 2" xfId="19538" xr:uid="{3C8A14C6-FDCA-4685-91CB-46CF84F1D93C}"/>
    <cellStyle name="Vírgula 3 4 3 9 2 2" xfId="45030" xr:uid="{8788D359-37F1-4A3C-AB20-DD996DDACFF8}"/>
    <cellStyle name="Vírgula 3 4 3 9 3" xfId="32439" xr:uid="{8D4E2BC0-3FF5-4BF3-9D4B-B595092BF60D}"/>
    <cellStyle name="Vírgula 3 4 4" xfId="1011" xr:uid="{5411AA70-EFB7-421C-979F-2F8A8DB51FD1}"/>
    <cellStyle name="Vírgula 3 4 4 2" xfId="2318" xr:uid="{514DA5F4-443D-4C1F-9981-8C6160E588ED}"/>
    <cellStyle name="Vírgula 3 4 4 2 2" xfId="5472" xr:uid="{110597CD-9C2D-415E-AFE2-9124A825351B}"/>
    <cellStyle name="Vírgula 3 4 4 2 2 2" xfId="11765" xr:uid="{9A84628C-2DC5-4B95-A93E-328C903B04FA}"/>
    <cellStyle name="Vírgula 3 4 4 2 2 2 2" xfId="24447" xr:uid="{6BEE2FA5-2FFE-4595-9F6E-9F67A8F3A60F}"/>
    <cellStyle name="Vírgula 3 4 4 2 2 2 2 2" xfId="49939" xr:uid="{80A8AFAC-664B-40C9-9D77-B97926150015}"/>
    <cellStyle name="Vírgula 3 4 4 2 2 2 3" xfId="37348" xr:uid="{277E8F73-464C-4A42-8F33-E4D2E4A384D2}"/>
    <cellStyle name="Vírgula 3 4 4 2 2 3" xfId="18169" xr:uid="{99B765AF-32C4-4725-AB70-988974CD99A5}"/>
    <cellStyle name="Vírgula 3 4 4 2 2 3 2" xfId="43661" xr:uid="{E6C5AF47-02FF-4C9E-AA22-19B9BAAC1584}"/>
    <cellStyle name="Vírgula 3 4 4 2 2 4" xfId="31070" xr:uid="{D7318425-D26A-480A-8F4B-94E6942B653A}"/>
    <cellStyle name="Vírgula 3 4 4 2 3" xfId="8626" xr:uid="{1B4BED78-1636-45AF-942D-9BCE0687B962}"/>
    <cellStyle name="Vírgula 3 4 4 2 3 2" xfId="21308" xr:uid="{FB625426-50CD-4830-9250-22058224B70D}"/>
    <cellStyle name="Vírgula 3 4 4 2 3 2 2" xfId="46800" xr:uid="{4297DBF9-0549-4A27-875D-8FED7C7FEB2D}"/>
    <cellStyle name="Vírgula 3 4 4 2 3 3" xfId="34209" xr:uid="{707D2767-4BB1-48CE-881B-11CA520075A8}"/>
    <cellStyle name="Vírgula 3 4 4 2 4" xfId="15030" xr:uid="{47BA7698-E6F6-4B63-B903-35D1A03BC658}"/>
    <cellStyle name="Vírgula 3 4 4 2 4 2" xfId="40522" xr:uid="{FEC6D1F0-DDDB-431E-B6B5-7450FE448E58}"/>
    <cellStyle name="Vírgula 3 4 4 2 5" xfId="27931" xr:uid="{356104B5-944A-414D-9B48-1C9DCC99E68B}"/>
    <cellStyle name="Vírgula 3 4 4 3" xfId="1535" xr:uid="{3F0B011D-453E-4F10-81A3-1B2995FFE5FB}"/>
    <cellStyle name="Vírgula 3 4 4 3 2" xfId="4689" xr:uid="{E09FAB2F-3962-4BC9-A632-15C03D2F7787}"/>
    <cellStyle name="Vírgula 3 4 4 3 2 2" xfId="10982" xr:uid="{85F46DF7-1D6C-43A0-BA99-AF9CD4899E02}"/>
    <cellStyle name="Vírgula 3 4 4 3 2 2 2" xfId="23664" xr:uid="{03A4AD76-D45D-434B-B883-1B770C47A3BC}"/>
    <cellStyle name="Vírgula 3 4 4 3 2 2 2 2" xfId="49156" xr:uid="{9634E56A-2493-48FB-9DC5-D5F0C6796F79}"/>
    <cellStyle name="Vírgula 3 4 4 3 2 2 3" xfId="36565" xr:uid="{AB6616E8-C7A1-44B2-BAB2-9E7EF1C2FFD6}"/>
    <cellStyle name="Vírgula 3 4 4 3 2 3" xfId="17386" xr:uid="{5C8B157E-1A59-42F9-ABD5-345F2EFC141F}"/>
    <cellStyle name="Vírgula 3 4 4 3 2 3 2" xfId="42878" xr:uid="{EA4ED174-9B1E-4FAB-8B6B-2C71B9465B84}"/>
    <cellStyle name="Vírgula 3 4 4 3 2 4" xfId="30287" xr:uid="{158C93DC-F12C-4A15-8F78-5C9D0CD2EFA8}"/>
    <cellStyle name="Vírgula 3 4 4 3 3" xfId="7843" xr:uid="{BE146E97-2BE9-4A60-BAF4-5486655D76FA}"/>
    <cellStyle name="Vírgula 3 4 4 3 3 2" xfId="20525" xr:uid="{C95D64E8-F9B2-4883-95F9-9C476C2D4F59}"/>
    <cellStyle name="Vírgula 3 4 4 3 3 2 2" xfId="46017" xr:uid="{764D2719-9FAE-47CC-924E-44159CEB76E9}"/>
    <cellStyle name="Vírgula 3 4 4 3 3 3" xfId="33426" xr:uid="{4729A420-3C95-4E83-8A2D-E1C98D31FA9D}"/>
    <cellStyle name="Vírgula 3 4 4 3 4" xfId="14247" xr:uid="{91336A84-C813-4101-B0F1-C7DAB617F84A}"/>
    <cellStyle name="Vírgula 3 4 4 3 4 2" xfId="39739" xr:uid="{43ABC326-3886-4F44-92FD-CA183A5DF70F}"/>
    <cellStyle name="Vírgula 3 4 4 3 5" xfId="27148" xr:uid="{0A0C9205-57A5-4A73-AE0F-E379477A6B09}"/>
    <cellStyle name="Vírgula 3 4 4 4" xfId="2842" xr:uid="{1B51E528-3688-4748-8680-BF9387597728}"/>
    <cellStyle name="Vírgula 3 4 4 4 2" xfId="5996" xr:uid="{A2A7DB1C-66E1-49B9-8287-36DA24C911BE}"/>
    <cellStyle name="Vírgula 3 4 4 4 2 2" xfId="12289" xr:uid="{0DB4E85B-8B2F-40BB-BBF5-D89E8FD5763E}"/>
    <cellStyle name="Vírgula 3 4 4 4 2 2 2" xfId="24971" xr:uid="{9E7644F7-0654-43D9-ADA3-C5E7A2A14625}"/>
    <cellStyle name="Vírgula 3 4 4 4 2 2 2 2" xfId="50463" xr:uid="{CCD3909D-2F71-497D-82DB-50DCC674390A}"/>
    <cellStyle name="Vírgula 3 4 4 4 2 2 3" xfId="37872" xr:uid="{E80AA851-F466-4BC8-BC7B-AFF13018E20E}"/>
    <cellStyle name="Vírgula 3 4 4 4 2 3" xfId="18693" xr:uid="{B5E0C3FB-93A4-4E88-9010-CDD62B0806F2}"/>
    <cellStyle name="Vírgula 3 4 4 4 2 3 2" xfId="44185" xr:uid="{77A3BDDF-182B-4EC8-8AE8-5F26B3849ED3}"/>
    <cellStyle name="Vírgula 3 4 4 4 2 4" xfId="31594" xr:uid="{4A5D727C-82C2-40F7-8AE9-879529BFCC24}"/>
    <cellStyle name="Vírgula 3 4 4 4 3" xfId="9150" xr:uid="{2385B634-73A4-471C-B433-B9C14801C328}"/>
    <cellStyle name="Vírgula 3 4 4 4 3 2" xfId="21832" xr:uid="{29BCC7D7-97FB-4E2C-820A-FFE70F61F069}"/>
    <cellStyle name="Vírgula 3 4 4 4 3 2 2" xfId="47324" xr:uid="{397986D2-862A-4CBB-A117-8C237C92DAA2}"/>
    <cellStyle name="Vírgula 3 4 4 4 3 3" xfId="34733" xr:uid="{903C92E8-C59D-4D78-9B9B-D6001EF9002D}"/>
    <cellStyle name="Vírgula 3 4 4 4 4" xfId="15554" xr:uid="{1D815C6D-D362-4BAC-BB6E-BC0D6F6B26DE}"/>
    <cellStyle name="Vírgula 3 4 4 4 4 2" xfId="41046" xr:uid="{8A048BA3-1040-4C26-BD43-7F609E9DA369}"/>
    <cellStyle name="Vírgula 3 4 4 4 5" xfId="28455" xr:uid="{698A55F0-742C-40B1-A5BC-D55C631CD3C6}"/>
    <cellStyle name="Vírgula 3 4 4 5" xfId="3365" xr:uid="{27B8006E-8529-4189-AAAA-06383B0B0A6E}"/>
    <cellStyle name="Vírgula 3 4 4 5 2" xfId="6519" xr:uid="{B74E88BF-E0E6-4523-86EC-D91FBCA10E01}"/>
    <cellStyle name="Vírgula 3 4 4 5 2 2" xfId="12812" xr:uid="{310AF3F0-206F-4A1D-857C-1E56DBBEA568}"/>
    <cellStyle name="Vírgula 3 4 4 5 2 2 2" xfId="25494" xr:uid="{286D5081-455D-408C-85E5-C02F7627E89D}"/>
    <cellStyle name="Vírgula 3 4 4 5 2 2 2 2" xfId="50986" xr:uid="{14F70638-4131-4277-A741-1BFFB4EBC67E}"/>
    <cellStyle name="Vírgula 3 4 4 5 2 2 3" xfId="38395" xr:uid="{300FA57F-B35B-4687-9998-A11A3576C2BD}"/>
    <cellStyle name="Vírgula 3 4 4 5 2 3" xfId="19216" xr:uid="{CF7C081C-FD81-4229-9CC7-264BE3C5D8FF}"/>
    <cellStyle name="Vírgula 3 4 4 5 2 3 2" xfId="44708" xr:uid="{CC6D7E72-B738-4D01-A023-9E818186A7B3}"/>
    <cellStyle name="Vírgula 3 4 4 5 2 4" xfId="32117" xr:uid="{ADCCE000-5805-41ED-96FC-0A26F3C3FD19}"/>
    <cellStyle name="Vírgula 3 4 4 5 3" xfId="9673" xr:uid="{C17D0A47-1B5B-4DAA-BE0A-8DEA858E4255}"/>
    <cellStyle name="Vírgula 3 4 4 5 3 2" xfId="22355" xr:uid="{3027B6D0-5E20-44B1-8817-F4B05E2E1177}"/>
    <cellStyle name="Vírgula 3 4 4 5 3 2 2" xfId="47847" xr:uid="{715890FA-217B-453D-B206-5EBFDB33C23F}"/>
    <cellStyle name="Vírgula 3 4 4 5 3 3" xfId="35256" xr:uid="{8FE91743-0A0C-44E7-BBFA-3A8BB895D156}"/>
    <cellStyle name="Vírgula 3 4 4 5 4" xfId="16077" xr:uid="{122A2817-B0E7-4C32-93C6-9E7D55BC6A0F}"/>
    <cellStyle name="Vírgula 3 4 4 5 4 2" xfId="41569" xr:uid="{D2E9430E-DF87-4DF5-8000-C19BB7B8A4DB}"/>
    <cellStyle name="Vírgula 3 4 4 5 5" xfId="28978" xr:uid="{6C1AE893-4631-42BC-B3F0-F24436E57E6E}"/>
    <cellStyle name="Vírgula 3 4 4 6" xfId="4165" xr:uid="{7B1B6E24-19DD-49E2-8950-237461B2F95E}"/>
    <cellStyle name="Vírgula 3 4 4 6 2" xfId="10458" xr:uid="{CAEBCBE0-F26F-4D44-AD3F-E974E586951F}"/>
    <cellStyle name="Vírgula 3 4 4 6 2 2" xfId="23140" xr:uid="{5418083E-82F2-4531-BD3F-62B40CED9BD4}"/>
    <cellStyle name="Vírgula 3 4 4 6 2 2 2" xfId="48632" xr:uid="{2416CC86-2A62-42A1-8E60-844DB546971F}"/>
    <cellStyle name="Vírgula 3 4 4 6 2 3" xfId="36041" xr:uid="{393B1662-6376-451A-B1FB-5C8BD581B2F0}"/>
    <cellStyle name="Vírgula 3 4 4 6 3" xfId="16862" xr:uid="{DB190D58-9CFE-42B0-92B9-7B97157A8152}"/>
    <cellStyle name="Vírgula 3 4 4 6 3 2" xfId="42354" xr:uid="{D7274602-2AA9-4226-8C47-3EFEB021F596}"/>
    <cellStyle name="Vírgula 3 4 4 6 4" xfId="29763" xr:uid="{DE6D38E8-F5CF-418C-ACEE-E5901644B670}"/>
    <cellStyle name="Vírgula 3 4 4 7" xfId="7319" xr:uid="{D1A1B1A1-ED6C-4388-8770-0590BB9F5728}"/>
    <cellStyle name="Vírgula 3 4 4 7 2" xfId="20001" xr:uid="{5A5C55C8-425A-441A-8DA9-5AA2914B8D9F}"/>
    <cellStyle name="Vírgula 3 4 4 7 2 2" xfId="45493" xr:uid="{D1DB22CA-068A-4AA2-8AD0-D8D29B721966}"/>
    <cellStyle name="Vírgula 3 4 4 7 3" xfId="32902" xr:uid="{6EB97A0F-0794-4240-A4E4-4B363201BA10}"/>
    <cellStyle name="Vírgula 3 4 4 8" xfId="13723" xr:uid="{E3F99FA4-35B1-455D-98CC-4B0D2228ACDB}"/>
    <cellStyle name="Vírgula 3 4 4 8 2" xfId="39215" xr:uid="{76E19F70-DB4A-430C-A777-7C0BFACD0BD3}"/>
    <cellStyle name="Vírgula 3 4 4 9" xfId="26624" xr:uid="{1FBC4710-AFDD-467F-9F6B-D53DE4D394A4}"/>
    <cellStyle name="Vírgula 3 4 5" xfId="751" xr:uid="{5C064E98-5A2E-4177-A171-81DB7C2321DF}"/>
    <cellStyle name="Vírgula 3 4 5 2" xfId="2058" xr:uid="{D501BA38-81B3-4AED-A547-DE2F2862A6AD}"/>
    <cellStyle name="Vírgula 3 4 5 2 2" xfId="5212" xr:uid="{2DB44318-AE5F-49A8-B0EA-3CA11262D574}"/>
    <cellStyle name="Vírgula 3 4 5 2 2 2" xfId="11505" xr:uid="{1B7A8228-27EF-4C0D-A551-8C05E0E94953}"/>
    <cellStyle name="Vírgula 3 4 5 2 2 2 2" xfId="24187" xr:uid="{92F90243-36E9-4DE3-BBB9-F512BF20C78F}"/>
    <cellStyle name="Vírgula 3 4 5 2 2 2 2 2" xfId="49679" xr:uid="{1510C64E-2A4E-40F6-96ED-3E0F0469ED68}"/>
    <cellStyle name="Vírgula 3 4 5 2 2 2 3" xfId="37088" xr:uid="{EE435B9E-C075-4C97-B865-BDBBF99208A0}"/>
    <cellStyle name="Vírgula 3 4 5 2 2 3" xfId="17909" xr:uid="{40B89366-A20B-4555-A313-4A54E57FB581}"/>
    <cellStyle name="Vírgula 3 4 5 2 2 3 2" xfId="43401" xr:uid="{F0B85ADA-23F7-4657-A413-F7DE9A65C7C2}"/>
    <cellStyle name="Vírgula 3 4 5 2 2 4" xfId="30810" xr:uid="{6CD8E719-9275-417E-9DED-A6E18E71C321}"/>
    <cellStyle name="Vírgula 3 4 5 2 3" xfId="8366" xr:uid="{8ADCBC51-E966-4CF1-94DA-FE17219D6DDB}"/>
    <cellStyle name="Vírgula 3 4 5 2 3 2" xfId="21048" xr:uid="{245BD5C8-7CCC-4D03-83E2-47F514B6C141}"/>
    <cellStyle name="Vírgula 3 4 5 2 3 2 2" xfId="46540" xr:uid="{A87D7665-82E8-4BA9-B75F-E815FD7A85A2}"/>
    <cellStyle name="Vírgula 3 4 5 2 3 3" xfId="33949" xr:uid="{8A4E2CB8-A130-4B42-9785-1BABAEBBA332}"/>
    <cellStyle name="Vírgula 3 4 5 2 4" xfId="14770" xr:uid="{0DAD0B6D-6263-4D5F-8B2C-C336EC3183FE}"/>
    <cellStyle name="Vírgula 3 4 5 2 4 2" xfId="40262" xr:uid="{8FC4F997-F0E2-47FA-9053-27B47A8586EC}"/>
    <cellStyle name="Vírgula 3 4 5 2 5" xfId="27671" xr:uid="{4B3CD7A1-BCF1-41E2-83A3-5D50D6533F9E}"/>
    <cellStyle name="Vírgula 3 4 5 3" xfId="3905" xr:uid="{70BF301C-50FE-418B-A2E9-74A66E1FC4AF}"/>
    <cellStyle name="Vírgula 3 4 5 3 2" xfId="10198" xr:uid="{858F239A-F953-4065-8BDD-310E30C9B770}"/>
    <cellStyle name="Vírgula 3 4 5 3 2 2" xfId="22880" xr:uid="{44DCF8F9-7277-45B1-85DE-6AAD2DDA651C}"/>
    <cellStyle name="Vírgula 3 4 5 3 2 2 2" xfId="48372" xr:uid="{135B6F96-A3A6-4023-B1C9-8E35F8A5714F}"/>
    <cellStyle name="Vírgula 3 4 5 3 2 3" xfId="35781" xr:uid="{75416E79-62A7-4CFC-BD36-03E844B7DDBA}"/>
    <cellStyle name="Vírgula 3 4 5 3 3" xfId="16602" xr:uid="{4FD1B831-F80C-461A-A145-A2348EEADEF9}"/>
    <cellStyle name="Vírgula 3 4 5 3 3 2" xfId="42094" xr:uid="{4EF5D706-0127-460C-894E-6DD557DDB79E}"/>
    <cellStyle name="Vírgula 3 4 5 3 4" xfId="29503" xr:uid="{59C7F636-2CA2-4EF9-B69F-88D51E6B3447}"/>
    <cellStyle name="Vírgula 3 4 5 4" xfId="7059" xr:uid="{9E18C45A-4E60-4DED-A01B-012A2460900B}"/>
    <cellStyle name="Vírgula 3 4 5 4 2" xfId="19741" xr:uid="{0902A483-D508-4C66-B8EE-9AC6A9DF05DB}"/>
    <cellStyle name="Vírgula 3 4 5 4 2 2" xfId="45233" xr:uid="{C926E9C6-7C01-4C33-A06D-424C349ED819}"/>
    <cellStyle name="Vírgula 3 4 5 4 3" xfId="32642" xr:uid="{D5206545-C66B-4DD6-A31E-10223B9FC1F9}"/>
    <cellStyle name="Vírgula 3 4 5 5" xfId="13463" xr:uid="{50AF42F2-CF5E-410D-8ADD-A742B00513AD}"/>
    <cellStyle name="Vírgula 3 4 5 5 2" xfId="38955" xr:uid="{4BE68924-2F57-45DD-9062-7AE8CDBC2FC1}"/>
    <cellStyle name="Vírgula 3 4 5 6" xfId="26364" xr:uid="{8C26DE52-9FF7-44D1-857B-508049187C5D}"/>
    <cellStyle name="Vírgula 3 4 6" xfId="1796" xr:uid="{F7917B81-7915-4754-96A2-FDE8887BB318}"/>
    <cellStyle name="Vírgula 3 4 6 2" xfId="4950" xr:uid="{90C368E4-40B7-4E5C-9DBA-43EE8557D773}"/>
    <cellStyle name="Vírgula 3 4 6 2 2" xfId="11243" xr:uid="{37ECC79C-0516-4AB2-8F34-F9F5574932A4}"/>
    <cellStyle name="Vírgula 3 4 6 2 2 2" xfId="23925" xr:uid="{B1FF6316-4824-426C-AA9B-3778D2AE8208}"/>
    <cellStyle name="Vírgula 3 4 6 2 2 2 2" xfId="49417" xr:uid="{FE19FC23-1817-4414-9F51-071DD45B4623}"/>
    <cellStyle name="Vírgula 3 4 6 2 2 3" xfId="36826" xr:uid="{D4666801-17D7-4230-8143-386DED0B292C}"/>
    <cellStyle name="Vírgula 3 4 6 2 3" xfId="17647" xr:uid="{D831B0D9-C7CB-4114-8CE4-C03B4EEC5E27}"/>
    <cellStyle name="Vírgula 3 4 6 2 3 2" xfId="43139" xr:uid="{2114C964-80CB-4C9B-AD66-95AF36005366}"/>
    <cellStyle name="Vírgula 3 4 6 2 4" xfId="30548" xr:uid="{A588DD86-041D-40D1-89C3-3D8D786DDC79}"/>
    <cellStyle name="Vírgula 3 4 6 3" xfId="8104" xr:uid="{C6F872C6-0DB6-4B77-AFAA-01BFEE31D1B6}"/>
    <cellStyle name="Vírgula 3 4 6 3 2" xfId="20786" xr:uid="{B53A10BB-2679-44C9-BACD-DD7D7E9C5DA7}"/>
    <cellStyle name="Vírgula 3 4 6 3 2 2" xfId="46278" xr:uid="{C145DE17-673A-4C60-B43B-B7A3E09955C4}"/>
    <cellStyle name="Vírgula 3 4 6 3 3" xfId="33687" xr:uid="{E4127140-C4EF-45FA-8CFE-38CA8032393D}"/>
    <cellStyle name="Vírgula 3 4 6 4" xfId="14508" xr:uid="{596301E6-2F72-492A-A439-BBB51B01CF59}"/>
    <cellStyle name="Vírgula 3 4 6 4 2" xfId="40000" xr:uid="{D9AC63BB-70D7-403A-933F-2ACAEE535A34}"/>
    <cellStyle name="Vírgula 3 4 6 5" xfId="27409" xr:uid="{4F1A5CB5-64FE-4305-B0AE-1935440AD061}"/>
    <cellStyle name="Vírgula 3 4 7" xfId="1274" xr:uid="{DE02B70E-8525-493F-9930-EC266AACE600}"/>
    <cellStyle name="Vírgula 3 4 7 2" xfId="4428" xr:uid="{6119C9AF-B410-4EF4-9A85-4C6B8C674012}"/>
    <cellStyle name="Vírgula 3 4 7 2 2" xfId="10721" xr:uid="{26D95E01-801C-403C-B34F-A0E815471F2F}"/>
    <cellStyle name="Vírgula 3 4 7 2 2 2" xfId="23403" xr:uid="{649EA6DA-5CD1-43FE-8F59-91EBC0EC141A}"/>
    <cellStyle name="Vírgula 3 4 7 2 2 2 2" xfId="48895" xr:uid="{73029E8B-E225-412D-BEA2-3FA60F7F7ACA}"/>
    <cellStyle name="Vírgula 3 4 7 2 2 3" xfId="36304" xr:uid="{F4C47E27-7A10-4DE1-BD23-370BEA55A7FD}"/>
    <cellStyle name="Vírgula 3 4 7 2 3" xfId="17125" xr:uid="{040D2459-0BA8-4F56-B853-44FB9943A424}"/>
    <cellStyle name="Vírgula 3 4 7 2 3 2" xfId="42617" xr:uid="{6A26DD55-A193-49DE-BCA4-F515F5D72225}"/>
    <cellStyle name="Vírgula 3 4 7 2 4" xfId="30026" xr:uid="{A5DB9AE4-796C-4031-84C6-AE6A02CE5E5D}"/>
    <cellStyle name="Vírgula 3 4 7 3" xfId="7582" xr:uid="{66E93001-2EA9-4EE4-B8ED-7D79EFE04D6C}"/>
    <cellStyle name="Vírgula 3 4 7 3 2" xfId="20264" xr:uid="{06A8B1AD-4132-42D8-BEC9-69E80927AE3A}"/>
    <cellStyle name="Vírgula 3 4 7 3 2 2" xfId="45756" xr:uid="{972C469A-6A4B-4BF1-B05D-9616CD5A402C}"/>
    <cellStyle name="Vírgula 3 4 7 3 3" xfId="33165" xr:uid="{DB5AFA83-A638-4EB6-9BF6-C5700E882066}"/>
    <cellStyle name="Vírgula 3 4 7 4" xfId="13986" xr:uid="{8C93307E-7569-4BA3-AE6F-05504CF082EA}"/>
    <cellStyle name="Vírgula 3 4 7 4 2" xfId="39478" xr:uid="{5BAE40B2-D580-47F2-8A3B-E622087CF886}"/>
    <cellStyle name="Vírgula 3 4 7 5" xfId="26887" xr:uid="{2C52344B-9629-479C-80CF-24B09C217D09}"/>
    <cellStyle name="Vírgula 3 4 8" xfId="2581" xr:uid="{10F67006-DE94-4263-AF4F-8CC4C60E48B1}"/>
    <cellStyle name="Vírgula 3 4 8 2" xfId="5735" xr:uid="{01E5C0FC-4E9A-44BB-8FDA-38D2DADECF8E}"/>
    <cellStyle name="Vírgula 3 4 8 2 2" xfId="12028" xr:uid="{3620948B-26B8-4B1A-80A2-5425D0BC2D7E}"/>
    <cellStyle name="Vírgula 3 4 8 2 2 2" xfId="24710" xr:uid="{EE780988-D3B1-4ADE-90CB-FC6EDF95C56B}"/>
    <cellStyle name="Vírgula 3 4 8 2 2 2 2" xfId="50202" xr:uid="{7DC3C8F7-FAB9-46DD-B1E7-495A5980F2DE}"/>
    <cellStyle name="Vírgula 3 4 8 2 2 3" xfId="37611" xr:uid="{2DDF68EE-27ED-4806-90D9-474C01D91689}"/>
    <cellStyle name="Vírgula 3 4 8 2 3" xfId="18432" xr:uid="{E0FD1ACA-2D0B-4BDB-8CAA-B9F09DA836D7}"/>
    <cellStyle name="Vírgula 3 4 8 2 3 2" xfId="43924" xr:uid="{0D09AC17-DE22-4EEE-8882-243F64CE55FE}"/>
    <cellStyle name="Vírgula 3 4 8 2 4" xfId="31333" xr:uid="{F194271D-35F4-4BB3-AC49-4A0FC3C7A3FB}"/>
    <cellStyle name="Vírgula 3 4 8 3" xfId="8889" xr:uid="{9CD062CA-03F8-454F-9607-B51B483B73C4}"/>
    <cellStyle name="Vírgula 3 4 8 3 2" xfId="21571" xr:uid="{F2348DBE-FB08-4393-BE72-76FF17FE9864}"/>
    <cellStyle name="Vírgula 3 4 8 3 2 2" xfId="47063" xr:uid="{7FC26ED1-A63C-4567-ABEE-2052520CF0D0}"/>
    <cellStyle name="Vírgula 3 4 8 3 3" xfId="34472" xr:uid="{5A1B4E3F-668D-42D6-BDBA-C686C7D1E31F}"/>
    <cellStyle name="Vírgula 3 4 8 4" xfId="15293" xr:uid="{1BCE7C05-EE92-42CD-AEC6-6F62B5281C61}"/>
    <cellStyle name="Vírgula 3 4 8 4 2" xfId="40785" xr:uid="{6150AB34-64B8-4439-BEC8-A27B98958F25}"/>
    <cellStyle name="Vírgula 3 4 8 5" xfId="28194" xr:uid="{47E07C5C-219B-4342-950E-073707DE5EE8}"/>
    <cellStyle name="Vírgula 3 4 9" xfId="3104" xr:uid="{87515362-5868-4E48-BC18-38899309DF71}"/>
    <cellStyle name="Vírgula 3 4 9 2" xfId="6258" xr:uid="{6AFECCA7-C45E-44FD-BEC7-9DBD40974680}"/>
    <cellStyle name="Vírgula 3 4 9 2 2" xfId="12551" xr:uid="{A9F9CCF2-951F-4BBD-BB9C-42BE3088C954}"/>
    <cellStyle name="Vírgula 3 4 9 2 2 2" xfId="25233" xr:uid="{45A16E1E-CF0A-4A2F-AC83-62DA044C5B02}"/>
    <cellStyle name="Vírgula 3 4 9 2 2 2 2" xfId="50725" xr:uid="{FD067DB2-1365-42C1-80C2-F7C438025A0F}"/>
    <cellStyle name="Vírgula 3 4 9 2 2 3" xfId="38134" xr:uid="{7A259793-A069-4EB9-8A5A-D86E5AA5E4C5}"/>
    <cellStyle name="Vírgula 3 4 9 2 3" xfId="18955" xr:uid="{96FA7436-4996-4096-A69F-C34FFB1ECF4F}"/>
    <cellStyle name="Vírgula 3 4 9 2 3 2" xfId="44447" xr:uid="{7B1EAF81-1E27-4F65-9E7D-90E2D8A7BE82}"/>
    <cellStyle name="Vírgula 3 4 9 2 4" xfId="31856" xr:uid="{48EFE31C-D509-4AC5-899A-0E08651FB584}"/>
    <cellStyle name="Vírgula 3 4 9 3" xfId="9412" xr:uid="{EA251A23-E5F7-4C3F-BA9B-925FCF2FF9CF}"/>
    <cellStyle name="Vírgula 3 4 9 3 2" xfId="22094" xr:uid="{DB97EC04-A685-4AC7-A77D-774B0D824390}"/>
    <cellStyle name="Vírgula 3 4 9 3 2 2" xfId="47586" xr:uid="{0C4A4C23-DEE6-4375-A3E4-A9CA6E477D02}"/>
    <cellStyle name="Vírgula 3 4 9 3 3" xfId="34995" xr:uid="{220C92E1-65E8-4DE6-8899-D182DDBE3836}"/>
    <cellStyle name="Vírgula 3 4 9 4" xfId="15816" xr:uid="{2EBC3FB4-07E8-49FA-9EF8-09256F46E63E}"/>
    <cellStyle name="Vírgula 3 4 9 4 2" xfId="41308" xr:uid="{A20CC24B-3673-4AC0-A775-DE5123419205}"/>
    <cellStyle name="Vírgula 3 4 9 5" xfId="28717" xr:uid="{C8C5AEE4-D2C5-488F-9262-9F94BF42988E}"/>
    <cellStyle name="Vírgula 3 5" xfId="455" xr:uid="{15015461-9858-442B-AE0E-0DE842DE29E9}"/>
    <cellStyle name="Vírgula 3 5 10" xfId="6778" xr:uid="{BE80EAAB-1945-401B-B292-6B16587A4EB9}"/>
    <cellStyle name="Vírgula 3 5 10 2" xfId="19460" xr:uid="{5C4D7092-F75C-44F7-AFBC-F652F4430B9A}"/>
    <cellStyle name="Vírgula 3 5 10 2 2" xfId="44952" xr:uid="{1A00402F-D2C6-4BDF-AE6A-00CC035249B7}"/>
    <cellStyle name="Vírgula 3 5 10 3" xfId="32361" xr:uid="{4E762137-DB06-4078-A5B9-2B7B29FCF212}"/>
    <cellStyle name="Vírgula 3 5 11" xfId="13182" xr:uid="{E80084B5-695D-4B6B-BEA3-A8C908CF37CD}"/>
    <cellStyle name="Vírgula 3 5 11 2" xfId="38674" xr:uid="{4AE027A1-DCBE-41AA-AD4A-541FDEF46933}"/>
    <cellStyle name="Vírgula 3 5 12" xfId="26083" xr:uid="{8B1E5B8A-4D05-4701-87F8-8E1463517939}"/>
    <cellStyle name="Vírgula 3 5 2" xfId="614" xr:uid="{26B62ECB-B5E3-4670-AF04-8F7997CFC86F}"/>
    <cellStyle name="Vírgula 3 5 2 10" xfId="13341" xr:uid="{8A598292-28B0-4B7A-8988-2A877497AEB4}"/>
    <cellStyle name="Vírgula 3 5 2 10 2" xfId="38833" xr:uid="{A1A4C718-F498-4BC0-A431-943149C64762}"/>
    <cellStyle name="Vírgula 3 5 2 11" xfId="26242" xr:uid="{2C779FE3-A3AE-4164-9509-A4BB2D908282}"/>
    <cellStyle name="Vírgula 3 5 2 2" xfId="1151" xr:uid="{FDE8FE64-E399-49D7-AB36-1E65B83A9DC6}"/>
    <cellStyle name="Vírgula 3 5 2 2 2" xfId="2458" xr:uid="{746FE11C-EDA6-48BE-AAB7-925F2CB13EE0}"/>
    <cellStyle name="Vírgula 3 5 2 2 2 2" xfId="5612" xr:uid="{BF211E9D-98B1-41E5-AF77-0CBC5CB80758}"/>
    <cellStyle name="Vírgula 3 5 2 2 2 2 2" xfId="11905" xr:uid="{9AE436F5-06D8-45B2-AD6B-77F2CBCDB706}"/>
    <cellStyle name="Vírgula 3 5 2 2 2 2 2 2" xfId="24587" xr:uid="{9014C31E-0ED0-4133-A90B-815D13112798}"/>
    <cellStyle name="Vírgula 3 5 2 2 2 2 2 2 2" xfId="50079" xr:uid="{FF845815-43B5-4194-B46F-009EB1BDB506}"/>
    <cellStyle name="Vírgula 3 5 2 2 2 2 2 3" xfId="37488" xr:uid="{CBD32914-FE00-4D8E-82EE-A8D68623DA2C}"/>
    <cellStyle name="Vírgula 3 5 2 2 2 2 3" xfId="18309" xr:uid="{A9A1B4AC-60EE-4F11-A8B9-872538BA339F}"/>
    <cellStyle name="Vírgula 3 5 2 2 2 2 3 2" xfId="43801" xr:uid="{C3BE960D-7058-4637-A822-28D4E8D44C35}"/>
    <cellStyle name="Vírgula 3 5 2 2 2 2 4" xfId="31210" xr:uid="{17807DBD-630D-4D8B-8916-F780D49B0126}"/>
    <cellStyle name="Vírgula 3 5 2 2 2 3" xfId="8766" xr:uid="{9198B4EA-8E2E-4CFC-AEC4-0574C960EFF5}"/>
    <cellStyle name="Vírgula 3 5 2 2 2 3 2" xfId="21448" xr:uid="{7B9EC2BF-5DC8-4718-BBC2-47B9F7E84429}"/>
    <cellStyle name="Vírgula 3 5 2 2 2 3 2 2" xfId="46940" xr:uid="{A49A0034-B430-41D6-B4A5-94BA9E788165}"/>
    <cellStyle name="Vírgula 3 5 2 2 2 3 3" xfId="34349" xr:uid="{7AF72805-5C07-4719-80A2-30EAA38DA886}"/>
    <cellStyle name="Vírgula 3 5 2 2 2 4" xfId="15170" xr:uid="{0C21705C-78D3-42D5-9AAD-3B6C99348381}"/>
    <cellStyle name="Vírgula 3 5 2 2 2 4 2" xfId="40662" xr:uid="{E72AEA3B-449B-4C96-981F-8DCDAA5C2C7E}"/>
    <cellStyle name="Vírgula 3 5 2 2 2 5" xfId="28071" xr:uid="{A1816A3A-47D1-4466-AA34-3CE09069E085}"/>
    <cellStyle name="Vírgula 3 5 2 2 3" xfId="1675" xr:uid="{8ACE16D2-8CD1-4605-A484-F1BADBF7F058}"/>
    <cellStyle name="Vírgula 3 5 2 2 3 2" xfId="4829" xr:uid="{EC7704C1-B907-45B6-87DC-1AC9BA1065A8}"/>
    <cellStyle name="Vírgula 3 5 2 2 3 2 2" xfId="11122" xr:uid="{1D2167EA-6606-4F9F-A678-32105397A163}"/>
    <cellStyle name="Vírgula 3 5 2 2 3 2 2 2" xfId="23804" xr:uid="{D7F8499B-2DD9-4B9C-8F26-672D5A89B99A}"/>
    <cellStyle name="Vírgula 3 5 2 2 3 2 2 2 2" xfId="49296" xr:uid="{1493181A-A18A-4F38-A063-0849A5335D40}"/>
    <cellStyle name="Vírgula 3 5 2 2 3 2 2 3" xfId="36705" xr:uid="{CD5178DF-FF8F-4F4A-9B73-E86E571FB81B}"/>
    <cellStyle name="Vírgula 3 5 2 2 3 2 3" xfId="17526" xr:uid="{CA6B35B2-4429-4FA3-B45F-4DFE72306BB8}"/>
    <cellStyle name="Vírgula 3 5 2 2 3 2 3 2" xfId="43018" xr:uid="{232A0B58-2822-41D0-BAE6-011664486A3C}"/>
    <cellStyle name="Vírgula 3 5 2 2 3 2 4" xfId="30427" xr:uid="{CF52D5A1-BF11-4870-906E-42D150B4D824}"/>
    <cellStyle name="Vírgula 3 5 2 2 3 3" xfId="7983" xr:uid="{F2B9311F-1DA8-44F5-93E4-7D66DE51A102}"/>
    <cellStyle name="Vírgula 3 5 2 2 3 3 2" xfId="20665" xr:uid="{2EE2B166-C2E6-4614-8EAE-60AFD5D30FC7}"/>
    <cellStyle name="Vírgula 3 5 2 2 3 3 2 2" xfId="46157" xr:uid="{74507F88-BC29-4FE6-A424-74872E6166F7}"/>
    <cellStyle name="Vírgula 3 5 2 2 3 3 3" xfId="33566" xr:uid="{893C8900-7FF8-4151-8071-006670B75528}"/>
    <cellStyle name="Vírgula 3 5 2 2 3 4" xfId="14387" xr:uid="{346DF3E7-1F66-462B-AACF-0F7CE10A1553}"/>
    <cellStyle name="Vírgula 3 5 2 2 3 4 2" xfId="39879" xr:uid="{F19B6A6F-3A7C-483F-922B-FFC10BF0E953}"/>
    <cellStyle name="Vírgula 3 5 2 2 3 5" xfId="27288" xr:uid="{6AE6B4D6-9D34-460B-B7B0-4FB0D3FCB888}"/>
    <cellStyle name="Vírgula 3 5 2 2 4" xfId="2982" xr:uid="{9671452A-6280-44CD-A67D-B14263962D58}"/>
    <cellStyle name="Vírgula 3 5 2 2 4 2" xfId="6136" xr:uid="{3DEBEC01-FDE8-4EA2-BD72-1480836F421C}"/>
    <cellStyle name="Vírgula 3 5 2 2 4 2 2" xfId="12429" xr:uid="{52600033-1DD8-4454-A1C0-800EDCE7C52C}"/>
    <cellStyle name="Vírgula 3 5 2 2 4 2 2 2" xfId="25111" xr:uid="{F26EA2BB-A12B-4EDA-A930-3A4BEAA56FD1}"/>
    <cellStyle name="Vírgula 3 5 2 2 4 2 2 2 2" xfId="50603" xr:uid="{CB0950D8-C5D0-4306-B9EB-B077CCCC51F4}"/>
    <cellStyle name="Vírgula 3 5 2 2 4 2 2 3" xfId="38012" xr:uid="{D7A12B76-0AC6-4328-8D93-E9FAB93D010D}"/>
    <cellStyle name="Vírgula 3 5 2 2 4 2 3" xfId="18833" xr:uid="{3E5C5282-3BA5-4570-9689-0AF33FB92591}"/>
    <cellStyle name="Vírgula 3 5 2 2 4 2 3 2" xfId="44325" xr:uid="{15BF5A7B-6598-4635-8A19-F1CEE4F7CFDD}"/>
    <cellStyle name="Vírgula 3 5 2 2 4 2 4" xfId="31734" xr:uid="{9A6C898C-FAC5-4E50-9114-68613015CC2B}"/>
    <cellStyle name="Vírgula 3 5 2 2 4 3" xfId="9290" xr:uid="{9D74809D-BBBC-453C-937C-9D270433E631}"/>
    <cellStyle name="Vírgula 3 5 2 2 4 3 2" xfId="21972" xr:uid="{70BBFC65-EF74-451F-8299-0C227B71DDE6}"/>
    <cellStyle name="Vírgula 3 5 2 2 4 3 2 2" xfId="47464" xr:uid="{66EDEA75-2460-488A-A187-61A5459C65C2}"/>
    <cellStyle name="Vírgula 3 5 2 2 4 3 3" xfId="34873" xr:uid="{ADC7AD4F-8F0D-485A-BCEF-8DFA7C92C78F}"/>
    <cellStyle name="Vírgula 3 5 2 2 4 4" xfId="15694" xr:uid="{DB6C0E6E-4DE8-4D20-9837-7E559F88587A}"/>
    <cellStyle name="Vírgula 3 5 2 2 4 4 2" xfId="41186" xr:uid="{4FD99549-6A00-4943-ABC1-B7525E61BAAF}"/>
    <cellStyle name="Vírgula 3 5 2 2 4 5" xfId="28595" xr:uid="{23E2B737-4135-422F-AABD-3AD7070E05D0}"/>
    <cellStyle name="Vírgula 3 5 2 2 5" xfId="3505" xr:uid="{3F495694-0C5C-4F13-8A27-0C4B00272163}"/>
    <cellStyle name="Vírgula 3 5 2 2 5 2" xfId="6659" xr:uid="{9B17EE48-5B7A-45CB-ADB6-C610A8D24D21}"/>
    <cellStyle name="Vírgula 3 5 2 2 5 2 2" xfId="12952" xr:uid="{C9A1BD2D-8D6B-44F4-BF09-CC5BDAFF9C86}"/>
    <cellStyle name="Vírgula 3 5 2 2 5 2 2 2" xfId="25634" xr:uid="{69FB3D50-E4D8-4AC1-B59C-67AD7C00C6C2}"/>
    <cellStyle name="Vírgula 3 5 2 2 5 2 2 2 2" xfId="51126" xr:uid="{2C7D7F1C-CEBA-4094-B12E-723F0F570052}"/>
    <cellStyle name="Vírgula 3 5 2 2 5 2 2 3" xfId="38535" xr:uid="{7F8E269D-75FF-4BF0-B5EC-506045722921}"/>
    <cellStyle name="Vírgula 3 5 2 2 5 2 3" xfId="19356" xr:uid="{3D5E7FA4-77E9-4D67-81B0-A1820A87F97D}"/>
    <cellStyle name="Vírgula 3 5 2 2 5 2 3 2" xfId="44848" xr:uid="{34C768CD-DEBB-4F4F-B247-D72BE62EF7FF}"/>
    <cellStyle name="Vírgula 3 5 2 2 5 2 4" xfId="32257" xr:uid="{657A570B-C9BD-4E16-95FF-8EDD026FE858}"/>
    <cellStyle name="Vírgula 3 5 2 2 5 3" xfId="9813" xr:uid="{658B2338-A094-4C42-AAF4-0D458D0DBA98}"/>
    <cellStyle name="Vírgula 3 5 2 2 5 3 2" xfId="22495" xr:uid="{D19355D4-6065-47DC-8756-E3AD35060E29}"/>
    <cellStyle name="Vírgula 3 5 2 2 5 3 2 2" xfId="47987" xr:uid="{5CD9F4B1-C328-4930-8797-4A3C7E5835E8}"/>
    <cellStyle name="Vírgula 3 5 2 2 5 3 3" xfId="35396" xr:uid="{ADD5D0F3-5FB9-4648-B400-9A9F7299EB93}"/>
    <cellStyle name="Vírgula 3 5 2 2 5 4" xfId="16217" xr:uid="{15A62099-AC63-4B6B-8CCF-537D733B9245}"/>
    <cellStyle name="Vírgula 3 5 2 2 5 4 2" xfId="41709" xr:uid="{6B8CD448-A20F-4CA0-872C-3E302CEC8BAD}"/>
    <cellStyle name="Vírgula 3 5 2 2 5 5" xfId="29118" xr:uid="{B5DE07E4-ADE2-4B2B-B511-1DBA9B8EB3D1}"/>
    <cellStyle name="Vírgula 3 5 2 2 6" xfId="4305" xr:uid="{0B094779-B204-4CFE-8AAA-EA586A66F0E6}"/>
    <cellStyle name="Vírgula 3 5 2 2 6 2" xfId="10598" xr:uid="{81E7B5B0-351F-42FF-A814-19B722EBC07B}"/>
    <cellStyle name="Vírgula 3 5 2 2 6 2 2" xfId="23280" xr:uid="{C10C9222-7506-4AA5-B393-5D8BC81739E8}"/>
    <cellStyle name="Vírgula 3 5 2 2 6 2 2 2" xfId="48772" xr:uid="{7C418E05-D05B-4509-A5D6-6C9B5AC6B901}"/>
    <cellStyle name="Vírgula 3 5 2 2 6 2 3" xfId="36181" xr:uid="{9791D1D9-1485-4E5E-8B25-E8CB7EA9E123}"/>
    <cellStyle name="Vírgula 3 5 2 2 6 3" xfId="17002" xr:uid="{5CA63E73-E598-4114-81B3-763C4CCFFA48}"/>
    <cellStyle name="Vírgula 3 5 2 2 6 3 2" xfId="42494" xr:uid="{4B534309-056D-4943-BAC6-6CC7ED25DE3E}"/>
    <cellStyle name="Vírgula 3 5 2 2 6 4" xfId="29903" xr:uid="{C4E6AEFF-EBF2-42CB-AE27-D4425A843CAA}"/>
    <cellStyle name="Vírgula 3 5 2 2 7" xfId="7459" xr:uid="{4D65D8E7-A535-431B-8C15-B98747C30BC3}"/>
    <cellStyle name="Vírgula 3 5 2 2 7 2" xfId="20141" xr:uid="{C4BA2088-A2AD-4AFA-824C-6C69F6333DA5}"/>
    <cellStyle name="Vírgula 3 5 2 2 7 2 2" xfId="45633" xr:uid="{BF9AA809-15FE-4960-9D22-6CBE3F68C316}"/>
    <cellStyle name="Vírgula 3 5 2 2 7 3" xfId="33042" xr:uid="{9862B6B1-1068-4D8C-9EB4-B731934A814F}"/>
    <cellStyle name="Vírgula 3 5 2 2 8" xfId="13863" xr:uid="{A4A55406-1A2C-4A06-8959-63CA3B7D96B1}"/>
    <cellStyle name="Vírgula 3 5 2 2 8 2" xfId="39355" xr:uid="{3C9EC0D2-DDBC-4142-AA10-FC1C7D0677E0}"/>
    <cellStyle name="Vírgula 3 5 2 2 9" xfId="26764" xr:uid="{2280F1B6-448F-4DC3-B166-D4FAEC59A40A}"/>
    <cellStyle name="Vírgula 3 5 2 3" xfId="891" xr:uid="{9F5097BF-52B0-493C-9048-8E7DD25E8D05}"/>
    <cellStyle name="Vírgula 3 5 2 3 2" xfId="2198" xr:uid="{7F3FC9F4-988B-424F-A28B-37DFC6419E4A}"/>
    <cellStyle name="Vírgula 3 5 2 3 2 2" xfId="5352" xr:uid="{EE90AADD-8645-47BC-9BF3-24ACA89E90B0}"/>
    <cellStyle name="Vírgula 3 5 2 3 2 2 2" xfId="11645" xr:uid="{92AC00EB-0B64-4387-9CF6-A0E36F9FC1BB}"/>
    <cellStyle name="Vírgula 3 5 2 3 2 2 2 2" xfId="24327" xr:uid="{5434C409-E76E-49D8-9913-BBC20B3E82FE}"/>
    <cellStyle name="Vírgula 3 5 2 3 2 2 2 2 2" xfId="49819" xr:uid="{422FD1D3-0873-406C-A840-A4556384B0B7}"/>
    <cellStyle name="Vírgula 3 5 2 3 2 2 2 3" xfId="37228" xr:uid="{71AAC354-CDEB-4687-B14E-0EB7718B4380}"/>
    <cellStyle name="Vírgula 3 5 2 3 2 2 3" xfId="18049" xr:uid="{CA65A850-B2F7-46B2-9ACB-176D9D9C9DBE}"/>
    <cellStyle name="Vírgula 3 5 2 3 2 2 3 2" xfId="43541" xr:uid="{2C9B9377-E993-4CBF-8157-3D168B827BAB}"/>
    <cellStyle name="Vírgula 3 5 2 3 2 2 4" xfId="30950" xr:uid="{D6E9FE63-DE1F-4F6B-AD89-06C233AC65BD}"/>
    <cellStyle name="Vírgula 3 5 2 3 2 3" xfId="8506" xr:uid="{D3CF34B4-17BC-4DCF-B931-82D14B65FB80}"/>
    <cellStyle name="Vírgula 3 5 2 3 2 3 2" xfId="21188" xr:uid="{830DB6F1-79AC-4247-9E6A-6DF70CE6E028}"/>
    <cellStyle name="Vírgula 3 5 2 3 2 3 2 2" xfId="46680" xr:uid="{76D7B0FC-4F99-4B9C-9E2F-6BDBA6DA69E2}"/>
    <cellStyle name="Vírgula 3 5 2 3 2 3 3" xfId="34089" xr:uid="{739107F3-4162-46CF-AC66-292EF10F1DEA}"/>
    <cellStyle name="Vírgula 3 5 2 3 2 4" xfId="14910" xr:uid="{BB47A8F1-75E7-4B35-B0AA-3E36D2FC2F47}"/>
    <cellStyle name="Vírgula 3 5 2 3 2 4 2" xfId="40402" xr:uid="{D004DAF3-B232-497D-B3EC-F793528361F2}"/>
    <cellStyle name="Vírgula 3 5 2 3 2 5" xfId="27811" xr:uid="{4E7D2AE4-FF8F-4538-871C-2760B10C0DD0}"/>
    <cellStyle name="Vírgula 3 5 2 3 3" xfId="4045" xr:uid="{D190AF94-AB8F-43B5-B5A2-4804C2948BAA}"/>
    <cellStyle name="Vírgula 3 5 2 3 3 2" xfId="10338" xr:uid="{B250FF2F-AC93-4300-816B-79DA7B69C980}"/>
    <cellStyle name="Vírgula 3 5 2 3 3 2 2" xfId="23020" xr:uid="{82FDA51D-7AE3-4FF2-B36E-61309FE73D48}"/>
    <cellStyle name="Vírgula 3 5 2 3 3 2 2 2" xfId="48512" xr:uid="{AF7F2BBB-4D4B-419D-9F05-C73530A9DA70}"/>
    <cellStyle name="Vírgula 3 5 2 3 3 2 3" xfId="35921" xr:uid="{641193D1-5930-40D3-993C-F24A7CEA3D34}"/>
    <cellStyle name="Vírgula 3 5 2 3 3 3" xfId="16742" xr:uid="{85CCB07E-B15B-4B02-B48A-1062E163359D}"/>
    <cellStyle name="Vírgula 3 5 2 3 3 3 2" xfId="42234" xr:uid="{AFFD964F-BF4A-4F85-9551-C96F097C5212}"/>
    <cellStyle name="Vírgula 3 5 2 3 3 4" xfId="29643" xr:uid="{69C87A43-8361-4012-BFFA-43D34D1D880D}"/>
    <cellStyle name="Vírgula 3 5 2 3 4" xfId="7199" xr:uid="{31D10248-66C1-4846-8511-C061C56BA142}"/>
    <cellStyle name="Vírgula 3 5 2 3 4 2" xfId="19881" xr:uid="{36659306-B769-4E10-AC2E-4120273FF3B6}"/>
    <cellStyle name="Vírgula 3 5 2 3 4 2 2" xfId="45373" xr:uid="{D36E09A1-A3B4-4E08-B2D3-CB9A72E39CA5}"/>
    <cellStyle name="Vírgula 3 5 2 3 4 3" xfId="32782" xr:uid="{FE522F52-F909-4845-B512-82D765906B62}"/>
    <cellStyle name="Vírgula 3 5 2 3 5" xfId="13603" xr:uid="{138C531B-F9CD-4601-9F65-37B929DEE27C}"/>
    <cellStyle name="Vírgula 3 5 2 3 5 2" xfId="39095" xr:uid="{A8F33770-E4FF-498A-A143-3A9FF7C00DAA}"/>
    <cellStyle name="Vírgula 3 5 2 3 6" xfId="26504" xr:uid="{CA23C247-B29E-4FB8-A37A-4E43CE47E7E2}"/>
    <cellStyle name="Vírgula 3 5 2 4" xfId="1936" xr:uid="{5B38DBC6-6015-44E4-BF2A-6D4238A4863A}"/>
    <cellStyle name="Vírgula 3 5 2 4 2" xfId="5090" xr:uid="{1EB98826-2AA5-4772-AC34-9AA043E11923}"/>
    <cellStyle name="Vírgula 3 5 2 4 2 2" xfId="11383" xr:uid="{525DF554-119F-4AA3-A832-BF88E8B9723A}"/>
    <cellStyle name="Vírgula 3 5 2 4 2 2 2" xfId="24065" xr:uid="{18A915DB-6B42-4618-819B-89BF6D1C88CB}"/>
    <cellStyle name="Vírgula 3 5 2 4 2 2 2 2" xfId="49557" xr:uid="{47D9CE07-C603-422B-81B6-94897285C6DD}"/>
    <cellStyle name="Vírgula 3 5 2 4 2 2 3" xfId="36966" xr:uid="{3CA6B539-479A-4C19-94AB-78E4B0A5E38F}"/>
    <cellStyle name="Vírgula 3 5 2 4 2 3" xfId="17787" xr:uid="{64E20B1B-A9A1-4963-AC93-35F6248DAA41}"/>
    <cellStyle name="Vírgula 3 5 2 4 2 3 2" xfId="43279" xr:uid="{9C0B281F-2D8A-4F9E-A793-99E5CD96B130}"/>
    <cellStyle name="Vírgula 3 5 2 4 2 4" xfId="30688" xr:uid="{57F4F163-942E-4DB1-B4A8-0F7720736F23}"/>
    <cellStyle name="Vírgula 3 5 2 4 3" xfId="8244" xr:uid="{1EB008FE-1AD8-47B1-819C-80B5C25D1DD3}"/>
    <cellStyle name="Vírgula 3 5 2 4 3 2" xfId="20926" xr:uid="{0C156B79-E25A-4A79-8677-08998B7AB1F5}"/>
    <cellStyle name="Vírgula 3 5 2 4 3 2 2" xfId="46418" xr:uid="{043A6C9A-3BDC-4158-8C73-C4416CFAAFA6}"/>
    <cellStyle name="Vírgula 3 5 2 4 3 3" xfId="33827" xr:uid="{4263B3B0-9DFB-4617-A3EE-8E22B11A6E68}"/>
    <cellStyle name="Vírgula 3 5 2 4 4" xfId="14648" xr:uid="{C308010A-69E1-49B6-AB95-58A65C3472AD}"/>
    <cellStyle name="Vírgula 3 5 2 4 4 2" xfId="40140" xr:uid="{CCA3D81D-B689-463E-B5E8-6569B6045811}"/>
    <cellStyle name="Vírgula 3 5 2 4 5" xfId="27549" xr:uid="{DE789983-93B2-4FCF-B5CF-7224F2587228}"/>
    <cellStyle name="Vírgula 3 5 2 5" xfId="1414" xr:uid="{47AEEB53-C8ED-4490-922B-889410B0B4B1}"/>
    <cellStyle name="Vírgula 3 5 2 5 2" xfId="4568" xr:uid="{E98E8426-25D6-4DEF-ABD1-9897018FC0A4}"/>
    <cellStyle name="Vírgula 3 5 2 5 2 2" xfId="10861" xr:uid="{BC55BA6D-2D0B-406A-9A01-7FF5D193B344}"/>
    <cellStyle name="Vírgula 3 5 2 5 2 2 2" xfId="23543" xr:uid="{AF2435BE-F03D-4703-B08D-3558F0F953EF}"/>
    <cellStyle name="Vírgula 3 5 2 5 2 2 2 2" xfId="49035" xr:uid="{480C3831-5A9A-41E4-9D13-47E854AD85DA}"/>
    <cellStyle name="Vírgula 3 5 2 5 2 2 3" xfId="36444" xr:uid="{D387F143-A136-44DE-81ED-7BE4A1CEEA2A}"/>
    <cellStyle name="Vírgula 3 5 2 5 2 3" xfId="17265" xr:uid="{D2ABDDBA-FFDD-41E7-BAEF-4A5F74887BE5}"/>
    <cellStyle name="Vírgula 3 5 2 5 2 3 2" xfId="42757" xr:uid="{58BAE275-52A4-499C-8487-E3CF3C8778B1}"/>
    <cellStyle name="Vírgula 3 5 2 5 2 4" xfId="30166" xr:uid="{398A1A6E-ACB0-4E03-9E3F-E5B74DC8BD5D}"/>
    <cellStyle name="Vírgula 3 5 2 5 3" xfId="7722" xr:uid="{9C2330EC-DC42-41F2-B96D-2F7C392B7F96}"/>
    <cellStyle name="Vírgula 3 5 2 5 3 2" xfId="20404" xr:uid="{87117555-1506-425A-8524-F7A3D774F682}"/>
    <cellStyle name="Vírgula 3 5 2 5 3 2 2" xfId="45896" xr:uid="{FBFD20B2-A53B-400F-8130-0C159290D250}"/>
    <cellStyle name="Vírgula 3 5 2 5 3 3" xfId="33305" xr:uid="{C149A8BF-8D10-40D5-9028-AEB1B3AF26C5}"/>
    <cellStyle name="Vírgula 3 5 2 5 4" xfId="14126" xr:uid="{24388BC2-A351-4F37-90AC-C13284BEF6C8}"/>
    <cellStyle name="Vírgula 3 5 2 5 4 2" xfId="39618" xr:uid="{F6EDFCFB-BEC0-446D-A797-87DE9348FD25}"/>
    <cellStyle name="Vírgula 3 5 2 5 5" xfId="27027" xr:uid="{4426FC44-3562-49C4-B35E-8187D9C01D11}"/>
    <cellStyle name="Vírgula 3 5 2 6" xfId="2721" xr:uid="{117DA050-0449-44E8-B165-EB5C12D43C89}"/>
    <cellStyle name="Vírgula 3 5 2 6 2" xfId="5875" xr:uid="{2F0EF209-A3AF-423F-8E46-5113333CAAE5}"/>
    <cellStyle name="Vírgula 3 5 2 6 2 2" xfId="12168" xr:uid="{59C0EAB1-178F-445F-A0D0-FD4B4FB5DECA}"/>
    <cellStyle name="Vírgula 3 5 2 6 2 2 2" xfId="24850" xr:uid="{EFF6912E-7757-4CFB-9951-9C004C747F32}"/>
    <cellStyle name="Vírgula 3 5 2 6 2 2 2 2" xfId="50342" xr:uid="{C5FCD1B7-08C6-4FD6-885B-642C6BB81B86}"/>
    <cellStyle name="Vírgula 3 5 2 6 2 2 3" xfId="37751" xr:uid="{87066A70-132E-4FA1-9C36-DD368CC1D398}"/>
    <cellStyle name="Vírgula 3 5 2 6 2 3" xfId="18572" xr:uid="{1630A793-F90C-4F86-8EF7-FEC2AD0A50B6}"/>
    <cellStyle name="Vírgula 3 5 2 6 2 3 2" xfId="44064" xr:uid="{6E09CA86-BDD6-40AA-B73C-8940E41F4B29}"/>
    <cellStyle name="Vírgula 3 5 2 6 2 4" xfId="31473" xr:uid="{447D6DD8-76A8-4E2F-86E0-398774A8C2C9}"/>
    <cellStyle name="Vírgula 3 5 2 6 3" xfId="9029" xr:uid="{69FA386F-EC72-46E4-874F-D6587D4ED8C1}"/>
    <cellStyle name="Vírgula 3 5 2 6 3 2" xfId="21711" xr:uid="{EF454407-7DBD-4CB0-BECF-E4D1E848ABEE}"/>
    <cellStyle name="Vírgula 3 5 2 6 3 2 2" xfId="47203" xr:uid="{A2B934A0-2F5D-4976-AE2D-A04B3BCBCD8A}"/>
    <cellStyle name="Vírgula 3 5 2 6 3 3" xfId="34612" xr:uid="{69D91B74-4853-4DA0-9C26-D5C44709A972}"/>
    <cellStyle name="Vírgula 3 5 2 6 4" xfId="15433" xr:uid="{D2452774-DC1A-4072-8EAF-0B7202A68D0C}"/>
    <cellStyle name="Vírgula 3 5 2 6 4 2" xfId="40925" xr:uid="{09B12489-E0B9-49FC-B096-C18C633F687C}"/>
    <cellStyle name="Vírgula 3 5 2 6 5" xfId="28334" xr:uid="{F557C730-632B-4E7F-8D7B-11A31096A2E1}"/>
    <cellStyle name="Vírgula 3 5 2 7" xfId="3244" xr:uid="{A2E23405-2BE7-4CD3-88A9-83F91CC8F52F}"/>
    <cellStyle name="Vírgula 3 5 2 7 2" xfId="6398" xr:uid="{C06C72A3-275A-4926-BE27-8C1EDB23E0A7}"/>
    <cellStyle name="Vírgula 3 5 2 7 2 2" xfId="12691" xr:uid="{3B402684-E621-49EB-B73E-E7616EBD2535}"/>
    <cellStyle name="Vírgula 3 5 2 7 2 2 2" xfId="25373" xr:uid="{55875972-820B-4CB6-8368-F8AA2C244405}"/>
    <cellStyle name="Vírgula 3 5 2 7 2 2 2 2" xfId="50865" xr:uid="{5ABB61D4-ED7F-439B-9896-80D95F3754AB}"/>
    <cellStyle name="Vírgula 3 5 2 7 2 2 3" xfId="38274" xr:uid="{3994867A-EC7A-404B-AFFA-9D2A51E4EA87}"/>
    <cellStyle name="Vírgula 3 5 2 7 2 3" xfId="19095" xr:uid="{ABD0D12E-5924-42C2-A172-8D8C8D761CFB}"/>
    <cellStyle name="Vírgula 3 5 2 7 2 3 2" xfId="44587" xr:uid="{A57A2B77-A1E4-438A-B2AD-591283A8EBDA}"/>
    <cellStyle name="Vírgula 3 5 2 7 2 4" xfId="31996" xr:uid="{7CD8B37A-DB06-4214-8E8E-ACED0629AA3F}"/>
    <cellStyle name="Vírgula 3 5 2 7 3" xfId="9552" xr:uid="{B7D265BE-22F4-42EF-A312-56937A1B7B94}"/>
    <cellStyle name="Vírgula 3 5 2 7 3 2" xfId="22234" xr:uid="{8C7DC9B1-5BEC-4900-B2FD-57758ECA695C}"/>
    <cellStyle name="Vírgula 3 5 2 7 3 2 2" xfId="47726" xr:uid="{7A554047-3F32-4EC5-9D46-7399DF070CC1}"/>
    <cellStyle name="Vírgula 3 5 2 7 3 3" xfId="35135" xr:uid="{B96A7CA5-9C11-4EA8-A944-5795652D1550}"/>
    <cellStyle name="Vírgula 3 5 2 7 4" xfId="15956" xr:uid="{DC109D7B-8A9A-4562-B64B-AB1ED5680F8E}"/>
    <cellStyle name="Vírgula 3 5 2 7 4 2" xfId="41448" xr:uid="{64A62C37-742C-45DF-9629-25BCEBCDD685}"/>
    <cellStyle name="Vírgula 3 5 2 7 5" xfId="28857" xr:uid="{6C4D308F-D947-44DA-B49F-4BB9857DB558}"/>
    <cellStyle name="Vírgula 3 5 2 8" xfId="3783" xr:uid="{506CC427-00A0-448F-AEFC-8D537A31E018}"/>
    <cellStyle name="Vírgula 3 5 2 8 2" xfId="10076" xr:uid="{6030D971-95D2-44F0-8EF3-D7641782CCA0}"/>
    <cellStyle name="Vírgula 3 5 2 8 2 2" xfId="22758" xr:uid="{3ADEE412-3769-4A74-AF99-B4A4A06E00D2}"/>
    <cellStyle name="Vírgula 3 5 2 8 2 2 2" xfId="48250" xr:uid="{5BEC26C2-745E-4F3D-A291-2FEA45624457}"/>
    <cellStyle name="Vírgula 3 5 2 8 2 3" xfId="35659" xr:uid="{1F49CCEE-D8EB-48AE-A93E-551577763FE4}"/>
    <cellStyle name="Vírgula 3 5 2 8 3" xfId="16480" xr:uid="{45F62206-97B3-42B4-9650-BC5E8C3BD71E}"/>
    <cellStyle name="Vírgula 3 5 2 8 3 2" xfId="41972" xr:uid="{02D955D2-4843-4A54-A5F4-F551906415C7}"/>
    <cellStyle name="Vírgula 3 5 2 8 4" xfId="29381" xr:uid="{3ADD3770-756A-4C4E-B4B6-2FA21A52C88D}"/>
    <cellStyle name="Vírgula 3 5 2 9" xfId="6937" xr:uid="{1FEC4F01-B7B6-4A7A-AD32-D2EC68C8C947}"/>
    <cellStyle name="Vírgula 3 5 2 9 2" xfId="19619" xr:uid="{97EE813F-28A6-419B-9E2C-CBC362F4CE7D}"/>
    <cellStyle name="Vírgula 3 5 2 9 2 2" xfId="45111" xr:uid="{1F14065B-7F5F-4EBE-94E8-3288387DCDDE}"/>
    <cellStyle name="Vírgula 3 5 2 9 3" xfId="32520" xr:uid="{7B3DAECE-7C07-4378-AFF6-8088BB68C9DE}"/>
    <cellStyle name="Vírgula 3 5 3" xfId="992" xr:uid="{1D37BC19-A8B5-450C-9C33-A9C02648E51E}"/>
    <cellStyle name="Vírgula 3 5 3 2" xfId="2299" xr:uid="{DBCDD475-1BBD-4793-BF3A-B50C367D8F34}"/>
    <cellStyle name="Vírgula 3 5 3 2 2" xfId="5453" xr:uid="{B11F937E-D522-4DD5-8621-D7726954DD86}"/>
    <cellStyle name="Vírgula 3 5 3 2 2 2" xfId="11746" xr:uid="{B4C40629-168A-474B-91E7-E360C432940A}"/>
    <cellStyle name="Vírgula 3 5 3 2 2 2 2" xfId="24428" xr:uid="{3EBC4D9B-A6C7-4F30-9AB9-D5C4FEB8B93D}"/>
    <cellStyle name="Vírgula 3 5 3 2 2 2 2 2" xfId="49920" xr:uid="{6FB639C9-B1A8-49CD-BAC0-BC1FAAA2F7C3}"/>
    <cellStyle name="Vírgula 3 5 3 2 2 2 3" xfId="37329" xr:uid="{C2D7BBC8-5336-4F6A-9F6D-210C94294416}"/>
    <cellStyle name="Vírgula 3 5 3 2 2 3" xfId="18150" xr:uid="{56A3DF45-3791-430E-B053-E9706085C4EA}"/>
    <cellStyle name="Vírgula 3 5 3 2 2 3 2" xfId="43642" xr:uid="{C5FFA7B9-43FD-452D-B758-7AD4405A4576}"/>
    <cellStyle name="Vírgula 3 5 3 2 2 4" xfId="31051" xr:uid="{42778043-DC68-42BB-A681-8E0475D82F88}"/>
    <cellStyle name="Vírgula 3 5 3 2 3" xfId="8607" xr:uid="{1373ECD4-5214-4088-8DF1-BBBEB88E05FB}"/>
    <cellStyle name="Vírgula 3 5 3 2 3 2" xfId="21289" xr:uid="{83B21109-3A93-4E67-A06F-EE836FCF1571}"/>
    <cellStyle name="Vírgula 3 5 3 2 3 2 2" xfId="46781" xr:uid="{B3E2650D-02A8-4D43-A194-13752DB50B5D}"/>
    <cellStyle name="Vírgula 3 5 3 2 3 3" xfId="34190" xr:uid="{C5D27D22-5A3D-449A-90DB-DAA695BC0701}"/>
    <cellStyle name="Vírgula 3 5 3 2 4" xfId="15011" xr:uid="{6BD3A380-F484-40E2-9503-9672BC117A22}"/>
    <cellStyle name="Vírgula 3 5 3 2 4 2" xfId="40503" xr:uid="{301BE896-A7A7-467C-86BE-DBBAE85157AF}"/>
    <cellStyle name="Vírgula 3 5 3 2 5" xfId="27912" xr:uid="{BA0FCBDF-F77B-49CC-B08C-AB8BC484B965}"/>
    <cellStyle name="Vírgula 3 5 3 3" xfId="1516" xr:uid="{638A92DA-25F2-4BAF-AB1C-9CF6A67849A8}"/>
    <cellStyle name="Vírgula 3 5 3 3 2" xfId="4670" xr:uid="{BB176561-89E4-41F6-8199-A2A43AFB9232}"/>
    <cellStyle name="Vírgula 3 5 3 3 2 2" xfId="10963" xr:uid="{2F748395-EFDC-474C-85C8-A6CAEB182BE0}"/>
    <cellStyle name="Vírgula 3 5 3 3 2 2 2" xfId="23645" xr:uid="{DA69833F-8EF5-4BB7-B6DB-52CC9730677D}"/>
    <cellStyle name="Vírgula 3 5 3 3 2 2 2 2" xfId="49137" xr:uid="{B413DF96-BF93-417A-B9CA-AB8F70F74D71}"/>
    <cellStyle name="Vírgula 3 5 3 3 2 2 3" xfId="36546" xr:uid="{10FCA9F8-F9F4-4344-A704-3AF01D21BFDE}"/>
    <cellStyle name="Vírgula 3 5 3 3 2 3" xfId="17367" xr:uid="{D8420BA0-E9A3-4F87-A2AD-3B5F49735DE7}"/>
    <cellStyle name="Vírgula 3 5 3 3 2 3 2" xfId="42859" xr:uid="{5BF8C3C2-FC9E-4178-8CEF-989630A83347}"/>
    <cellStyle name="Vírgula 3 5 3 3 2 4" xfId="30268" xr:uid="{0B2614AF-AFEE-4C94-9817-4E55F2B3FD9D}"/>
    <cellStyle name="Vírgula 3 5 3 3 3" xfId="7824" xr:uid="{4B254A04-B330-411A-9DE9-6C28F5996E63}"/>
    <cellStyle name="Vírgula 3 5 3 3 3 2" xfId="20506" xr:uid="{D510E875-FDC2-4673-BCB0-93477674E97D}"/>
    <cellStyle name="Vírgula 3 5 3 3 3 2 2" xfId="45998" xr:uid="{1BCCEF85-1826-4322-B40D-095EC92E6BE2}"/>
    <cellStyle name="Vírgula 3 5 3 3 3 3" xfId="33407" xr:uid="{EFC15303-3C8C-4663-952A-657062BD9005}"/>
    <cellStyle name="Vírgula 3 5 3 3 4" xfId="14228" xr:uid="{FAF91E4A-9547-4661-B286-331071B93E2D}"/>
    <cellStyle name="Vírgula 3 5 3 3 4 2" xfId="39720" xr:uid="{96E75106-19D4-4DED-89D0-0A75E746FA56}"/>
    <cellStyle name="Vírgula 3 5 3 3 5" xfId="27129" xr:uid="{4E26A675-0A5F-4AEE-9C6B-5B01B93CA85F}"/>
    <cellStyle name="Vírgula 3 5 3 4" xfId="2823" xr:uid="{F55B7055-30F2-43B5-BF22-252EF64018B7}"/>
    <cellStyle name="Vírgula 3 5 3 4 2" xfId="5977" xr:uid="{F16337C3-F788-4752-A1B7-4208E66159D6}"/>
    <cellStyle name="Vírgula 3 5 3 4 2 2" xfId="12270" xr:uid="{EC60E37F-67AA-4562-A6F1-5DB22CE6E2D9}"/>
    <cellStyle name="Vírgula 3 5 3 4 2 2 2" xfId="24952" xr:uid="{2E0D2AE6-033D-4A45-938A-9E0FA13401F2}"/>
    <cellStyle name="Vírgula 3 5 3 4 2 2 2 2" xfId="50444" xr:uid="{3A10248C-FA8F-4299-8234-F007328ECA91}"/>
    <cellStyle name="Vírgula 3 5 3 4 2 2 3" xfId="37853" xr:uid="{68D97DA0-4B64-4F81-9384-B96880E847A1}"/>
    <cellStyle name="Vírgula 3 5 3 4 2 3" xfId="18674" xr:uid="{296BDCAC-0EF8-44F6-9464-776C08A33BCE}"/>
    <cellStyle name="Vírgula 3 5 3 4 2 3 2" xfId="44166" xr:uid="{3FA88994-6DB3-45DD-A4CF-74B098404D5E}"/>
    <cellStyle name="Vírgula 3 5 3 4 2 4" xfId="31575" xr:uid="{FECC43B5-49BA-40F3-9EDF-A23A3A3A887B}"/>
    <cellStyle name="Vírgula 3 5 3 4 3" xfId="9131" xr:uid="{561F3F92-2C13-43B1-B2D2-170F6EC25E6A}"/>
    <cellStyle name="Vírgula 3 5 3 4 3 2" xfId="21813" xr:uid="{4BAF910A-AF27-469D-A0EB-26CFC893FA23}"/>
    <cellStyle name="Vírgula 3 5 3 4 3 2 2" xfId="47305" xr:uid="{C76A269C-BBC1-481A-81BD-3753D1720959}"/>
    <cellStyle name="Vírgula 3 5 3 4 3 3" xfId="34714" xr:uid="{F7A1841F-C99B-4CEF-BAC2-3EAEC1DC0FCB}"/>
    <cellStyle name="Vírgula 3 5 3 4 4" xfId="15535" xr:uid="{5E78DE97-1715-47CD-BC4A-0F10E739DB05}"/>
    <cellStyle name="Vírgula 3 5 3 4 4 2" xfId="41027" xr:uid="{B11C0F31-C6F1-43BB-8E91-0F0BDB52E76A}"/>
    <cellStyle name="Vírgula 3 5 3 4 5" xfId="28436" xr:uid="{E9866E28-7EC7-4136-BB09-CAD79A3A49E4}"/>
    <cellStyle name="Vírgula 3 5 3 5" xfId="3346" xr:uid="{8E8140AB-FEFB-4CEC-9FDB-46946F577240}"/>
    <cellStyle name="Vírgula 3 5 3 5 2" xfId="6500" xr:uid="{B583AC19-C64D-42B7-AC07-9AFD82891336}"/>
    <cellStyle name="Vírgula 3 5 3 5 2 2" xfId="12793" xr:uid="{A0638D1C-AF9E-44F2-8F65-1418F9A92707}"/>
    <cellStyle name="Vírgula 3 5 3 5 2 2 2" xfId="25475" xr:uid="{94BC1161-C1F2-49E1-AA4B-0B0546649F0D}"/>
    <cellStyle name="Vírgula 3 5 3 5 2 2 2 2" xfId="50967" xr:uid="{F6F6BE9C-5C25-444C-839C-9E3FE94E53D7}"/>
    <cellStyle name="Vírgula 3 5 3 5 2 2 3" xfId="38376" xr:uid="{5C5C8A65-D66C-41BD-A0F5-2AD4E3F57F81}"/>
    <cellStyle name="Vírgula 3 5 3 5 2 3" xfId="19197" xr:uid="{19A8945D-F342-4E6C-BBF0-4637132ACA56}"/>
    <cellStyle name="Vírgula 3 5 3 5 2 3 2" xfId="44689" xr:uid="{ED015375-0DD9-4E50-940C-7970285634EA}"/>
    <cellStyle name="Vírgula 3 5 3 5 2 4" xfId="32098" xr:uid="{670062A2-A676-4AF2-99EE-D9794E7B463B}"/>
    <cellStyle name="Vírgula 3 5 3 5 3" xfId="9654" xr:uid="{E55CF669-BE61-4B6E-BB14-284D8907F175}"/>
    <cellStyle name="Vírgula 3 5 3 5 3 2" xfId="22336" xr:uid="{6593914C-01CF-4EEE-B340-1F061F58CF25}"/>
    <cellStyle name="Vírgula 3 5 3 5 3 2 2" xfId="47828" xr:uid="{7DD6A750-E9EB-4E1A-99BA-279906B57598}"/>
    <cellStyle name="Vírgula 3 5 3 5 3 3" xfId="35237" xr:uid="{50778ABE-CABB-4067-83CA-C69F0512DAAC}"/>
    <cellStyle name="Vírgula 3 5 3 5 4" xfId="16058" xr:uid="{4A58C685-0934-442D-BADB-49EAE886FDA1}"/>
    <cellStyle name="Vírgula 3 5 3 5 4 2" xfId="41550" xr:uid="{C1969B72-8C34-4517-BC69-45D6D552816B}"/>
    <cellStyle name="Vírgula 3 5 3 5 5" xfId="28959" xr:uid="{609572F9-DA00-4D29-AF2D-0DE6304DCCDB}"/>
    <cellStyle name="Vírgula 3 5 3 6" xfId="4146" xr:uid="{368391DB-6FD6-4D6D-A8B3-EEEE6F85FDFA}"/>
    <cellStyle name="Vírgula 3 5 3 6 2" xfId="10439" xr:uid="{933B1953-917C-4CF1-AAB1-E7B2FC47988B}"/>
    <cellStyle name="Vírgula 3 5 3 6 2 2" xfId="23121" xr:uid="{6E4C4EB1-68BF-4CC4-8824-0971D359952C}"/>
    <cellStyle name="Vírgula 3 5 3 6 2 2 2" xfId="48613" xr:uid="{FCA9CD7B-B06C-472F-967D-FCA37FFAB8B8}"/>
    <cellStyle name="Vírgula 3 5 3 6 2 3" xfId="36022" xr:uid="{BE466F96-E970-41B0-B75D-871089A8994E}"/>
    <cellStyle name="Vírgula 3 5 3 6 3" xfId="16843" xr:uid="{FC3EA264-5D63-48D8-A260-FE37E9BD6CD2}"/>
    <cellStyle name="Vírgula 3 5 3 6 3 2" xfId="42335" xr:uid="{B340D484-6FB5-4030-83CA-80430A0F5466}"/>
    <cellStyle name="Vírgula 3 5 3 6 4" xfId="29744" xr:uid="{0AEDC9EB-81BD-4578-9C61-D6CEC2128503}"/>
    <cellStyle name="Vírgula 3 5 3 7" xfId="7300" xr:uid="{DA43B688-70B1-4AB7-A2A1-459F626F7681}"/>
    <cellStyle name="Vírgula 3 5 3 7 2" xfId="19982" xr:uid="{1567EAF7-BD4C-4386-97F3-237322925F04}"/>
    <cellStyle name="Vírgula 3 5 3 7 2 2" xfId="45474" xr:uid="{24CEEF6F-A3E6-4CAF-B186-CD63C58FF145}"/>
    <cellStyle name="Vírgula 3 5 3 7 3" xfId="32883" xr:uid="{37C21CB1-8FFC-43B9-91C4-36FE61223705}"/>
    <cellStyle name="Vírgula 3 5 3 8" xfId="13704" xr:uid="{0493E499-2800-4F0A-97F9-56A5F7E5FDBA}"/>
    <cellStyle name="Vírgula 3 5 3 8 2" xfId="39196" xr:uid="{81B12CF9-42B3-4B29-8658-B8014F7FA1A0}"/>
    <cellStyle name="Vírgula 3 5 3 9" xfId="26605" xr:uid="{C9730C8F-641B-4D48-BB8A-646054EF161C}"/>
    <cellStyle name="Vírgula 3 5 4" xfId="732" xr:uid="{C597B7E6-9673-45AF-8079-5A973F5330E6}"/>
    <cellStyle name="Vírgula 3 5 4 2" xfId="2039" xr:uid="{4AAE629C-2A31-4968-A0A4-E289927A3CB5}"/>
    <cellStyle name="Vírgula 3 5 4 2 2" xfId="5193" xr:uid="{E6CEC15E-CD4D-458A-A16D-7056A0535B87}"/>
    <cellStyle name="Vírgula 3 5 4 2 2 2" xfId="11486" xr:uid="{402830E2-786E-495A-B595-3747EDE54C20}"/>
    <cellStyle name="Vírgula 3 5 4 2 2 2 2" xfId="24168" xr:uid="{7360B50A-18BE-48A7-8988-363D206E6E75}"/>
    <cellStyle name="Vírgula 3 5 4 2 2 2 2 2" xfId="49660" xr:uid="{CE08016F-BA5C-4EBB-8E90-52F8E4F8CA8D}"/>
    <cellStyle name="Vírgula 3 5 4 2 2 2 3" xfId="37069" xr:uid="{6277E051-1676-426E-B649-48DB233CA16B}"/>
    <cellStyle name="Vírgula 3 5 4 2 2 3" xfId="17890" xr:uid="{82635C47-640D-4CE3-869F-4CBCC39DBBE5}"/>
    <cellStyle name="Vírgula 3 5 4 2 2 3 2" xfId="43382" xr:uid="{3EFB84ED-274B-4761-804E-02DE3389A6D2}"/>
    <cellStyle name="Vírgula 3 5 4 2 2 4" xfId="30791" xr:uid="{817DE9C3-8577-473A-A53E-D8263C9318F3}"/>
    <cellStyle name="Vírgula 3 5 4 2 3" xfId="8347" xr:uid="{47B11583-EB9F-42EB-A87E-F30D6376FA5B}"/>
    <cellStyle name="Vírgula 3 5 4 2 3 2" xfId="21029" xr:uid="{96E8C26F-F170-4EAC-848A-BF31DC5ABD76}"/>
    <cellStyle name="Vírgula 3 5 4 2 3 2 2" xfId="46521" xr:uid="{4CE69F0D-CF82-45C3-AB4D-FF7690EB88E4}"/>
    <cellStyle name="Vírgula 3 5 4 2 3 3" xfId="33930" xr:uid="{0D53EE32-BE64-49F4-84CC-190AE82F019D}"/>
    <cellStyle name="Vírgula 3 5 4 2 4" xfId="14751" xr:uid="{99A85073-DA3F-42A0-B84F-6C7AB4319B77}"/>
    <cellStyle name="Vírgula 3 5 4 2 4 2" xfId="40243" xr:uid="{F4A7999E-7072-4930-825A-93E5600CFAAC}"/>
    <cellStyle name="Vírgula 3 5 4 2 5" xfId="27652" xr:uid="{C236FC29-E013-4C06-8E11-F27111913F70}"/>
    <cellStyle name="Vírgula 3 5 4 3" xfId="3886" xr:uid="{BF3C45D1-B76F-44D2-AAF9-37D678DDE788}"/>
    <cellStyle name="Vírgula 3 5 4 3 2" xfId="10179" xr:uid="{070B43FA-9499-4D3E-8D7B-EFF3F593B5B3}"/>
    <cellStyle name="Vírgula 3 5 4 3 2 2" xfId="22861" xr:uid="{F66D2706-212A-4647-AA37-BA4CF9B85ED5}"/>
    <cellStyle name="Vírgula 3 5 4 3 2 2 2" xfId="48353" xr:uid="{11FEBD6D-BF3D-40D9-9CDD-493797422776}"/>
    <cellStyle name="Vírgula 3 5 4 3 2 3" xfId="35762" xr:uid="{85BEC7AB-38EE-4349-BDC5-C48F7756319F}"/>
    <cellStyle name="Vírgula 3 5 4 3 3" xfId="16583" xr:uid="{422B181A-EE7A-41B3-86D8-974F743941EC}"/>
    <cellStyle name="Vírgula 3 5 4 3 3 2" xfId="42075" xr:uid="{E4409ECC-43F9-4F97-83F5-69C5A0A59163}"/>
    <cellStyle name="Vírgula 3 5 4 3 4" xfId="29484" xr:uid="{11E9CB1B-496E-446E-BB7A-AC73C1CD65F4}"/>
    <cellStyle name="Vírgula 3 5 4 4" xfId="7040" xr:uid="{14DD880A-3967-4A89-8BDA-33437159C97D}"/>
    <cellStyle name="Vírgula 3 5 4 4 2" xfId="19722" xr:uid="{1148F66B-D9F6-418F-B105-E443343F204F}"/>
    <cellStyle name="Vírgula 3 5 4 4 2 2" xfId="45214" xr:uid="{597D921A-B53A-4465-AD8E-88C1D576B697}"/>
    <cellStyle name="Vírgula 3 5 4 4 3" xfId="32623" xr:uid="{9FAA5A4F-99C2-4F64-8E41-851F28DBDECF}"/>
    <cellStyle name="Vírgula 3 5 4 5" xfId="13444" xr:uid="{5ECCBA56-3A65-4043-8DFA-ACD7C94222EB}"/>
    <cellStyle name="Vírgula 3 5 4 5 2" xfId="38936" xr:uid="{DC7E047C-0B6F-4311-B217-71A9BB726239}"/>
    <cellStyle name="Vírgula 3 5 4 6" xfId="26345" xr:uid="{8E422D3B-4673-4C3E-846D-9997050A0636}"/>
    <cellStyle name="Vírgula 3 5 5" xfId="1777" xr:uid="{3C6B8F81-655A-40C0-AD7C-421BF2429D13}"/>
    <cellStyle name="Vírgula 3 5 5 2" xfId="4931" xr:uid="{BD9C8858-83E3-4B90-BBBD-6A311ACBBEBD}"/>
    <cellStyle name="Vírgula 3 5 5 2 2" xfId="11224" xr:uid="{1D0ED41B-34DC-4CB2-A92F-5AD00A717989}"/>
    <cellStyle name="Vírgula 3 5 5 2 2 2" xfId="23906" xr:uid="{BE8A1577-9261-449F-A0AB-FC5221BE7AEE}"/>
    <cellStyle name="Vírgula 3 5 5 2 2 2 2" xfId="49398" xr:uid="{F450F41C-C097-4363-9BE5-868051B48A8C}"/>
    <cellStyle name="Vírgula 3 5 5 2 2 3" xfId="36807" xr:uid="{8DB0679D-780F-49CC-8EA2-016951F2D40D}"/>
    <cellStyle name="Vírgula 3 5 5 2 3" xfId="17628" xr:uid="{E84D4BB8-C1BE-458F-8B0D-AA6E74694E6F}"/>
    <cellStyle name="Vírgula 3 5 5 2 3 2" xfId="43120" xr:uid="{D64A0896-0534-4858-BA4F-47D3F8574C92}"/>
    <cellStyle name="Vírgula 3 5 5 2 4" xfId="30529" xr:uid="{2CACC61F-2517-40F3-A826-F73DA4AB5A8E}"/>
    <cellStyle name="Vírgula 3 5 5 3" xfId="8085" xr:uid="{1095F4E5-16C8-4A53-834D-5D77DA6A93D7}"/>
    <cellStyle name="Vírgula 3 5 5 3 2" xfId="20767" xr:uid="{D8298AE8-696D-4350-9C72-1EB30F33B799}"/>
    <cellStyle name="Vírgula 3 5 5 3 2 2" xfId="46259" xr:uid="{8CA9F767-2A28-445C-903F-73C07CA5E9AE}"/>
    <cellStyle name="Vírgula 3 5 5 3 3" xfId="33668" xr:uid="{357C3E56-8E5C-43B1-802D-41886B42D925}"/>
    <cellStyle name="Vírgula 3 5 5 4" xfId="14489" xr:uid="{77F9294A-BB59-47CF-BE2A-2D8877421FE4}"/>
    <cellStyle name="Vírgula 3 5 5 4 2" xfId="39981" xr:uid="{8830B7F5-C5DD-4778-9038-DFAAAEDF5D3F}"/>
    <cellStyle name="Vírgula 3 5 5 5" xfId="27390" xr:uid="{3356E613-09EC-4797-AE41-9E09D92C1D32}"/>
    <cellStyle name="Vírgula 3 5 6" xfId="1255" xr:uid="{5D89799D-A479-4960-8378-26E22C46BFCC}"/>
    <cellStyle name="Vírgula 3 5 6 2" xfId="4409" xr:uid="{E446241C-1814-4115-89CA-5A1C4D188466}"/>
    <cellStyle name="Vírgula 3 5 6 2 2" xfId="10702" xr:uid="{9DA85F96-FB89-45A4-9069-E982505223F2}"/>
    <cellStyle name="Vírgula 3 5 6 2 2 2" xfId="23384" xr:uid="{BBF7EB4D-6611-4120-A0B3-0A17947CC5D9}"/>
    <cellStyle name="Vírgula 3 5 6 2 2 2 2" xfId="48876" xr:uid="{E374BB02-518B-499A-8AF2-63B21DFC2ED1}"/>
    <cellStyle name="Vírgula 3 5 6 2 2 3" xfId="36285" xr:uid="{BF8EBE31-831F-48F7-9197-A8442DD405F2}"/>
    <cellStyle name="Vírgula 3 5 6 2 3" xfId="17106" xr:uid="{230BAD16-61FB-4B3A-8397-7910F0D6E454}"/>
    <cellStyle name="Vírgula 3 5 6 2 3 2" xfId="42598" xr:uid="{3467A3F6-8B68-4C71-8012-8C88B644705D}"/>
    <cellStyle name="Vírgula 3 5 6 2 4" xfId="30007" xr:uid="{D41E1F75-43E1-4088-8C14-70669FB5BE8B}"/>
    <cellStyle name="Vírgula 3 5 6 3" xfId="7563" xr:uid="{BD76106E-9BA9-4241-9B33-2BC26829C1CF}"/>
    <cellStyle name="Vírgula 3 5 6 3 2" xfId="20245" xr:uid="{363BE619-D4BC-4705-8319-DA487EFAE8CB}"/>
    <cellStyle name="Vírgula 3 5 6 3 2 2" xfId="45737" xr:uid="{0A7F580F-0796-4FBD-A6EB-236E55E320ED}"/>
    <cellStyle name="Vírgula 3 5 6 3 3" xfId="33146" xr:uid="{23365674-B6B9-4ECE-AD4D-AB85264820FF}"/>
    <cellStyle name="Vírgula 3 5 6 4" xfId="13967" xr:uid="{0D69C46C-74C0-4B37-B210-3E07796D4C82}"/>
    <cellStyle name="Vírgula 3 5 6 4 2" xfId="39459" xr:uid="{6EAF1C2E-E2ED-49E7-A70C-D366B51275B8}"/>
    <cellStyle name="Vírgula 3 5 6 5" xfId="26868" xr:uid="{3A77986B-2537-4025-835D-B901AC1D47A7}"/>
    <cellStyle name="Vírgula 3 5 7" xfId="2562" xr:uid="{0B917637-9F56-4349-A049-EE0CA1351393}"/>
    <cellStyle name="Vírgula 3 5 7 2" xfId="5716" xr:uid="{68F96A44-379F-433F-BB77-57A1CAB3E5A1}"/>
    <cellStyle name="Vírgula 3 5 7 2 2" xfId="12009" xr:uid="{DFF98EC2-D8EB-4658-A23B-196EA4145806}"/>
    <cellStyle name="Vírgula 3 5 7 2 2 2" xfId="24691" xr:uid="{A0CE2079-A528-4997-9CF2-688A1C4A0CF4}"/>
    <cellStyle name="Vírgula 3 5 7 2 2 2 2" xfId="50183" xr:uid="{12CE6CD4-AF31-4C69-822C-77AA7915C9A0}"/>
    <cellStyle name="Vírgula 3 5 7 2 2 3" xfId="37592" xr:uid="{DB4BF958-3A6A-4579-880D-2BAB41F4F7D8}"/>
    <cellStyle name="Vírgula 3 5 7 2 3" xfId="18413" xr:uid="{45E69AA3-2612-4DBF-8B06-D77E544FB7F4}"/>
    <cellStyle name="Vírgula 3 5 7 2 3 2" xfId="43905" xr:uid="{4C4C499D-4CDF-4A11-819F-69ED825618EF}"/>
    <cellStyle name="Vírgula 3 5 7 2 4" xfId="31314" xr:uid="{241A56DB-0D2E-4197-9AD6-78BFE1644EE8}"/>
    <cellStyle name="Vírgula 3 5 7 3" xfId="8870" xr:uid="{8212AAD7-50AA-46D6-8D5E-C35292C50411}"/>
    <cellStyle name="Vírgula 3 5 7 3 2" xfId="21552" xr:uid="{55886E5E-FD85-47B5-9B62-F62624F57411}"/>
    <cellStyle name="Vírgula 3 5 7 3 2 2" xfId="47044" xr:uid="{74E39F9E-CAE5-4917-A4D3-9CE84832A9E9}"/>
    <cellStyle name="Vírgula 3 5 7 3 3" xfId="34453" xr:uid="{ED50E7EE-8A09-4585-9121-35DFD3A35A86}"/>
    <cellStyle name="Vírgula 3 5 7 4" xfId="15274" xr:uid="{1B0A561B-35EC-4C57-AEB3-5A24D7AEB191}"/>
    <cellStyle name="Vírgula 3 5 7 4 2" xfId="40766" xr:uid="{FFCE35AC-3DCF-4A14-A0A4-9E6D48432ED1}"/>
    <cellStyle name="Vírgula 3 5 7 5" xfId="28175" xr:uid="{ECD1FD12-1C03-44D7-B51A-70E1E4A26509}"/>
    <cellStyle name="Vírgula 3 5 8" xfId="3085" xr:uid="{1BD4C588-2163-4358-9F6A-CA5AD792F258}"/>
    <cellStyle name="Vírgula 3 5 8 2" xfId="6239" xr:uid="{B321E4EF-EADF-4F32-A962-1E022010AAD6}"/>
    <cellStyle name="Vírgula 3 5 8 2 2" xfId="12532" xr:uid="{62F6EFC5-68DA-4862-AB6A-BF53EFBA5A4D}"/>
    <cellStyle name="Vírgula 3 5 8 2 2 2" xfId="25214" xr:uid="{91244187-B1F8-42B1-9834-6A756086DFB3}"/>
    <cellStyle name="Vírgula 3 5 8 2 2 2 2" xfId="50706" xr:uid="{98EE2C3C-0BF9-4FB1-A04E-162332E2E6F0}"/>
    <cellStyle name="Vírgula 3 5 8 2 2 3" xfId="38115" xr:uid="{D496D4CC-32EB-4D26-B7F2-5373280738D6}"/>
    <cellStyle name="Vírgula 3 5 8 2 3" xfId="18936" xr:uid="{3618E82F-668D-4915-BEC0-87542B8473E8}"/>
    <cellStyle name="Vírgula 3 5 8 2 3 2" xfId="44428" xr:uid="{C80AC4E6-2553-4D4B-8616-03F33594926D}"/>
    <cellStyle name="Vírgula 3 5 8 2 4" xfId="31837" xr:uid="{DBE0F255-943D-48D6-82B2-DA40CE37E092}"/>
    <cellStyle name="Vírgula 3 5 8 3" xfId="9393" xr:uid="{5B26F4C7-3A59-4F04-BC26-EE91377D50BF}"/>
    <cellStyle name="Vírgula 3 5 8 3 2" xfId="22075" xr:uid="{A2FD23FC-1210-4EFA-8303-65CD26228967}"/>
    <cellStyle name="Vírgula 3 5 8 3 2 2" xfId="47567" xr:uid="{55294EEA-6DB7-4163-9E5B-85946C4BCC96}"/>
    <cellStyle name="Vírgula 3 5 8 3 3" xfId="34976" xr:uid="{38C65B27-DFB6-40C4-B391-D7C734B17E4C}"/>
    <cellStyle name="Vírgula 3 5 8 4" xfId="15797" xr:uid="{90A7AB19-CD6B-45D0-BB63-4F55F861851C}"/>
    <cellStyle name="Vírgula 3 5 8 4 2" xfId="41289" xr:uid="{ADE9DB57-1320-448C-B59E-08DD0A6945DA}"/>
    <cellStyle name="Vírgula 3 5 8 5" xfId="28698" xr:uid="{D8E01778-486C-43EF-8D04-AAA41A77C3A4}"/>
    <cellStyle name="Vírgula 3 5 9" xfId="3624" xr:uid="{D9EE5685-16E6-45C9-A27F-35A1CDFCA632}"/>
    <cellStyle name="Vírgula 3 5 9 2" xfId="9917" xr:uid="{7A984107-90CA-4452-BC6F-AFB7DA491DE4}"/>
    <cellStyle name="Vírgula 3 5 9 2 2" xfId="22599" xr:uid="{9F02FDCE-2305-4BBF-930D-6A7017846513}"/>
    <cellStyle name="Vírgula 3 5 9 2 2 2" xfId="48091" xr:uid="{5FCECB1A-7C4F-47B5-888A-84C9D2ECC2B4}"/>
    <cellStyle name="Vírgula 3 5 9 2 3" xfId="35500" xr:uid="{121B599B-A697-428C-AE2D-416503C30873}"/>
    <cellStyle name="Vírgula 3 5 9 3" xfId="16321" xr:uid="{B167CBA7-272F-4FB6-9B59-1C6EB27D5A6D}"/>
    <cellStyle name="Vírgula 3 5 9 3 2" xfId="41813" xr:uid="{0135CDE9-F566-43DA-B31D-B7C11C85E5BF}"/>
    <cellStyle name="Vírgula 3 5 9 4" xfId="29222" xr:uid="{982852A4-4E97-44C6-8AA8-96DA892DCD8C}"/>
    <cellStyle name="Vírgula 3 6" xfId="572" xr:uid="{ED160D96-148F-44B9-9256-0E8143A8A6E8}"/>
    <cellStyle name="Vírgula 3 6 10" xfId="13299" xr:uid="{B2D0317C-B584-4D02-82D5-63C307179AAF}"/>
    <cellStyle name="Vírgula 3 6 10 2" xfId="38791" xr:uid="{FD42ED22-3639-4FEF-86B3-EEFAA810CEFE}"/>
    <cellStyle name="Vírgula 3 6 11" xfId="26200" xr:uid="{3CE34404-DF1C-48C3-BEEB-38816F986C06}"/>
    <cellStyle name="Vírgula 3 6 2" xfId="1109" xr:uid="{F58C0744-F361-484C-B7A1-4F1FF0E58C7B}"/>
    <cellStyle name="Vírgula 3 6 2 2" xfId="2416" xr:uid="{291E3F31-6C5E-4FB3-8BC5-75D898A04F5F}"/>
    <cellStyle name="Vírgula 3 6 2 2 2" xfId="5570" xr:uid="{5145A761-7754-4834-BA50-8BA3B5CAD2D5}"/>
    <cellStyle name="Vírgula 3 6 2 2 2 2" xfId="11863" xr:uid="{4D26833A-E258-4D43-A1FF-50BDECB162E6}"/>
    <cellStyle name="Vírgula 3 6 2 2 2 2 2" xfId="24545" xr:uid="{F9483917-EC06-4DC8-AA08-B589BFB537BB}"/>
    <cellStyle name="Vírgula 3 6 2 2 2 2 2 2" xfId="50037" xr:uid="{434B6745-E5A1-429B-A020-018A6C233179}"/>
    <cellStyle name="Vírgula 3 6 2 2 2 2 3" xfId="37446" xr:uid="{25F3010A-526B-4D97-8457-95AAA9A39CF5}"/>
    <cellStyle name="Vírgula 3 6 2 2 2 3" xfId="18267" xr:uid="{7AFCED81-7750-4A08-A07E-CFF56D9DF7C3}"/>
    <cellStyle name="Vírgula 3 6 2 2 2 3 2" xfId="43759" xr:uid="{70D50816-4868-466A-AC98-C706AE85A337}"/>
    <cellStyle name="Vírgula 3 6 2 2 2 4" xfId="31168" xr:uid="{DAEBAECA-5F46-4CE1-AA12-2FBA101455D2}"/>
    <cellStyle name="Vírgula 3 6 2 2 3" xfId="8724" xr:uid="{D465258F-450E-4BD1-B2DF-84CAC671B029}"/>
    <cellStyle name="Vírgula 3 6 2 2 3 2" xfId="21406" xr:uid="{F8902D0A-730A-4BEF-A125-8139C4676B37}"/>
    <cellStyle name="Vírgula 3 6 2 2 3 2 2" xfId="46898" xr:uid="{41F856C1-3165-427A-A1DD-D8F9E1641147}"/>
    <cellStyle name="Vírgula 3 6 2 2 3 3" xfId="34307" xr:uid="{23701881-4949-4DBE-8D37-3E5308A8249B}"/>
    <cellStyle name="Vírgula 3 6 2 2 4" xfId="15128" xr:uid="{D5B9C42E-48AD-4672-9739-CEBBEB5D97D8}"/>
    <cellStyle name="Vírgula 3 6 2 2 4 2" xfId="40620" xr:uid="{2A04726D-B11C-46B9-A2F9-674B32DB5143}"/>
    <cellStyle name="Vírgula 3 6 2 2 5" xfId="28029" xr:uid="{8CB8D15B-DF72-42C6-B8FB-F941F0D39368}"/>
    <cellStyle name="Vírgula 3 6 2 3" xfId="1633" xr:uid="{209E56F2-651F-4441-A3D9-BA2BBD4E14C9}"/>
    <cellStyle name="Vírgula 3 6 2 3 2" xfId="4787" xr:uid="{C850F758-555C-4F2C-A5B9-DC7B9704AB58}"/>
    <cellStyle name="Vírgula 3 6 2 3 2 2" xfId="11080" xr:uid="{B03A7CB4-C7E3-4B96-AE30-B2DB0F77AEF5}"/>
    <cellStyle name="Vírgula 3 6 2 3 2 2 2" xfId="23762" xr:uid="{397140D5-E611-4582-B05E-A49C68571DB9}"/>
    <cellStyle name="Vírgula 3 6 2 3 2 2 2 2" xfId="49254" xr:uid="{EB0BF1AA-EECB-4C22-AEE8-341A69C558C4}"/>
    <cellStyle name="Vírgula 3 6 2 3 2 2 3" xfId="36663" xr:uid="{5496DBCC-C990-4C17-9972-6FBEA8328ACA}"/>
    <cellStyle name="Vírgula 3 6 2 3 2 3" xfId="17484" xr:uid="{972EA7D6-F077-4FDD-8977-C2A3757F36A1}"/>
    <cellStyle name="Vírgula 3 6 2 3 2 3 2" xfId="42976" xr:uid="{76D13549-C59F-4FC4-992F-CE78BB9F18F5}"/>
    <cellStyle name="Vírgula 3 6 2 3 2 4" xfId="30385" xr:uid="{28A4AB01-CADC-4B86-9D6D-9758C3EF597E}"/>
    <cellStyle name="Vírgula 3 6 2 3 3" xfId="7941" xr:uid="{BA85A756-24AE-4AD1-B058-464467D4948A}"/>
    <cellStyle name="Vírgula 3 6 2 3 3 2" xfId="20623" xr:uid="{9451E518-1FD9-4F2E-BF67-03314411994C}"/>
    <cellStyle name="Vírgula 3 6 2 3 3 2 2" xfId="46115" xr:uid="{02BF61A4-0179-45F2-9809-DC62FBC5D3EB}"/>
    <cellStyle name="Vírgula 3 6 2 3 3 3" xfId="33524" xr:uid="{7A17D553-1D2B-4D27-8262-EE2A38E4E5CA}"/>
    <cellStyle name="Vírgula 3 6 2 3 4" xfId="14345" xr:uid="{FB5356F2-5B24-46E8-B1EF-253838B890AF}"/>
    <cellStyle name="Vírgula 3 6 2 3 4 2" xfId="39837" xr:uid="{C16AFAD6-3BFE-4E6E-90E0-A3B7594FC280}"/>
    <cellStyle name="Vírgula 3 6 2 3 5" xfId="27246" xr:uid="{84C9A91E-2CFA-4EA0-AB4D-4051DE896E72}"/>
    <cellStyle name="Vírgula 3 6 2 4" xfId="2940" xr:uid="{07E44CD8-8AEB-4FF8-A2E9-2CFF9B077DFC}"/>
    <cellStyle name="Vírgula 3 6 2 4 2" xfId="6094" xr:uid="{3BC72F13-5366-45DB-A61A-FFE67DEC4FE5}"/>
    <cellStyle name="Vírgula 3 6 2 4 2 2" xfId="12387" xr:uid="{ADD7AD79-7D5E-410B-833B-951501F53D77}"/>
    <cellStyle name="Vírgula 3 6 2 4 2 2 2" xfId="25069" xr:uid="{CF5F3107-D53D-45B5-AA04-34F7EBD889D4}"/>
    <cellStyle name="Vírgula 3 6 2 4 2 2 2 2" xfId="50561" xr:uid="{8BB33219-AAD4-4705-AB47-0735371717FD}"/>
    <cellStyle name="Vírgula 3 6 2 4 2 2 3" xfId="37970" xr:uid="{51FFB9DF-B4B4-4192-B2A1-E6C6DD84104D}"/>
    <cellStyle name="Vírgula 3 6 2 4 2 3" xfId="18791" xr:uid="{545EE7F0-8D62-414E-AE10-983CBB88ABF2}"/>
    <cellStyle name="Vírgula 3 6 2 4 2 3 2" xfId="44283" xr:uid="{82482DF1-BFA1-4B09-8DE6-CC85B1F53769}"/>
    <cellStyle name="Vírgula 3 6 2 4 2 4" xfId="31692" xr:uid="{4D2C58C5-65C9-433C-A39D-9A45B3519C70}"/>
    <cellStyle name="Vírgula 3 6 2 4 3" xfId="9248" xr:uid="{3DEFD37B-641D-4B89-BD60-1186C5F36778}"/>
    <cellStyle name="Vírgula 3 6 2 4 3 2" xfId="21930" xr:uid="{397C3118-672D-4FF9-BC6A-781177FBA382}"/>
    <cellStyle name="Vírgula 3 6 2 4 3 2 2" xfId="47422" xr:uid="{FCF1FF11-1D20-4E05-A74C-F8F6BA941C26}"/>
    <cellStyle name="Vírgula 3 6 2 4 3 3" xfId="34831" xr:uid="{18FCCCE1-398D-47EF-898C-BFA58D85D625}"/>
    <cellStyle name="Vírgula 3 6 2 4 4" xfId="15652" xr:uid="{414D7A2D-3B7D-4D92-851F-34BB27430892}"/>
    <cellStyle name="Vírgula 3 6 2 4 4 2" xfId="41144" xr:uid="{00387513-743A-4026-91A7-2BB389CC0283}"/>
    <cellStyle name="Vírgula 3 6 2 4 5" xfId="28553" xr:uid="{C0B5EFF0-DBB1-4272-A0CD-E244417BDE9B}"/>
    <cellStyle name="Vírgula 3 6 2 5" xfId="3463" xr:uid="{018F7398-8D9C-481D-A5F0-0E2AF627F830}"/>
    <cellStyle name="Vírgula 3 6 2 5 2" xfId="6617" xr:uid="{B8CEC8C3-A0D5-483C-941B-78DAA24D0BFC}"/>
    <cellStyle name="Vírgula 3 6 2 5 2 2" xfId="12910" xr:uid="{301ABBD8-F9D6-44E9-9B06-BBD2E6014BC1}"/>
    <cellStyle name="Vírgula 3 6 2 5 2 2 2" xfId="25592" xr:uid="{A009955E-E2E8-4C3B-9C01-989829735488}"/>
    <cellStyle name="Vírgula 3 6 2 5 2 2 2 2" xfId="51084" xr:uid="{3226365A-998E-455E-A801-8676CA172B74}"/>
    <cellStyle name="Vírgula 3 6 2 5 2 2 3" xfId="38493" xr:uid="{048DAB07-48AF-44E0-AD75-AA4D55A3532F}"/>
    <cellStyle name="Vírgula 3 6 2 5 2 3" xfId="19314" xr:uid="{D82BC07F-14F9-4148-B157-E58F381EF400}"/>
    <cellStyle name="Vírgula 3 6 2 5 2 3 2" xfId="44806" xr:uid="{FA40F69C-DB75-4542-B2E2-365951469044}"/>
    <cellStyle name="Vírgula 3 6 2 5 2 4" xfId="32215" xr:uid="{CA2B3D28-7D7C-4294-A839-DC5218A3C322}"/>
    <cellStyle name="Vírgula 3 6 2 5 3" xfId="9771" xr:uid="{A125C8FD-3CF7-4D8B-8F55-8B969BD77DFB}"/>
    <cellStyle name="Vírgula 3 6 2 5 3 2" xfId="22453" xr:uid="{7FD65ABC-E155-4DB3-AFE1-E28A175104C4}"/>
    <cellStyle name="Vírgula 3 6 2 5 3 2 2" xfId="47945" xr:uid="{2FECCAE1-714F-45A3-A56C-A1A09CDC7329}"/>
    <cellStyle name="Vírgula 3 6 2 5 3 3" xfId="35354" xr:uid="{C83252EA-A87C-422E-9EB5-5CA01E73F6F7}"/>
    <cellStyle name="Vírgula 3 6 2 5 4" xfId="16175" xr:uid="{450F8216-E6A9-4B94-A2EA-F048AB1AF000}"/>
    <cellStyle name="Vírgula 3 6 2 5 4 2" xfId="41667" xr:uid="{2778B298-0715-48DF-A483-704E4CCE3E9C}"/>
    <cellStyle name="Vírgula 3 6 2 5 5" xfId="29076" xr:uid="{D57EC30C-A129-4E47-827D-0730B5555DDC}"/>
    <cellStyle name="Vírgula 3 6 2 6" xfId="4263" xr:uid="{E5640E11-0DBC-4D43-85E4-46484C4457BA}"/>
    <cellStyle name="Vírgula 3 6 2 6 2" xfId="10556" xr:uid="{1737CEC8-59CD-49C1-8C28-D98BDD0CF44D}"/>
    <cellStyle name="Vírgula 3 6 2 6 2 2" xfId="23238" xr:uid="{655A5BF7-937B-4626-B216-47C2C5E5A6ED}"/>
    <cellStyle name="Vírgula 3 6 2 6 2 2 2" xfId="48730" xr:uid="{6DF91DB1-F0DA-462B-812D-835932464492}"/>
    <cellStyle name="Vírgula 3 6 2 6 2 3" xfId="36139" xr:uid="{E10CAB00-2CC4-46ED-8DB9-1860DA1B9F6C}"/>
    <cellStyle name="Vírgula 3 6 2 6 3" xfId="16960" xr:uid="{2CF277C7-38F4-49AB-B2D7-53C98B3E2674}"/>
    <cellStyle name="Vírgula 3 6 2 6 3 2" xfId="42452" xr:uid="{13B21A8E-D505-4A74-B265-1CDF0603C572}"/>
    <cellStyle name="Vírgula 3 6 2 6 4" xfId="29861" xr:uid="{2D0AF00F-4C47-4BA4-8A35-61502AA9956A}"/>
    <cellStyle name="Vírgula 3 6 2 7" xfId="7417" xr:uid="{BF861975-3C19-4047-8551-B518119529AA}"/>
    <cellStyle name="Vírgula 3 6 2 7 2" xfId="20099" xr:uid="{9BEF5F8F-A01B-4C7D-B906-7B74A6846882}"/>
    <cellStyle name="Vírgula 3 6 2 7 2 2" xfId="45591" xr:uid="{04C6ADF1-4ADD-492C-814F-7952158CAA2C}"/>
    <cellStyle name="Vírgula 3 6 2 7 3" xfId="33000" xr:uid="{A5BB3E96-64BD-41BB-ACB2-5B76527AB845}"/>
    <cellStyle name="Vírgula 3 6 2 8" xfId="13821" xr:uid="{084D999F-5DCD-4927-B96C-2E3603C88CB0}"/>
    <cellStyle name="Vírgula 3 6 2 8 2" xfId="39313" xr:uid="{03688424-B95C-4386-8858-C515E0EC6C5D}"/>
    <cellStyle name="Vírgula 3 6 2 9" xfId="26722" xr:uid="{BD131DDC-0D7F-4F2E-9613-085D9092F6CE}"/>
    <cellStyle name="Vírgula 3 6 3" xfId="849" xr:uid="{6E1AE43E-569A-4A58-AD6B-2EEE37247062}"/>
    <cellStyle name="Vírgula 3 6 3 2" xfId="2156" xr:uid="{BCB70133-D196-4958-887A-F16CA8836EDC}"/>
    <cellStyle name="Vírgula 3 6 3 2 2" xfId="5310" xr:uid="{2C1DE3FD-C02D-42C0-B178-7AB413602E7C}"/>
    <cellStyle name="Vírgula 3 6 3 2 2 2" xfId="11603" xr:uid="{CC3C7268-E7AD-47A0-8AC4-2B407063885A}"/>
    <cellStyle name="Vírgula 3 6 3 2 2 2 2" xfId="24285" xr:uid="{2800C3A7-477C-49F7-82D0-4808774BC7DD}"/>
    <cellStyle name="Vírgula 3 6 3 2 2 2 2 2" xfId="49777" xr:uid="{E4F937BE-203E-4D1E-B710-70B0AD37AF9C}"/>
    <cellStyle name="Vírgula 3 6 3 2 2 2 3" xfId="37186" xr:uid="{6857B1D5-CF13-4535-98FB-60471A1D457F}"/>
    <cellStyle name="Vírgula 3 6 3 2 2 3" xfId="18007" xr:uid="{0F3CD201-62A4-4985-9A95-A16BEAF17530}"/>
    <cellStyle name="Vírgula 3 6 3 2 2 3 2" xfId="43499" xr:uid="{96B9CB8A-4A9D-4A03-9AC2-D168ABE18EB1}"/>
    <cellStyle name="Vírgula 3 6 3 2 2 4" xfId="30908" xr:uid="{A9D00F26-B5F0-4EFC-9C19-A7AEE47C99C3}"/>
    <cellStyle name="Vírgula 3 6 3 2 3" xfId="8464" xr:uid="{A83A60B0-A544-4E4D-93C5-82D706B0AAFD}"/>
    <cellStyle name="Vírgula 3 6 3 2 3 2" xfId="21146" xr:uid="{E50FD0C7-4815-46C4-8AE8-C574FC42691F}"/>
    <cellStyle name="Vírgula 3 6 3 2 3 2 2" xfId="46638" xr:uid="{2B2C21D7-1226-41A7-A4E8-8A4FA9B2A56C}"/>
    <cellStyle name="Vírgula 3 6 3 2 3 3" xfId="34047" xr:uid="{7453AA6B-6860-4D0C-9907-FA121E571B2C}"/>
    <cellStyle name="Vírgula 3 6 3 2 4" xfId="14868" xr:uid="{9D102D49-5748-47FE-ADA6-7AE480A5886A}"/>
    <cellStyle name="Vírgula 3 6 3 2 4 2" xfId="40360" xr:uid="{6952B467-C499-4749-BF2B-09007E46BDA8}"/>
    <cellStyle name="Vírgula 3 6 3 2 5" xfId="27769" xr:uid="{9A834F72-EB52-468F-807C-BBD3682BD031}"/>
    <cellStyle name="Vírgula 3 6 3 3" xfId="4003" xr:uid="{ADE4158A-1720-46CF-8B7C-FFBD958A66B1}"/>
    <cellStyle name="Vírgula 3 6 3 3 2" xfId="10296" xr:uid="{022D3D1F-17D0-4F86-9A7D-72EDDB448A47}"/>
    <cellStyle name="Vírgula 3 6 3 3 2 2" xfId="22978" xr:uid="{FA32317C-85F8-45EA-8C44-6EEDA35B2CB4}"/>
    <cellStyle name="Vírgula 3 6 3 3 2 2 2" xfId="48470" xr:uid="{6CD5B760-041C-44A7-A1E3-A9A1683654F9}"/>
    <cellStyle name="Vírgula 3 6 3 3 2 3" xfId="35879" xr:uid="{47928E72-0C35-4CF3-8678-7AEE6DCA1CF5}"/>
    <cellStyle name="Vírgula 3 6 3 3 3" xfId="16700" xr:uid="{A13631D1-FE68-46C5-BC7D-50F02BCFFE45}"/>
    <cellStyle name="Vírgula 3 6 3 3 3 2" xfId="42192" xr:uid="{39DE88CA-471E-4892-BFDA-08BD2B4715F7}"/>
    <cellStyle name="Vírgula 3 6 3 3 4" xfId="29601" xr:uid="{DCE60FD0-A498-4886-9CAD-534E244FD5B5}"/>
    <cellStyle name="Vírgula 3 6 3 4" xfId="7157" xr:uid="{AEA5DCCB-CD7B-4128-A024-2688540684CC}"/>
    <cellStyle name="Vírgula 3 6 3 4 2" xfId="19839" xr:uid="{08115B4D-9A37-4254-B064-9E99D4F3B22A}"/>
    <cellStyle name="Vírgula 3 6 3 4 2 2" xfId="45331" xr:uid="{E4777BE1-D530-4C88-98C3-8ACCD6A283B9}"/>
    <cellStyle name="Vírgula 3 6 3 4 3" xfId="32740" xr:uid="{C61D366C-50B4-4F68-BD4C-76C1275B1875}"/>
    <cellStyle name="Vírgula 3 6 3 5" xfId="13561" xr:uid="{A6565CBE-3F70-4F98-AA54-CA0AF810E26B}"/>
    <cellStyle name="Vírgula 3 6 3 5 2" xfId="39053" xr:uid="{A1D92D09-029E-4D86-BA03-D7821D482584}"/>
    <cellStyle name="Vírgula 3 6 3 6" xfId="26462" xr:uid="{9C464C3B-AC16-4BA9-B383-58D3B82E61F3}"/>
    <cellStyle name="Vírgula 3 6 4" xfId="1894" xr:uid="{FFAAD7FF-08AA-4B99-88E4-556319EFC7A5}"/>
    <cellStyle name="Vírgula 3 6 4 2" xfId="5048" xr:uid="{E06DEEAC-BDFD-431F-B90F-E50CDA0A06A7}"/>
    <cellStyle name="Vírgula 3 6 4 2 2" xfId="11341" xr:uid="{662CC66E-C314-4C5B-9AD4-5710EC468D7A}"/>
    <cellStyle name="Vírgula 3 6 4 2 2 2" xfId="24023" xr:uid="{01EB04B6-C980-4CD0-8497-DE9B1E048989}"/>
    <cellStyle name="Vírgula 3 6 4 2 2 2 2" xfId="49515" xr:uid="{B289AE9D-1F19-4EC1-A314-73D091B80751}"/>
    <cellStyle name="Vírgula 3 6 4 2 2 3" xfId="36924" xr:uid="{8E1A1D21-2E88-4199-9FD5-3D9686D3725B}"/>
    <cellStyle name="Vírgula 3 6 4 2 3" xfId="17745" xr:uid="{C316D808-5A4F-4232-8576-040F67ED78E9}"/>
    <cellStyle name="Vírgula 3 6 4 2 3 2" xfId="43237" xr:uid="{26347DCE-6B84-49F6-9506-4A0E484F7286}"/>
    <cellStyle name="Vírgula 3 6 4 2 4" xfId="30646" xr:uid="{44AA11B2-37CA-4FC4-B6E0-5D1FA00328EF}"/>
    <cellStyle name="Vírgula 3 6 4 3" xfId="8202" xr:uid="{D7E0C4D5-5ACF-47AB-B286-59626ADB788C}"/>
    <cellStyle name="Vírgula 3 6 4 3 2" xfId="20884" xr:uid="{3BE7C587-7C6B-4FD1-B77C-33B32E94E666}"/>
    <cellStyle name="Vírgula 3 6 4 3 2 2" xfId="46376" xr:uid="{83C12B45-B6A6-411A-BC4A-BFF0E93A9429}"/>
    <cellStyle name="Vírgula 3 6 4 3 3" xfId="33785" xr:uid="{C0075E42-05D3-47EA-8B24-3ABCC251ABA9}"/>
    <cellStyle name="Vírgula 3 6 4 4" xfId="14606" xr:uid="{BBCAC607-D423-420E-9041-7D55F0483F52}"/>
    <cellStyle name="Vírgula 3 6 4 4 2" xfId="40098" xr:uid="{FDF4F875-64A7-40C1-A755-4EE6787F1BCB}"/>
    <cellStyle name="Vírgula 3 6 4 5" xfId="27507" xr:uid="{E64140C8-8EEA-41F5-B62D-EA1F021CA1C6}"/>
    <cellStyle name="Vírgula 3 6 5" xfId="1372" xr:uid="{2DA540DD-A810-4DEF-A538-925D49E6D836}"/>
    <cellStyle name="Vírgula 3 6 5 2" xfId="4526" xr:uid="{3FF4B686-DAFF-4E71-9B97-D600F8E52B72}"/>
    <cellStyle name="Vírgula 3 6 5 2 2" xfId="10819" xr:uid="{6E8E5842-8B04-4964-8F38-5A8B2EF6D2B3}"/>
    <cellStyle name="Vírgula 3 6 5 2 2 2" xfId="23501" xr:uid="{C5A37957-87CD-4E30-9805-239AB9D3254F}"/>
    <cellStyle name="Vírgula 3 6 5 2 2 2 2" xfId="48993" xr:uid="{9908F409-4C07-4403-9652-8EC5F4A7F647}"/>
    <cellStyle name="Vírgula 3 6 5 2 2 3" xfId="36402" xr:uid="{C7A65BDD-6F72-4F6C-A6C1-12DB8B2F1F38}"/>
    <cellStyle name="Vírgula 3 6 5 2 3" xfId="17223" xr:uid="{5EA5EF6D-D6A0-454A-91DC-649853370A20}"/>
    <cellStyle name="Vírgula 3 6 5 2 3 2" xfId="42715" xr:uid="{41C0F568-BF83-4DD1-B987-3323FE71A019}"/>
    <cellStyle name="Vírgula 3 6 5 2 4" xfId="30124" xr:uid="{67EE6B93-C454-485C-BF0E-2A9EB3956456}"/>
    <cellStyle name="Vírgula 3 6 5 3" xfId="7680" xr:uid="{80C9769A-CBC4-4D2A-B08F-D88B08E48608}"/>
    <cellStyle name="Vírgula 3 6 5 3 2" xfId="20362" xr:uid="{8A82FAD7-01E4-4E66-B52F-3AF8A6B2734D}"/>
    <cellStyle name="Vírgula 3 6 5 3 2 2" xfId="45854" xr:uid="{B269976A-9523-4C5F-AC17-80D8729507BF}"/>
    <cellStyle name="Vírgula 3 6 5 3 3" xfId="33263" xr:uid="{2ABBB1AD-2981-4FB3-A309-1645FCF3E309}"/>
    <cellStyle name="Vírgula 3 6 5 4" xfId="14084" xr:uid="{CD4D6E1F-1EF5-4D24-A70A-432C0A001A1B}"/>
    <cellStyle name="Vírgula 3 6 5 4 2" xfId="39576" xr:uid="{5CB77503-E488-4FC3-99EC-4161D4FCE594}"/>
    <cellStyle name="Vírgula 3 6 5 5" xfId="26985" xr:uid="{75A9C84B-D778-4E11-BCFD-234CA3BCB9ED}"/>
    <cellStyle name="Vírgula 3 6 6" xfId="2679" xr:uid="{08A863DA-5FAA-4CA3-939E-1B14C3459351}"/>
    <cellStyle name="Vírgula 3 6 6 2" xfId="5833" xr:uid="{4F38DEA2-D89A-4CB8-9E58-7189131FE905}"/>
    <cellStyle name="Vírgula 3 6 6 2 2" xfId="12126" xr:uid="{614386C5-640D-4A96-982D-584E34991D38}"/>
    <cellStyle name="Vírgula 3 6 6 2 2 2" xfId="24808" xr:uid="{47A235BB-D091-43B3-8E62-19FB3596D3C1}"/>
    <cellStyle name="Vírgula 3 6 6 2 2 2 2" xfId="50300" xr:uid="{C4B1314F-A7C8-476D-B986-E7E9D223120F}"/>
    <cellStyle name="Vírgula 3 6 6 2 2 3" xfId="37709" xr:uid="{E5864B45-CBA7-4828-8EDC-51514220DC46}"/>
    <cellStyle name="Vírgula 3 6 6 2 3" xfId="18530" xr:uid="{AAB1541E-9F0D-4B7B-8190-715A14F2FF0A}"/>
    <cellStyle name="Vírgula 3 6 6 2 3 2" xfId="44022" xr:uid="{159BBCDF-AA7E-4DAC-94F6-D06F50941199}"/>
    <cellStyle name="Vírgula 3 6 6 2 4" xfId="31431" xr:uid="{C6633440-CA53-4951-BBBA-2232E7737978}"/>
    <cellStyle name="Vírgula 3 6 6 3" xfId="8987" xr:uid="{39729712-98E6-41CE-8511-CD9B1AA8B2AE}"/>
    <cellStyle name="Vírgula 3 6 6 3 2" xfId="21669" xr:uid="{34F06529-B7E5-4DAE-B743-8E744CE3A802}"/>
    <cellStyle name="Vírgula 3 6 6 3 2 2" xfId="47161" xr:uid="{1BDC1043-DC63-4EF6-88E0-C6952F6D0824}"/>
    <cellStyle name="Vírgula 3 6 6 3 3" xfId="34570" xr:uid="{36E5621B-022B-4C84-8C37-1DE4D9211DDA}"/>
    <cellStyle name="Vírgula 3 6 6 4" xfId="15391" xr:uid="{BEF461E9-391F-4804-BBFC-0B74DB7E6160}"/>
    <cellStyle name="Vírgula 3 6 6 4 2" xfId="40883" xr:uid="{E24EF96D-0B93-4995-93FB-5765DBBBFEA0}"/>
    <cellStyle name="Vírgula 3 6 6 5" xfId="28292" xr:uid="{47DD7385-045C-4ADA-9EEA-96DB379AF25F}"/>
    <cellStyle name="Vírgula 3 6 7" xfId="3202" xr:uid="{911CA410-47B2-4A4E-A919-2F3CDFF73C8F}"/>
    <cellStyle name="Vírgula 3 6 7 2" xfId="6356" xr:uid="{DEA93593-3E35-4E0E-A45A-422A3CF3C0DE}"/>
    <cellStyle name="Vírgula 3 6 7 2 2" xfId="12649" xr:uid="{651279B9-94D0-4AF7-9970-211514773B24}"/>
    <cellStyle name="Vírgula 3 6 7 2 2 2" xfId="25331" xr:uid="{341AA7C3-E425-4C19-AE9B-F818E5CCC262}"/>
    <cellStyle name="Vírgula 3 6 7 2 2 2 2" xfId="50823" xr:uid="{B6CB606D-F21D-4E0D-8822-967E9363B322}"/>
    <cellStyle name="Vírgula 3 6 7 2 2 3" xfId="38232" xr:uid="{C6642FBB-9B71-4FE4-8BC3-06876D778A35}"/>
    <cellStyle name="Vírgula 3 6 7 2 3" xfId="19053" xr:uid="{EF25DB34-ADD4-471E-B441-DAC30A4BDCFB}"/>
    <cellStyle name="Vírgula 3 6 7 2 3 2" xfId="44545" xr:uid="{74D05AA4-9198-4932-AEA5-82B1DBD4F47A}"/>
    <cellStyle name="Vírgula 3 6 7 2 4" xfId="31954" xr:uid="{635D8D95-0F38-4A33-8BBC-D7CF2E1A0164}"/>
    <cellStyle name="Vírgula 3 6 7 3" xfId="9510" xr:uid="{AF755F36-7871-42BA-821D-AA8F059780BA}"/>
    <cellStyle name="Vírgula 3 6 7 3 2" xfId="22192" xr:uid="{2EC0D218-2194-4F58-8C87-343CEBAEA354}"/>
    <cellStyle name="Vírgula 3 6 7 3 2 2" xfId="47684" xr:uid="{20759D56-416B-4579-AE66-6B7B947C85A1}"/>
    <cellStyle name="Vírgula 3 6 7 3 3" xfId="35093" xr:uid="{EFFBA684-A4E3-4313-B141-877FFB6BCF2C}"/>
    <cellStyle name="Vírgula 3 6 7 4" xfId="15914" xr:uid="{417D66D2-B558-435E-B2F6-5CA56EB563DF}"/>
    <cellStyle name="Vírgula 3 6 7 4 2" xfId="41406" xr:uid="{6545CEB9-C6C6-4B96-A453-E4BDF6780056}"/>
    <cellStyle name="Vírgula 3 6 7 5" xfId="28815" xr:uid="{E1E541FC-809F-445F-A799-403ADFA9C122}"/>
    <cellStyle name="Vírgula 3 6 8" xfId="3741" xr:uid="{27149AEC-1857-46F2-962D-C84DEF363C9F}"/>
    <cellStyle name="Vírgula 3 6 8 2" xfId="10034" xr:uid="{266B1056-8286-45F4-9233-E15FCDE3ED13}"/>
    <cellStyle name="Vírgula 3 6 8 2 2" xfId="22716" xr:uid="{B2158942-5EFA-472E-B04C-CE5767C80A55}"/>
    <cellStyle name="Vírgula 3 6 8 2 2 2" xfId="48208" xr:uid="{E77E48D2-E5D8-497D-95E9-3570305517AE}"/>
    <cellStyle name="Vírgula 3 6 8 2 3" xfId="35617" xr:uid="{4EA40251-7ABE-4C19-B9EF-C140AE43ACE6}"/>
    <cellStyle name="Vírgula 3 6 8 3" xfId="16438" xr:uid="{1D08638A-F853-440F-900E-08BAB625C23F}"/>
    <cellStyle name="Vírgula 3 6 8 3 2" xfId="41930" xr:uid="{4412D380-8DEC-4E2B-A6E0-07E612089AC4}"/>
    <cellStyle name="Vírgula 3 6 8 4" xfId="29339" xr:uid="{84F25223-CE4A-4866-AFD4-0CA7281947BD}"/>
    <cellStyle name="Vírgula 3 6 9" xfId="6895" xr:uid="{00C0AEE8-93D0-4922-8F57-F6186A7B16CE}"/>
    <cellStyle name="Vírgula 3 6 9 2" xfId="19577" xr:uid="{128A5BB1-F209-454D-96DD-F6A08473812C}"/>
    <cellStyle name="Vírgula 3 6 9 2 2" xfId="45069" xr:uid="{B6194F09-BE71-42F2-AF50-A88278F73D30}"/>
    <cellStyle name="Vírgula 3 6 9 3" xfId="32478" xr:uid="{32BBFDFA-1ACA-4C66-AEB1-67C08CD59EF8}"/>
    <cellStyle name="Vírgula 3 7" xfId="514" xr:uid="{F7A6224A-1AB6-4CD0-92DD-8BE475AC7F07}"/>
    <cellStyle name="Vírgula 3 7 10" xfId="13241" xr:uid="{5D6BB274-9CE7-4158-BDE6-BF13AB072FBF}"/>
    <cellStyle name="Vírgula 3 7 10 2" xfId="38733" xr:uid="{636F1C45-E431-446E-8829-07E5416A3E4C}"/>
    <cellStyle name="Vírgula 3 7 11" xfId="26142" xr:uid="{188ACEC9-F826-4F56-AB24-A0432C70B14E}"/>
    <cellStyle name="Vírgula 3 7 2" xfId="1051" xr:uid="{9EDEB71D-3367-43CE-A025-BF609A544E21}"/>
    <cellStyle name="Vírgula 3 7 2 2" xfId="2358" xr:uid="{E35287AC-64C0-4E7C-A837-59A871A09B83}"/>
    <cellStyle name="Vírgula 3 7 2 2 2" xfId="5512" xr:uid="{D342AC1B-2256-4D06-A021-308D1C9899B4}"/>
    <cellStyle name="Vírgula 3 7 2 2 2 2" xfId="11805" xr:uid="{C56AB5E0-0260-4E6B-AA60-DA1063EACA2A}"/>
    <cellStyle name="Vírgula 3 7 2 2 2 2 2" xfId="24487" xr:uid="{1244C4E8-D0DC-4BE7-90AD-66C75528D413}"/>
    <cellStyle name="Vírgula 3 7 2 2 2 2 2 2" xfId="49979" xr:uid="{AD8D5B2F-D80C-4090-890A-CB0F6BA7AD72}"/>
    <cellStyle name="Vírgula 3 7 2 2 2 2 3" xfId="37388" xr:uid="{0554408B-E55A-4CB1-90FA-2F858DEA89A2}"/>
    <cellStyle name="Vírgula 3 7 2 2 2 3" xfId="18209" xr:uid="{9BC1FCFB-C5E9-44E8-B8AF-FFA10B68A6BB}"/>
    <cellStyle name="Vírgula 3 7 2 2 2 3 2" xfId="43701" xr:uid="{F35EB83E-38FB-4FC1-B288-BBE2E12FB0A2}"/>
    <cellStyle name="Vírgula 3 7 2 2 2 4" xfId="31110" xr:uid="{DB8CDC91-A363-4027-ABEA-B7ED96373D36}"/>
    <cellStyle name="Vírgula 3 7 2 2 3" xfId="8666" xr:uid="{FB9B86F6-09F6-40B9-9352-296FF036ED13}"/>
    <cellStyle name="Vírgula 3 7 2 2 3 2" xfId="21348" xr:uid="{68FDD20B-7098-4B41-9375-17A700636F7A}"/>
    <cellStyle name="Vírgula 3 7 2 2 3 2 2" xfId="46840" xr:uid="{EF45989A-D652-45D4-A7DA-A28594D9247A}"/>
    <cellStyle name="Vírgula 3 7 2 2 3 3" xfId="34249" xr:uid="{0E963AC3-D679-4F53-8389-4843E7EC52E9}"/>
    <cellStyle name="Vírgula 3 7 2 2 4" xfId="15070" xr:uid="{273C7F63-293F-4D20-B012-79DCC27A3CDA}"/>
    <cellStyle name="Vírgula 3 7 2 2 4 2" xfId="40562" xr:uid="{94E2BAE7-F3E1-4046-A27C-407655952DC1}"/>
    <cellStyle name="Vírgula 3 7 2 2 5" xfId="27971" xr:uid="{AB5F397D-71B4-4868-8564-6216BB693369}"/>
    <cellStyle name="Vírgula 3 7 2 3" xfId="1575" xr:uid="{97E294C3-F6BA-4216-A782-1F3028B26914}"/>
    <cellStyle name="Vírgula 3 7 2 3 2" xfId="4729" xr:uid="{6EE83DB5-D076-4A56-AFA2-AD91C65C1A5F}"/>
    <cellStyle name="Vírgula 3 7 2 3 2 2" xfId="11022" xr:uid="{B4C2198E-28B6-4003-AE05-45EF9C4984A1}"/>
    <cellStyle name="Vírgula 3 7 2 3 2 2 2" xfId="23704" xr:uid="{2F837BC9-1C79-49F1-AA89-B17F0D927245}"/>
    <cellStyle name="Vírgula 3 7 2 3 2 2 2 2" xfId="49196" xr:uid="{E54E26CF-6C0E-41BC-943B-2FCBB8204C8E}"/>
    <cellStyle name="Vírgula 3 7 2 3 2 2 3" xfId="36605" xr:uid="{86C1EBD1-4868-4AAC-84A6-8D078A720772}"/>
    <cellStyle name="Vírgula 3 7 2 3 2 3" xfId="17426" xr:uid="{4AAE19DA-37A7-481D-AFF7-3F546A91AAE6}"/>
    <cellStyle name="Vírgula 3 7 2 3 2 3 2" xfId="42918" xr:uid="{9F917F39-BD4C-4218-A0C1-2723243A892B}"/>
    <cellStyle name="Vírgula 3 7 2 3 2 4" xfId="30327" xr:uid="{8205B5C5-84D5-447E-95C8-84C7FE8E2FA4}"/>
    <cellStyle name="Vírgula 3 7 2 3 3" xfId="7883" xr:uid="{1C9F37B1-E63E-4D36-861F-754D02C6F09E}"/>
    <cellStyle name="Vírgula 3 7 2 3 3 2" xfId="20565" xr:uid="{494F7537-8B7A-46AE-9626-756D86945D63}"/>
    <cellStyle name="Vírgula 3 7 2 3 3 2 2" xfId="46057" xr:uid="{8CBF2443-7036-43C4-8173-ADCDDD6BF179}"/>
    <cellStyle name="Vírgula 3 7 2 3 3 3" xfId="33466" xr:uid="{7BF78280-AF63-4F37-80FE-9A4DFA77D7F4}"/>
    <cellStyle name="Vírgula 3 7 2 3 4" xfId="14287" xr:uid="{B2F1DFE2-A9A6-4D25-84A2-75AC25C3338C}"/>
    <cellStyle name="Vírgula 3 7 2 3 4 2" xfId="39779" xr:uid="{B2C8FCFE-2C41-44DE-BCC5-114228AFC678}"/>
    <cellStyle name="Vírgula 3 7 2 3 5" xfId="27188" xr:uid="{5CDB6860-111D-4E9B-896D-586328EA5311}"/>
    <cellStyle name="Vírgula 3 7 2 4" xfId="2882" xr:uid="{AFFE15A0-63A9-4890-9155-76FC259A3F07}"/>
    <cellStyle name="Vírgula 3 7 2 4 2" xfId="6036" xr:uid="{D8F8A9D3-5915-47AA-B9F2-1C37B0C1EB35}"/>
    <cellStyle name="Vírgula 3 7 2 4 2 2" xfId="12329" xr:uid="{8FA4D4E3-372B-414A-8A40-36B42C034910}"/>
    <cellStyle name="Vírgula 3 7 2 4 2 2 2" xfId="25011" xr:uid="{70BBD400-C5B2-4E30-BF55-F8DB7CD8115D}"/>
    <cellStyle name="Vírgula 3 7 2 4 2 2 2 2" xfId="50503" xr:uid="{DC8EBDE7-8776-4253-AC40-5434F458D2F9}"/>
    <cellStyle name="Vírgula 3 7 2 4 2 2 3" xfId="37912" xr:uid="{74CF8B57-5555-4813-919F-B69147ED7788}"/>
    <cellStyle name="Vírgula 3 7 2 4 2 3" xfId="18733" xr:uid="{0161C895-7F80-4B79-9A88-BDEB1D11CA74}"/>
    <cellStyle name="Vírgula 3 7 2 4 2 3 2" xfId="44225" xr:uid="{38A8B0B7-A59B-4774-AD1E-5727A8F24B87}"/>
    <cellStyle name="Vírgula 3 7 2 4 2 4" xfId="31634" xr:uid="{F052881D-6962-4C40-92C8-EC499521C237}"/>
    <cellStyle name="Vírgula 3 7 2 4 3" xfId="9190" xr:uid="{55B732FC-1B81-45C5-92A9-8329B187BC3C}"/>
    <cellStyle name="Vírgula 3 7 2 4 3 2" xfId="21872" xr:uid="{91C65268-63A0-4500-92FB-EC2ECD90D5AD}"/>
    <cellStyle name="Vírgula 3 7 2 4 3 2 2" xfId="47364" xr:uid="{5A817454-5782-4C3F-BD96-922FA890DDBB}"/>
    <cellStyle name="Vírgula 3 7 2 4 3 3" xfId="34773" xr:uid="{33497A6F-D887-4315-B57C-CEBD405699C1}"/>
    <cellStyle name="Vírgula 3 7 2 4 4" xfId="15594" xr:uid="{33A6B154-3D6B-4AC2-BFDD-C5FD3EC9419E}"/>
    <cellStyle name="Vírgula 3 7 2 4 4 2" xfId="41086" xr:uid="{15D08F9E-9E4D-4AD7-A966-78C2A37C381C}"/>
    <cellStyle name="Vírgula 3 7 2 4 5" xfId="28495" xr:uid="{A255CFE0-6C07-499C-A9E6-728ECE48F7B3}"/>
    <cellStyle name="Vírgula 3 7 2 5" xfId="3405" xr:uid="{98F4136F-D328-4EA2-BDE9-806B8CFFDCE7}"/>
    <cellStyle name="Vírgula 3 7 2 5 2" xfId="6559" xr:uid="{CC8DE970-CC1A-4457-9823-57843DAA5D92}"/>
    <cellStyle name="Vírgula 3 7 2 5 2 2" xfId="12852" xr:uid="{F9F3D5C7-8576-44A7-B318-4C859D9DC9F6}"/>
    <cellStyle name="Vírgula 3 7 2 5 2 2 2" xfId="25534" xr:uid="{3E4DD34E-DD77-42BD-90D9-E0DF2EEB0B9E}"/>
    <cellStyle name="Vírgula 3 7 2 5 2 2 2 2" xfId="51026" xr:uid="{470147C6-57F2-4967-AE18-EDF110F0ECE3}"/>
    <cellStyle name="Vírgula 3 7 2 5 2 2 3" xfId="38435" xr:uid="{400641F8-AC61-4E37-B8FB-C9BD8DA697CB}"/>
    <cellStyle name="Vírgula 3 7 2 5 2 3" xfId="19256" xr:uid="{0DC4FB21-58E7-484F-9833-80617287B2C9}"/>
    <cellStyle name="Vírgula 3 7 2 5 2 3 2" xfId="44748" xr:uid="{E9B70E96-75AF-4774-B2EF-2409C493780C}"/>
    <cellStyle name="Vírgula 3 7 2 5 2 4" xfId="32157" xr:uid="{DFE293F7-E779-426F-9A50-708391393BF9}"/>
    <cellStyle name="Vírgula 3 7 2 5 3" xfId="9713" xr:uid="{CA5FE858-E662-4A0B-A606-653FF0757265}"/>
    <cellStyle name="Vírgula 3 7 2 5 3 2" xfId="22395" xr:uid="{BD55C2EF-2325-4F5F-8944-1D630D3860B3}"/>
    <cellStyle name="Vírgula 3 7 2 5 3 2 2" xfId="47887" xr:uid="{3B39B900-C957-4560-A1D4-FC5E3F771F6B}"/>
    <cellStyle name="Vírgula 3 7 2 5 3 3" xfId="35296" xr:uid="{3A9E87F1-5F0D-41A3-B4AE-45437D25E34C}"/>
    <cellStyle name="Vírgula 3 7 2 5 4" xfId="16117" xr:uid="{7C536C61-2265-4C5B-B339-EB6ACAEF6D3E}"/>
    <cellStyle name="Vírgula 3 7 2 5 4 2" xfId="41609" xr:uid="{5ADBEC04-0A3A-4623-B475-FEE7D09FD8C8}"/>
    <cellStyle name="Vírgula 3 7 2 5 5" xfId="29018" xr:uid="{17229505-30C6-4DCC-95F9-2631701FB300}"/>
    <cellStyle name="Vírgula 3 7 2 6" xfId="4205" xr:uid="{B09C427A-9845-498B-8B82-FDFB20C16FFF}"/>
    <cellStyle name="Vírgula 3 7 2 6 2" xfId="10498" xr:uid="{3C05E5F1-C321-41C4-A3C3-A6FB3C2B8336}"/>
    <cellStyle name="Vírgula 3 7 2 6 2 2" xfId="23180" xr:uid="{8A0D89E4-128D-4F1E-BE29-3A9F9A900CD9}"/>
    <cellStyle name="Vírgula 3 7 2 6 2 2 2" xfId="48672" xr:uid="{5D9F29A6-A038-4CD8-9864-81E6C75A9E0C}"/>
    <cellStyle name="Vírgula 3 7 2 6 2 3" xfId="36081" xr:uid="{7BF7D7CB-D64A-4A35-893F-B338C81FBD0F}"/>
    <cellStyle name="Vírgula 3 7 2 6 3" xfId="16902" xr:uid="{AACC2972-6100-4D44-A81A-A4BAB52DFB11}"/>
    <cellStyle name="Vírgula 3 7 2 6 3 2" xfId="42394" xr:uid="{4D2ED865-0A6A-46AF-B3CA-EC7F91138CAE}"/>
    <cellStyle name="Vírgula 3 7 2 6 4" xfId="29803" xr:uid="{964AEBF9-0F2D-4847-BCB1-F40313959A73}"/>
    <cellStyle name="Vírgula 3 7 2 7" xfId="7359" xr:uid="{FB3F9BCE-EA47-49DD-9627-3B6F8C8EE553}"/>
    <cellStyle name="Vírgula 3 7 2 7 2" xfId="20041" xr:uid="{0D663B45-9EF3-45B2-ADA7-9F1AB489B020}"/>
    <cellStyle name="Vírgula 3 7 2 7 2 2" xfId="45533" xr:uid="{152482BC-200A-4CAC-8973-6ED42F8BEBAD}"/>
    <cellStyle name="Vírgula 3 7 2 7 3" xfId="32942" xr:uid="{E1EF5A49-C342-4B68-9F1F-4227C2747EDB}"/>
    <cellStyle name="Vírgula 3 7 2 8" xfId="13763" xr:uid="{170DD51E-1CE6-46FD-906C-8F4080FDF489}"/>
    <cellStyle name="Vírgula 3 7 2 8 2" xfId="39255" xr:uid="{65ABEEC9-C784-4B02-8C79-89A8C7C733A8}"/>
    <cellStyle name="Vírgula 3 7 2 9" xfId="26664" xr:uid="{7CDA8EAC-07A3-4378-9BDE-790A1E7AC8B6}"/>
    <cellStyle name="Vírgula 3 7 3" xfId="791" xr:uid="{6CD0D6ED-372F-4C58-BADD-1CD70DD41D7B}"/>
    <cellStyle name="Vírgula 3 7 3 2" xfId="2098" xr:uid="{8826F26B-B0CC-482E-A4EB-C578D52DE929}"/>
    <cellStyle name="Vírgula 3 7 3 2 2" xfId="5252" xr:uid="{201BA5AD-155C-4830-A322-CD096331228C}"/>
    <cellStyle name="Vírgula 3 7 3 2 2 2" xfId="11545" xr:uid="{D2E6BFE6-0270-4C88-8044-02DE85F5E0AA}"/>
    <cellStyle name="Vírgula 3 7 3 2 2 2 2" xfId="24227" xr:uid="{F9C31B37-08C6-4280-9156-9724CEAC21C4}"/>
    <cellStyle name="Vírgula 3 7 3 2 2 2 2 2" xfId="49719" xr:uid="{55E0AF0A-CA5F-4571-B27B-434C2943D659}"/>
    <cellStyle name="Vírgula 3 7 3 2 2 2 3" xfId="37128" xr:uid="{E7589CF8-7B10-4E6D-8899-438FE9386353}"/>
    <cellStyle name="Vírgula 3 7 3 2 2 3" xfId="17949" xr:uid="{BEF0DE3E-AC45-4B0B-9633-8902A4A99286}"/>
    <cellStyle name="Vírgula 3 7 3 2 2 3 2" xfId="43441" xr:uid="{6CA79436-7600-43F3-BDFD-990F9D0CE321}"/>
    <cellStyle name="Vírgula 3 7 3 2 2 4" xfId="30850" xr:uid="{E9DDE56C-8C9D-413A-A261-A51EB2817207}"/>
    <cellStyle name="Vírgula 3 7 3 2 3" xfId="8406" xr:uid="{87AA6D4F-3C50-48F9-8FE0-F37B74E1FCC5}"/>
    <cellStyle name="Vírgula 3 7 3 2 3 2" xfId="21088" xr:uid="{5A539F03-8E6C-4465-A26D-67E2F31ABE38}"/>
    <cellStyle name="Vírgula 3 7 3 2 3 2 2" xfId="46580" xr:uid="{4A5C5E09-7894-430D-B8F2-E05AF5B0C12F}"/>
    <cellStyle name="Vírgula 3 7 3 2 3 3" xfId="33989" xr:uid="{1667C94F-A5B2-43C5-A12D-E3ADCD562B0D}"/>
    <cellStyle name="Vírgula 3 7 3 2 4" xfId="14810" xr:uid="{821EA1CA-1BBB-4D4B-BA38-9AC643F134BC}"/>
    <cellStyle name="Vírgula 3 7 3 2 4 2" xfId="40302" xr:uid="{3F2FF840-7888-43B7-9F77-B59F75E53F9A}"/>
    <cellStyle name="Vírgula 3 7 3 2 5" xfId="27711" xr:uid="{74216D89-734E-40A2-A6C3-321EA4FF061C}"/>
    <cellStyle name="Vírgula 3 7 3 3" xfId="3945" xr:uid="{B3699F26-7E02-4613-A160-7890F769CF3F}"/>
    <cellStyle name="Vírgula 3 7 3 3 2" xfId="10238" xr:uid="{D03BBDC6-786D-477B-87F5-20DAD40EDBA5}"/>
    <cellStyle name="Vírgula 3 7 3 3 2 2" xfId="22920" xr:uid="{B31148C2-7ABE-47DD-8F37-B1E9473E1899}"/>
    <cellStyle name="Vírgula 3 7 3 3 2 2 2" xfId="48412" xr:uid="{2F5CF8FC-5413-439C-B529-8D3B62DC20EA}"/>
    <cellStyle name="Vírgula 3 7 3 3 2 3" xfId="35821" xr:uid="{38405D8B-8545-4EAB-BA1A-434462F06FCC}"/>
    <cellStyle name="Vírgula 3 7 3 3 3" xfId="16642" xr:uid="{5583D4A0-16FD-4408-9D5A-2CA1CD0F400E}"/>
    <cellStyle name="Vírgula 3 7 3 3 3 2" xfId="42134" xr:uid="{160CEF03-D88A-47F8-964E-F3C5269DE61E}"/>
    <cellStyle name="Vírgula 3 7 3 3 4" xfId="29543" xr:uid="{E9D77611-B853-4E5E-B3BC-C717A8F400B8}"/>
    <cellStyle name="Vírgula 3 7 3 4" xfId="7099" xr:uid="{38FA8D24-FE35-4DE1-8133-A9DF242C8431}"/>
    <cellStyle name="Vírgula 3 7 3 4 2" xfId="19781" xr:uid="{F63CFB7D-9FC9-4715-9386-E45033BB75B3}"/>
    <cellStyle name="Vírgula 3 7 3 4 2 2" xfId="45273" xr:uid="{B94486D4-C35A-4DEB-8EE9-4CA97A2AAB7E}"/>
    <cellStyle name="Vírgula 3 7 3 4 3" xfId="32682" xr:uid="{31F84808-8257-4B44-9B96-BF9E8D85308A}"/>
    <cellStyle name="Vírgula 3 7 3 5" xfId="13503" xr:uid="{432AEFB3-A85E-43AF-903B-726A6D8E5FE3}"/>
    <cellStyle name="Vírgula 3 7 3 5 2" xfId="38995" xr:uid="{1DB01071-75F1-4CF8-862C-766466D0191A}"/>
    <cellStyle name="Vírgula 3 7 3 6" xfId="26404" xr:uid="{2DBA404E-8644-47CA-A972-35D3A68CAB5E}"/>
    <cellStyle name="Vírgula 3 7 4" xfId="1836" xr:uid="{1F87846B-CE8F-45E0-AC9A-B469D059FD9B}"/>
    <cellStyle name="Vírgula 3 7 4 2" xfId="4990" xr:uid="{BB6DA705-0762-4B16-A716-C36FA55FD23A}"/>
    <cellStyle name="Vírgula 3 7 4 2 2" xfId="11283" xr:uid="{23084041-AAE5-47BC-8995-DDC72C9F75FE}"/>
    <cellStyle name="Vírgula 3 7 4 2 2 2" xfId="23965" xr:uid="{1C4D877C-5CAC-40AD-9C0F-A9A7B16821C1}"/>
    <cellStyle name="Vírgula 3 7 4 2 2 2 2" xfId="49457" xr:uid="{A4DAEDA5-AF8D-460A-9A4F-ED6ACDC944B2}"/>
    <cellStyle name="Vírgula 3 7 4 2 2 3" xfId="36866" xr:uid="{96949EE1-35D8-41AE-B25E-458DB8B5605A}"/>
    <cellStyle name="Vírgula 3 7 4 2 3" xfId="17687" xr:uid="{F3220FAC-11A3-4A91-92F9-5AA6B27C4865}"/>
    <cellStyle name="Vírgula 3 7 4 2 3 2" xfId="43179" xr:uid="{90F737DE-2E80-44CA-85D1-5FB933A449CD}"/>
    <cellStyle name="Vírgula 3 7 4 2 4" xfId="30588" xr:uid="{4C12DE21-B1AC-47F4-BD94-E12C0687E4CA}"/>
    <cellStyle name="Vírgula 3 7 4 3" xfId="8144" xr:uid="{31EAC120-8D89-4A97-8C70-26720EF02B2C}"/>
    <cellStyle name="Vírgula 3 7 4 3 2" xfId="20826" xr:uid="{CBDF36E3-82C1-42CB-9C0E-17D069575164}"/>
    <cellStyle name="Vírgula 3 7 4 3 2 2" xfId="46318" xr:uid="{E8E03695-5FA9-4280-9CEC-9A90902089DC}"/>
    <cellStyle name="Vírgula 3 7 4 3 3" xfId="33727" xr:uid="{3ADD0527-0A62-4CDA-A322-1EE9823674B4}"/>
    <cellStyle name="Vírgula 3 7 4 4" xfId="14548" xr:uid="{A4E6B750-B5C2-4DED-A685-30B641F22B33}"/>
    <cellStyle name="Vírgula 3 7 4 4 2" xfId="40040" xr:uid="{B9BD4F45-231A-4588-866A-90126E30A6E0}"/>
    <cellStyle name="Vírgula 3 7 4 5" xfId="27449" xr:uid="{48BCED30-0BE4-4D87-A73F-BE26837797C3}"/>
    <cellStyle name="Vírgula 3 7 5" xfId="1314" xr:uid="{E98FF79F-BB54-4FE7-80F2-FFE5ABD6BB1C}"/>
    <cellStyle name="Vírgula 3 7 5 2" xfId="4468" xr:uid="{A61C28AF-7A20-4427-9EDC-1314B524FAC6}"/>
    <cellStyle name="Vírgula 3 7 5 2 2" xfId="10761" xr:uid="{EFC1CE82-4180-43E2-8CEB-4661CCC9A59C}"/>
    <cellStyle name="Vírgula 3 7 5 2 2 2" xfId="23443" xr:uid="{7F417BE2-74BA-4893-8567-6E50D3176701}"/>
    <cellStyle name="Vírgula 3 7 5 2 2 2 2" xfId="48935" xr:uid="{F34A0EBF-0E8C-466C-8315-3EC6CE24591B}"/>
    <cellStyle name="Vírgula 3 7 5 2 2 3" xfId="36344" xr:uid="{1E83C181-0CDD-48BD-BA32-E98ACBC2F70E}"/>
    <cellStyle name="Vírgula 3 7 5 2 3" xfId="17165" xr:uid="{2345A721-7A88-45BC-860E-3A0A78F177D2}"/>
    <cellStyle name="Vírgula 3 7 5 2 3 2" xfId="42657" xr:uid="{66471295-AF51-466B-ADB2-5CF4EF476091}"/>
    <cellStyle name="Vírgula 3 7 5 2 4" xfId="30066" xr:uid="{245C316F-11BB-4946-BCE5-EA393D8689CE}"/>
    <cellStyle name="Vírgula 3 7 5 3" xfId="7622" xr:uid="{97B53C31-984D-4B9E-A41F-9BA86D8DEB5F}"/>
    <cellStyle name="Vírgula 3 7 5 3 2" xfId="20304" xr:uid="{EFC881FF-7833-4922-A784-8E0441EF97F8}"/>
    <cellStyle name="Vírgula 3 7 5 3 2 2" xfId="45796" xr:uid="{F5DE8A24-FBBC-4DB1-8812-6C0F5325995C}"/>
    <cellStyle name="Vírgula 3 7 5 3 3" xfId="33205" xr:uid="{7774EFC2-9909-442E-BFCD-B2B39C0B381F}"/>
    <cellStyle name="Vírgula 3 7 5 4" xfId="14026" xr:uid="{110F8CCB-A173-4CE1-B287-5E62EF30E43D}"/>
    <cellStyle name="Vírgula 3 7 5 4 2" xfId="39518" xr:uid="{F663775B-5852-4B8F-B203-E48B07C841CF}"/>
    <cellStyle name="Vírgula 3 7 5 5" xfId="26927" xr:uid="{8552789E-31BE-4EB0-BDB3-06096A80926E}"/>
    <cellStyle name="Vírgula 3 7 6" xfId="2621" xr:uid="{4A46C018-1FC2-46E2-962E-AAE74BF28F77}"/>
    <cellStyle name="Vírgula 3 7 6 2" xfId="5775" xr:uid="{09632034-45D1-4A83-B803-BCCCDDC767D2}"/>
    <cellStyle name="Vírgula 3 7 6 2 2" xfId="12068" xr:uid="{08F9AE81-0905-433F-9432-51B974E0F8CF}"/>
    <cellStyle name="Vírgula 3 7 6 2 2 2" xfId="24750" xr:uid="{460F0503-E089-4EC7-A2F1-FCC97F069C48}"/>
    <cellStyle name="Vírgula 3 7 6 2 2 2 2" xfId="50242" xr:uid="{988131B5-8AF1-4C81-BDB1-DE328343768F}"/>
    <cellStyle name="Vírgula 3 7 6 2 2 3" xfId="37651" xr:uid="{2778CEC6-63FF-4E5A-8140-844E51E52A5A}"/>
    <cellStyle name="Vírgula 3 7 6 2 3" xfId="18472" xr:uid="{6C6FB5B2-164B-4645-9AA4-F8F4E6629CEF}"/>
    <cellStyle name="Vírgula 3 7 6 2 3 2" xfId="43964" xr:uid="{09AA2F7B-6205-4F11-A997-09255FE69CEE}"/>
    <cellStyle name="Vírgula 3 7 6 2 4" xfId="31373" xr:uid="{6684C28E-F227-4475-836C-7D10D1735CB1}"/>
    <cellStyle name="Vírgula 3 7 6 3" xfId="8929" xr:uid="{324406C5-FDA6-43CD-AC97-6FD8005164BF}"/>
    <cellStyle name="Vírgula 3 7 6 3 2" xfId="21611" xr:uid="{D6A39F85-00FD-4C73-B1A5-FF81E297E1BB}"/>
    <cellStyle name="Vírgula 3 7 6 3 2 2" xfId="47103" xr:uid="{E594A7BB-92E4-4694-851F-4F62AF48692D}"/>
    <cellStyle name="Vírgula 3 7 6 3 3" xfId="34512" xr:uid="{445768DA-3A64-412C-BA15-20CD6505A02E}"/>
    <cellStyle name="Vírgula 3 7 6 4" xfId="15333" xr:uid="{AF8A12EF-D7BE-4F01-B47C-FCB56CC8B618}"/>
    <cellStyle name="Vírgula 3 7 6 4 2" xfId="40825" xr:uid="{BE03447C-67B2-43F0-B16F-0FA963014AF2}"/>
    <cellStyle name="Vírgula 3 7 6 5" xfId="28234" xr:uid="{10DFB96F-3006-4D5E-A707-33B4F956BF97}"/>
    <cellStyle name="Vírgula 3 7 7" xfId="3144" xr:uid="{785A76A7-0447-4A98-8E54-477C6EA9448E}"/>
    <cellStyle name="Vírgula 3 7 7 2" xfId="6298" xr:uid="{69B453F9-5AB3-4BAF-B275-A54D095729D6}"/>
    <cellStyle name="Vírgula 3 7 7 2 2" xfId="12591" xr:uid="{279197E4-4D97-4EBE-884B-9541C7378114}"/>
    <cellStyle name="Vírgula 3 7 7 2 2 2" xfId="25273" xr:uid="{04F41CE0-53BA-4DDF-AC38-6E47C08D2F93}"/>
    <cellStyle name="Vírgula 3 7 7 2 2 2 2" xfId="50765" xr:uid="{91D01D60-8903-4813-B086-7E3BB658A74B}"/>
    <cellStyle name="Vírgula 3 7 7 2 2 3" xfId="38174" xr:uid="{F64D5155-E1B9-4FAC-94A1-8D33837D45B2}"/>
    <cellStyle name="Vírgula 3 7 7 2 3" xfId="18995" xr:uid="{AB07F335-3C13-434C-9D6C-6C8017D4FC8F}"/>
    <cellStyle name="Vírgula 3 7 7 2 3 2" xfId="44487" xr:uid="{83126271-254A-481C-88CE-F943380E1FB3}"/>
    <cellStyle name="Vírgula 3 7 7 2 4" xfId="31896" xr:uid="{53443E16-A8DA-46C9-9C7E-1DBD9300B7BD}"/>
    <cellStyle name="Vírgula 3 7 7 3" xfId="9452" xr:uid="{3E169836-8517-47C8-AAEC-B062C3BD2D15}"/>
    <cellStyle name="Vírgula 3 7 7 3 2" xfId="22134" xr:uid="{6A5A3C3E-B3CD-45E0-99F5-CE3283EBA04D}"/>
    <cellStyle name="Vírgula 3 7 7 3 2 2" xfId="47626" xr:uid="{55418E3F-8BAA-4ECD-B724-396C1F4B21F3}"/>
    <cellStyle name="Vírgula 3 7 7 3 3" xfId="35035" xr:uid="{60A43F6F-3EDD-4C43-8925-4235CDA973AD}"/>
    <cellStyle name="Vírgula 3 7 7 4" xfId="15856" xr:uid="{39FECB32-C438-4E74-AAE7-DEB11BC3E07A}"/>
    <cellStyle name="Vírgula 3 7 7 4 2" xfId="41348" xr:uid="{8A200D92-3D09-4B09-A1BA-F0EB353CF8D2}"/>
    <cellStyle name="Vírgula 3 7 7 5" xfId="28757" xr:uid="{DCC6920F-46C0-4063-968B-2A72AD31DF8E}"/>
    <cellStyle name="Vírgula 3 7 8" xfId="3683" xr:uid="{E864D297-8C01-4558-9B70-8AB6E7195B80}"/>
    <cellStyle name="Vírgula 3 7 8 2" xfId="9976" xr:uid="{666A92BE-93D7-4C06-A403-B77FBD76F7BE}"/>
    <cellStyle name="Vírgula 3 7 8 2 2" xfId="22658" xr:uid="{602C9473-AAC0-4106-BA0D-23E6177AB89B}"/>
    <cellStyle name="Vírgula 3 7 8 2 2 2" xfId="48150" xr:uid="{4FD01A6F-5F17-4853-9A2F-5E23D9BD306E}"/>
    <cellStyle name="Vírgula 3 7 8 2 3" xfId="35559" xr:uid="{E4CA71E7-9E8D-4AC9-81D1-4575D96EE9EA}"/>
    <cellStyle name="Vírgula 3 7 8 3" xfId="16380" xr:uid="{FAF88982-CDCB-4C2B-B920-EA7E019E0719}"/>
    <cellStyle name="Vírgula 3 7 8 3 2" xfId="41872" xr:uid="{DAA88226-18DF-4C56-AB03-5E8A4BE055BA}"/>
    <cellStyle name="Vírgula 3 7 8 4" xfId="29281" xr:uid="{7741AC3F-539A-4BAE-B018-B6D115038279}"/>
    <cellStyle name="Vírgula 3 7 9" xfId="6837" xr:uid="{B2484A68-D249-479D-8041-A6BE9B60391B}"/>
    <cellStyle name="Vírgula 3 7 9 2" xfId="19519" xr:uid="{607B0F21-BAAF-4758-B06D-7856FD939505}"/>
    <cellStyle name="Vírgula 3 7 9 2 2" xfId="45011" xr:uid="{320F4831-225D-4EBB-9549-0347C0A557D3}"/>
    <cellStyle name="Vírgula 3 7 9 3" xfId="32420" xr:uid="{D81FCA37-E96D-45A1-B652-19D42F24D2A0}"/>
    <cellStyle name="Vírgula 3 8" xfId="950" xr:uid="{A5F07873-7B1B-4FB4-B485-25E855880972}"/>
    <cellStyle name="Vírgula 3 8 2" xfId="2257" xr:uid="{78D04ACB-4E24-4A90-8D91-1F730050627D}"/>
    <cellStyle name="Vírgula 3 8 2 2" xfId="5411" xr:uid="{0528BD6A-6CAE-4529-BE6D-3C038B540525}"/>
    <cellStyle name="Vírgula 3 8 2 2 2" xfId="11704" xr:uid="{6ABDD9B0-7B8B-407F-BA52-B3D3E3B9F590}"/>
    <cellStyle name="Vírgula 3 8 2 2 2 2" xfId="24386" xr:uid="{9FBF66D5-284B-4560-8F94-AEFA19E87070}"/>
    <cellStyle name="Vírgula 3 8 2 2 2 2 2" xfId="49878" xr:uid="{C304135D-525B-4793-8178-CB71DCB16358}"/>
    <cellStyle name="Vírgula 3 8 2 2 2 3" xfId="37287" xr:uid="{349B014A-2550-4A7A-A226-FF0D26D8FE73}"/>
    <cellStyle name="Vírgula 3 8 2 2 3" xfId="18108" xr:uid="{871433CA-29B0-4CD2-ACEE-4F1298C0A558}"/>
    <cellStyle name="Vírgula 3 8 2 2 3 2" xfId="43600" xr:uid="{F967749F-3B11-4B1B-A3D6-764B71EC2C69}"/>
    <cellStyle name="Vírgula 3 8 2 2 4" xfId="31009" xr:uid="{9364F747-8196-4529-B964-DF227D19738C}"/>
    <cellStyle name="Vírgula 3 8 2 3" xfId="8565" xr:uid="{B1F7CC20-48EA-42E7-BB1D-CBB6E1957C9A}"/>
    <cellStyle name="Vírgula 3 8 2 3 2" xfId="21247" xr:uid="{1E73C54B-D779-49E1-ACA8-DF864B101826}"/>
    <cellStyle name="Vírgula 3 8 2 3 2 2" xfId="46739" xr:uid="{D8D2B9FD-281D-47EE-BD8F-C59F2FAB28E1}"/>
    <cellStyle name="Vírgula 3 8 2 3 3" xfId="34148" xr:uid="{21334BDA-FE5F-44AC-A0B5-C366FD363636}"/>
    <cellStyle name="Vírgula 3 8 2 4" xfId="14969" xr:uid="{17EABD28-40E4-426A-BEB5-522B25AEB73A}"/>
    <cellStyle name="Vírgula 3 8 2 4 2" xfId="40461" xr:uid="{EA162D4C-BF50-4BA0-840D-843EDF2D6162}"/>
    <cellStyle name="Vírgula 3 8 2 5" xfId="27870" xr:uid="{3B47E368-CC44-486E-BCF8-535BE3B4F95C}"/>
    <cellStyle name="Vírgula 3 8 3" xfId="1474" xr:uid="{A5860B0F-465D-499E-BDA3-4FE9F9E455E8}"/>
    <cellStyle name="Vírgula 3 8 3 2" xfId="4628" xr:uid="{287FEC72-C49D-4CEC-BB98-AA17E0FC279A}"/>
    <cellStyle name="Vírgula 3 8 3 2 2" xfId="10921" xr:uid="{8050FD95-35B4-4F34-9140-072FB90CA4ED}"/>
    <cellStyle name="Vírgula 3 8 3 2 2 2" xfId="23603" xr:uid="{A9405FC4-080D-469D-BE65-50C40F5881A6}"/>
    <cellStyle name="Vírgula 3 8 3 2 2 2 2" xfId="49095" xr:uid="{DF21C58F-EABB-4918-A751-845A5EDE4EEB}"/>
    <cellStyle name="Vírgula 3 8 3 2 2 3" xfId="36504" xr:uid="{68101B37-904E-42A9-B82B-EDF710EC4E23}"/>
    <cellStyle name="Vírgula 3 8 3 2 3" xfId="17325" xr:uid="{05BE294F-D156-48CE-B038-AD46E1103F03}"/>
    <cellStyle name="Vírgula 3 8 3 2 3 2" xfId="42817" xr:uid="{DA3683CA-07C3-4C54-A12A-D5DC794D571C}"/>
    <cellStyle name="Vírgula 3 8 3 2 4" xfId="30226" xr:uid="{B81D49C9-A8AD-419B-9A0F-EC2FC7BC37CC}"/>
    <cellStyle name="Vírgula 3 8 3 3" xfId="7782" xr:uid="{A4AD1E65-C892-4808-BC91-EC656461174C}"/>
    <cellStyle name="Vírgula 3 8 3 3 2" xfId="20464" xr:uid="{A440EC59-CD36-40AB-B3EE-582BB0BAD770}"/>
    <cellStyle name="Vírgula 3 8 3 3 2 2" xfId="45956" xr:uid="{59330BF5-DD67-4283-8A8C-61190F2E3F4A}"/>
    <cellStyle name="Vírgula 3 8 3 3 3" xfId="33365" xr:uid="{E1757171-BE1D-40D1-A44C-24F7252AA5E5}"/>
    <cellStyle name="Vírgula 3 8 3 4" xfId="14186" xr:uid="{6F23CF91-CE83-4D47-B1C9-C2799307E36A}"/>
    <cellStyle name="Vírgula 3 8 3 4 2" xfId="39678" xr:uid="{7ED38CFC-E4C9-4D1E-88DD-D71BAA3EC390}"/>
    <cellStyle name="Vírgula 3 8 3 5" xfId="27087" xr:uid="{5DCC957C-E132-4211-B73A-E54E96BF1567}"/>
    <cellStyle name="Vírgula 3 8 4" xfId="2781" xr:uid="{EAA9AB2D-9703-43F1-A556-62836CDBB49D}"/>
    <cellStyle name="Vírgula 3 8 4 2" xfId="5935" xr:uid="{03D17528-F5BC-49F9-88B8-3DB2DFAD376A}"/>
    <cellStyle name="Vírgula 3 8 4 2 2" xfId="12228" xr:uid="{3AF5ACFF-67F5-450B-B669-78E7531B8128}"/>
    <cellStyle name="Vírgula 3 8 4 2 2 2" xfId="24910" xr:uid="{7D6392C7-FEF7-4D58-A270-C78B6942EAD4}"/>
    <cellStyle name="Vírgula 3 8 4 2 2 2 2" xfId="50402" xr:uid="{188166B8-C0B3-4CF9-8740-CDF73994AA39}"/>
    <cellStyle name="Vírgula 3 8 4 2 2 3" xfId="37811" xr:uid="{8553694D-5DC0-4A48-BFB2-3463257DDB44}"/>
    <cellStyle name="Vírgula 3 8 4 2 3" xfId="18632" xr:uid="{B4756DA7-EC15-4EDD-BE80-74B9576D2182}"/>
    <cellStyle name="Vírgula 3 8 4 2 3 2" xfId="44124" xr:uid="{5BBE97F2-C150-456C-8C48-364AF2F9B7FC}"/>
    <cellStyle name="Vírgula 3 8 4 2 4" xfId="31533" xr:uid="{CA85D580-A40B-4C7E-AC16-10A31FDD8F5B}"/>
    <cellStyle name="Vírgula 3 8 4 3" xfId="9089" xr:uid="{4D611A98-C2FC-48F7-89F6-5389DD451B2D}"/>
    <cellStyle name="Vírgula 3 8 4 3 2" xfId="21771" xr:uid="{FCEC3E47-75D6-47AA-9F6B-CBFAF3772BC0}"/>
    <cellStyle name="Vírgula 3 8 4 3 2 2" xfId="47263" xr:uid="{C3990014-F81F-48DC-B3DC-244C600EA2A2}"/>
    <cellStyle name="Vírgula 3 8 4 3 3" xfId="34672" xr:uid="{4331CCB2-14D4-4014-926A-EFE35FB05FA4}"/>
    <cellStyle name="Vírgula 3 8 4 4" xfId="15493" xr:uid="{2E0C39ED-30BF-45A0-941A-FC7C710FE002}"/>
    <cellStyle name="Vírgula 3 8 4 4 2" xfId="40985" xr:uid="{64CDE778-4DE7-4215-A70E-C7170D88B888}"/>
    <cellStyle name="Vírgula 3 8 4 5" xfId="28394" xr:uid="{1BE8157F-04EB-4AE6-B993-3B213F79AFA2}"/>
    <cellStyle name="Vírgula 3 8 5" xfId="3304" xr:uid="{6A0F8B52-5064-4665-99D0-48BA1803AEAC}"/>
    <cellStyle name="Vírgula 3 8 5 2" xfId="6458" xr:uid="{0221428E-5836-409F-B539-37B33197F773}"/>
    <cellStyle name="Vírgula 3 8 5 2 2" xfId="12751" xr:uid="{E37A21AD-5CA8-4D79-839B-278ADFF4A496}"/>
    <cellStyle name="Vírgula 3 8 5 2 2 2" xfId="25433" xr:uid="{EAFEC3DB-B720-4827-8053-247BC04CA927}"/>
    <cellStyle name="Vírgula 3 8 5 2 2 2 2" xfId="50925" xr:uid="{699CAE90-F181-4956-A68E-ECB489A39D52}"/>
    <cellStyle name="Vírgula 3 8 5 2 2 3" xfId="38334" xr:uid="{4412F111-CF97-47CD-AFDA-6D622EEF5937}"/>
    <cellStyle name="Vírgula 3 8 5 2 3" xfId="19155" xr:uid="{95415CD8-C006-479C-9468-8799443F030F}"/>
    <cellStyle name="Vírgula 3 8 5 2 3 2" xfId="44647" xr:uid="{26A36A8B-D0A0-48C2-89C2-F144A027DFEA}"/>
    <cellStyle name="Vírgula 3 8 5 2 4" xfId="32056" xr:uid="{603B1711-095A-4D5D-B08E-3BB5AA327244}"/>
    <cellStyle name="Vírgula 3 8 5 3" xfId="9612" xr:uid="{30AD8EEC-A022-46CF-A71B-32AB0B8B3C79}"/>
    <cellStyle name="Vírgula 3 8 5 3 2" xfId="22294" xr:uid="{F516035A-3FF4-4470-AE1C-756C4A8BFC3D}"/>
    <cellStyle name="Vírgula 3 8 5 3 2 2" xfId="47786" xr:uid="{EA43FC83-8032-4A4B-8DFA-7FD97A52A537}"/>
    <cellStyle name="Vírgula 3 8 5 3 3" xfId="35195" xr:uid="{13B2AADD-3DD2-4DAA-BFFA-645E908A0CAF}"/>
    <cellStyle name="Vírgula 3 8 5 4" xfId="16016" xr:uid="{8DA583B6-4BF3-4C12-AA7E-45C3A6D85FC9}"/>
    <cellStyle name="Vírgula 3 8 5 4 2" xfId="41508" xr:uid="{3DB2CAEA-2E6F-4627-AB78-C6886AAA6C21}"/>
    <cellStyle name="Vírgula 3 8 5 5" xfId="28917" xr:uid="{9B414BE4-7255-4BEE-89E3-CF83424A6D44}"/>
    <cellStyle name="Vírgula 3 8 6" xfId="4104" xr:uid="{AD6C1B98-434E-4ECB-9F96-D25C9433288A}"/>
    <cellStyle name="Vírgula 3 8 6 2" xfId="10397" xr:uid="{C8AE55AE-7ABD-481D-AE48-04B236350101}"/>
    <cellStyle name="Vírgula 3 8 6 2 2" xfId="23079" xr:uid="{3E5BE34B-22C8-4525-9775-0E93A1277701}"/>
    <cellStyle name="Vírgula 3 8 6 2 2 2" xfId="48571" xr:uid="{491E4154-5301-483A-AAB5-3A81F1A815EB}"/>
    <cellStyle name="Vírgula 3 8 6 2 3" xfId="35980" xr:uid="{80735235-C5DB-4E88-AD9D-BFEB05D3884E}"/>
    <cellStyle name="Vírgula 3 8 6 3" xfId="16801" xr:uid="{884CD139-AB69-45F5-9073-7E0E64B2F8E9}"/>
    <cellStyle name="Vírgula 3 8 6 3 2" xfId="42293" xr:uid="{4467D653-3407-4541-9035-C6CDB56B909E}"/>
    <cellStyle name="Vírgula 3 8 6 4" xfId="29702" xr:uid="{9FA09E1D-F33C-4C02-AC46-A4DFD596BEBB}"/>
    <cellStyle name="Vírgula 3 8 7" xfId="7258" xr:uid="{D5E37820-79F7-4915-85FE-9CBE0A1593B0}"/>
    <cellStyle name="Vírgula 3 8 7 2" xfId="19940" xr:uid="{D4D9578B-08DF-4C9A-B54B-7B6483BB690B}"/>
    <cellStyle name="Vírgula 3 8 7 2 2" xfId="45432" xr:uid="{CB8D2971-AC49-4252-8F29-F48FFE50127F}"/>
    <cellStyle name="Vírgula 3 8 7 3" xfId="32841" xr:uid="{A146706A-EA5B-4213-837C-19424DE66E37}"/>
    <cellStyle name="Vírgula 3 8 8" xfId="13662" xr:uid="{C2DCA155-0079-4C3C-8E36-DA72DE15E5E7}"/>
    <cellStyle name="Vírgula 3 8 8 2" xfId="39154" xr:uid="{34D6D9DD-261D-4910-A53B-AC2F6BFB9469}"/>
    <cellStyle name="Vírgula 3 8 9" xfId="26563" xr:uid="{078F54C2-C340-49A3-B554-906CC069FE17}"/>
    <cellStyle name="Vírgula 3 9" xfId="690" xr:uid="{4ACBBD59-E085-4780-AA27-6499626E3552}"/>
    <cellStyle name="Vírgula 3 9 2" xfId="1997" xr:uid="{22963E69-2931-4A26-8928-E0F5419EC465}"/>
    <cellStyle name="Vírgula 3 9 2 2" xfId="5151" xr:uid="{09BDE2CA-1B7F-4E06-A6EB-BD7DAD0531FF}"/>
    <cellStyle name="Vírgula 3 9 2 2 2" xfId="11444" xr:uid="{8C716BA0-EB7F-4CAB-9BA4-A5ABEB35A3C1}"/>
    <cellStyle name="Vírgula 3 9 2 2 2 2" xfId="24126" xr:uid="{F6B8A76C-1D6F-4911-A30F-BCB3F2592435}"/>
    <cellStyle name="Vírgula 3 9 2 2 2 2 2" xfId="49618" xr:uid="{0497E25E-4922-450D-A714-A77B8F252430}"/>
    <cellStyle name="Vírgula 3 9 2 2 2 3" xfId="37027" xr:uid="{B69D39A1-2C5B-4AFD-A14F-96954737C639}"/>
    <cellStyle name="Vírgula 3 9 2 2 3" xfId="17848" xr:uid="{1D913E11-0AC7-4F5C-A453-2AC888C1FF19}"/>
    <cellStyle name="Vírgula 3 9 2 2 3 2" xfId="43340" xr:uid="{92BCF096-5A9C-4F0D-AA00-F4B42632FE71}"/>
    <cellStyle name="Vírgula 3 9 2 2 4" xfId="30749" xr:uid="{275ED124-A9E3-4BD5-ADCB-1CA06C642331}"/>
    <cellStyle name="Vírgula 3 9 2 3" xfId="8305" xr:uid="{1FFEDCCE-6DC3-452B-99B1-0A386E6A6A9F}"/>
    <cellStyle name="Vírgula 3 9 2 3 2" xfId="20987" xr:uid="{D50227D8-1289-4E6A-8EDA-CF36711A49E6}"/>
    <cellStyle name="Vírgula 3 9 2 3 2 2" xfId="46479" xr:uid="{E27ACEB8-99D2-4C9F-9C11-ED3DB718275C}"/>
    <cellStyle name="Vírgula 3 9 2 3 3" xfId="33888" xr:uid="{106FD056-B0DC-4828-B377-679C10C723B1}"/>
    <cellStyle name="Vírgula 3 9 2 4" xfId="14709" xr:uid="{65EF5653-C56D-466F-83BF-773A39FCAFF2}"/>
    <cellStyle name="Vírgula 3 9 2 4 2" xfId="40201" xr:uid="{3897777C-8A02-423C-978D-FD0AC45D44ED}"/>
    <cellStyle name="Vírgula 3 9 2 5" xfId="27610" xr:uid="{CFB565F5-C7B7-42DB-AE69-B84981BD5EF1}"/>
    <cellStyle name="Vírgula 3 9 3" xfId="3844" xr:uid="{DA25F55F-88DB-4C81-9FBC-2C85DCCC0999}"/>
    <cellStyle name="Vírgula 3 9 3 2" xfId="10137" xr:uid="{80B71C3D-4CD1-4D37-929A-E689904B62AD}"/>
    <cellStyle name="Vírgula 3 9 3 2 2" xfId="22819" xr:uid="{8C97E49A-5D69-4A8C-AC42-3DC139587DE5}"/>
    <cellStyle name="Vírgula 3 9 3 2 2 2" xfId="48311" xr:uid="{1CA3BA5F-5807-4EB1-81AA-257BDF45CE54}"/>
    <cellStyle name="Vírgula 3 9 3 2 3" xfId="35720" xr:uid="{04436F02-20AE-4000-9613-D435FB41C342}"/>
    <cellStyle name="Vírgula 3 9 3 3" xfId="16541" xr:uid="{97C6A1FF-4E51-465C-B22A-5AD1C17251D6}"/>
    <cellStyle name="Vírgula 3 9 3 3 2" xfId="42033" xr:uid="{6182DA42-5068-4269-8418-E573A9AEC69A}"/>
    <cellStyle name="Vírgula 3 9 3 4" xfId="29442" xr:uid="{34E60947-DE1F-4ABF-BC4B-3ED08BDDC41A}"/>
    <cellStyle name="Vírgula 3 9 4" xfId="6998" xr:uid="{9EEA391B-321C-4D94-8B80-7B36F8711758}"/>
    <cellStyle name="Vírgula 3 9 4 2" xfId="19680" xr:uid="{D1BC18F9-0229-4340-9FC8-A0B20F717618}"/>
    <cellStyle name="Vírgula 3 9 4 2 2" xfId="45172" xr:uid="{8C59DB27-834E-4D94-8198-952445D726DE}"/>
    <cellStyle name="Vírgula 3 9 4 3" xfId="32581" xr:uid="{03A37A28-8794-4B20-8E26-5BE71D8A0D11}"/>
    <cellStyle name="Vírgula 3 9 5" xfId="13402" xr:uid="{F06A4D1D-9C95-4DA0-87E4-54F8BDAE3FA9}"/>
    <cellStyle name="Vírgula 3 9 5 2" xfId="38894" xr:uid="{9842453E-2E65-4DD3-98C5-15A9AD321D2F}"/>
    <cellStyle name="Vírgula 3 9 6" xfId="26303" xr:uid="{87DE1078-BBF0-45C5-AD5A-567B5BA0E119}"/>
    <cellStyle name="Vírgula 4" xfId="146" xr:uid="{E79FEBE6-4C50-461B-B523-2B380F9058E0}"/>
    <cellStyle name="Vírgula 4 10" xfId="6770" xr:uid="{1A741D96-0A56-4705-A6D8-3D897F2D5D19}"/>
    <cellStyle name="Vírgula 4 10 2" xfId="19452" xr:uid="{7DF4B98F-EA41-4D45-902B-62083453F389}"/>
    <cellStyle name="Vírgula 4 10 2 2" xfId="44944" xr:uid="{F7EA84E2-4869-4727-A531-B79A1622739F}"/>
    <cellStyle name="Vírgula 4 10 3" xfId="32353" xr:uid="{7823D367-3246-4485-AEA4-63476EC2A5D5}"/>
    <cellStyle name="Vírgula 4 11" xfId="13174" xr:uid="{A39627B7-8A59-41EC-BBC9-E5F14FF85970}"/>
    <cellStyle name="Vírgula 4 11 2" xfId="38666" xr:uid="{CA0B2871-0277-4397-ACC9-42FA74582F8C}"/>
    <cellStyle name="Vírgula 4 12" xfId="26075" xr:uid="{14AA2131-6A5E-4BC1-B4DD-CF8910DF76A1}"/>
    <cellStyle name="Vírgula 4 13" xfId="447" xr:uid="{94C4EBFA-677E-4D81-BDCF-DE9F70564BEA}"/>
    <cellStyle name="Vírgula 4 2" xfId="606" xr:uid="{D8EC5068-AFBA-42DD-93E7-40AEE697996E}"/>
    <cellStyle name="Vírgula 4 2 10" xfId="13333" xr:uid="{E22CC5C5-02BA-4CF6-9B9B-508ED34BD4C0}"/>
    <cellStyle name="Vírgula 4 2 10 2" xfId="38825" xr:uid="{B31920B9-C9EC-41DF-B652-9B26CBC494CA}"/>
    <cellStyle name="Vírgula 4 2 11" xfId="26234" xr:uid="{58215BCC-1ED5-4BE1-84E5-468675B13661}"/>
    <cellStyle name="Vírgula 4 2 2" xfId="1143" xr:uid="{3FB9F274-7F45-4223-A458-87A71F3E47FC}"/>
    <cellStyle name="Vírgula 4 2 2 2" xfId="2450" xr:uid="{EC32889C-B2EA-4787-8733-AEC4B68E40B2}"/>
    <cellStyle name="Vírgula 4 2 2 2 2" xfId="5604" xr:uid="{A08E48EE-CC77-4827-B29C-B10F99C889AB}"/>
    <cellStyle name="Vírgula 4 2 2 2 2 2" xfId="11897" xr:uid="{F3FF4944-0401-488C-9114-2B522B736944}"/>
    <cellStyle name="Vírgula 4 2 2 2 2 2 2" xfId="24579" xr:uid="{15B10937-AC0C-4726-9A69-A7C8CE7BFFC0}"/>
    <cellStyle name="Vírgula 4 2 2 2 2 2 2 2" xfId="50071" xr:uid="{5AE18674-1AB7-4432-91E0-A1FB4A084F37}"/>
    <cellStyle name="Vírgula 4 2 2 2 2 2 3" xfId="37480" xr:uid="{03DE7DE0-3145-4401-8578-5EDA2330DF23}"/>
    <cellStyle name="Vírgula 4 2 2 2 2 3" xfId="18301" xr:uid="{59965924-AE08-46FF-9103-DAB3B2B3A30E}"/>
    <cellStyle name="Vírgula 4 2 2 2 2 3 2" xfId="43793" xr:uid="{68BEADFB-F65F-49F0-97D6-49B970A7B93F}"/>
    <cellStyle name="Vírgula 4 2 2 2 2 4" xfId="31202" xr:uid="{84EF4412-4C3E-4174-8A8B-15B51370652F}"/>
    <cellStyle name="Vírgula 4 2 2 2 3" xfId="8758" xr:uid="{B2C14492-368A-4D1A-89F8-384C7FB2E361}"/>
    <cellStyle name="Vírgula 4 2 2 2 3 2" xfId="21440" xr:uid="{FA34134B-8E42-498C-990E-21FC3B96A7D4}"/>
    <cellStyle name="Vírgula 4 2 2 2 3 2 2" xfId="46932" xr:uid="{F79979D5-2727-406D-91F1-18A95CC38FEA}"/>
    <cellStyle name="Vírgula 4 2 2 2 3 3" xfId="34341" xr:uid="{0FDAC13B-64EE-47E7-8E04-9E7152FBA134}"/>
    <cellStyle name="Vírgula 4 2 2 2 4" xfId="15162" xr:uid="{FB920575-7E85-4260-8F58-F4C5E224A604}"/>
    <cellStyle name="Vírgula 4 2 2 2 4 2" xfId="40654" xr:uid="{D152131F-913C-4E02-BAEE-2B7914C394CD}"/>
    <cellStyle name="Vírgula 4 2 2 2 5" xfId="28063" xr:uid="{E860DED8-4DC2-4C6C-B25B-D9A95805371D}"/>
    <cellStyle name="Vírgula 4 2 2 3" xfId="1667" xr:uid="{0F3AC230-B58C-43D1-B600-821501C4262C}"/>
    <cellStyle name="Vírgula 4 2 2 3 2" xfId="4821" xr:uid="{9B86383B-8676-4E6E-B74A-A4AAA17F7031}"/>
    <cellStyle name="Vírgula 4 2 2 3 2 2" xfId="11114" xr:uid="{AAED6225-6763-47A0-9126-E0E70ED8F48D}"/>
    <cellStyle name="Vírgula 4 2 2 3 2 2 2" xfId="23796" xr:uid="{C92110A4-355B-4CFF-B65B-612C134C3849}"/>
    <cellStyle name="Vírgula 4 2 2 3 2 2 2 2" xfId="49288" xr:uid="{63EF1590-3F90-44F5-9637-511FBEF8EDD6}"/>
    <cellStyle name="Vírgula 4 2 2 3 2 2 3" xfId="36697" xr:uid="{BF469AA4-D79B-4376-872A-A97FF55B0095}"/>
    <cellStyle name="Vírgula 4 2 2 3 2 3" xfId="17518" xr:uid="{DA08A65E-0CC1-4D42-82EC-7C2CBBA1EAF4}"/>
    <cellStyle name="Vírgula 4 2 2 3 2 3 2" xfId="43010" xr:uid="{1988BC4B-8533-4993-9FBD-93CAE730312D}"/>
    <cellStyle name="Vírgula 4 2 2 3 2 4" xfId="30419" xr:uid="{69788046-F055-4AEA-968D-3E0885670241}"/>
    <cellStyle name="Vírgula 4 2 2 3 3" xfId="7975" xr:uid="{445BF245-76A5-4062-B435-F7E29AD59EC3}"/>
    <cellStyle name="Vírgula 4 2 2 3 3 2" xfId="20657" xr:uid="{17C568E2-0F99-44BA-8405-B9508AF7A34D}"/>
    <cellStyle name="Vírgula 4 2 2 3 3 2 2" xfId="46149" xr:uid="{1C40E9E4-2031-4DEF-8F01-BF0BAA9226E6}"/>
    <cellStyle name="Vírgula 4 2 2 3 3 3" xfId="33558" xr:uid="{585ADA21-8DA8-4805-AAE7-0E5810BD86F1}"/>
    <cellStyle name="Vírgula 4 2 2 3 4" xfId="14379" xr:uid="{27BECE08-EF39-48A5-A39E-92224A597D0C}"/>
    <cellStyle name="Vírgula 4 2 2 3 4 2" xfId="39871" xr:uid="{D2C09CB0-9867-48C4-8DC2-0ED5E42A4CA3}"/>
    <cellStyle name="Vírgula 4 2 2 3 5" xfId="27280" xr:uid="{C647218C-1E34-4DD8-977F-6C65C004C311}"/>
    <cellStyle name="Vírgula 4 2 2 4" xfId="2974" xr:uid="{840A34D3-3847-4CA7-A01F-C24574F446D0}"/>
    <cellStyle name="Vírgula 4 2 2 4 2" xfId="6128" xr:uid="{3B021F27-D580-4AEE-A49D-A085BC9B74FC}"/>
    <cellStyle name="Vírgula 4 2 2 4 2 2" xfId="12421" xr:uid="{5948812E-6C35-4B02-8238-873DA5BD9A05}"/>
    <cellStyle name="Vírgula 4 2 2 4 2 2 2" xfId="25103" xr:uid="{00669498-A3BA-48B4-8AFA-F9FF2B7A25F1}"/>
    <cellStyle name="Vírgula 4 2 2 4 2 2 2 2" xfId="50595" xr:uid="{AC848E07-4B15-4FCC-9437-2021D53A3E0A}"/>
    <cellStyle name="Vírgula 4 2 2 4 2 2 3" xfId="38004" xr:uid="{31910C50-2A8C-44E0-9C33-AF91152566C0}"/>
    <cellStyle name="Vírgula 4 2 2 4 2 3" xfId="18825" xr:uid="{83023CEA-A4F3-4B0B-BCB7-1040AB369AB0}"/>
    <cellStyle name="Vírgula 4 2 2 4 2 3 2" xfId="44317" xr:uid="{63431B79-8DC6-4CB4-B260-7E7BA9C0467B}"/>
    <cellStyle name="Vírgula 4 2 2 4 2 4" xfId="31726" xr:uid="{4A75EEB6-6278-49B1-A9FF-997CB03F7EAF}"/>
    <cellStyle name="Vírgula 4 2 2 4 3" xfId="9282" xr:uid="{87E43EB6-C030-4934-BF88-B615EA6934AD}"/>
    <cellStyle name="Vírgula 4 2 2 4 3 2" xfId="21964" xr:uid="{FFD4E34C-0461-4D8C-A386-31C939A7D42A}"/>
    <cellStyle name="Vírgula 4 2 2 4 3 2 2" xfId="47456" xr:uid="{9CD8C7CD-C670-47B9-993F-2DB369D720BF}"/>
    <cellStyle name="Vírgula 4 2 2 4 3 3" xfId="34865" xr:uid="{B072B7D6-F62D-4F1B-A721-9119CDC7A00E}"/>
    <cellStyle name="Vírgula 4 2 2 4 4" xfId="15686" xr:uid="{EA6FF9F0-3388-45F3-BAB9-9DB791201DBD}"/>
    <cellStyle name="Vírgula 4 2 2 4 4 2" xfId="41178" xr:uid="{C15DB9FB-5C91-4857-B1FB-C686EDC455F4}"/>
    <cellStyle name="Vírgula 4 2 2 4 5" xfId="28587" xr:uid="{B9A1508C-C9E9-45A7-BF36-EC9809E6334D}"/>
    <cellStyle name="Vírgula 4 2 2 5" xfId="3497" xr:uid="{2AA63187-B369-46D7-9508-66EE6ED30C57}"/>
    <cellStyle name="Vírgula 4 2 2 5 2" xfId="6651" xr:uid="{10040BA6-7A1D-470D-937B-62EFAEF20742}"/>
    <cellStyle name="Vírgula 4 2 2 5 2 2" xfId="12944" xr:uid="{EC2253EA-838A-49F8-AA3F-D4B63C488AA6}"/>
    <cellStyle name="Vírgula 4 2 2 5 2 2 2" xfId="25626" xr:uid="{2D65F9B1-403D-4633-938F-063C4457AE04}"/>
    <cellStyle name="Vírgula 4 2 2 5 2 2 2 2" xfId="51118" xr:uid="{2EBE84F0-455C-4976-9B9B-2965C2A10191}"/>
    <cellStyle name="Vírgula 4 2 2 5 2 2 3" xfId="38527" xr:uid="{88BCD3AE-3650-4164-8ECE-363883EC944C}"/>
    <cellStyle name="Vírgula 4 2 2 5 2 3" xfId="19348" xr:uid="{F6856EFD-6B2B-4132-BD30-DB80D0B3B8FF}"/>
    <cellStyle name="Vírgula 4 2 2 5 2 3 2" xfId="44840" xr:uid="{EFE863FD-7EA2-4977-9A5B-6A2D2E8ED949}"/>
    <cellStyle name="Vírgula 4 2 2 5 2 4" xfId="32249" xr:uid="{4F47021D-6ECD-456F-ACA6-B5074DF965F8}"/>
    <cellStyle name="Vírgula 4 2 2 5 3" xfId="9805" xr:uid="{8A8CC1A5-B15A-4E65-8E3C-FE84CDD414D2}"/>
    <cellStyle name="Vírgula 4 2 2 5 3 2" xfId="22487" xr:uid="{0518D7CD-5BB3-4DA7-B269-39B903698867}"/>
    <cellStyle name="Vírgula 4 2 2 5 3 2 2" xfId="47979" xr:uid="{7DF2DC89-170D-4BE4-A93A-01CE849A0433}"/>
    <cellStyle name="Vírgula 4 2 2 5 3 3" xfId="35388" xr:uid="{FE07D6AE-54BB-4E16-BA8E-388AEC09AEF3}"/>
    <cellStyle name="Vírgula 4 2 2 5 4" xfId="16209" xr:uid="{5D7E9AB2-730C-426E-87B6-8278AF62287E}"/>
    <cellStyle name="Vírgula 4 2 2 5 4 2" xfId="41701" xr:uid="{7B3B7B3E-91A9-4562-9BD3-3185CB0FD349}"/>
    <cellStyle name="Vírgula 4 2 2 5 5" xfId="29110" xr:uid="{07887BFF-4CE1-4BDB-B85B-7CDE031EA519}"/>
    <cellStyle name="Vírgula 4 2 2 6" xfId="4297" xr:uid="{D25A3FAE-DB40-41C2-AB08-95B17BC1E67E}"/>
    <cellStyle name="Vírgula 4 2 2 6 2" xfId="10590" xr:uid="{C73F3664-6C27-4F95-9249-78E6AF525940}"/>
    <cellStyle name="Vírgula 4 2 2 6 2 2" xfId="23272" xr:uid="{2D94D947-B0B2-4B03-9978-44EA436785E1}"/>
    <cellStyle name="Vírgula 4 2 2 6 2 2 2" xfId="48764" xr:uid="{C7A029C4-6BE2-469A-80D6-5053A6E6759D}"/>
    <cellStyle name="Vírgula 4 2 2 6 2 3" xfId="36173" xr:uid="{E1A65E85-8D8E-4385-977F-EFCEA4E893E8}"/>
    <cellStyle name="Vírgula 4 2 2 6 3" xfId="16994" xr:uid="{72FF3713-01E0-41CC-A533-3F6CB6B5452F}"/>
    <cellStyle name="Vírgula 4 2 2 6 3 2" xfId="42486" xr:uid="{7B9F33B1-A8E6-444F-9644-E24B29C91006}"/>
    <cellStyle name="Vírgula 4 2 2 6 4" xfId="29895" xr:uid="{9117F8D0-E7E1-416D-B355-510D5FEA2B26}"/>
    <cellStyle name="Vírgula 4 2 2 7" xfId="7451" xr:uid="{9BB13904-26D9-49BF-9012-95EC07991427}"/>
    <cellStyle name="Vírgula 4 2 2 7 2" xfId="20133" xr:uid="{B9321EB9-8877-4989-8B31-F4725EBDFC23}"/>
    <cellStyle name="Vírgula 4 2 2 7 2 2" xfId="45625" xr:uid="{111B90A8-4F6B-4FFB-A02D-1745E51DA549}"/>
    <cellStyle name="Vírgula 4 2 2 7 3" xfId="33034" xr:uid="{04587FF9-4126-4830-9F20-FA2ABE3DFE5C}"/>
    <cellStyle name="Vírgula 4 2 2 8" xfId="13855" xr:uid="{56D4F7FE-FC12-4B7E-B99B-99C2C0E73D23}"/>
    <cellStyle name="Vírgula 4 2 2 8 2" xfId="39347" xr:uid="{28312DDA-B9D5-418B-A977-C540A6D9E7B6}"/>
    <cellStyle name="Vírgula 4 2 2 9" xfId="26756" xr:uid="{347234EB-F1ED-49A3-8F10-6E60279D44A5}"/>
    <cellStyle name="Vírgula 4 2 3" xfId="883" xr:uid="{9316527F-02B7-4FBA-81AC-E1C656AC8C49}"/>
    <cellStyle name="Vírgula 4 2 3 2" xfId="2190" xr:uid="{C2C5F55E-F3A2-403C-B883-82C832F2A019}"/>
    <cellStyle name="Vírgula 4 2 3 2 2" xfId="5344" xr:uid="{FB0A41EA-90B2-4829-B8D2-586D4817F920}"/>
    <cellStyle name="Vírgula 4 2 3 2 2 2" xfId="11637" xr:uid="{4209EA28-566D-4F89-8D4B-04C11669E24C}"/>
    <cellStyle name="Vírgula 4 2 3 2 2 2 2" xfId="24319" xr:uid="{6010CB21-6249-4962-A66E-FEF1B6A5EADB}"/>
    <cellStyle name="Vírgula 4 2 3 2 2 2 2 2" xfId="49811" xr:uid="{162D6B58-841C-493B-B57C-207BCBE3B354}"/>
    <cellStyle name="Vírgula 4 2 3 2 2 2 3" xfId="37220" xr:uid="{FB2ADCAD-B663-4C80-ABDF-F2532F3923BF}"/>
    <cellStyle name="Vírgula 4 2 3 2 2 3" xfId="18041" xr:uid="{9F1C2C94-BE95-4893-9AEE-5117CBF2E733}"/>
    <cellStyle name="Vírgula 4 2 3 2 2 3 2" xfId="43533" xr:uid="{1B5497BD-CFA1-4BE5-90C1-77EBB50D10BA}"/>
    <cellStyle name="Vírgula 4 2 3 2 2 4" xfId="30942" xr:uid="{3BD5BBAE-5696-4DB8-858F-82B5CABDA857}"/>
    <cellStyle name="Vírgula 4 2 3 2 3" xfId="8498" xr:uid="{A707467E-5D0B-4730-92FE-10954A132599}"/>
    <cellStyle name="Vírgula 4 2 3 2 3 2" xfId="21180" xr:uid="{3687AE50-AB37-4718-BBDB-1B9E2A2ECAD6}"/>
    <cellStyle name="Vírgula 4 2 3 2 3 2 2" xfId="46672" xr:uid="{44A5944D-8679-4DE1-BB52-F64C0ADC6154}"/>
    <cellStyle name="Vírgula 4 2 3 2 3 3" xfId="34081" xr:uid="{47CD0674-9FC6-408B-89B0-37A2E66AB074}"/>
    <cellStyle name="Vírgula 4 2 3 2 4" xfId="14902" xr:uid="{75292F1A-A82F-40BB-9F07-B0D196188623}"/>
    <cellStyle name="Vírgula 4 2 3 2 4 2" xfId="40394" xr:uid="{612E1B3A-1B21-43E4-B98F-D54F38CDFA44}"/>
    <cellStyle name="Vírgula 4 2 3 2 5" xfId="27803" xr:uid="{7722DFC6-1AE0-4506-912B-5E932D725F73}"/>
    <cellStyle name="Vírgula 4 2 3 3" xfId="4037" xr:uid="{B986BFA4-6A5B-473E-905F-E4BA4F583B09}"/>
    <cellStyle name="Vírgula 4 2 3 3 2" xfId="10330" xr:uid="{45DAB7B2-4932-4294-B963-55CECB66DC63}"/>
    <cellStyle name="Vírgula 4 2 3 3 2 2" xfId="23012" xr:uid="{2B52A6F3-BDF3-47B6-992E-7AD9165F033C}"/>
    <cellStyle name="Vírgula 4 2 3 3 2 2 2" xfId="48504" xr:uid="{E6E30CC3-CB42-4C7A-90B9-0820455A9D7E}"/>
    <cellStyle name="Vírgula 4 2 3 3 2 3" xfId="35913" xr:uid="{C99DC1E1-BDF8-4E4E-9C17-B20063D9BE8C}"/>
    <cellStyle name="Vírgula 4 2 3 3 3" xfId="16734" xr:uid="{AAC1D76A-F112-43D9-AAA0-268AF7A1DCE0}"/>
    <cellStyle name="Vírgula 4 2 3 3 3 2" xfId="42226" xr:uid="{34111FEF-7612-40FB-8FA4-FDA2815CE3B1}"/>
    <cellStyle name="Vírgula 4 2 3 3 4" xfId="29635" xr:uid="{F0D98CF5-68AB-44A3-B640-454D12F998FA}"/>
    <cellStyle name="Vírgula 4 2 3 4" xfId="7191" xr:uid="{F919E281-37C9-48D5-B95D-42421FE64195}"/>
    <cellStyle name="Vírgula 4 2 3 4 2" xfId="19873" xr:uid="{AA665B26-D39A-4AA8-8643-AFF369ADAFA1}"/>
    <cellStyle name="Vírgula 4 2 3 4 2 2" xfId="45365" xr:uid="{E0015E30-A9C2-409B-9A47-4BBC345AFFAB}"/>
    <cellStyle name="Vírgula 4 2 3 4 3" xfId="32774" xr:uid="{28BE6052-DC15-43F5-81B3-C148DA743C02}"/>
    <cellStyle name="Vírgula 4 2 3 5" xfId="13595" xr:uid="{340C2197-75C0-49A1-BAB6-1B0D86A5AC0C}"/>
    <cellStyle name="Vírgula 4 2 3 5 2" xfId="39087" xr:uid="{1F54FEBA-BA7A-4619-B47E-EFA2D1693FB5}"/>
    <cellStyle name="Vírgula 4 2 3 6" xfId="26496" xr:uid="{308A538E-AA01-4B0B-A2B8-2F4E68A4B341}"/>
    <cellStyle name="Vírgula 4 2 4" xfId="1928" xr:uid="{499E8522-6B5B-43CC-8E9F-E74B891D0280}"/>
    <cellStyle name="Vírgula 4 2 4 2" xfId="5082" xr:uid="{7836CA52-8031-4F89-BEAD-99CFE6336EB5}"/>
    <cellStyle name="Vírgula 4 2 4 2 2" xfId="11375" xr:uid="{F0C19E9A-5372-406B-9AED-E319F2FF582B}"/>
    <cellStyle name="Vírgula 4 2 4 2 2 2" xfId="24057" xr:uid="{E4803E9F-C237-44E6-A820-975733F0779F}"/>
    <cellStyle name="Vírgula 4 2 4 2 2 2 2" xfId="49549" xr:uid="{89D687D2-887D-4624-B5A2-8EBB57CBCC7F}"/>
    <cellStyle name="Vírgula 4 2 4 2 2 3" xfId="36958" xr:uid="{6F20AD2C-9466-4769-B0CE-632A7D9A3BD9}"/>
    <cellStyle name="Vírgula 4 2 4 2 3" xfId="17779" xr:uid="{490D9227-6EE0-4E11-A99A-613A7FC084D1}"/>
    <cellStyle name="Vírgula 4 2 4 2 3 2" xfId="43271" xr:uid="{D28B2475-464F-4796-838F-1762EB5A88AF}"/>
    <cellStyle name="Vírgula 4 2 4 2 4" xfId="30680" xr:uid="{BB1A38FB-A7A2-4038-B13F-20D1422B1148}"/>
    <cellStyle name="Vírgula 4 2 4 3" xfId="8236" xr:uid="{2BD23A8B-CC6E-4452-B632-B9F2A318AFF9}"/>
    <cellStyle name="Vírgula 4 2 4 3 2" xfId="20918" xr:uid="{0D467BF9-FA27-4ABD-990F-9327D8EE9A1B}"/>
    <cellStyle name="Vírgula 4 2 4 3 2 2" xfId="46410" xr:uid="{F5E31B9F-6127-4E73-A567-AF3EF71BDCA6}"/>
    <cellStyle name="Vírgula 4 2 4 3 3" xfId="33819" xr:uid="{C206CDD8-48E1-4FA6-A26C-70B029EC3C57}"/>
    <cellStyle name="Vírgula 4 2 4 4" xfId="14640" xr:uid="{3A9C97C5-4688-4DD3-8A91-97201810C09A}"/>
    <cellStyle name="Vírgula 4 2 4 4 2" xfId="40132" xr:uid="{7A4AD891-0BB7-41CD-B20B-1007F99055A2}"/>
    <cellStyle name="Vírgula 4 2 4 5" xfId="27541" xr:uid="{EF50736A-3C0E-4529-8AEE-21EF81D8FFBE}"/>
    <cellStyle name="Vírgula 4 2 5" xfId="1406" xr:uid="{11C9A1C6-7D30-4E17-B36D-E2CF1989EDA0}"/>
    <cellStyle name="Vírgula 4 2 5 2" xfId="4560" xr:uid="{314D99E9-C288-41DB-9A4E-14EC2960DCBE}"/>
    <cellStyle name="Vírgula 4 2 5 2 2" xfId="10853" xr:uid="{80F60BC7-788B-451A-BA2E-A52FC0E5E355}"/>
    <cellStyle name="Vírgula 4 2 5 2 2 2" xfId="23535" xr:uid="{ADC68328-5D77-4C6F-8162-AEF4D64102A5}"/>
    <cellStyle name="Vírgula 4 2 5 2 2 2 2" xfId="49027" xr:uid="{A9314BC4-9747-4AC0-A170-BD8BAF861C4C}"/>
    <cellStyle name="Vírgula 4 2 5 2 2 3" xfId="36436" xr:uid="{799AA0D7-D81E-4FE3-B3C8-C28918F202B8}"/>
    <cellStyle name="Vírgula 4 2 5 2 3" xfId="17257" xr:uid="{3025E373-7649-468D-A891-8643EC4274A3}"/>
    <cellStyle name="Vírgula 4 2 5 2 3 2" xfId="42749" xr:uid="{91ED7AB9-5C46-485D-BEFA-D2D264558821}"/>
    <cellStyle name="Vírgula 4 2 5 2 4" xfId="30158" xr:uid="{696EC026-67BF-4348-ABC7-BD897EB1C78C}"/>
    <cellStyle name="Vírgula 4 2 5 3" xfId="7714" xr:uid="{BFEDDA83-3B54-428C-9E11-A2852D572754}"/>
    <cellStyle name="Vírgula 4 2 5 3 2" xfId="20396" xr:uid="{9061F407-2254-411C-B075-793F384329BC}"/>
    <cellStyle name="Vírgula 4 2 5 3 2 2" xfId="45888" xr:uid="{746CDB22-2196-43DB-9B1A-8EBAAD1D0216}"/>
    <cellStyle name="Vírgula 4 2 5 3 3" xfId="33297" xr:uid="{98F33A34-259C-437D-8082-DEA43D99BBE7}"/>
    <cellStyle name="Vírgula 4 2 5 4" xfId="14118" xr:uid="{7485B10B-883F-4F2F-9847-877530B9C4F1}"/>
    <cellStyle name="Vírgula 4 2 5 4 2" xfId="39610" xr:uid="{7F6A555D-9CBA-432A-8946-5DE4174A8543}"/>
    <cellStyle name="Vírgula 4 2 5 5" xfId="27019" xr:uid="{9379E4DC-C72D-4C3C-B063-A3E193AFF282}"/>
    <cellStyle name="Vírgula 4 2 6" xfId="2713" xr:uid="{371B9E40-BF65-4C75-B2A2-C091C7F4633B}"/>
    <cellStyle name="Vírgula 4 2 6 2" xfId="5867" xr:uid="{95BD0B23-8D88-4A74-851E-688E22E6418A}"/>
    <cellStyle name="Vírgula 4 2 6 2 2" xfId="12160" xr:uid="{1D48356C-EDDB-4F6C-B43F-1F892699736D}"/>
    <cellStyle name="Vírgula 4 2 6 2 2 2" xfId="24842" xr:uid="{37FCDFE9-E8C6-4A35-9AB8-E488D30447D0}"/>
    <cellStyle name="Vírgula 4 2 6 2 2 2 2" xfId="50334" xr:uid="{E9E18830-9C7D-4DFD-962C-EAC6478319AD}"/>
    <cellStyle name="Vírgula 4 2 6 2 2 3" xfId="37743" xr:uid="{4EFB4A01-0A21-4F3B-B078-891D20819387}"/>
    <cellStyle name="Vírgula 4 2 6 2 3" xfId="18564" xr:uid="{A6282CE2-7581-497A-A62D-CAD0E580BED8}"/>
    <cellStyle name="Vírgula 4 2 6 2 3 2" xfId="44056" xr:uid="{28BFB70F-15D3-41B9-AAE1-A6FC1194C614}"/>
    <cellStyle name="Vírgula 4 2 6 2 4" xfId="31465" xr:uid="{A8A52ED2-E01F-4AB5-8218-3F61E034E4B6}"/>
    <cellStyle name="Vírgula 4 2 6 3" xfId="9021" xr:uid="{CBF9F616-1498-4A62-B3DA-7BDC25471D37}"/>
    <cellStyle name="Vírgula 4 2 6 3 2" xfId="21703" xr:uid="{600056D4-7EC7-49B1-AAB9-ADD9DA9B9DEB}"/>
    <cellStyle name="Vírgula 4 2 6 3 2 2" xfId="47195" xr:uid="{A79EA8B4-1463-43A2-8756-B7D9CE49FCE4}"/>
    <cellStyle name="Vírgula 4 2 6 3 3" xfId="34604" xr:uid="{1102E4A2-B8DD-4CA5-8AA8-69A5BC9F39E8}"/>
    <cellStyle name="Vírgula 4 2 6 4" xfId="15425" xr:uid="{4A5EF861-D5FB-4BED-9ACB-5141E8B762B9}"/>
    <cellStyle name="Vírgula 4 2 6 4 2" xfId="40917" xr:uid="{E11007B1-1EE0-4D9C-862A-17991FFA8897}"/>
    <cellStyle name="Vírgula 4 2 6 5" xfId="28326" xr:uid="{124F61B5-C5C4-4D51-8A16-314615365E43}"/>
    <cellStyle name="Vírgula 4 2 7" xfId="3236" xr:uid="{1564D58A-E0C2-40E5-8D4A-4F65198ECD58}"/>
    <cellStyle name="Vírgula 4 2 7 2" xfId="6390" xr:uid="{7E30E15A-0DF2-4882-83F9-72D6364A7AF1}"/>
    <cellStyle name="Vírgula 4 2 7 2 2" xfId="12683" xr:uid="{85BCA33E-25B5-49F2-826E-F2179EAEFB90}"/>
    <cellStyle name="Vírgula 4 2 7 2 2 2" xfId="25365" xr:uid="{32AFCA3E-FD5B-4883-A401-607F86D7BF73}"/>
    <cellStyle name="Vírgula 4 2 7 2 2 2 2" xfId="50857" xr:uid="{5129ED41-A081-444C-97DB-575F28554FF3}"/>
    <cellStyle name="Vírgula 4 2 7 2 2 3" xfId="38266" xr:uid="{3D899A64-1FBF-483A-AC21-B7CF01A7A20E}"/>
    <cellStyle name="Vírgula 4 2 7 2 3" xfId="19087" xr:uid="{A0001E10-1D2C-4D36-843E-91D1B6ADAC7B}"/>
    <cellStyle name="Vírgula 4 2 7 2 3 2" xfId="44579" xr:uid="{3483F614-4D82-412E-8EE9-8D0CE17620B8}"/>
    <cellStyle name="Vírgula 4 2 7 2 4" xfId="31988" xr:uid="{9203953D-061C-411D-9A3A-6D0C8604BB79}"/>
    <cellStyle name="Vírgula 4 2 7 3" xfId="9544" xr:uid="{6AB4DB76-3501-4A51-A011-20F6287856C3}"/>
    <cellStyle name="Vírgula 4 2 7 3 2" xfId="22226" xr:uid="{4412015B-794C-44C0-B7B0-B3CD0A92DAC7}"/>
    <cellStyle name="Vírgula 4 2 7 3 2 2" xfId="47718" xr:uid="{EE2AE295-8C36-4C64-B586-13BC80CEC4B1}"/>
    <cellStyle name="Vírgula 4 2 7 3 3" xfId="35127" xr:uid="{1D64F6A4-864C-4187-AA61-910131FE5390}"/>
    <cellStyle name="Vírgula 4 2 7 4" xfId="15948" xr:uid="{8B2560FA-D756-4E43-9147-4AA37BF3A7DC}"/>
    <cellStyle name="Vírgula 4 2 7 4 2" xfId="41440" xr:uid="{BC59A599-9155-47A7-BEF3-392F8091B13B}"/>
    <cellStyle name="Vírgula 4 2 7 5" xfId="28849" xr:uid="{FC722202-F81D-4999-A146-6A8A4A39E636}"/>
    <cellStyle name="Vírgula 4 2 8" xfId="3775" xr:uid="{B2538FAC-8ACA-4572-9708-84FE7A71C542}"/>
    <cellStyle name="Vírgula 4 2 8 2" xfId="10068" xr:uid="{9EEB5056-4965-4845-A869-1CCA0F22B7CC}"/>
    <cellStyle name="Vírgula 4 2 8 2 2" xfId="22750" xr:uid="{C21D7170-E51E-4B00-8FF8-BC3744922554}"/>
    <cellStyle name="Vírgula 4 2 8 2 2 2" xfId="48242" xr:uid="{5B70A36D-07D0-4E93-B729-01E5C6D1FB69}"/>
    <cellStyle name="Vírgula 4 2 8 2 3" xfId="35651" xr:uid="{27D00CCF-CD54-4D7A-A780-7D576B3C8A7E}"/>
    <cellStyle name="Vírgula 4 2 8 3" xfId="16472" xr:uid="{FF266DD3-72B6-4074-BE9A-A7EDA120E872}"/>
    <cellStyle name="Vírgula 4 2 8 3 2" xfId="41964" xr:uid="{6B68E186-FFD8-4323-958E-81B17094B660}"/>
    <cellStyle name="Vírgula 4 2 8 4" xfId="29373" xr:uid="{5B2770F4-0BF4-4C80-8178-B9A344794A5C}"/>
    <cellStyle name="Vírgula 4 2 9" xfId="6929" xr:uid="{AB0ACD2F-1A5A-43F0-A6ED-F7D557E8DC17}"/>
    <cellStyle name="Vírgula 4 2 9 2" xfId="19611" xr:uid="{F4EF8625-4EC9-4B82-AB28-08A3C3783F6E}"/>
    <cellStyle name="Vírgula 4 2 9 2 2" xfId="45103" xr:uid="{0D84BF0E-9977-4D49-82CA-63A15204B8A8}"/>
    <cellStyle name="Vírgula 4 2 9 3" xfId="32512" xr:uid="{A662C25D-A34D-4173-8E29-B6CEF9B11436}"/>
    <cellStyle name="Vírgula 4 3" xfId="984" xr:uid="{DF01B743-B0B0-43FD-B4E5-D94756C37A7C}"/>
    <cellStyle name="Vírgula 4 3 2" xfId="2291" xr:uid="{06220B08-0089-4EAE-8042-E4BF7663B7CC}"/>
    <cellStyle name="Vírgula 4 3 2 2" xfId="5445" xr:uid="{90EE60B1-BB6B-4C4C-8D37-6CE84C0D6D66}"/>
    <cellStyle name="Vírgula 4 3 2 2 2" xfId="11738" xr:uid="{128DA26A-FDCE-42DF-9FFC-F6ADE9F07CCF}"/>
    <cellStyle name="Vírgula 4 3 2 2 2 2" xfId="24420" xr:uid="{26ECE67A-2720-473A-9510-C6968A732B76}"/>
    <cellStyle name="Vírgula 4 3 2 2 2 2 2" xfId="49912" xr:uid="{4E6F6304-5343-4E91-81F1-27DB7CFC36E7}"/>
    <cellStyle name="Vírgula 4 3 2 2 2 3" xfId="37321" xr:uid="{40650975-3030-4E0E-B71F-4926ED6B4E38}"/>
    <cellStyle name="Vírgula 4 3 2 2 3" xfId="18142" xr:uid="{2138CE0A-01F6-4FBE-A6E6-F142FC767F1F}"/>
    <cellStyle name="Vírgula 4 3 2 2 3 2" xfId="43634" xr:uid="{78CE1540-8F4E-48A2-A48A-F631641048EB}"/>
    <cellStyle name="Vírgula 4 3 2 2 4" xfId="31043" xr:uid="{39902F26-A126-4144-ABF7-8674AC05293D}"/>
    <cellStyle name="Vírgula 4 3 2 3" xfId="8599" xr:uid="{0E1C2EF4-31FE-4E3C-8FCE-E4407B65489F}"/>
    <cellStyle name="Vírgula 4 3 2 3 2" xfId="21281" xr:uid="{FB1EA82A-3AC6-429D-B3BD-4CECD4740083}"/>
    <cellStyle name="Vírgula 4 3 2 3 2 2" xfId="46773" xr:uid="{351E02B3-8B43-4636-92FF-38133483FE2E}"/>
    <cellStyle name="Vírgula 4 3 2 3 3" xfId="34182" xr:uid="{ADBBDBCE-A759-4F1C-A5A8-5AF38C4D19FE}"/>
    <cellStyle name="Vírgula 4 3 2 4" xfId="15003" xr:uid="{A19E8942-9D40-4984-AC7C-8AA77F596C6A}"/>
    <cellStyle name="Vírgula 4 3 2 4 2" xfId="40495" xr:uid="{00244B62-7BF2-4EFE-BD3D-FE936F247C9A}"/>
    <cellStyle name="Vírgula 4 3 2 5" xfId="27904" xr:uid="{F85A84F0-7447-4C54-8092-966A5A3CCAA6}"/>
    <cellStyle name="Vírgula 4 3 3" xfId="1508" xr:uid="{36302551-2941-4F11-A8BE-683C081E65F2}"/>
    <cellStyle name="Vírgula 4 3 3 2" xfId="4662" xr:uid="{DCA6EB95-08EE-4D37-B331-5CEE87A339F0}"/>
    <cellStyle name="Vírgula 4 3 3 2 2" xfId="10955" xr:uid="{1CE8F675-1CE7-4557-A954-5D082BB4EB8B}"/>
    <cellStyle name="Vírgula 4 3 3 2 2 2" xfId="23637" xr:uid="{327B048A-EC2D-4026-ADDF-75C30BB361DA}"/>
    <cellStyle name="Vírgula 4 3 3 2 2 2 2" xfId="49129" xr:uid="{B57292D6-6FC5-4099-AF54-29DAE26BA1CD}"/>
    <cellStyle name="Vírgula 4 3 3 2 2 3" xfId="36538" xr:uid="{965BF868-5587-4708-85C3-4B0253EA40C1}"/>
    <cellStyle name="Vírgula 4 3 3 2 3" xfId="17359" xr:uid="{2D887F8C-5C0C-4A27-B53A-DB0F77EA4B95}"/>
    <cellStyle name="Vírgula 4 3 3 2 3 2" xfId="42851" xr:uid="{CE02283F-FCDA-4B00-9699-ED5AFAF8A893}"/>
    <cellStyle name="Vírgula 4 3 3 2 4" xfId="30260" xr:uid="{20F24101-A2D0-4452-9DE5-F40A6EAE650A}"/>
    <cellStyle name="Vírgula 4 3 3 3" xfId="7816" xr:uid="{DA26E267-484E-4ACD-86DF-F7637418C53A}"/>
    <cellStyle name="Vírgula 4 3 3 3 2" xfId="20498" xr:uid="{0322568E-0F3C-4BFD-8FCC-53F4C3DD25F4}"/>
    <cellStyle name="Vírgula 4 3 3 3 2 2" xfId="45990" xr:uid="{4AED91EE-69FC-465F-85A6-C43A6C5C8DA3}"/>
    <cellStyle name="Vírgula 4 3 3 3 3" xfId="33399" xr:uid="{3464B3E1-C13E-40E9-9C92-124EF0165528}"/>
    <cellStyle name="Vírgula 4 3 3 4" xfId="14220" xr:uid="{17BE00B8-310C-4318-A6D3-72018C6A0C1A}"/>
    <cellStyle name="Vírgula 4 3 3 4 2" xfId="39712" xr:uid="{24F7313B-5840-4C7A-BE2A-2F8E18313CC7}"/>
    <cellStyle name="Vírgula 4 3 3 5" xfId="27121" xr:uid="{19CD7280-F030-4CA6-90D5-EE040FA2E573}"/>
    <cellStyle name="Vírgula 4 3 4" xfId="2815" xr:uid="{5B559302-592A-4D8D-B145-2E244E5D55ED}"/>
    <cellStyle name="Vírgula 4 3 4 2" xfId="5969" xr:uid="{27A4C2A2-5BC1-4E55-977B-065D65BBD947}"/>
    <cellStyle name="Vírgula 4 3 4 2 2" xfId="12262" xr:uid="{0B89C115-7373-43A9-8FFB-C17FF1DD3F69}"/>
    <cellStyle name="Vírgula 4 3 4 2 2 2" xfId="24944" xr:uid="{3722C406-EE64-4C43-9278-DA98CFE9BFA1}"/>
    <cellStyle name="Vírgula 4 3 4 2 2 2 2" xfId="50436" xr:uid="{44144C04-CCB6-4FC0-9A0A-D4160CFA2C0A}"/>
    <cellStyle name="Vírgula 4 3 4 2 2 3" xfId="37845" xr:uid="{7D0A1B00-04FD-418E-9A7D-C0EE6736E106}"/>
    <cellStyle name="Vírgula 4 3 4 2 3" xfId="18666" xr:uid="{671FFAD6-8CD8-4E48-8574-01DB0AD8149E}"/>
    <cellStyle name="Vírgula 4 3 4 2 3 2" xfId="44158" xr:uid="{461B0424-F6A3-426B-ACF1-D0F66A43E3EF}"/>
    <cellStyle name="Vírgula 4 3 4 2 4" xfId="31567" xr:uid="{9738DD59-1DB5-41D4-A88B-36F7D19451DC}"/>
    <cellStyle name="Vírgula 4 3 4 3" xfId="9123" xr:uid="{05A06B0D-F977-44BD-974C-ECA611E12FC7}"/>
    <cellStyle name="Vírgula 4 3 4 3 2" xfId="21805" xr:uid="{F18DF980-722F-4076-AE4C-4119B63E9DFA}"/>
    <cellStyle name="Vírgula 4 3 4 3 2 2" xfId="47297" xr:uid="{D1CC9AAB-6A86-485B-91E4-C99A8D45975B}"/>
    <cellStyle name="Vírgula 4 3 4 3 3" xfId="34706" xr:uid="{A0C8641A-42BB-4CBC-B520-5F2FFD1540FC}"/>
    <cellStyle name="Vírgula 4 3 4 4" xfId="15527" xr:uid="{F8208259-17EE-47E3-89AD-20A6CB158DCB}"/>
    <cellStyle name="Vírgula 4 3 4 4 2" xfId="41019" xr:uid="{1E7DFC32-F75F-498F-BD18-1FE08FCF733C}"/>
    <cellStyle name="Vírgula 4 3 4 5" xfId="28428" xr:uid="{BF631BC8-0360-4142-923E-22D314DF7F1D}"/>
    <cellStyle name="Vírgula 4 3 5" xfId="3338" xr:uid="{18ED33FC-35D8-4CB6-8C24-71D5C702C42E}"/>
    <cellStyle name="Vírgula 4 3 5 2" xfId="6492" xr:uid="{61F0DFFA-8FE9-42BE-A573-0D0E99225021}"/>
    <cellStyle name="Vírgula 4 3 5 2 2" xfId="12785" xr:uid="{C4374950-CF0F-4570-97AF-5838648A13DF}"/>
    <cellStyle name="Vírgula 4 3 5 2 2 2" xfId="25467" xr:uid="{924DEFFA-736D-4104-83FC-677C98228C66}"/>
    <cellStyle name="Vírgula 4 3 5 2 2 2 2" xfId="50959" xr:uid="{655ACE83-66D4-43D3-9AEF-7785649D7272}"/>
    <cellStyle name="Vírgula 4 3 5 2 2 3" xfId="38368" xr:uid="{6CA3A66E-9411-4F29-9C03-EE498437C7A5}"/>
    <cellStyle name="Vírgula 4 3 5 2 3" xfId="19189" xr:uid="{4C02D9A5-6674-4190-B939-C6922D724B1D}"/>
    <cellStyle name="Vírgula 4 3 5 2 3 2" xfId="44681" xr:uid="{3B260F56-B64D-48BA-BF03-45EE93902E0C}"/>
    <cellStyle name="Vírgula 4 3 5 2 4" xfId="32090" xr:uid="{2E803C55-5EA6-45E8-921F-D600A180661A}"/>
    <cellStyle name="Vírgula 4 3 5 3" xfId="9646" xr:uid="{62B3D530-2802-49F5-A81F-DD8C4ED202EC}"/>
    <cellStyle name="Vírgula 4 3 5 3 2" xfId="22328" xr:uid="{5C74402D-F0E7-4057-AD9D-BB0EE8711E3D}"/>
    <cellStyle name="Vírgula 4 3 5 3 2 2" xfId="47820" xr:uid="{23C5D0EE-B1C0-4071-BCAC-92ECC6207982}"/>
    <cellStyle name="Vírgula 4 3 5 3 3" xfId="35229" xr:uid="{C74CB86D-0C3B-4196-ABD6-470EC00EF58C}"/>
    <cellStyle name="Vírgula 4 3 5 4" xfId="16050" xr:uid="{D812D8F3-9D8C-443D-B086-EF74CAFB5476}"/>
    <cellStyle name="Vírgula 4 3 5 4 2" xfId="41542" xr:uid="{6239716A-7F19-457F-8A27-87A512C3242C}"/>
    <cellStyle name="Vírgula 4 3 5 5" xfId="28951" xr:uid="{6B034C2A-6B43-48C6-98B8-B61D0BD2A28F}"/>
    <cellStyle name="Vírgula 4 3 6" xfId="4138" xr:uid="{92AE4823-4FD2-44CF-AC15-24896FFEDCBD}"/>
    <cellStyle name="Vírgula 4 3 6 2" xfId="10431" xr:uid="{64252A2C-9320-4D57-A50D-1A54322FC284}"/>
    <cellStyle name="Vírgula 4 3 6 2 2" xfId="23113" xr:uid="{F365BA57-92A7-49AC-933D-03C058F61ECC}"/>
    <cellStyle name="Vírgula 4 3 6 2 2 2" xfId="48605" xr:uid="{D5B4D672-F906-477D-922B-C25D52631566}"/>
    <cellStyle name="Vírgula 4 3 6 2 3" xfId="36014" xr:uid="{6643FDFD-FFFE-4482-AB88-621860CAB69A}"/>
    <cellStyle name="Vírgula 4 3 6 3" xfId="16835" xr:uid="{3047BA63-1FBB-4735-9119-BD6C07EC94AE}"/>
    <cellStyle name="Vírgula 4 3 6 3 2" xfId="42327" xr:uid="{ECB72988-D66A-41CF-9EC8-C6331E15D499}"/>
    <cellStyle name="Vírgula 4 3 6 4" xfId="29736" xr:uid="{7FF2EE10-7DA5-434F-9FE5-A43AB4BA6794}"/>
    <cellStyle name="Vírgula 4 3 7" xfId="7292" xr:uid="{D0F63A62-FFC1-4BFF-8C7D-C4CB0D4B6631}"/>
    <cellStyle name="Vírgula 4 3 7 2" xfId="19974" xr:uid="{F114C96B-4A64-4162-85F0-1479F99B23F5}"/>
    <cellStyle name="Vírgula 4 3 7 2 2" xfId="45466" xr:uid="{30C14DA3-31B9-47A5-8037-0293BDAC120D}"/>
    <cellStyle name="Vírgula 4 3 7 3" xfId="32875" xr:uid="{DBB5D6EC-39D2-480B-A147-8159BEDDA347}"/>
    <cellStyle name="Vírgula 4 3 8" xfId="13696" xr:uid="{D946DB7F-0C3E-4F5A-844D-D7914E2897F2}"/>
    <cellStyle name="Vírgula 4 3 8 2" xfId="39188" xr:uid="{6B854046-0C24-4F7B-AB5E-2227145BB9FC}"/>
    <cellStyle name="Vírgula 4 3 9" xfId="26597" xr:uid="{C5B3E9E8-BEA7-4574-AF15-0A2B8FBFD9C2}"/>
    <cellStyle name="Vírgula 4 4" xfId="724" xr:uid="{23E26D51-961B-45A1-8FCD-C772FD7F3DA9}"/>
    <cellStyle name="Vírgula 4 4 2" xfId="2031" xr:uid="{1F406848-A9B1-4644-8930-5FE7834E141E}"/>
    <cellStyle name="Vírgula 4 4 2 2" xfId="5185" xr:uid="{4BD92E91-8BDA-40C8-89B9-52D6462A54A9}"/>
    <cellStyle name="Vírgula 4 4 2 2 2" xfId="11478" xr:uid="{CD433A28-6BBF-4740-957E-FA443B0F6572}"/>
    <cellStyle name="Vírgula 4 4 2 2 2 2" xfId="24160" xr:uid="{F4C25BCE-2938-4967-A3FD-78E917ED272E}"/>
    <cellStyle name="Vírgula 4 4 2 2 2 2 2" xfId="49652" xr:uid="{660248A2-EA03-4184-BD60-2493C6E4F33F}"/>
    <cellStyle name="Vírgula 4 4 2 2 2 3" xfId="37061" xr:uid="{F1B99DEA-6084-49F6-9293-C63184930366}"/>
    <cellStyle name="Vírgula 4 4 2 2 3" xfId="17882" xr:uid="{07D6A22D-272E-47DF-A5C7-9C709A617C1A}"/>
    <cellStyle name="Vírgula 4 4 2 2 3 2" xfId="43374" xr:uid="{608E29B7-E10D-4744-80BC-B86DFF6F9FEB}"/>
    <cellStyle name="Vírgula 4 4 2 2 4" xfId="30783" xr:uid="{864ACCD3-9E79-4D8B-8002-E61866839E71}"/>
    <cellStyle name="Vírgula 4 4 2 3" xfId="8339" xr:uid="{EB9370B2-48DD-4023-A0BC-D3824286C510}"/>
    <cellStyle name="Vírgula 4 4 2 3 2" xfId="21021" xr:uid="{6093B73E-1967-42D2-824E-23BEAA0E0871}"/>
    <cellStyle name="Vírgula 4 4 2 3 2 2" xfId="46513" xr:uid="{3362FF0B-CD17-4E63-8C22-10F6724503C1}"/>
    <cellStyle name="Vírgula 4 4 2 3 3" xfId="33922" xr:uid="{B06634DC-97DC-4250-B5B1-D6C0BA5CD6C1}"/>
    <cellStyle name="Vírgula 4 4 2 4" xfId="14743" xr:uid="{4E95A81E-55E8-420F-BB42-C0CF2A688A6D}"/>
    <cellStyle name="Vírgula 4 4 2 4 2" xfId="40235" xr:uid="{10D5E4BA-72F3-45BA-82F9-29D57B22EA37}"/>
    <cellStyle name="Vírgula 4 4 2 5" xfId="27644" xr:uid="{D37A2F98-A048-4EE8-A759-163520C8A603}"/>
    <cellStyle name="Vírgula 4 4 3" xfId="3878" xr:uid="{403D70B1-AED5-4677-849A-2A0C0F6F5E6A}"/>
    <cellStyle name="Vírgula 4 4 3 2" xfId="10171" xr:uid="{6045B0C4-3486-4A7E-BA9B-B5F481499602}"/>
    <cellStyle name="Vírgula 4 4 3 2 2" xfId="22853" xr:uid="{8DA26ED9-538F-4FD8-9D8B-030B6BEA8EBD}"/>
    <cellStyle name="Vírgula 4 4 3 2 2 2" xfId="48345" xr:uid="{AEBDB333-1E0E-4B32-B591-7006556AD9BC}"/>
    <cellStyle name="Vírgula 4 4 3 2 3" xfId="35754" xr:uid="{26BC3835-9455-4457-B79B-48FBF83518DC}"/>
    <cellStyle name="Vírgula 4 4 3 3" xfId="16575" xr:uid="{281E3E54-F557-4815-8E24-D2FCA8AA8838}"/>
    <cellStyle name="Vírgula 4 4 3 3 2" xfId="42067" xr:uid="{9E4BA3E8-9C68-4089-A06C-7CDF25CFFC60}"/>
    <cellStyle name="Vírgula 4 4 3 4" xfId="29476" xr:uid="{98F85AAA-9D6B-4F1B-82A2-9F9158AC36CB}"/>
    <cellStyle name="Vírgula 4 4 4" xfId="7032" xr:uid="{7EFB8A07-9612-4F4B-9EAB-A27043D985E1}"/>
    <cellStyle name="Vírgula 4 4 4 2" xfId="19714" xr:uid="{5B15CC63-A386-4C54-80A9-8A11BCF5CF12}"/>
    <cellStyle name="Vírgula 4 4 4 2 2" xfId="45206" xr:uid="{2CF2B7C5-AFA6-491B-A826-D01C8B3BC6DB}"/>
    <cellStyle name="Vírgula 4 4 4 3" xfId="32615" xr:uid="{291117FD-E5F2-45A3-80AC-6E65871E160F}"/>
    <cellStyle name="Vírgula 4 4 5" xfId="13436" xr:uid="{97382536-F9C4-4C3B-B769-1F4F86831E41}"/>
    <cellStyle name="Vírgula 4 4 5 2" xfId="38928" xr:uid="{BBC19DC0-9286-44AC-999C-923011D2A5A4}"/>
    <cellStyle name="Vírgula 4 4 6" xfId="26337" xr:uid="{55CFF9B2-3254-4BE0-9F19-A28310D69B2D}"/>
    <cellStyle name="Vírgula 4 5" xfId="1769" xr:uid="{78CF0948-3D31-47A6-882D-4CF769073FFB}"/>
    <cellStyle name="Vírgula 4 5 2" xfId="4923" xr:uid="{868AC48E-BAE0-402A-B691-1451B040B6E6}"/>
    <cellStyle name="Vírgula 4 5 2 2" xfId="11216" xr:uid="{279311B2-52F6-4132-977F-44607C28E3F9}"/>
    <cellStyle name="Vírgula 4 5 2 2 2" xfId="23898" xr:uid="{FB8BCA9A-E4C5-4D55-AB83-8A489BB47033}"/>
    <cellStyle name="Vírgula 4 5 2 2 2 2" xfId="49390" xr:uid="{5C04FE90-24F9-465F-BC91-B5BE235A451C}"/>
    <cellStyle name="Vírgula 4 5 2 2 3" xfId="36799" xr:uid="{E451129E-316D-433B-A574-0BE0C2C553E3}"/>
    <cellStyle name="Vírgula 4 5 2 3" xfId="17620" xr:uid="{639BD350-8AF7-4E76-AFC4-243B01760E8D}"/>
    <cellStyle name="Vírgula 4 5 2 3 2" xfId="43112" xr:uid="{A4530250-4248-4BA2-BC70-D18615A7968D}"/>
    <cellStyle name="Vírgula 4 5 2 4" xfId="30521" xr:uid="{F63E1891-32B0-4A82-9B3A-50A99E61145C}"/>
    <cellStyle name="Vírgula 4 5 3" xfId="8077" xr:uid="{E678EECC-5C6F-4D9B-973A-BAAE4349AC49}"/>
    <cellStyle name="Vírgula 4 5 3 2" xfId="20759" xr:uid="{399FACF7-3512-4D16-B067-AD7D3D3A3069}"/>
    <cellStyle name="Vírgula 4 5 3 2 2" xfId="46251" xr:uid="{5CA218E1-ADBF-4880-94A3-4780CC3CFD55}"/>
    <cellStyle name="Vírgula 4 5 3 3" xfId="33660" xr:uid="{4297C84A-0B83-4398-89D4-0D4FA02FE15C}"/>
    <cellStyle name="Vírgula 4 5 4" xfId="14481" xr:uid="{26FC0C74-431B-48DE-B268-8398C1DEBD02}"/>
    <cellStyle name="Vírgula 4 5 4 2" xfId="39973" xr:uid="{2655CA40-23C4-4796-9FE7-6B395091FFE1}"/>
    <cellStyle name="Vírgula 4 5 5" xfId="27382" xr:uid="{D2BA8D38-ED29-42FF-8587-505176B3D2E0}"/>
    <cellStyle name="Vírgula 4 6" xfId="1247" xr:uid="{908DC547-9D81-4C29-AACF-A683E106FD67}"/>
    <cellStyle name="Vírgula 4 6 2" xfId="4401" xr:uid="{B95748AC-1224-48E5-A8C9-359A53AABCB2}"/>
    <cellStyle name="Vírgula 4 6 2 2" xfId="10694" xr:uid="{C2656C6E-8C0F-4690-9788-2649D400793F}"/>
    <cellStyle name="Vírgula 4 6 2 2 2" xfId="23376" xr:uid="{4F07527C-856C-47BA-A770-FECDE9F6FBCC}"/>
    <cellStyle name="Vírgula 4 6 2 2 2 2" xfId="48868" xr:uid="{7387FBE6-2432-44F5-BDEA-ECDD825BCE5E}"/>
    <cellStyle name="Vírgula 4 6 2 2 3" xfId="36277" xr:uid="{15ACCFD3-240B-4560-AF1E-8F02D5969BB5}"/>
    <cellStyle name="Vírgula 4 6 2 3" xfId="17098" xr:uid="{2951F324-7FE4-4FE2-AE6D-6B9A67B44AD8}"/>
    <cellStyle name="Vírgula 4 6 2 3 2" xfId="42590" xr:uid="{23198F1D-3731-4A8B-826E-84AADD82EE40}"/>
    <cellStyle name="Vírgula 4 6 2 4" xfId="29999" xr:uid="{8211258A-C65C-4F69-9C2D-C6B99C9E53A2}"/>
    <cellStyle name="Vírgula 4 6 3" xfId="7555" xr:uid="{08562009-A890-4661-91A1-E3A64AA6B018}"/>
    <cellStyle name="Vírgula 4 6 3 2" xfId="20237" xr:uid="{0BE90771-C2B1-4C8C-B689-44D382EC3853}"/>
    <cellStyle name="Vírgula 4 6 3 2 2" xfId="45729" xr:uid="{6D9CFEF7-4013-427D-8DA2-B764CE3F0EB1}"/>
    <cellStyle name="Vírgula 4 6 3 3" xfId="33138" xr:uid="{716AF9B3-E0E8-4930-82ED-2E7E214D2880}"/>
    <cellStyle name="Vírgula 4 6 4" xfId="13959" xr:uid="{F07A05B5-091B-4014-8972-C3AD482CCB83}"/>
    <cellStyle name="Vírgula 4 6 4 2" xfId="39451" xr:uid="{3AC53BB0-3C0C-41B9-831D-522FE176FB9A}"/>
    <cellStyle name="Vírgula 4 6 5" xfId="26860" xr:uid="{FEBDC0DE-85BA-4E57-8BC0-2F99C74B9F18}"/>
    <cellStyle name="Vírgula 4 7" xfId="2554" xr:uid="{104C0C18-A42D-4ED3-AB3A-C798F61DFDAC}"/>
    <cellStyle name="Vírgula 4 7 2" xfId="5708" xr:uid="{B8BF2F75-F0BA-404D-B1A2-FFF40F9B8D5E}"/>
    <cellStyle name="Vírgula 4 7 2 2" xfId="12001" xr:uid="{707A5216-5984-49A7-9843-403526E90FD7}"/>
    <cellStyle name="Vírgula 4 7 2 2 2" xfId="24683" xr:uid="{D7660AE8-6645-4001-B872-36AFF4327ACD}"/>
    <cellStyle name="Vírgula 4 7 2 2 2 2" xfId="50175" xr:uid="{B741DF15-DA6A-4E2E-AD51-FE3E1673295C}"/>
    <cellStyle name="Vírgula 4 7 2 2 3" xfId="37584" xr:uid="{CA89F922-1EBF-42F2-A9E6-39399150C2A1}"/>
    <cellStyle name="Vírgula 4 7 2 3" xfId="18405" xr:uid="{AB35F2BC-940B-4454-B8ED-AF01F6BB326D}"/>
    <cellStyle name="Vírgula 4 7 2 3 2" xfId="43897" xr:uid="{EA27956D-7AA4-4811-AAE7-22D7363D5FEE}"/>
    <cellStyle name="Vírgula 4 7 2 4" xfId="31306" xr:uid="{EE664242-21BA-4281-8E86-1B2C183ABABD}"/>
    <cellStyle name="Vírgula 4 7 3" xfId="8862" xr:uid="{77CB3087-C30A-4357-B17E-5430EDAA6763}"/>
    <cellStyle name="Vírgula 4 7 3 2" xfId="21544" xr:uid="{DB4E404B-7BF0-45DD-8848-31218400DF64}"/>
    <cellStyle name="Vírgula 4 7 3 2 2" xfId="47036" xr:uid="{C04A92F6-E746-4A4E-AA00-58DA3226FD4D}"/>
    <cellStyle name="Vírgula 4 7 3 3" xfId="34445" xr:uid="{2BDEB172-2123-4D02-9B1F-74F9B7A182AC}"/>
    <cellStyle name="Vírgula 4 7 4" xfId="15266" xr:uid="{5B7E5957-A3CB-4472-8C7C-5AF15DAC3E07}"/>
    <cellStyle name="Vírgula 4 7 4 2" xfId="40758" xr:uid="{4DF901D1-51F6-44C8-B3CA-2C89C71FB013}"/>
    <cellStyle name="Vírgula 4 7 5" xfId="28167" xr:uid="{00623467-4950-41F3-943C-A7EAECF312E6}"/>
    <cellStyle name="Vírgula 4 8" xfId="3077" xr:uid="{6F3A4DB6-9A15-43C1-BC29-7183D7DCB788}"/>
    <cellStyle name="Vírgula 4 8 2" xfId="6231" xr:uid="{8A3273AF-FA79-41B2-A1EB-E894AC492D0E}"/>
    <cellStyle name="Vírgula 4 8 2 2" xfId="12524" xr:uid="{0E350217-162D-43B4-9AAC-DEABA35CAC33}"/>
    <cellStyle name="Vírgula 4 8 2 2 2" xfId="25206" xr:uid="{D89DA35F-0634-4BBC-9634-229310E868D4}"/>
    <cellStyle name="Vírgula 4 8 2 2 2 2" xfId="50698" xr:uid="{9E48AE1C-311F-4D4C-BE1A-62E30B1D7679}"/>
    <cellStyle name="Vírgula 4 8 2 2 3" xfId="38107" xr:uid="{A3DBF547-171C-41F1-A55A-38D968E37207}"/>
    <cellStyle name="Vírgula 4 8 2 3" xfId="18928" xr:uid="{5C3C4C0F-184B-405F-A642-E60218F85A02}"/>
    <cellStyle name="Vírgula 4 8 2 3 2" xfId="44420" xr:uid="{98134FA1-DDED-4FC4-96A5-C543F6572B72}"/>
    <cellStyle name="Vírgula 4 8 2 4" xfId="31829" xr:uid="{F406B4BC-FA73-44E7-8325-63919804C74D}"/>
    <cellStyle name="Vírgula 4 8 3" xfId="9385" xr:uid="{8219A7C9-805F-4C94-8AD2-BD90A3AD6522}"/>
    <cellStyle name="Vírgula 4 8 3 2" xfId="22067" xr:uid="{6A466E3A-C7F5-451F-B934-9164E84F3FB6}"/>
    <cellStyle name="Vírgula 4 8 3 2 2" xfId="47559" xr:uid="{C2DFB124-1DAF-4EA5-BB23-B3F771D2C456}"/>
    <cellStyle name="Vírgula 4 8 3 3" xfId="34968" xr:uid="{3015D14E-FA47-4D51-81B4-51B5AF3CA7F6}"/>
    <cellStyle name="Vírgula 4 8 4" xfId="15789" xr:uid="{C24F2ACE-8973-47C1-BB3B-D77123400E61}"/>
    <cellStyle name="Vírgula 4 8 4 2" xfId="41281" xr:uid="{F4C24469-CC10-414A-B334-EEB2D4FA7C9B}"/>
    <cellStyle name="Vírgula 4 8 5" xfId="28690" xr:uid="{14A25EA1-FFE0-44CC-AB11-FFFAD6BCADDB}"/>
    <cellStyle name="Vírgula 4 9" xfId="3616" xr:uid="{62DC12E0-FA52-485E-9086-40B2DCB94516}"/>
    <cellStyle name="Vírgula 4 9 2" xfId="9909" xr:uid="{6D65C98B-B315-4F80-A69E-057ED0AE4E3D}"/>
    <cellStyle name="Vírgula 4 9 2 2" xfId="22591" xr:uid="{D96C315C-B9AA-4497-8782-BE5014198FC6}"/>
    <cellStyle name="Vírgula 4 9 2 2 2" xfId="48083" xr:uid="{A171E5C6-2073-4814-B710-6FA915045D35}"/>
    <cellStyle name="Vírgula 4 9 2 3" xfId="35492" xr:uid="{AC1FCCDD-6B08-4A9C-8FDF-5DA5B192B22B}"/>
    <cellStyle name="Vírgula 4 9 3" xfId="16313" xr:uid="{395F65D5-4BAE-48C5-A0EE-AEF6945462F3}"/>
    <cellStyle name="Vírgula 4 9 3 2" xfId="41805" xr:uid="{176C0652-3311-45E4-985C-7BC7CC150C7A}"/>
    <cellStyle name="Vírgula 4 9 4" xfId="29214" xr:uid="{4ED83303-528B-4F58-89D1-1C88FBB3B39A}"/>
    <cellStyle name="Vírgula 5" xfId="149" xr:uid="{5DBA7EE2-2591-4F5B-94B0-1CBC89BED37C}"/>
    <cellStyle name="Vírgula 5 2" xfId="51354" xr:uid="{8C284F1F-0E98-4A89-A6A8-B33128027C67}"/>
    <cellStyle name="Vírgula 5 3" xfId="51386" xr:uid="{FF077BA3-1DB9-46BB-AC90-343F846B010D}"/>
    <cellStyle name="Vírgula 6" xfId="155" xr:uid="{1C8D0115-4540-404E-A775-12015A837C5B}"/>
    <cellStyle name="Vírgula 7" xfId="161" xr:uid="{88D17D98-CE11-46DB-AFE1-CD11245FE97B}"/>
    <cellStyle name="Vírgula 8" xfId="51367" xr:uid="{D000A807-4867-4471-B047-C4F36F54E1CB}"/>
    <cellStyle name="Vírgula 8 2" xfId="51388" xr:uid="{1A78F674-3FB4-4098-83BF-5CE71191D4FB}"/>
    <cellStyle name="Vírgula 9" xfId="51370" xr:uid="{97CBDCDB-A468-4DFA-BB6D-2E1D90486711}"/>
    <cellStyle name="Warning Text" xfId="115" xr:uid="{BD6B259B-BE6E-4FF5-B0BF-EC1F351999B2}"/>
  </cellStyles>
  <dxfs count="0"/>
  <tableStyles count="1" defaultTableStyle="TableStyleMedium9" defaultPivotStyle="PivotStyleLight16">
    <tableStyle name="Invisible" pivot="0" table="0" count="0" xr9:uid="{06271AC8-28B3-41CE-B0BE-B430109F1CC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Outras Informa&#231;&#245;es'!A1"/><Relationship Id="rId3" Type="http://schemas.openxmlformats.org/officeDocument/2006/relationships/hyperlink" Target="#'Balan&#231;o Patrimonial Passivo'!A1"/><Relationship Id="rId7" Type="http://schemas.openxmlformats.org/officeDocument/2006/relationships/hyperlink" Target="#DRE!A1"/><Relationship Id="rId2" Type="http://schemas.openxmlformats.org/officeDocument/2006/relationships/hyperlink" Target="#'Balan&#231;o Patrimonial Ativo'!A1"/><Relationship Id="rId1" Type="http://schemas.openxmlformats.org/officeDocument/2006/relationships/image" Target="../media/image1.png"/><Relationship Id="rId6" Type="http://schemas.openxmlformats.org/officeDocument/2006/relationships/hyperlink" Target="#DVA!A1"/><Relationship Id="rId5" Type="http://schemas.openxmlformats.org/officeDocument/2006/relationships/hyperlink" Target="#DFC!A1"/><Relationship Id="rId4" Type="http://schemas.openxmlformats.org/officeDocument/2006/relationships/hyperlink" Target="#EBITDA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19050</xdr:colOff>
      <xdr:row>36</xdr:row>
      <xdr:rowOff>6350</xdr:rowOff>
    </xdr:to>
    <xdr:pic>
      <xdr:nvPicPr>
        <xdr:cNvPr id="67509" name="Picture 5585">
          <a:extLst>
            <a:ext uri="{FF2B5EF4-FFF2-40B4-BE49-F238E27FC236}">
              <a16:creationId xmlns:a16="http://schemas.microsoft.com/office/drawing/2014/main" id="{44F0D7C3-2CDF-4863-BA6E-E47EF8A97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91575" cy="625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396638</xdr:colOff>
      <xdr:row>16</xdr:row>
      <xdr:rowOff>200459</xdr:rowOff>
    </xdr:from>
    <xdr:to>
      <xdr:col>11</xdr:col>
      <xdr:colOff>493041</xdr:colOff>
      <xdr:row>19</xdr:row>
      <xdr:rowOff>44822</xdr:rowOff>
    </xdr:to>
    <xdr:sp macro="" textlink="">
      <xdr:nvSpPr>
        <xdr:cNvPr id="18" name="Retângulo de cantos arredondados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820A5D-95C1-4B62-8FE7-6D0992842E9E}"/>
            </a:ext>
          </a:extLst>
        </xdr:cNvPr>
        <xdr:cNvSpPr/>
      </xdr:nvSpPr>
      <xdr:spPr>
        <a:xfrm>
          <a:off x="4867785" y="2710577"/>
          <a:ext cx="1911756" cy="550333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Balanço</a:t>
          </a:r>
          <a:r>
            <a:rPr lang="pt-BR" sz="1200" b="1" i="0" baseline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 Patrimonial </a:t>
          </a:r>
        </a:p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Ativo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549070</xdr:colOff>
      <xdr:row>16</xdr:row>
      <xdr:rowOff>190500</xdr:rowOff>
    </xdr:from>
    <xdr:to>
      <xdr:col>14</xdr:col>
      <xdr:colOff>597036</xdr:colOff>
      <xdr:row>19</xdr:row>
      <xdr:rowOff>56029</xdr:rowOff>
    </xdr:to>
    <xdr:sp macro="" textlink="">
      <xdr:nvSpPr>
        <xdr:cNvPr id="19" name="Retângulo de cantos arredondados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500C6C-68AA-45DD-84F4-DE1C0A17E505}"/>
            </a:ext>
          </a:extLst>
        </xdr:cNvPr>
        <xdr:cNvSpPr/>
      </xdr:nvSpPr>
      <xdr:spPr>
        <a:xfrm>
          <a:off x="6835570" y="2700618"/>
          <a:ext cx="1863319" cy="571499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Balanço Patrimonial</a:t>
          </a:r>
          <a:r>
            <a:rPr lang="pt-BR" sz="1200" b="1" i="0" baseline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 </a:t>
          </a:r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Passivo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513990</xdr:colOff>
      <xdr:row>19</xdr:row>
      <xdr:rowOff>104462</xdr:rowOff>
    </xdr:from>
    <xdr:to>
      <xdr:col>14</xdr:col>
      <xdr:colOff>582707</xdr:colOff>
      <xdr:row>22</xdr:row>
      <xdr:rowOff>117038</xdr:rowOff>
    </xdr:to>
    <xdr:sp macro="" textlink="">
      <xdr:nvSpPr>
        <xdr:cNvPr id="20" name="Retângulo de cantos arredondados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725D14-A6E0-4C0D-809B-6C8E33F5A430}"/>
            </a:ext>
          </a:extLst>
        </xdr:cNvPr>
        <xdr:cNvSpPr/>
      </xdr:nvSpPr>
      <xdr:spPr>
        <a:xfrm>
          <a:off x="6800490" y="3320550"/>
          <a:ext cx="1884070" cy="561664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EBITDA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530946</xdr:colOff>
      <xdr:row>23</xdr:row>
      <xdr:rowOff>26766</xdr:rowOff>
    </xdr:from>
    <xdr:to>
      <xdr:col>14</xdr:col>
      <xdr:colOff>593912</xdr:colOff>
      <xdr:row>26</xdr:row>
      <xdr:rowOff>78441</xdr:rowOff>
    </xdr:to>
    <xdr:sp macro="" textlink="">
      <xdr:nvSpPr>
        <xdr:cNvPr id="21" name="Retângulo de cantos arredondados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DCB1AE-CA52-4484-BD84-70F27EC59CD3}"/>
            </a:ext>
          </a:extLst>
        </xdr:cNvPr>
        <xdr:cNvSpPr/>
      </xdr:nvSpPr>
      <xdr:spPr>
        <a:xfrm>
          <a:off x="6817446" y="3948825"/>
          <a:ext cx="1878319" cy="600763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>
            <a:defRPr sz="1000"/>
          </a:pPr>
          <a:r>
            <a:rPr lang="pt-BR" sz="1200" b="1" i="0" strike="noStrike">
              <a:solidFill>
                <a:srgbClr val="FFFFFF"/>
              </a:solidFill>
              <a:latin typeface="Cambria"/>
            </a:rPr>
            <a:t>DFC - Demonstração do Fluxo de Caixa</a:t>
          </a:r>
        </a:p>
        <a:p>
          <a:pPr algn="l" rtl="1">
            <a:defRPr sz="1000"/>
          </a:pPr>
          <a:endParaRPr lang="pt-BR" sz="1200" b="1" i="0" strike="noStrike">
            <a:solidFill>
              <a:srgbClr val="FFFFFF"/>
            </a:solidFill>
            <a:latin typeface="Cambria"/>
          </a:endParaRPr>
        </a:p>
      </xdr:txBody>
    </xdr:sp>
    <xdr:clientData/>
  </xdr:twoCellAnchor>
  <xdr:twoCellAnchor>
    <xdr:from>
      <xdr:col>8</xdr:col>
      <xdr:colOff>370135</xdr:colOff>
      <xdr:row>22</xdr:row>
      <xdr:rowOff>147046</xdr:rowOff>
    </xdr:from>
    <xdr:to>
      <xdr:col>11</xdr:col>
      <xdr:colOff>448235</xdr:colOff>
      <xdr:row>26</xdr:row>
      <xdr:rowOff>83421</xdr:rowOff>
    </xdr:to>
    <xdr:sp macro="" textlink="">
      <xdr:nvSpPr>
        <xdr:cNvPr id="22" name="Retângulo de cantos arredondados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6898C17-F9F7-4AAE-91A8-B22E7B355FA7}"/>
            </a:ext>
          </a:extLst>
        </xdr:cNvPr>
        <xdr:cNvSpPr/>
      </xdr:nvSpPr>
      <xdr:spPr>
        <a:xfrm>
          <a:off x="4841282" y="3912222"/>
          <a:ext cx="1893453" cy="642346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effectLst/>
              <a:latin typeface="+mj-lt"/>
              <a:cs typeface="Arial" pitchFamily="34" charset="0"/>
            </a:rPr>
            <a:t>DVA - Demonstração do Valor Adicionado</a:t>
          </a:r>
        </a:p>
        <a:p>
          <a:pPr algn="l"/>
          <a:endParaRPr lang="pt-BR" sz="1100"/>
        </a:p>
      </xdr:txBody>
    </xdr:sp>
    <xdr:clientData/>
  </xdr:twoCellAnchor>
  <xdr:twoCellAnchor>
    <xdr:from>
      <xdr:col>9</xdr:col>
      <xdr:colOff>0</xdr:colOff>
      <xdr:row>12</xdr:row>
      <xdr:rowOff>79561</xdr:rowOff>
    </xdr:from>
    <xdr:to>
      <xdr:col>14</xdr:col>
      <xdr:colOff>134471</xdr:colOff>
      <xdr:row>16</xdr:row>
      <xdr:rowOff>14004</xdr:rowOff>
    </xdr:to>
    <xdr:sp macro="" textlink="">
      <xdr:nvSpPr>
        <xdr:cNvPr id="23647" name="CaixaDeTexto 22">
          <a:extLst>
            <a:ext uri="{FF2B5EF4-FFF2-40B4-BE49-F238E27FC236}">
              <a16:creationId xmlns:a16="http://schemas.microsoft.com/office/drawing/2014/main" id="{127BE435-254C-435C-9945-156C162ADEB7}"/>
            </a:ext>
          </a:extLst>
        </xdr:cNvPr>
        <xdr:cNvSpPr txBox="1">
          <a:spLocks noChangeArrowheads="1"/>
        </xdr:cNvSpPr>
      </xdr:nvSpPr>
      <xdr:spPr bwMode="auto">
        <a:xfrm>
          <a:off x="5076265" y="1962149"/>
          <a:ext cx="3160059" cy="561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pt-BR" sz="2400" b="1" i="0" strike="noStrike">
              <a:solidFill>
                <a:srgbClr val="FFFFFF"/>
              </a:solidFill>
              <a:latin typeface="Cambria"/>
            </a:rPr>
            <a:t>Balanço Consolidado</a:t>
          </a:r>
        </a:p>
      </xdr:txBody>
    </xdr:sp>
    <xdr:clientData/>
  </xdr:twoCellAnchor>
  <xdr:twoCellAnchor>
    <xdr:from>
      <xdr:col>8</xdr:col>
      <xdr:colOff>380981</xdr:colOff>
      <xdr:row>19</xdr:row>
      <xdr:rowOff>78441</xdr:rowOff>
    </xdr:from>
    <xdr:to>
      <xdr:col>11</xdr:col>
      <xdr:colOff>459441</xdr:colOff>
      <xdr:row>22</xdr:row>
      <xdr:rowOff>91017</xdr:rowOff>
    </xdr:to>
    <xdr:sp macro="" textlink="">
      <xdr:nvSpPr>
        <xdr:cNvPr id="10" name="Retângulo de cantos arredondados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325F05-4CA2-4D9E-9C8F-756F1F381B84}"/>
            </a:ext>
          </a:extLst>
        </xdr:cNvPr>
        <xdr:cNvSpPr/>
      </xdr:nvSpPr>
      <xdr:spPr>
        <a:xfrm>
          <a:off x="4852128" y="3294529"/>
          <a:ext cx="1893813" cy="561664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DRE</a:t>
          </a:r>
        </a:p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Resultado do Exercício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10</xdr:col>
      <xdr:colOff>360050</xdr:colOff>
      <xdr:row>27</xdr:row>
      <xdr:rowOff>36668</xdr:rowOff>
    </xdr:from>
    <xdr:to>
      <xdr:col>13</xdr:col>
      <xdr:colOff>438150</xdr:colOff>
      <xdr:row>31</xdr:row>
      <xdr:rowOff>51484</xdr:rowOff>
    </xdr:to>
    <xdr:sp macro="" textlink="">
      <xdr:nvSpPr>
        <xdr:cNvPr id="12" name="Retângulo de cantos arredondados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654BB37-90C3-46BD-9F0A-8DB26116226D}"/>
            </a:ext>
          </a:extLst>
        </xdr:cNvPr>
        <xdr:cNvSpPr/>
      </xdr:nvSpPr>
      <xdr:spPr>
        <a:xfrm>
          <a:off x="6041432" y="4664697"/>
          <a:ext cx="1893453" cy="642346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effectLst/>
              <a:latin typeface="+mj-lt"/>
              <a:cs typeface="Arial" pitchFamily="34" charset="0"/>
            </a:rPr>
            <a:t>Outras</a:t>
          </a:r>
          <a:r>
            <a:rPr lang="pt-BR" sz="1200" b="1" baseline="0">
              <a:effectLst/>
              <a:latin typeface="+mj-lt"/>
              <a:cs typeface="Arial" pitchFamily="34" charset="0"/>
            </a:rPr>
            <a:t> Informações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114300</xdr:colOff>
      <xdr:row>1</xdr:row>
      <xdr:rowOff>19050</xdr:rowOff>
    </xdr:from>
    <xdr:to>
      <xdr:col>65</xdr:col>
      <xdr:colOff>498474</xdr:colOff>
      <xdr:row>3</xdr:row>
      <xdr:rowOff>28575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5CBFD-CC2F-4722-833D-09CF4A5FDD5F}"/>
            </a:ext>
          </a:extLst>
        </xdr:cNvPr>
        <xdr:cNvSpPr/>
      </xdr:nvSpPr>
      <xdr:spPr>
        <a:xfrm>
          <a:off x="39957375" y="142875"/>
          <a:ext cx="1660524" cy="40957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Voltar a Página</a:t>
          </a:r>
          <a:r>
            <a:rPr lang="pt-BR" sz="1100" b="1" baseline="0"/>
            <a:t> Inicial</a:t>
          </a:r>
          <a:endParaRPr lang="pt-B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231775</xdr:colOff>
      <xdr:row>1</xdr:row>
      <xdr:rowOff>73025</xdr:rowOff>
    </xdr:from>
    <xdr:to>
      <xdr:col>64</xdr:col>
      <xdr:colOff>225425</xdr:colOff>
      <xdr:row>3</xdr:row>
      <xdr:rowOff>98425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7684B-5139-46E0-896D-E728EF75A971}"/>
            </a:ext>
          </a:extLst>
        </xdr:cNvPr>
        <xdr:cNvSpPr/>
      </xdr:nvSpPr>
      <xdr:spPr>
        <a:xfrm>
          <a:off x="40125650" y="200025"/>
          <a:ext cx="1263650" cy="406400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Voltar a Página</a:t>
          </a:r>
          <a:r>
            <a:rPr lang="pt-BR" sz="1100" b="1" baseline="0"/>
            <a:t> Inicial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419100</xdr:colOff>
      <xdr:row>0</xdr:row>
      <xdr:rowOff>28575</xdr:rowOff>
    </xdr:from>
    <xdr:to>
      <xdr:col>39</xdr:col>
      <xdr:colOff>476250</xdr:colOff>
      <xdr:row>2</xdr:row>
      <xdr:rowOff>247650</xdr:rowOff>
    </xdr:to>
    <xdr:sp macro="" textlink="">
      <xdr:nvSpPr>
        <xdr:cNvPr id="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2B9F65-D3C2-46C0-93A1-8C588ED3109F}"/>
            </a:ext>
          </a:extLst>
        </xdr:cNvPr>
        <xdr:cNvSpPr>
          <a:spLocks noChangeArrowheads="1"/>
        </xdr:cNvSpPr>
      </xdr:nvSpPr>
      <xdr:spPr bwMode="auto">
        <a:xfrm>
          <a:off x="21240750" y="28575"/>
          <a:ext cx="1333500" cy="561975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542925</xdr:colOff>
      <xdr:row>0</xdr:row>
      <xdr:rowOff>76200</xdr:rowOff>
    </xdr:from>
    <xdr:to>
      <xdr:col>41</xdr:col>
      <xdr:colOff>428625</xdr:colOff>
      <xdr:row>2</xdr:row>
      <xdr:rowOff>228600</xdr:rowOff>
    </xdr:to>
    <xdr:sp macro="" textlink="">
      <xdr:nvSpPr>
        <xdr:cNvPr id="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E80FC2-3C76-44F6-93A4-3DA0198B643B}"/>
            </a:ext>
          </a:extLst>
        </xdr:cNvPr>
        <xdr:cNvSpPr>
          <a:spLocks noChangeArrowheads="1"/>
        </xdr:cNvSpPr>
      </xdr:nvSpPr>
      <xdr:spPr bwMode="auto">
        <a:xfrm>
          <a:off x="23012400" y="76200"/>
          <a:ext cx="1085850" cy="495300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lnSpc>
              <a:spcPts val="1100"/>
            </a:lnSpc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124239</xdr:colOff>
      <xdr:row>1</xdr:row>
      <xdr:rowOff>30646</xdr:rowOff>
    </xdr:from>
    <xdr:to>
      <xdr:col>52</xdr:col>
      <xdr:colOff>212035</xdr:colOff>
      <xdr:row>3</xdr:row>
      <xdr:rowOff>134592</xdr:rowOff>
    </xdr:to>
    <xdr:sp macro="" textlink="">
      <xdr:nvSpPr>
        <xdr:cNvPr id="782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E090BA-B13D-40FB-80CA-1279F4F4C47B}"/>
            </a:ext>
          </a:extLst>
        </xdr:cNvPr>
        <xdr:cNvSpPr>
          <a:spLocks noChangeArrowheads="1"/>
        </xdr:cNvSpPr>
      </xdr:nvSpPr>
      <xdr:spPr bwMode="auto">
        <a:xfrm>
          <a:off x="26479500" y="171450"/>
          <a:ext cx="1313622" cy="501512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571500</xdr:colOff>
      <xdr:row>0</xdr:row>
      <xdr:rowOff>76200</xdr:rowOff>
    </xdr:from>
    <xdr:to>
      <xdr:col>36</xdr:col>
      <xdr:colOff>409575</xdr:colOff>
      <xdr:row>2</xdr:row>
      <xdr:rowOff>228600</xdr:rowOff>
    </xdr:to>
    <xdr:sp macro="" textlink="">
      <xdr:nvSpPr>
        <xdr:cNvPr id="4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C9512C-FAD5-492E-9DE8-3E5C7EF55F8A}"/>
            </a:ext>
          </a:extLst>
        </xdr:cNvPr>
        <xdr:cNvSpPr>
          <a:spLocks noChangeArrowheads="1"/>
        </xdr:cNvSpPr>
      </xdr:nvSpPr>
      <xdr:spPr bwMode="auto">
        <a:xfrm>
          <a:off x="21907500" y="76200"/>
          <a:ext cx="1057275" cy="485775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lnSpc>
              <a:spcPts val="1100"/>
            </a:lnSpc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314324</xdr:colOff>
      <xdr:row>0</xdr:row>
      <xdr:rowOff>28575</xdr:rowOff>
    </xdr:from>
    <xdr:to>
      <xdr:col>35</xdr:col>
      <xdr:colOff>609599</xdr:colOff>
      <xdr:row>2</xdr:row>
      <xdr:rowOff>190500</xdr:rowOff>
    </xdr:to>
    <xdr:sp macro="" textlink="">
      <xdr:nvSpPr>
        <xdr:cNvPr id="4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0FE1CA-040B-4C1F-887D-8E676D0D6A1F}"/>
            </a:ext>
          </a:extLst>
        </xdr:cNvPr>
        <xdr:cNvSpPr>
          <a:spLocks noChangeArrowheads="1"/>
        </xdr:cNvSpPr>
      </xdr:nvSpPr>
      <xdr:spPr bwMode="auto">
        <a:xfrm>
          <a:off x="16583024" y="28575"/>
          <a:ext cx="1171575" cy="504825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lnSpc>
              <a:spcPts val="1100"/>
            </a:lnSpc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Contabilidade/Balan&#231;o%20Mensal/2011/12%20Dezembro/Bal_SLC_12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Contabilidade/DFs%202012/3T12/Dados%20RI_03T1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ruposlc-my.sharepoint.com/personal/stefano_bing_slcagricola_com_br/Documents/&#193;rea%20de%20Trabalho/Planilha%20Dados%20Hist&#243;ricos%20PT%203.xlsx" TargetMode="External"/><Relationship Id="rId1" Type="http://schemas.openxmlformats.org/officeDocument/2006/relationships/externalLinkPath" Target="https://gruposlc-my.sharepoint.com/personal/stefano_bing_slcagricola_com_br/Documents/&#193;rea%20de%20Trabalho/Planilha%20Dados%20Hist&#243;ricos%20PT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tivo"/>
      <sheetName val="Passivo"/>
      <sheetName val="DRE"/>
      <sheetName val="Cálculo Impostos"/>
      <sheetName val="Impostos Diferidos"/>
      <sheetName val="PAT_ADM"/>
      <sheetName val="EQUITY"/>
      <sheetName val="DVA"/>
      <sheetName val="Balancete"/>
      <sheetName val="Bal_QV"/>
      <sheetName val="DRE_QV"/>
      <sheetName val="IMP TERC"/>
      <sheetName val="BP"/>
      <sheetName val="DRE_IMP"/>
      <sheetName val="DVA_IMP"/>
      <sheetName val="DFC_IMP"/>
      <sheetName val="DMPL_IMP"/>
      <sheetName val="base de dados"/>
      <sheetName val="QV Ativo e Passivo"/>
      <sheetName val="QV Result"/>
      <sheetName val="QV Dre"/>
      <sheetName val="Plan1"/>
    </sheetNames>
    <sheetDataSet>
      <sheetData sheetId="0" refreshError="1">
        <row r="4">
          <cell r="Q4" t="str">
            <v>Escolha a Empresa</v>
          </cell>
        </row>
        <row r="5">
          <cell r="L5" t="str">
            <v>Variação do Valor Justo dos Ativos Biológicos</v>
          </cell>
          <cell r="Q5" t="str">
            <v>SLC AGRÍCOLA S.A.</v>
          </cell>
        </row>
        <row r="6">
          <cell r="L6" t="str">
            <v>Ajuste Depreciação IFRS</v>
          </cell>
          <cell r="Q6" t="str">
            <v>FAZENDA PARNAÍBA EMPREENDIMENTOS AGRÍCOLAS LTDA.</v>
          </cell>
        </row>
        <row r="7">
          <cell r="L7" t="str">
            <v>Outras despesas operacionais</v>
          </cell>
          <cell r="Q7" t="str">
            <v>FAZENDA PLANORTE EMPREENDIMENTOS AGRÍCOLAS LTDA.</v>
          </cell>
        </row>
        <row r="8">
          <cell r="L8" t="str">
            <v>Estorno reversão provisão estoque</v>
          </cell>
          <cell r="Q8" t="str">
            <v>FAZENDA PAIAGUÁS EMPREENDIMENTOS AGRÍCOLAS LTDA.</v>
          </cell>
        </row>
        <row r="9">
          <cell r="L9" t="str">
            <v>Plano de Opções de Ações-MTM</v>
          </cell>
          <cell r="Q9" t="str">
            <v>FAZENDA PIRATINI EMPREENDIMENTOS AGRÍCOLAS LTDA.</v>
          </cell>
        </row>
        <row r="10">
          <cell r="L10" t="str">
            <v xml:space="preserve">Resultado Negativo Operações com Derivativos </v>
          </cell>
          <cell r="Q10" t="str">
            <v>FAZENDA PANORAMA EMPREENDIMENTOS AGRÍCOLAS LTDA.</v>
          </cell>
        </row>
        <row r="11">
          <cell r="L11" t="str">
            <v>Variação Cambial</v>
          </cell>
          <cell r="Q11" t="str">
            <v>FAZENDA PLANESTE EMPREENDIMENTOS AGRÍCOLAS LTDA.</v>
          </cell>
        </row>
        <row r="12">
          <cell r="L12" t="str">
            <v xml:space="preserve">Resultado Positivo Operações Encerradas Derivativos </v>
          </cell>
          <cell r="Q12" t="str">
            <v>SLC EMPREEENDIMENTOS E AGRICULTURA LTDA</v>
          </cell>
        </row>
        <row r="13">
          <cell r="L13" t="str">
            <v>Operações de Opções - Exterior (caixa)</v>
          </cell>
          <cell r="Q13" t="str">
            <v>SLC AGRÍCOLA PEJUÇARA LTDA</v>
          </cell>
        </row>
        <row r="14">
          <cell r="Q14" t="str">
            <v>SLC LANDCO EMPREENDIMENTOS AGRÍCOLAS LTDA</v>
          </cell>
        </row>
        <row r="15">
          <cell r="Q15" t="str">
            <v>Escolha a Empresa</v>
          </cell>
        </row>
        <row r="16">
          <cell r="L16" t="str">
            <v>Resultado Positivo Operações com Derivativos</v>
          </cell>
        </row>
        <row r="17">
          <cell r="L17" t="str">
            <v>Outras despesas operacionais</v>
          </cell>
        </row>
        <row r="18">
          <cell r="L18" t="str">
            <v>Operações de Opções - Exterior (caixa)</v>
          </cell>
        </row>
        <row r="19">
          <cell r="L19" t="str">
            <v>Variação do Valor Justo dos Ativos Biológicos</v>
          </cell>
        </row>
        <row r="20">
          <cell r="L20" t="str">
            <v>Variação Cambial</v>
          </cell>
        </row>
        <row r="21">
          <cell r="L21" t="str">
            <v>Capitalização de Juros</v>
          </cell>
        </row>
        <row r="25">
          <cell r="L25" t="str">
            <v>Depreciação Contabilizada no Período</v>
          </cell>
        </row>
        <row r="26">
          <cell r="L26" t="str">
            <v>Depreciação/Amortização Diferença IPC/90</v>
          </cell>
        </row>
        <row r="27">
          <cell r="L27" t="str">
            <v>Despesas não Dedutíveis</v>
          </cell>
        </row>
        <row r="28">
          <cell r="L28" t="str">
            <v>Provisão para Imobilizado</v>
          </cell>
        </row>
        <row r="29">
          <cell r="L29" t="str">
            <v>Custos não Dedutíveis (Ajuste Estoque Vlr.Merc.)</v>
          </cell>
        </row>
        <row r="30">
          <cell r="L30" t="str">
            <v>Provisão para Indenizações Trabalhistas</v>
          </cell>
        </row>
        <row r="31">
          <cell r="L31" t="str">
            <v>Provisão p/Despesas Despachantes</v>
          </cell>
        </row>
        <row r="32">
          <cell r="L32" t="str">
            <v>Provisão Honorários de Sucumbência</v>
          </cell>
        </row>
        <row r="33">
          <cell r="L33" t="str">
            <v>Provisão para Participação nos Resultados</v>
          </cell>
        </row>
        <row r="34">
          <cell r="L34" t="str">
            <v>Provisão para Gastos Operacionais</v>
          </cell>
        </row>
        <row r="35">
          <cell r="L35" t="str">
            <v>Provisão para Ajuste no Recbto de Créditos</v>
          </cell>
        </row>
        <row r="36">
          <cell r="L36" t="str">
            <v>Provisão para Contratos Onerosos</v>
          </cell>
        </row>
        <row r="37">
          <cell r="L37" t="str">
            <v>Provisão para perdas tributárias</v>
          </cell>
        </row>
        <row r="38">
          <cell r="L38" t="str">
            <v>Resultado Negativo na Avaliação dos Investimentos</v>
          </cell>
        </row>
        <row r="39">
          <cell r="L39" t="str">
            <v>Ajuste</v>
          </cell>
        </row>
        <row r="40">
          <cell r="L40" t="str">
            <v>Resultado Operações com Derivativos-Excesso Despesa</v>
          </cell>
        </row>
        <row r="41">
          <cell r="L41" t="str">
            <v>Variações Cambiais (Regime de Caixa)</v>
          </cell>
        </row>
        <row r="42">
          <cell r="L42" t="str">
            <v>Ganho de Capital Diferido</v>
          </cell>
        </row>
        <row r="43">
          <cell r="L43" t="str">
            <v>Contribuição Social sobre o Lucro</v>
          </cell>
        </row>
        <row r="46">
          <cell r="L46" t="str">
            <v>Depreciação Acelerada Incentivada</v>
          </cell>
        </row>
        <row r="47">
          <cell r="L47" t="str">
            <v>Dividendos</v>
          </cell>
        </row>
        <row r="48">
          <cell r="L48" t="str">
            <v>Resultado Positivo na Avaliação dos Investimentos</v>
          </cell>
        </row>
        <row r="49">
          <cell r="L49" t="str">
            <v>Ganho por Variação de % de Participação</v>
          </cell>
        </row>
        <row r="50">
          <cell r="L50" t="str">
            <v>Reversão Participação nos Resultados</v>
          </cell>
        </row>
        <row r="51">
          <cell r="L51" t="str">
            <v>Reversão Provisão Ajuste Estoque</v>
          </cell>
        </row>
        <row r="52">
          <cell r="L52" t="str">
            <v>Reversão Prov.Despesas c/IPO</v>
          </cell>
        </row>
        <row r="53">
          <cell r="L53" t="str">
            <v>Reversão para Gastos Operacionais</v>
          </cell>
        </row>
        <row r="54">
          <cell r="L54" t="str">
            <v>Ganho por Variação de % de Participação - diferença</v>
          </cell>
        </row>
        <row r="55">
          <cell r="L55" t="str">
            <v>Reversão Provisão Ajuste Receb. Créditos</v>
          </cell>
        </row>
        <row r="56">
          <cell r="L56" t="str">
            <v>Reversão Provisão p/Indenização Trabalhista</v>
          </cell>
        </row>
        <row r="57">
          <cell r="L57" t="str">
            <v>Reversão Provisão p/Despesas Despachantes</v>
          </cell>
        </row>
        <row r="58">
          <cell r="L58" t="str">
            <v>Reversão Provisão p/Contratos Onerosos</v>
          </cell>
        </row>
        <row r="59">
          <cell r="L59" t="str">
            <v>Plano de Opções de Ações-MTM</v>
          </cell>
        </row>
        <row r="60">
          <cell r="L60" t="str">
            <v>Resultado Positivo - excesso de Despesa</v>
          </cell>
        </row>
        <row r="61">
          <cell r="L61" t="str">
            <v>Resultado Operações com Derivativos</v>
          </cell>
        </row>
        <row r="62">
          <cell r="L62" t="str">
            <v>Despesas Dedutíveis  Com Abertura de Capital</v>
          </cell>
        </row>
        <row r="63">
          <cell r="L63" t="str">
            <v>Incentivo inovação tecnológica</v>
          </cell>
        </row>
        <row r="64">
          <cell r="L64" t="str">
            <v>Variações Cambiais (Regime de Caixa)</v>
          </cell>
        </row>
        <row r="67">
          <cell r="L67" t="str">
            <v>Diferença de alíquota ano anterior</v>
          </cell>
        </row>
        <row r="68">
          <cell r="L68" t="str">
            <v>Resultado de equivalência patrimonial</v>
          </cell>
        </row>
        <row r="69">
          <cell r="L69" t="str">
            <v>Adições permanentes</v>
          </cell>
        </row>
        <row r="70">
          <cell r="L70" t="str">
            <v>Excluções permanentes</v>
          </cell>
        </row>
        <row r="71">
          <cell r="L71" t="str">
            <v>PAT/Projetos Culturais</v>
          </cell>
        </row>
        <row r="72">
          <cell r="L72" t="str">
            <v>Incentivo fiscal redução IRPJ</v>
          </cell>
        </row>
        <row r="73">
          <cell r="L73" t="str">
            <v>Diferença de alíquota ano corrente</v>
          </cell>
        </row>
        <row r="74">
          <cell r="L74" t="str">
            <v>Cálculo pelo lucro presumido</v>
          </cell>
        </row>
        <row r="75">
          <cell r="L75" t="str">
            <v>Depr. Acelerada Incent. / Difer. V.C.</v>
          </cell>
        </row>
        <row r="76">
          <cell r="L76" t="str">
            <v>Ajuste perda de prejuízo fiscal decorrente da cisão nov/06</v>
          </cell>
        </row>
        <row r="77">
          <cell r="L77" t="str">
            <v>Eliminações (Lucro não Realizado)</v>
          </cell>
        </row>
        <row r="78">
          <cell r="L78" t="str">
            <v>Ganho/perda de capital na variação de % de partic.</v>
          </cell>
        </row>
        <row r="79">
          <cell r="L79" t="str">
            <v>Outros ajustes (reversão prej fiscal)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Datas"/>
      <sheetName val="Balanço Patrimonial Ativo"/>
      <sheetName val="Balanço Patrimonial (2)"/>
      <sheetName val="Balanço Patrimonial Passivo"/>
      <sheetName val="DRE"/>
      <sheetName val="DFC"/>
      <sheetName val="DVA"/>
      <sheetName val="EBITDA"/>
      <sheetName val="EBITDA_texto"/>
      <sheetName val="R$ Mil"/>
      <sheetName val="Indicadores"/>
    </sheetNames>
    <sheetDataSet>
      <sheetData sheetId="0"/>
      <sheetData sheetId="1">
        <row r="2">
          <cell r="AO2">
            <v>1</v>
          </cell>
          <cell r="AP2" t="str">
            <v>Janeiro</v>
          </cell>
          <cell r="AQ2">
            <v>2010</v>
          </cell>
        </row>
        <row r="3">
          <cell r="AO3">
            <v>2</v>
          </cell>
          <cell r="AP3" t="str">
            <v>Fevereiro</v>
          </cell>
          <cell r="AQ3">
            <v>2011</v>
          </cell>
        </row>
        <row r="4">
          <cell r="AO4">
            <v>3</v>
          </cell>
          <cell r="AP4" t="str">
            <v>Março</v>
          </cell>
          <cell r="AQ4">
            <v>2012</v>
          </cell>
        </row>
        <row r="5">
          <cell r="AO5">
            <v>4</v>
          </cell>
          <cell r="AP5" t="str">
            <v>Abril</v>
          </cell>
          <cell r="AQ5">
            <v>2013</v>
          </cell>
        </row>
        <row r="6">
          <cell r="AO6">
            <v>5</v>
          </cell>
          <cell r="AP6" t="str">
            <v>Maio</v>
          </cell>
          <cell r="AQ6">
            <v>2014</v>
          </cell>
        </row>
        <row r="7">
          <cell r="AO7">
            <v>6</v>
          </cell>
          <cell r="AP7" t="str">
            <v>Junho</v>
          </cell>
          <cell r="AQ7">
            <v>2014</v>
          </cell>
        </row>
        <row r="8">
          <cell r="AO8">
            <v>7</v>
          </cell>
          <cell r="AP8" t="str">
            <v>Julho</v>
          </cell>
          <cell r="AQ8">
            <v>2016</v>
          </cell>
        </row>
        <row r="9">
          <cell r="AO9">
            <v>8</v>
          </cell>
          <cell r="AP9" t="str">
            <v>Agosto</v>
          </cell>
          <cell r="AQ9">
            <v>2017</v>
          </cell>
        </row>
        <row r="10">
          <cell r="AO10">
            <v>9</v>
          </cell>
          <cell r="AP10" t="str">
            <v>Setembro</v>
          </cell>
        </row>
        <row r="11">
          <cell r="AO11">
            <v>10</v>
          </cell>
          <cell r="AP11" t="str">
            <v>Outubro</v>
          </cell>
        </row>
        <row r="12">
          <cell r="AO12">
            <v>11</v>
          </cell>
          <cell r="AP12" t="str">
            <v>Novembro</v>
          </cell>
        </row>
        <row r="13">
          <cell r="AO13">
            <v>12</v>
          </cell>
          <cell r="AP13" t="str">
            <v>Dezembro</v>
          </cell>
        </row>
        <row r="14">
          <cell r="AO14">
            <v>13</v>
          </cell>
        </row>
        <row r="15">
          <cell r="AO15">
            <v>14</v>
          </cell>
        </row>
        <row r="16">
          <cell r="AO16">
            <v>15</v>
          </cell>
        </row>
        <row r="17">
          <cell r="AO17">
            <v>16</v>
          </cell>
        </row>
        <row r="18">
          <cell r="AO18">
            <v>17</v>
          </cell>
        </row>
        <row r="19">
          <cell r="AO19">
            <v>18</v>
          </cell>
        </row>
        <row r="20">
          <cell r="AO20">
            <v>19</v>
          </cell>
        </row>
        <row r="21">
          <cell r="AO21">
            <v>20</v>
          </cell>
        </row>
        <row r="22">
          <cell r="AO22">
            <v>21</v>
          </cell>
        </row>
        <row r="23">
          <cell r="AO23">
            <v>22</v>
          </cell>
        </row>
        <row r="24">
          <cell r="AO24">
            <v>23</v>
          </cell>
        </row>
        <row r="25">
          <cell r="AO25">
            <v>24</v>
          </cell>
        </row>
        <row r="26">
          <cell r="AO26">
            <v>25</v>
          </cell>
        </row>
        <row r="27">
          <cell r="AO27">
            <v>26</v>
          </cell>
        </row>
        <row r="28">
          <cell r="AO28">
            <v>27</v>
          </cell>
        </row>
        <row r="29">
          <cell r="AO29">
            <v>28</v>
          </cell>
        </row>
        <row r="30">
          <cell r="AO30">
            <v>29</v>
          </cell>
        </row>
        <row r="31">
          <cell r="AO31">
            <v>30</v>
          </cell>
        </row>
        <row r="32">
          <cell r="AO32">
            <v>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Datas"/>
      <sheetName val="Balanço Patrimonial Ativo"/>
      <sheetName val="Balanço Patrimonial Passivo"/>
      <sheetName val="DRE"/>
      <sheetName val="DVA"/>
      <sheetName val="EBITDA"/>
      <sheetName val="DFC"/>
      <sheetName val="Outras Informações"/>
    </sheetNames>
    <sheetDataSet>
      <sheetData sheetId="0" refreshError="1"/>
      <sheetData sheetId="1" refreshError="1"/>
      <sheetData sheetId="2" refreshError="1">
        <row r="6">
          <cell r="BQ6" t="str">
            <v>IFRS</v>
          </cell>
        </row>
      </sheetData>
      <sheetData sheetId="3" refreshError="1"/>
      <sheetData sheetId="4" refreshError="1">
        <row r="8">
          <cell r="DI8">
            <v>1994799</v>
          </cell>
        </row>
        <row r="9">
          <cell r="DI9">
            <v>1956914</v>
          </cell>
        </row>
        <row r="18">
          <cell r="DI18">
            <v>-140763</v>
          </cell>
        </row>
        <row r="26">
          <cell r="DI26">
            <v>178648</v>
          </cell>
        </row>
        <row r="31">
          <cell r="DI31">
            <v>-1348583</v>
          </cell>
        </row>
        <row r="40">
          <cell r="DI40">
            <v>-104012</v>
          </cell>
        </row>
        <row r="50">
          <cell r="DI50">
            <v>-68855</v>
          </cell>
        </row>
        <row r="59">
          <cell r="DI59">
            <v>-68355</v>
          </cell>
        </row>
        <row r="74">
          <cell r="DI74">
            <v>-10307</v>
          </cell>
        </row>
        <row r="75">
          <cell r="DI75">
            <v>-178</v>
          </cell>
        </row>
        <row r="76">
          <cell r="DI76">
            <v>0</v>
          </cell>
        </row>
      </sheetData>
      <sheetData sheetId="5" refreshError="1">
        <row r="24">
          <cell r="DI24">
            <v>-60263</v>
          </cell>
        </row>
      </sheetData>
      <sheetData sheetId="6" refreshError="1"/>
      <sheetData sheetId="7" refreshError="1"/>
      <sheetData sheetId="8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lisandra Reis - SLC Agrícola" id="{C295E613-F02C-43A5-820F-D09BB902324D}" userId="S::alisandra.reis@slcagricola.com.br::34459b8d-f3f7-4831-9fd6-d6bec9b6dee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7" dT="2024-08-21T20:43:02.46" personId="{C295E613-F02C-43A5-820F-D09BB902324D}" id="{F650523D-FC45-4A18-8554-D239B746ABF6}">
    <text>Com Ativo Biológico
e VRL</text>
  </threadedComment>
  <threadedComment ref="A8" dT="2024-08-21T20:43:19.36" personId="{C295E613-F02C-43A5-820F-D09BB902324D}" id="{B67C05C4-E6E8-4107-B3BE-D1F8DD21AD9A}">
    <text>Com Ativo Biológico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1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18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printerSettings" Target="../printerSettings/printerSettings28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Relationship Id="rId9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7:M35"/>
  <sheetViews>
    <sheetView showGridLines="0" tabSelected="1" view="pageBreakPreview" zoomScaleNormal="100" zoomScaleSheetLayoutView="100" workbookViewId="0"/>
  </sheetViews>
  <sheetFormatPr defaultRowHeight="12.5" x14ac:dyDescent="0.25"/>
  <cols>
    <col min="1" max="1" width="3.54296875" customWidth="1"/>
  </cols>
  <sheetData>
    <row r="17" spans="2:13" ht="31" x14ac:dyDescent="0.7">
      <c r="B17" s="237"/>
      <c r="C17" s="237"/>
      <c r="D17" s="237"/>
      <c r="E17" s="237"/>
      <c r="F17" s="237"/>
      <c r="G17" s="237"/>
      <c r="H17" s="237"/>
      <c r="I17" s="237"/>
      <c r="J17" s="6"/>
      <c r="K17" s="6"/>
      <c r="L17" s="6"/>
      <c r="M17" s="6"/>
    </row>
    <row r="18" spans="2:13" x14ac:dyDescent="0.25">
      <c r="D18" s="235"/>
      <c r="E18" s="235"/>
      <c r="F18" s="235"/>
      <c r="G18" s="235"/>
      <c r="H18" s="235"/>
      <c r="I18" s="235"/>
      <c r="J18" s="235"/>
      <c r="K18" s="235"/>
      <c r="L18" s="235"/>
      <c r="M18" s="235"/>
    </row>
    <row r="19" spans="2:13" x14ac:dyDescent="0.25">
      <c r="D19" s="235"/>
      <c r="E19" s="235"/>
      <c r="F19" s="235"/>
      <c r="G19" s="235"/>
      <c r="H19" s="235"/>
      <c r="I19" s="235"/>
      <c r="J19" s="235"/>
      <c r="K19" s="235"/>
      <c r="L19" s="235"/>
      <c r="M19" s="235"/>
    </row>
    <row r="20" spans="2:13" x14ac:dyDescent="0.25">
      <c r="D20" s="235"/>
      <c r="E20" s="235"/>
      <c r="F20" s="235"/>
      <c r="G20" s="235"/>
      <c r="H20" s="235"/>
      <c r="I20" s="235"/>
      <c r="J20" s="235"/>
      <c r="K20" s="235"/>
      <c r="L20" s="235"/>
      <c r="M20" s="235"/>
    </row>
    <row r="21" spans="2:13" x14ac:dyDescent="0.25">
      <c r="D21" s="235"/>
      <c r="E21" s="235"/>
      <c r="F21" s="235"/>
      <c r="G21" s="235"/>
      <c r="H21" s="235"/>
      <c r="I21" s="235"/>
      <c r="J21" s="235"/>
      <c r="K21" s="235"/>
      <c r="L21" s="235"/>
      <c r="M21" s="235"/>
    </row>
    <row r="22" spans="2:13" ht="19" x14ac:dyDescent="0.45">
      <c r="B22" s="236"/>
      <c r="C22" s="236"/>
      <c r="D22" s="236"/>
      <c r="E22" s="236"/>
      <c r="F22" s="236"/>
      <c r="G22" s="236"/>
      <c r="H22" s="236"/>
      <c r="I22" s="236"/>
      <c r="J22" s="6"/>
      <c r="K22" s="6"/>
      <c r="L22" s="6"/>
      <c r="M22" s="6"/>
    </row>
    <row r="23" spans="2:13" x14ac:dyDescent="0.25">
      <c r="D23" s="235"/>
      <c r="E23" s="235"/>
      <c r="F23" s="235"/>
      <c r="G23" s="235"/>
      <c r="H23" s="235"/>
      <c r="I23" s="235"/>
      <c r="J23" s="235"/>
      <c r="K23" s="235"/>
      <c r="L23" s="235"/>
      <c r="M23" s="235"/>
    </row>
    <row r="24" spans="2:13" ht="19" x14ac:dyDescent="0.45">
      <c r="B24" s="236"/>
      <c r="C24" s="236"/>
      <c r="D24" s="236"/>
      <c r="E24" s="236"/>
      <c r="F24" s="236"/>
      <c r="G24" s="236"/>
      <c r="H24" s="236"/>
      <c r="I24" s="236"/>
      <c r="J24" s="6"/>
      <c r="K24" s="6"/>
      <c r="L24" s="6"/>
      <c r="M24" s="6"/>
    </row>
    <row r="35" spans="11:11" ht="15" x14ac:dyDescent="0.3">
      <c r="K35" s="147" t="s">
        <v>0</v>
      </c>
    </row>
  </sheetData>
  <customSheetViews>
    <customSheetView guid="{123C4F1C-4895-46DD-B59E-C96253E6CB23}" scale="85" showPageBreaks="1" showGridLines="0" fitToPage="1" printArea="1" view="pageBreakPreview" showRuler="0">
      <selection activeCell="U26" sqref="U26"/>
      <pageMargins left="0" right="0" top="0" bottom="0" header="0" footer="0"/>
      <pageSetup paperSize="9" scale="99" orientation="landscape" r:id="rId1"/>
      <headerFooter alignWithMargins="0"/>
    </customSheetView>
    <customSheetView guid="{87BBC8EC-E3DC-4681-ADCF-155BFED637D3}" scale="85" showPageBreaks="1" showGridLines="0" fitToPage="1" printArea="1" view="pageBreakPreview" showRuler="0">
      <selection activeCell="U26" sqref="U26"/>
      <pageMargins left="0" right="0" top="0" bottom="0" header="0" footer="0"/>
      <pageSetup paperSize="9" scale="98" orientation="landscape" r:id="rId2"/>
      <headerFooter alignWithMargins="0"/>
    </customSheetView>
    <customSheetView guid="{541190A4-AA4E-4E6C-B49E-AED913B3B1F4}" scale="85" showPageBreaks="1" showGridLines="0" fitToPage="1" printArea="1" view="pageBreakPreview" showRuler="0">
      <selection activeCell="U26" sqref="U26"/>
      <pageMargins left="0" right="0" top="0" bottom="0" header="0" footer="0"/>
      <pageSetup paperSize="9" scale="99" orientation="landscape" r:id="rId3"/>
      <headerFooter alignWithMargins="0"/>
    </customSheetView>
    <customSheetView guid="{2F2F03EC-AF42-4C78-9418-7B0DEBF08052}" scale="85" showPageBreaks="1" showGridLines="0" fitToPage="1" printArea="1" view="pageBreakPreview">
      <selection activeCell="U26" sqref="U26"/>
      <pageMargins left="0" right="0" top="0" bottom="0" header="0" footer="0"/>
      <pageSetup paperSize="9" scale="99" orientation="landscape" r:id="rId4"/>
    </customSheetView>
  </customSheetViews>
  <mergeCells count="8">
    <mergeCell ref="D23:M23"/>
    <mergeCell ref="B24:I24"/>
    <mergeCell ref="B17:I17"/>
    <mergeCell ref="D18:M18"/>
    <mergeCell ref="D19:M19"/>
    <mergeCell ref="D20:M20"/>
    <mergeCell ref="D21:M21"/>
    <mergeCell ref="B22:I22"/>
  </mergeCells>
  <phoneticPr fontId="8" type="noConversion"/>
  <pageMargins left="1.0900000000000001" right="0.51181102362204722" top="0.64" bottom="0.51" header="0.31496062992125984" footer="0.31496062992125984"/>
  <pageSetup paperSize="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B1:AQ32"/>
  <sheetViews>
    <sheetView zoomScale="85" zoomScaleNormal="85" workbookViewId="0">
      <selection activeCell="E12" sqref="E12"/>
    </sheetView>
  </sheetViews>
  <sheetFormatPr defaultRowHeight="12.5" x14ac:dyDescent="0.25"/>
  <cols>
    <col min="3" max="3" width="14.26953125" bestFit="1" customWidth="1"/>
  </cols>
  <sheetData>
    <row r="1" spans="2:43" x14ac:dyDescent="0.25">
      <c r="AO1" s="211" t="s">
        <v>1</v>
      </c>
      <c r="AP1" s="211" t="s">
        <v>2</v>
      </c>
      <c r="AQ1" s="211" t="s">
        <v>3</v>
      </c>
    </row>
    <row r="2" spans="2:43" x14ac:dyDescent="0.25">
      <c r="B2" t="s">
        <v>1</v>
      </c>
      <c r="C2" s="1">
        <v>30</v>
      </c>
      <c r="AO2">
        <v>1</v>
      </c>
      <c r="AP2" s="211" t="s">
        <v>4</v>
      </c>
      <c r="AQ2">
        <v>2010</v>
      </c>
    </row>
    <row r="3" spans="2:43" x14ac:dyDescent="0.25">
      <c r="B3" t="s">
        <v>2</v>
      </c>
      <c r="C3" s="2" t="s">
        <v>9</v>
      </c>
      <c r="N3" s="3"/>
      <c r="AO3">
        <v>2</v>
      </c>
      <c r="AP3" s="211" t="s">
        <v>6</v>
      </c>
      <c r="AQ3">
        <v>2011</v>
      </c>
    </row>
    <row r="4" spans="2:43" x14ac:dyDescent="0.25">
      <c r="B4" t="s">
        <v>3</v>
      </c>
      <c r="C4" s="2">
        <v>2024</v>
      </c>
      <c r="AO4">
        <v>3</v>
      </c>
      <c r="AP4" s="211" t="s">
        <v>5</v>
      </c>
      <c r="AQ4">
        <v>2012</v>
      </c>
    </row>
    <row r="5" spans="2:43" x14ac:dyDescent="0.25">
      <c r="AO5">
        <v>4</v>
      </c>
      <c r="AP5" s="211" t="s">
        <v>7</v>
      </c>
      <c r="AQ5">
        <v>2013</v>
      </c>
    </row>
    <row r="6" spans="2:43" x14ac:dyDescent="0.25">
      <c r="C6" t="str">
        <f>CONCATENATE("Posição em ",C2," de ",C3," de"," ", C4,".")</f>
        <v>Posição em 30 de Junho de 2024.</v>
      </c>
      <c r="AO6">
        <v>5</v>
      </c>
      <c r="AP6" s="211" t="s">
        <v>8</v>
      </c>
      <c r="AQ6">
        <v>2014</v>
      </c>
    </row>
    <row r="7" spans="2:43" x14ac:dyDescent="0.25">
      <c r="AO7">
        <v>6</v>
      </c>
      <c r="AP7" s="211" t="s">
        <v>9</v>
      </c>
      <c r="AQ7">
        <v>2015</v>
      </c>
    </row>
    <row r="8" spans="2:43" x14ac:dyDescent="0.25">
      <c r="AO8">
        <v>7</v>
      </c>
      <c r="AP8" s="211" t="s">
        <v>10</v>
      </c>
      <c r="AQ8">
        <v>2016</v>
      </c>
    </row>
    <row r="9" spans="2:43" x14ac:dyDescent="0.25">
      <c r="B9" s="211" t="s">
        <v>11</v>
      </c>
      <c r="AO9">
        <v>8</v>
      </c>
      <c r="AP9" s="211" t="s">
        <v>12</v>
      </c>
      <c r="AQ9">
        <v>2017</v>
      </c>
    </row>
    <row r="10" spans="2:43" x14ac:dyDescent="0.25">
      <c r="B10" s="4"/>
      <c r="C10" s="211" t="s">
        <v>13</v>
      </c>
      <c r="AO10">
        <v>9</v>
      </c>
      <c r="AP10" s="211" t="s">
        <v>14</v>
      </c>
      <c r="AQ10">
        <v>2018</v>
      </c>
    </row>
    <row r="11" spans="2:43" x14ac:dyDescent="0.25">
      <c r="B11" s="5"/>
      <c r="C11" s="211" t="s">
        <v>15</v>
      </c>
      <c r="AO11">
        <v>10</v>
      </c>
      <c r="AP11" s="211" t="s">
        <v>16</v>
      </c>
      <c r="AQ11">
        <v>2019</v>
      </c>
    </row>
    <row r="12" spans="2:43" x14ac:dyDescent="0.25">
      <c r="AO12">
        <v>11</v>
      </c>
      <c r="AP12" s="211" t="s">
        <v>17</v>
      </c>
      <c r="AQ12">
        <v>2020</v>
      </c>
    </row>
    <row r="13" spans="2:43" x14ac:dyDescent="0.25">
      <c r="AO13">
        <v>12</v>
      </c>
      <c r="AP13" s="211" t="s">
        <v>18</v>
      </c>
      <c r="AQ13">
        <v>2021</v>
      </c>
    </row>
    <row r="14" spans="2:43" x14ac:dyDescent="0.25">
      <c r="AO14">
        <v>13</v>
      </c>
      <c r="AQ14">
        <v>2022</v>
      </c>
    </row>
    <row r="15" spans="2:43" x14ac:dyDescent="0.25">
      <c r="AO15">
        <v>14</v>
      </c>
      <c r="AQ15">
        <v>2023</v>
      </c>
    </row>
    <row r="16" spans="2:43" x14ac:dyDescent="0.25">
      <c r="AO16">
        <v>15</v>
      </c>
      <c r="AQ16">
        <v>2024</v>
      </c>
    </row>
    <row r="17" spans="41:43" x14ac:dyDescent="0.25">
      <c r="AO17">
        <v>16</v>
      </c>
      <c r="AQ17">
        <v>2025</v>
      </c>
    </row>
    <row r="18" spans="41:43" x14ac:dyDescent="0.25">
      <c r="AO18">
        <v>17</v>
      </c>
    </row>
    <row r="19" spans="41:43" x14ac:dyDescent="0.25">
      <c r="AO19">
        <v>18</v>
      </c>
    </row>
    <row r="20" spans="41:43" x14ac:dyDescent="0.25">
      <c r="AO20">
        <v>19</v>
      </c>
    </row>
    <row r="21" spans="41:43" x14ac:dyDescent="0.25">
      <c r="AO21">
        <v>20</v>
      </c>
    </row>
    <row r="22" spans="41:43" x14ac:dyDescent="0.25">
      <c r="AO22">
        <v>21</v>
      </c>
    </row>
    <row r="23" spans="41:43" x14ac:dyDescent="0.25">
      <c r="AO23">
        <v>22</v>
      </c>
    </row>
    <row r="24" spans="41:43" x14ac:dyDescent="0.25">
      <c r="AO24">
        <v>23</v>
      </c>
    </row>
    <row r="25" spans="41:43" x14ac:dyDescent="0.25">
      <c r="AO25">
        <v>24</v>
      </c>
    </row>
    <row r="26" spans="41:43" x14ac:dyDescent="0.25">
      <c r="AO26">
        <v>25</v>
      </c>
    </row>
    <row r="27" spans="41:43" x14ac:dyDescent="0.25">
      <c r="AO27">
        <v>26</v>
      </c>
    </row>
    <row r="28" spans="41:43" x14ac:dyDescent="0.25">
      <c r="AO28">
        <v>27</v>
      </c>
    </row>
    <row r="29" spans="41:43" x14ac:dyDescent="0.25">
      <c r="AO29">
        <v>28</v>
      </c>
    </row>
    <row r="30" spans="41:43" x14ac:dyDescent="0.25">
      <c r="AO30">
        <v>29</v>
      </c>
    </row>
    <row r="31" spans="41:43" x14ac:dyDescent="0.25">
      <c r="AO31">
        <v>30</v>
      </c>
    </row>
    <row r="32" spans="41:43" x14ac:dyDescent="0.25">
      <c r="AO32">
        <v>31</v>
      </c>
    </row>
  </sheetData>
  <customSheetViews>
    <customSheetView guid="{123C4F1C-4895-46DD-B59E-C96253E6CB23}" showRuler="0">
      <selection activeCell="C3" sqref="C3"/>
      <pageMargins left="0" right="0" top="0" bottom="0" header="0" footer="0"/>
      <headerFooter alignWithMargins="0"/>
    </customSheetView>
    <customSheetView guid="{87BBC8EC-E3DC-4681-ADCF-155BFED637D3}" showRuler="0">
      <selection activeCell="C3" sqref="C3"/>
      <pageMargins left="0" right="0" top="0" bottom="0" header="0" footer="0"/>
      <headerFooter alignWithMargins="0"/>
    </customSheetView>
    <customSheetView guid="{541190A4-AA4E-4E6C-B49E-AED913B3B1F4}" showRuler="0">
      <selection activeCell="C3" sqref="C3"/>
      <pageMargins left="0" right="0" top="0" bottom="0" header="0" footer="0"/>
      <headerFooter alignWithMargins="0"/>
    </customSheetView>
    <customSheetView guid="{2F2F03EC-AF42-4C78-9418-7B0DEBF08052}">
      <selection activeCell="C3" sqref="C3"/>
      <pageMargins left="0" right="0" top="0" bottom="0" header="0" footer="0"/>
      <headerFooter alignWithMargins="0"/>
    </customSheetView>
  </customSheetViews>
  <phoneticPr fontId="3" type="noConversion"/>
  <dataValidations count="3">
    <dataValidation type="list" allowBlank="1" showInputMessage="1" showErrorMessage="1" sqref="C2" xr:uid="{00000000-0002-0000-0100-000000000000}">
      <formula1>Dia</formula1>
    </dataValidation>
    <dataValidation type="list" allowBlank="1" showInputMessage="1" showErrorMessage="1" sqref="C3" xr:uid="{00000000-0002-0000-0100-000001000000}">
      <formula1>Mês</formula1>
    </dataValidation>
    <dataValidation type="list" allowBlank="1" showInputMessage="1" showErrorMessage="1" sqref="C4" xr:uid="{00000000-0002-0000-0100-000002000000}">
      <formula1>$AQ$2:$AQ$16</formula1>
    </dataValidation>
  </dataValidations>
  <pageMargins left="0.78740157499999996" right="0.78740157499999996" top="0.984251969" bottom="0.984251969" header="0.49212598499999999" footer="0.49212598499999999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593C"/>
    <pageSetUpPr fitToPage="1"/>
  </sheetPr>
  <dimension ref="B2:BU384"/>
  <sheetViews>
    <sheetView showGridLines="0" topLeftCell="B1" zoomScaleNormal="100" workbookViewId="0">
      <pane xSplit="7" ySplit="7" topLeftCell="BM8" activePane="bottomRight" state="frozen"/>
      <selection pane="topRight" activeCell="D25" sqref="D25"/>
      <selection pane="bottomLeft" activeCell="D25" sqref="D25"/>
      <selection pane="bottomRight" activeCell="BM49" sqref="BM49"/>
    </sheetView>
  </sheetViews>
  <sheetFormatPr defaultColWidth="9.1796875" defaultRowHeight="10" x14ac:dyDescent="0.2"/>
  <cols>
    <col min="1" max="7" width="1.54296875" style="8" customWidth="1"/>
    <col min="8" max="8" width="40.1796875" style="8" customWidth="1"/>
    <col min="9" max="14" width="10" style="8" bestFit="1" customWidth="1"/>
    <col min="15" max="20" width="10" style="9" bestFit="1" customWidth="1"/>
    <col min="21" max="36" width="10" style="8" bestFit="1" customWidth="1"/>
    <col min="37" max="52" width="9.1796875" style="8"/>
    <col min="53" max="55" width="9.1796875" style="8" customWidth="1"/>
    <col min="56" max="56" width="9.1796875" style="8"/>
    <col min="57" max="57" width="9.1796875" style="8" customWidth="1"/>
    <col min="58" max="59" width="9.81640625" style="8" customWidth="1"/>
    <col min="60" max="60" width="9.81640625" style="8" bestFit="1" customWidth="1"/>
    <col min="61" max="62" width="9.81640625" style="8" customWidth="1"/>
    <col min="63" max="63" width="9.1796875" style="8" customWidth="1"/>
    <col min="64" max="64" width="9.1796875" style="8"/>
    <col min="65" max="67" width="9.1796875" style="8" customWidth="1"/>
    <col min="68" max="70" width="9.1796875" style="8"/>
    <col min="71" max="71" width="11.453125" style="8" bestFit="1" customWidth="1"/>
    <col min="72" max="16384" width="9.1796875" style="8"/>
  </cols>
  <sheetData>
    <row r="2" spans="2:70" ht="15.5" x14ac:dyDescent="0.35"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</row>
    <row r="3" spans="2:70" ht="15.5" x14ac:dyDescent="0.35"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</row>
    <row r="4" spans="2:70" ht="11.25" customHeight="1" x14ac:dyDescent="0.2">
      <c r="B4" s="128"/>
      <c r="C4" s="128"/>
      <c r="D4" s="128"/>
      <c r="E4" s="128"/>
      <c r="F4" s="128"/>
      <c r="G4" s="128"/>
      <c r="H4" s="128"/>
      <c r="I4" s="9"/>
      <c r="J4" s="9"/>
      <c r="K4" s="9"/>
      <c r="L4" s="9"/>
      <c r="M4" s="9"/>
      <c r="N4" s="9"/>
      <c r="U4" s="9"/>
      <c r="V4" s="9"/>
      <c r="W4" s="9"/>
      <c r="X4" s="9"/>
      <c r="Y4" s="9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I4" s="200"/>
      <c r="BJ4" s="200"/>
    </row>
    <row r="5" spans="2:70" ht="11.25" customHeight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I5" s="162"/>
      <c r="BJ5" s="162"/>
    </row>
    <row r="6" spans="2:70" ht="13.5" customHeight="1" x14ac:dyDescent="0.25">
      <c r="B6" s="239" t="s">
        <v>19</v>
      </c>
      <c r="C6" s="239"/>
      <c r="D6" s="239"/>
      <c r="E6" s="239"/>
      <c r="F6" s="239"/>
      <c r="G6" s="239"/>
      <c r="H6" s="239"/>
      <c r="I6" s="11" t="s">
        <v>20</v>
      </c>
      <c r="J6" s="11" t="s">
        <v>20</v>
      </c>
      <c r="K6" s="11" t="s">
        <v>20</v>
      </c>
      <c r="L6" s="11" t="s">
        <v>21</v>
      </c>
      <c r="M6" s="11" t="s">
        <v>21</v>
      </c>
      <c r="N6" s="11" t="s">
        <v>21</v>
      </c>
      <c r="O6" s="11" t="s">
        <v>21</v>
      </c>
      <c r="P6" s="11" t="s">
        <v>21</v>
      </c>
      <c r="Q6" s="11" t="s">
        <v>21</v>
      </c>
      <c r="R6" s="11" t="s">
        <v>21</v>
      </c>
      <c r="S6" s="11" t="s">
        <v>21</v>
      </c>
      <c r="T6" s="11" t="s">
        <v>21</v>
      </c>
      <c r="U6" s="11" t="s">
        <v>21</v>
      </c>
      <c r="V6" s="11" t="s">
        <v>21</v>
      </c>
      <c r="W6" s="11" t="s">
        <v>21</v>
      </c>
      <c r="X6" s="11" t="s">
        <v>21</v>
      </c>
      <c r="Y6" s="11" t="s">
        <v>21</v>
      </c>
      <c r="Z6" s="11" t="s">
        <v>21</v>
      </c>
      <c r="AA6" s="11" t="s">
        <v>21</v>
      </c>
      <c r="AB6" s="11" t="s">
        <v>21</v>
      </c>
      <c r="AC6" s="163" t="s">
        <v>21</v>
      </c>
      <c r="AD6" s="11" t="s">
        <v>21</v>
      </c>
      <c r="AE6" s="11" t="s">
        <v>21</v>
      </c>
      <c r="AF6" s="163" t="s">
        <v>21</v>
      </c>
      <c r="AG6" s="191" t="s">
        <v>21</v>
      </c>
      <c r="AH6" s="191" t="s">
        <v>21</v>
      </c>
      <c r="AI6" s="191" t="s">
        <v>21</v>
      </c>
      <c r="AJ6" s="191" t="s">
        <v>21</v>
      </c>
      <c r="AK6" s="191" t="s">
        <v>21</v>
      </c>
      <c r="AL6" s="191" t="s">
        <v>21</v>
      </c>
      <c r="AM6" s="191" t="s">
        <v>21</v>
      </c>
      <c r="AN6" s="191" t="s">
        <v>21</v>
      </c>
      <c r="AO6" s="191" t="s">
        <v>21</v>
      </c>
      <c r="AP6" s="191" t="s">
        <v>21</v>
      </c>
      <c r="AQ6" s="191" t="s">
        <v>21</v>
      </c>
      <c r="AR6" s="191" t="s">
        <v>21</v>
      </c>
      <c r="AS6" s="191" t="s">
        <v>21</v>
      </c>
      <c r="AT6" s="191" t="s">
        <v>21</v>
      </c>
      <c r="AU6" s="191" t="s">
        <v>21</v>
      </c>
      <c r="AV6" s="191" t="s">
        <v>21</v>
      </c>
      <c r="AW6" s="191" t="s">
        <v>21</v>
      </c>
      <c r="AX6" s="191" t="s">
        <v>21</v>
      </c>
      <c r="AY6" s="191" t="s">
        <v>21</v>
      </c>
      <c r="AZ6" s="191" t="s">
        <v>21</v>
      </c>
      <c r="BA6" s="191" t="s">
        <v>21</v>
      </c>
      <c r="BB6" s="191" t="s">
        <v>21</v>
      </c>
      <c r="BC6" s="191" t="s">
        <v>21</v>
      </c>
      <c r="BD6" s="191" t="s">
        <v>21</v>
      </c>
      <c r="BE6" s="191" t="s">
        <v>21</v>
      </c>
      <c r="BF6" s="191" t="s">
        <v>21</v>
      </c>
      <c r="BG6" s="191" t="s">
        <v>21</v>
      </c>
      <c r="BH6" s="191" t="s">
        <v>21</v>
      </c>
      <c r="BI6" s="191" t="s">
        <v>21</v>
      </c>
      <c r="BJ6" s="191" t="s">
        <v>21</v>
      </c>
      <c r="BK6" s="191" t="s">
        <v>21</v>
      </c>
      <c r="BL6" s="191" t="s">
        <v>21</v>
      </c>
      <c r="BM6" s="191" t="s">
        <v>21</v>
      </c>
      <c r="BN6" s="191" t="s">
        <v>21</v>
      </c>
      <c r="BO6" s="191" t="s">
        <v>21</v>
      </c>
      <c r="BP6" s="191" t="s">
        <v>21</v>
      </c>
      <c r="BQ6" s="226" t="s">
        <v>21</v>
      </c>
      <c r="BR6" s="226" t="s">
        <v>21</v>
      </c>
    </row>
    <row r="7" spans="2:70" ht="11.25" customHeight="1" x14ac:dyDescent="0.25">
      <c r="B7" s="240" t="s">
        <v>19</v>
      </c>
      <c r="C7" s="240"/>
      <c r="D7" s="240"/>
      <c r="E7" s="240"/>
      <c r="F7" s="240"/>
      <c r="G7" s="240"/>
      <c r="H7" s="240"/>
      <c r="I7" s="11" t="s">
        <v>22</v>
      </c>
      <c r="J7" s="11" t="s">
        <v>23</v>
      </c>
      <c r="K7" s="11" t="s">
        <v>24</v>
      </c>
      <c r="L7" s="209" t="s">
        <v>25</v>
      </c>
      <c r="M7" s="11" t="s">
        <v>26</v>
      </c>
      <c r="N7" s="11" t="s">
        <v>27</v>
      </c>
      <c r="O7" s="11" t="s">
        <v>28</v>
      </c>
      <c r="P7" s="209" t="s">
        <v>29</v>
      </c>
      <c r="Q7" s="11" t="s">
        <v>30</v>
      </c>
      <c r="R7" s="11" t="s">
        <v>31</v>
      </c>
      <c r="S7" s="11" t="s">
        <v>32</v>
      </c>
      <c r="T7" s="209" t="s">
        <v>33</v>
      </c>
      <c r="U7" s="11" t="s">
        <v>34</v>
      </c>
      <c r="V7" s="11" t="s">
        <v>35</v>
      </c>
      <c r="W7" s="11" t="s">
        <v>36</v>
      </c>
      <c r="X7" s="209" t="s">
        <v>37</v>
      </c>
      <c r="Y7" s="11" t="s">
        <v>38</v>
      </c>
      <c r="Z7" s="11" t="s">
        <v>39</v>
      </c>
      <c r="AA7" s="11" t="s">
        <v>40</v>
      </c>
      <c r="AB7" s="209" t="s">
        <v>41</v>
      </c>
      <c r="AC7" s="163" t="s">
        <v>42</v>
      </c>
      <c r="AD7" s="11" t="s">
        <v>43</v>
      </c>
      <c r="AE7" s="11" t="s">
        <v>44</v>
      </c>
      <c r="AF7" s="209" t="s">
        <v>45</v>
      </c>
      <c r="AG7" s="191" t="s">
        <v>46</v>
      </c>
      <c r="AH7" s="191" t="s">
        <v>47</v>
      </c>
      <c r="AI7" s="191" t="s">
        <v>48</v>
      </c>
      <c r="AJ7" s="209" t="s">
        <v>49</v>
      </c>
      <c r="AK7" s="191" t="s">
        <v>50</v>
      </c>
      <c r="AL7" s="191" t="s">
        <v>51</v>
      </c>
      <c r="AM7" s="191" t="s">
        <v>52</v>
      </c>
      <c r="AN7" s="209" t="s">
        <v>53</v>
      </c>
      <c r="AO7" s="191" t="s">
        <v>54</v>
      </c>
      <c r="AP7" s="191" t="s">
        <v>55</v>
      </c>
      <c r="AQ7" s="191" t="s">
        <v>56</v>
      </c>
      <c r="AR7" s="209" t="s">
        <v>57</v>
      </c>
      <c r="AS7" s="191" t="s">
        <v>58</v>
      </c>
      <c r="AT7" s="191" t="s">
        <v>59</v>
      </c>
      <c r="AU7" s="191" t="s">
        <v>60</v>
      </c>
      <c r="AV7" s="209" t="s">
        <v>61</v>
      </c>
      <c r="AW7" s="191" t="s">
        <v>62</v>
      </c>
      <c r="AX7" s="191" t="s">
        <v>63</v>
      </c>
      <c r="AY7" s="191" t="s">
        <v>64</v>
      </c>
      <c r="AZ7" s="209" t="s">
        <v>65</v>
      </c>
      <c r="BA7" s="191" t="s">
        <v>66</v>
      </c>
      <c r="BB7" s="191" t="s">
        <v>67</v>
      </c>
      <c r="BC7" s="191" t="s">
        <v>68</v>
      </c>
      <c r="BD7" s="209">
        <v>2020</v>
      </c>
      <c r="BE7" s="191" t="s">
        <v>69</v>
      </c>
      <c r="BF7" s="191" t="s">
        <v>70</v>
      </c>
      <c r="BG7" s="191" t="s">
        <v>71</v>
      </c>
      <c r="BH7" s="209" t="s">
        <v>72</v>
      </c>
      <c r="BI7" s="191" t="s">
        <v>73</v>
      </c>
      <c r="BJ7" s="191" t="s">
        <v>393</v>
      </c>
      <c r="BK7" s="191" t="s">
        <v>396</v>
      </c>
      <c r="BL7" s="209" t="s">
        <v>400</v>
      </c>
      <c r="BM7" s="191" t="s">
        <v>404</v>
      </c>
      <c r="BN7" s="191" t="s">
        <v>409</v>
      </c>
      <c r="BO7" s="191" t="s">
        <v>414</v>
      </c>
      <c r="BP7" s="209" t="s">
        <v>424</v>
      </c>
      <c r="BQ7" s="226" t="s">
        <v>432</v>
      </c>
      <c r="BR7" s="226" t="s">
        <v>435</v>
      </c>
    </row>
    <row r="8" spans="2:70" ht="11.25" customHeight="1" x14ac:dyDescent="0.25">
      <c r="B8" s="14" t="s">
        <v>74</v>
      </c>
      <c r="C8" s="14"/>
      <c r="D8" s="14"/>
      <c r="E8" s="14"/>
      <c r="F8" s="14"/>
      <c r="G8" s="14"/>
      <c r="H8" s="14"/>
      <c r="I8" s="192">
        <f t="shared" ref="I8:BC8" si="0">I9+I63</f>
        <v>1610571</v>
      </c>
      <c r="J8" s="192">
        <f t="shared" si="0"/>
        <v>1648341</v>
      </c>
      <c r="K8" s="192">
        <f t="shared" si="0"/>
        <v>1570027</v>
      </c>
      <c r="L8" s="192">
        <f t="shared" si="0"/>
        <v>2952554</v>
      </c>
      <c r="M8" s="192">
        <f t="shared" si="0"/>
        <v>3025168</v>
      </c>
      <c r="N8" s="192">
        <f t="shared" si="0"/>
        <v>3007996</v>
      </c>
      <c r="O8" s="192">
        <f t="shared" si="0"/>
        <v>3114857</v>
      </c>
      <c r="P8" s="192">
        <f t="shared" si="0"/>
        <v>3116573</v>
      </c>
      <c r="Q8" s="192">
        <f t="shared" si="0"/>
        <v>3234484</v>
      </c>
      <c r="R8" s="192">
        <f t="shared" si="0"/>
        <v>3271489</v>
      </c>
      <c r="S8" s="192">
        <f t="shared" si="0"/>
        <v>3427426</v>
      </c>
      <c r="T8" s="192">
        <f t="shared" si="0"/>
        <v>3584453</v>
      </c>
      <c r="U8" s="192">
        <f t="shared" si="0"/>
        <v>3656587</v>
      </c>
      <c r="V8" s="192">
        <f t="shared" si="0"/>
        <v>3606983</v>
      </c>
      <c r="W8" s="192">
        <f t="shared" si="0"/>
        <v>3718626</v>
      </c>
      <c r="X8" s="192">
        <f t="shared" si="0"/>
        <v>3698602</v>
      </c>
      <c r="Y8" s="192">
        <f t="shared" si="0"/>
        <v>3783758</v>
      </c>
      <c r="Z8" s="192">
        <f t="shared" si="0"/>
        <v>3850621</v>
      </c>
      <c r="AA8" s="192">
        <f t="shared" si="0"/>
        <v>3930026</v>
      </c>
      <c r="AB8" s="192">
        <f t="shared" si="0"/>
        <v>4261078</v>
      </c>
      <c r="AC8" s="192">
        <f t="shared" si="0"/>
        <v>4238995</v>
      </c>
      <c r="AD8" s="192">
        <f t="shared" si="0"/>
        <v>4147627</v>
      </c>
      <c r="AE8" s="192">
        <f t="shared" si="0"/>
        <v>4292317</v>
      </c>
      <c r="AF8" s="192">
        <f t="shared" si="0"/>
        <v>4498634</v>
      </c>
      <c r="AG8" s="192">
        <f t="shared" si="0"/>
        <v>4655848</v>
      </c>
      <c r="AH8" s="192">
        <f t="shared" si="0"/>
        <v>4470717</v>
      </c>
      <c r="AI8" s="192">
        <f t="shared" si="0"/>
        <v>4892091</v>
      </c>
      <c r="AJ8" s="192">
        <f t="shared" si="0"/>
        <v>5309633</v>
      </c>
      <c r="AK8" s="192">
        <f t="shared" si="0"/>
        <v>5161049</v>
      </c>
      <c r="AL8" s="192">
        <f t="shared" si="0"/>
        <v>4817686</v>
      </c>
      <c r="AM8" s="192">
        <f t="shared" si="0"/>
        <v>4971850</v>
      </c>
      <c r="AN8" s="192">
        <f t="shared" si="0"/>
        <v>5453376</v>
      </c>
      <c r="AO8" s="192">
        <f t="shared" si="0"/>
        <v>5364775</v>
      </c>
      <c r="AP8" s="192">
        <f t="shared" si="0"/>
        <v>5023279</v>
      </c>
      <c r="AQ8" s="192">
        <f t="shared" si="0"/>
        <v>5251898</v>
      </c>
      <c r="AR8" s="192">
        <f t="shared" si="0"/>
        <v>5293685</v>
      </c>
      <c r="AS8" s="192">
        <f t="shared" si="0"/>
        <v>5098907</v>
      </c>
      <c r="AT8" s="192">
        <f t="shared" si="0"/>
        <v>5232212</v>
      </c>
      <c r="AU8" s="192">
        <f t="shared" si="0"/>
        <v>5479383</v>
      </c>
      <c r="AV8" s="192">
        <f t="shared" si="0"/>
        <v>5755537</v>
      </c>
      <c r="AW8" s="192">
        <f t="shared" si="0"/>
        <v>6120354</v>
      </c>
      <c r="AX8" s="192">
        <f t="shared" si="0"/>
        <v>6399505</v>
      </c>
      <c r="AY8" s="192">
        <f t="shared" si="0"/>
        <v>6876917</v>
      </c>
      <c r="AZ8" s="192">
        <f t="shared" si="0"/>
        <v>6958129</v>
      </c>
      <c r="BA8" s="192">
        <f t="shared" si="0"/>
        <v>7279288</v>
      </c>
      <c r="BB8" s="192">
        <f t="shared" si="0"/>
        <v>7660637</v>
      </c>
      <c r="BC8" s="192">
        <f t="shared" si="0"/>
        <v>7830049</v>
      </c>
      <c r="BD8" s="192">
        <f>BD9+BD63</f>
        <v>8589691</v>
      </c>
      <c r="BE8" s="192">
        <f>BE9+BE63</f>
        <v>9108328</v>
      </c>
      <c r="BF8" s="192">
        <f>BF9+BF63</f>
        <v>10248415</v>
      </c>
      <c r="BG8" s="192">
        <f>BG9+BG63</f>
        <v>12825433</v>
      </c>
      <c r="BH8" s="192">
        <f>BH9+BH63</f>
        <v>12866343</v>
      </c>
      <c r="BI8" s="192">
        <f t="shared" ref="BI8:BJ8" si="1">BI9+BI63</f>
        <v>15007809</v>
      </c>
      <c r="BJ8" s="192">
        <f t="shared" si="1"/>
        <v>14354245</v>
      </c>
      <c r="BK8" s="192">
        <f t="shared" ref="BK8:BM8" si="2">BK9+BK63</f>
        <v>15101114</v>
      </c>
      <c r="BL8" s="192">
        <f t="shared" si="2"/>
        <v>14868389</v>
      </c>
      <c r="BM8" s="192">
        <f t="shared" si="2"/>
        <v>15979855</v>
      </c>
      <c r="BN8" s="192">
        <f t="shared" ref="BN8:BO8" si="3">BN9+BN63</f>
        <v>15545044</v>
      </c>
      <c r="BO8" s="192">
        <f t="shared" si="3"/>
        <v>16548948</v>
      </c>
      <c r="BP8" s="192">
        <f t="shared" ref="BP8" si="4">BP9+BP63</f>
        <v>15856318</v>
      </c>
      <c r="BQ8" s="227">
        <f>BQ9+BQ63</f>
        <v>15424018</v>
      </c>
      <c r="BR8" s="227">
        <f>BR9+BR63</f>
        <v>15536244</v>
      </c>
    </row>
    <row r="9" spans="2:70" ht="11.25" customHeight="1" x14ac:dyDescent="0.25">
      <c r="B9" s="15"/>
      <c r="C9" s="15" t="s">
        <v>75</v>
      </c>
      <c r="D9" s="15"/>
      <c r="E9" s="15"/>
      <c r="F9" s="15"/>
      <c r="G9" s="15"/>
      <c r="H9" s="15"/>
      <c r="I9" s="193">
        <f t="shared" ref="I9:AH9" si="5">I10+I13+I19+I30+I41+I55+I59</f>
        <v>817285</v>
      </c>
      <c r="J9" s="193">
        <f t="shared" si="5"/>
        <v>849651</v>
      </c>
      <c r="K9" s="193">
        <f t="shared" si="5"/>
        <v>707449</v>
      </c>
      <c r="L9" s="193">
        <f t="shared" si="5"/>
        <v>701568</v>
      </c>
      <c r="M9" s="193">
        <f t="shared" si="5"/>
        <v>741778</v>
      </c>
      <c r="N9" s="193">
        <f t="shared" si="5"/>
        <v>718882</v>
      </c>
      <c r="O9" s="193">
        <f t="shared" si="5"/>
        <v>744424</v>
      </c>
      <c r="P9" s="193">
        <f t="shared" si="5"/>
        <v>737876</v>
      </c>
      <c r="Q9" s="193">
        <f t="shared" si="5"/>
        <v>859261</v>
      </c>
      <c r="R9" s="193">
        <f t="shared" si="5"/>
        <v>887376</v>
      </c>
      <c r="S9" s="193">
        <f t="shared" si="5"/>
        <v>958587</v>
      </c>
      <c r="T9" s="193">
        <f t="shared" si="5"/>
        <v>987095</v>
      </c>
      <c r="U9" s="193">
        <f t="shared" si="5"/>
        <v>1052899</v>
      </c>
      <c r="V9" s="193">
        <f t="shared" si="5"/>
        <v>977249</v>
      </c>
      <c r="W9" s="193">
        <f t="shared" si="5"/>
        <v>1057424</v>
      </c>
      <c r="X9" s="193">
        <f t="shared" si="5"/>
        <v>1057912</v>
      </c>
      <c r="Y9" s="193">
        <f t="shared" si="5"/>
        <v>1157055</v>
      </c>
      <c r="Z9" s="193">
        <f t="shared" si="5"/>
        <v>1185937</v>
      </c>
      <c r="AA9" s="193">
        <f t="shared" si="5"/>
        <v>1254627</v>
      </c>
      <c r="AB9" s="193">
        <f t="shared" si="5"/>
        <v>1453765</v>
      </c>
      <c r="AC9" s="193">
        <f t="shared" si="5"/>
        <v>1446926</v>
      </c>
      <c r="AD9" s="193">
        <f t="shared" si="5"/>
        <v>1330216</v>
      </c>
      <c r="AE9" s="193">
        <f t="shared" si="5"/>
        <v>1420178</v>
      </c>
      <c r="AF9" s="193">
        <f t="shared" si="5"/>
        <v>1613442</v>
      </c>
      <c r="AG9" s="193">
        <f t="shared" si="5"/>
        <v>1706429</v>
      </c>
      <c r="AH9" s="193">
        <f t="shared" si="5"/>
        <v>1498577</v>
      </c>
      <c r="AI9" s="193">
        <f t="shared" ref="AI9:BC9" si="6">AI10+AI13+AI19+AI30+AI41+AI55+AI59+AI60</f>
        <v>1705369</v>
      </c>
      <c r="AJ9" s="193">
        <f t="shared" si="6"/>
        <v>2176848</v>
      </c>
      <c r="AK9" s="193">
        <f t="shared" si="6"/>
        <v>2060843</v>
      </c>
      <c r="AL9" s="193">
        <f t="shared" si="6"/>
        <v>1740286</v>
      </c>
      <c r="AM9" s="193">
        <f t="shared" si="6"/>
        <v>1895595</v>
      </c>
      <c r="AN9" s="193">
        <f t="shared" si="6"/>
        <v>2332168</v>
      </c>
      <c r="AO9" s="193">
        <f t="shared" si="6"/>
        <v>2266632</v>
      </c>
      <c r="AP9" s="193">
        <f t="shared" si="6"/>
        <v>1910332</v>
      </c>
      <c r="AQ9" s="193">
        <f t="shared" si="6"/>
        <v>2100026</v>
      </c>
      <c r="AR9" s="193">
        <f t="shared" si="6"/>
        <v>2250339</v>
      </c>
      <c r="AS9" s="193">
        <f t="shared" si="6"/>
        <v>2060690</v>
      </c>
      <c r="AT9" s="193">
        <f t="shared" si="6"/>
        <v>2150147</v>
      </c>
      <c r="AU9" s="193">
        <f t="shared" si="6"/>
        <v>2304300</v>
      </c>
      <c r="AV9" s="193">
        <f t="shared" si="6"/>
        <v>2582026</v>
      </c>
      <c r="AW9" s="193">
        <f t="shared" si="6"/>
        <v>2371039</v>
      </c>
      <c r="AX9" s="193">
        <f t="shared" si="6"/>
        <v>2597561</v>
      </c>
      <c r="AY9" s="193">
        <f t="shared" si="6"/>
        <v>2988521</v>
      </c>
      <c r="AZ9" s="193">
        <f t="shared" si="6"/>
        <v>3090810</v>
      </c>
      <c r="BA9" s="193">
        <f t="shared" si="6"/>
        <v>3274730</v>
      </c>
      <c r="BB9" s="193">
        <f t="shared" si="6"/>
        <v>3542660</v>
      </c>
      <c r="BC9" s="193">
        <f t="shared" si="6"/>
        <v>3641770</v>
      </c>
      <c r="BD9" s="193">
        <f>BD10+BD13+BD19+BD30+BD41+BD55+BD59+BD60</f>
        <v>4201380</v>
      </c>
      <c r="BE9" s="193">
        <f>BE10+BE13+BE19+BE30+BE41+BE55+BE59+BE60</f>
        <v>4700400</v>
      </c>
      <c r="BF9" s="193">
        <f>BF10+BF13+BF19+BF30+BF41+BF55+BF59+BF60</f>
        <v>4723424</v>
      </c>
      <c r="BG9" s="193">
        <f>BG10+BG13+BG19+BG30+BG41+BG55+BG59+BG60</f>
        <v>5245361</v>
      </c>
      <c r="BH9" s="193">
        <f>BH10+BH13+BH19+BH30+BH41+BH55+BH59+BH60</f>
        <v>5109406</v>
      </c>
      <c r="BI9" s="193">
        <f t="shared" ref="BI9:BJ9" si="7">BI10+BI13+BI19+BI30+BI41+BI55+BI59+BI60</f>
        <v>7202753</v>
      </c>
      <c r="BJ9" s="193">
        <f t="shared" si="7"/>
        <v>6390849</v>
      </c>
      <c r="BK9" s="193">
        <f t="shared" ref="BK9:BM9" si="8">BK10+BK13+BK19+BK30+BK41+BK55+BK59+BK60</f>
        <v>7099778</v>
      </c>
      <c r="BL9" s="193">
        <f t="shared" si="8"/>
        <v>7032683</v>
      </c>
      <c r="BM9" s="193">
        <f t="shared" si="8"/>
        <v>7608571</v>
      </c>
      <c r="BN9" s="193">
        <f t="shared" ref="BN9" si="9">BN10+BN13+BN19+BN30+BN41+BN55+BN59+BN60</f>
        <v>7689956</v>
      </c>
      <c r="BO9" s="193">
        <f>BO10+BO13+BO19+BO30+BO41+BO55+BO59+BO60</f>
        <v>7972235</v>
      </c>
      <c r="BP9" s="193">
        <f>BP10+BP13+BP19+BP30+BP41+BP55+BP59+BP60</f>
        <v>7367273</v>
      </c>
      <c r="BQ9" s="228">
        <f>BQ10+BQ13+BQ19+BQ30+BQ41+BQ55+BQ59+BQ60</f>
        <v>7399250</v>
      </c>
      <c r="BR9" s="228">
        <f>BR10+BR13+BR19+BR30+BR41+BR55+BR59+BR60</f>
        <v>7341432</v>
      </c>
    </row>
    <row r="10" spans="2:70" ht="11.25" customHeight="1" x14ac:dyDescent="0.25">
      <c r="B10" s="15"/>
      <c r="C10" s="15"/>
      <c r="D10" s="15" t="s">
        <v>76</v>
      </c>
      <c r="E10" s="16"/>
      <c r="F10" s="15"/>
      <c r="G10" s="15"/>
      <c r="H10" s="15"/>
      <c r="I10" s="193">
        <f>SUM(I11:I12)</f>
        <v>291200</v>
      </c>
      <c r="J10" s="193">
        <f t="shared" ref="J10:O10" si="10">SUM(J11:J12)</f>
        <v>318190</v>
      </c>
      <c r="K10" s="193">
        <f t="shared" si="10"/>
        <v>172798</v>
      </c>
      <c r="L10" s="193">
        <f t="shared" si="10"/>
        <v>142251</v>
      </c>
      <c r="M10" s="193">
        <f t="shared" si="10"/>
        <v>183541</v>
      </c>
      <c r="N10" s="193">
        <f t="shared" si="10"/>
        <v>155114</v>
      </c>
      <c r="O10" s="193">
        <f t="shared" si="10"/>
        <v>84903</v>
      </c>
      <c r="P10" s="193">
        <f>P11</f>
        <v>110219</v>
      </c>
      <c r="Q10" s="193">
        <f>Q11</f>
        <v>199812</v>
      </c>
      <c r="R10" s="193">
        <f>R11</f>
        <v>119996</v>
      </c>
      <c r="S10" s="193">
        <f>S11</f>
        <v>88289</v>
      </c>
      <c r="T10" s="193">
        <f t="shared" ref="T10:Z10" si="11">SUM(T11:T12)</f>
        <v>130463</v>
      </c>
      <c r="U10" s="193">
        <f t="shared" si="11"/>
        <v>217727</v>
      </c>
      <c r="V10" s="193">
        <f t="shared" si="11"/>
        <v>135283</v>
      </c>
      <c r="W10" s="193">
        <f t="shared" si="11"/>
        <v>160885</v>
      </c>
      <c r="X10" s="193">
        <f t="shared" si="11"/>
        <v>157246</v>
      </c>
      <c r="Y10" s="193">
        <f t="shared" si="11"/>
        <v>300722</v>
      </c>
      <c r="Z10" s="193">
        <f t="shared" si="11"/>
        <v>228210</v>
      </c>
      <c r="AA10" s="193">
        <f t="shared" ref="AA10:AG10" si="12">SUM(AA11:AA12)</f>
        <v>210097</v>
      </c>
      <c r="AB10" s="193">
        <f t="shared" si="12"/>
        <v>392977</v>
      </c>
      <c r="AC10" s="193">
        <f t="shared" si="12"/>
        <v>265850</v>
      </c>
      <c r="AD10" s="193">
        <f t="shared" si="12"/>
        <v>249743</v>
      </c>
      <c r="AE10" s="193">
        <f t="shared" si="12"/>
        <v>271354</v>
      </c>
      <c r="AF10" s="193">
        <f t="shared" si="12"/>
        <v>371962</v>
      </c>
      <c r="AG10" s="193">
        <f t="shared" si="12"/>
        <v>473030</v>
      </c>
      <c r="AH10" s="193">
        <f t="shared" ref="AH10:BC10" si="13">SUM(AH11:AH12)</f>
        <v>329034</v>
      </c>
      <c r="AI10" s="193">
        <f t="shared" si="13"/>
        <v>332736</v>
      </c>
      <c r="AJ10" s="193">
        <f t="shared" si="13"/>
        <v>701460</v>
      </c>
      <c r="AK10" s="193">
        <f t="shared" si="13"/>
        <v>631092</v>
      </c>
      <c r="AL10" s="193">
        <f t="shared" si="13"/>
        <v>489428</v>
      </c>
      <c r="AM10" s="193">
        <f t="shared" si="13"/>
        <v>596886</v>
      </c>
      <c r="AN10" s="193">
        <f t="shared" si="13"/>
        <v>1064506</v>
      </c>
      <c r="AO10" s="193">
        <f t="shared" si="13"/>
        <v>946879</v>
      </c>
      <c r="AP10" s="193">
        <f t="shared" si="13"/>
        <v>474545</v>
      </c>
      <c r="AQ10" s="193">
        <f t="shared" si="13"/>
        <v>626194</v>
      </c>
      <c r="AR10" s="193">
        <f t="shared" si="13"/>
        <v>749328</v>
      </c>
      <c r="AS10" s="193">
        <f t="shared" si="13"/>
        <v>420705</v>
      </c>
      <c r="AT10" s="193">
        <f t="shared" si="13"/>
        <v>523401</v>
      </c>
      <c r="AU10" s="193">
        <f t="shared" si="13"/>
        <v>444839</v>
      </c>
      <c r="AV10" s="193">
        <f t="shared" si="13"/>
        <v>642736</v>
      </c>
      <c r="AW10" s="193">
        <f t="shared" si="13"/>
        <v>426869</v>
      </c>
      <c r="AX10" s="193">
        <f t="shared" si="13"/>
        <v>392682</v>
      </c>
      <c r="AY10" s="193">
        <f t="shared" si="13"/>
        <v>702749</v>
      </c>
      <c r="AZ10" s="193">
        <f t="shared" si="13"/>
        <v>884769</v>
      </c>
      <c r="BA10" s="193">
        <f t="shared" si="13"/>
        <v>773780</v>
      </c>
      <c r="BB10" s="193">
        <f t="shared" si="13"/>
        <v>891188</v>
      </c>
      <c r="BC10" s="193">
        <f t="shared" si="13"/>
        <v>1079831</v>
      </c>
      <c r="BD10" s="193">
        <f>SUM(BD11:BD12)</f>
        <v>1604053</v>
      </c>
      <c r="BE10" s="193">
        <f>SUM(BE11:BE12)</f>
        <v>1597610</v>
      </c>
      <c r="BF10" s="193">
        <f>SUM(BF11:BF12)</f>
        <v>1270308</v>
      </c>
      <c r="BG10" s="193">
        <f>SUM(BG11:BG12)</f>
        <v>725420</v>
      </c>
      <c r="BH10" s="193">
        <f>SUM(BH11:BH12)</f>
        <v>139780</v>
      </c>
      <c r="BI10" s="193">
        <f t="shared" ref="BI10:BJ10" si="14">SUM(BI11:BI12)</f>
        <v>1117157</v>
      </c>
      <c r="BJ10" s="193">
        <f t="shared" si="14"/>
        <v>640837</v>
      </c>
      <c r="BK10" s="193">
        <f t="shared" ref="BK10:BM10" si="15">SUM(BK11:BK12)</f>
        <v>1324819</v>
      </c>
      <c r="BL10" s="193">
        <f t="shared" si="15"/>
        <v>1235775</v>
      </c>
      <c r="BM10" s="193">
        <f t="shared" si="15"/>
        <v>1261520</v>
      </c>
      <c r="BN10" s="193">
        <f t="shared" ref="BN10:BO10" si="16">SUM(BN11:BN12)</f>
        <v>1160785</v>
      </c>
      <c r="BO10" s="193">
        <f t="shared" si="16"/>
        <v>1662812</v>
      </c>
      <c r="BP10" s="193">
        <f t="shared" ref="BP10" si="17">SUM(BP11:BP12)</f>
        <v>1613703</v>
      </c>
      <c r="BQ10" s="228">
        <f>SUM(BQ11:BQ12)</f>
        <v>1863483</v>
      </c>
      <c r="BR10" s="228">
        <f>SUM(BR11:BR12)</f>
        <v>1101801</v>
      </c>
    </row>
    <row r="11" spans="2:70" ht="11.25" customHeight="1" x14ac:dyDescent="0.2">
      <c r="B11" s="17"/>
      <c r="C11" s="17"/>
      <c r="D11" s="17"/>
      <c r="E11" s="18" t="s">
        <v>77</v>
      </c>
      <c r="F11" s="19"/>
      <c r="G11" s="19"/>
      <c r="H11" s="20"/>
      <c r="I11" s="164">
        <v>1754</v>
      </c>
      <c r="J11" s="164">
        <v>628</v>
      </c>
      <c r="K11" s="164">
        <v>797</v>
      </c>
      <c r="L11" s="164">
        <v>427</v>
      </c>
      <c r="M11" s="164">
        <v>711</v>
      </c>
      <c r="N11" s="164">
        <v>309</v>
      </c>
      <c r="O11" s="164">
        <v>299</v>
      </c>
      <c r="P11" s="164">
        <v>110219</v>
      </c>
      <c r="Q11" s="164">
        <v>199812</v>
      </c>
      <c r="R11" s="164">
        <v>119996</v>
      </c>
      <c r="S11" s="164">
        <v>88289</v>
      </c>
      <c r="T11" s="164">
        <f>130463-T12</f>
        <v>127357</v>
      </c>
      <c r="U11" s="164">
        <v>217727</v>
      </c>
      <c r="V11" s="164">
        <v>135283</v>
      </c>
      <c r="W11" s="164">
        <v>160885</v>
      </c>
      <c r="X11" s="164">
        <f>157246-X12</f>
        <v>143888</v>
      </c>
      <c r="Y11" s="164">
        <v>278557</v>
      </c>
      <c r="Z11" s="164">
        <v>211971</v>
      </c>
      <c r="AA11" s="164">
        <v>197455</v>
      </c>
      <c r="AB11" s="164">
        <v>232354</v>
      </c>
      <c r="AC11" s="164">
        <v>206489</v>
      </c>
      <c r="AD11" s="164">
        <v>187049</v>
      </c>
      <c r="AE11" s="164">
        <v>211230</v>
      </c>
      <c r="AF11" s="164">
        <v>239141</v>
      </c>
      <c r="AG11" s="164">
        <v>255259</v>
      </c>
      <c r="AH11" s="164">
        <v>132618</v>
      </c>
      <c r="AI11" s="164">
        <v>221843</v>
      </c>
      <c r="AJ11" s="164">
        <v>623608</v>
      </c>
      <c r="AK11" s="164">
        <v>488689</v>
      </c>
      <c r="AL11" s="164">
        <v>312524</v>
      </c>
      <c r="AM11" s="164">
        <v>410853</v>
      </c>
      <c r="AN11" s="164">
        <v>888740</v>
      </c>
      <c r="AO11" s="164">
        <v>703356</v>
      </c>
      <c r="AP11" s="164">
        <v>273836</v>
      </c>
      <c r="AQ11" s="164">
        <v>497095</v>
      </c>
      <c r="AR11" s="164">
        <v>611539</v>
      </c>
      <c r="AS11" s="164">
        <v>325961</v>
      </c>
      <c r="AT11" s="164">
        <v>471911</v>
      </c>
      <c r="AU11" s="164">
        <v>393734</v>
      </c>
      <c r="AV11" s="164">
        <v>512308</v>
      </c>
      <c r="AW11" s="164">
        <v>370699</v>
      </c>
      <c r="AX11" s="164">
        <v>329933</v>
      </c>
      <c r="AY11" s="164">
        <v>603930</v>
      </c>
      <c r="AZ11" s="164">
        <v>829427</v>
      </c>
      <c r="BA11" s="164">
        <v>736441</v>
      </c>
      <c r="BB11" s="164">
        <v>869482</v>
      </c>
      <c r="BC11" s="164">
        <v>1069831</v>
      </c>
      <c r="BD11" s="164">
        <v>1604053</v>
      </c>
      <c r="BE11" s="164">
        <v>1597610</v>
      </c>
      <c r="BF11" s="164">
        <v>1270308</v>
      </c>
      <c r="BG11" s="164">
        <v>725420</v>
      </c>
      <c r="BH11" s="164">
        <v>139780</v>
      </c>
      <c r="BI11" s="164">
        <v>1117157</v>
      </c>
      <c r="BJ11" s="164">
        <v>640837</v>
      </c>
      <c r="BK11" s="164">
        <v>1324819</v>
      </c>
      <c r="BL11" s="164">
        <v>1235775</v>
      </c>
      <c r="BM11" s="164">
        <v>1261520</v>
      </c>
      <c r="BN11" s="164">
        <v>1160785</v>
      </c>
      <c r="BO11" s="164">
        <v>1662812</v>
      </c>
      <c r="BP11" s="164">
        <v>1613703</v>
      </c>
      <c r="BQ11" s="164">
        <v>1863483</v>
      </c>
      <c r="BR11" s="164">
        <v>1101801</v>
      </c>
    </row>
    <row r="12" spans="2:70" ht="11.25" customHeight="1" x14ac:dyDescent="0.2">
      <c r="B12" s="17"/>
      <c r="C12" s="17"/>
      <c r="D12" s="17"/>
      <c r="E12" s="18" t="s">
        <v>78</v>
      </c>
      <c r="F12" s="19"/>
      <c r="G12" s="19"/>
      <c r="H12" s="20"/>
      <c r="I12" s="164">
        <v>289446</v>
      </c>
      <c r="J12" s="164">
        <v>317562</v>
      </c>
      <c r="K12" s="164">
        <v>172001</v>
      </c>
      <c r="L12" s="164">
        <v>141824</v>
      </c>
      <c r="M12" s="164">
        <v>182830</v>
      </c>
      <c r="N12" s="164">
        <v>154805</v>
      </c>
      <c r="O12" s="164">
        <v>84604</v>
      </c>
      <c r="P12" s="164">
        <v>0</v>
      </c>
      <c r="Q12" s="164">
        <v>0</v>
      </c>
      <c r="R12" s="164">
        <v>0</v>
      </c>
      <c r="S12" s="164">
        <v>0</v>
      </c>
      <c r="T12" s="164">
        <v>3106</v>
      </c>
      <c r="U12" s="164">
        <v>0</v>
      </c>
      <c r="V12" s="164">
        <v>0</v>
      </c>
      <c r="W12" s="164">
        <v>0</v>
      </c>
      <c r="X12" s="164">
        <v>13358</v>
      </c>
      <c r="Y12" s="164">
        <v>22165</v>
      </c>
      <c r="Z12" s="164">
        <v>16239</v>
      </c>
      <c r="AA12" s="164">
        <v>12642</v>
      </c>
      <c r="AB12" s="164">
        <v>160623</v>
      </c>
      <c r="AC12" s="164">
        <v>59361</v>
      </c>
      <c r="AD12" s="164">
        <v>62694</v>
      </c>
      <c r="AE12" s="164">
        <v>60124</v>
      </c>
      <c r="AF12" s="164">
        <v>132821</v>
      </c>
      <c r="AG12" s="164">
        <v>217771</v>
      </c>
      <c r="AH12" s="164">
        <v>196416</v>
      </c>
      <c r="AI12" s="164">
        <v>110893</v>
      </c>
      <c r="AJ12" s="164">
        <v>77852</v>
      </c>
      <c r="AK12" s="164">
        <v>142403</v>
      </c>
      <c r="AL12" s="164">
        <v>176904</v>
      </c>
      <c r="AM12" s="164">
        <v>186033</v>
      </c>
      <c r="AN12" s="164">
        <v>175766</v>
      </c>
      <c r="AO12" s="164">
        <v>243523</v>
      </c>
      <c r="AP12" s="164">
        <v>200709</v>
      </c>
      <c r="AQ12" s="164">
        <v>129099</v>
      </c>
      <c r="AR12" s="164">
        <v>137789</v>
      </c>
      <c r="AS12" s="164">
        <v>94744</v>
      </c>
      <c r="AT12" s="164">
        <v>51490</v>
      </c>
      <c r="AU12" s="164">
        <v>51105</v>
      </c>
      <c r="AV12" s="164">
        <v>130428</v>
      </c>
      <c r="AW12" s="164">
        <v>56170</v>
      </c>
      <c r="AX12" s="164">
        <v>62749</v>
      </c>
      <c r="AY12" s="164">
        <v>98819</v>
      </c>
      <c r="AZ12" s="164">
        <v>55342</v>
      </c>
      <c r="BA12" s="164">
        <v>37339</v>
      </c>
      <c r="BB12" s="164">
        <v>21706</v>
      </c>
      <c r="BC12" s="164">
        <v>10000</v>
      </c>
      <c r="BD12" s="164">
        <v>0</v>
      </c>
      <c r="BE12" s="164">
        <v>0</v>
      </c>
      <c r="BF12" s="164">
        <v>0</v>
      </c>
      <c r="BG12" s="164">
        <v>0</v>
      </c>
      <c r="BH12" s="164">
        <v>0</v>
      </c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</row>
    <row r="13" spans="2:70" ht="11.25" customHeight="1" x14ac:dyDescent="0.25">
      <c r="B13" s="15"/>
      <c r="C13" s="15"/>
      <c r="D13" s="15" t="s">
        <v>79</v>
      </c>
      <c r="E13" s="16"/>
      <c r="F13" s="15"/>
      <c r="G13" s="15"/>
      <c r="H13" s="15"/>
      <c r="I13" s="193">
        <f>I14+I17</f>
        <v>0</v>
      </c>
      <c r="J13" s="193">
        <f>J14+J17</f>
        <v>0</v>
      </c>
      <c r="K13" s="193">
        <f t="shared" ref="K13:R13" si="18">K14+K17</f>
        <v>0</v>
      </c>
      <c r="L13" s="193">
        <f t="shared" si="18"/>
        <v>0</v>
      </c>
      <c r="M13" s="193">
        <f t="shared" si="18"/>
        <v>0</v>
      </c>
      <c r="N13" s="193">
        <f t="shared" si="18"/>
        <v>0</v>
      </c>
      <c r="O13" s="193">
        <f t="shared" si="18"/>
        <v>0</v>
      </c>
      <c r="P13" s="193">
        <f t="shared" si="18"/>
        <v>0</v>
      </c>
      <c r="Q13" s="193">
        <f t="shared" si="18"/>
        <v>0</v>
      </c>
      <c r="R13" s="193">
        <f t="shared" si="18"/>
        <v>0</v>
      </c>
      <c r="S13" s="193">
        <f t="shared" ref="S13:X13" si="19">S14+S17</f>
        <v>0</v>
      </c>
      <c r="T13" s="193">
        <f t="shared" si="19"/>
        <v>0</v>
      </c>
      <c r="U13" s="193">
        <f t="shared" si="19"/>
        <v>0</v>
      </c>
      <c r="V13" s="193">
        <f t="shared" si="19"/>
        <v>0</v>
      </c>
      <c r="W13" s="193">
        <f t="shared" si="19"/>
        <v>0</v>
      </c>
      <c r="X13" s="193">
        <f t="shared" si="19"/>
        <v>0</v>
      </c>
      <c r="Y13" s="193">
        <f t="shared" ref="Y13:AD13" si="20">Y14+Y17</f>
        <v>0</v>
      </c>
      <c r="Z13" s="193">
        <f t="shared" si="20"/>
        <v>0</v>
      </c>
      <c r="AA13" s="193">
        <f t="shared" si="20"/>
        <v>0</v>
      </c>
      <c r="AB13" s="193">
        <f t="shared" si="20"/>
        <v>0</v>
      </c>
      <c r="AC13" s="193">
        <f t="shared" si="20"/>
        <v>0</v>
      </c>
      <c r="AD13" s="193">
        <f t="shared" si="20"/>
        <v>0</v>
      </c>
      <c r="AE13" s="193">
        <f t="shared" ref="AE13:AJ13" si="21">AE14+AE17</f>
        <v>0</v>
      </c>
      <c r="AF13" s="193">
        <f t="shared" si="21"/>
        <v>0</v>
      </c>
      <c r="AG13" s="193">
        <f t="shared" si="21"/>
        <v>0</v>
      </c>
      <c r="AH13" s="193">
        <f t="shared" si="21"/>
        <v>0</v>
      </c>
      <c r="AI13" s="193">
        <f t="shared" si="21"/>
        <v>0</v>
      </c>
      <c r="AJ13" s="193">
        <f t="shared" si="21"/>
        <v>0</v>
      </c>
      <c r="AK13" s="193">
        <f t="shared" ref="AK13:BC13" si="22">AK14+AK17</f>
        <v>0</v>
      </c>
      <c r="AL13" s="193">
        <f t="shared" si="22"/>
        <v>0</v>
      </c>
      <c r="AM13" s="193">
        <f t="shared" si="22"/>
        <v>0</v>
      </c>
      <c r="AN13" s="193">
        <f t="shared" si="22"/>
        <v>0</v>
      </c>
      <c r="AO13" s="193">
        <f t="shared" si="22"/>
        <v>0</v>
      </c>
      <c r="AP13" s="193">
        <f t="shared" si="22"/>
        <v>0</v>
      </c>
      <c r="AQ13" s="193">
        <f t="shared" si="22"/>
        <v>0</v>
      </c>
      <c r="AR13" s="193">
        <f t="shared" si="22"/>
        <v>0</v>
      </c>
      <c r="AS13" s="193">
        <f t="shared" si="22"/>
        <v>0</v>
      </c>
      <c r="AT13" s="193">
        <f t="shared" si="22"/>
        <v>0</v>
      </c>
      <c r="AU13" s="193">
        <f t="shared" si="22"/>
        <v>0</v>
      </c>
      <c r="AV13" s="193">
        <f t="shared" si="22"/>
        <v>0</v>
      </c>
      <c r="AW13" s="193">
        <f t="shared" si="22"/>
        <v>0</v>
      </c>
      <c r="AX13" s="193">
        <f t="shared" si="22"/>
        <v>0</v>
      </c>
      <c r="AY13" s="193">
        <f t="shared" si="22"/>
        <v>0</v>
      </c>
      <c r="AZ13" s="193">
        <f t="shared" si="22"/>
        <v>0</v>
      </c>
      <c r="BA13" s="193">
        <f t="shared" si="22"/>
        <v>0</v>
      </c>
      <c r="BB13" s="193">
        <f t="shared" si="22"/>
        <v>0</v>
      </c>
      <c r="BC13" s="193">
        <f t="shared" si="22"/>
        <v>0</v>
      </c>
      <c r="BD13" s="193">
        <f>BD14+BD17</f>
        <v>0</v>
      </c>
      <c r="BE13" s="193">
        <f>BE14+BE17</f>
        <v>0</v>
      </c>
      <c r="BF13" s="193">
        <f>BF14+BF17</f>
        <v>0</v>
      </c>
      <c r="BG13" s="193">
        <f>BG14+BG17</f>
        <v>0</v>
      </c>
      <c r="BH13" s="193">
        <f>BH14+BH17</f>
        <v>0</v>
      </c>
      <c r="BI13" s="193">
        <f t="shared" ref="BI13:BJ13" si="23">BI14+BI17</f>
        <v>0</v>
      </c>
      <c r="BJ13" s="193">
        <f t="shared" si="23"/>
        <v>0</v>
      </c>
      <c r="BK13" s="193">
        <f t="shared" ref="BK13:BM13" si="24">BK14+BK17</f>
        <v>0</v>
      </c>
      <c r="BL13" s="193">
        <f t="shared" si="24"/>
        <v>0</v>
      </c>
      <c r="BM13" s="193">
        <f t="shared" si="24"/>
        <v>0</v>
      </c>
      <c r="BN13" s="193">
        <f t="shared" ref="BN13:BO13" si="25">BN14+BN17</f>
        <v>0</v>
      </c>
      <c r="BO13" s="193">
        <f t="shared" si="25"/>
        <v>0</v>
      </c>
      <c r="BP13" s="193">
        <f t="shared" ref="BP13" si="26">BP14+BP17</f>
        <v>0</v>
      </c>
      <c r="BQ13" s="228">
        <f>BQ14+BQ17</f>
        <v>0</v>
      </c>
      <c r="BR13" s="228">
        <f>BR14+BR17</f>
        <v>0</v>
      </c>
    </row>
    <row r="14" spans="2:70" ht="11.25" customHeight="1" x14ac:dyDescent="0.25">
      <c r="B14" s="15"/>
      <c r="C14" s="15"/>
      <c r="D14" s="15"/>
      <c r="E14" s="15" t="s">
        <v>80</v>
      </c>
      <c r="F14" s="16"/>
      <c r="G14" s="16"/>
      <c r="H14" s="15"/>
      <c r="I14" s="193">
        <f>SUM(I15:I16)</f>
        <v>0</v>
      </c>
      <c r="J14" s="193">
        <f>SUM(J15:J16)</f>
        <v>0</v>
      </c>
      <c r="K14" s="193">
        <f t="shared" ref="K14:R14" si="27">SUM(K15:K16)</f>
        <v>0</v>
      </c>
      <c r="L14" s="193">
        <f t="shared" si="27"/>
        <v>0</v>
      </c>
      <c r="M14" s="193">
        <f t="shared" si="27"/>
        <v>0</v>
      </c>
      <c r="N14" s="193">
        <f t="shared" si="27"/>
        <v>0</v>
      </c>
      <c r="O14" s="193">
        <f t="shared" si="27"/>
        <v>0</v>
      </c>
      <c r="P14" s="193">
        <f t="shared" si="27"/>
        <v>0</v>
      </c>
      <c r="Q14" s="193">
        <f t="shared" si="27"/>
        <v>0</v>
      </c>
      <c r="R14" s="193">
        <f t="shared" si="27"/>
        <v>0</v>
      </c>
      <c r="S14" s="193">
        <f t="shared" ref="S14:X14" si="28">SUM(S15:S16)</f>
        <v>0</v>
      </c>
      <c r="T14" s="193">
        <f t="shared" si="28"/>
        <v>0</v>
      </c>
      <c r="U14" s="193">
        <f t="shared" si="28"/>
        <v>0</v>
      </c>
      <c r="V14" s="193">
        <f t="shared" si="28"/>
        <v>0</v>
      </c>
      <c r="W14" s="193">
        <f t="shared" si="28"/>
        <v>0</v>
      </c>
      <c r="X14" s="193">
        <f t="shared" si="28"/>
        <v>0</v>
      </c>
      <c r="Y14" s="193">
        <f t="shared" ref="Y14:AD14" si="29">SUM(Y15:Y16)</f>
        <v>0</v>
      </c>
      <c r="Z14" s="193">
        <f t="shared" si="29"/>
        <v>0</v>
      </c>
      <c r="AA14" s="193">
        <f t="shared" si="29"/>
        <v>0</v>
      </c>
      <c r="AB14" s="193">
        <f t="shared" si="29"/>
        <v>0</v>
      </c>
      <c r="AC14" s="193">
        <f t="shared" si="29"/>
        <v>0</v>
      </c>
      <c r="AD14" s="193">
        <f t="shared" si="29"/>
        <v>0</v>
      </c>
      <c r="AE14" s="193">
        <f t="shared" ref="AE14:AJ14" si="30">SUM(AE15:AE16)</f>
        <v>0</v>
      </c>
      <c r="AF14" s="193">
        <f t="shared" si="30"/>
        <v>0</v>
      </c>
      <c r="AG14" s="193">
        <f t="shared" si="30"/>
        <v>0</v>
      </c>
      <c r="AH14" s="193">
        <f t="shared" si="30"/>
        <v>0</v>
      </c>
      <c r="AI14" s="193">
        <f t="shared" si="30"/>
        <v>0</v>
      </c>
      <c r="AJ14" s="193">
        <f t="shared" si="30"/>
        <v>0</v>
      </c>
      <c r="AK14" s="193">
        <f t="shared" ref="AK14:BC14" si="31">SUM(AK15:AK16)</f>
        <v>0</v>
      </c>
      <c r="AL14" s="193">
        <f t="shared" si="31"/>
        <v>0</v>
      </c>
      <c r="AM14" s="193">
        <f t="shared" si="31"/>
        <v>0</v>
      </c>
      <c r="AN14" s="193">
        <f t="shared" si="31"/>
        <v>0</v>
      </c>
      <c r="AO14" s="193">
        <f t="shared" si="31"/>
        <v>0</v>
      </c>
      <c r="AP14" s="193">
        <f t="shared" si="31"/>
        <v>0</v>
      </c>
      <c r="AQ14" s="193">
        <f t="shared" si="31"/>
        <v>0</v>
      </c>
      <c r="AR14" s="193">
        <f t="shared" si="31"/>
        <v>0</v>
      </c>
      <c r="AS14" s="193">
        <f t="shared" si="31"/>
        <v>0</v>
      </c>
      <c r="AT14" s="193">
        <f t="shared" si="31"/>
        <v>0</v>
      </c>
      <c r="AU14" s="193">
        <f t="shared" si="31"/>
        <v>0</v>
      </c>
      <c r="AV14" s="193">
        <f t="shared" si="31"/>
        <v>0</v>
      </c>
      <c r="AW14" s="193">
        <f t="shared" si="31"/>
        <v>0</v>
      </c>
      <c r="AX14" s="193">
        <f t="shared" si="31"/>
        <v>0</v>
      </c>
      <c r="AY14" s="193">
        <f t="shared" si="31"/>
        <v>0</v>
      </c>
      <c r="AZ14" s="193">
        <f t="shared" si="31"/>
        <v>0</v>
      </c>
      <c r="BA14" s="193">
        <f t="shared" si="31"/>
        <v>0</v>
      </c>
      <c r="BB14" s="193">
        <f t="shared" si="31"/>
        <v>0</v>
      </c>
      <c r="BC14" s="193">
        <f t="shared" si="31"/>
        <v>0</v>
      </c>
      <c r="BD14" s="193">
        <f>SUM(BD15:BD16)</f>
        <v>0</v>
      </c>
      <c r="BE14" s="193">
        <f>SUM(BE15:BE16)</f>
        <v>0</v>
      </c>
      <c r="BF14" s="193">
        <f>SUM(BF15:BF16)</f>
        <v>0</v>
      </c>
      <c r="BG14" s="193">
        <f>SUM(BG15:BG16)</f>
        <v>0</v>
      </c>
      <c r="BH14" s="193">
        <f>SUM(BH15:BH16)</f>
        <v>0</v>
      </c>
      <c r="BI14" s="193">
        <f t="shared" ref="BI14:BJ14" si="32">SUM(BI15:BI16)</f>
        <v>0</v>
      </c>
      <c r="BJ14" s="193">
        <f t="shared" si="32"/>
        <v>0</v>
      </c>
      <c r="BK14" s="193">
        <f t="shared" ref="BK14:BM14" si="33">SUM(BK15:BK16)</f>
        <v>0</v>
      </c>
      <c r="BL14" s="193">
        <f t="shared" si="33"/>
        <v>0</v>
      </c>
      <c r="BM14" s="193">
        <f t="shared" si="33"/>
        <v>0</v>
      </c>
      <c r="BN14" s="193">
        <f t="shared" ref="BN14:BO14" si="34">SUM(BN15:BN16)</f>
        <v>0</v>
      </c>
      <c r="BO14" s="193">
        <f t="shared" si="34"/>
        <v>0</v>
      </c>
      <c r="BP14" s="193">
        <f t="shared" ref="BP14" si="35">SUM(BP15:BP16)</f>
        <v>0</v>
      </c>
      <c r="BQ14" s="228">
        <f>SUM(BQ15:BQ16)</f>
        <v>0</v>
      </c>
      <c r="BR14" s="228">
        <f>SUM(BR15:BR16)</f>
        <v>0</v>
      </c>
    </row>
    <row r="15" spans="2:70" ht="11.25" customHeight="1" x14ac:dyDescent="0.2">
      <c r="B15" s="17"/>
      <c r="C15" s="17"/>
      <c r="D15" s="17"/>
      <c r="E15" s="17"/>
      <c r="F15" s="18" t="s">
        <v>81</v>
      </c>
      <c r="G15" s="18"/>
      <c r="H15" s="21"/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  <c r="AO15" s="164">
        <v>0</v>
      </c>
      <c r="AP15" s="164">
        <v>0</v>
      </c>
      <c r="AQ15" s="164">
        <v>0</v>
      </c>
      <c r="AR15" s="164">
        <v>0</v>
      </c>
      <c r="AS15" s="164">
        <v>0</v>
      </c>
      <c r="AT15" s="164">
        <v>0</v>
      </c>
      <c r="AU15" s="164">
        <v>0</v>
      </c>
      <c r="AV15" s="164">
        <v>0</v>
      </c>
      <c r="AW15" s="164">
        <v>0</v>
      </c>
      <c r="AX15" s="164">
        <v>0</v>
      </c>
      <c r="AY15" s="164">
        <v>0</v>
      </c>
      <c r="AZ15" s="164">
        <v>0</v>
      </c>
      <c r="BA15" s="164">
        <v>0</v>
      </c>
      <c r="BB15" s="164">
        <v>0</v>
      </c>
      <c r="BC15" s="164">
        <v>0</v>
      </c>
      <c r="BD15" s="164">
        <v>0</v>
      </c>
      <c r="BE15" s="164">
        <v>0</v>
      </c>
      <c r="BF15" s="164">
        <v>0</v>
      </c>
      <c r="BG15" s="164">
        <v>0</v>
      </c>
      <c r="BH15" s="164">
        <v>0</v>
      </c>
      <c r="BI15" s="164">
        <v>0</v>
      </c>
      <c r="BJ15" s="164">
        <v>0</v>
      </c>
      <c r="BK15" s="164">
        <v>0</v>
      </c>
      <c r="BL15" s="164">
        <v>0</v>
      </c>
      <c r="BM15" s="164">
        <v>0</v>
      </c>
      <c r="BN15" s="164">
        <v>0</v>
      </c>
      <c r="BO15" s="164">
        <v>0</v>
      </c>
      <c r="BP15" s="164">
        <v>0</v>
      </c>
      <c r="BQ15" s="164">
        <v>0</v>
      </c>
      <c r="BR15" s="164">
        <v>0</v>
      </c>
    </row>
    <row r="16" spans="2:70" ht="11.25" customHeight="1" x14ac:dyDescent="0.2">
      <c r="B16" s="17"/>
      <c r="C16" s="17"/>
      <c r="D16" s="17"/>
      <c r="E16" s="17"/>
      <c r="F16" s="18" t="s">
        <v>82</v>
      </c>
      <c r="G16" s="18"/>
      <c r="H16" s="21"/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  <c r="AO16" s="164">
        <v>0</v>
      </c>
      <c r="AP16" s="164">
        <v>0</v>
      </c>
      <c r="AQ16" s="164">
        <v>0</v>
      </c>
      <c r="AR16" s="164">
        <v>0</v>
      </c>
      <c r="AS16" s="164">
        <v>0</v>
      </c>
      <c r="AT16" s="164">
        <v>0</v>
      </c>
      <c r="AU16" s="164">
        <v>0</v>
      </c>
      <c r="AV16" s="164">
        <v>0</v>
      </c>
      <c r="AW16" s="164">
        <v>0</v>
      </c>
      <c r="AX16" s="164">
        <v>0</v>
      </c>
      <c r="AY16" s="164">
        <v>0</v>
      </c>
      <c r="AZ16" s="164">
        <v>0</v>
      </c>
      <c r="BA16" s="164">
        <v>0</v>
      </c>
      <c r="BB16" s="164">
        <v>0</v>
      </c>
      <c r="BC16" s="164">
        <v>0</v>
      </c>
      <c r="BD16" s="164">
        <v>0</v>
      </c>
      <c r="BE16" s="164">
        <v>0</v>
      </c>
      <c r="BF16" s="164">
        <v>0</v>
      </c>
      <c r="BG16" s="164">
        <v>0</v>
      </c>
      <c r="BH16" s="164">
        <v>0</v>
      </c>
      <c r="BI16" s="164">
        <v>0</v>
      </c>
      <c r="BJ16" s="164">
        <v>0</v>
      </c>
      <c r="BK16" s="164">
        <v>0</v>
      </c>
      <c r="BL16" s="164">
        <v>0</v>
      </c>
      <c r="BM16" s="164">
        <v>0</v>
      </c>
      <c r="BN16" s="164">
        <v>0</v>
      </c>
      <c r="BO16" s="164">
        <v>0</v>
      </c>
      <c r="BP16" s="164">
        <v>0</v>
      </c>
      <c r="BQ16" s="164">
        <v>0</v>
      </c>
      <c r="BR16" s="164">
        <v>0</v>
      </c>
    </row>
    <row r="17" spans="2:71" ht="11.25" customHeight="1" x14ac:dyDescent="0.25">
      <c r="B17" s="15"/>
      <c r="C17" s="15"/>
      <c r="D17" s="15"/>
      <c r="E17" s="15" t="s">
        <v>83</v>
      </c>
      <c r="F17" s="22"/>
      <c r="G17" s="22"/>
      <c r="H17" s="15"/>
      <c r="I17" s="193">
        <f>I18</f>
        <v>0</v>
      </c>
      <c r="J17" s="193">
        <f t="shared" ref="J17:BP17" si="36">J18</f>
        <v>0</v>
      </c>
      <c r="K17" s="193">
        <f t="shared" si="36"/>
        <v>0</v>
      </c>
      <c r="L17" s="193">
        <f t="shared" si="36"/>
        <v>0</v>
      </c>
      <c r="M17" s="193">
        <f t="shared" si="36"/>
        <v>0</v>
      </c>
      <c r="N17" s="193">
        <f t="shared" si="36"/>
        <v>0</v>
      </c>
      <c r="O17" s="193">
        <f t="shared" si="36"/>
        <v>0</v>
      </c>
      <c r="P17" s="193">
        <f t="shared" si="36"/>
        <v>0</v>
      </c>
      <c r="Q17" s="193">
        <f t="shared" si="36"/>
        <v>0</v>
      </c>
      <c r="R17" s="193">
        <f t="shared" si="36"/>
        <v>0</v>
      </c>
      <c r="S17" s="193">
        <f t="shared" si="36"/>
        <v>0</v>
      </c>
      <c r="T17" s="193">
        <f t="shared" si="36"/>
        <v>0</v>
      </c>
      <c r="U17" s="193">
        <f t="shared" si="36"/>
        <v>0</v>
      </c>
      <c r="V17" s="193">
        <f t="shared" si="36"/>
        <v>0</v>
      </c>
      <c r="W17" s="193">
        <f t="shared" si="36"/>
        <v>0</v>
      </c>
      <c r="X17" s="193">
        <f t="shared" si="36"/>
        <v>0</v>
      </c>
      <c r="Y17" s="193">
        <f t="shared" si="36"/>
        <v>0</v>
      </c>
      <c r="Z17" s="193">
        <f t="shared" si="36"/>
        <v>0</v>
      </c>
      <c r="AA17" s="193">
        <f t="shared" si="36"/>
        <v>0</v>
      </c>
      <c r="AB17" s="193">
        <f t="shared" si="36"/>
        <v>0</v>
      </c>
      <c r="AC17" s="193">
        <f t="shared" si="36"/>
        <v>0</v>
      </c>
      <c r="AD17" s="193">
        <f t="shared" si="36"/>
        <v>0</v>
      </c>
      <c r="AE17" s="193">
        <f t="shared" si="36"/>
        <v>0</v>
      </c>
      <c r="AF17" s="193">
        <f t="shared" si="36"/>
        <v>0</v>
      </c>
      <c r="AG17" s="193">
        <f t="shared" si="36"/>
        <v>0</v>
      </c>
      <c r="AH17" s="193">
        <f t="shared" si="36"/>
        <v>0</v>
      </c>
      <c r="AI17" s="193">
        <f t="shared" si="36"/>
        <v>0</v>
      </c>
      <c r="AJ17" s="193">
        <f t="shared" si="36"/>
        <v>0</v>
      </c>
      <c r="AK17" s="193">
        <f t="shared" si="36"/>
        <v>0</v>
      </c>
      <c r="AL17" s="193">
        <f t="shared" si="36"/>
        <v>0</v>
      </c>
      <c r="AM17" s="193">
        <f t="shared" si="36"/>
        <v>0</v>
      </c>
      <c r="AN17" s="193">
        <f t="shared" si="36"/>
        <v>0</v>
      </c>
      <c r="AO17" s="193">
        <f t="shared" si="36"/>
        <v>0</v>
      </c>
      <c r="AP17" s="193">
        <f t="shared" si="36"/>
        <v>0</v>
      </c>
      <c r="AQ17" s="193">
        <f t="shared" si="36"/>
        <v>0</v>
      </c>
      <c r="AR17" s="193">
        <f t="shared" si="36"/>
        <v>0</v>
      </c>
      <c r="AS17" s="193">
        <f t="shared" si="36"/>
        <v>0</v>
      </c>
      <c r="AT17" s="193">
        <f t="shared" si="36"/>
        <v>0</v>
      </c>
      <c r="AU17" s="193">
        <f t="shared" si="36"/>
        <v>0</v>
      </c>
      <c r="AV17" s="193">
        <f t="shared" si="36"/>
        <v>0</v>
      </c>
      <c r="AW17" s="193">
        <f t="shared" si="36"/>
        <v>0</v>
      </c>
      <c r="AX17" s="193">
        <f t="shared" si="36"/>
        <v>0</v>
      </c>
      <c r="AY17" s="193">
        <f t="shared" si="36"/>
        <v>0</v>
      </c>
      <c r="AZ17" s="193">
        <f t="shared" si="36"/>
        <v>0</v>
      </c>
      <c r="BA17" s="193">
        <f t="shared" si="36"/>
        <v>0</v>
      </c>
      <c r="BB17" s="193">
        <f t="shared" si="36"/>
        <v>0</v>
      </c>
      <c r="BC17" s="193">
        <f t="shared" si="36"/>
        <v>0</v>
      </c>
      <c r="BD17" s="193">
        <f t="shared" si="36"/>
        <v>0</v>
      </c>
      <c r="BE17" s="193">
        <f t="shared" si="36"/>
        <v>0</v>
      </c>
      <c r="BF17" s="193">
        <f t="shared" si="36"/>
        <v>0</v>
      </c>
      <c r="BG17" s="193">
        <f t="shared" si="36"/>
        <v>0</v>
      </c>
      <c r="BH17" s="193">
        <f t="shared" si="36"/>
        <v>0</v>
      </c>
      <c r="BI17" s="193">
        <f t="shared" si="36"/>
        <v>0</v>
      </c>
      <c r="BJ17" s="193">
        <f t="shared" si="36"/>
        <v>0</v>
      </c>
      <c r="BK17" s="193">
        <f t="shared" si="36"/>
        <v>0</v>
      </c>
      <c r="BL17" s="193">
        <f t="shared" si="36"/>
        <v>0</v>
      </c>
      <c r="BM17" s="193">
        <f t="shared" si="36"/>
        <v>0</v>
      </c>
      <c r="BN17" s="193">
        <f t="shared" si="36"/>
        <v>0</v>
      </c>
      <c r="BO17" s="193">
        <f t="shared" si="36"/>
        <v>0</v>
      </c>
      <c r="BP17" s="193">
        <f t="shared" si="36"/>
        <v>0</v>
      </c>
      <c r="BQ17" s="228">
        <f>BQ18</f>
        <v>0</v>
      </c>
      <c r="BR17" s="228">
        <f>BR18</f>
        <v>0</v>
      </c>
    </row>
    <row r="18" spans="2:71" ht="11.25" customHeight="1" x14ac:dyDescent="0.2">
      <c r="B18" s="17"/>
      <c r="C18" s="17"/>
      <c r="D18" s="17"/>
      <c r="E18" s="21"/>
      <c r="F18" s="18" t="s">
        <v>84</v>
      </c>
      <c r="G18" s="18"/>
      <c r="H18" s="21"/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  <c r="AO18" s="164">
        <v>0</v>
      </c>
      <c r="AP18" s="164">
        <v>0</v>
      </c>
      <c r="AQ18" s="164">
        <v>0</v>
      </c>
      <c r="AR18" s="164">
        <v>0</v>
      </c>
      <c r="AS18" s="164">
        <v>0</v>
      </c>
      <c r="AT18" s="164">
        <v>0</v>
      </c>
      <c r="AU18" s="164">
        <v>0</v>
      </c>
      <c r="AV18" s="164">
        <v>0</v>
      </c>
      <c r="AW18" s="164">
        <v>0</v>
      </c>
      <c r="AX18" s="164">
        <v>0</v>
      </c>
      <c r="AY18" s="164">
        <v>0</v>
      </c>
      <c r="AZ18" s="164">
        <v>0</v>
      </c>
      <c r="BA18" s="164">
        <v>0</v>
      </c>
      <c r="BB18" s="164">
        <v>0</v>
      </c>
      <c r="BC18" s="164">
        <v>0</v>
      </c>
      <c r="BD18" s="164">
        <v>0</v>
      </c>
      <c r="BE18" s="164">
        <v>0</v>
      </c>
      <c r="BF18" s="164">
        <v>0</v>
      </c>
      <c r="BG18" s="164">
        <v>0</v>
      </c>
      <c r="BH18" s="164">
        <v>0</v>
      </c>
      <c r="BI18" s="164">
        <v>0</v>
      </c>
      <c r="BJ18" s="164">
        <v>0</v>
      </c>
      <c r="BK18" s="164">
        <v>0</v>
      </c>
      <c r="BL18" s="164">
        <v>0</v>
      </c>
      <c r="BM18" s="164">
        <v>0</v>
      </c>
      <c r="BN18" s="164">
        <v>0</v>
      </c>
      <c r="BO18" s="164">
        <v>0</v>
      </c>
      <c r="BP18" s="164">
        <v>0</v>
      </c>
      <c r="BQ18" s="164">
        <v>0</v>
      </c>
      <c r="BR18" s="164">
        <v>0</v>
      </c>
    </row>
    <row r="19" spans="2:71" ht="11.25" customHeight="1" x14ac:dyDescent="0.25">
      <c r="B19" s="15"/>
      <c r="C19" s="15"/>
      <c r="D19" s="15" t="s">
        <v>85</v>
      </c>
      <c r="E19" s="16"/>
      <c r="F19" s="15"/>
      <c r="G19" s="15"/>
      <c r="H19" s="15"/>
      <c r="I19" s="193">
        <f t="shared" ref="I19:R19" si="37">SUM(I20,I23)</f>
        <v>40960</v>
      </c>
      <c r="J19" s="193">
        <f t="shared" si="37"/>
        <v>52239</v>
      </c>
      <c r="K19" s="193">
        <f t="shared" si="37"/>
        <v>73891</v>
      </c>
      <c r="L19" s="193">
        <f t="shared" si="37"/>
        <v>74256</v>
      </c>
      <c r="M19" s="193">
        <f t="shared" si="37"/>
        <v>86828</v>
      </c>
      <c r="N19" s="193">
        <f t="shared" si="37"/>
        <v>62774</v>
      </c>
      <c r="O19" s="193">
        <f t="shared" si="37"/>
        <v>114350</v>
      </c>
      <c r="P19" s="193">
        <f t="shared" si="37"/>
        <v>138406</v>
      </c>
      <c r="Q19" s="193">
        <f t="shared" si="37"/>
        <v>133660</v>
      </c>
      <c r="R19" s="193">
        <f t="shared" si="37"/>
        <v>118636</v>
      </c>
      <c r="S19" s="193">
        <f t="shared" ref="S19:X19" si="38">SUM(S20,S23)</f>
        <v>120831</v>
      </c>
      <c r="T19" s="193">
        <f t="shared" si="38"/>
        <v>104852</v>
      </c>
      <c r="U19" s="193">
        <f t="shared" si="38"/>
        <v>123538</v>
      </c>
      <c r="V19" s="193">
        <f t="shared" si="38"/>
        <v>91445</v>
      </c>
      <c r="W19" s="193">
        <f t="shared" si="38"/>
        <v>159792</v>
      </c>
      <c r="X19" s="193">
        <f t="shared" si="38"/>
        <v>101879</v>
      </c>
      <c r="Y19" s="193">
        <f t="shared" ref="Y19:AD19" si="39">SUM(Y20,Y23)</f>
        <v>88450</v>
      </c>
      <c r="Z19" s="193">
        <f t="shared" si="39"/>
        <v>97054</v>
      </c>
      <c r="AA19" s="193">
        <f t="shared" si="39"/>
        <v>165076</v>
      </c>
      <c r="AB19" s="193">
        <f t="shared" si="39"/>
        <v>85334</v>
      </c>
      <c r="AC19" s="193">
        <f t="shared" si="39"/>
        <v>125833</v>
      </c>
      <c r="AD19" s="193">
        <f t="shared" si="39"/>
        <v>92593</v>
      </c>
      <c r="AE19" s="193">
        <f t="shared" ref="AE19:AJ19" si="40">SUM(AE20,AE23)</f>
        <v>147059</v>
      </c>
      <c r="AF19" s="193">
        <f t="shared" si="40"/>
        <v>143729</v>
      </c>
      <c r="AG19" s="193">
        <f>SUM(AG20,AG23)</f>
        <v>93721</v>
      </c>
      <c r="AH19" s="193">
        <f t="shared" si="40"/>
        <v>53330</v>
      </c>
      <c r="AI19" s="193">
        <f t="shared" si="40"/>
        <v>182345</v>
      </c>
      <c r="AJ19" s="193">
        <f t="shared" si="40"/>
        <v>228024</v>
      </c>
      <c r="AK19" s="193">
        <f>SUM(AK20,AK23)</f>
        <v>207759</v>
      </c>
      <c r="AL19" s="193">
        <f t="shared" ref="AL19:BC19" si="41">SUM(AL20,AL23)</f>
        <v>203226</v>
      </c>
      <c r="AM19" s="193">
        <f t="shared" si="41"/>
        <v>279519</v>
      </c>
      <c r="AN19" s="193">
        <f t="shared" si="41"/>
        <v>185538</v>
      </c>
      <c r="AO19" s="193">
        <f t="shared" si="41"/>
        <v>154339</v>
      </c>
      <c r="AP19" s="193">
        <f t="shared" si="41"/>
        <v>159777</v>
      </c>
      <c r="AQ19" s="193">
        <f t="shared" si="41"/>
        <v>234587</v>
      </c>
      <c r="AR19" s="193">
        <f t="shared" si="41"/>
        <v>351858</v>
      </c>
      <c r="AS19" s="193">
        <f t="shared" si="41"/>
        <v>323793</v>
      </c>
      <c r="AT19" s="193">
        <f t="shared" si="41"/>
        <v>217762</v>
      </c>
      <c r="AU19" s="193">
        <f t="shared" si="41"/>
        <v>277894</v>
      </c>
      <c r="AV19" s="193">
        <f t="shared" si="41"/>
        <v>271926</v>
      </c>
      <c r="AW19" s="193">
        <f t="shared" si="41"/>
        <v>267050</v>
      </c>
      <c r="AX19" s="193">
        <f t="shared" si="41"/>
        <v>186724</v>
      </c>
      <c r="AY19" s="193">
        <f t="shared" si="41"/>
        <v>382218</v>
      </c>
      <c r="AZ19" s="193">
        <f t="shared" si="41"/>
        <v>297936</v>
      </c>
      <c r="BA19" s="193">
        <f t="shared" si="41"/>
        <v>426040</v>
      </c>
      <c r="BB19" s="193">
        <f t="shared" si="41"/>
        <v>215345</v>
      </c>
      <c r="BC19" s="193">
        <f t="shared" si="41"/>
        <v>283266</v>
      </c>
      <c r="BD19" s="193">
        <f>SUM(BD20,BD23)</f>
        <v>346882</v>
      </c>
      <c r="BE19" s="193">
        <f>SUM(BE20,BE23)</f>
        <v>201012</v>
      </c>
      <c r="BF19" s="193">
        <f>SUM(BF20,BF23)</f>
        <v>283000</v>
      </c>
      <c r="BG19" s="193">
        <f>SUM(BG20,BG23)</f>
        <v>305928</v>
      </c>
      <c r="BH19" s="193">
        <f>SUM(BH20,BH23)</f>
        <v>330508</v>
      </c>
      <c r="BI19" s="193">
        <f t="shared" ref="BI19:BJ19" si="42">SUM(BI20,BI23)</f>
        <v>988041</v>
      </c>
      <c r="BJ19" s="193">
        <f t="shared" si="42"/>
        <v>486064</v>
      </c>
      <c r="BK19" s="193">
        <f t="shared" ref="BK19:BM19" si="43">SUM(BK20,BK23)</f>
        <v>570360</v>
      </c>
      <c r="BL19" s="193">
        <f t="shared" si="43"/>
        <v>502807</v>
      </c>
      <c r="BM19" s="193">
        <f t="shared" si="43"/>
        <v>720234</v>
      </c>
      <c r="BN19" s="193">
        <f t="shared" ref="BN19" si="44">SUM(BN20,BN23)</f>
        <v>664879</v>
      </c>
      <c r="BO19" s="193">
        <f>SUM(BO20,BO23)</f>
        <v>458525</v>
      </c>
      <c r="BP19" s="193">
        <f>SUM(BP20,BP23)</f>
        <v>466911</v>
      </c>
      <c r="BQ19" s="228">
        <f>SUM(BQ20,BQ23)</f>
        <v>403129</v>
      </c>
      <c r="BR19" s="228">
        <f>SUM(BR20,BR23)</f>
        <v>463177</v>
      </c>
    </row>
    <row r="20" spans="2:71" ht="11.25" customHeight="1" x14ac:dyDescent="0.2">
      <c r="B20" s="17"/>
      <c r="C20" s="17"/>
      <c r="D20" s="17"/>
      <c r="E20" s="17" t="s">
        <v>86</v>
      </c>
      <c r="F20" s="17"/>
      <c r="G20" s="17"/>
      <c r="H20" s="21"/>
      <c r="I20" s="164">
        <f t="shared" ref="I20:U20" si="45">SUM(I21:I22)</f>
        <v>33816</v>
      </c>
      <c r="J20" s="164">
        <f t="shared" si="45"/>
        <v>30534</v>
      </c>
      <c r="K20" s="164">
        <f t="shared" si="45"/>
        <v>41295</v>
      </c>
      <c r="L20" s="164">
        <f t="shared" si="45"/>
        <v>36805</v>
      </c>
      <c r="M20" s="164">
        <f t="shared" si="45"/>
        <v>48117</v>
      </c>
      <c r="N20" s="164">
        <f t="shared" si="45"/>
        <v>16191</v>
      </c>
      <c r="O20" s="164">
        <f t="shared" si="45"/>
        <v>39577</v>
      </c>
      <c r="P20" s="164">
        <f t="shared" si="45"/>
        <v>45611</v>
      </c>
      <c r="Q20" s="164">
        <f t="shared" si="45"/>
        <v>37101</v>
      </c>
      <c r="R20" s="164">
        <f t="shared" si="45"/>
        <v>22656</v>
      </c>
      <c r="S20" s="164">
        <f t="shared" si="45"/>
        <v>63250</v>
      </c>
      <c r="T20" s="164">
        <f t="shared" si="45"/>
        <v>54335</v>
      </c>
      <c r="U20" s="164">
        <f t="shared" si="45"/>
        <v>68356</v>
      </c>
      <c r="V20" s="164">
        <v>25693</v>
      </c>
      <c r="W20" s="164">
        <f t="shared" ref="W20:AC20" si="46">W21+W22</f>
        <v>98347</v>
      </c>
      <c r="X20" s="164">
        <f t="shared" si="46"/>
        <v>55271</v>
      </c>
      <c r="Y20" s="164">
        <f t="shared" si="46"/>
        <v>39678</v>
      </c>
      <c r="Z20" s="164">
        <f t="shared" si="46"/>
        <v>50297</v>
      </c>
      <c r="AA20" s="164">
        <f t="shared" si="46"/>
        <v>93508</v>
      </c>
      <c r="AB20" s="164">
        <f t="shared" si="46"/>
        <v>62438</v>
      </c>
      <c r="AC20" s="164">
        <f t="shared" si="46"/>
        <v>84668</v>
      </c>
      <c r="AD20" s="164">
        <f t="shared" ref="AD20:BD20" si="47">AD21+AD22</f>
        <v>33228</v>
      </c>
      <c r="AE20" s="164">
        <f t="shared" si="47"/>
        <v>110536</v>
      </c>
      <c r="AF20" s="164">
        <f t="shared" si="47"/>
        <v>120663</v>
      </c>
      <c r="AG20" s="164">
        <f>AG21+AG22</f>
        <v>65361</v>
      </c>
      <c r="AH20" s="164">
        <f t="shared" si="47"/>
        <v>36235</v>
      </c>
      <c r="AI20" s="164">
        <f t="shared" si="47"/>
        <v>125708</v>
      </c>
      <c r="AJ20" s="164">
        <f t="shared" si="47"/>
        <v>176691</v>
      </c>
      <c r="AK20" s="164">
        <f>AK21+AK22</f>
        <v>110357</v>
      </c>
      <c r="AL20" s="164">
        <f t="shared" si="47"/>
        <v>64128</v>
      </c>
      <c r="AM20" s="164">
        <f t="shared" si="47"/>
        <v>131588</v>
      </c>
      <c r="AN20" s="164">
        <f t="shared" si="47"/>
        <v>73392</v>
      </c>
      <c r="AO20" s="164">
        <f t="shared" si="47"/>
        <v>53789</v>
      </c>
      <c r="AP20" s="164">
        <f t="shared" si="47"/>
        <v>70838</v>
      </c>
      <c r="AQ20" s="164">
        <f t="shared" si="47"/>
        <v>110659</v>
      </c>
      <c r="AR20" s="164">
        <f t="shared" si="47"/>
        <v>168128</v>
      </c>
      <c r="AS20" s="164">
        <f t="shared" si="47"/>
        <v>143564</v>
      </c>
      <c r="AT20" s="164">
        <f t="shared" si="47"/>
        <v>40596</v>
      </c>
      <c r="AU20" s="164">
        <f t="shared" si="47"/>
        <v>93796</v>
      </c>
      <c r="AV20" s="164">
        <f t="shared" si="47"/>
        <v>131546</v>
      </c>
      <c r="AW20" s="164">
        <f t="shared" si="47"/>
        <v>142278</v>
      </c>
      <c r="AX20" s="164">
        <f t="shared" si="47"/>
        <v>54456</v>
      </c>
      <c r="AY20" s="164">
        <f t="shared" si="47"/>
        <v>236009</v>
      </c>
      <c r="AZ20" s="164">
        <f t="shared" si="47"/>
        <v>178405</v>
      </c>
      <c r="BA20" s="164">
        <f t="shared" si="47"/>
        <v>169440</v>
      </c>
      <c r="BB20" s="164">
        <f t="shared" si="47"/>
        <v>38824</v>
      </c>
      <c r="BC20" s="164">
        <f t="shared" si="47"/>
        <v>109170</v>
      </c>
      <c r="BD20" s="164">
        <f t="shared" si="47"/>
        <v>207283</v>
      </c>
      <c r="BE20" s="164">
        <f>BE21+BE22</f>
        <v>97378</v>
      </c>
      <c r="BF20" s="164">
        <f>BF21+BF22</f>
        <v>93682</v>
      </c>
      <c r="BG20" s="164">
        <f>BG21+BG22</f>
        <v>85418</v>
      </c>
      <c r="BH20" s="164">
        <f>BH21+BH22</f>
        <v>147414</v>
      </c>
      <c r="BI20" s="164">
        <f t="shared" ref="BI20:BJ20" si="48">BI21+BI22</f>
        <v>366313</v>
      </c>
      <c r="BJ20" s="164">
        <f t="shared" si="48"/>
        <v>105496</v>
      </c>
      <c r="BK20" s="164">
        <f t="shared" ref="BK20:BL20" si="49">BK21+BK22</f>
        <v>213927</v>
      </c>
      <c r="BL20" s="164">
        <f t="shared" si="49"/>
        <v>174291</v>
      </c>
      <c r="BM20" s="164">
        <f t="shared" ref="BM20" si="50">BM21+BM22</f>
        <v>311755</v>
      </c>
      <c r="BN20" s="164">
        <f>BN21+BN22</f>
        <v>198721</v>
      </c>
      <c r="BO20" s="164">
        <f>BO21+BO22</f>
        <v>142488</v>
      </c>
      <c r="BP20" s="164">
        <f>BP21+BP22</f>
        <v>143694</v>
      </c>
      <c r="BQ20" s="164">
        <f>BQ21+BQ22</f>
        <v>245574</v>
      </c>
      <c r="BR20" s="164">
        <f>BR21+BR22</f>
        <v>162227</v>
      </c>
    </row>
    <row r="21" spans="2:71" ht="11.25" customHeight="1" x14ac:dyDescent="0.2">
      <c r="B21" s="17"/>
      <c r="C21" s="17"/>
      <c r="D21" s="17"/>
      <c r="E21" s="17"/>
      <c r="F21" s="17" t="s">
        <v>87</v>
      </c>
      <c r="G21" s="17"/>
      <c r="H21" s="21"/>
      <c r="I21" s="164">
        <v>23977</v>
      </c>
      <c r="J21" s="164">
        <v>26881</v>
      </c>
      <c r="K21" s="164">
        <v>26073</v>
      </c>
      <c r="L21" s="164">
        <v>23859</v>
      </c>
      <c r="M21" s="164">
        <v>35448</v>
      </c>
      <c r="N21" s="164">
        <v>10409</v>
      </c>
      <c r="O21" s="164">
        <v>23164</v>
      </c>
      <c r="P21" s="164">
        <v>14288</v>
      </c>
      <c r="Q21" s="164">
        <v>16706</v>
      </c>
      <c r="R21" s="164">
        <v>22607</v>
      </c>
      <c r="S21" s="164">
        <v>25056</v>
      </c>
      <c r="T21" s="164">
        <v>15246</v>
      </c>
      <c r="U21" s="164">
        <v>31153</v>
      </c>
      <c r="V21" s="164">
        <v>12517</v>
      </c>
      <c r="W21" s="164">
        <v>22881</v>
      </c>
      <c r="X21" s="164">
        <v>12437</v>
      </c>
      <c r="Y21" s="164">
        <v>14992</v>
      </c>
      <c r="Z21" s="164">
        <v>10786</v>
      </c>
      <c r="AA21" s="164">
        <v>21772</v>
      </c>
      <c r="AB21" s="164">
        <v>11743</v>
      </c>
      <c r="AC21" s="164">
        <v>48295</v>
      </c>
      <c r="AD21" s="164">
        <v>14573</v>
      </c>
      <c r="AE21" s="164">
        <v>34451</v>
      </c>
      <c r="AF21" s="164">
        <v>22580</v>
      </c>
      <c r="AG21" s="164">
        <v>15161</v>
      </c>
      <c r="AH21" s="164">
        <v>12635</v>
      </c>
      <c r="AI21" s="164">
        <v>26890</v>
      </c>
      <c r="AJ21" s="164">
        <v>41230</v>
      </c>
      <c r="AK21" s="164">
        <v>62138</v>
      </c>
      <c r="AL21" s="164">
        <v>42386</v>
      </c>
      <c r="AM21" s="164">
        <v>48810</v>
      </c>
      <c r="AN21" s="164">
        <v>39889</v>
      </c>
      <c r="AO21" s="164">
        <v>16219</v>
      </c>
      <c r="AP21" s="164">
        <v>51938</v>
      </c>
      <c r="AQ21" s="164">
        <v>57183</v>
      </c>
      <c r="AR21" s="164">
        <v>22816</v>
      </c>
      <c r="AS21" s="164">
        <v>45886</v>
      </c>
      <c r="AT21" s="164">
        <v>20359</v>
      </c>
      <c r="AU21" s="164">
        <v>8121</v>
      </c>
      <c r="AV21" s="164">
        <v>14040</v>
      </c>
      <c r="AW21" s="164">
        <v>111560</v>
      </c>
      <c r="AX21" s="164">
        <v>39401</v>
      </c>
      <c r="AY21" s="164">
        <v>125676</v>
      </c>
      <c r="AZ21" s="164">
        <v>11463</v>
      </c>
      <c r="BA21" s="164">
        <v>121432</v>
      </c>
      <c r="BB21" s="164">
        <v>29450</v>
      </c>
      <c r="BC21" s="164">
        <v>51509</v>
      </c>
      <c r="BD21" s="164">
        <v>13870</v>
      </c>
      <c r="BE21" s="164">
        <v>38977</v>
      </c>
      <c r="BF21" s="164">
        <v>29019</v>
      </c>
      <c r="BG21" s="164">
        <v>51835</v>
      </c>
      <c r="BH21" s="164">
        <v>41219</v>
      </c>
      <c r="BI21" s="164">
        <v>243108</v>
      </c>
      <c r="BJ21" s="164">
        <v>64612</v>
      </c>
      <c r="BK21" s="164">
        <v>72699</v>
      </c>
      <c r="BL21" s="164">
        <v>52987</v>
      </c>
      <c r="BM21" s="164">
        <v>274031</v>
      </c>
      <c r="BN21" s="164">
        <v>136893</v>
      </c>
      <c r="BO21" s="164">
        <v>81897</v>
      </c>
      <c r="BP21" s="164">
        <v>30529</v>
      </c>
      <c r="BQ21" s="164">
        <v>37084</v>
      </c>
      <c r="BR21" s="164">
        <v>20542</v>
      </c>
    </row>
    <row r="22" spans="2:71" ht="11.25" customHeight="1" x14ac:dyDescent="0.2">
      <c r="B22" s="17"/>
      <c r="C22" s="17"/>
      <c r="D22" s="17"/>
      <c r="E22" s="17"/>
      <c r="F22" s="17" t="s">
        <v>88</v>
      </c>
      <c r="G22" s="17"/>
      <c r="H22" s="21"/>
      <c r="I22" s="164">
        <v>9839</v>
      </c>
      <c r="J22" s="164">
        <v>3653</v>
      </c>
      <c r="K22" s="164">
        <v>15222</v>
      </c>
      <c r="L22" s="164">
        <v>12946</v>
      </c>
      <c r="M22" s="164">
        <v>12669</v>
      </c>
      <c r="N22" s="164">
        <v>5782</v>
      </c>
      <c r="O22" s="164">
        <v>16413</v>
      </c>
      <c r="P22" s="164">
        <v>31323</v>
      </c>
      <c r="Q22" s="164">
        <v>20395</v>
      </c>
      <c r="R22" s="164">
        <v>49</v>
      </c>
      <c r="S22" s="164">
        <v>38194</v>
      </c>
      <c r="T22" s="164">
        <v>39089</v>
      </c>
      <c r="U22" s="164">
        <v>37203</v>
      </c>
      <c r="V22" s="164">
        <v>13176</v>
      </c>
      <c r="W22" s="164">
        <v>75466</v>
      </c>
      <c r="X22" s="164">
        <v>42834</v>
      </c>
      <c r="Y22" s="164">
        <v>24686</v>
      </c>
      <c r="Z22" s="164">
        <v>39511</v>
      </c>
      <c r="AA22" s="164">
        <v>71736</v>
      </c>
      <c r="AB22" s="164">
        <v>50695</v>
      </c>
      <c r="AC22" s="164">
        <v>36373</v>
      </c>
      <c r="AD22" s="164">
        <v>18655</v>
      </c>
      <c r="AE22" s="164">
        <v>76085</v>
      </c>
      <c r="AF22" s="164">
        <v>98083</v>
      </c>
      <c r="AG22" s="164">
        <v>50200</v>
      </c>
      <c r="AH22" s="164">
        <v>23600</v>
      </c>
      <c r="AI22" s="164">
        <v>98818</v>
      </c>
      <c r="AJ22" s="164">
        <v>135461</v>
      </c>
      <c r="AK22" s="164">
        <v>48219</v>
      </c>
      <c r="AL22" s="164">
        <v>21742</v>
      </c>
      <c r="AM22" s="164">
        <v>82778</v>
      </c>
      <c r="AN22" s="164">
        <v>33503</v>
      </c>
      <c r="AO22" s="164">
        <v>37570</v>
      </c>
      <c r="AP22" s="164">
        <v>18900</v>
      </c>
      <c r="AQ22" s="164">
        <v>53476</v>
      </c>
      <c r="AR22" s="164">
        <v>145312</v>
      </c>
      <c r="AS22" s="164">
        <v>97678</v>
      </c>
      <c r="AT22" s="164">
        <v>20237</v>
      </c>
      <c r="AU22" s="164">
        <v>85675</v>
      </c>
      <c r="AV22" s="164">
        <v>117506</v>
      </c>
      <c r="AW22" s="164">
        <v>30718</v>
      </c>
      <c r="AX22" s="164">
        <v>15055</v>
      </c>
      <c r="AY22" s="164">
        <v>110333</v>
      </c>
      <c r="AZ22" s="164">
        <v>166942</v>
      </c>
      <c r="BA22" s="164">
        <v>48008</v>
      </c>
      <c r="BB22" s="164">
        <v>9374</v>
      </c>
      <c r="BC22" s="164">
        <v>57661</v>
      </c>
      <c r="BD22" s="164">
        <v>193413</v>
      </c>
      <c r="BE22" s="164">
        <v>58401</v>
      </c>
      <c r="BF22" s="164">
        <v>64663</v>
      </c>
      <c r="BG22" s="164">
        <v>33583</v>
      </c>
      <c r="BH22" s="164">
        <v>106195</v>
      </c>
      <c r="BI22" s="164">
        <v>123205</v>
      </c>
      <c r="BJ22" s="164">
        <v>40884</v>
      </c>
      <c r="BK22" s="164">
        <v>141228</v>
      </c>
      <c r="BL22" s="164">
        <v>121304</v>
      </c>
      <c r="BM22" s="164">
        <v>37724</v>
      </c>
      <c r="BN22" s="164">
        <v>61828</v>
      </c>
      <c r="BO22" s="164">
        <v>60591</v>
      </c>
      <c r="BP22" s="164">
        <f>3992+109173</f>
        <v>113165</v>
      </c>
      <c r="BQ22" s="164">
        <f>96037+112453</f>
        <v>208490</v>
      </c>
      <c r="BR22" s="164">
        <f>27780+113905</f>
        <v>141685</v>
      </c>
    </row>
    <row r="23" spans="2:71" ht="11.25" customHeight="1" x14ac:dyDescent="0.2">
      <c r="B23" s="23"/>
      <c r="C23" s="23"/>
      <c r="D23" s="23"/>
      <c r="E23" s="24" t="s">
        <v>89</v>
      </c>
      <c r="F23" s="23"/>
      <c r="G23" s="23"/>
      <c r="H23" s="25"/>
      <c r="I23" s="165">
        <f t="shared" ref="I23:W23" si="51">SUM(I24:I27,I29)</f>
        <v>7144</v>
      </c>
      <c r="J23" s="165">
        <f t="shared" si="51"/>
        <v>21705</v>
      </c>
      <c r="K23" s="165">
        <f t="shared" si="51"/>
        <v>32596</v>
      </c>
      <c r="L23" s="165">
        <f t="shared" si="51"/>
        <v>37451</v>
      </c>
      <c r="M23" s="165">
        <f t="shared" si="51"/>
        <v>38711</v>
      </c>
      <c r="N23" s="165">
        <f t="shared" si="51"/>
        <v>46583</v>
      </c>
      <c r="O23" s="165">
        <f t="shared" si="51"/>
        <v>74773</v>
      </c>
      <c r="P23" s="165">
        <f t="shared" si="51"/>
        <v>92795</v>
      </c>
      <c r="Q23" s="165">
        <f t="shared" si="51"/>
        <v>96559</v>
      </c>
      <c r="R23" s="165">
        <f t="shared" si="51"/>
        <v>95980</v>
      </c>
      <c r="S23" s="165">
        <f t="shared" si="51"/>
        <v>57581</v>
      </c>
      <c r="T23" s="165">
        <f t="shared" si="51"/>
        <v>50517</v>
      </c>
      <c r="U23" s="165">
        <f t="shared" si="51"/>
        <v>55182</v>
      </c>
      <c r="V23" s="165">
        <f t="shared" si="51"/>
        <v>65752</v>
      </c>
      <c r="W23" s="165">
        <f t="shared" si="51"/>
        <v>61445</v>
      </c>
      <c r="X23" s="165">
        <f t="shared" ref="X23:AC23" si="52">SUM(X24:X27,X29)</f>
        <v>46608</v>
      </c>
      <c r="Y23" s="165">
        <f t="shared" si="52"/>
        <v>48772</v>
      </c>
      <c r="Z23" s="165">
        <f t="shared" si="52"/>
        <v>46757</v>
      </c>
      <c r="AA23" s="165">
        <f t="shared" si="52"/>
        <v>71568</v>
      </c>
      <c r="AB23" s="165">
        <f t="shared" si="52"/>
        <v>22896</v>
      </c>
      <c r="AC23" s="165">
        <f t="shared" si="52"/>
        <v>41165</v>
      </c>
      <c r="AD23" s="165">
        <f t="shared" ref="AD23:AJ23" si="53">SUM(AD24:AD27,AD29)</f>
        <v>59365</v>
      </c>
      <c r="AE23" s="165">
        <f t="shared" si="53"/>
        <v>36523</v>
      </c>
      <c r="AF23" s="165">
        <f t="shared" si="53"/>
        <v>23066</v>
      </c>
      <c r="AG23" s="165">
        <f>SUM(AG24:AG27,AG29)</f>
        <v>28360</v>
      </c>
      <c r="AH23" s="165">
        <f>SUM(AH24:AH27,AH29)</f>
        <v>17095</v>
      </c>
      <c r="AI23" s="165">
        <f t="shared" si="53"/>
        <v>56637</v>
      </c>
      <c r="AJ23" s="165">
        <f t="shared" si="53"/>
        <v>51333</v>
      </c>
      <c r="AK23" s="165">
        <f>SUM(AK24:AK27,AK29)</f>
        <v>97402</v>
      </c>
      <c r="AL23" s="165">
        <f t="shared" ref="AL23:BC23" si="54">SUM(AL24:AL27,AL29)</f>
        <v>139098</v>
      </c>
      <c r="AM23" s="165">
        <f t="shared" si="54"/>
        <v>147931</v>
      </c>
      <c r="AN23" s="165">
        <f t="shared" si="54"/>
        <v>112146</v>
      </c>
      <c r="AO23" s="165">
        <f t="shared" si="54"/>
        <v>100550</v>
      </c>
      <c r="AP23" s="165">
        <f t="shared" si="54"/>
        <v>88939</v>
      </c>
      <c r="AQ23" s="165">
        <f t="shared" si="54"/>
        <v>123928</v>
      </c>
      <c r="AR23" s="165">
        <f t="shared" si="54"/>
        <v>183730</v>
      </c>
      <c r="AS23" s="165">
        <f t="shared" si="54"/>
        <v>180229</v>
      </c>
      <c r="AT23" s="165">
        <f t="shared" si="54"/>
        <v>177166</v>
      </c>
      <c r="AU23" s="165">
        <f t="shared" si="54"/>
        <v>184098</v>
      </c>
      <c r="AV23" s="165">
        <f t="shared" si="54"/>
        <v>140380</v>
      </c>
      <c r="AW23" s="165">
        <f t="shared" si="54"/>
        <v>124772</v>
      </c>
      <c r="AX23" s="165">
        <f t="shared" si="54"/>
        <v>132268</v>
      </c>
      <c r="AY23" s="165">
        <f t="shared" si="54"/>
        <v>146209</v>
      </c>
      <c r="AZ23" s="165">
        <f t="shared" si="54"/>
        <v>119531</v>
      </c>
      <c r="BA23" s="165">
        <f t="shared" si="54"/>
        <v>256600</v>
      </c>
      <c r="BB23" s="165">
        <f t="shared" si="54"/>
        <v>176521</v>
      </c>
      <c r="BC23" s="165">
        <f t="shared" si="54"/>
        <v>174096</v>
      </c>
      <c r="BD23" s="165">
        <f>SUM(BD24:BD27,BD29)</f>
        <v>139599</v>
      </c>
      <c r="BE23" s="165">
        <f>SUM(BE24:BE27,BE29)</f>
        <v>103634</v>
      </c>
      <c r="BF23" s="165">
        <f>SUM(BF24:BF27,BF29)</f>
        <v>189318</v>
      </c>
      <c r="BG23" s="165">
        <f>SUM(BG24:BG27,BG29)</f>
        <v>220510</v>
      </c>
      <c r="BH23" s="165">
        <f>SUM(BH24:BH27,BH29)</f>
        <v>183094</v>
      </c>
      <c r="BI23" s="165">
        <f t="shared" ref="BI23:BJ23" si="55">SUM(BI24:BI27,BI29)</f>
        <v>621728</v>
      </c>
      <c r="BJ23" s="165">
        <f t="shared" si="55"/>
        <v>380568</v>
      </c>
      <c r="BK23" s="165">
        <f t="shared" ref="BK23:BM23" si="56">SUM(BK24:BK27,BK29)</f>
        <v>356433</v>
      </c>
      <c r="BL23" s="165">
        <f t="shared" si="56"/>
        <v>328516</v>
      </c>
      <c r="BM23" s="165">
        <f t="shared" si="56"/>
        <v>408479</v>
      </c>
      <c r="BN23" s="165">
        <f t="shared" ref="BN23" si="57">SUM(BN24:BN27,BN29)</f>
        <v>466158</v>
      </c>
      <c r="BO23" s="165">
        <f>SUM(BO24:BO27,BO29)</f>
        <v>316037</v>
      </c>
      <c r="BP23" s="165">
        <f>SUM(BP24:BP28,BP29)</f>
        <v>323217</v>
      </c>
      <c r="BQ23" s="165">
        <f>SUM(BQ24:BQ28,BQ29)</f>
        <v>157555</v>
      </c>
      <c r="BR23" s="165">
        <f>SUM(BR24:BR28,BR29)</f>
        <v>300950</v>
      </c>
    </row>
    <row r="24" spans="2:71" ht="11.25" customHeight="1" x14ac:dyDescent="0.2">
      <c r="B24" s="17"/>
      <c r="C24" s="17"/>
      <c r="D24" s="17"/>
      <c r="E24" s="18"/>
      <c r="F24" s="17" t="s">
        <v>90</v>
      </c>
      <c r="G24" s="17"/>
      <c r="H24" s="21"/>
      <c r="I24" s="164">
        <v>698</v>
      </c>
      <c r="J24" s="164">
        <v>14478</v>
      </c>
      <c r="K24" s="164">
        <v>14438</v>
      </c>
      <c r="L24" s="164">
        <v>16164</v>
      </c>
      <c r="M24" s="164">
        <v>16729</v>
      </c>
      <c r="N24" s="164">
        <v>17895</v>
      </c>
      <c r="O24" s="164">
        <v>20451</v>
      </c>
      <c r="P24" s="164">
        <v>16511</v>
      </c>
      <c r="Q24" s="164">
        <v>18090</v>
      </c>
      <c r="R24" s="164">
        <v>14838</v>
      </c>
      <c r="S24" s="164">
        <v>16334</v>
      </c>
      <c r="T24" s="164">
        <v>17774</v>
      </c>
      <c r="U24" s="164">
        <v>20697</v>
      </c>
      <c r="V24" s="164">
        <v>26387</v>
      </c>
      <c r="W24" s="164">
        <v>26573</v>
      </c>
      <c r="X24" s="164">
        <v>25265</v>
      </c>
      <c r="Y24" s="164">
        <v>25946</v>
      </c>
      <c r="Z24" s="164">
        <v>26359</v>
      </c>
      <c r="AA24" s="164">
        <v>46539</v>
      </c>
      <c r="AB24" s="164">
        <v>2550</v>
      </c>
      <c r="AC24" s="164">
        <v>2381</v>
      </c>
      <c r="AD24" s="164">
        <v>5349</v>
      </c>
      <c r="AE24" s="164">
        <v>5222</v>
      </c>
      <c r="AF24" s="164">
        <v>5200</v>
      </c>
      <c r="AG24" s="164">
        <v>2686</v>
      </c>
      <c r="AH24" s="164">
        <v>3038</v>
      </c>
      <c r="AI24" s="164">
        <v>2105</v>
      </c>
      <c r="AJ24" s="164">
        <v>4438</v>
      </c>
      <c r="AK24" s="164">
        <v>3087</v>
      </c>
      <c r="AL24" s="164">
        <v>1785</v>
      </c>
      <c r="AM24" s="164">
        <v>2141</v>
      </c>
      <c r="AN24" s="164">
        <v>1728</v>
      </c>
      <c r="AO24" s="164">
        <v>2566</v>
      </c>
      <c r="AP24" s="164">
        <v>1585</v>
      </c>
      <c r="AQ24" s="164">
        <v>1825</v>
      </c>
      <c r="AR24" s="164">
        <v>9017</v>
      </c>
      <c r="AS24" s="164">
        <v>6726</v>
      </c>
      <c r="AT24" s="164">
        <v>13440</v>
      </c>
      <c r="AU24" s="164">
        <v>3596</v>
      </c>
      <c r="AV24" s="164">
        <v>8520</v>
      </c>
      <c r="AW24" s="164">
        <v>5301</v>
      </c>
      <c r="AX24" s="164">
        <v>4369</v>
      </c>
      <c r="AY24" s="164">
        <v>2814</v>
      </c>
      <c r="AZ24" s="164">
        <v>2443</v>
      </c>
      <c r="BA24" s="164">
        <v>3482</v>
      </c>
      <c r="BB24" s="164">
        <v>3643</v>
      </c>
      <c r="BC24" s="164">
        <v>3599</v>
      </c>
      <c r="BD24" s="164">
        <v>3580</v>
      </c>
      <c r="BE24" s="164">
        <v>13831</v>
      </c>
      <c r="BF24" s="164">
        <v>2547</v>
      </c>
      <c r="BG24" s="164">
        <v>20566</v>
      </c>
      <c r="BH24" s="164">
        <v>29502</v>
      </c>
      <c r="BI24" s="164">
        <v>48546</v>
      </c>
      <c r="BJ24" s="164">
        <v>23431</v>
      </c>
      <c r="BK24" s="164">
        <v>19771</v>
      </c>
      <c r="BL24" s="164">
        <v>14924</v>
      </c>
      <c r="BM24" s="164">
        <v>26169</v>
      </c>
      <c r="BN24" s="164">
        <v>11876</v>
      </c>
      <c r="BO24" s="164">
        <v>10580</v>
      </c>
      <c r="BP24" s="164">
        <v>9098</v>
      </c>
      <c r="BQ24" s="164">
        <v>20950</v>
      </c>
      <c r="BR24" s="164">
        <v>31944</v>
      </c>
    </row>
    <row r="25" spans="2:71" ht="11.25" customHeight="1" x14ac:dyDescent="0.2">
      <c r="B25" s="17"/>
      <c r="C25" s="17"/>
      <c r="D25" s="17"/>
      <c r="E25" s="18"/>
      <c r="F25" s="17" t="s">
        <v>91</v>
      </c>
      <c r="G25" s="17"/>
      <c r="H25" s="21"/>
      <c r="I25" s="164">
        <v>1536</v>
      </c>
      <c r="J25" s="164">
        <v>1487</v>
      </c>
      <c r="K25" s="164">
        <v>12704</v>
      </c>
      <c r="L25" s="164">
        <v>16570</v>
      </c>
      <c r="M25" s="164">
        <v>18152</v>
      </c>
      <c r="N25" s="164">
        <v>22727</v>
      </c>
      <c r="O25" s="164">
        <v>36695</v>
      </c>
      <c r="P25" s="164">
        <v>50012</v>
      </c>
      <c r="Q25" s="164">
        <v>55666</v>
      </c>
      <c r="R25" s="164">
        <v>65647</v>
      </c>
      <c r="S25" s="164">
        <v>22586</v>
      </c>
      <c r="T25" s="164">
        <v>15283</v>
      </c>
      <c r="U25" s="164">
        <v>15277</v>
      </c>
      <c r="V25" s="164">
        <v>12158</v>
      </c>
      <c r="W25" s="164">
        <v>14593</v>
      </c>
      <c r="X25" s="164">
        <v>6912</v>
      </c>
      <c r="Y25" s="164">
        <v>8111</v>
      </c>
      <c r="Z25" s="164">
        <v>6096</v>
      </c>
      <c r="AA25" s="164">
        <v>8129</v>
      </c>
      <c r="AB25" s="164">
        <v>5278</v>
      </c>
      <c r="AC25" s="164">
        <v>24846</v>
      </c>
      <c r="AD25" s="164">
        <v>39691</v>
      </c>
      <c r="AE25" s="164">
        <v>19435</v>
      </c>
      <c r="AF25" s="164">
        <v>8936</v>
      </c>
      <c r="AG25" s="164">
        <v>17659</v>
      </c>
      <c r="AH25" s="164">
        <v>7195</v>
      </c>
      <c r="AI25" s="164">
        <v>44117</v>
      </c>
      <c r="AJ25" s="164">
        <v>26639</v>
      </c>
      <c r="AK25" s="164">
        <v>74393</v>
      </c>
      <c r="AL25" s="164">
        <v>110420</v>
      </c>
      <c r="AM25" s="164">
        <v>115505</v>
      </c>
      <c r="AN25" s="164">
        <v>99963</v>
      </c>
      <c r="AO25" s="164">
        <v>86735</v>
      </c>
      <c r="AP25" s="164">
        <v>79745</v>
      </c>
      <c r="AQ25" s="164">
        <v>115113</v>
      </c>
      <c r="AR25" s="164">
        <v>47140</v>
      </c>
      <c r="AS25" s="164">
        <v>38888</v>
      </c>
      <c r="AT25" s="164">
        <v>33349</v>
      </c>
      <c r="AU25" s="164">
        <v>46392</v>
      </c>
      <c r="AV25" s="164">
        <v>60222</v>
      </c>
      <c r="AW25" s="164">
        <v>44459</v>
      </c>
      <c r="AX25" s="164">
        <v>90760</v>
      </c>
      <c r="AY25" s="164">
        <v>101394</v>
      </c>
      <c r="AZ25" s="164">
        <v>34008</v>
      </c>
      <c r="BA25" s="164">
        <v>174495</v>
      </c>
      <c r="BB25" s="164">
        <v>95484</v>
      </c>
      <c r="BC25" s="164">
        <v>86161</v>
      </c>
      <c r="BD25" s="164">
        <v>98587</v>
      </c>
      <c r="BE25" s="164">
        <v>48867</v>
      </c>
      <c r="BF25" s="164">
        <v>147234</v>
      </c>
      <c r="BG25" s="164">
        <v>136057</v>
      </c>
      <c r="BH25" s="164">
        <v>107676</v>
      </c>
      <c r="BI25" s="164">
        <v>516362</v>
      </c>
      <c r="BJ25" s="164">
        <v>286635</v>
      </c>
      <c r="BK25" s="164">
        <v>270350</v>
      </c>
      <c r="BL25" s="164">
        <v>272728</v>
      </c>
      <c r="BM25" s="164">
        <v>330625</v>
      </c>
      <c r="BN25" s="164">
        <v>419646</v>
      </c>
      <c r="BO25" s="164">
        <v>263083</v>
      </c>
      <c r="BP25" s="164">
        <v>265314</v>
      </c>
      <c r="BQ25" s="164">
        <v>90597</v>
      </c>
      <c r="BR25" s="164">
        <v>235015</v>
      </c>
    </row>
    <row r="26" spans="2:71" ht="11.25" customHeight="1" x14ac:dyDescent="0.2">
      <c r="B26" s="17"/>
      <c r="C26" s="17"/>
      <c r="D26" s="17"/>
      <c r="E26" s="18"/>
      <c r="F26" s="17" t="s">
        <v>92</v>
      </c>
      <c r="G26" s="17"/>
      <c r="H26" s="21"/>
      <c r="I26" s="164">
        <v>3653</v>
      </c>
      <c r="J26" s="164">
        <v>4308</v>
      </c>
      <c r="K26" s="164">
        <v>3877</v>
      </c>
      <c r="L26" s="164">
        <v>3829</v>
      </c>
      <c r="M26" s="164">
        <v>2631</v>
      </c>
      <c r="N26" s="164">
        <v>2880</v>
      </c>
      <c r="O26" s="164">
        <v>10643</v>
      </c>
      <c r="P26" s="164">
        <v>12043</v>
      </c>
      <c r="Q26" s="164">
        <v>10460</v>
      </c>
      <c r="R26" s="164">
        <v>9398</v>
      </c>
      <c r="S26" s="164">
        <v>13639</v>
      </c>
      <c r="T26" s="164">
        <v>13180</v>
      </c>
      <c r="U26" s="164">
        <v>14776</v>
      </c>
      <c r="V26" s="164">
        <v>20204</v>
      </c>
      <c r="W26" s="164">
        <v>13007</v>
      </c>
      <c r="X26" s="164">
        <v>9756</v>
      </c>
      <c r="Y26" s="164">
        <v>9410</v>
      </c>
      <c r="Z26" s="164">
        <v>9114</v>
      </c>
      <c r="AA26" s="164">
        <v>10842</v>
      </c>
      <c r="AB26" s="164">
        <v>10314</v>
      </c>
      <c r="AC26" s="164">
        <v>9862</v>
      </c>
      <c r="AD26" s="164">
        <v>10013</v>
      </c>
      <c r="AE26" s="164">
        <v>5549</v>
      </c>
      <c r="AF26" s="164">
        <v>5474</v>
      </c>
      <c r="AG26" s="164">
        <v>6102</v>
      </c>
      <c r="AH26" s="164">
        <v>5851</v>
      </c>
      <c r="AI26" s="164">
        <v>4042</v>
      </c>
      <c r="AJ26" s="164">
        <v>4444</v>
      </c>
      <c r="AK26" s="164">
        <v>3774</v>
      </c>
      <c r="AL26" s="164">
        <v>8941</v>
      </c>
      <c r="AM26" s="164">
        <v>8223</v>
      </c>
      <c r="AN26" s="164">
        <v>7948</v>
      </c>
      <c r="AO26" s="164">
        <v>7553</v>
      </c>
      <c r="AP26" s="164">
        <v>3015</v>
      </c>
      <c r="AQ26" s="164">
        <v>0</v>
      </c>
      <c r="AR26" s="164">
        <v>123657</v>
      </c>
      <c r="AS26" s="164">
        <v>124530</v>
      </c>
      <c r="AT26" s="164">
        <v>126537</v>
      </c>
      <c r="AU26" s="164">
        <v>128524</v>
      </c>
      <c r="AV26" s="164">
        <v>66342</v>
      </c>
      <c r="AW26" s="164">
        <v>67336</v>
      </c>
      <c r="AX26" s="164">
        <v>28418</v>
      </c>
      <c r="AY26" s="164">
        <v>28853</v>
      </c>
      <c r="AZ26" s="164">
        <v>71657</v>
      </c>
      <c r="BA26" s="164">
        <v>72170</v>
      </c>
      <c r="BB26" s="164">
        <v>73392</v>
      </c>
      <c r="BC26" s="164">
        <v>73759</v>
      </c>
      <c r="BD26" s="164">
        <v>31207</v>
      </c>
      <c r="BE26" s="164">
        <v>31350</v>
      </c>
      <c r="BF26" s="164">
        <v>31619</v>
      </c>
      <c r="BG26" s="164">
        <v>48544</v>
      </c>
      <c r="BH26" s="164">
        <v>21919</v>
      </c>
      <c r="BI26" s="164">
        <v>21181</v>
      </c>
      <c r="BJ26" s="164">
        <v>22167</v>
      </c>
      <c r="BK26" s="164">
        <v>25725</v>
      </c>
      <c r="BL26" s="164">
        <v>25852</v>
      </c>
      <c r="BM26" s="164">
        <v>29790</v>
      </c>
      <c r="BN26" s="164">
        <v>26533</v>
      </c>
      <c r="BO26" s="164">
        <v>27182</v>
      </c>
      <c r="BP26" s="164">
        <v>27590</v>
      </c>
      <c r="BQ26" s="164">
        <v>24580</v>
      </c>
      <c r="BR26" s="164">
        <v>25447</v>
      </c>
    </row>
    <row r="27" spans="2:71" ht="11.25" customHeight="1" x14ac:dyDescent="0.2">
      <c r="B27" s="17"/>
      <c r="C27" s="17"/>
      <c r="D27" s="17"/>
      <c r="E27" s="18"/>
      <c r="F27" s="17" t="s">
        <v>93</v>
      </c>
      <c r="G27" s="17"/>
      <c r="H27" s="21"/>
      <c r="I27" s="164">
        <v>1257</v>
      </c>
      <c r="J27" s="164">
        <v>1432</v>
      </c>
      <c r="K27" s="164">
        <v>1577</v>
      </c>
      <c r="L27" s="164">
        <v>888</v>
      </c>
      <c r="M27" s="164">
        <v>1199</v>
      </c>
      <c r="N27" s="164">
        <v>3081</v>
      </c>
      <c r="O27" s="164">
        <v>6984</v>
      </c>
      <c r="P27" s="164">
        <v>1426</v>
      </c>
      <c r="Q27" s="164">
        <v>1173</v>
      </c>
      <c r="R27" s="164">
        <v>6097</v>
      </c>
      <c r="S27" s="164">
        <v>5022</v>
      </c>
      <c r="T27" s="164">
        <v>4280</v>
      </c>
      <c r="U27" s="164">
        <v>4432</v>
      </c>
      <c r="V27" s="164">
        <v>6131</v>
      </c>
      <c r="W27" s="164">
        <v>7270</v>
      </c>
      <c r="X27" s="164">
        <v>4675</v>
      </c>
      <c r="Y27" s="164">
        <v>5305</v>
      </c>
      <c r="Z27" s="164">
        <v>5188</v>
      </c>
      <c r="AA27" s="164">
        <v>6058</v>
      </c>
      <c r="AB27" s="164">
        <v>4754</v>
      </c>
      <c r="AC27" s="164">
        <v>4076</v>
      </c>
      <c r="AD27" s="164">
        <v>4048</v>
      </c>
      <c r="AE27" s="164">
        <v>6165</v>
      </c>
      <c r="AF27" s="164">
        <v>3357</v>
      </c>
      <c r="AG27" s="164">
        <v>1597</v>
      </c>
      <c r="AH27" s="164">
        <v>931</v>
      </c>
      <c r="AI27" s="164">
        <v>6373</v>
      </c>
      <c r="AJ27" s="164">
        <v>15711</v>
      </c>
      <c r="AK27" s="164">
        <v>16148</v>
      </c>
      <c r="AL27" s="164">
        <v>17952</v>
      </c>
      <c r="AM27" s="164">
        <v>22062</v>
      </c>
      <c r="AN27" s="164">
        <v>2507</v>
      </c>
      <c r="AO27" s="164">
        <v>3696</v>
      </c>
      <c r="AP27" s="164">
        <v>4594</v>
      </c>
      <c r="AQ27" s="164">
        <v>6990</v>
      </c>
      <c r="AR27" s="164">
        <v>3916</v>
      </c>
      <c r="AS27" s="164">
        <v>10085</v>
      </c>
      <c r="AT27" s="164">
        <v>3833</v>
      </c>
      <c r="AU27" s="164">
        <v>5579</v>
      </c>
      <c r="AV27" s="164">
        <v>5290</v>
      </c>
      <c r="AW27" s="164">
        <v>7667</v>
      </c>
      <c r="AX27" s="164">
        <v>8721</v>
      </c>
      <c r="AY27" s="164">
        <v>13148</v>
      </c>
      <c r="AZ27" s="164">
        <v>11412</v>
      </c>
      <c r="BA27" s="164">
        <v>6453</v>
      </c>
      <c r="BB27" s="164">
        <v>4002</v>
      </c>
      <c r="BC27" s="164">
        <v>10577</v>
      </c>
      <c r="BD27" s="164">
        <v>6217</v>
      </c>
      <c r="BE27" s="164">
        <v>9570</v>
      </c>
      <c r="BF27" s="164">
        <v>7891</v>
      </c>
      <c r="BG27" s="164">
        <v>15323</v>
      </c>
      <c r="BH27" s="164">
        <v>23977</v>
      </c>
      <c r="BI27" s="164">
        <v>35619</v>
      </c>
      <c r="BJ27" s="164">
        <v>48335</v>
      </c>
      <c r="BK27" s="164">
        <v>40587</v>
      </c>
      <c r="BL27" s="164">
        <v>15012</v>
      </c>
      <c r="BM27" s="164">
        <v>21895</v>
      </c>
      <c r="BN27" s="164">
        <v>8103</v>
      </c>
      <c r="BO27" s="164">
        <v>15192</v>
      </c>
      <c r="BP27" s="164">
        <v>19980</v>
      </c>
      <c r="BQ27" s="164">
        <v>21428</v>
      </c>
      <c r="BR27" s="164">
        <v>8544</v>
      </c>
    </row>
    <row r="28" spans="2:71" ht="11.25" customHeight="1" x14ac:dyDescent="0.2">
      <c r="B28" s="17"/>
      <c r="C28" s="17"/>
      <c r="D28" s="17"/>
      <c r="E28" s="18"/>
      <c r="F28" s="17" t="s">
        <v>405</v>
      </c>
      <c r="G28" s="17"/>
      <c r="H28" s="21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>
        <v>1235</v>
      </c>
      <c r="BQ28" s="164">
        <v>0</v>
      </c>
      <c r="BR28" s="164">
        <v>0</v>
      </c>
    </row>
    <row r="29" spans="2:71" ht="11.25" customHeight="1" x14ac:dyDescent="0.2">
      <c r="B29" s="17"/>
      <c r="C29" s="17"/>
      <c r="D29" s="17"/>
      <c r="E29" s="18"/>
      <c r="F29" s="17" t="s">
        <v>94</v>
      </c>
      <c r="G29" s="17"/>
      <c r="H29" s="21"/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  <c r="O29" s="164">
        <v>0</v>
      </c>
      <c r="P29" s="164">
        <v>12803</v>
      </c>
      <c r="Q29" s="164">
        <v>11170</v>
      </c>
      <c r="R29" s="164">
        <v>0</v>
      </c>
      <c r="S29" s="164">
        <v>0</v>
      </c>
      <c r="T29" s="164">
        <v>0</v>
      </c>
      <c r="U29" s="164">
        <v>0</v>
      </c>
      <c r="V29" s="164">
        <v>872</v>
      </c>
      <c r="W29" s="164">
        <v>2</v>
      </c>
      <c r="X29" s="164">
        <v>0</v>
      </c>
      <c r="Y29" s="164">
        <v>0</v>
      </c>
      <c r="Z29" s="164">
        <v>0</v>
      </c>
      <c r="AA29" s="164">
        <v>0</v>
      </c>
      <c r="AB29" s="164">
        <v>0</v>
      </c>
      <c r="AC29" s="164">
        <v>0</v>
      </c>
      <c r="AD29" s="164">
        <v>264</v>
      </c>
      <c r="AE29" s="164">
        <v>152</v>
      </c>
      <c r="AF29" s="164">
        <v>99</v>
      </c>
      <c r="AG29" s="164">
        <v>316</v>
      </c>
      <c r="AH29" s="164">
        <v>80</v>
      </c>
      <c r="AI29" s="164">
        <v>0</v>
      </c>
      <c r="AJ29" s="164">
        <v>101</v>
      </c>
      <c r="AK29" s="164">
        <v>0</v>
      </c>
      <c r="AL29" s="164">
        <v>0</v>
      </c>
      <c r="AM29" s="164">
        <v>0</v>
      </c>
      <c r="AN29" s="164">
        <v>0</v>
      </c>
      <c r="AO29" s="164">
        <v>0</v>
      </c>
      <c r="AP29" s="164">
        <v>0</v>
      </c>
      <c r="AQ29" s="164">
        <v>0</v>
      </c>
      <c r="AR29" s="164">
        <v>0</v>
      </c>
      <c r="AS29" s="164">
        <v>0</v>
      </c>
      <c r="AT29" s="164">
        <v>7</v>
      </c>
      <c r="AU29" s="164">
        <v>7</v>
      </c>
      <c r="AV29" s="164">
        <v>6</v>
      </c>
      <c r="AW29" s="164">
        <v>9</v>
      </c>
      <c r="AX29" s="164">
        <v>0</v>
      </c>
      <c r="AY29" s="164">
        <v>0</v>
      </c>
      <c r="AZ29" s="164">
        <v>11</v>
      </c>
      <c r="BA29" s="164">
        <v>0</v>
      </c>
      <c r="BB29" s="164">
        <v>0</v>
      </c>
      <c r="BC29" s="164">
        <v>0</v>
      </c>
      <c r="BD29" s="164">
        <v>8</v>
      </c>
      <c r="BE29" s="164">
        <v>16</v>
      </c>
      <c r="BF29" s="164">
        <v>27</v>
      </c>
      <c r="BG29" s="164">
        <v>20</v>
      </c>
      <c r="BH29" s="164">
        <v>20</v>
      </c>
      <c r="BI29" s="164">
        <v>20</v>
      </c>
      <c r="BJ29" s="164">
        <v>0</v>
      </c>
      <c r="BK29" s="164">
        <v>0</v>
      </c>
      <c r="BL29" s="164">
        <v>0</v>
      </c>
      <c r="BM29" s="164"/>
      <c r="BN29" s="164"/>
      <c r="BO29" s="164"/>
      <c r="BP29" s="164"/>
      <c r="BQ29" s="164"/>
      <c r="BR29" s="164"/>
    </row>
    <row r="30" spans="2:71" ht="11.25" customHeight="1" x14ac:dyDescent="0.25">
      <c r="B30" s="15"/>
      <c r="C30" s="15"/>
      <c r="D30" s="27" t="s">
        <v>95</v>
      </c>
      <c r="E30" s="16"/>
      <c r="F30" s="15"/>
      <c r="G30" s="15"/>
      <c r="H30" s="22"/>
      <c r="I30" s="166">
        <f>I31</f>
        <v>131697</v>
      </c>
      <c r="J30" s="166">
        <f t="shared" ref="J30:BP30" si="58">J31</f>
        <v>132415</v>
      </c>
      <c r="K30" s="166">
        <f t="shared" si="58"/>
        <v>206736</v>
      </c>
      <c r="L30" s="166">
        <f t="shared" si="58"/>
        <v>239671</v>
      </c>
      <c r="M30" s="166">
        <f t="shared" si="58"/>
        <v>122606</v>
      </c>
      <c r="N30" s="166">
        <f t="shared" si="58"/>
        <v>243395</v>
      </c>
      <c r="O30" s="166">
        <f t="shared" si="58"/>
        <v>352157</v>
      </c>
      <c r="P30" s="166">
        <f t="shared" si="58"/>
        <v>239222</v>
      </c>
      <c r="Q30" s="166">
        <f t="shared" si="58"/>
        <v>135649</v>
      </c>
      <c r="R30" s="166">
        <f t="shared" si="58"/>
        <v>247081</v>
      </c>
      <c r="S30" s="166">
        <f t="shared" si="58"/>
        <v>393397</v>
      </c>
      <c r="T30" s="166">
        <f t="shared" si="58"/>
        <v>410416</v>
      </c>
      <c r="U30" s="166">
        <f t="shared" si="58"/>
        <v>259321</v>
      </c>
      <c r="V30" s="166">
        <f t="shared" si="58"/>
        <v>305073</v>
      </c>
      <c r="W30" s="166">
        <f t="shared" si="58"/>
        <v>441793</v>
      </c>
      <c r="X30" s="166">
        <f t="shared" si="58"/>
        <v>407819</v>
      </c>
      <c r="Y30" s="166">
        <f t="shared" si="58"/>
        <v>288029</v>
      </c>
      <c r="Z30" s="166">
        <f t="shared" si="58"/>
        <v>319916</v>
      </c>
      <c r="AA30" s="166">
        <f t="shared" si="58"/>
        <v>516921</v>
      </c>
      <c r="AB30" s="166">
        <f t="shared" si="58"/>
        <v>514819</v>
      </c>
      <c r="AC30" s="166">
        <f t="shared" si="58"/>
        <v>434979</v>
      </c>
      <c r="AD30" s="166">
        <f t="shared" si="58"/>
        <v>369810</v>
      </c>
      <c r="AE30" s="166">
        <f t="shared" si="58"/>
        <v>834065</v>
      </c>
      <c r="AF30" s="166">
        <f t="shared" si="58"/>
        <v>622101</v>
      </c>
      <c r="AG30" s="166">
        <f t="shared" si="58"/>
        <v>438841</v>
      </c>
      <c r="AH30" s="166">
        <f t="shared" si="58"/>
        <v>411390</v>
      </c>
      <c r="AI30" s="166">
        <f t="shared" si="58"/>
        <v>1003580</v>
      </c>
      <c r="AJ30" s="166">
        <f t="shared" si="58"/>
        <v>728192</v>
      </c>
      <c r="AK30" s="166">
        <f>AK31</f>
        <v>600491</v>
      </c>
      <c r="AL30" s="166">
        <f t="shared" si="58"/>
        <v>438257</v>
      </c>
      <c r="AM30" s="166">
        <f t="shared" si="58"/>
        <v>819322</v>
      </c>
      <c r="AN30" s="166">
        <f t="shared" si="58"/>
        <v>486425</v>
      </c>
      <c r="AO30" s="166">
        <f t="shared" si="58"/>
        <v>497834</v>
      </c>
      <c r="AP30" s="166">
        <f t="shared" si="58"/>
        <v>547436</v>
      </c>
      <c r="AQ30" s="166">
        <f t="shared" si="58"/>
        <v>997892</v>
      </c>
      <c r="AR30" s="166">
        <f t="shared" si="58"/>
        <v>569524</v>
      </c>
      <c r="AS30" s="166">
        <f t="shared" si="58"/>
        <v>641856</v>
      </c>
      <c r="AT30" s="166">
        <f t="shared" si="58"/>
        <v>552266</v>
      </c>
      <c r="AU30" s="166">
        <f t="shared" si="58"/>
        <v>1352832</v>
      </c>
      <c r="AV30" s="166">
        <f t="shared" si="58"/>
        <v>868522</v>
      </c>
      <c r="AW30" s="166">
        <f t="shared" si="58"/>
        <v>742043</v>
      </c>
      <c r="AX30" s="166">
        <f t="shared" si="58"/>
        <v>764275</v>
      </c>
      <c r="AY30" s="166">
        <f t="shared" si="58"/>
        <v>1619988</v>
      </c>
      <c r="AZ30" s="166">
        <f t="shared" si="58"/>
        <v>1071354</v>
      </c>
      <c r="BA30" s="166">
        <f t="shared" si="58"/>
        <v>1052208</v>
      </c>
      <c r="BB30" s="166">
        <f t="shared" si="58"/>
        <v>989883</v>
      </c>
      <c r="BC30" s="166">
        <f t="shared" si="58"/>
        <v>1976064</v>
      </c>
      <c r="BD30" s="166">
        <f t="shared" si="58"/>
        <v>1301082</v>
      </c>
      <c r="BE30" s="166">
        <f t="shared" si="58"/>
        <v>1657049</v>
      </c>
      <c r="BF30" s="166">
        <f t="shared" si="58"/>
        <v>1217472</v>
      </c>
      <c r="BG30" s="166">
        <f t="shared" si="58"/>
        <v>3641559</v>
      </c>
      <c r="BH30" s="166">
        <f>BH31</f>
        <v>2806365</v>
      </c>
      <c r="BI30" s="166">
        <f t="shared" si="58"/>
        <v>3039065</v>
      </c>
      <c r="BJ30" s="166">
        <f t="shared" si="58"/>
        <v>2228518</v>
      </c>
      <c r="BK30" s="166">
        <f t="shared" si="58"/>
        <v>4585085</v>
      </c>
      <c r="BL30" s="166">
        <f t="shared" si="58"/>
        <v>3343980</v>
      </c>
      <c r="BM30" s="166">
        <f t="shared" si="58"/>
        <v>3260289</v>
      </c>
      <c r="BN30" s="166">
        <f t="shared" si="58"/>
        <v>2610390</v>
      </c>
      <c r="BO30" s="166">
        <f t="shared" si="58"/>
        <v>5110295</v>
      </c>
      <c r="BP30" s="166">
        <f t="shared" si="58"/>
        <v>3656261</v>
      </c>
      <c r="BQ30" s="166">
        <f>BQ31</f>
        <v>2876818</v>
      </c>
      <c r="BR30" s="166">
        <f>BR31</f>
        <v>2489623</v>
      </c>
    </row>
    <row r="31" spans="2:71" ht="11.25" customHeight="1" x14ac:dyDescent="0.2">
      <c r="B31" s="17"/>
      <c r="C31" s="17"/>
      <c r="D31" s="18"/>
      <c r="E31" s="19" t="s">
        <v>95</v>
      </c>
      <c r="F31" s="17"/>
      <c r="G31" s="17"/>
      <c r="H31" s="21"/>
      <c r="I31" s="167">
        <f>SUM(I32,I35:I39)</f>
        <v>131697</v>
      </c>
      <c r="J31" s="167">
        <f>SUM(J32,J35:J39)</f>
        <v>132415</v>
      </c>
      <c r="K31" s="167">
        <f>SUM(K32,K35:K39)</f>
        <v>206736</v>
      </c>
      <c r="L31" s="167">
        <f t="shared" ref="L31:W31" si="59">SUM(L32,L35:L39)</f>
        <v>239671</v>
      </c>
      <c r="M31" s="167">
        <f t="shared" si="59"/>
        <v>122606</v>
      </c>
      <c r="N31" s="167">
        <f t="shared" si="59"/>
        <v>243395</v>
      </c>
      <c r="O31" s="167">
        <f t="shared" si="59"/>
        <v>352157</v>
      </c>
      <c r="P31" s="167">
        <f t="shared" si="59"/>
        <v>239222</v>
      </c>
      <c r="Q31" s="167">
        <f t="shared" si="59"/>
        <v>135649</v>
      </c>
      <c r="R31" s="167">
        <f t="shared" si="59"/>
        <v>247081</v>
      </c>
      <c r="S31" s="167">
        <f t="shared" si="59"/>
        <v>393397</v>
      </c>
      <c r="T31" s="167">
        <f t="shared" si="59"/>
        <v>410416</v>
      </c>
      <c r="U31" s="167">
        <f t="shared" si="59"/>
        <v>259321</v>
      </c>
      <c r="V31" s="167">
        <f t="shared" si="59"/>
        <v>305073</v>
      </c>
      <c r="W31" s="167">
        <f t="shared" si="59"/>
        <v>441793</v>
      </c>
      <c r="X31" s="167">
        <f t="shared" ref="X31:AC31" si="60">SUM(X32,X35:X39)</f>
        <v>407819</v>
      </c>
      <c r="Y31" s="167">
        <f t="shared" si="60"/>
        <v>288029</v>
      </c>
      <c r="Z31" s="167">
        <f t="shared" si="60"/>
        <v>319916</v>
      </c>
      <c r="AA31" s="167">
        <f t="shared" si="60"/>
        <v>516921</v>
      </c>
      <c r="AB31" s="167">
        <f t="shared" si="60"/>
        <v>514819</v>
      </c>
      <c r="AC31" s="167">
        <f t="shared" si="60"/>
        <v>434979</v>
      </c>
      <c r="AD31" s="167">
        <f t="shared" ref="AD31:BC31" si="61">SUM(AD32,AD35:AD39)</f>
        <v>369810</v>
      </c>
      <c r="AE31" s="167">
        <f t="shared" si="61"/>
        <v>834065</v>
      </c>
      <c r="AF31" s="167">
        <f t="shared" si="61"/>
        <v>622101</v>
      </c>
      <c r="AG31" s="167">
        <f>SUM(AG32,AG35:AG39)</f>
        <v>438841</v>
      </c>
      <c r="AH31" s="167">
        <f t="shared" si="61"/>
        <v>411390</v>
      </c>
      <c r="AI31" s="167">
        <f t="shared" si="61"/>
        <v>1003580</v>
      </c>
      <c r="AJ31" s="167">
        <f t="shared" si="61"/>
        <v>728192</v>
      </c>
      <c r="AK31" s="167">
        <f>SUM(AK32,AK35:AK39)</f>
        <v>600491</v>
      </c>
      <c r="AL31" s="167">
        <f t="shared" si="61"/>
        <v>438257</v>
      </c>
      <c r="AM31" s="167">
        <f t="shared" si="61"/>
        <v>819322</v>
      </c>
      <c r="AN31" s="167">
        <f t="shared" si="61"/>
        <v>486425</v>
      </c>
      <c r="AO31" s="167">
        <f t="shared" si="61"/>
        <v>497834</v>
      </c>
      <c r="AP31" s="167">
        <f t="shared" si="61"/>
        <v>547436</v>
      </c>
      <c r="AQ31" s="167">
        <f t="shared" si="61"/>
        <v>997892</v>
      </c>
      <c r="AR31" s="167">
        <f t="shared" si="61"/>
        <v>569524</v>
      </c>
      <c r="AS31" s="167">
        <f t="shared" si="61"/>
        <v>641856</v>
      </c>
      <c r="AT31" s="167">
        <f t="shared" si="61"/>
        <v>552266</v>
      </c>
      <c r="AU31" s="167">
        <f t="shared" si="61"/>
        <v>1352832</v>
      </c>
      <c r="AV31" s="167">
        <f t="shared" si="61"/>
        <v>868522</v>
      </c>
      <c r="AW31" s="167">
        <f t="shared" si="61"/>
        <v>742043</v>
      </c>
      <c r="AX31" s="167">
        <f t="shared" si="61"/>
        <v>764275</v>
      </c>
      <c r="AY31" s="167">
        <f t="shared" si="61"/>
        <v>1619988</v>
      </c>
      <c r="AZ31" s="167">
        <f t="shared" si="61"/>
        <v>1071354</v>
      </c>
      <c r="BA31" s="167">
        <f t="shared" si="61"/>
        <v>1052208</v>
      </c>
      <c r="BB31" s="167">
        <f t="shared" si="61"/>
        <v>989883</v>
      </c>
      <c r="BC31" s="167">
        <f t="shared" si="61"/>
        <v>1976064</v>
      </c>
      <c r="BD31" s="167">
        <f>SUM(BD32,BD35:BD39)</f>
        <v>1301082</v>
      </c>
      <c r="BE31" s="167">
        <f>SUM(BE32,BE35:BE39)</f>
        <v>1657049</v>
      </c>
      <c r="BF31" s="167">
        <f>SUM(BF32,BF35:BF39)</f>
        <v>1217472</v>
      </c>
      <c r="BG31" s="167">
        <f>SUM(BG32,BG35:BG39)</f>
        <v>3641559</v>
      </c>
      <c r="BH31" s="167">
        <f t="shared" ref="BH31:BM31" si="62">SUM(BH32,BH35:BH40)</f>
        <v>2806365</v>
      </c>
      <c r="BI31" s="167">
        <f t="shared" si="62"/>
        <v>3039065</v>
      </c>
      <c r="BJ31" s="167">
        <f t="shared" si="62"/>
        <v>2228518</v>
      </c>
      <c r="BK31" s="167">
        <f t="shared" si="62"/>
        <v>4585085</v>
      </c>
      <c r="BL31" s="167">
        <f>SUM(BL32,BL35:BL40)</f>
        <v>3343980</v>
      </c>
      <c r="BM31" s="167">
        <f t="shared" si="62"/>
        <v>3260289</v>
      </c>
      <c r="BN31" s="167">
        <f t="shared" ref="BN31:BO31" si="63">SUM(BN32,BN35:BN40)</f>
        <v>2610390</v>
      </c>
      <c r="BO31" s="167">
        <f t="shared" si="63"/>
        <v>5110295</v>
      </c>
      <c r="BP31" s="167">
        <f t="shared" ref="BP31" si="64">SUM(BP32,BP35:BP40)</f>
        <v>3656261</v>
      </c>
      <c r="BQ31" s="167">
        <f>SUM(BQ32,BQ35:BQ40)</f>
        <v>2876818</v>
      </c>
      <c r="BR31" s="167">
        <f>SUM(BR32,BR35:BR40)</f>
        <v>2489623</v>
      </c>
      <c r="BS31" s="10"/>
    </row>
    <row r="32" spans="2:71" ht="11.25" customHeight="1" x14ac:dyDescent="0.2">
      <c r="B32" s="17"/>
      <c r="C32" s="17"/>
      <c r="D32" s="18"/>
      <c r="E32" s="19"/>
      <c r="F32" s="17"/>
      <c r="G32" s="17" t="s">
        <v>96</v>
      </c>
      <c r="H32" s="21"/>
      <c r="I32" s="164">
        <f>SUM(I33:I34)</f>
        <v>52452</v>
      </c>
      <c r="J32" s="164">
        <f>SUM(J33:J34)</f>
        <v>15445</v>
      </c>
      <c r="K32" s="164">
        <f>SUM(K33:K34)</f>
        <v>48393</v>
      </c>
      <c r="L32" s="164">
        <v>110458</v>
      </c>
      <c r="M32" s="164">
        <v>14321</v>
      </c>
      <c r="N32" s="164">
        <v>134891</v>
      </c>
      <c r="O32" s="164">
        <v>199256</v>
      </c>
      <c r="P32" s="164">
        <v>82536</v>
      </c>
      <c r="Q32" s="164">
        <v>42117</v>
      </c>
      <c r="R32" s="164">
        <v>80530</v>
      </c>
      <c r="S32" s="164">
        <v>186016</v>
      </c>
      <c r="T32" s="164">
        <f t="shared" ref="T32:Y32" si="65">SUM(T33:T34)</f>
        <v>173895</v>
      </c>
      <c r="U32" s="164">
        <f t="shared" si="65"/>
        <v>160016</v>
      </c>
      <c r="V32" s="164">
        <f t="shared" si="65"/>
        <v>110569</v>
      </c>
      <c r="W32" s="164">
        <f t="shared" si="65"/>
        <v>232883</v>
      </c>
      <c r="X32" s="164">
        <f t="shared" si="65"/>
        <v>166531</v>
      </c>
      <c r="Y32" s="164">
        <f t="shared" si="65"/>
        <v>165342</v>
      </c>
      <c r="Z32" s="164">
        <f t="shared" ref="Z32:AF32" si="66">SUM(Z33:Z34)</f>
        <v>130259</v>
      </c>
      <c r="AA32" s="164">
        <f t="shared" si="66"/>
        <v>268593</v>
      </c>
      <c r="AB32" s="164">
        <f t="shared" si="66"/>
        <v>184690</v>
      </c>
      <c r="AC32" s="164">
        <f t="shared" si="66"/>
        <v>230505</v>
      </c>
      <c r="AD32" s="164">
        <f t="shared" si="66"/>
        <v>133454</v>
      </c>
      <c r="AE32" s="164">
        <f t="shared" si="66"/>
        <v>511839</v>
      </c>
      <c r="AF32" s="164">
        <f t="shared" si="66"/>
        <v>210029</v>
      </c>
      <c r="AG32" s="164">
        <f>SUM(AG33:AG34)</f>
        <v>208571</v>
      </c>
      <c r="AH32" s="164">
        <f>SUM(AH33:AH34)</f>
        <v>171300</v>
      </c>
      <c r="AI32" s="164">
        <f>SUM(AI33:AI34)</f>
        <v>712779</v>
      </c>
      <c r="AJ32" s="164">
        <f>SUM(AJ33:AJ34)</f>
        <v>294681</v>
      </c>
      <c r="AK32" s="164">
        <f>SUM(AK33:AK34)</f>
        <v>334779</v>
      </c>
      <c r="AL32" s="164">
        <f t="shared" ref="AL32:BC32" si="67">SUM(AL33:AL34)</f>
        <v>214458</v>
      </c>
      <c r="AM32" s="164">
        <f t="shared" si="67"/>
        <v>560106</v>
      </c>
      <c r="AN32" s="164">
        <f t="shared" si="67"/>
        <v>160521</v>
      </c>
      <c r="AO32" s="164">
        <f t="shared" si="67"/>
        <v>320539</v>
      </c>
      <c r="AP32" s="164">
        <f t="shared" si="67"/>
        <v>361931</v>
      </c>
      <c r="AQ32" s="164">
        <f t="shared" si="67"/>
        <v>795225</v>
      </c>
      <c r="AR32" s="164">
        <f t="shared" si="67"/>
        <v>263413</v>
      </c>
      <c r="AS32" s="164">
        <f t="shared" si="67"/>
        <v>419161</v>
      </c>
      <c r="AT32" s="164">
        <f t="shared" si="67"/>
        <v>394895</v>
      </c>
      <c r="AU32" s="164">
        <f t="shared" si="67"/>
        <v>1042997</v>
      </c>
      <c r="AV32" s="164">
        <f t="shared" si="67"/>
        <v>340223</v>
      </c>
      <c r="AW32" s="164">
        <f t="shared" si="67"/>
        <v>469264</v>
      </c>
      <c r="AX32" s="164">
        <f t="shared" si="67"/>
        <v>492958</v>
      </c>
      <c r="AY32" s="164">
        <f t="shared" si="67"/>
        <v>1137189</v>
      </c>
      <c r="AZ32" s="164">
        <f>SUM(AZ33:AZ34)</f>
        <v>476433</v>
      </c>
      <c r="BA32" s="164">
        <f t="shared" si="67"/>
        <v>684135</v>
      </c>
      <c r="BB32" s="164">
        <f t="shared" si="67"/>
        <v>559554</v>
      </c>
      <c r="BC32" s="164">
        <f t="shared" si="67"/>
        <v>1355996</v>
      </c>
      <c r="BD32" s="164">
        <f>SUM(BD33:BD34)</f>
        <v>541467</v>
      </c>
      <c r="BE32" s="164">
        <f>SUM(BE33:BE34)</f>
        <v>961351</v>
      </c>
      <c r="BF32" s="164">
        <f>SUM(BF33:BF34)</f>
        <v>617311</v>
      </c>
      <c r="BG32" s="164">
        <f>SUM(BG33:BG34)</f>
        <v>2479877</v>
      </c>
      <c r="BH32" s="164">
        <f>SUM(BH33:BH34)</f>
        <v>1315302</v>
      </c>
      <c r="BI32" s="164">
        <f t="shared" ref="BI32:BJ32" si="68">SUM(BI33:BI34)</f>
        <v>1784299</v>
      </c>
      <c r="BJ32" s="164">
        <f t="shared" si="68"/>
        <v>1053704</v>
      </c>
      <c r="BK32" s="164">
        <f t="shared" ref="BK32:BM32" si="69">SUM(BK33:BK34)</f>
        <v>3025954</v>
      </c>
      <c r="BL32" s="164">
        <f t="shared" si="69"/>
        <v>1456169</v>
      </c>
      <c r="BM32" s="164">
        <f t="shared" si="69"/>
        <v>1997491</v>
      </c>
      <c r="BN32" s="164">
        <f>SUM(BN33:BN34)</f>
        <v>1457107</v>
      </c>
      <c r="BO32" s="164">
        <f>SUM(BO33:BO34)</f>
        <v>3751376</v>
      </c>
      <c r="BP32" s="164">
        <f>SUM(BP33:BP34)</f>
        <v>2168451</v>
      </c>
      <c r="BQ32" s="164">
        <f>SUM(BQ33:BQ34)</f>
        <v>1955761</v>
      </c>
      <c r="BR32" s="164">
        <f>SUM(BR33:BR34)</f>
        <v>1500073</v>
      </c>
    </row>
    <row r="33" spans="2:73" ht="11.25" customHeight="1" x14ac:dyDescent="0.2">
      <c r="B33" s="17"/>
      <c r="C33" s="17"/>
      <c r="D33" s="18"/>
      <c r="E33" s="19"/>
      <c r="F33" s="17"/>
      <c r="G33" s="17"/>
      <c r="H33" s="17" t="s">
        <v>97</v>
      </c>
      <c r="I33" s="164">
        <v>52452</v>
      </c>
      <c r="J33" s="164">
        <v>15445</v>
      </c>
      <c r="K33" s="164">
        <v>48393</v>
      </c>
      <c r="L33" s="164">
        <f t="shared" ref="L33:S33" si="70">L32</f>
        <v>110458</v>
      </c>
      <c r="M33" s="164">
        <f t="shared" si="70"/>
        <v>14321</v>
      </c>
      <c r="N33" s="164">
        <f t="shared" si="70"/>
        <v>134891</v>
      </c>
      <c r="O33" s="164">
        <f t="shared" si="70"/>
        <v>199256</v>
      </c>
      <c r="P33" s="164">
        <f t="shared" si="70"/>
        <v>82536</v>
      </c>
      <c r="Q33" s="164">
        <f t="shared" si="70"/>
        <v>42117</v>
      </c>
      <c r="R33" s="164">
        <f t="shared" si="70"/>
        <v>80530</v>
      </c>
      <c r="S33" s="164">
        <f t="shared" si="70"/>
        <v>186016</v>
      </c>
      <c r="T33" s="164">
        <v>125229</v>
      </c>
      <c r="U33" s="164">
        <v>107248</v>
      </c>
      <c r="V33" s="164">
        <v>85780</v>
      </c>
      <c r="W33" s="164">
        <v>204516</v>
      </c>
      <c r="X33" s="164">
        <v>156581</v>
      </c>
      <c r="Y33" s="164">
        <v>135771</v>
      </c>
      <c r="Z33" s="164">
        <v>110562</v>
      </c>
      <c r="AA33" s="164">
        <v>207448</v>
      </c>
      <c r="AB33" s="164">
        <v>142198</v>
      </c>
      <c r="AC33" s="164">
        <v>162214</v>
      </c>
      <c r="AD33" s="164">
        <v>106742</v>
      </c>
      <c r="AE33" s="164">
        <v>462769</v>
      </c>
      <c r="AF33" s="164">
        <v>189749</v>
      </c>
      <c r="AG33" s="164">
        <v>167313</v>
      </c>
      <c r="AH33" s="164">
        <v>135379</v>
      </c>
      <c r="AI33" s="164">
        <v>572299</v>
      </c>
      <c r="AJ33" s="164">
        <v>235371</v>
      </c>
      <c r="AK33" s="164">
        <v>243916</v>
      </c>
      <c r="AL33" s="164">
        <v>217729</v>
      </c>
      <c r="AM33" s="164">
        <v>546009</v>
      </c>
      <c r="AN33" s="164">
        <v>147932</v>
      </c>
      <c r="AO33" s="164">
        <v>236439</v>
      </c>
      <c r="AP33" s="164">
        <v>361931</v>
      </c>
      <c r="AQ33" s="164">
        <v>795225</v>
      </c>
      <c r="AR33" s="164">
        <v>263413</v>
      </c>
      <c r="AS33" s="164">
        <v>419161</v>
      </c>
      <c r="AT33" s="164">
        <v>394895</v>
      </c>
      <c r="AU33" s="164">
        <v>1042997</v>
      </c>
      <c r="AV33" s="164">
        <v>340223</v>
      </c>
      <c r="AW33" s="164">
        <v>469264</v>
      </c>
      <c r="AX33" s="164">
        <v>492958</v>
      </c>
      <c r="AY33" s="164">
        <v>1137189</v>
      </c>
      <c r="AZ33" s="164">
        <v>379394</v>
      </c>
      <c r="BA33" s="164">
        <v>684135</v>
      </c>
      <c r="BB33" s="164">
        <f>559554</f>
        <v>559554</v>
      </c>
      <c r="BC33" s="164">
        <f>1050536</f>
        <v>1050536</v>
      </c>
      <c r="BD33" s="164">
        <v>421670</v>
      </c>
      <c r="BE33" s="164">
        <v>515253</v>
      </c>
      <c r="BF33" s="164">
        <v>337911</v>
      </c>
      <c r="BG33" s="164">
        <v>1585773</v>
      </c>
      <c r="BH33" s="164">
        <v>872997</v>
      </c>
      <c r="BI33" s="164">
        <v>824117</v>
      </c>
      <c r="BJ33" s="164">
        <v>599452</v>
      </c>
      <c r="BK33" s="164">
        <v>2150841</v>
      </c>
      <c r="BL33" s="164">
        <v>1102484</v>
      </c>
      <c r="BM33" s="164">
        <v>1434506</v>
      </c>
      <c r="BN33" s="164">
        <v>1039126</v>
      </c>
      <c r="BO33" s="164">
        <v>2598100</v>
      </c>
      <c r="BP33" s="164">
        <v>1562296</v>
      </c>
      <c r="BQ33" s="164">
        <v>1483343</v>
      </c>
      <c r="BR33" s="164">
        <v>1215213</v>
      </c>
      <c r="BS33" s="223"/>
      <c r="BT33" s="127"/>
      <c r="BU33" s="127"/>
    </row>
    <row r="34" spans="2:73" ht="11.25" customHeight="1" x14ac:dyDescent="0.2">
      <c r="B34" s="17"/>
      <c r="C34" s="17"/>
      <c r="D34" s="18"/>
      <c r="E34" s="19"/>
      <c r="F34" s="17"/>
      <c r="G34" s="17"/>
      <c r="H34" s="17" t="s">
        <v>98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48666</v>
      </c>
      <c r="U34" s="164">
        <v>52768</v>
      </c>
      <c r="V34" s="164">
        <v>24789</v>
      </c>
      <c r="W34" s="164">
        <v>28367</v>
      </c>
      <c r="X34" s="164">
        <v>9950</v>
      </c>
      <c r="Y34" s="164">
        <v>29571</v>
      </c>
      <c r="Z34" s="164">
        <v>19697</v>
      </c>
      <c r="AA34" s="164">
        <v>61145</v>
      </c>
      <c r="AB34" s="164">
        <v>42492</v>
      </c>
      <c r="AC34" s="164">
        <v>68291</v>
      </c>
      <c r="AD34" s="164">
        <v>26712</v>
      </c>
      <c r="AE34" s="164">
        <v>49070</v>
      </c>
      <c r="AF34" s="164">
        <v>20280</v>
      </c>
      <c r="AG34" s="164">
        <v>41258</v>
      </c>
      <c r="AH34" s="164">
        <v>35921</v>
      </c>
      <c r="AI34" s="164">
        <v>140480</v>
      </c>
      <c r="AJ34" s="164">
        <v>59310</v>
      </c>
      <c r="AK34" s="164">
        <v>90863</v>
      </c>
      <c r="AL34" s="164">
        <v>-3271</v>
      </c>
      <c r="AM34" s="164">
        <v>14097</v>
      </c>
      <c r="AN34" s="164">
        <v>12589</v>
      </c>
      <c r="AO34" s="164">
        <v>84100</v>
      </c>
      <c r="AP34" s="164">
        <v>0</v>
      </c>
      <c r="AQ34" s="164">
        <v>0</v>
      </c>
      <c r="AR34" s="164">
        <v>0</v>
      </c>
      <c r="AS34" s="164">
        <v>0</v>
      </c>
      <c r="AT34" s="164">
        <v>0</v>
      </c>
      <c r="AU34" s="164">
        <v>0</v>
      </c>
      <c r="AV34" s="164">
        <v>0</v>
      </c>
      <c r="AW34" s="164">
        <v>0</v>
      </c>
      <c r="AX34" s="164">
        <v>0</v>
      </c>
      <c r="AY34" s="164">
        <v>0</v>
      </c>
      <c r="AZ34" s="164">
        <v>97039</v>
      </c>
      <c r="BA34" s="164">
        <v>0</v>
      </c>
      <c r="BB34" s="164">
        <v>0</v>
      </c>
      <c r="BC34" s="164">
        <v>305460</v>
      </c>
      <c r="BD34" s="164">
        <v>119797</v>
      </c>
      <c r="BE34" s="164">
        <v>446098</v>
      </c>
      <c r="BF34" s="164">
        <v>279400</v>
      </c>
      <c r="BG34" s="164">
        <v>894104</v>
      </c>
      <c r="BH34" s="164">
        <v>442305</v>
      </c>
      <c r="BI34" s="164">
        <v>960182</v>
      </c>
      <c r="BJ34" s="164">
        <v>454252</v>
      </c>
      <c r="BK34" s="164">
        <v>875113</v>
      </c>
      <c r="BL34" s="164">
        <v>353685</v>
      </c>
      <c r="BM34" s="164">
        <v>562985</v>
      </c>
      <c r="BN34" s="164">
        <v>417981</v>
      </c>
      <c r="BO34" s="164">
        <v>1153276</v>
      </c>
      <c r="BP34" s="164">
        <v>606155</v>
      </c>
      <c r="BQ34" s="164">
        <v>472418</v>
      </c>
      <c r="BR34" s="164">
        <v>284860</v>
      </c>
      <c r="BS34" s="223"/>
    </row>
    <row r="35" spans="2:73" ht="11.25" customHeight="1" x14ac:dyDescent="0.2">
      <c r="B35" s="17"/>
      <c r="C35" s="17"/>
      <c r="D35" s="18"/>
      <c r="E35" s="19"/>
      <c r="F35" s="17"/>
      <c r="G35" s="17" t="s">
        <v>401</v>
      </c>
      <c r="H35" s="21"/>
      <c r="I35" s="164">
        <v>65757</v>
      </c>
      <c r="J35" s="164">
        <v>73600</v>
      </c>
      <c r="K35" s="164">
        <v>143006</v>
      </c>
      <c r="L35" s="164">
        <v>118659</v>
      </c>
      <c r="M35" s="164">
        <v>51260</v>
      </c>
      <c r="N35" s="164">
        <v>76460</v>
      </c>
      <c r="O35" s="164">
        <v>110034</v>
      </c>
      <c r="P35" s="164">
        <v>132819</v>
      </c>
      <c r="Q35" s="164">
        <v>59111</v>
      </c>
      <c r="R35" s="164">
        <v>101657</v>
      </c>
      <c r="S35" s="164">
        <v>169932</v>
      </c>
      <c r="T35" s="164">
        <v>200671</v>
      </c>
      <c r="U35" s="164">
        <v>81598</v>
      </c>
      <c r="V35" s="164">
        <v>117595</v>
      </c>
      <c r="W35" s="164">
        <v>173310</v>
      </c>
      <c r="X35" s="164">
        <v>200182</v>
      </c>
      <c r="Y35" s="164">
        <v>96446</v>
      </c>
      <c r="Z35" s="164">
        <v>130225</v>
      </c>
      <c r="AA35" s="164">
        <v>168937</v>
      </c>
      <c r="AB35" s="164">
        <v>258041</v>
      </c>
      <c r="AC35" s="164">
        <v>148936</v>
      </c>
      <c r="AD35" s="164">
        <v>187964</v>
      </c>
      <c r="AE35" s="164">
        <v>243246</v>
      </c>
      <c r="AF35" s="164">
        <v>369513</v>
      </c>
      <c r="AG35" s="164">
        <v>195859</v>
      </c>
      <c r="AH35" s="164">
        <v>174823</v>
      </c>
      <c r="AI35" s="164">
        <v>254044</v>
      </c>
      <c r="AJ35" s="164">
        <v>399991</v>
      </c>
      <c r="AK35" s="164">
        <f>213017+6397+6622</f>
        <v>226036</v>
      </c>
      <c r="AL35" s="164">
        <f>177492+18934+6861</f>
        <v>203287</v>
      </c>
      <c r="AM35" s="164">
        <f>218037+8088+6131</f>
        <v>232256</v>
      </c>
      <c r="AN35" s="164">
        <f>289717+5544+8200</f>
        <v>303461</v>
      </c>
      <c r="AO35" s="164">
        <f>136511+7372+7313</f>
        <v>151196</v>
      </c>
      <c r="AP35" s="164">
        <f>140269+22170+7136</f>
        <v>169575</v>
      </c>
      <c r="AQ35" s="164">
        <f>173567+7590+6354</f>
        <v>187511</v>
      </c>
      <c r="AR35" s="164">
        <f>279771+4434+7763</f>
        <v>291968</v>
      </c>
      <c r="AS35" s="164">
        <f>195239+6119+8081</f>
        <v>209439</v>
      </c>
      <c r="AT35" s="164">
        <f>117348+20129+7380</f>
        <v>144857</v>
      </c>
      <c r="AU35" s="164">
        <f>265158+10178+6982</f>
        <v>282318</v>
      </c>
      <c r="AV35" s="164">
        <f>463184+6528+9441</f>
        <v>479153</v>
      </c>
      <c r="AW35" s="164">
        <f>232824+8930+8981</f>
        <v>250735</v>
      </c>
      <c r="AX35" s="164">
        <f>202185+36752+7670</f>
        <v>246607</v>
      </c>
      <c r="AY35" s="164">
        <f>438219+14494+8251</f>
        <v>460964</v>
      </c>
      <c r="AZ35" s="164">
        <f>549264+11492+10145</f>
        <v>570901</v>
      </c>
      <c r="BA35" s="164">
        <f>291492+12902+11710</f>
        <v>316104</v>
      </c>
      <c r="BB35" s="164">
        <f>306228+57411+10996</f>
        <v>374635</v>
      </c>
      <c r="BC35" s="164">
        <f>527509+17646+10807</f>
        <v>555962</v>
      </c>
      <c r="BD35" s="164">
        <f>646305+12240+12928</f>
        <v>671473</v>
      </c>
      <c r="BE35" s="164">
        <f>396945+16707+13630</f>
        <v>427282</v>
      </c>
      <c r="BF35" s="164">
        <f>355120+63375+14437</f>
        <v>432932</v>
      </c>
      <c r="BG35" s="164">
        <f>878286+35286+16095</f>
        <v>929667</v>
      </c>
      <c r="BH35" s="164">
        <f>1329269+30380+31097</f>
        <v>1390746</v>
      </c>
      <c r="BI35" s="164">
        <f>865330+35423+39963</f>
        <v>940716</v>
      </c>
      <c r="BJ35" s="164">
        <f>735782+ 84473+31116</f>
        <v>851371</v>
      </c>
      <c r="BK35" s="164">
        <f>1242806+57091+32175</f>
        <v>1332072</v>
      </c>
      <c r="BL35" s="164">
        <f>1703443+46506+38653</f>
        <v>1788602</v>
      </c>
      <c r="BM35" s="164">
        <f>1100386+51445+38411</f>
        <v>1190242</v>
      </c>
      <c r="BN35" s="164">
        <f>939788+107525+38594</f>
        <v>1085907</v>
      </c>
      <c r="BO35" s="164">
        <f>1175340+48618+36948</f>
        <v>1260906</v>
      </c>
      <c r="BP35" s="164">
        <f>1324188+37068+44074</f>
        <v>1405330</v>
      </c>
      <c r="BQ35" s="164">
        <f>767168+31782+42541</f>
        <v>841491</v>
      </c>
      <c r="BR35" s="164">
        <v>765661</v>
      </c>
      <c r="BS35" s="127"/>
    </row>
    <row r="36" spans="2:73" ht="11.25" customHeight="1" x14ac:dyDescent="0.2">
      <c r="B36" s="17"/>
      <c r="C36" s="17"/>
      <c r="D36" s="18"/>
      <c r="E36" s="19"/>
      <c r="F36" s="17"/>
      <c r="G36" s="17" t="s">
        <v>99</v>
      </c>
      <c r="H36" s="21"/>
      <c r="I36" s="164">
        <v>8594</v>
      </c>
      <c r="J36" s="164">
        <v>31215</v>
      </c>
      <c r="K36" s="164">
        <v>6721</v>
      </c>
      <c r="L36" s="164">
        <v>3408</v>
      </c>
      <c r="M36" s="164">
        <v>49882</v>
      </c>
      <c r="N36" s="164">
        <v>21502</v>
      </c>
      <c r="O36" s="164">
        <v>27567</v>
      </c>
      <c r="P36" s="164">
        <v>13110</v>
      </c>
      <c r="Q36" s="164">
        <v>20855</v>
      </c>
      <c r="R36" s="164">
        <v>51004</v>
      </c>
      <c r="S36" s="164">
        <v>20739</v>
      </c>
      <c r="T36" s="164">
        <v>22361</v>
      </c>
      <c r="U36" s="164">
        <v>4300</v>
      </c>
      <c r="V36" s="164">
        <v>53280</v>
      </c>
      <c r="W36" s="164">
        <v>23133</v>
      </c>
      <c r="X36" s="164">
        <v>29217</v>
      </c>
      <c r="Y36" s="164">
        <v>11594</v>
      </c>
      <c r="Z36" s="164">
        <v>38591</v>
      </c>
      <c r="AA36" s="164">
        <v>61108</v>
      </c>
      <c r="AB36" s="164">
        <v>53797</v>
      </c>
      <c r="AC36" s="164">
        <v>38346</v>
      </c>
      <c r="AD36" s="164">
        <v>39153</v>
      </c>
      <c r="AE36" s="164">
        <v>74133</v>
      </c>
      <c r="AF36" s="164">
        <v>32070</v>
      </c>
      <c r="AG36" s="164">
        <v>24749</v>
      </c>
      <c r="AH36" s="164">
        <v>53783</v>
      </c>
      <c r="AI36" s="164">
        <v>26203</v>
      </c>
      <c r="AJ36" s="164">
        <v>22140</v>
      </c>
      <c r="AK36" s="164">
        <v>30084</v>
      </c>
      <c r="AL36" s="164">
        <v>9158</v>
      </c>
      <c r="AM36" s="164">
        <v>17071</v>
      </c>
      <c r="AN36" s="164">
        <v>5672</v>
      </c>
      <c r="AO36" s="164">
        <v>8257</v>
      </c>
      <c r="AP36" s="164">
        <v>2601</v>
      </c>
      <c r="AQ36" s="164">
        <v>3425</v>
      </c>
      <c r="AR36" s="164">
        <v>2783</v>
      </c>
      <c r="AS36" s="164">
        <v>2730</v>
      </c>
      <c r="AT36" s="164">
        <v>1717</v>
      </c>
      <c r="AU36" s="164">
        <v>12103</v>
      </c>
      <c r="AV36" s="164">
        <v>6897</v>
      </c>
      <c r="AW36" s="164">
        <v>7108</v>
      </c>
      <c r="AX36" s="164">
        <v>10845</v>
      </c>
      <c r="AY36" s="164">
        <v>8056</v>
      </c>
      <c r="AZ36" s="164">
        <v>1756</v>
      </c>
      <c r="BA36" s="164">
        <v>19383</v>
      </c>
      <c r="BB36" s="164">
        <v>11002</v>
      </c>
      <c r="BC36" s="164">
        <v>4444</v>
      </c>
      <c r="BD36" s="164">
        <v>49735</v>
      </c>
      <c r="BE36" s="164">
        <v>220510</v>
      </c>
      <c r="BF36" s="164">
        <v>113889</v>
      </c>
      <c r="BG36" s="164">
        <v>75328</v>
      </c>
      <c r="BH36" s="164">
        <v>31193</v>
      </c>
      <c r="BI36" s="164">
        <v>244655</v>
      </c>
      <c r="BJ36" s="164">
        <v>258267</v>
      </c>
      <c r="BK36" s="164">
        <v>130126</v>
      </c>
      <c r="BL36" s="164">
        <v>25796</v>
      </c>
      <c r="BM36" s="164">
        <v>10903</v>
      </c>
      <c r="BN36" s="164">
        <v>2892</v>
      </c>
      <c r="BO36" s="164">
        <v>40405</v>
      </c>
      <c r="BP36" s="164">
        <v>9755</v>
      </c>
      <c r="BQ36" s="164">
        <v>2825</v>
      </c>
      <c r="BR36" s="164">
        <v>2430</v>
      </c>
    </row>
    <row r="37" spans="2:73" ht="11.25" customHeight="1" x14ac:dyDescent="0.2">
      <c r="B37" s="17"/>
      <c r="C37" s="17"/>
      <c r="D37" s="18"/>
      <c r="E37" s="19"/>
      <c r="F37" s="17"/>
      <c r="G37" s="17" t="s">
        <v>100</v>
      </c>
      <c r="H37" s="17"/>
      <c r="I37" s="164">
        <v>4894</v>
      </c>
      <c r="J37" s="164">
        <v>12155</v>
      </c>
      <c r="K37" s="164">
        <v>9051</v>
      </c>
      <c r="L37" s="164">
        <v>7146</v>
      </c>
      <c r="M37" s="164">
        <v>7143</v>
      </c>
      <c r="N37" s="164">
        <v>10542</v>
      </c>
      <c r="O37" s="164">
        <v>15300</v>
      </c>
      <c r="P37" s="164">
        <v>10757</v>
      </c>
      <c r="Q37" s="164">
        <v>15886</v>
      </c>
      <c r="R37" s="164">
        <v>20454</v>
      </c>
      <c r="S37" s="164">
        <v>17301</v>
      </c>
      <c r="T37" s="164">
        <v>14907</v>
      </c>
      <c r="U37" s="164">
        <v>14044</v>
      </c>
      <c r="V37" s="164">
        <v>26768</v>
      </c>
      <c r="W37" s="164">
        <v>17471</v>
      </c>
      <c r="X37" s="164">
        <f>407819-391493</f>
        <v>16326</v>
      </c>
      <c r="Y37" s="164">
        <v>17211</v>
      </c>
      <c r="Z37" s="164">
        <v>25528</v>
      </c>
      <c r="AA37" s="164">
        <v>20370</v>
      </c>
      <c r="AB37" s="164">
        <f>9881+4016+4606</f>
        <v>18503</v>
      </c>
      <c r="AC37" s="164">
        <v>17338</v>
      </c>
      <c r="AD37" s="164">
        <v>9919</v>
      </c>
      <c r="AE37" s="164">
        <v>9487</v>
      </c>
      <c r="AF37" s="164">
        <v>10899</v>
      </c>
      <c r="AG37" s="164">
        <v>9826</v>
      </c>
      <c r="AH37" s="164">
        <v>11624</v>
      </c>
      <c r="AI37" s="164">
        <v>11396</v>
      </c>
      <c r="AJ37" s="164">
        <v>12526</v>
      </c>
      <c r="AK37" s="164">
        <v>11652</v>
      </c>
      <c r="AL37" s="164">
        <v>11710</v>
      </c>
      <c r="AM37" s="164">
        <v>11176</v>
      </c>
      <c r="AN37" s="164">
        <v>17267</v>
      </c>
      <c r="AO37" s="164">
        <v>17842</v>
      </c>
      <c r="AP37" s="164">
        <v>13329</v>
      </c>
      <c r="AQ37" s="164">
        <v>11731</v>
      </c>
      <c r="AR37" s="164">
        <v>11360</v>
      </c>
      <c r="AS37" s="164">
        <v>10526</v>
      </c>
      <c r="AT37" s="164">
        <v>10797</v>
      </c>
      <c r="AU37" s="164">
        <v>15414</v>
      </c>
      <c r="AV37" s="164">
        <v>42249</v>
      </c>
      <c r="AW37" s="164">
        <v>14936</v>
      </c>
      <c r="AX37" s="164">
        <v>13865</v>
      </c>
      <c r="AY37" s="164">
        <v>14545</v>
      </c>
      <c r="AZ37" s="164">
        <v>22264</v>
      </c>
      <c r="BA37" s="164">
        <v>32586</v>
      </c>
      <c r="BB37" s="164">
        <v>44692</v>
      </c>
      <c r="BC37" s="164">
        <v>59662</v>
      </c>
      <c r="BD37" s="164">
        <v>38407</v>
      </c>
      <c r="BE37" s="164">
        <v>47906</v>
      </c>
      <c r="BF37" s="164">
        <v>53340</v>
      </c>
      <c r="BG37" s="164">
        <v>160961</v>
      </c>
      <c r="BH37" s="164">
        <v>71396</v>
      </c>
      <c r="BI37" s="164">
        <v>70276</v>
      </c>
      <c r="BJ37" s="164">
        <v>65176</v>
      </c>
      <c r="BK37" s="164">
        <v>96933</v>
      </c>
      <c r="BL37" s="164">
        <v>73413</v>
      </c>
      <c r="BM37" s="164">
        <v>61653</v>
      </c>
      <c r="BN37" s="164">
        <v>64484</v>
      </c>
      <c r="BO37" s="164">
        <v>57608</v>
      </c>
      <c r="BP37" s="164">
        <v>72725</v>
      </c>
      <c r="BQ37" s="164">
        <v>76741</v>
      </c>
      <c r="BR37" s="164">
        <f>104583+71256+45620</f>
        <v>221459</v>
      </c>
    </row>
    <row r="38" spans="2:73" ht="11.25" customHeight="1" x14ac:dyDescent="0.2">
      <c r="B38" s="17"/>
      <c r="C38" s="17"/>
      <c r="D38" s="18"/>
      <c r="E38" s="19"/>
      <c r="F38" s="17"/>
      <c r="G38" s="17" t="s">
        <v>101</v>
      </c>
      <c r="H38" s="17"/>
      <c r="I38" s="164">
        <v>0</v>
      </c>
      <c r="J38" s="164">
        <v>0</v>
      </c>
      <c r="K38" s="164">
        <v>-435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-2320</v>
      </c>
      <c r="R38" s="164">
        <v>-6564</v>
      </c>
      <c r="S38" s="164">
        <v>-591</v>
      </c>
      <c r="T38" s="164">
        <v>-804</v>
      </c>
      <c r="U38" s="164">
        <v>-637</v>
      </c>
      <c r="V38" s="164">
        <v>-3139</v>
      </c>
      <c r="W38" s="164">
        <v>-5004</v>
      </c>
      <c r="X38" s="164">
        <v>-4437</v>
      </c>
      <c r="Y38" s="164">
        <v>-2564</v>
      </c>
      <c r="Z38" s="164">
        <v>-4687</v>
      </c>
      <c r="AA38" s="164">
        <v>-1306</v>
      </c>
      <c r="AB38" s="164">
        <v>-212</v>
      </c>
      <c r="AC38" s="164">
        <v>-146</v>
      </c>
      <c r="AD38" s="164">
        <v>-680</v>
      </c>
      <c r="AE38" s="164">
        <v>-2740</v>
      </c>
      <c r="AF38" s="164">
        <v>-95</v>
      </c>
      <c r="AG38" s="164">
        <v>-84</v>
      </c>
      <c r="AH38" s="164">
        <v>-140</v>
      </c>
      <c r="AI38" s="164">
        <v>-842</v>
      </c>
      <c r="AJ38" s="164">
        <v>-1146</v>
      </c>
      <c r="AK38" s="164">
        <v>-2060</v>
      </c>
      <c r="AL38" s="164">
        <v>-356</v>
      </c>
      <c r="AM38" s="164">
        <v>-1287</v>
      </c>
      <c r="AN38" s="164">
        <v>-496</v>
      </c>
      <c r="AO38" s="164">
        <v>0</v>
      </c>
      <c r="AP38" s="164">
        <v>0</v>
      </c>
      <c r="AQ38" s="164">
        <v>0</v>
      </c>
      <c r="AR38" s="164">
        <v>0</v>
      </c>
      <c r="AS38" s="164">
        <v>0</v>
      </c>
      <c r="AT38" s="164">
        <v>0</v>
      </c>
      <c r="AU38" s="164">
        <v>0</v>
      </c>
      <c r="AV38" s="164">
        <v>0</v>
      </c>
      <c r="AW38" s="164">
        <v>0</v>
      </c>
      <c r="AX38" s="164">
        <v>0</v>
      </c>
      <c r="AY38" s="164">
        <v>-766</v>
      </c>
      <c r="AZ38" s="164">
        <v>0</v>
      </c>
      <c r="BA38" s="164">
        <v>0</v>
      </c>
      <c r="BB38" s="164">
        <v>0</v>
      </c>
      <c r="BC38" s="164">
        <v>0</v>
      </c>
      <c r="BD38" s="164">
        <v>0</v>
      </c>
      <c r="BE38" s="164">
        <v>0</v>
      </c>
      <c r="BF38" s="164">
        <v>0</v>
      </c>
      <c r="BG38" s="164">
        <v>-4274</v>
      </c>
      <c r="BH38" s="164">
        <v>0</v>
      </c>
      <c r="BI38" s="164">
        <v>0</v>
      </c>
      <c r="BJ38" s="164">
        <v>0</v>
      </c>
      <c r="BK38" s="164">
        <v>0</v>
      </c>
      <c r="BL38" s="164">
        <v>0</v>
      </c>
      <c r="BM38" s="164">
        <v>0</v>
      </c>
      <c r="BN38" s="164">
        <v>0</v>
      </c>
      <c r="BO38" s="164">
        <v>0</v>
      </c>
      <c r="BP38" s="164">
        <v>0</v>
      </c>
      <c r="BQ38" s="164">
        <v>0</v>
      </c>
      <c r="BR38" s="164">
        <v>0</v>
      </c>
    </row>
    <row r="39" spans="2:73" ht="11.25" customHeight="1" x14ac:dyDescent="0.2">
      <c r="B39" s="17"/>
      <c r="C39" s="17"/>
      <c r="D39" s="18"/>
      <c r="E39" s="19"/>
      <c r="F39" s="17"/>
      <c r="G39" s="17" t="s">
        <v>102</v>
      </c>
      <c r="H39" s="17"/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-614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-781</v>
      </c>
      <c r="AB39" s="164">
        <v>0</v>
      </c>
      <c r="AC39" s="164">
        <v>0</v>
      </c>
      <c r="AD39" s="164">
        <v>0</v>
      </c>
      <c r="AE39" s="164">
        <v>-1900</v>
      </c>
      <c r="AF39" s="164">
        <v>-315</v>
      </c>
      <c r="AG39" s="164">
        <v>-80</v>
      </c>
      <c r="AH39" s="164">
        <v>0</v>
      </c>
      <c r="AI39" s="164">
        <v>0</v>
      </c>
      <c r="AJ39" s="164">
        <v>0</v>
      </c>
      <c r="AK39" s="164">
        <v>0</v>
      </c>
      <c r="AL39" s="164">
        <v>0</v>
      </c>
      <c r="AM39" s="164">
        <v>0</v>
      </c>
      <c r="AN39" s="164">
        <v>0</v>
      </c>
      <c r="AO39" s="164"/>
      <c r="AP39" s="164">
        <v>0</v>
      </c>
      <c r="AQ39" s="164">
        <v>0</v>
      </c>
      <c r="AR39" s="164">
        <v>0</v>
      </c>
      <c r="AS39" s="164">
        <v>0</v>
      </c>
      <c r="AT39" s="164">
        <v>0</v>
      </c>
      <c r="AU39" s="164">
        <v>0</v>
      </c>
      <c r="AV39" s="164">
        <v>0</v>
      </c>
      <c r="AW39" s="164">
        <v>0</v>
      </c>
      <c r="AX39" s="164">
        <v>0</v>
      </c>
      <c r="AY39" s="164">
        <v>0</v>
      </c>
      <c r="AZ39" s="164">
        <v>0</v>
      </c>
      <c r="BA39" s="164">
        <v>0</v>
      </c>
      <c r="BB39" s="164">
        <v>0</v>
      </c>
      <c r="BC39" s="164">
        <v>0</v>
      </c>
      <c r="BD39" s="164">
        <v>0</v>
      </c>
      <c r="BE39" s="164">
        <v>0</v>
      </c>
      <c r="BF39" s="164">
        <v>0</v>
      </c>
      <c r="BG39" s="164">
        <v>0</v>
      </c>
      <c r="BH39" s="164">
        <v>0</v>
      </c>
      <c r="BI39" s="164">
        <v>0</v>
      </c>
      <c r="BJ39" s="164">
        <v>0</v>
      </c>
      <c r="BK39" s="164">
        <v>0</v>
      </c>
      <c r="BL39" s="164">
        <v>0</v>
      </c>
      <c r="BM39" s="164">
        <v>0</v>
      </c>
      <c r="BN39" s="164">
        <v>0</v>
      </c>
      <c r="BO39" s="164">
        <v>0</v>
      </c>
      <c r="BP39" s="164">
        <v>0</v>
      </c>
      <c r="BQ39" s="164">
        <v>0</v>
      </c>
      <c r="BR39" s="164">
        <v>0</v>
      </c>
    </row>
    <row r="40" spans="2:73" ht="11.25" customHeight="1" x14ac:dyDescent="0.2">
      <c r="B40" s="17"/>
      <c r="C40" s="17"/>
      <c r="D40" s="18"/>
      <c r="E40" s="19"/>
      <c r="F40" s="17"/>
      <c r="G40" s="17" t="s">
        <v>103</v>
      </c>
      <c r="H40" s="17"/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-614</v>
      </c>
      <c r="U40" s="164">
        <v>0</v>
      </c>
      <c r="V40" s="164">
        <v>0</v>
      </c>
      <c r="W40" s="164">
        <v>0</v>
      </c>
      <c r="X40" s="164">
        <v>0</v>
      </c>
      <c r="Y40" s="164">
        <v>0</v>
      </c>
      <c r="Z40" s="164">
        <v>0</v>
      </c>
      <c r="AA40" s="164">
        <v>-781</v>
      </c>
      <c r="AB40" s="164">
        <v>0</v>
      </c>
      <c r="AC40" s="164">
        <v>0</v>
      </c>
      <c r="AD40" s="164">
        <v>0</v>
      </c>
      <c r="AE40" s="164">
        <v>-1900</v>
      </c>
      <c r="AF40" s="164">
        <v>-315</v>
      </c>
      <c r="AG40" s="164">
        <v>-80</v>
      </c>
      <c r="AH40" s="164">
        <v>0</v>
      </c>
      <c r="AI40" s="164">
        <v>0</v>
      </c>
      <c r="AJ40" s="164">
        <v>0</v>
      </c>
      <c r="AK40" s="164">
        <v>0</v>
      </c>
      <c r="AL40" s="164">
        <v>0</v>
      </c>
      <c r="AM40" s="164">
        <v>0</v>
      </c>
      <c r="AN40" s="164">
        <v>0</v>
      </c>
      <c r="AO40" s="164"/>
      <c r="AP40" s="164">
        <v>0</v>
      </c>
      <c r="AQ40" s="164">
        <v>0</v>
      </c>
      <c r="AR40" s="164">
        <v>0</v>
      </c>
      <c r="AS40" s="164">
        <v>0</v>
      </c>
      <c r="AT40" s="164">
        <v>0</v>
      </c>
      <c r="AU40" s="164">
        <v>0</v>
      </c>
      <c r="AV40" s="164">
        <v>0</v>
      </c>
      <c r="AW40" s="164">
        <v>0</v>
      </c>
      <c r="AX40" s="164">
        <v>0</v>
      </c>
      <c r="AY40" s="164">
        <v>0</v>
      </c>
      <c r="AZ40" s="164">
        <v>0</v>
      </c>
      <c r="BA40" s="164">
        <v>0</v>
      </c>
      <c r="BB40" s="164">
        <v>0</v>
      </c>
      <c r="BC40" s="164">
        <v>0</v>
      </c>
      <c r="BD40" s="164">
        <v>0</v>
      </c>
      <c r="BE40" s="164">
        <v>0</v>
      </c>
      <c r="BF40" s="164">
        <v>0</v>
      </c>
      <c r="BG40" s="164">
        <v>0</v>
      </c>
      <c r="BH40" s="164">
        <v>-2272</v>
      </c>
      <c r="BI40" s="164">
        <v>-881</v>
      </c>
      <c r="BJ40" s="164">
        <v>0</v>
      </c>
      <c r="BK40" s="164">
        <v>0</v>
      </c>
      <c r="BL40" s="164">
        <v>0</v>
      </c>
      <c r="BM40" s="164"/>
      <c r="BN40" s="164"/>
      <c r="BO40" s="164"/>
      <c r="BP40" s="164"/>
      <c r="BQ40" s="164"/>
      <c r="BR40" s="164"/>
    </row>
    <row r="41" spans="2:73" ht="11.25" customHeight="1" x14ac:dyDescent="0.25">
      <c r="B41" s="15"/>
      <c r="C41" s="15"/>
      <c r="D41" s="27" t="s">
        <v>104</v>
      </c>
      <c r="E41" s="16"/>
      <c r="F41" s="15"/>
      <c r="G41" s="15"/>
      <c r="H41" s="22"/>
      <c r="I41" s="166">
        <f t="shared" ref="I41:R41" si="71">I42+I49</f>
        <v>312657</v>
      </c>
      <c r="J41" s="166">
        <f t="shared" si="71"/>
        <v>305902</v>
      </c>
      <c r="K41" s="166">
        <f t="shared" si="71"/>
        <v>210132</v>
      </c>
      <c r="L41" s="166">
        <f t="shared" si="71"/>
        <v>201789</v>
      </c>
      <c r="M41" s="166">
        <f t="shared" si="71"/>
        <v>301130</v>
      </c>
      <c r="N41" s="166">
        <f t="shared" si="71"/>
        <v>205458</v>
      </c>
      <c r="O41" s="166">
        <f t="shared" si="71"/>
        <v>139356</v>
      </c>
      <c r="P41" s="166">
        <f t="shared" si="71"/>
        <v>191212</v>
      </c>
      <c r="Q41" s="166">
        <f t="shared" si="71"/>
        <v>333754</v>
      </c>
      <c r="R41" s="166">
        <f t="shared" si="71"/>
        <v>338149</v>
      </c>
      <c r="S41" s="166">
        <f t="shared" ref="S41:X41" si="72">S42+S49</f>
        <v>284812</v>
      </c>
      <c r="T41" s="166">
        <f t="shared" si="72"/>
        <v>264772</v>
      </c>
      <c r="U41" s="166">
        <f t="shared" si="72"/>
        <v>390452</v>
      </c>
      <c r="V41" s="166">
        <f t="shared" si="72"/>
        <v>365041</v>
      </c>
      <c r="W41" s="166">
        <f t="shared" si="72"/>
        <v>206778</v>
      </c>
      <c r="X41" s="166">
        <f t="shared" si="72"/>
        <v>303404</v>
      </c>
      <c r="Y41" s="166">
        <f t="shared" ref="Y41:AD41" si="73">Y42+Y49</f>
        <v>388817</v>
      </c>
      <c r="Z41" s="166">
        <f t="shared" si="73"/>
        <v>431887</v>
      </c>
      <c r="AA41" s="166">
        <f t="shared" si="73"/>
        <v>273032</v>
      </c>
      <c r="AB41" s="166">
        <f t="shared" si="73"/>
        <v>378481</v>
      </c>
      <c r="AC41" s="166">
        <f t="shared" si="73"/>
        <v>536330</v>
      </c>
      <c r="AD41" s="166">
        <f t="shared" si="73"/>
        <v>526724</v>
      </c>
      <c r="AE41" s="166">
        <f t="shared" ref="AE41:AJ41" si="74">AE42+AE49</f>
        <v>76213</v>
      </c>
      <c r="AF41" s="166">
        <f t="shared" si="74"/>
        <v>374372</v>
      </c>
      <c r="AG41" s="166">
        <f t="shared" si="74"/>
        <v>602152</v>
      </c>
      <c r="AH41" s="166">
        <f t="shared" si="74"/>
        <v>606121</v>
      </c>
      <c r="AI41" s="166">
        <f t="shared" si="74"/>
        <v>90194</v>
      </c>
      <c r="AJ41" s="166">
        <f t="shared" si="74"/>
        <v>423705</v>
      </c>
      <c r="AK41" s="166">
        <f t="shared" ref="AK41:BC41" si="75">AK42+AK49</f>
        <v>541609</v>
      </c>
      <c r="AL41" s="166">
        <f>AL42+AL49</f>
        <v>523420</v>
      </c>
      <c r="AM41" s="166">
        <f t="shared" si="75"/>
        <v>113786</v>
      </c>
      <c r="AN41" s="166">
        <f t="shared" si="75"/>
        <v>521174</v>
      </c>
      <c r="AO41" s="166">
        <f t="shared" si="75"/>
        <v>578525</v>
      </c>
      <c r="AP41" s="166">
        <f t="shared" si="75"/>
        <v>624355</v>
      </c>
      <c r="AQ41" s="166">
        <f t="shared" si="75"/>
        <v>146805</v>
      </c>
      <c r="AR41" s="166">
        <f t="shared" si="75"/>
        <v>522997</v>
      </c>
      <c r="AS41" s="166">
        <f t="shared" si="75"/>
        <v>626293</v>
      </c>
      <c r="AT41" s="166">
        <f t="shared" si="75"/>
        <v>796513</v>
      </c>
      <c r="AU41" s="166">
        <f t="shared" si="75"/>
        <v>168262</v>
      </c>
      <c r="AV41" s="166">
        <f t="shared" si="75"/>
        <v>705390</v>
      </c>
      <c r="AW41" s="166">
        <f t="shared" si="75"/>
        <v>845237</v>
      </c>
      <c r="AX41" s="166">
        <f t="shared" si="75"/>
        <v>1168539</v>
      </c>
      <c r="AY41" s="166">
        <f t="shared" si="75"/>
        <v>206437</v>
      </c>
      <c r="AZ41" s="166">
        <f>AZ42+AZ49</f>
        <v>780589</v>
      </c>
      <c r="BA41" s="166">
        <f t="shared" si="75"/>
        <v>967767</v>
      </c>
      <c r="BB41" s="166">
        <f>BB42+BB49</f>
        <v>1378261</v>
      </c>
      <c r="BC41" s="166">
        <f t="shared" si="75"/>
        <v>225479</v>
      </c>
      <c r="BD41" s="166">
        <f>BD42+BD49</f>
        <v>891804</v>
      </c>
      <c r="BE41" s="166">
        <f>BE42+BE49</f>
        <v>1171228</v>
      </c>
      <c r="BF41" s="166">
        <f>BF42+BF49</f>
        <v>1838781</v>
      </c>
      <c r="BG41" s="166">
        <f>BG42+BG49</f>
        <v>435268</v>
      </c>
      <c r="BH41" s="166">
        <f>BH42+BH49</f>
        <v>1690969</v>
      </c>
      <c r="BI41" s="166">
        <f t="shared" ref="BI41:BJ41" si="76">BI42+BI49</f>
        <v>1772850</v>
      </c>
      <c r="BJ41" s="166">
        <f t="shared" si="76"/>
        <v>2777706</v>
      </c>
      <c r="BK41" s="166">
        <f t="shared" ref="BK41:BL41" si="77">BK42+BK49</f>
        <v>424011</v>
      </c>
      <c r="BL41" s="166">
        <f t="shared" si="77"/>
        <v>1799576</v>
      </c>
      <c r="BM41" s="166">
        <f>BM42+BM49</f>
        <v>2160280</v>
      </c>
      <c r="BN41" s="166">
        <f>BN42+BN49</f>
        <v>2999606</v>
      </c>
      <c r="BO41" s="166">
        <f>BO42+BO49</f>
        <v>544328</v>
      </c>
      <c r="BP41" s="166">
        <f>BP42+BP49-1</f>
        <v>1488540</v>
      </c>
      <c r="BQ41" s="166">
        <f>BQ42+BQ49</f>
        <v>2050003</v>
      </c>
      <c r="BR41" s="166">
        <f>BR42+BR49</f>
        <v>2973233</v>
      </c>
    </row>
    <row r="42" spans="2:73" ht="11.25" customHeight="1" x14ac:dyDescent="0.25">
      <c r="B42" s="28"/>
      <c r="C42" s="28"/>
      <c r="D42" s="29"/>
      <c r="E42" s="30" t="s">
        <v>105</v>
      </c>
      <c r="F42" s="28"/>
      <c r="G42" s="28"/>
      <c r="H42" s="31"/>
      <c r="I42" s="168">
        <f t="shared" ref="I42:T42" si="78">SUM(I43:I47)</f>
        <v>312657</v>
      </c>
      <c r="J42" s="168">
        <f t="shared" si="78"/>
        <v>305902</v>
      </c>
      <c r="K42" s="168">
        <f t="shared" si="78"/>
        <v>210132</v>
      </c>
      <c r="L42" s="168">
        <f t="shared" si="78"/>
        <v>201789</v>
      </c>
      <c r="M42" s="168">
        <f t="shared" si="78"/>
        <v>301130</v>
      </c>
      <c r="N42" s="168">
        <f t="shared" si="78"/>
        <v>205458</v>
      </c>
      <c r="O42" s="168">
        <f t="shared" si="78"/>
        <v>139356</v>
      </c>
      <c r="P42" s="168">
        <f t="shared" si="78"/>
        <v>191212</v>
      </c>
      <c r="Q42" s="168">
        <f t="shared" si="78"/>
        <v>333754</v>
      </c>
      <c r="R42" s="168">
        <f t="shared" si="78"/>
        <v>338149</v>
      </c>
      <c r="S42" s="168">
        <f t="shared" si="78"/>
        <v>284812</v>
      </c>
      <c r="T42" s="168">
        <f t="shared" si="78"/>
        <v>264772</v>
      </c>
      <c r="U42" s="168">
        <f t="shared" ref="U42:Z42" si="79">SUM(U43:U47)</f>
        <v>390452</v>
      </c>
      <c r="V42" s="168">
        <f t="shared" si="79"/>
        <v>369910</v>
      </c>
      <c r="W42" s="168">
        <f t="shared" si="79"/>
        <v>195789</v>
      </c>
      <c r="X42" s="168">
        <f t="shared" si="79"/>
        <v>278429</v>
      </c>
      <c r="Y42" s="168">
        <f t="shared" si="79"/>
        <v>402850</v>
      </c>
      <c r="Z42" s="168">
        <f t="shared" si="79"/>
        <v>368518</v>
      </c>
      <c r="AA42" s="168">
        <f t="shared" ref="AA42:AG42" si="80">SUM(AA43:AA47)</f>
        <v>222767</v>
      </c>
      <c r="AB42" s="168">
        <f t="shared" si="80"/>
        <v>351472</v>
      </c>
      <c r="AC42" s="168">
        <f t="shared" si="80"/>
        <v>509443</v>
      </c>
      <c r="AD42" s="168">
        <f t="shared" si="80"/>
        <v>488996</v>
      </c>
      <c r="AE42" s="168">
        <f t="shared" si="80"/>
        <v>75160</v>
      </c>
      <c r="AF42" s="168">
        <f t="shared" si="80"/>
        <v>356688</v>
      </c>
      <c r="AG42" s="168">
        <f t="shared" si="80"/>
        <v>552904</v>
      </c>
      <c r="AH42" s="168">
        <f t="shared" ref="AH42:AS42" si="81">SUM(AH43:AH47)</f>
        <v>536832</v>
      </c>
      <c r="AI42" s="168">
        <f t="shared" si="81"/>
        <v>89957</v>
      </c>
      <c r="AJ42" s="168">
        <f t="shared" si="81"/>
        <v>392504</v>
      </c>
      <c r="AK42" s="168">
        <f t="shared" si="81"/>
        <v>541564</v>
      </c>
      <c r="AL42" s="168">
        <f t="shared" si="81"/>
        <v>512128</v>
      </c>
      <c r="AM42" s="168">
        <f t="shared" si="81"/>
        <v>113786</v>
      </c>
      <c r="AN42" s="168">
        <f t="shared" si="81"/>
        <v>470481</v>
      </c>
      <c r="AO42" s="168">
        <f t="shared" si="81"/>
        <v>560747</v>
      </c>
      <c r="AP42" s="168">
        <f t="shared" si="81"/>
        <v>528676</v>
      </c>
      <c r="AQ42" s="168">
        <f t="shared" si="81"/>
        <v>146805</v>
      </c>
      <c r="AR42" s="168">
        <f t="shared" si="81"/>
        <v>501903</v>
      </c>
      <c r="AS42" s="168">
        <f t="shared" si="81"/>
        <v>537758</v>
      </c>
      <c r="AT42" s="168">
        <f>SUM(AT43:AT48)</f>
        <v>585257</v>
      </c>
      <c r="AU42" s="168">
        <f t="shared" ref="AU42:BC42" si="82">SUM(AU43:AU48)</f>
        <v>168262</v>
      </c>
      <c r="AV42" s="168">
        <f t="shared" si="82"/>
        <v>639413</v>
      </c>
      <c r="AW42" s="168">
        <f t="shared" si="82"/>
        <v>812726</v>
      </c>
      <c r="AX42" s="168">
        <f t="shared" si="82"/>
        <v>845736</v>
      </c>
      <c r="AY42" s="168">
        <f t="shared" si="82"/>
        <v>206437</v>
      </c>
      <c r="AZ42" s="168">
        <f t="shared" si="82"/>
        <v>694307</v>
      </c>
      <c r="BA42" s="168">
        <f t="shared" si="82"/>
        <v>882880</v>
      </c>
      <c r="BB42" s="168">
        <f>SUM(BB43:BB48)</f>
        <v>1017116</v>
      </c>
      <c r="BC42" s="168">
        <f t="shared" si="82"/>
        <v>225479</v>
      </c>
      <c r="BD42" s="168">
        <f>SUM(BD43:BD48)</f>
        <v>809385</v>
      </c>
      <c r="BE42" s="168">
        <f>SUM(BE43:BE48)</f>
        <v>1037125</v>
      </c>
      <c r="BF42" s="168">
        <f>SUM(BF43:BF48)</f>
        <v>1265245</v>
      </c>
      <c r="BG42" s="168">
        <f>SUM(BG43:BG48)</f>
        <v>430537</v>
      </c>
      <c r="BH42" s="168">
        <f>SUM(BH43:BH48)</f>
        <v>1313476</v>
      </c>
      <c r="BI42" s="168">
        <f t="shared" ref="BI42:BJ42" si="83">SUM(BI43:BI48)</f>
        <v>1720671</v>
      </c>
      <c r="BJ42" s="168">
        <f t="shared" si="83"/>
        <v>2120018</v>
      </c>
      <c r="BK42" s="168">
        <f t="shared" ref="BK42:BL42" si="84">SUM(BK43:BK48)</f>
        <v>421366</v>
      </c>
      <c r="BL42" s="168">
        <f t="shared" si="84"/>
        <v>1413938</v>
      </c>
      <c r="BM42" s="168">
        <f t="shared" ref="BM42:BR42" si="85">SUM(BM43:BM48)</f>
        <v>2075384</v>
      </c>
      <c r="BN42" s="168">
        <f t="shared" si="85"/>
        <v>2332887</v>
      </c>
      <c r="BO42" s="168">
        <f t="shared" si="85"/>
        <v>545789</v>
      </c>
      <c r="BP42" s="168">
        <f t="shared" si="85"/>
        <v>1553303</v>
      </c>
      <c r="BQ42" s="168">
        <f t="shared" si="85"/>
        <v>2040902</v>
      </c>
      <c r="BR42" s="168">
        <f t="shared" si="85"/>
        <v>2973233</v>
      </c>
    </row>
    <row r="43" spans="2:73" ht="11.25" customHeight="1" x14ac:dyDescent="0.25">
      <c r="B43" s="28"/>
      <c r="C43" s="28"/>
      <c r="D43" s="29"/>
      <c r="E43" s="32"/>
      <c r="F43" s="32" t="s">
        <v>106</v>
      </c>
      <c r="G43" s="28"/>
      <c r="H43" s="31"/>
      <c r="I43" s="164">
        <v>168421</v>
      </c>
      <c r="J43" s="164">
        <v>219139</v>
      </c>
      <c r="K43" s="164">
        <f>210506-26987</f>
        <v>183519</v>
      </c>
      <c r="L43" s="164">
        <v>62587</v>
      </c>
      <c r="M43" s="164">
        <v>136374</v>
      </c>
      <c r="N43" s="164">
        <v>115842</v>
      </c>
      <c r="O43" s="164">
        <v>74306</v>
      </c>
      <c r="P43" s="164">
        <v>74306</v>
      </c>
      <c r="Q43" s="164">
        <v>166514</v>
      </c>
      <c r="R43" s="164">
        <v>318539</v>
      </c>
      <c r="S43" s="164">
        <v>261716</v>
      </c>
      <c r="T43" s="164">
        <v>141091</v>
      </c>
      <c r="U43" s="164">
        <v>270565</v>
      </c>
      <c r="V43" s="164">
        <v>337157</v>
      </c>
      <c r="W43" s="164">
        <v>171028</v>
      </c>
      <c r="X43" s="164">
        <v>118819</v>
      </c>
      <c r="Y43" s="164">
        <v>234885</v>
      </c>
      <c r="Z43" s="164">
        <v>319506</v>
      </c>
      <c r="AA43" s="164">
        <v>184271</v>
      </c>
      <c r="AB43" s="164">
        <v>138999</v>
      </c>
      <c r="AC43" s="164">
        <v>312712</v>
      </c>
      <c r="AD43" s="164">
        <v>425184</v>
      </c>
      <c r="AE43" s="164">
        <v>40070</v>
      </c>
      <c r="AF43" s="164">
        <v>139117</v>
      </c>
      <c r="AG43" s="164">
        <v>337541</v>
      </c>
      <c r="AH43" s="164">
        <v>468784</v>
      </c>
      <c r="AI43" s="164">
        <v>40529</v>
      </c>
      <c r="AJ43" s="164">
        <v>141635</v>
      </c>
      <c r="AK43" s="164">
        <v>363497</v>
      </c>
      <c r="AL43" s="164">
        <v>418633</v>
      </c>
      <c r="AM43" s="164">
        <v>29354</v>
      </c>
      <c r="AN43" s="164">
        <v>148702</v>
      </c>
      <c r="AO43" s="164">
        <v>341144</v>
      </c>
      <c r="AP43" s="164">
        <v>416461</v>
      </c>
      <c r="AQ43" s="164">
        <v>54410</v>
      </c>
      <c r="AR43" s="164">
        <v>159295</v>
      </c>
      <c r="AS43" s="164">
        <v>349563</v>
      </c>
      <c r="AT43" s="164">
        <f>464239</f>
        <v>464239</v>
      </c>
      <c r="AU43" s="164">
        <v>71809</v>
      </c>
      <c r="AV43" s="164">
        <v>237822</v>
      </c>
      <c r="AW43" s="164">
        <v>582373</v>
      </c>
      <c r="AX43" s="164">
        <v>699945</v>
      </c>
      <c r="AY43" s="164">
        <v>64458</v>
      </c>
      <c r="AZ43" s="164">
        <v>237584</v>
      </c>
      <c r="BA43" s="164">
        <v>631962</v>
      </c>
      <c r="BB43" s="164">
        <v>822653</v>
      </c>
      <c r="BC43" s="164">
        <v>77171</v>
      </c>
      <c r="BD43" s="164">
        <v>271298</v>
      </c>
      <c r="BE43" s="164">
        <v>673876</v>
      </c>
      <c r="BF43" s="164">
        <v>912775</v>
      </c>
      <c r="BG43" s="164">
        <v>92957</v>
      </c>
      <c r="BH43" s="164">
        <v>298405</v>
      </c>
      <c r="BI43" s="164">
        <v>1212214</v>
      </c>
      <c r="BJ43" s="164">
        <v>1621488</v>
      </c>
      <c r="BK43" s="164">
        <v>125249</v>
      </c>
      <c r="BL43" s="164">
        <v>379954</v>
      </c>
      <c r="BM43" s="164">
        <v>1424226</v>
      </c>
      <c r="BN43" s="164">
        <v>1686731</v>
      </c>
      <c r="BO43" s="164">
        <v>160836</v>
      </c>
      <c r="BP43" s="164">
        <v>430167</v>
      </c>
      <c r="BQ43" s="164">
        <v>1477330</v>
      </c>
      <c r="BR43" s="164">
        <v>2536718</v>
      </c>
    </row>
    <row r="44" spans="2:73" ht="11.25" customHeight="1" x14ac:dyDescent="0.25">
      <c r="B44" s="28"/>
      <c r="C44" s="28"/>
      <c r="D44" s="29"/>
      <c r="E44" s="32"/>
      <c r="F44" s="32" t="s">
        <v>107</v>
      </c>
      <c r="G44" s="28"/>
      <c r="H44" s="31"/>
      <c r="I44" s="164">
        <v>103504</v>
      </c>
      <c r="J44" s="164">
        <v>35816</v>
      </c>
      <c r="K44" s="164">
        <v>7430</v>
      </c>
      <c r="L44" s="164">
        <v>117314</v>
      </c>
      <c r="M44" s="164">
        <v>124592</v>
      </c>
      <c r="N44" s="164">
        <v>65707</v>
      </c>
      <c r="O44" s="164">
        <v>55496</v>
      </c>
      <c r="P44" s="164">
        <v>101259</v>
      </c>
      <c r="Q44" s="164">
        <v>147700</v>
      </c>
      <c r="R44" s="164">
        <v>3060</v>
      </c>
      <c r="S44" s="164">
        <v>15519</v>
      </c>
      <c r="T44" s="164">
        <v>97785</v>
      </c>
      <c r="U44" s="164">
        <v>69153</v>
      </c>
      <c r="V44" s="164">
        <v>1559</v>
      </c>
      <c r="W44" s="164">
        <v>16368</v>
      </c>
      <c r="X44" s="164">
        <v>125096</v>
      </c>
      <c r="Y44" s="164">
        <v>98393</v>
      </c>
      <c r="Z44" s="164">
        <v>1759</v>
      </c>
      <c r="AA44" s="164">
        <v>26991</v>
      </c>
      <c r="AB44" s="164">
        <v>176551</v>
      </c>
      <c r="AC44" s="164">
        <v>125008</v>
      </c>
      <c r="AD44" s="164">
        <v>2727</v>
      </c>
      <c r="AE44" s="164">
        <v>28147</v>
      </c>
      <c r="AF44" s="164">
        <v>190533</v>
      </c>
      <c r="AG44" s="164">
        <v>161877</v>
      </c>
      <c r="AH44" s="164">
        <v>1484</v>
      </c>
      <c r="AI44" s="164">
        <v>36906</v>
      </c>
      <c r="AJ44" s="164">
        <v>217837</v>
      </c>
      <c r="AK44" s="164">
        <v>108042</v>
      </c>
      <c r="AL44" s="164">
        <v>9016</v>
      </c>
      <c r="AM44" s="164">
        <v>66059</v>
      </c>
      <c r="AN44" s="164">
        <v>279538</v>
      </c>
      <c r="AO44" s="164">
        <v>130332</v>
      </c>
      <c r="AP44" s="164">
        <v>13804</v>
      </c>
      <c r="AQ44" s="164">
        <v>70009</v>
      </c>
      <c r="AR44" s="164">
        <v>289103</v>
      </c>
      <c r="AS44" s="164">
        <v>107863</v>
      </c>
      <c r="AT44" s="164">
        <v>11532</v>
      </c>
      <c r="AU44" s="164">
        <v>71622</v>
      </c>
      <c r="AV44" s="164">
        <v>341828</v>
      </c>
      <c r="AW44" s="164">
        <v>76093</v>
      </c>
      <c r="AX44" s="164">
        <v>9868</v>
      </c>
      <c r="AY44" s="164">
        <v>104078</v>
      </c>
      <c r="AZ44" s="164">
        <v>378072</v>
      </c>
      <c r="BA44" s="164">
        <v>61314</v>
      </c>
      <c r="BB44" s="164">
        <v>15727</v>
      </c>
      <c r="BC44" s="164">
        <v>79236</v>
      </c>
      <c r="BD44" s="164">
        <v>364608</v>
      </c>
      <c r="BE44" s="164">
        <v>93758</v>
      </c>
      <c r="BF44" s="164">
        <v>16344</v>
      </c>
      <c r="BG44" s="164">
        <v>181395</v>
      </c>
      <c r="BH44" s="164">
        <v>833416</v>
      </c>
      <c r="BI44" s="164">
        <v>50843</v>
      </c>
      <c r="BJ44" s="164">
        <v>9293</v>
      </c>
      <c r="BK44" s="164">
        <v>159268</v>
      </c>
      <c r="BL44" s="164">
        <v>902875</v>
      </c>
      <c r="BM44" s="164">
        <v>90335</v>
      </c>
      <c r="BN44" s="164">
        <v>31846</v>
      </c>
      <c r="BO44" s="164">
        <v>216417</v>
      </c>
      <c r="BP44" s="164">
        <v>897312</v>
      </c>
      <c r="BQ44" s="164">
        <v>170324</v>
      </c>
      <c r="BR44" s="164">
        <v>61910</v>
      </c>
    </row>
    <row r="45" spans="2:73" ht="11.25" customHeight="1" x14ac:dyDescent="0.25">
      <c r="B45" s="28"/>
      <c r="C45" s="28"/>
      <c r="D45" s="29"/>
      <c r="E45" s="32"/>
      <c r="F45" s="32" t="s">
        <v>108</v>
      </c>
      <c r="G45" s="28"/>
      <c r="H45" s="31"/>
      <c r="I45" s="164">
        <v>33246</v>
      </c>
      <c r="J45" s="164">
        <v>42229</v>
      </c>
      <c r="K45" s="164">
        <v>4949</v>
      </c>
      <c r="L45" s="164">
        <v>18109</v>
      </c>
      <c r="M45" s="164">
        <v>28528</v>
      </c>
      <c r="N45" s="164">
        <v>14468</v>
      </c>
      <c r="O45" s="164">
        <f>3643+505</f>
        <v>4148</v>
      </c>
      <c r="P45" s="164">
        <v>13863</v>
      </c>
      <c r="Q45" s="164">
        <v>17756</v>
      </c>
      <c r="R45" s="164">
        <v>13097</v>
      </c>
      <c r="S45" s="164">
        <v>3258</v>
      </c>
      <c r="T45" s="164">
        <v>20308</v>
      </c>
      <c r="U45" s="164">
        <v>44631</v>
      </c>
      <c r="V45" s="164">
        <v>23774</v>
      </c>
      <c r="W45" s="164">
        <f>4243+1159</f>
        <v>5402</v>
      </c>
      <c r="X45" s="164">
        <v>29534</v>
      </c>
      <c r="Y45" s="164">
        <v>64443</v>
      </c>
      <c r="Z45" s="164">
        <v>37457</v>
      </c>
      <c r="AA45" s="164">
        <v>3602</v>
      </c>
      <c r="AB45" s="164">
        <v>29858</v>
      </c>
      <c r="AC45" s="164">
        <v>61187</v>
      </c>
      <c r="AD45" s="164">
        <v>46493</v>
      </c>
      <c r="AE45" s="164">
        <v>2421</v>
      </c>
      <c r="AF45" s="164">
        <v>16835</v>
      </c>
      <c r="AG45" s="164">
        <v>39565</v>
      </c>
      <c r="AH45" s="164">
        <v>45680</v>
      </c>
      <c r="AI45" s="164">
        <v>6702</v>
      </c>
      <c r="AJ45" s="164">
        <v>22628</v>
      </c>
      <c r="AK45" s="164">
        <v>65918</v>
      </c>
      <c r="AL45" s="164">
        <v>77705</v>
      </c>
      <c r="AM45" s="164">
        <v>11748</v>
      </c>
      <c r="AN45" s="164">
        <v>32904</v>
      </c>
      <c r="AO45" s="164">
        <v>83535</v>
      </c>
      <c r="AP45" s="164">
        <v>92122</v>
      </c>
      <c r="AQ45" s="164">
        <v>16717</v>
      </c>
      <c r="AR45" s="164">
        <v>37359</v>
      </c>
      <c r="AS45" s="164">
        <v>71494</v>
      </c>
      <c r="AT45" s="164">
        <v>101542</v>
      </c>
      <c r="AU45" s="164">
        <v>15624</v>
      </c>
      <c r="AV45" s="164">
        <v>40917</v>
      </c>
      <c r="AW45" s="164">
        <v>144094</v>
      </c>
      <c r="AX45" s="164">
        <v>127319</v>
      </c>
      <c r="AY45" s="164">
        <v>25181</v>
      </c>
      <c r="AZ45" s="164">
        <v>43959</v>
      </c>
      <c r="BA45" s="164">
        <v>162442</v>
      </c>
      <c r="BB45" s="164">
        <v>150617</v>
      </c>
      <c r="BC45" s="164">
        <v>25264</v>
      </c>
      <c r="BD45" s="164">
        <v>58337</v>
      </c>
      <c r="BE45" s="164">
        <v>219870</v>
      </c>
      <c r="BF45" s="164">
        <v>245899</v>
      </c>
      <c r="BG45" s="164">
        <v>28378</v>
      </c>
      <c r="BH45" s="164">
        <v>88314</v>
      </c>
      <c r="BI45" s="164">
        <v>346609</v>
      </c>
      <c r="BJ45" s="164">
        <v>391489</v>
      </c>
      <c r="BK45" s="164">
        <v>45682</v>
      </c>
      <c r="BL45" s="164">
        <v>82411</v>
      </c>
      <c r="BM45" s="164">
        <v>466973</v>
      </c>
      <c r="BN45" s="164">
        <v>479407</v>
      </c>
      <c r="BO45" s="164">
        <v>41766</v>
      </c>
      <c r="BP45" s="164">
        <v>80783</v>
      </c>
      <c r="BQ45" s="164">
        <v>312449</v>
      </c>
      <c r="BR45" s="164">
        <v>214240</v>
      </c>
    </row>
    <row r="46" spans="2:73" ht="11.25" customHeight="1" x14ac:dyDescent="0.25">
      <c r="B46" s="28"/>
      <c r="C46" s="28"/>
      <c r="D46" s="29"/>
      <c r="E46" s="32"/>
      <c r="F46" s="32" t="s">
        <v>109</v>
      </c>
      <c r="G46" s="28"/>
      <c r="H46" s="31"/>
      <c r="I46" s="164">
        <v>5663</v>
      </c>
      <c r="J46" s="164">
        <v>7142</v>
      </c>
      <c r="K46" s="164">
        <v>8822</v>
      </c>
      <c r="L46" s="164">
        <v>3036</v>
      </c>
      <c r="M46" s="164">
        <v>8308</v>
      </c>
      <c r="N46" s="164">
        <v>5648</v>
      </c>
      <c r="O46" s="164">
        <f>2965</f>
        <v>2965</v>
      </c>
      <c r="P46" s="164">
        <v>1455</v>
      </c>
      <c r="Q46" s="164">
        <v>1455</v>
      </c>
      <c r="R46" s="164">
        <v>3241</v>
      </c>
      <c r="S46" s="164">
        <v>2444</v>
      </c>
      <c r="T46" s="164">
        <v>3221</v>
      </c>
      <c r="U46" s="164">
        <v>5083</v>
      </c>
      <c r="V46" s="164">
        <v>4804</v>
      </c>
      <c r="W46" s="164">
        <v>397</v>
      </c>
      <c r="X46" s="164">
        <v>1670</v>
      </c>
      <c r="Y46" s="164">
        <v>2854</v>
      </c>
      <c r="Z46" s="164">
        <v>3702</v>
      </c>
      <c r="AA46" s="164">
        <v>391</v>
      </c>
      <c r="AB46" s="164">
        <v>1343</v>
      </c>
      <c r="AC46" s="164">
        <v>2126</v>
      </c>
      <c r="AD46" s="164">
        <v>2869</v>
      </c>
      <c r="AE46" s="164">
        <v>245</v>
      </c>
      <c r="AF46" s="164">
        <v>1099</v>
      </c>
      <c r="AG46" s="164">
        <v>1665</v>
      </c>
      <c r="AH46" s="164">
        <v>2129</v>
      </c>
      <c r="AI46" s="164">
        <v>1060</v>
      </c>
      <c r="AJ46" s="164">
        <v>0</v>
      </c>
      <c r="AK46" s="164">
        <v>0</v>
      </c>
      <c r="AL46" s="164">
        <v>0</v>
      </c>
      <c r="AM46" s="164">
        <v>0</v>
      </c>
      <c r="AN46" s="164">
        <v>0</v>
      </c>
      <c r="AO46" s="164">
        <v>0</v>
      </c>
      <c r="AP46" s="164">
        <v>0</v>
      </c>
      <c r="AQ46" s="164">
        <v>0</v>
      </c>
      <c r="AR46" s="164">
        <v>0</v>
      </c>
      <c r="AS46" s="164">
        <v>0</v>
      </c>
      <c r="AT46" s="164">
        <v>0</v>
      </c>
      <c r="AU46" s="164">
        <v>0</v>
      </c>
      <c r="AV46" s="164">
        <v>0</v>
      </c>
      <c r="AW46" s="164">
        <v>0</v>
      </c>
      <c r="AX46" s="164">
        <v>0</v>
      </c>
      <c r="AY46" s="164">
        <v>0</v>
      </c>
      <c r="AZ46" s="164">
        <v>0</v>
      </c>
      <c r="BA46" s="164">
        <v>0</v>
      </c>
      <c r="BB46" s="164">
        <v>0</v>
      </c>
      <c r="BC46" s="164">
        <v>0</v>
      </c>
      <c r="BD46" s="164">
        <v>0</v>
      </c>
      <c r="BE46" s="164">
        <v>0</v>
      </c>
      <c r="BF46" s="164">
        <v>0</v>
      </c>
      <c r="BG46" s="164">
        <v>0</v>
      </c>
      <c r="BH46" s="164">
        <v>0</v>
      </c>
      <c r="BI46" s="164">
        <v>0</v>
      </c>
      <c r="BJ46" s="164">
        <v>0</v>
      </c>
      <c r="BK46" s="164">
        <v>0</v>
      </c>
      <c r="BL46" s="164">
        <v>0</v>
      </c>
      <c r="BM46" s="164">
        <v>0</v>
      </c>
      <c r="BN46" s="164">
        <v>0</v>
      </c>
      <c r="BO46" s="164">
        <v>0</v>
      </c>
      <c r="BP46" s="164">
        <v>0</v>
      </c>
      <c r="BQ46" s="164">
        <v>0</v>
      </c>
      <c r="BR46" s="164">
        <v>0</v>
      </c>
    </row>
    <row r="47" spans="2:73" ht="11.25" customHeight="1" x14ac:dyDescent="0.25">
      <c r="B47" s="28"/>
      <c r="C47" s="28"/>
      <c r="D47" s="29"/>
      <c r="E47" s="32"/>
      <c r="F47" s="32" t="s">
        <v>110</v>
      </c>
      <c r="G47" s="28"/>
      <c r="H47" s="31"/>
      <c r="I47" s="164">
        <f>419+1404</f>
        <v>1823</v>
      </c>
      <c r="J47" s="164">
        <v>1576</v>
      </c>
      <c r="K47" s="164">
        <v>5412</v>
      </c>
      <c r="L47" s="164">
        <v>743</v>
      </c>
      <c r="M47" s="164">
        <v>3328</v>
      </c>
      <c r="N47" s="164">
        <v>3793</v>
      </c>
      <c r="O47" s="164">
        <v>2441</v>
      </c>
      <c r="P47" s="164">
        <v>329</v>
      </c>
      <c r="Q47" s="164">
        <v>329</v>
      </c>
      <c r="R47" s="164">
        <v>212</v>
      </c>
      <c r="S47" s="164">
        <v>1875</v>
      </c>
      <c r="T47" s="164">
        <v>2367</v>
      </c>
      <c r="U47" s="164">
        <v>1020</v>
      </c>
      <c r="V47" s="164">
        <v>2616</v>
      </c>
      <c r="W47" s="164">
        <v>2594</v>
      </c>
      <c r="X47" s="164">
        <v>3310</v>
      </c>
      <c r="Y47" s="164">
        <v>2275</v>
      </c>
      <c r="Z47" s="164">
        <v>6094</v>
      </c>
      <c r="AA47" s="164">
        <f>102+7410</f>
        <v>7512</v>
      </c>
      <c r="AB47" s="164">
        <v>4721</v>
      </c>
      <c r="AC47" s="164">
        <v>8410</v>
      </c>
      <c r="AD47" s="164">
        <v>11723</v>
      </c>
      <c r="AE47" s="164">
        <v>4277</v>
      </c>
      <c r="AF47" s="164">
        <v>9104</v>
      </c>
      <c r="AG47" s="164">
        <v>12256</v>
      </c>
      <c r="AH47" s="164">
        <v>18755</v>
      </c>
      <c r="AI47" s="164">
        <v>4760</v>
      </c>
      <c r="AJ47" s="164">
        <v>10404</v>
      </c>
      <c r="AK47" s="164">
        <v>4107</v>
      </c>
      <c r="AL47" s="164">
        <v>6774</v>
      </c>
      <c r="AM47" s="164">
        <v>6625</v>
      </c>
      <c r="AN47" s="164">
        <v>9337</v>
      </c>
      <c r="AO47" s="164">
        <v>5736</v>
      </c>
      <c r="AP47" s="164">
        <v>6289</v>
      </c>
      <c r="AQ47" s="164">
        <v>5669</v>
      </c>
      <c r="AR47" s="164">
        <v>16146</v>
      </c>
      <c r="AS47" s="164">
        <v>8838</v>
      </c>
      <c r="AT47" s="164">
        <v>6841</v>
      </c>
      <c r="AU47" s="164">
        <v>5887</v>
      </c>
      <c r="AV47" s="164">
        <v>18209</v>
      </c>
      <c r="AW47" s="164">
        <v>9490</v>
      </c>
      <c r="AX47" s="164">
        <v>4568</v>
      </c>
      <c r="AY47" s="164">
        <v>4997</v>
      </c>
      <c r="AZ47" s="164">
        <v>33646</v>
      </c>
      <c r="BA47" s="164">
        <v>25712</v>
      </c>
      <c r="BB47" s="164">
        <v>4911</v>
      </c>
      <c r="BC47" s="164">
        <v>17702</v>
      </c>
      <c r="BD47" s="164">
        <v>94386</v>
      </c>
      <c r="BE47" s="164">
        <v>8009</v>
      </c>
      <c r="BF47" s="164">
        <v>9000</v>
      </c>
      <c r="BG47" s="164">
        <v>27921</v>
      </c>
      <c r="BH47" s="164">
        <v>22425</v>
      </c>
      <c r="BI47" s="164">
        <v>52497</v>
      </c>
      <c r="BJ47" s="164">
        <v>35923</v>
      </c>
      <c r="BK47" s="164">
        <v>25480</v>
      </c>
      <c r="BL47" s="164">
        <v>706</v>
      </c>
      <c r="BM47" s="164">
        <v>16485</v>
      </c>
      <c r="BN47" s="164">
        <v>29642</v>
      </c>
      <c r="BO47" s="164">
        <v>30129</v>
      </c>
      <c r="BP47" s="164">
        <v>96287</v>
      </c>
      <c r="BQ47" s="164">
        <v>36580</v>
      </c>
      <c r="BR47" s="164">
        <v>64049</v>
      </c>
    </row>
    <row r="48" spans="2:73" ht="11.25" customHeight="1" x14ac:dyDescent="0.25">
      <c r="B48" s="28"/>
      <c r="C48" s="28"/>
      <c r="D48" s="29"/>
      <c r="E48" s="32"/>
      <c r="F48" s="32" t="s">
        <v>111</v>
      </c>
      <c r="G48" s="28"/>
      <c r="H48" s="31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>
        <v>1103</v>
      </c>
      <c r="AU48" s="164">
        <v>3320</v>
      </c>
      <c r="AV48" s="164">
        <v>637</v>
      </c>
      <c r="AW48" s="164">
        <v>676</v>
      </c>
      <c r="AX48" s="164">
        <v>4036</v>
      </c>
      <c r="AY48" s="164">
        <v>7723</v>
      </c>
      <c r="AZ48" s="164">
        <v>1046</v>
      </c>
      <c r="BA48" s="164">
        <v>1450</v>
      </c>
      <c r="BB48" s="164">
        <v>23208</v>
      </c>
      <c r="BC48" s="164">
        <v>26106</v>
      </c>
      <c r="BD48" s="164">
        <v>20756</v>
      </c>
      <c r="BE48" s="164">
        <v>41612</v>
      </c>
      <c r="BF48" s="164">
        <v>81227</v>
      </c>
      <c r="BG48" s="164">
        <v>99886</v>
      </c>
      <c r="BH48" s="164">
        <v>70916</v>
      </c>
      <c r="BI48" s="164">
        <v>58508</v>
      </c>
      <c r="BJ48" s="164">
        <v>61825</v>
      </c>
      <c r="BK48" s="164">
        <v>65687</v>
      </c>
      <c r="BL48" s="164">
        <v>47992</v>
      </c>
      <c r="BM48" s="164">
        <v>77365</v>
      </c>
      <c r="BN48" s="164">
        <v>105261</v>
      </c>
      <c r="BO48" s="164">
        <v>96641</v>
      </c>
      <c r="BP48" s="164">
        <v>48754</v>
      </c>
      <c r="BQ48" s="164">
        <v>44219</v>
      </c>
      <c r="BR48" s="164">
        <v>96316</v>
      </c>
    </row>
    <row r="49" spans="2:70" ht="11.25" customHeight="1" x14ac:dyDescent="0.25">
      <c r="B49" s="28"/>
      <c r="C49" s="28"/>
      <c r="D49" s="29"/>
      <c r="E49" s="30" t="s">
        <v>112</v>
      </c>
      <c r="F49" s="28"/>
      <c r="G49" s="28"/>
      <c r="H49" s="31"/>
      <c r="I49" s="168">
        <f>SUM(I50:I54)</f>
        <v>0</v>
      </c>
      <c r="J49" s="168">
        <f t="shared" ref="J49:T49" si="86">SUM(J50:J54)</f>
        <v>0</v>
      </c>
      <c r="K49" s="168">
        <f t="shared" si="86"/>
        <v>0</v>
      </c>
      <c r="L49" s="168">
        <f t="shared" si="86"/>
        <v>0</v>
      </c>
      <c r="M49" s="168">
        <f t="shared" si="86"/>
        <v>0</v>
      </c>
      <c r="N49" s="168">
        <f t="shared" si="86"/>
        <v>0</v>
      </c>
      <c r="O49" s="168">
        <f t="shared" si="86"/>
        <v>0</v>
      </c>
      <c r="P49" s="168">
        <f t="shared" si="86"/>
        <v>0</v>
      </c>
      <c r="Q49" s="168">
        <f t="shared" si="86"/>
        <v>0</v>
      </c>
      <c r="R49" s="168">
        <f t="shared" si="86"/>
        <v>0</v>
      </c>
      <c r="S49" s="168">
        <f t="shared" si="86"/>
        <v>0</v>
      </c>
      <c r="T49" s="168">
        <f t="shared" si="86"/>
        <v>0</v>
      </c>
      <c r="U49" s="168">
        <f t="shared" ref="U49:Z49" si="87">SUM(U50:U54)</f>
        <v>0</v>
      </c>
      <c r="V49" s="168">
        <f t="shared" si="87"/>
        <v>-4869</v>
      </c>
      <c r="W49" s="168">
        <f t="shared" si="87"/>
        <v>10989</v>
      </c>
      <c r="X49" s="168">
        <f t="shared" si="87"/>
        <v>24975</v>
      </c>
      <c r="Y49" s="168">
        <f t="shared" si="87"/>
        <v>-14033</v>
      </c>
      <c r="Z49" s="168">
        <f t="shared" si="87"/>
        <v>63369</v>
      </c>
      <c r="AA49" s="168">
        <f t="shared" ref="AA49:AF49" si="88">SUM(AA50:AA54)</f>
        <v>50265</v>
      </c>
      <c r="AB49" s="168">
        <f t="shared" si="88"/>
        <v>27009</v>
      </c>
      <c r="AC49" s="168">
        <f t="shared" si="88"/>
        <v>26887</v>
      </c>
      <c r="AD49" s="168">
        <f t="shared" si="88"/>
        <v>37728</v>
      </c>
      <c r="AE49" s="168">
        <f t="shared" si="88"/>
        <v>1053</v>
      </c>
      <c r="AF49" s="168">
        <f t="shared" si="88"/>
        <v>17684</v>
      </c>
      <c r="AG49" s="168">
        <f>SUM(AG50:AG54)</f>
        <v>49248</v>
      </c>
      <c r="AH49" s="168">
        <f t="shared" ref="AH49:BC49" si="89">SUM(AH50:AH54)</f>
        <v>69289</v>
      </c>
      <c r="AI49" s="168">
        <f t="shared" si="89"/>
        <v>237</v>
      </c>
      <c r="AJ49" s="168">
        <f t="shared" si="89"/>
        <v>31201</v>
      </c>
      <c r="AK49" s="168">
        <f>SUM(AK50:AK54)</f>
        <v>45</v>
      </c>
      <c r="AL49" s="168">
        <f t="shared" si="89"/>
        <v>11292</v>
      </c>
      <c r="AM49" s="168">
        <f t="shared" si="89"/>
        <v>0</v>
      </c>
      <c r="AN49" s="168">
        <f t="shared" si="89"/>
        <v>50693</v>
      </c>
      <c r="AO49" s="168">
        <f t="shared" si="89"/>
        <v>17778</v>
      </c>
      <c r="AP49" s="168">
        <f t="shared" si="89"/>
        <v>95679</v>
      </c>
      <c r="AQ49" s="168">
        <f t="shared" si="89"/>
        <v>0</v>
      </c>
      <c r="AR49" s="168">
        <f t="shared" si="89"/>
        <v>21094</v>
      </c>
      <c r="AS49" s="168">
        <f t="shared" si="89"/>
        <v>88535</v>
      </c>
      <c r="AT49" s="168">
        <f t="shared" si="89"/>
        <v>211256</v>
      </c>
      <c r="AU49" s="168">
        <f t="shared" si="89"/>
        <v>0</v>
      </c>
      <c r="AV49" s="168">
        <f t="shared" si="89"/>
        <v>65977</v>
      </c>
      <c r="AW49" s="168">
        <f t="shared" si="89"/>
        <v>32511</v>
      </c>
      <c r="AX49" s="168">
        <f t="shared" si="89"/>
        <v>322803</v>
      </c>
      <c r="AY49" s="168">
        <f t="shared" si="89"/>
        <v>0</v>
      </c>
      <c r="AZ49" s="168">
        <f>SUM(AZ50:AZ54)</f>
        <v>86282</v>
      </c>
      <c r="BA49" s="168">
        <f t="shared" si="89"/>
        <v>84887</v>
      </c>
      <c r="BB49" s="168">
        <f t="shared" si="89"/>
        <v>361145</v>
      </c>
      <c r="BC49" s="168">
        <f t="shared" si="89"/>
        <v>0</v>
      </c>
      <c r="BD49" s="168">
        <f>SUM(BD50:BD54)</f>
        <v>82419</v>
      </c>
      <c r="BE49" s="168">
        <f>SUM(BE50:BE54)</f>
        <v>134103</v>
      </c>
      <c r="BF49" s="168">
        <f>SUM(BF50:BF54)</f>
        <v>573536</v>
      </c>
      <c r="BG49" s="168">
        <f>SUM(BG50:BG54)</f>
        <v>4731</v>
      </c>
      <c r="BH49" s="168">
        <f>SUM(BH50:BH54)</f>
        <v>377493</v>
      </c>
      <c r="BI49" s="168">
        <f t="shared" ref="BI49:BJ49" si="90">SUM(BI50:BI54)</f>
        <v>52179</v>
      </c>
      <c r="BJ49" s="168">
        <f t="shared" si="90"/>
        <v>657688</v>
      </c>
      <c r="BK49" s="168">
        <f t="shared" ref="BK49:BM49" si="91">SUM(BK50:BK54)</f>
        <v>2645</v>
      </c>
      <c r="BL49" s="168">
        <f t="shared" si="91"/>
        <v>385638</v>
      </c>
      <c r="BM49" s="168">
        <f t="shared" si="91"/>
        <v>84896</v>
      </c>
      <c r="BN49" s="168">
        <f t="shared" ref="BN49:BO49" si="92">SUM(BN50:BN54)</f>
        <v>666719</v>
      </c>
      <c r="BO49" s="168">
        <f t="shared" si="92"/>
        <v>-1461</v>
      </c>
      <c r="BP49" s="168">
        <f t="shared" ref="BP49" si="93">SUM(BP50:BP54)</f>
        <v>-64762</v>
      </c>
      <c r="BQ49" s="168">
        <f>SUM(BQ50:BQ54)</f>
        <v>9101</v>
      </c>
      <c r="BR49" s="168">
        <f>SUM(BR50:BR54)</f>
        <v>0</v>
      </c>
    </row>
    <row r="50" spans="2:70" ht="11.25" customHeight="1" x14ac:dyDescent="0.25">
      <c r="B50" s="28"/>
      <c r="C50" s="28"/>
      <c r="D50" s="29"/>
      <c r="E50" s="32"/>
      <c r="F50" s="32" t="s">
        <v>106</v>
      </c>
      <c r="G50" s="28"/>
      <c r="H50" s="31"/>
      <c r="I50" s="164">
        <f>0</f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  <c r="O50" s="164">
        <v>0</v>
      </c>
      <c r="P50" s="164">
        <v>0</v>
      </c>
      <c r="Q50" s="164">
        <v>0</v>
      </c>
      <c r="R50" s="164">
        <v>0</v>
      </c>
      <c r="S50" s="164">
        <v>0</v>
      </c>
      <c r="T50" s="164">
        <v>0</v>
      </c>
      <c r="U50" s="164">
        <v>0</v>
      </c>
      <c r="V50" s="164">
        <v>-14788</v>
      </c>
      <c r="W50" s="164">
        <v>10997</v>
      </c>
      <c r="X50" s="164">
        <v>5093</v>
      </c>
      <c r="Y50" s="164">
        <v>617</v>
      </c>
      <c r="Z50" s="164">
        <v>64862</v>
      </c>
      <c r="AA50" s="164">
        <v>50265</v>
      </c>
      <c r="AB50" s="164">
        <v>9014</v>
      </c>
      <c r="AC50" s="164">
        <v>0</v>
      </c>
      <c r="AD50" s="164">
        <v>38909</v>
      </c>
      <c r="AE50" s="164">
        <v>1469</v>
      </c>
      <c r="AF50" s="164">
        <v>0</v>
      </c>
      <c r="AG50" s="164">
        <v>0</v>
      </c>
      <c r="AH50" s="164">
        <v>66026</v>
      </c>
      <c r="AI50" s="164">
        <v>237</v>
      </c>
      <c r="AJ50" s="164">
        <v>0</v>
      </c>
      <c r="AK50" s="164">
        <v>0</v>
      </c>
      <c r="AL50" s="164">
        <v>0</v>
      </c>
      <c r="AM50" s="164">
        <v>0</v>
      </c>
      <c r="AN50" s="164"/>
      <c r="AO50" s="164"/>
      <c r="AP50" s="164">
        <v>101159</v>
      </c>
      <c r="AQ50" s="164">
        <v>0</v>
      </c>
      <c r="AR50" s="164">
        <v>0</v>
      </c>
      <c r="AS50" s="164">
        <v>0</v>
      </c>
      <c r="AT50" s="164">
        <v>199860</v>
      </c>
      <c r="AU50" s="164">
        <v>0</v>
      </c>
      <c r="AV50" s="164">
        <v>0</v>
      </c>
      <c r="AW50" s="164">
        <v>0</v>
      </c>
      <c r="AX50" s="164">
        <v>305069</v>
      </c>
      <c r="AY50" s="164">
        <v>0</v>
      </c>
      <c r="AZ50" s="164">
        <v>0</v>
      </c>
      <c r="BA50" s="164">
        <v>0</v>
      </c>
      <c r="BB50" s="164">
        <v>315914</v>
      </c>
      <c r="BC50" s="164">
        <v>0</v>
      </c>
      <c r="BD50" s="164">
        <v>0</v>
      </c>
      <c r="BE50" s="164">
        <v>0</v>
      </c>
      <c r="BF50" s="164">
        <v>494843</v>
      </c>
      <c r="BG50" s="164">
        <v>0</v>
      </c>
      <c r="BH50" s="164">
        <v>371596</v>
      </c>
      <c r="BI50" s="164">
        <v>0</v>
      </c>
      <c r="BJ50" s="164">
        <v>568557</v>
      </c>
      <c r="BK50" s="164">
        <v>0</v>
      </c>
      <c r="BL50" s="164">
        <v>0</v>
      </c>
      <c r="BM50" s="164">
        <v>0</v>
      </c>
      <c r="BN50" s="164">
        <v>592010</v>
      </c>
      <c r="BO50" s="164"/>
      <c r="BP50" s="164"/>
      <c r="BQ50" s="164"/>
      <c r="BR50" s="164"/>
    </row>
    <row r="51" spans="2:70" ht="11.25" customHeight="1" x14ac:dyDescent="0.25">
      <c r="B51" s="28"/>
      <c r="C51" s="28"/>
      <c r="D51" s="29"/>
      <c r="E51" s="32"/>
      <c r="F51" s="32" t="s">
        <v>107</v>
      </c>
      <c r="G51" s="28"/>
      <c r="H51" s="31"/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  <c r="O51" s="164">
        <v>0</v>
      </c>
      <c r="P51" s="164">
        <v>0</v>
      </c>
      <c r="Q51" s="164">
        <v>0</v>
      </c>
      <c r="R51" s="164">
        <v>0</v>
      </c>
      <c r="S51" s="164">
        <v>0</v>
      </c>
      <c r="T51" s="164">
        <v>0</v>
      </c>
      <c r="U51" s="164">
        <v>0</v>
      </c>
      <c r="V51" s="164">
        <v>31</v>
      </c>
      <c r="W51" s="164">
        <v>0</v>
      </c>
      <c r="X51" s="164">
        <v>19882</v>
      </c>
      <c r="Y51" s="164">
        <v>-12170</v>
      </c>
      <c r="Z51" s="164">
        <v>0</v>
      </c>
      <c r="AA51" s="164">
        <v>0</v>
      </c>
      <c r="AB51" s="164">
        <v>17995</v>
      </c>
      <c r="AC51" s="164">
        <v>28276</v>
      </c>
      <c r="AD51" s="164">
        <v>0</v>
      </c>
      <c r="AE51" s="164">
        <v>0</v>
      </c>
      <c r="AF51" s="164">
        <v>17684</v>
      </c>
      <c r="AG51" s="164">
        <v>49591</v>
      </c>
      <c r="AH51" s="164">
        <v>0</v>
      </c>
      <c r="AI51" s="164">
        <v>0</v>
      </c>
      <c r="AJ51" s="164">
        <v>31201</v>
      </c>
      <c r="AK51" s="164">
        <v>-440</v>
      </c>
      <c r="AL51" s="164">
        <v>-14220</v>
      </c>
      <c r="AM51" s="164">
        <v>0</v>
      </c>
      <c r="AN51" s="164">
        <v>50693</v>
      </c>
      <c r="AO51" s="164">
        <v>17746</v>
      </c>
      <c r="AP51" s="164"/>
      <c r="AQ51" s="164">
        <v>0</v>
      </c>
      <c r="AR51" s="164">
        <v>21119</v>
      </c>
      <c r="AS51" s="164">
        <v>84548</v>
      </c>
      <c r="AT51" s="164">
        <v>0</v>
      </c>
      <c r="AU51" s="164">
        <v>0</v>
      </c>
      <c r="AV51" s="164">
        <v>65873</v>
      </c>
      <c r="AW51" s="164">
        <v>29258</v>
      </c>
      <c r="AX51" s="164">
        <v>0</v>
      </c>
      <c r="AY51" s="164">
        <v>0</v>
      </c>
      <c r="AZ51" s="164">
        <v>83856</v>
      </c>
      <c r="BA51" s="164">
        <v>46120</v>
      </c>
      <c r="BB51" s="164">
        <v>0</v>
      </c>
      <c r="BC51" s="164">
        <v>0</v>
      </c>
      <c r="BD51" s="164">
        <v>82419</v>
      </c>
      <c r="BE51" s="164">
        <v>120388</v>
      </c>
      <c r="BF51" s="164">
        <v>0</v>
      </c>
      <c r="BG51" s="164">
        <v>0</v>
      </c>
      <c r="BH51" s="164">
        <v>0</v>
      </c>
      <c r="BI51" s="164">
        <v>47800</v>
      </c>
      <c r="BJ51" s="164">
        <v>0</v>
      </c>
      <c r="BK51" s="164">
        <v>0</v>
      </c>
      <c r="BL51" s="164">
        <v>385638</v>
      </c>
      <c r="BM51" s="164">
        <v>82773</v>
      </c>
      <c r="BN51" s="164">
        <v>0</v>
      </c>
      <c r="BO51" s="164">
        <v>0</v>
      </c>
      <c r="BP51" s="164">
        <v>-64762</v>
      </c>
      <c r="BQ51" s="164">
        <v>9101</v>
      </c>
      <c r="BR51" s="164"/>
    </row>
    <row r="52" spans="2:70" ht="11.25" customHeight="1" x14ac:dyDescent="0.25">
      <c r="B52" s="28"/>
      <c r="C52" s="28"/>
      <c r="D52" s="29"/>
      <c r="E52" s="32"/>
      <c r="F52" s="32" t="s">
        <v>108</v>
      </c>
      <c r="G52" s="28"/>
      <c r="H52" s="31"/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4">
        <v>0</v>
      </c>
      <c r="R52" s="164">
        <v>0</v>
      </c>
      <c r="S52" s="164">
        <v>0</v>
      </c>
      <c r="T52" s="164">
        <v>0</v>
      </c>
      <c r="U52" s="164">
        <v>0</v>
      </c>
      <c r="V52" s="164">
        <v>8729</v>
      </c>
      <c r="W52" s="164">
        <v>0</v>
      </c>
      <c r="X52" s="164">
        <v>0</v>
      </c>
      <c r="Y52" s="164">
        <v>-2480</v>
      </c>
      <c r="Z52" s="164">
        <v>-1809</v>
      </c>
      <c r="AA52" s="164">
        <v>0</v>
      </c>
      <c r="AB52" s="164">
        <v>0</v>
      </c>
      <c r="AC52" s="164">
        <v>-1389</v>
      </c>
      <c r="AD52" s="164">
        <v>-1178</v>
      </c>
      <c r="AE52" s="164">
        <v>-39</v>
      </c>
      <c r="AF52" s="164">
        <v>0</v>
      </c>
      <c r="AG52" s="164">
        <v>-343</v>
      </c>
      <c r="AH52" s="164">
        <v>3263</v>
      </c>
      <c r="AI52" s="164">
        <v>0</v>
      </c>
      <c r="AJ52" s="164">
        <v>0</v>
      </c>
      <c r="AK52" s="164">
        <v>485</v>
      </c>
      <c r="AL52" s="164">
        <v>25512</v>
      </c>
      <c r="AM52" s="164">
        <v>0</v>
      </c>
      <c r="AN52" s="164">
        <v>0</v>
      </c>
      <c r="AO52" s="164">
        <v>0</v>
      </c>
      <c r="AP52" s="164">
        <v>-5480</v>
      </c>
      <c r="AQ52" s="164">
        <v>0</v>
      </c>
      <c r="AR52" s="164">
        <v>0</v>
      </c>
      <c r="AS52" s="164">
        <v>-329</v>
      </c>
      <c r="AT52" s="164">
        <v>11396</v>
      </c>
      <c r="AU52" s="164">
        <v>0</v>
      </c>
      <c r="AV52" s="164">
        <v>0</v>
      </c>
      <c r="AW52" s="164">
        <v>0</v>
      </c>
      <c r="AX52" s="164">
        <v>17734</v>
      </c>
      <c r="AY52" s="164">
        <v>0</v>
      </c>
      <c r="AZ52" s="164">
        <v>0</v>
      </c>
      <c r="BA52" s="164">
        <v>0</v>
      </c>
      <c r="BB52" s="164">
        <v>45231</v>
      </c>
      <c r="BC52" s="164">
        <v>0</v>
      </c>
      <c r="BD52" s="164">
        <v>0</v>
      </c>
      <c r="BE52" s="164">
        <v>13715</v>
      </c>
      <c r="BF52" s="164">
        <v>78693</v>
      </c>
      <c r="BG52" s="164">
        <v>277</v>
      </c>
      <c r="BH52" s="164">
        <v>1443</v>
      </c>
      <c r="BI52" s="164">
        <v>1929</v>
      </c>
      <c r="BJ52" s="164">
        <v>86761</v>
      </c>
      <c r="BK52" s="164">
        <v>2645</v>
      </c>
      <c r="BL52" s="164">
        <v>0</v>
      </c>
      <c r="BM52" s="164">
        <v>2123</v>
      </c>
      <c r="BN52" s="164">
        <v>74709</v>
      </c>
      <c r="BO52" s="164">
        <v>-1461</v>
      </c>
      <c r="BP52" s="164">
        <v>0</v>
      </c>
      <c r="BQ52" s="164">
        <v>0</v>
      </c>
      <c r="BR52" s="164">
        <v>0</v>
      </c>
    </row>
    <row r="53" spans="2:70" ht="11.25" customHeight="1" x14ac:dyDescent="0.25">
      <c r="B53" s="28"/>
      <c r="C53" s="28"/>
      <c r="D53" s="29"/>
      <c r="E53" s="32"/>
      <c r="F53" s="32" t="s">
        <v>109</v>
      </c>
      <c r="G53" s="28"/>
      <c r="H53" s="31"/>
      <c r="I53" s="164">
        <f>5663-I46</f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1159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  <c r="AO53" s="164">
        <v>0</v>
      </c>
      <c r="AP53" s="164">
        <v>0</v>
      </c>
      <c r="AQ53" s="164">
        <v>0</v>
      </c>
      <c r="AR53" s="164">
        <v>0</v>
      </c>
      <c r="AS53" s="164">
        <v>0</v>
      </c>
      <c r="AT53" s="164">
        <v>0</v>
      </c>
      <c r="AU53" s="164">
        <v>0</v>
      </c>
      <c r="AV53" s="164">
        <v>0</v>
      </c>
      <c r="AW53" s="164">
        <v>0</v>
      </c>
      <c r="AX53" s="164">
        <v>0</v>
      </c>
      <c r="AY53" s="164">
        <v>0</v>
      </c>
      <c r="AZ53" s="164">
        <v>0</v>
      </c>
      <c r="BA53" s="164">
        <v>0</v>
      </c>
      <c r="BB53" s="164">
        <v>0</v>
      </c>
      <c r="BC53" s="164">
        <v>0</v>
      </c>
      <c r="BD53" s="164">
        <v>0</v>
      </c>
      <c r="BE53" s="164">
        <v>0</v>
      </c>
      <c r="BF53" s="164">
        <v>0</v>
      </c>
      <c r="BG53" s="164">
        <v>0</v>
      </c>
      <c r="BH53" s="164">
        <v>0</v>
      </c>
      <c r="BI53" s="164">
        <v>0</v>
      </c>
      <c r="BJ53" s="164">
        <v>0</v>
      </c>
      <c r="BK53" s="164">
        <v>0</v>
      </c>
      <c r="BL53" s="164">
        <v>0</v>
      </c>
      <c r="BM53" s="164">
        <v>0</v>
      </c>
      <c r="BN53" s="164">
        <v>0</v>
      </c>
      <c r="BO53" s="164">
        <v>0</v>
      </c>
      <c r="BP53" s="164">
        <v>0</v>
      </c>
      <c r="BQ53" s="164">
        <v>0</v>
      </c>
      <c r="BR53" s="164">
        <v>0</v>
      </c>
    </row>
    <row r="54" spans="2:70" ht="11.25" customHeight="1" x14ac:dyDescent="0.25">
      <c r="B54" s="28"/>
      <c r="C54" s="28"/>
      <c r="D54" s="29"/>
      <c r="E54" s="32"/>
      <c r="F54" s="32" t="s">
        <v>110</v>
      </c>
      <c r="G54" s="28"/>
      <c r="H54" s="31"/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0</v>
      </c>
      <c r="V54" s="164">
        <v>0</v>
      </c>
      <c r="W54" s="164">
        <v>-8</v>
      </c>
      <c r="X54" s="164">
        <v>0</v>
      </c>
      <c r="Y54" s="164">
        <v>0</v>
      </c>
      <c r="Z54" s="164">
        <v>316</v>
      </c>
      <c r="AA54" s="164">
        <v>0</v>
      </c>
      <c r="AB54" s="164">
        <v>0</v>
      </c>
      <c r="AC54" s="164">
        <v>0</v>
      </c>
      <c r="AD54" s="164">
        <v>-3</v>
      </c>
      <c r="AE54" s="164">
        <v>-377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  <c r="AO54" s="164">
        <v>32</v>
      </c>
      <c r="AP54" s="164">
        <v>0</v>
      </c>
      <c r="AQ54" s="164">
        <v>0</v>
      </c>
      <c r="AR54" s="164">
        <v>-25</v>
      </c>
      <c r="AS54" s="164">
        <v>4316</v>
      </c>
      <c r="AT54" s="164"/>
      <c r="AU54" s="164">
        <v>0</v>
      </c>
      <c r="AV54" s="164">
        <v>104</v>
      </c>
      <c r="AW54" s="164">
        <v>3253</v>
      </c>
      <c r="AX54" s="164">
        <v>0</v>
      </c>
      <c r="AY54" s="164">
        <v>0</v>
      </c>
      <c r="AZ54" s="164">
        <v>2426</v>
      </c>
      <c r="BA54" s="164">
        <v>38767</v>
      </c>
      <c r="BB54" s="164">
        <v>0</v>
      </c>
      <c r="BC54" s="164">
        <v>0</v>
      </c>
      <c r="BD54" s="164">
        <v>0</v>
      </c>
      <c r="BE54" s="164">
        <v>0</v>
      </c>
      <c r="BF54" s="164">
        <v>0</v>
      </c>
      <c r="BG54" s="164">
        <v>4454</v>
      </c>
      <c r="BH54" s="164">
        <v>4454</v>
      </c>
      <c r="BI54" s="164">
        <v>2450</v>
      </c>
      <c r="BJ54" s="164">
        <v>2370</v>
      </c>
      <c r="BK54" s="164">
        <v>0</v>
      </c>
      <c r="BL54" s="164">
        <v>0</v>
      </c>
      <c r="BM54" s="164"/>
      <c r="BN54" s="164"/>
      <c r="BO54" s="164"/>
      <c r="BP54" s="164"/>
      <c r="BQ54" s="164"/>
      <c r="BR54" s="164"/>
    </row>
    <row r="55" spans="2:70" ht="11.25" customHeight="1" x14ac:dyDescent="0.25">
      <c r="B55" s="15"/>
      <c r="C55" s="15"/>
      <c r="D55" s="27" t="s">
        <v>113</v>
      </c>
      <c r="E55" s="16"/>
      <c r="F55" s="15"/>
      <c r="G55" s="15"/>
      <c r="H55" s="22"/>
      <c r="I55" s="166">
        <f t="shared" ref="I55:BP55" si="94">I56</f>
        <v>38888</v>
      </c>
      <c r="J55" s="166">
        <f t="shared" si="94"/>
        <v>37640</v>
      </c>
      <c r="K55" s="166">
        <f t="shared" si="94"/>
        <v>41010</v>
      </c>
      <c r="L55" s="166">
        <f t="shared" si="94"/>
        <v>40380</v>
      </c>
      <c r="M55" s="166">
        <f t="shared" si="94"/>
        <v>45221</v>
      </c>
      <c r="N55" s="166">
        <f t="shared" si="94"/>
        <v>49002</v>
      </c>
      <c r="O55" s="166">
        <f t="shared" si="94"/>
        <v>50709</v>
      </c>
      <c r="P55" s="166">
        <f t="shared" si="94"/>
        <v>51753</v>
      </c>
      <c r="Q55" s="166">
        <f t="shared" si="94"/>
        <v>49604</v>
      </c>
      <c r="R55" s="166">
        <f t="shared" si="94"/>
        <v>50947</v>
      </c>
      <c r="S55" s="166">
        <f t="shared" si="94"/>
        <v>57340</v>
      </c>
      <c r="T55" s="166">
        <f t="shared" si="94"/>
        <v>69701</v>
      </c>
      <c r="U55" s="166">
        <f t="shared" si="94"/>
        <v>56027</v>
      </c>
      <c r="V55" s="166">
        <f t="shared" si="94"/>
        <v>73730</v>
      </c>
      <c r="W55" s="166">
        <f t="shared" si="94"/>
        <v>83842</v>
      </c>
      <c r="X55" s="166">
        <f t="shared" si="94"/>
        <v>77159</v>
      </c>
      <c r="Y55" s="166">
        <f t="shared" si="94"/>
        <v>80679</v>
      </c>
      <c r="Z55" s="166">
        <f t="shared" si="94"/>
        <v>92185</v>
      </c>
      <c r="AA55" s="166">
        <f t="shared" si="94"/>
        <v>84898</v>
      </c>
      <c r="AB55" s="166">
        <f t="shared" si="94"/>
        <v>78361</v>
      </c>
      <c r="AC55" s="166">
        <f t="shared" si="94"/>
        <v>79998</v>
      </c>
      <c r="AD55" s="166">
        <f t="shared" si="94"/>
        <v>80006</v>
      </c>
      <c r="AE55" s="166">
        <f t="shared" si="94"/>
        <v>88998</v>
      </c>
      <c r="AF55" s="166">
        <f t="shared" si="94"/>
        <v>98566</v>
      </c>
      <c r="AG55" s="166">
        <f t="shared" si="94"/>
        <v>94727</v>
      </c>
      <c r="AH55" s="166">
        <f t="shared" si="94"/>
        <v>87188</v>
      </c>
      <c r="AI55" s="166">
        <f t="shared" si="94"/>
        <v>90349</v>
      </c>
      <c r="AJ55" s="166">
        <f t="shared" si="94"/>
        <v>89321</v>
      </c>
      <c r="AK55" s="166">
        <f t="shared" si="94"/>
        <v>73197</v>
      </c>
      <c r="AL55" s="166">
        <f t="shared" si="94"/>
        <v>70744</v>
      </c>
      <c r="AM55" s="166">
        <f t="shared" si="94"/>
        <v>80347</v>
      </c>
      <c r="AN55" s="166">
        <f t="shared" si="94"/>
        <v>66727</v>
      </c>
      <c r="AO55" s="166">
        <f t="shared" si="94"/>
        <v>81509</v>
      </c>
      <c r="AP55" s="166">
        <f t="shared" si="94"/>
        <v>81231</v>
      </c>
      <c r="AQ55" s="166">
        <f t="shared" si="94"/>
        <v>84712</v>
      </c>
      <c r="AR55" s="166">
        <f t="shared" si="94"/>
        <v>45908</v>
      </c>
      <c r="AS55" s="166">
        <f t="shared" si="94"/>
        <v>43595</v>
      </c>
      <c r="AT55" s="166">
        <f t="shared" si="94"/>
        <v>34616</v>
      </c>
      <c r="AU55" s="166">
        <f t="shared" si="94"/>
        <v>51483</v>
      </c>
      <c r="AV55" s="166">
        <f t="shared" si="94"/>
        <v>86943</v>
      </c>
      <c r="AW55" s="166">
        <f t="shared" si="94"/>
        <v>66407</v>
      </c>
      <c r="AX55" s="166">
        <f t="shared" si="94"/>
        <v>57047</v>
      </c>
      <c r="AY55" s="166">
        <f t="shared" si="94"/>
        <v>47107</v>
      </c>
      <c r="AZ55" s="166">
        <f t="shared" si="94"/>
        <v>41943</v>
      </c>
      <c r="BA55" s="166">
        <f t="shared" si="94"/>
        <v>39187</v>
      </c>
      <c r="BB55" s="166">
        <f t="shared" si="94"/>
        <v>55201</v>
      </c>
      <c r="BC55" s="166">
        <f t="shared" si="94"/>
        <v>44024</v>
      </c>
      <c r="BD55" s="166">
        <f t="shared" si="94"/>
        <v>39447</v>
      </c>
      <c r="BE55" s="166">
        <f t="shared" si="94"/>
        <v>52120</v>
      </c>
      <c r="BF55" s="166">
        <f t="shared" si="94"/>
        <v>77981</v>
      </c>
      <c r="BG55" s="166">
        <f t="shared" si="94"/>
        <v>99749</v>
      </c>
      <c r="BH55" s="166">
        <f t="shared" si="94"/>
        <v>126936</v>
      </c>
      <c r="BI55" s="166">
        <f t="shared" si="94"/>
        <v>173309</v>
      </c>
      <c r="BJ55" s="166">
        <f t="shared" si="94"/>
        <v>200931</v>
      </c>
      <c r="BK55" s="166">
        <f t="shared" si="94"/>
        <v>158775</v>
      </c>
      <c r="BL55" s="166">
        <f t="shared" si="94"/>
        <v>139817</v>
      </c>
      <c r="BM55" s="166">
        <f t="shared" si="94"/>
        <v>151988</v>
      </c>
      <c r="BN55" s="166">
        <f t="shared" si="94"/>
        <v>184832</v>
      </c>
      <c r="BO55" s="166">
        <f t="shared" si="94"/>
        <v>151529</v>
      </c>
      <c r="BP55" s="166">
        <f t="shared" si="94"/>
        <v>127236</v>
      </c>
      <c r="BQ55" s="166">
        <f>BQ56</f>
        <v>146137</v>
      </c>
      <c r="BR55" s="166">
        <f>BR56</f>
        <v>184674</v>
      </c>
    </row>
    <row r="56" spans="2:70" ht="11.25" customHeight="1" x14ac:dyDescent="0.2">
      <c r="B56" s="23"/>
      <c r="C56" s="23"/>
      <c r="D56" s="23"/>
      <c r="E56" s="24" t="s">
        <v>114</v>
      </c>
      <c r="F56" s="33"/>
      <c r="G56" s="33"/>
      <c r="H56" s="34"/>
      <c r="I56" s="34">
        <f>SUM(I57)</f>
        <v>38888</v>
      </c>
      <c r="J56" s="34">
        <f>SUM(J57)</f>
        <v>37640</v>
      </c>
      <c r="K56" s="34">
        <f t="shared" ref="K56:X56" si="95">SUM(K57)</f>
        <v>41010</v>
      </c>
      <c r="L56" s="34">
        <f t="shared" si="95"/>
        <v>40380</v>
      </c>
      <c r="M56" s="34">
        <f t="shared" si="95"/>
        <v>45221</v>
      </c>
      <c r="N56" s="34">
        <f t="shared" si="95"/>
        <v>49002</v>
      </c>
      <c r="O56" s="34">
        <f t="shared" si="95"/>
        <v>50709</v>
      </c>
      <c r="P56" s="34">
        <f t="shared" si="95"/>
        <v>51753</v>
      </c>
      <c r="Q56" s="34">
        <f t="shared" si="95"/>
        <v>49604</v>
      </c>
      <c r="R56" s="34">
        <f t="shared" si="95"/>
        <v>50947</v>
      </c>
      <c r="S56" s="34">
        <f t="shared" si="95"/>
        <v>57340</v>
      </c>
      <c r="T56" s="34">
        <f t="shared" si="95"/>
        <v>69701</v>
      </c>
      <c r="U56" s="34">
        <f t="shared" si="95"/>
        <v>56027</v>
      </c>
      <c r="V56" s="34">
        <f t="shared" si="95"/>
        <v>73730</v>
      </c>
      <c r="W56" s="34">
        <f t="shared" si="95"/>
        <v>83842</v>
      </c>
      <c r="X56" s="34">
        <f t="shared" si="95"/>
        <v>77159</v>
      </c>
      <c r="Y56" s="34">
        <f>SUM(Y57)</f>
        <v>80679</v>
      </c>
      <c r="Z56" s="34">
        <f t="shared" ref="Z56:AJ56" si="96">SUM(Z57)</f>
        <v>92185</v>
      </c>
      <c r="AA56" s="34">
        <f t="shared" si="96"/>
        <v>84898</v>
      </c>
      <c r="AB56" s="34">
        <f t="shared" si="96"/>
        <v>78361</v>
      </c>
      <c r="AC56" s="34">
        <f t="shared" si="96"/>
        <v>79998</v>
      </c>
      <c r="AD56" s="34">
        <f t="shared" si="96"/>
        <v>80006</v>
      </c>
      <c r="AE56" s="34">
        <f t="shared" si="96"/>
        <v>88998</v>
      </c>
      <c r="AF56" s="34">
        <f t="shared" si="96"/>
        <v>98566</v>
      </c>
      <c r="AG56" s="34">
        <f t="shared" si="96"/>
        <v>94727</v>
      </c>
      <c r="AH56" s="34">
        <f t="shared" si="96"/>
        <v>87188</v>
      </c>
      <c r="AI56" s="34">
        <f t="shared" si="96"/>
        <v>90349</v>
      </c>
      <c r="AJ56" s="34">
        <f t="shared" si="96"/>
        <v>89321</v>
      </c>
      <c r="AK56" s="34">
        <f t="shared" ref="AK56:BE56" si="97">SUM(AK57)</f>
        <v>73197</v>
      </c>
      <c r="AL56" s="34">
        <f t="shared" si="97"/>
        <v>70744</v>
      </c>
      <c r="AM56" s="34">
        <f t="shared" si="97"/>
        <v>80347</v>
      </c>
      <c r="AN56" s="34">
        <f t="shared" si="97"/>
        <v>66727</v>
      </c>
      <c r="AO56" s="34">
        <f t="shared" si="97"/>
        <v>81509</v>
      </c>
      <c r="AP56" s="34">
        <f t="shared" si="97"/>
        <v>81231</v>
      </c>
      <c r="AQ56" s="34">
        <f t="shared" si="97"/>
        <v>84712</v>
      </c>
      <c r="AR56" s="34">
        <f t="shared" si="97"/>
        <v>45908</v>
      </c>
      <c r="AS56" s="34">
        <f t="shared" si="97"/>
        <v>43595</v>
      </c>
      <c r="AT56" s="34">
        <f t="shared" si="97"/>
        <v>34616</v>
      </c>
      <c r="AU56" s="34">
        <f t="shared" si="97"/>
        <v>51483</v>
      </c>
      <c r="AV56" s="34">
        <f t="shared" si="97"/>
        <v>86943</v>
      </c>
      <c r="AW56" s="34">
        <f t="shared" si="97"/>
        <v>66407</v>
      </c>
      <c r="AX56" s="34">
        <f t="shared" si="97"/>
        <v>57047</v>
      </c>
      <c r="AY56" s="34">
        <f t="shared" si="97"/>
        <v>47107</v>
      </c>
      <c r="AZ56" s="34">
        <f t="shared" si="97"/>
        <v>41943</v>
      </c>
      <c r="BA56" s="34">
        <f t="shared" si="97"/>
        <v>39187</v>
      </c>
      <c r="BB56" s="34">
        <f t="shared" si="97"/>
        <v>55201</v>
      </c>
      <c r="BC56" s="34">
        <f t="shared" si="97"/>
        <v>44024</v>
      </c>
      <c r="BD56" s="34">
        <f t="shared" si="97"/>
        <v>39447</v>
      </c>
      <c r="BE56" s="34">
        <f t="shared" si="97"/>
        <v>52120</v>
      </c>
      <c r="BF56" s="34">
        <f>SUM(BF57)</f>
        <v>77981</v>
      </c>
      <c r="BG56" s="34">
        <f>SUM(BG57)</f>
        <v>99749</v>
      </c>
      <c r="BH56" s="34">
        <f>SUM(BH57)</f>
        <v>126936</v>
      </c>
      <c r="BI56" s="34">
        <f t="shared" ref="BI56:BK56" si="98">SUM(BI57)</f>
        <v>173309</v>
      </c>
      <c r="BJ56" s="34">
        <f t="shared" si="98"/>
        <v>200931</v>
      </c>
      <c r="BK56" s="34">
        <f t="shared" si="98"/>
        <v>158775</v>
      </c>
      <c r="BL56" s="34">
        <f>SUM(BL57:BL58)</f>
        <v>139817</v>
      </c>
      <c r="BM56" s="34">
        <f t="shared" ref="BM56" si="99">SUM(BM57:BM58)</f>
        <v>151988</v>
      </c>
      <c r="BN56" s="34">
        <f>SUM(BN57:BN58)</f>
        <v>184832</v>
      </c>
      <c r="BO56" s="34">
        <f>SUM(BO57:BO58)</f>
        <v>151529</v>
      </c>
      <c r="BP56" s="34">
        <f>SUM(BP57:BP58)</f>
        <v>127236</v>
      </c>
      <c r="BQ56" s="34">
        <f>SUM(BQ57:BQ58)</f>
        <v>146137</v>
      </c>
      <c r="BR56" s="34">
        <f>SUM(BR57:BR58)</f>
        <v>184674</v>
      </c>
    </row>
    <row r="57" spans="2:70" ht="11.25" customHeight="1" x14ac:dyDescent="0.2">
      <c r="B57" s="17"/>
      <c r="C57" s="17"/>
      <c r="D57" s="17"/>
      <c r="E57" s="18"/>
      <c r="F57" s="32" t="s">
        <v>115</v>
      </c>
      <c r="G57" s="32"/>
      <c r="H57" s="20"/>
      <c r="I57" s="164">
        <v>38888</v>
      </c>
      <c r="J57" s="164">
        <v>37640</v>
      </c>
      <c r="K57" s="164">
        <v>41010</v>
      </c>
      <c r="L57" s="164">
        <v>40380</v>
      </c>
      <c r="M57" s="164">
        <v>45221</v>
      </c>
      <c r="N57" s="164">
        <v>49002</v>
      </c>
      <c r="O57" s="164">
        <v>50709</v>
      </c>
      <c r="P57" s="164">
        <v>51753</v>
      </c>
      <c r="Q57" s="164">
        <v>49604</v>
      </c>
      <c r="R57" s="164">
        <v>50947</v>
      </c>
      <c r="S57" s="164">
        <v>57340</v>
      </c>
      <c r="T57" s="164">
        <v>69701</v>
      </c>
      <c r="U57" s="164">
        <v>56027</v>
      </c>
      <c r="V57" s="164">
        <v>73730</v>
      </c>
      <c r="W57" s="164">
        <v>83842</v>
      </c>
      <c r="X57" s="164">
        <v>77159</v>
      </c>
      <c r="Y57" s="164">
        <v>80679</v>
      </c>
      <c r="Z57" s="164">
        <v>92185</v>
      </c>
      <c r="AA57" s="164">
        <v>84898</v>
      </c>
      <c r="AB57" s="164">
        <v>78361</v>
      </c>
      <c r="AC57" s="164">
        <v>79998</v>
      </c>
      <c r="AD57" s="164">
        <v>80006</v>
      </c>
      <c r="AE57" s="164">
        <v>88998</v>
      </c>
      <c r="AF57" s="164">
        <v>98566</v>
      </c>
      <c r="AG57" s="164">
        <v>94727</v>
      </c>
      <c r="AH57" s="164">
        <v>87188</v>
      </c>
      <c r="AI57" s="164">
        <v>90349</v>
      </c>
      <c r="AJ57" s="164">
        <v>89321</v>
      </c>
      <c r="AK57" s="164">
        <v>73197</v>
      </c>
      <c r="AL57" s="164">
        <v>70744</v>
      </c>
      <c r="AM57" s="164">
        <v>80347</v>
      </c>
      <c r="AN57" s="164">
        <v>66727</v>
      </c>
      <c r="AO57" s="164">
        <v>81509</v>
      </c>
      <c r="AP57" s="164">
        <v>81231</v>
      </c>
      <c r="AQ57" s="164">
        <v>84712</v>
      </c>
      <c r="AR57" s="164">
        <v>45908</v>
      </c>
      <c r="AS57" s="164">
        <v>43595</v>
      </c>
      <c r="AT57" s="164">
        <v>34616</v>
      </c>
      <c r="AU57" s="164">
        <v>51483</v>
      </c>
      <c r="AV57" s="164">
        <v>86943</v>
      </c>
      <c r="AW57" s="164">
        <v>66407</v>
      </c>
      <c r="AX57" s="164">
        <v>57047</v>
      </c>
      <c r="AY57" s="164">
        <v>47107</v>
      </c>
      <c r="AZ57" s="164">
        <v>41943</v>
      </c>
      <c r="BA57" s="164">
        <v>39187</v>
      </c>
      <c r="BB57" s="164">
        <v>55201</v>
      </c>
      <c r="BC57" s="164">
        <v>44024</v>
      </c>
      <c r="BD57" s="164">
        <v>39447</v>
      </c>
      <c r="BE57" s="164">
        <v>52120</v>
      </c>
      <c r="BF57" s="164">
        <v>77981</v>
      </c>
      <c r="BG57" s="164">
        <v>99749</v>
      </c>
      <c r="BH57" s="164">
        <v>126936</v>
      </c>
      <c r="BI57" s="164">
        <v>173309</v>
      </c>
      <c r="BJ57" s="164">
        <v>200931</v>
      </c>
      <c r="BK57" s="164">
        <v>158775</v>
      </c>
      <c r="BL57" s="164">
        <v>139817</v>
      </c>
      <c r="BM57" s="164">
        <v>151988</v>
      </c>
      <c r="BN57" s="164">
        <v>180664</v>
      </c>
      <c r="BO57" s="164">
        <v>141477</v>
      </c>
      <c r="BP57" s="164">
        <v>127236</v>
      </c>
      <c r="BQ57" s="164">
        <v>146137</v>
      </c>
      <c r="BR57" s="164">
        <v>184674</v>
      </c>
    </row>
    <row r="58" spans="2:70" ht="11.25" customHeight="1" x14ac:dyDescent="0.2">
      <c r="B58" s="17"/>
      <c r="C58" s="17"/>
      <c r="D58" s="17"/>
      <c r="E58" s="18"/>
      <c r="F58" s="32" t="s">
        <v>410</v>
      </c>
      <c r="G58" s="32"/>
      <c r="H58" s="20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>
        <v>0</v>
      </c>
      <c r="BM58" s="164"/>
      <c r="BN58" s="164">
        <v>4168</v>
      </c>
      <c r="BO58" s="164">
        <v>10052</v>
      </c>
      <c r="BP58" s="164"/>
      <c r="BQ58" s="164"/>
      <c r="BR58" s="164"/>
    </row>
    <row r="59" spans="2:70" ht="11.25" customHeight="1" x14ac:dyDescent="0.25">
      <c r="B59" s="212"/>
      <c r="C59" s="212"/>
      <c r="D59" s="213" t="s">
        <v>116</v>
      </c>
      <c r="E59" s="214"/>
      <c r="F59" s="212"/>
      <c r="G59" s="212"/>
      <c r="H59" s="215"/>
      <c r="I59" s="216">
        <v>1883</v>
      </c>
      <c r="J59" s="216">
        <v>3265</v>
      </c>
      <c r="K59" s="216">
        <v>2882</v>
      </c>
      <c r="L59" s="216">
        <v>3221</v>
      </c>
      <c r="M59" s="216">
        <v>2452</v>
      </c>
      <c r="N59" s="216">
        <v>3139</v>
      </c>
      <c r="O59" s="216">
        <v>2949</v>
      </c>
      <c r="P59" s="216">
        <v>7064</v>
      </c>
      <c r="Q59" s="216">
        <v>6782</v>
      </c>
      <c r="R59" s="216">
        <v>12567</v>
      </c>
      <c r="S59" s="216">
        <v>13918</v>
      </c>
      <c r="T59" s="216">
        <v>6891</v>
      </c>
      <c r="U59" s="216">
        <v>5834</v>
      </c>
      <c r="V59" s="216">
        <v>6677</v>
      </c>
      <c r="W59" s="216">
        <v>4334</v>
      </c>
      <c r="X59" s="216">
        <v>10405</v>
      </c>
      <c r="Y59" s="216">
        <v>10358</v>
      </c>
      <c r="Z59" s="216">
        <v>16685</v>
      </c>
      <c r="AA59" s="216">
        <v>4603</v>
      </c>
      <c r="AB59" s="216">
        <v>3793</v>
      </c>
      <c r="AC59" s="216">
        <v>3936</v>
      </c>
      <c r="AD59" s="216">
        <v>11340</v>
      </c>
      <c r="AE59" s="216">
        <v>2489</v>
      </c>
      <c r="AF59" s="216">
        <v>2712</v>
      </c>
      <c r="AG59" s="216">
        <v>3958</v>
      </c>
      <c r="AH59" s="216">
        <v>11514</v>
      </c>
      <c r="AI59" s="216">
        <v>4501</v>
      </c>
      <c r="AJ59" s="216">
        <v>5469</v>
      </c>
      <c r="AK59" s="216">
        <v>6618</v>
      </c>
      <c r="AL59" s="216">
        <v>15134</v>
      </c>
      <c r="AM59" s="216">
        <v>5658</v>
      </c>
      <c r="AN59" s="216">
        <v>7721</v>
      </c>
      <c r="AO59" s="216">
        <v>7469</v>
      </c>
      <c r="AP59" s="216">
        <v>19957</v>
      </c>
      <c r="AQ59" s="216">
        <v>6866</v>
      </c>
      <c r="AR59" s="216">
        <v>8354</v>
      </c>
      <c r="AS59" s="216">
        <v>2078</v>
      </c>
      <c r="AT59" s="216">
        <v>23219</v>
      </c>
      <c r="AU59" s="216">
        <v>6664</v>
      </c>
      <c r="AV59" s="216">
        <v>5060</v>
      </c>
      <c r="AW59" s="216">
        <v>22844</v>
      </c>
      <c r="AX59" s="216">
        <v>27752</v>
      </c>
      <c r="AY59" s="216">
        <v>29833</v>
      </c>
      <c r="AZ59" s="216">
        <v>14030</v>
      </c>
      <c r="BA59" s="216">
        <v>15607</v>
      </c>
      <c r="BB59" s="216">
        <v>12641</v>
      </c>
      <c r="BC59" s="216">
        <v>30768</v>
      </c>
      <c r="BD59" s="216">
        <v>17141</v>
      </c>
      <c r="BE59" s="216">
        <v>20554</v>
      </c>
      <c r="BF59" s="216">
        <v>35285</v>
      </c>
      <c r="BG59" s="216">
        <v>36864</v>
      </c>
      <c r="BH59" s="216">
        <v>14275</v>
      </c>
      <c r="BI59" s="216">
        <v>111773</v>
      </c>
      <c r="BJ59" s="216">
        <v>56235</v>
      </c>
      <c r="BK59" s="216">
        <v>36183</v>
      </c>
      <c r="BL59" s="216">
        <v>10183</v>
      </c>
      <c r="BM59" s="216">
        <v>32356</v>
      </c>
      <c r="BN59" s="216">
        <v>68919</v>
      </c>
      <c r="BO59" s="216">
        <v>44201</v>
      </c>
      <c r="BP59" s="216">
        <v>10982</v>
      </c>
      <c r="BQ59" s="229">
        <v>57007</v>
      </c>
      <c r="BR59" s="229">
        <v>125309</v>
      </c>
    </row>
    <row r="60" spans="2:70" ht="11.25" customHeight="1" x14ac:dyDescent="0.25">
      <c r="B60" s="15"/>
      <c r="C60" s="15"/>
      <c r="D60" s="27" t="s">
        <v>117</v>
      </c>
      <c r="E60" s="16"/>
      <c r="F60" s="15"/>
      <c r="G60" s="15"/>
      <c r="H60" s="22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>
        <f>AI61</f>
        <v>1664</v>
      </c>
      <c r="AJ60" s="166">
        <f>AJ61</f>
        <v>677</v>
      </c>
      <c r="AK60" s="166">
        <f>AK61</f>
        <v>77</v>
      </c>
      <c r="AL60" s="166">
        <f>AL61</f>
        <v>77</v>
      </c>
      <c r="AM60" s="166">
        <f t="shared" ref="AM60:BL60" si="100">AM61</f>
        <v>77</v>
      </c>
      <c r="AN60" s="166">
        <f t="shared" si="100"/>
        <v>77</v>
      </c>
      <c r="AO60" s="166">
        <f t="shared" si="100"/>
        <v>77</v>
      </c>
      <c r="AP60" s="166">
        <f t="shared" si="100"/>
        <v>3031</v>
      </c>
      <c r="AQ60" s="166">
        <f t="shared" si="100"/>
        <v>2970</v>
      </c>
      <c r="AR60" s="166">
        <f t="shared" si="100"/>
        <v>2370</v>
      </c>
      <c r="AS60" s="166">
        <f t="shared" si="100"/>
        <v>2370</v>
      </c>
      <c r="AT60" s="166">
        <f t="shared" si="100"/>
        <v>2370</v>
      </c>
      <c r="AU60" s="166">
        <f t="shared" si="100"/>
        <v>2326</v>
      </c>
      <c r="AV60" s="166">
        <f t="shared" si="100"/>
        <v>1449</v>
      </c>
      <c r="AW60" s="166">
        <f t="shared" si="100"/>
        <v>589</v>
      </c>
      <c r="AX60" s="166">
        <f t="shared" si="100"/>
        <v>542</v>
      </c>
      <c r="AY60" s="166">
        <f t="shared" si="100"/>
        <v>189</v>
      </c>
      <c r="AZ60" s="166">
        <f t="shared" si="100"/>
        <v>189</v>
      </c>
      <c r="BA60" s="166">
        <f t="shared" si="100"/>
        <v>141</v>
      </c>
      <c r="BB60" s="166">
        <f t="shared" si="100"/>
        <v>141</v>
      </c>
      <c r="BC60" s="166">
        <f t="shared" si="100"/>
        <v>2338</v>
      </c>
      <c r="BD60" s="166">
        <f t="shared" si="100"/>
        <v>971</v>
      </c>
      <c r="BE60" s="166">
        <f t="shared" si="100"/>
        <v>827</v>
      </c>
      <c r="BF60" s="166">
        <f t="shared" si="100"/>
        <v>597</v>
      </c>
      <c r="BG60" s="166">
        <f t="shared" si="100"/>
        <v>573</v>
      </c>
      <c r="BH60" s="166">
        <f t="shared" si="100"/>
        <v>573</v>
      </c>
      <c r="BI60" s="166">
        <f t="shared" si="100"/>
        <v>558</v>
      </c>
      <c r="BJ60" s="166">
        <f t="shared" si="100"/>
        <v>558</v>
      </c>
      <c r="BK60" s="166">
        <f t="shared" si="100"/>
        <v>545</v>
      </c>
      <c r="BL60" s="166">
        <f t="shared" si="100"/>
        <v>545</v>
      </c>
      <c r="BM60" s="166">
        <f t="shared" ref="BM60:BR60" si="101">BM61+BM62</f>
        <v>21904</v>
      </c>
      <c r="BN60" s="166">
        <f t="shared" si="101"/>
        <v>545</v>
      </c>
      <c r="BO60" s="166">
        <f t="shared" si="101"/>
        <v>545</v>
      </c>
      <c r="BP60" s="166">
        <f t="shared" si="101"/>
        <v>3640</v>
      </c>
      <c r="BQ60" s="166">
        <f t="shared" si="101"/>
        <v>2673</v>
      </c>
      <c r="BR60" s="166">
        <f t="shared" si="101"/>
        <v>3615</v>
      </c>
    </row>
    <row r="61" spans="2:70" ht="11.25" customHeight="1" x14ac:dyDescent="0.2">
      <c r="B61" s="17"/>
      <c r="C61" s="17"/>
      <c r="D61" s="17"/>
      <c r="E61" s="18" t="s">
        <v>118</v>
      </c>
      <c r="F61" s="32"/>
      <c r="G61" s="32"/>
      <c r="H61" s="20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>
        <v>1664</v>
      </c>
      <c r="AJ61" s="164">
        <v>677</v>
      </c>
      <c r="AK61" s="164">
        <v>77</v>
      </c>
      <c r="AL61" s="164">
        <v>77</v>
      </c>
      <c r="AM61" s="164">
        <v>77</v>
      </c>
      <c r="AN61" s="164">
        <v>77</v>
      </c>
      <c r="AO61" s="164">
        <v>77</v>
      </c>
      <c r="AP61" s="164">
        <v>3031</v>
      </c>
      <c r="AQ61" s="164">
        <v>2970</v>
      </c>
      <c r="AR61" s="164">
        <v>2370</v>
      </c>
      <c r="AS61" s="164">
        <v>2370</v>
      </c>
      <c r="AT61" s="164">
        <v>2370</v>
      </c>
      <c r="AU61" s="164">
        <v>2326</v>
      </c>
      <c r="AV61" s="164">
        <v>1449</v>
      </c>
      <c r="AW61" s="164">
        <v>589</v>
      </c>
      <c r="AX61" s="164">
        <v>542</v>
      </c>
      <c r="AY61" s="164">
        <v>189</v>
      </c>
      <c r="AZ61" s="164">
        <v>189</v>
      </c>
      <c r="BA61" s="164">
        <v>141</v>
      </c>
      <c r="BB61" s="164">
        <v>141</v>
      </c>
      <c r="BC61" s="164">
        <v>2338</v>
      </c>
      <c r="BD61" s="164">
        <v>971</v>
      </c>
      <c r="BE61" s="164">
        <v>827</v>
      </c>
      <c r="BF61" s="164">
        <v>597</v>
      </c>
      <c r="BG61" s="164">
        <v>573</v>
      </c>
      <c r="BH61" s="164">
        <v>573</v>
      </c>
      <c r="BI61" s="164">
        <v>558</v>
      </c>
      <c r="BJ61" s="164">
        <v>558</v>
      </c>
      <c r="BK61" s="164">
        <v>545</v>
      </c>
      <c r="BL61" s="164">
        <v>545</v>
      </c>
      <c r="BM61" s="164">
        <v>545</v>
      </c>
      <c r="BN61" s="164">
        <v>545</v>
      </c>
      <c r="BO61" s="164">
        <v>545</v>
      </c>
      <c r="BP61" s="164">
        <v>3640</v>
      </c>
      <c r="BQ61" s="164">
        <v>2673</v>
      </c>
      <c r="BR61" s="164">
        <v>3615</v>
      </c>
    </row>
    <row r="62" spans="2:70" ht="11.25" customHeight="1" x14ac:dyDescent="0.2">
      <c r="B62" s="17"/>
      <c r="C62" s="17"/>
      <c r="D62" s="17"/>
      <c r="E62" s="18" t="s">
        <v>405</v>
      </c>
      <c r="F62" s="32"/>
      <c r="G62" s="32"/>
      <c r="H62" s="20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>
        <v>21359</v>
      </c>
      <c r="BN62" s="164"/>
      <c r="BO62" s="164"/>
      <c r="BP62" s="164"/>
      <c r="BQ62" s="164"/>
      <c r="BR62" s="164"/>
    </row>
    <row r="63" spans="2:70" ht="11.25" customHeight="1" x14ac:dyDescent="0.25">
      <c r="B63" s="15"/>
      <c r="C63" s="27" t="s">
        <v>119</v>
      </c>
      <c r="D63" s="15"/>
      <c r="E63" s="15"/>
      <c r="F63" s="15"/>
      <c r="G63" s="15"/>
      <c r="H63" s="22"/>
      <c r="I63" s="166">
        <f t="shared" ref="I63:Z63" si="102">I64+I79+I82+I86</f>
        <v>793286</v>
      </c>
      <c r="J63" s="166">
        <f t="shared" si="102"/>
        <v>798690</v>
      </c>
      <c r="K63" s="166">
        <f t="shared" si="102"/>
        <v>862578</v>
      </c>
      <c r="L63" s="166">
        <f t="shared" si="102"/>
        <v>2250986</v>
      </c>
      <c r="M63" s="166">
        <f t="shared" si="102"/>
        <v>2283390</v>
      </c>
      <c r="N63" s="166">
        <f t="shared" si="102"/>
        <v>2289114</v>
      </c>
      <c r="O63" s="166">
        <f t="shared" si="102"/>
        <v>2370433</v>
      </c>
      <c r="P63" s="166">
        <f t="shared" si="102"/>
        <v>2378697</v>
      </c>
      <c r="Q63" s="166">
        <f t="shared" si="102"/>
        <v>2375223</v>
      </c>
      <c r="R63" s="166">
        <f t="shared" si="102"/>
        <v>2384113</v>
      </c>
      <c r="S63" s="166">
        <f t="shared" si="102"/>
        <v>2468839</v>
      </c>
      <c r="T63" s="166">
        <f t="shared" si="102"/>
        <v>2597358</v>
      </c>
      <c r="U63" s="166">
        <f t="shared" si="102"/>
        <v>2603688</v>
      </c>
      <c r="V63" s="166">
        <f t="shared" si="102"/>
        <v>2629734</v>
      </c>
      <c r="W63" s="166">
        <f t="shared" si="102"/>
        <v>2661202</v>
      </c>
      <c r="X63" s="166">
        <f t="shared" si="102"/>
        <v>2640690</v>
      </c>
      <c r="Y63" s="166">
        <f t="shared" si="102"/>
        <v>2626703</v>
      </c>
      <c r="Z63" s="166">
        <f t="shared" si="102"/>
        <v>2664684</v>
      </c>
      <c r="AA63" s="166">
        <f t="shared" ref="AA63:AF63" si="103">AA64+AA79+AA82+AA86</f>
        <v>2675399</v>
      </c>
      <c r="AB63" s="166">
        <f t="shared" si="103"/>
        <v>2807313</v>
      </c>
      <c r="AC63" s="166">
        <f t="shared" si="103"/>
        <v>2792069</v>
      </c>
      <c r="AD63" s="166">
        <f t="shared" si="103"/>
        <v>2817411</v>
      </c>
      <c r="AE63" s="166">
        <f t="shared" si="103"/>
        <v>2872139</v>
      </c>
      <c r="AF63" s="166">
        <f t="shared" si="103"/>
        <v>2885192</v>
      </c>
      <c r="AG63" s="166">
        <f>AG64+AG79+AG82+AG86</f>
        <v>2949419</v>
      </c>
      <c r="AH63" s="166">
        <f t="shared" ref="AH63:BC63" si="104">AH64+AH79+AH82+AH86</f>
        <v>2972140</v>
      </c>
      <c r="AI63" s="166">
        <f t="shared" si="104"/>
        <v>3186722</v>
      </c>
      <c r="AJ63" s="166">
        <f>AJ64+AJ79+AJ82+AJ86</f>
        <v>3132785</v>
      </c>
      <c r="AK63" s="166">
        <f>AK64+AK79+AK82+AK86</f>
        <v>3100206</v>
      </c>
      <c r="AL63" s="166">
        <f t="shared" si="104"/>
        <v>3077400</v>
      </c>
      <c r="AM63" s="166">
        <f t="shared" si="104"/>
        <v>3076255</v>
      </c>
      <c r="AN63" s="166">
        <f t="shared" si="104"/>
        <v>3121208</v>
      </c>
      <c r="AO63" s="166">
        <f t="shared" si="104"/>
        <v>3098143</v>
      </c>
      <c r="AP63" s="166">
        <f t="shared" si="104"/>
        <v>3112947</v>
      </c>
      <c r="AQ63" s="166">
        <f t="shared" si="104"/>
        <v>3151872</v>
      </c>
      <c r="AR63" s="166">
        <f t="shared" si="104"/>
        <v>3043346</v>
      </c>
      <c r="AS63" s="166">
        <f t="shared" si="104"/>
        <v>3038217</v>
      </c>
      <c r="AT63" s="166">
        <f t="shared" si="104"/>
        <v>3082065</v>
      </c>
      <c r="AU63" s="166">
        <f t="shared" si="104"/>
        <v>3175083</v>
      </c>
      <c r="AV63" s="166">
        <f t="shared" si="104"/>
        <v>3173511</v>
      </c>
      <c r="AW63" s="166">
        <f t="shared" si="104"/>
        <v>3749315</v>
      </c>
      <c r="AX63" s="166">
        <f t="shared" si="104"/>
        <v>3801944</v>
      </c>
      <c r="AY63" s="166">
        <f t="shared" si="104"/>
        <v>3888396</v>
      </c>
      <c r="AZ63" s="166">
        <f t="shared" si="104"/>
        <v>3867319</v>
      </c>
      <c r="BA63" s="166">
        <f t="shared" si="104"/>
        <v>4004558</v>
      </c>
      <c r="BB63" s="166">
        <f t="shared" si="104"/>
        <v>4117977</v>
      </c>
      <c r="BC63" s="166">
        <f t="shared" si="104"/>
        <v>4188279</v>
      </c>
      <c r="BD63" s="166">
        <f>BD64+BD79+BD82+BD86</f>
        <v>4388311</v>
      </c>
      <c r="BE63" s="166">
        <f>BE64+BE79+BE82+BE86</f>
        <v>4407928</v>
      </c>
      <c r="BF63" s="166">
        <f>BF64+BF79+BF82+BF86</f>
        <v>5524991</v>
      </c>
      <c r="BG63" s="166">
        <f>BG64+BG79+BG82+BG86</f>
        <v>7580072</v>
      </c>
      <c r="BH63" s="166">
        <f>BH64+BH79+BH82+BH86</f>
        <v>7756937</v>
      </c>
      <c r="BI63" s="166">
        <f t="shared" ref="BI63:BJ63" si="105">BI64+BI79+BI82+BI86</f>
        <v>7805056</v>
      </c>
      <c r="BJ63" s="166">
        <f t="shared" si="105"/>
        <v>7963396</v>
      </c>
      <c r="BK63" s="166">
        <f t="shared" ref="BK63:BM63" si="106">BK64+BK79+BK82+BK86</f>
        <v>8001336</v>
      </c>
      <c r="BL63" s="166">
        <f t="shared" si="106"/>
        <v>7835706</v>
      </c>
      <c r="BM63" s="166">
        <f t="shared" si="106"/>
        <v>8371284</v>
      </c>
      <c r="BN63" s="166">
        <f t="shared" ref="BN63:BO63" si="107">BN64+BN79+BN82+BN86</f>
        <v>7855088</v>
      </c>
      <c r="BO63" s="166">
        <f t="shared" si="107"/>
        <v>8576713</v>
      </c>
      <c r="BP63" s="166">
        <f t="shared" ref="BP63" si="108">BP64+BP79+BP82+BP86</f>
        <v>8489045</v>
      </c>
      <c r="BQ63" s="166">
        <f>BQ64+BQ79+BQ82+BQ86</f>
        <v>8024768</v>
      </c>
      <c r="BR63" s="166">
        <f>BR64+BR79+BR82+BR86</f>
        <v>8194812</v>
      </c>
    </row>
    <row r="64" spans="2:70" ht="11.25" customHeight="1" x14ac:dyDescent="0.25">
      <c r="B64" s="15"/>
      <c r="C64" s="15"/>
      <c r="D64" s="27" t="s">
        <v>120</v>
      </c>
      <c r="E64" s="15"/>
      <c r="F64" s="15"/>
      <c r="G64" s="15"/>
      <c r="H64" s="22"/>
      <c r="I64" s="166">
        <f t="shared" ref="I64:Z64" si="109">+I65+I75+I76+I78</f>
        <v>116421</v>
      </c>
      <c r="J64" s="166">
        <f t="shared" si="109"/>
        <v>101411</v>
      </c>
      <c r="K64" s="166">
        <f t="shared" si="109"/>
        <v>116599</v>
      </c>
      <c r="L64" s="166">
        <f t="shared" si="109"/>
        <v>108416</v>
      </c>
      <c r="M64" s="166">
        <f t="shared" si="109"/>
        <v>108604</v>
      </c>
      <c r="N64" s="166">
        <f t="shared" si="109"/>
        <v>113460</v>
      </c>
      <c r="O64" s="166">
        <f t="shared" si="109"/>
        <v>139890</v>
      </c>
      <c r="P64" s="166">
        <f t="shared" si="109"/>
        <v>129161</v>
      </c>
      <c r="Q64" s="166">
        <f t="shared" si="109"/>
        <v>121910</v>
      </c>
      <c r="R64" s="166">
        <f t="shared" si="109"/>
        <v>114558</v>
      </c>
      <c r="S64" s="166">
        <f t="shared" si="109"/>
        <v>124093</v>
      </c>
      <c r="T64" s="166">
        <f t="shared" si="109"/>
        <v>37956</v>
      </c>
      <c r="U64" s="166">
        <f t="shared" si="109"/>
        <v>38771</v>
      </c>
      <c r="V64" s="166">
        <f t="shared" si="109"/>
        <v>43682</v>
      </c>
      <c r="W64" s="166">
        <f t="shared" si="109"/>
        <v>59952</v>
      </c>
      <c r="X64" s="166">
        <f t="shared" si="109"/>
        <v>38008</v>
      </c>
      <c r="Y64" s="166">
        <f t="shared" si="109"/>
        <v>37571</v>
      </c>
      <c r="Z64" s="166">
        <f t="shared" si="109"/>
        <v>41768</v>
      </c>
      <c r="AA64" s="166">
        <f t="shared" ref="AA64:AG64" si="110">+AA65+AA75+AA76+AA78</f>
        <v>34378</v>
      </c>
      <c r="AB64" s="166">
        <f t="shared" si="110"/>
        <v>115706</v>
      </c>
      <c r="AC64" s="166">
        <f t="shared" si="110"/>
        <v>113606</v>
      </c>
      <c r="AD64" s="166">
        <f t="shared" si="110"/>
        <v>119553</v>
      </c>
      <c r="AE64" s="166">
        <f t="shared" si="110"/>
        <v>133187</v>
      </c>
      <c r="AF64" s="166">
        <f t="shared" si="110"/>
        <v>132710</v>
      </c>
      <c r="AG64" s="166">
        <f t="shared" si="110"/>
        <v>206327</v>
      </c>
      <c r="AH64" s="166">
        <f t="shared" ref="AH64:BC64" si="111">+AH65+AH75+AH76+AH78</f>
        <v>218249</v>
      </c>
      <c r="AI64" s="166">
        <f t="shared" si="111"/>
        <v>323386</v>
      </c>
      <c r="AJ64" s="166">
        <f>+AJ65+AJ75+AJ76+AJ78</f>
        <v>276030</v>
      </c>
      <c r="AK64" s="166">
        <f t="shared" si="111"/>
        <v>262673</v>
      </c>
      <c r="AL64" s="166">
        <f t="shared" si="111"/>
        <v>248701</v>
      </c>
      <c r="AM64" s="166">
        <f t="shared" si="111"/>
        <v>244633</v>
      </c>
      <c r="AN64" s="166">
        <f t="shared" si="111"/>
        <v>221255</v>
      </c>
      <c r="AO64" s="166">
        <f t="shared" si="111"/>
        <v>195364</v>
      </c>
      <c r="AP64" s="166">
        <f t="shared" si="111"/>
        <v>205178</v>
      </c>
      <c r="AQ64" s="166">
        <f t="shared" si="111"/>
        <v>199042</v>
      </c>
      <c r="AR64" s="166">
        <f>+AR65+AR75+AR76+AR78</f>
        <v>182726</v>
      </c>
      <c r="AS64" s="166">
        <f t="shared" si="111"/>
        <v>169403</v>
      </c>
      <c r="AT64" s="166">
        <f t="shared" si="111"/>
        <v>203460</v>
      </c>
      <c r="AU64" s="166">
        <f t="shared" si="111"/>
        <v>206233</v>
      </c>
      <c r="AV64" s="166">
        <f>+AV65+AV75+AV76+AV78</f>
        <v>173311</v>
      </c>
      <c r="AW64" s="166">
        <f t="shared" si="111"/>
        <v>167239</v>
      </c>
      <c r="AX64" s="166">
        <f t="shared" si="111"/>
        <v>188917</v>
      </c>
      <c r="AY64" s="166">
        <f t="shared" si="111"/>
        <v>211533</v>
      </c>
      <c r="AZ64" s="166">
        <f>+AZ65+AZ75+AZ76+AZ78</f>
        <v>200926</v>
      </c>
      <c r="BA64" s="166">
        <f t="shared" si="111"/>
        <v>274215</v>
      </c>
      <c r="BB64" s="166">
        <f t="shared" si="111"/>
        <v>291887</v>
      </c>
      <c r="BC64" s="166">
        <f t="shared" si="111"/>
        <v>305427</v>
      </c>
      <c r="BD64" s="166">
        <f>+BD65+BD75+BD76+BD78</f>
        <v>355787</v>
      </c>
      <c r="BE64" s="166">
        <f>+BE65+BE75+BE76+BE78</f>
        <v>353006</v>
      </c>
      <c r="BF64" s="166">
        <f>+BF65+BF75+BF76+BF78</f>
        <v>364750</v>
      </c>
      <c r="BG64" s="166">
        <f>+BG65+BG75+BG76+BG78</f>
        <v>854914</v>
      </c>
      <c r="BH64" s="166">
        <f>+BH65+BH75+BH76+BH78</f>
        <v>863596</v>
      </c>
      <c r="BI64" s="166">
        <f t="shared" ref="BI64:BJ64" si="112">+BI65+BI75+BI76+BI78</f>
        <v>830448</v>
      </c>
      <c r="BJ64" s="166">
        <f t="shared" si="112"/>
        <v>884800</v>
      </c>
      <c r="BK64" s="166">
        <f t="shared" ref="BK64" si="113">+BK65+BK75+BK76+BK78</f>
        <v>905342</v>
      </c>
      <c r="BL64" s="166">
        <f>+BL65+BL76+BL78</f>
        <v>700424</v>
      </c>
      <c r="BM64" s="166">
        <f t="shared" ref="BM64:BN64" si="114">+BM65+BM75+BM76+BM78</f>
        <v>689921</v>
      </c>
      <c r="BN64" s="166">
        <f t="shared" si="114"/>
        <v>619698</v>
      </c>
      <c r="BO64" s="166">
        <f t="shared" ref="BO64:BP64" si="115">+BO65+BO75+BO76+BO78</f>
        <v>616768</v>
      </c>
      <c r="BP64" s="166">
        <f t="shared" si="115"/>
        <v>635493</v>
      </c>
      <c r="BQ64" s="166">
        <f>+BQ65+BQ75+BQ76+BQ78</f>
        <v>679153</v>
      </c>
      <c r="BR64" s="166">
        <f>+BR65+BR75+BR76+BR78</f>
        <v>682742</v>
      </c>
    </row>
    <row r="65" spans="2:70" ht="11.25" customHeight="1" x14ac:dyDescent="0.25">
      <c r="B65" s="15"/>
      <c r="C65" s="15"/>
      <c r="D65" s="15"/>
      <c r="E65" s="27" t="s">
        <v>85</v>
      </c>
      <c r="F65" s="15"/>
      <c r="G65" s="15"/>
      <c r="H65" s="35"/>
      <c r="I65" s="169">
        <f t="shared" ref="I65:R65" si="116">I66+I68</f>
        <v>16900</v>
      </c>
      <c r="J65" s="169">
        <f t="shared" si="116"/>
        <v>12086</v>
      </c>
      <c r="K65" s="169">
        <f t="shared" si="116"/>
        <v>19069</v>
      </c>
      <c r="L65" s="169">
        <f t="shared" si="116"/>
        <v>14582</v>
      </c>
      <c r="M65" s="169">
        <f t="shared" si="116"/>
        <v>16253</v>
      </c>
      <c r="N65" s="169">
        <f t="shared" si="116"/>
        <v>13342</v>
      </c>
      <c r="O65" s="169">
        <f t="shared" si="116"/>
        <v>42980</v>
      </c>
      <c r="P65" s="169">
        <f t="shared" si="116"/>
        <v>34941</v>
      </c>
      <c r="Q65" s="169">
        <f t="shared" si="116"/>
        <v>30412</v>
      </c>
      <c r="R65" s="169">
        <f t="shared" si="116"/>
        <v>34602</v>
      </c>
      <c r="S65" s="169">
        <f t="shared" ref="S65:X65" si="117">S66+S68</f>
        <v>20353</v>
      </c>
      <c r="T65" s="169">
        <f t="shared" si="117"/>
        <v>20178</v>
      </c>
      <c r="U65" s="169">
        <f t="shared" si="117"/>
        <v>21463</v>
      </c>
      <c r="V65" s="169">
        <f t="shared" si="117"/>
        <v>26679</v>
      </c>
      <c r="W65" s="169">
        <f t="shared" si="117"/>
        <v>29753</v>
      </c>
      <c r="X65" s="169">
        <f t="shared" si="117"/>
        <v>22786</v>
      </c>
      <c r="Y65" s="169">
        <f t="shared" ref="Y65:AD65" si="118">Y66+Y68</f>
        <v>23137</v>
      </c>
      <c r="Z65" s="169">
        <f t="shared" si="118"/>
        <v>23794</v>
      </c>
      <c r="AA65" s="169">
        <f t="shared" si="118"/>
        <v>18575</v>
      </c>
      <c r="AB65" s="169">
        <f t="shared" si="118"/>
        <v>101525</v>
      </c>
      <c r="AC65" s="169">
        <f t="shared" si="118"/>
        <v>98834</v>
      </c>
      <c r="AD65" s="169">
        <f t="shared" si="118"/>
        <v>102331</v>
      </c>
      <c r="AE65" s="169">
        <f t="shared" ref="AE65:AK65" si="119">AE66+AE68</f>
        <v>115057</v>
      </c>
      <c r="AF65" s="169">
        <f t="shared" si="119"/>
        <v>116839</v>
      </c>
      <c r="AG65" s="169">
        <f t="shared" si="119"/>
        <v>151500</v>
      </c>
      <c r="AH65" s="169">
        <f t="shared" si="119"/>
        <v>192103</v>
      </c>
      <c r="AI65" s="169">
        <f t="shared" si="119"/>
        <v>243095</v>
      </c>
      <c r="AJ65" s="169">
        <f t="shared" si="119"/>
        <v>245452</v>
      </c>
      <c r="AK65" s="169">
        <f t="shared" si="119"/>
        <v>247192</v>
      </c>
      <c r="AL65" s="169">
        <f t="shared" ref="AL65:AX65" si="120">AL66+AL68</f>
        <v>223019</v>
      </c>
      <c r="AM65" s="169">
        <f t="shared" si="120"/>
        <v>212747</v>
      </c>
      <c r="AN65" s="169">
        <f t="shared" si="120"/>
        <v>191213</v>
      </c>
      <c r="AO65" s="169">
        <f t="shared" si="120"/>
        <v>172339</v>
      </c>
      <c r="AP65" s="169">
        <f t="shared" si="120"/>
        <v>184250</v>
      </c>
      <c r="AQ65" s="169">
        <f t="shared" si="120"/>
        <v>180284</v>
      </c>
      <c r="AR65" s="169">
        <f>AR66+AR68</f>
        <v>161399</v>
      </c>
      <c r="AS65" s="169">
        <f t="shared" si="120"/>
        <v>158424</v>
      </c>
      <c r="AT65" s="169">
        <f t="shared" si="120"/>
        <v>185371</v>
      </c>
      <c r="AU65" s="169">
        <f t="shared" si="120"/>
        <v>185040</v>
      </c>
      <c r="AV65" s="169">
        <f t="shared" si="120"/>
        <v>153484</v>
      </c>
      <c r="AW65" s="169">
        <f t="shared" si="120"/>
        <v>157807</v>
      </c>
      <c r="AX65" s="169">
        <f t="shared" si="120"/>
        <v>176854</v>
      </c>
      <c r="AY65" s="169">
        <f>AY66+AY68</f>
        <v>184821</v>
      </c>
      <c r="AZ65" s="169">
        <f t="shared" ref="AZ65:BF65" si="121">AZ66+AZ68+AZ67</f>
        <v>177881</v>
      </c>
      <c r="BA65" s="169">
        <f t="shared" si="121"/>
        <v>245167</v>
      </c>
      <c r="BB65" s="169">
        <f t="shared" si="121"/>
        <v>268769</v>
      </c>
      <c r="BC65" s="169">
        <f t="shared" si="121"/>
        <v>272082</v>
      </c>
      <c r="BD65" s="169">
        <f t="shared" si="121"/>
        <v>334870</v>
      </c>
      <c r="BE65" s="169">
        <f t="shared" si="121"/>
        <v>336059</v>
      </c>
      <c r="BF65" s="169">
        <f t="shared" si="121"/>
        <v>359294</v>
      </c>
      <c r="BG65" s="169">
        <f t="shared" ref="BG65:BI65" si="122">BG66+BG68+BG67</f>
        <v>429914</v>
      </c>
      <c r="BH65" s="169">
        <f t="shared" si="122"/>
        <v>457915</v>
      </c>
      <c r="BI65" s="169">
        <f t="shared" si="122"/>
        <v>485365</v>
      </c>
      <c r="BJ65" s="169">
        <f t="shared" ref="BJ65:BK65" si="123">BJ66+BJ68+BJ67</f>
        <v>539838</v>
      </c>
      <c r="BK65" s="169">
        <f t="shared" si="123"/>
        <v>568906</v>
      </c>
      <c r="BL65" s="169">
        <f t="shared" ref="BL65:BM65" si="124">BL66+BL68+BL67</f>
        <v>418147</v>
      </c>
      <c r="BM65" s="169">
        <f t="shared" si="124"/>
        <v>426169</v>
      </c>
      <c r="BN65" s="169">
        <f t="shared" ref="BN65:BO65" si="125">BN66+BN68+BN67</f>
        <v>394980</v>
      </c>
      <c r="BO65" s="169">
        <f t="shared" si="125"/>
        <v>387925</v>
      </c>
      <c r="BP65" s="169">
        <f t="shared" ref="BP65" si="126">BP66+BP68+BP67</f>
        <v>379615</v>
      </c>
      <c r="BQ65" s="169">
        <f>BQ66+BQ68+BQ67</f>
        <v>400029</v>
      </c>
      <c r="BR65" s="169">
        <f>BR66+BR68+BR67</f>
        <v>413238</v>
      </c>
    </row>
    <row r="66" spans="2:70" ht="11.25" customHeight="1" x14ac:dyDescent="0.2">
      <c r="B66" s="17"/>
      <c r="C66" s="17"/>
      <c r="D66" s="17"/>
      <c r="E66" s="17"/>
      <c r="F66" s="18" t="s">
        <v>86</v>
      </c>
      <c r="G66" s="18"/>
      <c r="H66" s="20"/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4">
        <v>0</v>
      </c>
      <c r="R66" s="164">
        <v>0</v>
      </c>
      <c r="S66" s="164">
        <v>0</v>
      </c>
      <c r="T66" s="164">
        <v>0</v>
      </c>
      <c r="U66" s="164">
        <v>0</v>
      </c>
      <c r="V66" s="164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  <c r="AC66" s="164">
        <v>0</v>
      </c>
      <c r="AD66" s="164">
        <v>0</v>
      </c>
      <c r="AE66" s="164">
        <v>0</v>
      </c>
      <c r="AF66" s="164">
        <v>0</v>
      </c>
      <c r="AG66" s="164">
        <v>0</v>
      </c>
      <c r="AH66" s="164">
        <v>0</v>
      </c>
      <c r="AI66" s="164">
        <v>0</v>
      </c>
      <c r="AJ66" s="164">
        <v>0</v>
      </c>
      <c r="AK66" s="164">
        <v>0</v>
      </c>
      <c r="AL66" s="164">
        <v>0</v>
      </c>
      <c r="AM66" s="164">
        <v>0</v>
      </c>
      <c r="AN66" s="164">
        <v>0</v>
      </c>
      <c r="AO66" s="164">
        <v>0</v>
      </c>
      <c r="AP66" s="164">
        <v>0</v>
      </c>
      <c r="AQ66" s="164">
        <v>0</v>
      </c>
      <c r="AR66" s="164">
        <v>0</v>
      </c>
      <c r="AS66" s="164">
        <v>0</v>
      </c>
      <c r="AT66" s="164">
        <v>0</v>
      </c>
      <c r="AU66" s="164">
        <v>0</v>
      </c>
      <c r="AV66" s="164">
        <v>0</v>
      </c>
      <c r="AW66" s="164">
        <v>0</v>
      </c>
      <c r="AX66" s="164">
        <v>0</v>
      </c>
      <c r="AY66" s="164">
        <v>0</v>
      </c>
      <c r="AZ66" s="164">
        <v>0</v>
      </c>
      <c r="BA66" s="164">
        <v>0</v>
      </c>
      <c r="BB66" s="164">
        <v>0</v>
      </c>
      <c r="BC66" s="164">
        <v>0</v>
      </c>
      <c r="BD66" s="164">
        <v>0</v>
      </c>
      <c r="BE66" s="164">
        <v>0</v>
      </c>
      <c r="BF66" s="164">
        <v>0</v>
      </c>
      <c r="BG66" s="164">
        <v>0</v>
      </c>
      <c r="BH66" s="164">
        <v>0</v>
      </c>
      <c r="BI66" s="164">
        <v>0</v>
      </c>
      <c r="BJ66" s="164">
        <v>0</v>
      </c>
      <c r="BK66" s="164">
        <v>0</v>
      </c>
      <c r="BL66" s="164">
        <v>0</v>
      </c>
      <c r="BM66" s="164">
        <v>0</v>
      </c>
      <c r="BN66" s="164">
        <v>0</v>
      </c>
      <c r="BO66" s="164">
        <v>0</v>
      </c>
      <c r="BP66" s="164">
        <v>0</v>
      </c>
      <c r="BQ66" s="164">
        <v>0</v>
      </c>
      <c r="BR66" s="164">
        <v>0</v>
      </c>
    </row>
    <row r="67" spans="2:70" ht="11.25" customHeight="1" x14ac:dyDescent="0.2">
      <c r="B67" s="17"/>
      <c r="C67" s="17"/>
      <c r="D67" s="17"/>
      <c r="E67" s="17"/>
      <c r="F67" s="18" t="s">
        <v>83</v>
      </c>
      <c r="G67" s="18"/>
      <c r="H67" s="20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>
        <v>650</v>
      </c>
      <c r="BA67" s="164">
        <v>654</v>
      </c>
      <c r="BB67" s="164">
        <v>658</v>
      </c>
      <c r="BC67" s="164">
        <v>660</v>
      </c>
      <c r="BD67" s="164">
        <v>663</v>
      </c>
      <c r="BE67" s="164">
        <v>665</v>
      </c>
      <c r="BF67" s="164">
        <v>669</v>
      </c>
      <c r="BG67" s="164">
        <v>675</v>
      </c>
      <c r="BH67" s="164">
        <v>684</v>
      </c>
      <c r="BI67" s="164">
        <v>697</v>
      </c>
      <c r="BJ67" s="164">
        <v>712</v>
      </c>
      <c r="BK67" s="164">
        <v>729</v>
      </c>
      <c r="BL67" s="164">
        <v>747</v>
      </c>
      <c r="BM67" s="164">
        <v>765</v>
      </c>
      <c r="BN67" s="164">
        <v>1044</v>
      </c>
      <c r="BO67" s="164">
        <v>1070</v>
      </c>
      <c r="BP67" s="164">
        <v>1115</v>
      </c>
      <c r="BQ67" s="164">
        <v>1212</v>
      </c>
      <c r="BR67" s="164">
        <v>1518</v>
      </c>
    </row>
    <row r="68" spans="2:70" ht="11.25" customHeight="1" x14ac:dyDescent="0.25">
      <c r="B68" s="15"/>
      <c r="C68" s="15"/>
      <c r="D68" s="15"/>
      <c r="E68" s="15"/>
      <c r="F68" s="27" t="s">
        <v>89</v>
      </c>
      <c r="G68" s="27"/>
      <c r="H68" s="35"/>
      <c r="I68" s="169">
        <f t="shared" ref="I68:X68" si="127">SUM(I69,I70:I73)</f>
        <v>16900</v>
      </c>
      <c r="J68" s="169">
        <f t="shared" si="127"/>
        <v>12086</v>
      </c>
      <c r="K68" s="169">
        <f t="shared" si="127"/>
        <v>19069</v>
      </c>
      <c r="L68" s="169">
        <f t="shared" si="127"/>
        <v>14582</v>
      </c>
      <c r="M68" s="169">
        <f t="shared" si="127"/>
        <v>16253</v>
      </c>
      <c r="N68" s="169">
        <f t="shared" si="127"/>
        <v>13342</v>
      </c>
      <c r="O68" s="169">
        <f t="shared" si="127"/>
        <v>42980</v>
      </c>
      <c r="P68" s="169">
        <f t="shared" si="127"/>
        <v>34941</v>
      </c>
      <c r="Q68" s="169">
        <f t="shared" si="127"/>
        <v>30412</v>
      </c>
      <c r="R68" s="169">
        <f t="shared" si="127"/>
        <v>34602</v>
      </c>
      <c r="S68" s="169">
        <f t="shared" si="127"/>
        <v>20353</v>
      </c>
      <c r="T68" s="169">
        <f t="shared" si="127"/>
        <v>20178</v>
      </c>
      <c r="U68" s="169">
        <f t="shared" si="127"/>
        <v>21463</v>
      </c>
      <c r="V68" s="169">
        <f t="shared" si="127"/>
        <v>26679</v>
      </c>
      <c r="W68" s="169">
        <f t="shared" si="127"/>
        <v>29753</v>
      </c>
      <c r="X68" s="169">
        <f t="shared" si="127"/>
        <v>22786</v>
      </c>
      <c r="Y68" s="169">
        <f t="shared" ref="Y68:AD68" si="128">SUM(Y69:Y73)</f>
        <v>23137</v>
      </c>
      <c r="Z68" s="169">
        <f t="shared" si="128"/>
        <v>23794</v>
      </c>
      <c r="AA68" s="169">
        <f t="shared" si="128"/>
        <v>18575</v>
      </c>
      <c r="AB68" s="169">
        <f t="shared" si="128"/>
        <v>101525</v>
      </c>
      <c r="AC68" s="169">
        <f t="shared" si="128"/>
        <v>98834</v>
      </c>
      <c r="AD68" s="169">
        <f t="shared" si="128"/>
        <v>102331</v>
      </c>
      <c r="AE68" s="169">
        <f t="shared" ref="AE68:AJ68" si="129">SUM(AE69:AE73)</f>
        <v>115057</v>
      </c>
      <c r="AF68" s="169">
        <f t="shared" si="129"/>
        <v>116839</v>
      </c>
      <c r="AG68" s="169">
        <f>SUM(AG69:AG73)</f>
        <v>151500</v>
      </c>
      <c r="AH68" s="169">
        <f t="shared" si="129"/>
        <v>192103</v>
      </c>
      <c r="AI68" s="169">
        <f t="shared" si="129"/>
        <v>243095</v>
      </c>
      <c r="AJ68" s="169">
        <f t="shared" si="129"/>
        <v>245452</v>
      </c>
      <c r="AK68" s="169">
        <f t="shared" ref="AK68:BC68" si="130">SUM(AK69:AK73)</f>
        <v>247192</v>
      </c>
      <c r="AL68" s="169">
        <f t="shared" si="130"/>
        <v>223019</v>
      </c>
      <c r="AM68" s="169">
        <f t="shared" si="130"/>
        <v>212747</v>
      </c>
      <c r="AN68" s="169">
        <f t="shared" si="130"/>
        <v>191213</v>
      </c>
      <c r="AO68" s="169">
        <f t="shared" si="130"/>
        <v>172339</v>
      </c>
      <c r="AP68" s="169">
        <f t="shared" si="130"/>
        <v>184250</v>
      </c>
      <c r="AQ68" s="169">
        <f t="shared" si="130"/>
        <v>180284</v>
      </c>
      <c r="AR68" s="169">
        <f t="shared" si="130"/>
        <v>161399</v>
      </c>
      <c r="AS68" s="169">
        <f t="shared" si="130"/>
        <v>158424</v>
      </c>
      <c r="AT68" s="169">
        <f t="shared" si="130"/>
        <v>185371</v>
      </c>
      <c r="AU68" s="169">
        <f t="shared" si="130"/>
        <v>185040</v>
      </c>
      <c r="AV68" s="169">
        <f t="shared" si="130"/>
        <v>153484</v>
      </c>
      <c r="AW68" s="169">
        <f t="shared" si="130"/>
        <v>157807</v>
      </c>
      <c r="AX68" s="169">
        <f t="shared" si="130"/>
        <v>176854</v>
      </c>
      <c r="AY68" s="169">
        <f t="shared" si="130"/>
        <v>184821</v>
      </c>
      <c r="AZ68" s="169">
        <f>SUM(AZ69:AZ73)</f>
        <v>177231</v>
      </c>
      <c r="BA68" s="169">
        <f t="shared" si="130"/>
        <v>244513</v>
      </c>
      <c r="BB68" s="169">
        <f t="shared" si="130"/>
        <v>268111</v>
      </c>
      <c r="BC68" s="169">
        <f t="shared" si="130"/>
        <v>271422</v>
      </c>
      <c r="BD68" s="169">
        <f>SUM(BD69:BD73)</f>
        <v>334207</v>
      </c>
      <c r="BE68" s="169">
        <f>SUM(BE69:BE73)</f>
        <v>335394</v>
      </c>
      <c r="BF68" s="169">
        <f>SUM(BF69:BF73)</f>
        <v>358625</v>
      </c>
      <c r="BG68" s="169">
        <f>SUM(BG69:BG73)</f>
        <v>429239</v>
      </c>
      <c r="BH68" s="169">
        <f>SUM(BH69:BH73)</f>
        <v>457231</v>
      </c>
      <c r="BI68" s="169">
        <f t="shared" ref="BI68:BJ68" si="131">SUM(BI69:BI73)</f>
        <v>484668</v>
      </c>
      <c r="BJ68" s="169">
        <f t="shared" si="131"/>
        <v>539126</v>
      </c>
      <c r="BK68" s="169">
        <f>SUM(BK69:BK74)</f>
        <v>568177</v>
      </c>
      <c r="BL68" s="169">
        <f>SUM(BL69:BL75)</f>
        <v>417400</v>
      </c>
      <c r="BM68" s="169">
        <f t="shared" ref="BM68:BR68" si="132">SUM(BM69:BM74)</f>
        <v>425404</v>
      </c>
      <c r="BN68" s="169">
        <f t="shared" si="132"/>
        <v>393936</v>
      </c>
      <c r="BO68" s="169">
        <f t="shared" si="132"/>
        <v>386855</v>
      </c>
      <c r="BP68" s="169">
        <f t="shared" si="132"/>
        <v>378500</v>
      </c>
      <c r="BQ68" s="169">
        <f t="shared" si="132"/>
        <v>398817</v>
      </c>
      <c r="BR68" s="169">
        <f t="shared" si="132"/>
        <v>411720</v>
      </c>
    </row>
    <row r="69" spans="2:70" ht="11.25" customHeight="1" x14ac:dyDescent="0.2">
      <c r="B69" s="17"/>
      <c r="C69" s="17"/>
      <c r="D69" s="17"/>
      <c r="E69" s="17"/>
      <c r="F69" s="18"/>
      <c r="G69" s="18"/>
      <c r="H69" s="21" t="s">
        <v>402</v>
      </c>
      <c r="I69" s="164">
        <v>5586</v>
      </c>
      <c r="J69" s="164">
        <v>6193</v>
      </c>
      <c r="K69" s="164">
        <v>5948</v>
      </c>
      <c r="L69" s="164">
        <v>6434</v>
      </c>
      <c r="M69" s="164">
        <v>6375</v>
      </c>
      <c r="N69" s="164">
        <v>5656</v>
      </c>
      <c r="O69" s="164">
        <v>5023</v>
      </c>
      <c r="P69" s="164">
        <v>4909</v>
      </c>
      <c r="Q69" s="164">
        <v>5138</v>
      </c>
      <c r="R69" s="164">
        <v>4266</v>
      </c>
      <c r="S69" s="164">
        <v>4726</v>
      </c>
      <c r="T69" s="164">
        <v>4940</v>
      </c>
      <c r="U69" s="164">
        <v>5197</v>
      </c>
      <c r="V69" s="164">
        <v>4963</v>
      </c>
      <c r="W69" s="164">
        <v>5188</v>
      </c>
      <c r="X69" s="164">
        <v>4919</v>
      </c>
      <c r="Y69" s="164">
        <v>4487</v>
      </c>
      <c r="Z69" s="164">
        <v>4918</v>
      </c>
      <c r="AA69" s="164">
        <v>5581</v>
      </c>
      <c r="AB69" s="164">
        <v>20726</v>
      </c>
      <c r="AC69" s="164">
        <v>16883</v>
      </c>
      <c r="AD69" s="164">
        <v>28613</v>
      </c>
      <c r="AE69" s="164">
        <v>28774</v>
      </c>
      <c r="AF69" s="164">
        <v>31576</v>
      </c>
      <c r="AG69" s="164">
        <v>34888</v>
      </c>
      <c r="AH69" s="164">
        <v>40993</v>
      </c>
      <c r="AI69" s="164">
        <v>47325</v>
      </c>
      <c r="AJ69" s="164">
        <v>51954</v>
      </c>
      <c r="AK69" s="164">
        <v>73993</v>
      </c>
      <c r="AL69" s="164">
        <v>62647</v>
      </c>
      <c r="AM69" s="164">
        <v>48335</v>
      </c>
      <c r="AN69" s="164">
        <v>55834</v>
      </c>
      <c r="AO69" s="164">
        <v>42016</v>
      </c>
      <c r="AP69" s="164">
        <v>54299</v>
      </c>
      <c r="AQ69" s="164">
        <v>53242</v>
      </c>
      <c r="AR69" s="164">
        <v>62841</v>
      </c>
      <c r="AS69" s="164">
        <v>65087</v>
      </c>
      <c r="AT69" s="164">
        <v>83099</v>
      </c>
      <c r="AU69" s="164">
        <v>88209</v>
      </c>
      <c r="AV69" s="164">
        <v>82895</v>
      </c>
      <c r="AW69" s="164">
        <v>96058</v>
      </c>
      <c r="AX69" s="164">
        <v>104544</v>
      </c>
      <c r="AY69" s="164">
        <v>111208</v>
      </c>
      <c r="AZ69" s="164">
        <v>122469</v>
      </c>
      <c r="BA69" s="164">
        <v>127130</v>
      </c>
      <c r="BB69" s="164">
        <v>131304</v>
      </c>
      <c r="BC69" s="164">
        <v>136476</v>
      </c>
      <c r="BD69" s="164">
        <v>111203</v>
      </c>
      <c r="BE69" s="164">
        <v>112866</v>
      </c>
      <c r="BF69" s="164">
        <v>123712</v>
      </c>
      <c r="BG69" s="164">
        <v>152677</v>
      </c>
      <c r="BH69" s="164">
        <v>152690</v>
      </c>
      <c r="BI69" s="164">
        <v>130926</v>
      </c>
      <c r="BJ69" s="164">
        <v>180664</v>
      </c>
      <c r="BK69" s="164">
        <v>219687</v>
      </c>
      <c r="BL69" s="164">
        <f>194305+9789</f>
        <v>204094</v>
      </c>
      <c r="BM69" s="164">
        <v>206210</v>
      </c>
      <c r="BN69" s="164">
        <f>189542+10288</f>
        <v>199830</v>
      </c>
      <c r="BO69" s="164">
        <f>213326+11453</f>
        <v>224779</v>
      </c>
      <c r="BP69" s="164">
        <v>233688</v>
      </c>
      <c r="BQ69" s="164">
        <v>238468</v>
      </c>
      <c r="BR69" s="164">
        <v>247441</v>
      </c>
    </row>
    <row r="70" spans="2:70" ht="11.25" customHeight="1" x14ac:dyDescent="0.2">
      <c r="B70" s="17"/>
      <c r="C70" s="17"/>
      <c r="D70" s="17"/>
      <c r="E70" s="17"/>
      <c r="F70" s="18"/>
      <c r="G70" s="18"/>
      <c r="H70" s="21" t="s">
        <v>92</v>
      </c>
      <c r="I70" s="164">
        <v>4384</v>
      </c>
      <c r="J70" s="164">
        <v>3095</v>
      </c>
      <c r="K70" s="164">
        <v>2785</v>
      </c>
      <c r="L70" s="164">
        <v>2751</v>
      </c>
      <c r="M70" s="164">
        <v>1728</v>
      </c>
      <c r="N70" s="164">
        <v>1668</v>
      </c>
      <c r="O70" s="164">
        <v>19595</v>
      </c>
      <c r="P70" s="164">
        <v>22249</v>
      </c>
      <c r="Q70" s="164">
        <v>20526</v>
      </c>
      <c r="R70" s="164">
        <v>19555</v>
      </c>
      <c r="S70" s="164">
        <v>13268</v>
      </c>
      <c r="T70" s="164">
        <v>12967</v>
      </c>
      <c r="U70" s="164">
        <v>14776</v>
      </c>
      <c r="V70" s="164">
        <v>20204</v>
      </c>
      <c r="W70" s="164">
        <v>22617</v>
      </c>
      <c r="X70" s="164">
        <v>16073</v>
      </c>
      <c r="Y70" s="164">
        <v>15379</v>
      </c>
      <c r="Z70" s="164">
        <v>17339</v>
      </c>
      <c r="AA70" s="164">
        <v>9122</v>
      </c>
      <c r="AB70" s="164">
        <v>8594</v>
      </c>
      <c r="AC70" s="164">
        <v>8142</v>
      </c>
      <c r="AD70" s="164">
        <v>8293</v>
      </c>
      <c r="AE70" s="164">
        <v>7938</v>
      </c>
      <c r="AF70" s="164">
        <v>7956</v>
      </c>
      <c r="AG70" s="164">
        <v>8709</v>
      </c>
      <c r="AH70" s="164">
        <v>8578</v>
      </c>
      <c r="AI70" s="164">
        <v>6884</v>
      </c>
      <c r="AJ70" s="164">
        <v>7464</v>
      </c>
      <c r="AK70" s="164">
        <v>6951</v>
      </c>
      <c r="AL70" s="164">
        <v>0</v>
      </c>
      <c r="AM70" s="164">
        <v>0</v>
      </c>
      <c r="AN70" s="164">
        <v>0</v>
      </c>
      <c r="AO70" s="164">
        <v>0</v>
      </c>
      <c r="AP70" s="164">
        <v>0</v>
      </c>
      <c r="AQ70" s="164">
        <v>0</v>
      </c>
      <c r="AR70" s="164">
        <v>0</v>
      </c>
      <c r="AS70" s="164">
        <v>0</v>
      </c>
      <c r="AT70" s="164">
        <v>0</v>
      </c>
      <c r="AU70" s="164">
        <v>0</v>
      </c>
      <c r="AV70" s="164">
        <v>0</v>
      </c>
      <c r="AW70" s="164">
        <v>0</v>
      </c>
      <c r="AX70" s="164">
        <v>0</v>
      </c>
      <c r="AY70" s="164">
        <v>0</v>
      </c>
      <c r="AZ70" s="164">
        <v>5248</v>
      </c>
      <c r="BA70" s="164">
        <v>5019</v>
      </c>
      <c r="BB70" s="164">
        <v>2659</v>
      </c>
      <c r="BC70" s="164">
        <v>2681</v>
      </c>
      <c r="BD70" s="164">
        <v>2700</v>
      </c>
      <c r="BE70" s="164">
        <v>2721</v>
      </c>
      <c r="BF70" s="164">
        <v>0</v>
      </c>
      <c r="BG70" s="164">
        <v>24077</v>
      </c>
      <c r="BH70" s="164">
        <v>26962</v>
      </c>
      <c r="BI70" s="164">
        <v>32923</v>
      </c>
      <c r="BJ70" s="164">
        <v>32076</v>
      </c>
      <c r="BK70" s="164">
        <v>31737</v>
      </c>
      <c r="BL70" s="164">
        <v>31650</v>
      </c>
      <c r="BM70" s="164">
        <v>11486</v>
      </c>
      <c r="BN70" s="164"/>
      <c r="BO70" s="164">
        <v>0</v>
      </c>
      <c r="BP70" s="164">
        <v>0</v>
      </c>
      <c r="BQ70" s="164">
        <v>378</v>
      </c>
      <c r="BR70" s="164">
        <v>311</v>
      </c>
    </row>
    <row r="71" spans="2:70" ht="11.25" customHeight="1" x14ac:dyDescent="0.2">
      <c r="B71" s="17"/>
      <c r="C71" s="17"/>
      <c r="D71" s="17"/>
      <c r="E71" s="17"/>
      <c r="F71" s="18"/>
      <c r="G71" s="18"/>
      <c r="H71" s="21" t="s">
        <v>121</v>
      </c>
      <c r="I71" s="164">
        <v>0</v>
      </c>
      <c r="J71" s="164">
        <v>1375</v>
      </c>
      <c r="K71" s="164">
        <v>9176</v>
      </c>
      <c r="L71" s="164">
        <v>4192</v>
      </c>
      <c r="M71" s="164">
        <v>5661</v>
      </c>
      <c r="N71" s="164">
        <v>4825</v>
      </c>
      <c r="O71" s="164">
        <v>15982</v>
      </c>
      <c r="P71" s="164">
        <v>5202</v>
      </c>
      <c r="Q71" s="164">
        <v>2302</v>
      </c>
      <c r="R71" s="164">
        <v>9377</v>
      </c>
      <c r="S71" s="164">
        <v>0</v>
      </c>
      <c r="T71" s="164">
        <v>894</v>
      </c>
      <c r="U71" s="164">
        <v>43</v>
      </c>
      <c r="V71" s="164">
        <v>59</v>
      </c>
      <c r="W71" s="164">
        <v>201</v>
      </c>
      <c r="X71" s="164">
        <v>311</v>
      </c>
      <c r="Y71" s="164">
        <v>1765</v>
      </c>
      <c r="Z71" s="164">
        <v>0</v>
      </c>
      <c r="AA71" s="164">
        <v>2278</v>
      </c>
      <c r="AB71" s="164">
        <v>1938</v>
      </c>
      <c r="AC71" s="164">
        <v>1578</v>
      </c>
      <c r="AD71" s="164">
        <v>1315</v>
      </c>
      <c r="AE71" s="164">
        <v>5092</v>
      </c>
      <c r="AF71" s="164">
        <v>1329</v>
      </c>
      <c r="AG71" s="164">
        <v>30201</v>
      </c>
      <c r="AH71" s="164">
        <v>61616</v>
      </c>
      <c r="AI71" s="164">
        <v>108065</v>
      </c>
      <c r="AJ71" s="164">
        <v>101852</v>
      </c>
      <c r="AK71" s="164">
        <v>83296</v>
      </c>
      <c r="AL71" s="164">
        <v>75832</v>
      </c>
      <c r="AM71" s="164">
        <v>77731</v>
      </c>
      <c r="AN71" s="164">
        <v>48648</v>
      </c>
      <c r="AO71" s="164">
        <v>44758</v>
      </c>
      <c r="AP71" s="164">
        <v>43007</v>
      </c>
      <c r="AQ71" s="164">
        <v>51564</v>
      </c>
      <c r="AR71" s="164">
        <v>23766</v>
      </c>
      <c r="AS71" s="164">
        <v>23326</v>
      </c>
      <c r="AT71" s="164">
        <v>29463</v>
      </c>
      <c r="AU71" s="164">
        <v>36291</v>
      </c>
      <c r="AV71" s="164">
        <v>8770</v>
      </c>
      <c r="AW71" s="164">
        <v>6840</v>
      </c>
      <c r="AX71" s="164">
        <v>16345</v>
      </c>
      <c r="AY71" s="164">
        <v>13859</v>
      </c>
      <c r="AZ71" s="164">
        <v>11328</v>
      </c>
      <c r="BA71" s="164">
        <v>73921</v>
      </c>
      <c r="BB71" s="164">
        <v>87553</v>
      </c>
      <c r="BC71" s="164">
        <v>90409</v>
      </c>
      <c r="BD71" s="164">
        <v>146785</v>
      </c>
      <c r="BE71" s="164">
        <v>145540</v>
      </c>
      <c r="BF71" s="164">
        <v>159075</v>
      </c>
      <c r="BG71" s="164">
        <v>156580</v>
      </c>
      <c r="BH71" s="164">
        <v>183607</v>
      </c>
      <c r="BI71" s="164">
        <v>225240</v>
      </c>
      <c r="BJ71" s="164">
        <v>224426</v>
      </c>
      <c r="BK71" s="164">
        <v>209025</v>
      </c>
      <c r="BL71" s="164">
        <v>61677</v>
      </c>
      <c r="BM71" s="164">
        <v>85594</v>
      </c>
      <c r="BN71" s="164">
        <v>82041</v>
      </c>
      <c r="BO71" s="164">
        <v>40537</v>
      </c>
      <c r="BP71" s="164">
        <v>19746</v>
      </c>
      <c r="BQ71" s="164">
        <v>30172</v>
      </c>
      <c r="BR71" s="164">
        <v>71133</v>
      </c>
    </row>
    <row r="72" spans="2:70" ht="11.25" customHeight="1" x14ac:dyDescent="0.2">
      <c r="B72" s="17"/>
      <c r="C72" s="17"/>
      <c r="D72" s="17"/>
      <c r="E72" s="17"/>
      <c r="F72" s="18"/>
      <c r="G72" s="18"/>
      <c r="H72" s="21" t="s">
        <v>122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4">
        <v>0</v>
      </c>
      <c r="R72" s="164">
        <v>0</v>
      </c>
      <c r="S72" s="164">
        <v>0</v>
      </c>
      <c r="T72" s="164">
        <v>0</v>
      </c>
      <c r="U72" s="164">
        <v>0</v>
      </c>
      <c r="V72" s="164">
        <v>0</v>
      </c>
      <c r="W72" s="164">
        <v>0</v>
      </c>
      <c r="X72" s="164">
        <v>0</v>
      </c>
      <c r="Y72" s="164">
        <v>0</v>
      </c>
      <c r="Z72" s="164">
        <v>0</v>
      </c>
      <c r="AA72" s="164">
        <v>0</v>
      </c>
      <c r="AB72" s="164">
        <v>68583</v>
      </c>
      <c r="AC72" s="164">
        <v>69509</v>
      </c>
      <c r="AD72" s="164">
        <v>60693</v>
      </c>
      <c r="AE72" s="164">
        <v>63768</v>
      </c>
      <c r="AF72" s="164">
        <v>71218</v>
      </c>
      <c r="AG72" s="164">
        <v>72917</v>
      </c>
      <c r="AH72" s="164">
        <v>73997</v>
      </c>
      <c r="AI72" s="164">
        <v>73889</v>
      </c>
      <c r="AJ72" s="164">
        <v>76430</v>
      </c>
      <c r="AK72" s="164">
        <v>75495</v>
      </c>
      <c r="AL72" s="164">
        <v>74152</v>
      </c>
      <c r="AM72" s="164">
        <v>71594</v>
      </c>
      <c r="AN72" s="164">
        <v>71542</v>
      </c>
      <c r="AO72" s="164">
        <v>70552</v>
      </c>
      <c r="AP72" s="164">
        <v>70051</v>
      </c>
      <c r="AQ72" s="164">
        <v>58178</v>
      </c>
      <c r="AR72" s="164">
        <v>57763</v>
      </c>
      <c r="AS72" s="164">
        <v>58122</v>
      </c>
      <c r="AT72" s="164">
        <v>58493</v>
      </c>
      <c r="AU72" s="164">
        <v>46176</v>
      </c>
      <c r="AV72" s="164">
        <v>46176</v>
      </c>
      <c r="AW72" s="164">
        <v>38590</v>
      </c>
      <c r="AX72" s="164">
        <v>38590</v>
      </c>
      <c r="AY72" s="164">
        <v>38590</v>
      </c>
      <c r="AZ72" s="164">
        <v>30241</v>
      </c>
      <c r="BA72" s="164">
        <v>28616</v>
      </c>
      <c r="BB72" s="164">
        <v>28649</v>
      </c>
      <c r="BC72" s="164">
        <v>28676</v>
      </c>
      <c r="BD72" s="164">
        <v>59814</v>
      </c>
      <c r="BE72" s="164">
        <v>60368</v>
      </c>
      <c r="BF72" s="164">
        <v>61051</v>
      </c>
      <c r="BG72" s="164">
        <v>76285</v>
      </c>
      <c r="BH72" s="164">
        <v>74202</v>
      </c>
      <c r="BI72" s="164">
        <v>75778</v>
      </c>
      <c r="BJ72" s="164">
        <v>75003</v>
      </c>
      <c r="BK72" s="164">
        <v>77428</v>
      </c>
      <c r="BL72" s="164">
        <v>79805</v>
      </c>
      <c r="BM72" s="164">
        <v>82236</v>
      </c>
      <c r="BN72" s="164">
        <v>70794</v>
      </c>
      <c r="BO72" s="164">
        <v>73257</v>
      </c>
      <c r="BP72" s="164">
        <v>75410</v>
      </c>
      <c r="BQ72" s="164">
        <v>76940</v>
      </c>
      <c r="BR72" s="164">
        <v>28504</v>
      </c>
    </row>
    <row r="73" spans="2:70" ht="11.25" customHeight="1" x14ac:dyDescent="0.2">
      <c r="B73" s="17"/>
      <c r="C73" s="17"/>
      <c r="D73" s="17"/>
      <c r="E73" s="17"/>
      <c r="F73" s="18"/>
      <c r="G73" s="18"/>
      <c r="H73" s="21" t="s">
        <v>89</v>
      </c>
      <c r="I73" s="164">
        <f>6664+266</f>
        <v>6930</v>
      </c>
      <c r="J73" s="164">
        <f>1134+266+23</f>
        <v>1423</v>
      </c>
      <c r="K73" s="164">
        <f>894+266</f>
        <v>1160</v>
      </c>
      <c r="L73" s="164">
        <f>913+292</f>
        <v>1205</v>
      </c>
      <c r="M73" s="164">
        <f>2197+292</f>
        <v>2489</v>
      </c>
      <c r="N73" s="164">
        <f>901+292</f>
        <v>1193</v>
      </c>
      <c r="O73" s="164">
        <f>2088+292</f>
        <v>2380</v>
      </c>
      <c r="P73" s="164">
        <f>2093+488</f>
        <v>2581</v>
      </c>
      <c r="Q73" s="164">
        <f>2101+345</f>
        <v>2446</v>
      </c>
      <c r="R73" s="164">
        <f>1038+366</f>
        <v>1404</v>
      </c>
      <c r="S73" s="164">
        <f>1065+367+927</f>
        <v>2359</v>
      </c>
      <c r="T73" s="164">
        <f>1010+367</f>
        <v>1377</v>
      </c>
      <c r="U73" s="164">
        <f>1032+415</f>
        <v>1447</v>
      </c>
      <c r="V73" s="164">
        <f>1038+415</f>
        <v>1453</v>
      </c>
      <c r="W73" s="164">
        <f>1332+415</f>
        <v>1747</v>
      </c>
      <c r="X73" s="164">
        <f>1068+415</f>
        <v>1483</v>
      </c>
      <c r="Y73" s="164">
        <v>1506</v>
      </c>
      <c r="Z73" s="164">
        <v>1537</v>
      </c>
      <c r="AA73" s="164">
        <v>1594</v>
      </c>
      <c r="AB73" s="164">
        <v>1684</v>
      </c>
      <c r="AC73" s="164">
        <v>2722</v>
      </c>
      <c r="AD73" s="164">
        <v>3417</v>
      </c>
      <c r="AE73" s="164">
        <v>9485</v>
      </c>
      <c r="AF73" s="164">
        <v>4760</v>
      </c>
      <c r="AG73" s="164">
        <v>4785</v>
      </c>
      <c r="AH73" s="164">
        <v>6919</v>
      </c>
      <c r="AI73" s="164">
        <v>6932</v>
      </c>
      <c r="AJ73" s="164">
        <v>7752</v>
      </c>
      <c r="AK73" s="164">
        <v>7457</v>
      </c>
      <c r="AL73" s="164">
        <v>10388</v>
      </c>
      <c r="AM73" s="164">
        <v>15087</v>
      </c>
      <c r="AN73" s="164">
        <v>15189</v>
      </c>
      <c r="AO73" s="164">
        <v>15013</v>
      </c>
      <c r="AP73" s="164">
        <v>16893</v>
      </c>
      <c r="AQ73" s="164">
        <v>17300</v>
      </c>
      <c r="AR73" s="164">
        <v>17029</v>
      </c>
      <c r="AS73" s="164">
        <v>11889</v>
      </c>
      <c r="AT73" s="164">
        <v>14316</v>
      </c>
      <c r="AU73" s="164">
        <v>14364</v>
      </c>
      <c r="AV73" s="164">
        <v>15643</v>
      </c>
      <c r="AW73" s="164">
        <v>16319</v>
      </c>
      <c r="AX73" s="164">
        <v>17375</v>
      </c>
      <c r="AY73" s="164">
        <v>21164</v>
      </c>
      <c r="AZ73" s="164">
        <v>7945</v>
      </c>
      <c r="BA73" s="164">
        <v>9827</v>
      </c>
      <c r="BB73" s="164">
        <v>17946</v>
      </c>
      <c r="BC73" s="164">
        <v>13180</v>
      </c>
      <c r="BD73" s="164">
        <v>13705</v>
      </c>
      <c r="BE73" s="164">
        <v>13899</v>
      </c>
      <c r="BF73" s="164">
        <v>14787</v>
      </c>
      <c r="BG73" s="164">
        <v>19620</v>
      </c>
      <c r="BH73" s="164">
        <v>19770</v>
      </c>
      <c r="BI73" s="164">
        <v>19801</v>
      </c>
      <c r="BJ73" s="164">
        <v>26957</v>
      </c>
      <c r="BK73" s="164">
        <v>19902</v>
      </c>
      <c r="BL73" s="164">
        <v>19450</v>
      </c>
      <c r="BM73" s="164">
        <v>19154</v>
      </c>
      <c r="BN73" s="164">
        <v>18547</v>
      </c>
      <c r="BO73" s="164">
        <v>17976</v>
      </c>
      <c r="BP73" s="164">
        <v>18282</v>
      </c>
      <c r="BQ73" s="164">
        <v>18349</v>
      </c>
      <c r="BR73" s="164">
        <v>18262</v>
      </c>
    </row>
    <row r="74" spans="2:70" ht="11.25" customHeight="1" x14ac:dyDescent="0.2">
      <c r="B74" s="17"/>
      <c r="C74" s="17"/>
      <c r="D74" s="17"/>
      <c r="E74" s="17"/>
      <c r="F74" s="18"/>
      <c r="G74" s="18"/>
      <c r="H74" s="21" t="s">
        <v>397</v>
      </c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>
        <v>10398</v>
      </c>
      <c r="BL74" s="164">
        <v>20724</v>
      </c>
      <c r="BM74" s="164">
        <v>20724</v>
      </c>
      <c r="BN74" s="164">
        <v>22724</v>
      </c>
      <c r="BO74" s="164">
        <v>30306</v>
      </c>
      <c r="BP74" s="164">
        <v>31374</v>
      </c>
      <c r="BQ74" s="164">
        <v>34510</v>
      </c>
      <c r="BR74" s="164">
        <v>46069</v>
      </c>
    </row>
    <row r="75" spans="2:70" ht="11.25" customHeight="1" x14ac:dyDescent="0.25">
      <c r="B75" s="28"/>
      <c r="C75" s="28"/>
      <c r="D75" s="28"/>
      <c r="E75" s="29" t="s">
        <v>104</v>
      </c>
      <c r="F75" s="28"/>
      <c r="G75" s="28"/>
      <c r="H75" s="37"/>
      <c r="I75" s="164">
        <v>14761</v>
      </c>
      <c r="J75" s="164">
        <v>14761</v>
      </c>
      <c r="K75" s="164">
        <f>14761+23</f>
        <v>14784</v>
      </c>
      <c r="L75" s="164">
        <v>17094</v>
      </c>
      <c r="M75" s="164">
        <v>17094</v>
      </c>
      <c r="N75" s="164">
        <v>17094</v>
      </c>
      <c r="O75" s="164">
        <v>17771</v>
      </c>
      <c r="P75" s="164">
        <v>17771</v>
      </c>
      <c r="Q75" s="164">
        <v>19202</v>
      </c>
      <c r="R75" s="164">
        <v>19202</v>
      </c>
      <c r="S75" s="164">
        <v>16681</v>
      </c>
      <c r="T75" s="164">
        <v>14925</v>
      </c>
      <c r="U75" s="164">
        <v>14786</v>
      </c>
      <c r="V75" s="164">
        <v>14786</v>
      </c>
      <c r="W75" s="164">
        <v>14510</v>
      </c>
      <c r="X75" s="164">
        <v>6174</v>
      </c>
      <c r="Y75" s="164">
        <v>6322</v>
      </c>
      <c r="Z75" s="164">
        <v>6907</v>
      </c>
      <c r="AA75" s="164">
        <v>6810</v>
      </c>
      <c r="AB75" s="164">
        <v>4461</v>
      </c>
      <c r="AC75" s="164">
        <v>4329</v>
      </c>
      <c r="AD75" s="164">
        <v>4193</v>
      </c>
      <c r="AE75" s="164">
        <v>3812</v>
      </c>
      <c r="AF75" s="164">
        <v>5848</v>
      </c>
      <c r="AG75" s="164">
        <v>5763</v>
      </c>
      <c r="AH75" s="164">
        <v>5678</v>
      </c>
      <c r="AI75" s="164">
        <v>4239</v>
      </c>
      <c r="AJ75" s="164">
        <v>4239</v>
      </c>
      <c r="AK75" s="164">
        <v>3972</v>
      </c>
      <c r="AL75" s="164">
        <v>1425</v>
      </c>
      <c r="AM75" s="164">
        <v>1157</v>
      </c>
      <c r="AN75" s="164">
        <v>0</v>
      </c>
      <c r="AO75" s="164">
        <v>0</v>
      </c>
      <c r="AP75" s="164">
        <v>0</v>
      </c>
      <c r="AQ75" s="164">
        <v>0</v>
      </c>
      <c r="AR75" s="164">
        <v>0</v>
      </c>
      <c r="AS75" s="164">
        <v>0</v>
      </c>
      <c r="AT75" s="164">
        <v>0</v>
      </c>
      <c r="AU75" s="164">
        <v>0</v>
      </c>
      <c r="AV75" s="164">
        <v>0</v>
      </c>
      <c r="AW75" s="164">
        <v>0</v>
      </c>
      <c r="AX75" s="164">
        <v>0</v>
      </c>
      <c r="AY75" s="164">
        <v>0</v>
      </c>
      <c r="AZ75" s="164">
        <v>0</v>
      </c>
      <c r="BA75" s="164">
        <v>0</v>
      </c>
      <c r="BB75" s="164"/>
      <c r="BC75" s="164"/>
      <c r="BD75" s="164"/>
      <c r="BE75" s="164">
        <v>0</v>
      </c>
      <c r="BF75" s="164">
        <v>0</v>
      </c>
      <c r="BG75" s="164">
        <v>0</v>
      </c>
      <c r="BH75" s="164">
        <v>0</v>
      </c>
      <c r="BI75" s="164">
        <v>0</v>
      </c>
      <c r="BJ75" s="164">
        <v>0</v>
      </c>
      <c r="BK75" s="164">
        <v>0</v>
      </c>
      <c r="BL75" s="164">
        <v>0</v>
      </c>
      <c r="BM75" s="164">
        <v>0</v>
      </c>
      <c r="BN75" s="164">
        <v>0</v>
      </c>
      <c r="BO75" s="164">
        <v>0</v>
      </c>
      <c r="BP75" s="164">
        <v>0</v>
      </c>
      <c r="BQ75" s="164">
        <v>0</v>
      </c>
      <c r="BR75" s="164">
        <v>0</v>
      </c>
    </row>
    <row r="76" spans="2:70" ht="11.25" customHeight="1" x14ac:dyDescent="0.25">
      <c r="B76" s="15"/>
      <c r="C76" s="15"/>
      <c r="D76" s="15"/>
      <c r="E76" s="27" t="s">
        <v>123</v>
      </c>
      <c r="F76" s="15"/>
      <c r="G76" s="15"/>
      <c r="H76" s="35"/>
      <c r="I76" s="169">
        <f t="shared" ref="I76:Y76" si="133">I77</f>
        <v>78933</v>
      </c>
      <c r="J76" s="169">
        <f t="shared" si="133"/>
        <v>66434</v>
      </c>
      <c r="K76" s="169">
        <f t="shared" si="133"/>
        <v>77026</v>
      </c>
      <c r="L76" s="169">
        <f t="shared" si="133"/>
        <v>70931</v>
      </c>
      <c r="M76" s="169">
        <f t="shared" si="133"/>
        <v>69453</v>
      </c>
      <c r="N76" s="169">
        <f t="shared" si="133"/>
        <v>76845</v>
      </c>
      <c r="O76" s="169">
        <f t="shared" si="133"/>
        <v>74368</v>
      </c>
      <c r="P76" s="169">
        <f t="shared" si="133"/>
        <v>71974</v>
      </c>
      <c r="Q76" s="169">
        <f t="shared" si="133"/>
        <v>68235</v>
      </c>
      <c r="R76" s="169">
        <f t="shared" si="133"/>
        <v>56693</v>
      </c>
      <c r="S76" s="169">
        <f t="shared" si="133"/>
        <v>83975</v>
      </c>
      <c r="T76" s="169">
        <f t="shared" si="133"/>
        <v>143</v>
      </c>
      <c r="U76" s="169">
        <f t="shared" si="133"/>
        <v>182</v>
      </c>
      <c r="V76" s="169">
        <f t="shared" si="133"/>
        <v>247</v>
      </c>
      <c r="W76" s="169">
        <f t="shared" si="133"/>
        <v>8165</v>
      </c>
      <c r="X76" s="169">
        <f t="shared" si="133"/>
        <v>2291</v>
      </c>
      <c r="Y76" s="169">
        <f t="shared" si="133"/>
        <v>2103</v>
      </c>
      <c r="Z76" s="169">
        <f t="shared" ref="Z76:BP76" si="134">Z77</f>
        <v>2685</v>
      </c>
      <c r="AA76" s="169">
        <f t="shared" si="134"/>
        <v>3343</v>
      </c>
      <c r="AB76" s="169">
        <f t="shared" si="134"/>
        <v>3924</v>
      </c>
      <c r="AC76" s="169">
        <f t="shared" si="134"/>
        <v>4500</v>
      </c>
      <c r="AD76" s="169">
        <f t="shared" si="134"/>
        <v>6830</v>
      </c>
      <c r="AE76" s="169">
        <f t="shared" si="134"/>
        <v>7686</v>
      </c>
      <c r="AF76" s="169">
        <f t="shared" si="134"/>
        <v>8358</v>
      </c>
      <c r="AG76" s="169">
        <f t="shared" si="134"/>
        <v>47399</v>
      </c>
      <c r="AH76" s="169">
        <f t="shared" si="134"/>
        <v>18803</v>
      </c>
      <c r="AI76" s="169">
        <f t="shared" si="134"/>
        <v>72781</v>
      </c>
      <c r="AJ76" s="169">
        <f t="shared" si="134"/>
        <v>23509</v>
      </c>
      <c r="AK76" s="169">
        <f t="shared" si="134"/>
        <v>9111</v>
      </c>
      <c r="AL76" s="169">
        <f t="shared" si="134"/>
        <v>22295</v>
      </c>
      <c r="AM76" s="169">
        <f t="shared" si="134"/>
        <v>26722</v>
      </c>
      <c r="AN76" s="169">
        <f t="shared" si="134"/>
        <v>26265</v>
      </c>
      <c r="AO76" s="169">
        <f t="shared" si="134"/>
        <v>19709</v>
      </c>
      <c r="AP76" s="169">
        <f t="shared" si="134"/>
        <v>17842</v>
      </c>
      <c r="AQ76" s="169">
        <f t="shared" si="134"/>
        <v>15903</v>
      </c>
      <c r="AR76" s="169">
        <f t="shared" si="134"/>
        <v>18760</v>
      </c>
      <c r="AS76" s="169">
        <f t="shared" si="134"/>
        <v>8592</v>
      </c>
      <c r="AT76" s="169">
        <f t="shared" si="134"/>
        <v>15607</v>
      </c>
      <c r="AU76" s="169">
        <f t="shared" si="134"/>
        <v>18506</v>
      </c>
      <c r="AV76" s="169">
        <f t="shared" si="134"/>
        <v>17168</v>
      </c>
      <c r="AW76" s="169">
        <f t="shared" si="134"/>
        <v>9054</v>
      </c>
      <c r="AX76" s="169">
        <f t="shared" si="134"/>
        <v>11876</v>
      </c>
      <c r="AY76" s="169">
        <f>AY77</f>
        <v>26138</v>
      </c>
      <c r="AZ76" s="169">
        <f>AZ77</f>
        <v>22517</v>
      </c>
      <c r="BA76" s="169">
        <f t="shared" si="134"/>
        <v>28565</v>
      </c>
      <c r="BB76" s="169">
        <f t="shared" si="134"/>
        <v>22964</v>
      </c>
      <c r="BC76" s="169">
        <f t="shared" si="134"/>
        <v>31745</v>
      </c>
      <c r="BD76" s="169">
        <f t="shared" si="134"/>
        <v>20480</v>
      </c>
      <c r="BE76" s="169">
        <f t="shared" si="134"/>
        <v>16916</v>
      </c>
      <c r="BF76" s="169">
        <f t="shared" si="134"/>
        <v>5429</v>
      </c>
      <c r="BG76" s="169">
        <f t="shared" si="134"/>
        <v>424977</v>
      </c>
      <c r="BH76" s="169">
        <f>BH77</f>
        <v>405662</v>
      </c>
      <c r="BI76" s="169">
        <f t="shared" si="134"/>
        <v>345064</v>
      </c>
      <c r="BJ76" s="169">
        <f t="shared" si="134"/>
        <v>344788</v>
      </c>
      <c r="BK76" s="169">
        <f t="shared" si="134"/>
        <v>335891</v>
      </c>
      <c r="BL76" s="169">
        <f>BL77</f>
        <v>281819</v>
      </c>
      <c r="BM76" s="169">
        <f t="shared" si="134"/>
        <v>263380</v>
      </c>
      <c r="BN76" s="169">
        <f t="shared" si="134"/>
        <v>223447</v>
      </c>
      <c r="BO76" s="169">
        <f t="shared" si="134"/>
        <v>226605</v>
      </c>
      <c r="BP76" s="169">
        <f t="shared" si="134"/>
        <v>254080</v>
      </c>
      <c r="BQ76" s="169">
        <f>BQ77</f>
        <v>277651</v>
      </c>
      <c r="BR76" s="169">
        <f>BR77</f>
        <v>266668</v>
      </c>
    </row>
    <row r="77" spans="2:70" ht="11.25" customHeight="1" x14ac:dyDescent="0.2">
      <c r="B77" s="17"/>
      <c r="C77" s="17"/>
      <c r="D77" s="17"/>
      <c r="E77" s="17"/>
      <c r="F77" s="18" t="s">
        <v>124</v>
      </c>
      <c r="G77" s="18"/>
      <c r="H77" s="20"/>
      <c r="I77" s="164">
        <v>78933</v>
      </c>
      <c r="J77" s="164">
        <f>30489+35945</f>
        <v>66434</v>
      </c>
      <c r="K77" s="164">
        <f>33207+43819</f>
        <v>77026</v>
      </c>
      <c r="L77" s="164">
        <v>70931</v>
      </c>
      <c r="M77" s="164">
        <v>69453</v>
      </c>
      <c r="N77" s="164">
        <v>76845</v>
      </c>
      <c r="O77" s="164">
        <v>74368</v>
      </c>
      <c r="P77" s="164">
        <v>71974</v>
      </c>
      <c r="Q77" s="164">
        <v>68235</v>
      </c>
      <c r="R77" s="164">
        <v>56693</v>
      </c>
      <c r="S77" s="164">
        <v>83975</v>
      </c>
      <c r="T77" s="164">
        <v>143</v>
      </c>
      <c r="U77" s="164">
        <v>182</v>
      </c>
      <c r="V77" s="164">
        <v>247</v>
      </c>
      <c r="W77" s="164">
        <v>8165</v>
      </c>
      <c r="X77" s="164">
        <v>2291</v>
      </c>
      <c r="Y77" s="164">
        <v>2103</v>
      </c>
      <c r="Z77" s="164">
        <v>2685</v>
      </c>
      <c r="AA77" s="164">
        <v>3343</v>
      </c>
      <c r="AB77" s="164">
        <v>3924</v>
      </c>
      <c r="AC77" s="164">
        <v>4500</v>
      </c>
      <c r="AD77" s="164">
        <v>6830</v>
      </c>
      <c r="AE77" s="164">
        <v>7686</v>
      </c>
      <c r="AF77" s="164">
        <v>8358</v>
      </c>
      <c r="AG77" s="164">
        <v>47399</v>
      </c>
      <c r="AH77" s="164">
        <v>18803</v>
      </c>
      <c r="AI77" s="164">
        <v>72781</v>
      </c>
      <c r="AJ77" s="164">
        <v>23509</v>
      </c>
      <c r="AK77" s="164">
        <v>9111</v>
      </c>
      <c r="AL77" s="164">
        <v>22295</v>
      </c>
      <c r="AM77" s="164">
        <v>26722</v>
      </c>
      <c r="AN77" s="164">
        <v>26265</v>
      </c>
      <c r="AO77" s="164">
        <v>19709</v>
      </c>
      <c r="AP77" s="164">
        <v>17842</v>
      </c>
      <c r="AQ77" s="164">
        <v>15903</v>
      </c>
      <c r="AR77" s="164">
        <v>18760</v>
      </c>
      <c r="AS77" s="164">
        <v>8592</v>
      </c>
      <c r="AT77" s="164">
        <v>15607</v>
      </c>
      <c r="AU77" s="164">
        <v>18506</v>
      </c>
      <c r="AV77" s="164">
        <v>17168</v>
      </c>
      <c r="AW77" s="164">
        <v>9054</v>
      </c>
      <c r="AX77" s="164">
        <v>11876</v>
      </c>
      <c r="AY77" s="164">
        <v>26138</v>
      </c>
      <c r="AZ77" s="164">
        <v>22517</v>
      </c>
      <c r="BA77" s="164">
        <v>28565</v>
      </c>
      <c r="BB77" s="164">
        <v>22964</v>
      </c>
      <c r="BC77" s="164">
        <v>31745</v>
      </c>
      <c r="BD77" s="164">
        <v>20480</v>
      </c>
      <c r="BE77" s="164">
        <v>16916</v>
      </c>
      <c r="BF77" s="164">
        <v>5429</v>
      </c>
      <c r="BG77" s="164">
        <v>424977</v>
      </c>
      <c r="BH77" s="164">
        <v>405662</v>
      </c>
      <c r="BI77" s="164">
        <v>345064</v>
      </c>
      <c r="BJ77" s="164">
        <v>344788</v>
      </c>
      <c r="BK77" s="164">
        <v>335891</v>
      </c>
      <c r="BL77" s="164">
        <v>281819</v>
      </c>
      <c r="BM77" s="164">
        <v>263380</v>
      </c>
      <c r="BN77" s="164">
        <v>223447</v>
      </c>
      <c r="BO77" s="164">
        <v>226605</v>
      </c>
      <c r="BP77" s="164">
        <v>254080</v>
      </c>
      <c r="BQ77" s="164">
        <v>277651</v>
      </c>
      <c r="BR77" s="164">
        <v>266668</v>
      </c>
    </row>
    <row r="78" spans="2:70" ht="11.25" customHeight="1" x14ac:dyDescent="0.25">
      <c r="B78" s="28"/>
      <c r="C78" s="28"/>
      <c r="D78" s="28"/>
      <c r="E78" s="29" t="s">
        <v>116</v>
      </c>
      <c r="F78" s="28"/>
      <c r="G78" s="28"/>
      <c r="H78" s="37"/>
      <c r="I78" s="164">
        <v>5827</v>
      </c>
      <c r="J78" s="164">
        <v>8130</v>
      </c>
      <c r="K78" s="164">
        <v>5720</v>
      </c>
      <c r="L78" s="164">
        <v>5809</v>
      </c>
      <c r="M78" s="164">
        <v>5804</v>
      </c>
      <c r="N78" s="164">
        <v>6179</v>
      </c>
      <c r="O78" s="164">
        <v>4771</v>
      </c>
      <c r="P78" s="164">
        <v>4475</v>
      </c>
      <c r="Q78" s="164">
        <v>4061</v>
      </c>
      <c r="R78" s="164">
        <v>4061</v>
      </c>
      <c r="S78" s="164">
        <v>3084</v>
      </c>
      <c r="T78" s="164">
        <v>2710</v>
      </c>
      <c r="U78" s="164">
        <v>2340</v>
      </c>
      <c r="V78" s="164">
        <v>1970</v>
      </c>
      <c r="W78" s="164">
        <v>7524</v>
      </c>
      <c r="X78" s="164">
        <v>6757</v>
      </c>
      <c r="Y78" s="164">
        <v>6009</v>
      </c>
      <c r="Z78" s="164">
        <v>8382</v>
      </c>
      <c r="AA78" s="164">
        <v>5650</v>
      </c>
      <c r="AB78" s="164">
        <v>5796</v>
      </c>
      <c r="AC78" s="164">
        <v>5943</v>
      </c>
      <c r="AD78" s="164">
        <v>6199</v>
      </c>
      <c r="AE78" s="164">
        <v>6632</v>
      </c>
      <c r="AF78" s="164">
        <v>1665</v>
      </c>
      <c r="AG78" s="164">
        <v>1665</v>
      </c>
      <c r="AH78" s="164">
        <v>1665</v>
      </c>
      <c r="AI78" s="164">
        <v>3271</v>
      </c>
      <c r="AJ78" s="164">
        <v>2830</v>
      </c>
      <c r="AK78" s="164">
        <v>2398</v>
      </c>
      <c r="AL78" s="164">
        <v>1962</v>
      </c>
      <c r="AM78" s="164">
        <v>4007</v>
      </c>
      <c r="AN78" s="164">
        <v>3777</v>
      </c>
      <c r="AO78" s="164">
        <v>3316</v>
      </c>
      <c r="AP78" s="164">
        <v>3086</v>
      </c>
      <c r="AQ78" s="164">
        <v>2855</v>
      </c>
      <c r="AR78" s="164">
        <v>2567</v>
      </c>
      <c r="AS78" s="164">
        <v>2387</v>
      </c>
      <c r="AT78" s="164">
        <v>2482</v>
      </c>
      <c r="AU78" s="164">
        <v>2687</v>
      </c>
      <c r="AV78" s="164">
        <v>2659</v>
      </c>
      <c r="AW78" s="164">
        <v>378</v>
      </c>
      <c r="AX78" s="164">
        <v>187</v>
      </c>
      <c r="AY78" s="164">
        <v>574</v>
      </c>
      <c r="AZ78" s="164">
        <v>528</v>
      </c>
      <c r="BA78" s="164">
        <v>483</v>
      </c>
      <c r="BB78" s="164">
        <v>154</v>
      </c>
      <c r="BC78" s="164">
        <v>1600</v>
      </c>
      <c r="BD78" s="164">
        <v>437</v>
      </c>
      <c r="BE78" s="164">
        <v>31</v>
      </c>
      <c r="BF78" s="164">
        <v>27</v>
      </c>
      <c r="BG78" s="164">
        <v>23</v>
      </c>
      <c r="BH78" s="164">
        <v>19</v>
      </c>
      <c r="BI78" s="164">
        <v>19</v>
      </c>
      <c r="BJ78" s="164">
        <v>174</v>
      </c>
      <c r="BK78" s="164">
        <v>545</v>
      </c>
      <c r="BL78" s="164">
        <v>458</v>
      </c>
      <c r="BM78" s="164">
        <v>372</v>
      </c>
      <c r="BN78" s="164">
        <v>1271</v>
      </c>
      <c r="BO78" s="164">
        <v>2238</v>
      </c>
      <c r="BP78" s="164">
        <v>1798</v>
      </c>
      <c r="BQ78" s="164">
        <v>1473</v>
      </c>
      <c r="BR78" s="164">
        <v>2836</v>
      </c>
    </row>
    <row r="79" spans="2:70" ht="11.25" customHeight="1" x14ac:dyDescent="0.25">
      <c r="B79" s="15"/>
      <c r="C79" s="15"/>
      <c r="D79" s="27" t="s">
        <v>125</v>
      </c>
      <c r="E79" s="15"/>
      <c r="F79" s="15"/>
      <c r="G79" s="15"/>
      <c r="H79" s="22"/>
      <c r="I79" s="166">
        <v>0</v>
      </c>
      <c r="J79" s="166">
        <v>0</v>
      </c>
      <c r="K79" s="166">
        <v>0</v>
      </c>
      <c r="L79" s="166">
        <v>0</v>
      </c>
      <c r="M79" s="166">
        <v>0</v>
      </c>
      <c r="N79" s="166">
        <v>0</v>
      </c>
      <c r="O79" s="166">
        <v>0</v>
      </c>
      <c r="P79" s="166">
        <v>0</v>
      </c>
      <c r="Q79" s="166">
        <v>0</v>
      </c>
      <c r="R79" s="166">
        <v>0</v>
      </c>
      <c r="S79" s="166">
        <v>0</v>
      </c>
      <c r="T79" s="166">
        <v>0</v>
      </c>
      <c r="U79" s="166">
        <v>0</v>
      </c>
      <c r="V79" s="166">
        <v>0</v>
      </c>
      <c r="W79" s="166">
        <v>0</v>
      </c>
      <c r="X79" s="166">
        <v>0</v>
      </c>
      <c r="Y79" s="166">
        <v>0</v>
      </c>
      <c r="Z79" s="166">
        <v>0</v>
      </c>
      <c r="AA79" s="166">
        <v>0</v>
      </c>
      <c r="AB79" s="166">
        <v>0</v>
      </c>
      <c r="AC79" s="166">
        <v>0</v>
      </c>
      <c r="AD79" s="166">
        <v>0</v>
      </c>
      <c r="AE79" s="166">
        <v>0</v>
      </c>
      <c r="AF79" s="166">
        <v>0</v>
      </c>
      <c r="AG79" s="166">
        <v>0</v>
      </c>
      <c r="AH79" s="166">
        <v>0</v>
      </c>
      <c r="AI79" s="169">
        <f>AI80</f>
        <v>93350</v>
      </c>
      <c r="AJ79" s="169">
        <f>AJ80</f>
        <v>93350</v>
      </c>
      <c r="AK79" s="169">
        <f t="shared" ref="AK79:BC79" si="135">AK80</f>
        <v>93350</v>
      </c>
      <c r="AL79" s="169">
        <f t="shared" si="135"/>
        <v>93350</v>
      </c>
      <c r="AM79" s="169">
        <f t="shared" si="135"/>
        <v>93350</v>
      </c>
      <c r="AN79" s="169">
        <f t="shared" si="135"/>
        <v>210644</v>
      </c>
      <c r="AO79" s="169">
        <f t="shared" si="135"/>
        <v>227105</v>
      </c>
      <c r="AP79" s="169">
        <f t="shared" si="135"/>
        <v>227287</v>
      </c>
      <c r="AQ79" s="169">
        <f t="shared" si="135"/>
        <v>227359</v>
      </c>
      <c r="AR79" s="169">
        <f t="shared" si="135"/>
        <v>202243</v>
      </c>
      <c r="AS79" s="169">
        <f t="shared" si="135"/>
        <v>202185</v>
      </c>
      <c r="AT79" s="169">
        <f t="shared" si="135"/>
        <v>202127</v>
      </c>
      <c r="AU79" s="169">
        <f t="shared" si="135"/>
        <v>202069</v>
      </c>
      <c r="AV79" s="169">
        <f t="shared" si="135"/>
        <v>209082</v>
      </c>
      <c r="AW79" s="169">
        <f t="shared" si="135"/>
        <v>209023</v>
      </c>
      <c r="AX79" s="169">
        <f t="shared" si="135"/>
        <v>208965</v>
      </c>
      <c r="AY79" s="169">
        <f t="shared" si="135"/>
        <v>208907</v>
      </c>
      <c r="AZ79" s="169">
        <f>AZ80</f>
        <v>217010</v>
      </c>
      <c r="BA79" s="169">
        <f t="shared" si="135"/>
        <v>216952</v>
      </c>
      <c r="BB79" s="169">
        <f t="shared" si="135"/>
        <v>216894</v>
      </c>
      <c r="BC79" s="169">
        <f t="shared" si="135"/>
        <v>216835</v>
      </c>
      <c r="BD79" s="169">
        <f>BD80</f>
        <v>224194</v>
      </c>
      <c r="BE79" s="169">
        <f t="shared" ref="BE79:BF79" si="136">BE80</f>
        <v>224141</v>
      </c>
      <c r="BF79" s="169">
        <f t="shared" si="136"/>
        <v>224095</v>
      </c>
      <c r="BG79" s="169">
        <f t="shared" ref="BG79:BM79" si="137">BG80+BG81</f>
        <v>335100</v>
      </c>
      <c r="BH79" s="169">
        <f t="shared" si="137"/>
        <v>334909</v>
      </c>
      <c r="BI79" s="169">
        <f t="shared" si="137"/>
        <v>335576</v>
      </c>
      <c r="BJ79" s="169">
        <f t="shared" si="137"/>
        <v>388133</v>
      </c>
      <c r="BK79" s="169">
        <f t="shared" si="137"/>
        <v>389433</v>
      </c>
      <c r="BL79" s="169">
        <f>BL80+BL81</f>
        <v>389435</v>
      </c>
      <c r="BM79" s="169">
        <f t="shared" si="137"/>
        <v>389435</v>
      </c>
      <c r="BN79" s="169">
        <f t="shared" ref="BN79:BO79" si="138">BN80+BN81</f>
        <v>434507</v>
      </c>
      <c r="BO79" s="169">
        <f t="shared" si="138"/>
        <v>434507</v>
      </c>
      <c r="BP79" s="169">
        <f t="shared" ref="BP79" si="139">BP80+BP81</f>
        <v>434546</v>
      </c>
      <c r="BQ79" s="169">
        <f>BQ80+BQ81</f>
        <v>150605</v>
      </c>
      <c r="BR79" s="169">
        <f>BR80+BR81</f>
        <v>74932</v>
      </c>
    </row>
    <row r="80" spans="2:70" ht="11.25" customHeight="1" x14ac:dyDescent="0.25">
      <c r="B80" s="28"/>
      <c r="C80" s="28"/>
      <c r="D80" s="28"/>
      <c r="E80" s="29" t="s">
        <v>126</v>
      </c>
      <c r="F80" s="28"/>
      <c r="G80" s="28"/>
      <c r="H80" s="37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>
        <v>93350</v>
      </c>
      <c r="AJ80" s="164">
        <v>93350</v>
      </c>
      <c r="AK80" s="164">
        <v>93350</v>
      </c>
      <c r="AL80" s="164">
        <v>93350</v>
      </c>
      <c r="AM80" s="164">
        <v>93350</v>
      </c>
      <c r="AN80" s="164">
        <v>210644</v>
      </c>
      <c r="AO80" s="164">
        <v>227105</v>
      </c>
      <c r="AP80" s="164">
        <v>227287</v>
      </c>
      <c r="AQ80" s="164">
        <v>227359</v>
      </c>
      <c r="AR80" s="164">
        <v>202243</v>
      </c>
      <c r="AS80" s="164">
        <v>202185</v>
      </c>
      <c r="AT80" s="164">
        <v>202127</v>
      </c>
      <c r="AU80" s="164">
        <v>202069</v>
      </c>
      <c r="AV80" s="164">
        <v>209082</v>
      </c>
      <c r="AW80" s="164">
        <v>209023</v>
      </c>
      <c r="AX80" s="164">
        <v>208965</v>
      </c>
      <c r="AY80" s="164">
        <v>208907</v>
      </c>
      <c r="AZ80" s="164">
        <v>217010</v>
      </c>
      <c r="BA80" s="164">
        <v>216952</v>
      </c>
      <c r="BB80" s="164">
        <v>216894</v>
      </c>
      <c r="BC80" s="164">
        <v>216835</v>
      </c>
      <c r="BD80" s="164">
        <v>224194</v>
      </c>
      <c r="BE80" s="164">
        <v>224141</v>
      </c>
      <c r="BF80" s="164">
        <v>224095</v>
      </c>
      <c r="BG80" s="164">
        <v>333486</v>
      </c>
      <c r="BH80" s="164">
        <v>333269</v>
      </c>
      <c r="BI80" s="164">
        <v>333269</v>
      </c>
      <c r="BJ80" s="164">
        <v>385818</v>
      </c>
      <c r="BK80" s="164">
        <v>385818</v>
      </c>
      <c r="BL80" s="164">
        <v>385817</v>
      </c>
      <c r="BM80" s="164">
        <v>385817</v>
      </c>
      <c r="BN80" s="164">
        <v>430889</v>
      </c>
      <c r="BO80" s="164">
        <v>430889</v>
      </c>
      <c r="BP80" s="164">
        <v>430889</v>
      </c>
      <c r="BQ80" s="164">
        <v>145840</v>
      </c>
      <c r="BR80" s="164">
        <v>72376</v>
      </c>
    </row>
    <row r="81" spans="2:70" ht="11.25" customHeight="1" x14ac:dyDescent="0.25">
      <c r="B81" s="28"/>
      <c r="C81" s="28"/>
      <c r="D81" s="28"/>
      <c r="E81" s="29" t="s">
        <v>127</v>
      </c>
      <c r="F81" s="28"/>
      <c r="G81" s="28"/>
      <c r="H81" s="37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>
        <v>0</v>
      </c>
      <c r="AJ81" s="164">
        <v>0</v>
      </c>
      <c r="AK81" s="164">
        <v>0</v>
      </c>
      <c r="AL81" s="164">
        <v>0</v>
      </c>
      <c r="AM81" s="164">
        <v>0</v>
      </c>
      <c r="AN81" s="164">
        <v>0</v>
      </c>
      <c r="AO81" s="164">
        <v>0</v>
      </c>
      <c r="AP81" s="164">
        <v>0</v>
      </c>
      <c r="AQ81" s="164">
        <v>0</v>
      </c>
      <c r="AR81" s="164">
        <v>0</v>
      </c>
      <c r="AS81" s="164">
        <v>0</v>
      </c>
      <c r="AT81" s="164">
        <v>0</v>
      </c>
      <c r="AU81" s="164">
        <v>0</v>
      </c>
      <c r="AV81" s="164">
        <v>0</v>
      </c>
      <c r="AW81" s="164">
        <v>0</v>
      </c>
      <c r="AX81" s="164">
        <v>0</v>
      </c>
      <c r="AY81" s="164">
        <v>0</v>
      </c>
      <c r="AZ81" s="164">
        <v>0</v>
      </c>
      <c r="BA81" s="164">
        <v>0</v>
      </c>
      <c r="BB81" s="164">
        <v>0</v>
      </c>
      <c r="BC81" s="164">
        <v>0</v>
      </c>
      <c r="BD81" s="164">
        <v>0</v>
      </c>
      <c r="BE81" s="164">
        <v>0</v>
      </c>
      <c r="BF81" s="164">
        <v>0</v>
      </c>
      <c r="BG81" s="164">
        <v>1614</v>
      </c>
      <c r="BH81" s="164">
        <v>1640</v>
      </c>
      <c r="BI81" s="164">
        <v>2307</v>
      </c>
      <c r="BJ81" s="164">
        <v>2315</v>
      </c>
      <c r="BK81" s="164">
        <v>3615</v>
      </c>
      <c r="BL81" s="164">
        <v>3618</v>
      </c>
      <c r="BM81" s="164">
        <v>3618</v>
      </c>
      <c r="BN81" s="164">
        <v>3618</v>
      </c>
      <c r="BO81" s="164">
        <v>3618</v>
      </c>
      <c r="BP81" s="164">
        <v>3657</v>
      </c>
      <c r="BQ81" s="164">
        <v>4765</v>
      </c>
      <c r="BR81" s="164">
        <v>2556</v>
      </c>
    </row>
    <row r="82" spans="2:70" ht="11.25" customHeight="1" x14ac:dyDescent="0.25">
      <c r="B82" s="15"/>
      <c r="C82" s="15"/>
      <c r="D82" s="27" t="s">
        <v>128</v>
      </c>
      <c r="E82" s="15"/>
      <c r="F82" s="15"/>
      <c r="G82" s="15"/>
      <c r="H82" s="35"/>
      <c r="I82" s="169">
        <f t="shared" ref="I82:Z82" si="140">SUM(I83:I85)</f>
        <v>667903</v>
      </c>
      <c r="J82" s="169">
        <f t="shared" si="140"/>
        <v>687224</v>
      </c>
      <c r="K82" s="169">
        <f t="shared" si="140"/>
        <v>735695</v>
      </c>
      <c r="L82" s="169">
        <f t="shared" si="140"/>
        <v>2132258</v>
      </c>
      <c r="M82" s="169">
        <f t="shared" si="140"/>
        <v>2164425</v>
      </c>
      <c r="N82" s="169">
        <f t="shared" si="140"/>
        <v>2165259</v>
      </c>
      <c r="O82" s="169">
        <f t="shared" si="140"/>
        <v>2220085</v>
      </c>
      <c r="P82" s="169">
        <f t="shared" si="140"/>
        <v>2239052</v>
      </c>
      <c r="Q82" s="169">
        <f t="shared" si="140"/>
        <v>2242498</v>
      </c>
      <c r="R82" s="169">
        <f t="shared" si="140"/>
        <v>2258649</v>
      </c>
      <c r="S82" s="169">
        <f t="shared" si="140"/>
        <v>2334079</v>
      </c>
      <c r="T82" s="169">
        <f t="shared" si="140"/>
        <v>2549337</v>
      </c>
      <c r="U82" s="169">
        <f t="shared" si="140"/>
        <v>2555326</v>
      </c>
      <c r="V82" s="169">
        <f t="shared" si="140"/>
        <v>2577004</v>
      </c>
      <c r="W82" s="169">
        <f t="shared" si="140"/>
        <v>2592621</v>
      </c>
      <c r="X82" s="169">
        <f t="shared" si="140"/>
        <v>2594571</v>
      </c>
      <c r="Y82" s="169">
        <f t="shared" si="140"/>
        <v>2581548</v>
      </c>
      <c r="Z82" s="169">
        <f t="shared" si="140"/>
        <v>2615953</v>
      </c>
      <c r="AA82" s="169">
        <f t="shared" ref="AA82:AG82" si="141">SUM(AA83:AA85)</f>
        <v>2634329</v>
      </c>
      <c r="AB82" s="169">
        <f t="shared" si="141"/>
        <v>2685343</v>
      </c>
      <c r="AC82" s="169">
        <f t="shared" si="141"/>
        <v>2672651</v>
      </c>
      <c r="AD82" s="169">
        <f t="shared" si="141"/>
        <v>2692377</v>
      </c>
      <c r="AE82" s="169">
        <f t="shared" si="141"/>
        <v>2733957</v>
      </c>
      <c r="AF82" s="169">
        <f t="shared" si="141"/>
        <v>2747811</v>
      </c>
      <c r="AG82" s="169">
        <f t="shared" si="141"/>
        <v>2738662</v>
      </c>
      <c r="AH82" s="169">
        <f t="shared" ref="AH82:BC82" si="142">SUM(AH83:AH85)</f>
        <v>2750037</v>
      </c>
      <c r="AI82" s="169">
        <f t="shared" si="142"/>
        <v>2766541</v>
      </c>
      <c r="AJ82" s="169">
        <f t="shared" si="142"/>
        <v>2760438</v>
      </c>
      <c r="AK82" s="169">
        <f t="shared" si="142"/>
        <v>2741784</v>
      </c>
      <c r="AL82" s="169">
        <f t="shared" si="142"/>
        <v>2733490</v>
      </c>
      <c r="AM82" s="169">
        <f t="shared" si="142"/>
        <v>2735925</v>
      </c>
      <c r="AN82" s="169">
        <f t="shared" si="142"/>
        <v>2686064</v>
      </c>
      <c r="AO82" s="169">
        <f t="shared" si="142"/>
        <v>2668669</v>
      </c>
      <c r="AP82" s="169">
        <f t="shared" si="142"/>
        <v>2672800</v>
      </c>
      <c r="AQ82" s="169">
        <f t="shared" si="142"/>
        <v>2716763</v>
      </c>
      <c r="AR82" s="169">
        <f t="shared" si="142"/>
        <v>2647977</v>
      </c>
      <c r="AS82" s="169">
        <f t="shared" si="142"/>
        <v>2655226</v>
      </c>
      <c r="AT82" s="169">
        <f t="shared" si="142"/>
        <v>2663544</v>
      </c>
      <c r="AU82" s="169">
        <f t="shared" si="142"/>
        <v>2751859</v>
      </c>
      <c r="AV82" s="169">
        <f t="shared" si="142"/>
        <v>2784265</v>
      </c>
      <c r="AW82" s="169">
        <f t="shared" si="142"/>
        <v>3365519</v>
      </c>
      <c r="AX82" s="169">
        <f t="shared" si="142"/>
        <v>3395207</v>
      </c>
      <c r="AY82" s="169">
        <f t="shared" si="142"/>
        <v>3457847</v>
      </c>
      <c r="AZ82" s="169">
        <f>SUM(AZ83:AZ85)</f>
        <v>3434020</v>
      </c>
      <c r="BA82" s="169">
        <f t="shared" si="142"/>
        <v>3493796</v>
      </c>
      <c r="BB82" s="169">
        <f t="shared" si="142"/>
        <v>3585626</v>
      </c>
      <c r="BC82" s="169">
        <f t="shared" si="142"/>
        <v>3637517</v>
      </c>
      <c r="BD82" s="169">
        <f>SUM(BD83:BD85)</f>
        <v>3773040</v>
      </c>
      <c r="BE82" s="169">
        <f>SUM(BE83:BE85)</f>
        <v>3786507</v>
      </c>
      <c r="BF82" s="169">
        <f>SUM(BF83:BF85)</f>
        <v>4882732</v>
      </c>
      <c r="BG82" s="169">
        <f>SUM(BG83:BG85)</f>
        <v>6280390</v>
      </c>
      <c r="BH82" s="169">
        <f>SUM(BH83:BH85)</f>
        <v>6440248</v>
      </c>
      <c r="BI82" s="169">
        <f t="shared" ref="BI82:BJ82" si="143">SUM(BI83:BI85)</f>
        <v>6514774</v>
      </c>
      <c r="BJ82" s="169">
        <f t="shared" si="143"/>
        <v>6563235</v>
      </c>
      <c r="BK82" s="169">
        <f t="shared" ref="BK82:BM82" si="144">SUM(BK83:BK85)</f>
        <v>6575509</v>
      </c>
      <c r="BL82" s="169">
        <f t="shared" si="144"/>
        <v>6614374</v>
      </c>
      <c r="BM82" s="169">
        <f t="shared" si="144"/>
        <v>7163538</v>
      </c>
      <c r="BN82" s="169">
        <f t="shared" ref="BN82:BO82" si="145">SUM(BN83:BN85)</f>
        <v>6675965</v>
      </c>
      <c r="BO82" s="169">
        <f t="shared" si="145"/>
        <v>7398090</v>
      </c>
      <c r="BP82" s="169">
        <f t="shared" ref="BP82" si="146">SUM(BP83:BP85)</f>
        <v>7281029</v>
      </c>
      <c r="BQ82" s="169">
        <f>SUM(BQ83:BQ85)</f>
        <v>7060750</v>
      </c>
      <c r="BR82" s="169">
        <f>SUM(BR83:BR85)</f>
        <v>7306809</v>
      </c>
    </row>
    <row r="83" spans="2:70" ht="11.25" customHeight="1" x14ac:dyDescent="0.2">
      <c r="B83" s="17"/>
      <c r="C83" s="17"/>
      <c r="D83" s="17"/>
      <c r="E83" s="18" t="s">
        <v>129</v>
      </c>
      <c r="F83" s="17"/>
      <c r="G83" s="17"/>
      <c r="H83" s="20"/>
      <c r="I83" s="164">
        <f>682664-22933-14761</f>
        <v>644970</v>
      </c>
      <c r="J83" s="164">
        <f>701985-31747-14761</f>
        <v>655477</v>
      </c>
      <c r="K83" s="164">
        <f>750456-14761-26028</f>
        <v>709667</v>
      </c>
      <c r="L83" s="164">
        <f>2132258-31438</f>
        <v>2100820</v>
      </c>
      <c r="M83" s="164">
        <f>2164425-31741</f>
        <v>2132684</v>
      </c>
      <c r="N83" s="164">
        <f>2165259-29335</f>
        <v>2135924</v>
      </c>
      <c r="O83" s="164">
        <f>2220085-21692</f>
        <v>2198393</v>
      </c>
      <c r="P83" s="164">
        <v>2206981</v>
      </c>
      <c r="Q83" s="164">
        <f>2242498-36577</f>
        <v>2205921</v>
      </c>
      <c r="R83" s="164">
        <f>2258649-37736</f>
        <v>2220913</v>
      </c>
      <c r="S83" s="164">
        <v>2312937</v>
      </c>
      <c r="T83" s="164">
        <v>2536328</v>
      </c>
      <c r="U83" s="164">
        <v>2536790</v>
      </c>
      <c r="V83" s="164">
        <v>2553469</v>
      </c>
      <c r="W83" s="164">
        <v>2570708</v>
      </c>
      <c r="X83" s="164">
        <v>2577135</v>
      </c>
      <c r="Y83" s="164">
        <v>2572935</v>
      </c>
      <c r="Z83" s="164">
        <v>2604506</v>
      </c>
      <c r="AA83" s="164">
        <v>2615030</v>
      </c>
      <c r="AB83" s="164">
        <v>2649248</v>
      </c>
      <c r="AC83" s="164">
        <v>2631520</v>
      </c>
      <c r="AD83" s="164">
        <v>2670022</v>
      </c>
      <c r="AE83" s="164">
        <v>2693314</v>
      </c>
      <c r="AF83" s="164">
        <v>2686056</v>
      </c>
      <c r="AG83" s="164">
        <v>2674952</v>
      </c>
      <c r="AH83" s="164">
        <v>2711596</v>
      </c>
      <c r="AI83" s="164">
        <v>2718154</v>
      </c>
      <c r="AJ83" s="164">
        <v>2703822</v>
      </c>
      <c r="AK83" s="164">
        <v>2681353</v>
      </c>
      <c r="AL83" s="164">
        <v>2667153</v>
      </c>
      <c r="AM83" s="164">
        <v>2683031</v>
      </c>
      <c r="AN83" s="164">
        <v>2638106</v>
      </c>
      <c r="AO83" s="164">
        <v>2638842</v>
      </c>
      <c r="AP83" s="164">
        <v>2635195</v>
      </c>
      <c r="AQ83" s="164">
        <v>2657877</v>
      </c>
      <c r="AR83" s="164">
        <v>2587912</v>
      </c>
      <c r="AS83" s="164">
        <v>2591967</v>
      </c>
      <c r="AT83" s="164">
        <v>2629342</v>
      </c>
      <c r="AU83" s="164">
        <v>2696870</v>
      </c>
      <c r="AV83" s="164">
        <v>2723319</v>
      </c>
      <c r="AW83" s="164">
        <v>2832973</v>
      </c>
      <c r="AX83" s="164">
        <v>2847837</v>
      </c>
      <c r="AY83" s="164">
        <v>2904029</v>
      </c>
      <c r="AZ83" s="164">
        <v>2858958</v>
      </c>
      <c r="BA83" s="164">
        <v>2896731</v>
      </c>
      <c r="BB83" s="164">
        <v>2900970</v>
      </c>
      <c r="BC83" s="164">
        <v>2929430</v>
      </c>
      <c r="BD83" s="164">
        <v>2933711</v>
      </c>
      <c r="BE83" s="164">
        <v>2943755</v>
      </c>
      <c r="BF83" s="164">
        <v>2997099</v>
      </c>
      <c r="BG83" s="164">
        <v>3297523</v>
      </c>
      <c r="BH83" s="164">
        <f xml:space="preserve"> 3398063 -BH85</f>
        <v>3321052</v>
      </c>
      <c r="BI83" s="164">
        <v>3505038</v>
      </c>
      <c r="BJ83" s="164">
        <f>3640721-BJ85</f>
        <v>3537852</v>
      </c>
      <c r="BK83" s="164">
        <v>3641546</v>
      </c>
      <c r="BL83" s="164">
        <v>3642786</v>
      </c>
      <c r="BM83" s="164">
        <v>4199288</v>
      </c>
      <c r="BN83" s="164">
        <v>4225206</v>
      </c>
      <c r="BO83" s="164">
        <v>4256349</v>
      </c>
      <c r="BP83" s="164">
        <v>4269404</v>
      </c>
      <c r="BQ83" s="164">
        <v>4514997</v>
      </c>
      <c r="BR83" s="164">
        <v>4789621</v>
      </c>
    </row>
    <row r="84" spans="2:70" ht="11.25" customHeight="1" x14ac:dyDescent="0.2">
      <c r="B84" s="17"/>
      <c r="C84" s="17"/>
      <c r="D84" s="17"/>
      <c r="E84" s="18" t="s">
        <v>130</v>
      </c>
      <c r="F84" s="17"/>
      <c r="G84" s="17"/>
      <c r="H84" s="20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>
        <v>474764</v>
      </c>
      <c r="AX84" s="164">
        <v>491117</v>
      </c>
      <c r="AY84" s="164">
        <v>534300</v>
      </c>
      <c r="AZ84" s="164">
        <v>555031</v>
      </c>
      <c r="BA84" s="164">
        <v>573425</v>
      </c>
      <c r="BB84" s="164">
        <v>668660</v>
      </c>
      <c r="BC84" s="164">
        <v>693227</v>
      </c>
      <c r="BD84" s="164">
        <v>828496</v>
      </c>
      <c r="BE84" s="164">
        <v>817984</v>
      </c>
      <c r="BF84" s="164">
        <v>1828635</v>
      </c>
      <c r="BG84" s="164">
        <v>2933494</v>
      </c>
      <c r="BH84" s="164">
        <v>3042185</v>
      </c>
      <c r="BI84" s="164">
        <v>2955074</v>
      </c>
      <c r="BJ84" s="164">
        <v>2922514</v>
      </c>
      <c r="BK84" s="164">
        <v>2848895</v>
      </c>
      <c r="BL84" s="164">
        <v>2881262</v>
      </c>
      <c r="BM84" s="164">
        <v>2891083</v>
      </c>
      <c r="BN84" s="164">
        <v>2347135</v>
      </c>
      <c r="BO84" s="164">
        <v>2999177</v>
      </c>
      <c r="BP84" s="164">
        <v>2885337</v>
      </c>
      <c r="BQ84" s="164">
        <v>2280998</v>
      </c>
      <c r="BR84" s="164">
        <v>2263137</v>
      </c>
    </row>
    <row r="85" spans="2:70" ht="11.25" customHeight="1" x14ac:dyDescent="0.2">
      <c r="B85" s="17"/>
      <c r="C85" s="17"/>
      <c r="D85" s="17"/>
      <c r="E85" s="18" t="s">
        <v>131</v>
      </c>
      <c r="F85" s="17"/>
      <c r="G85" s="17"/>
      <c r="H85" s="20"/>
      <c r="I85" s="164">
        <v>22933</v>
      </c>
      <c r="J85" s="164">
        <v>31747</v>
      </c>
      <c r="K85" s="164">
        <v>26028</v>
      </c>
      <c r="L85" s="164">
        <v>31438</v>
      </c>
      <c r="M85" s="164">
        <v>31741</v>
      </c>
      <c r="N85" s="164">
        <v>29335</v>
      </c>
      <c r="O85" s="164">
        <v>21692</v>
      </c>
      <c r="P85" s="164">
        <v>32071</v>
      </c>
      <c r="Q85" s="164">
        <v>36577</v>
      </c>
      <c r="R85" s="164">
        <v>37736</v>
      </c>
      <c r="S85" s="164">
        <v>21142</v>
      </c>
      <c r="T85" s="164">
        <v>13009</v>
      </c>
      <c r="U85" s="164">
        <v>18536</v>
      </c>
      <c r="V85" s="164">
        <v>23535</v>
      </c>
      <c r="W85" s="164">
        <v>21913</v>
      </c>
      <c r="X85" s="164">
        <v>17436</v>
      </c>
      <c r="Y85" s="164">
        <v>8613</v>
      </c>
      <c r="Z85" s="164">
        <v>11447</v>
      </c>
      <c r="AA85" s="164">
        <v>19299</v>
      </c>
      <c r="AB85" s="164">
        <v>36095</v>
      </c>
      <c r="AC85" s="164">
        <v>41131</v>
      </c>
      <c r="AD85" s="164">
        <v>22355</v>
      </c>
      <c r="AE85" s="164">
        <v>40643</v>
      </c>
      <c r="AF85" s="164">
        <v>61755</v>
      </c>
      <c r="AG85" s="164">
        <v>63710</v>
      </c>
      <c r="AH85" s="164">
        <v>38441</v>
      </c>
      <c r="AI85" s="164">
        <v>48387</v>
      </c>
      <c r="AJ85" s="164">
        <v>56616</v>
      </c>
      <c r="AK85" s="164">
        <v>60431</v>
      </c>
      <c r="AL85" s="164">
        <v>66337</v>
      </c>
      <c r="AM85" s="164">
        <v>52894</v>
      </c>
      <c r="AN85" s="164">
        <v>47958</v>
      </c>
      <c r="AO85" s="164">
        <v>29827</v>
      </c>
      <c r="AP85" s="164">
        <v>37605</v>
      </c>
      <c r="AQ85" s="164">
        <v>58886</v>
      </c>
      <c r="AR85" s="164">
        <v>60065</v>
      </c>
      <c r="AS85" s="164">
        <v>63259</v>
      </c>
      <c r="AT85" s="164">
        <v>34202</v>
      </c>
      <c r="AU85" s="164">
        <v>54989</v>
      </c>
      <c r="AV85" s="164">
        <v>60946</v>
      </c>
      <c r="AW85" s="164">
        <v>57782</v>
      </c>
      <c r="AX85" s="164">
        <v>56253</v>
      </c>
      <c r="AY85" s="164">
        <v>19518</v>
      </c>
      <c r="AZ85" s="164">
        <v>20031</v>
      </c>
      <c r="BA85" s="164">
        <v>23640</v>
      </c>
      <c r="BB85" s="164">
        <v>15996</v>
      </c>
      <c r="BC85" s="164">
        <v>14860</v>
      </c>
      <c r="BD85" s="164">
        <v>10833</v>
      </c>
      <c r="BE85" s="164">
        <v>24768</v>
      </c>
      <c r="BF85" s="164">
        <v>56998</v>
      </c>
      <c r="BG85" s="164">
        <v>49373</v>
      </c>
      <c r="BH85" s="164">
        <v>77011</v>
      </c>
      <c r="BI85" s="164">
        <v>54662</v>
      </c>
      <c r="BJ85" s="164">
        <v>102869</v>
      </c>
      <c r="BK85" s="164">
        <v>85068</v>
      </c>
      <c r="BL85" s="164">
        <v>90326</v>
      </c>
      <c r="BM85" s="164">
        <v>73167</v>
      </c>
      <c r="BN85" s="164">
        <v>103624</v>
      </c>
      <c r="BO85" s="164">
        <v>142564</v>
      </c>
      <c r="BP85" s="164">
        <v>126288</v>
      </c>
      <c r="BQ85" s="164">
        <v>264755</v>
      </c>
      <c r="BR85" s="164">
        <v>254051</v>
      </c>
    </row>
    <row r="86" spans="2:70" ht="11.25" customHeight="1" x14ac:dyDescent="0.25">
      <c r="B86" s="27"/>
      <c r="C86" s="27"/>
      <c r="D86" s="27" t="s">
        <v>132</v>
      </c>
      <c r="E86" s="27"/>
      <c r="F86" s="27"/>
      <c r="G86" s="27"/>
      <c r="H86" s="35"/>
      <c r="I86" s="169">
        <f>I87</f>
        <v>8962</v>
      </c>
      <c r="J86" s="169">
        <f t="shared" ref="J86:Y86" si="147">J87</f>
        <v>10055</v>
      </c>
      <c r="K86" s="169">
        <f t="shared" si="147"/>
        <v>10284</v>
      </c>
      <c r="L86" s="169">
        <f t="shared" si="147"/>
        <v>10312</v>
      </c>
      <c r="M86" s="169">
        <f t="shared" si="147"/>
        <v>10361</v>
      </c>
      <c r="N86" s="169">
        <f t="shared" si="147"/>
        <v>10395</v>
      </c>
      <c r="O86" s="169">
        <f t="shared" si="147"/>
        <v>10458</v>
      </c>
      <c r="P86" s="169">
        <f t="shared" si="147"/>
        <v>10484</v>
      </c>
      <c r="Q86" s="169">
        <f t="shared" si="147"/>
        <v>10815</v>
      </c>
      <c r="R86" s="169">
        <f t="shared" si="147"/>
        <v>10906</v>
      </c>
      <c r="S86" s="169">
        <f t="shared" si="147"/>
        <v>10667</v>
      </c>
      <c r="T86" s="169">
        <f t="shared" si="147"/>
        <v>10065</v>
      </c>
      <c r="U86" s="169">
        <f t="shared" si="147"/>
        <v>9591</v>
      </c>
      <c r="V86" s="169">
        <f t="shared" si="147"/>
        <v>9048</v>
      </c>
      <c r="W86" s="169">
        <f t="shared" si="147"/>
        <v>8629</v>
      </c>
      <c r="X86" s="169">
        <f t="shared" si="147"/>
        <v>8111</v>
      </c>
      <c r="Y86" s="169">
        <f t="shared" si="147"/>
        <v>7584</v>
      </c>
      <c r="Z86" s="169">
        <f t="shared" ref="Z86:AG86" si="148">SUM(Z87:Z88)</f>
        <v>6963</v>
      </c>
      <c r="AA86" s="169">
        <f t="shared" si="148"/>
        <v>6692</v>
      </c>
      <c r="AB86" s="169">
        <f t="shared" si="148"/>
        <v>6264</v>
      </c>
      <c r="AC86" s="169">
        <f t="shared" si="148"/>
        <v>5812</v>
      </c>
      <c r="AD86" s="169">
        <f t="shared" si="148"/>
        <v>5481</v>
      </c>
      <c r="AE86" s="169">
        <f t="shared" si="148"/>
        <v>4995</v>
      </c>
      <c r="AF86" s="169">
        <f t="shared" si="148"/>
        <v>4671</v>
      </c>
      <c r="AG86" s="169">
        <f t="shared" si="148"/>
        <v>4430</v>
      </c>
      <c r="AH86" s="169">
        <f t="shared" ref="AH86:BC86" si="149">SUM(AH87:AH88)</f>
        <v>3854</v>
      </c>
      <c r="AI86" s="169">
        <f t="shared" si="149"/>
        <v>3445</v>
      </c>
      <c r="AJ86" s="169">
        <f t="shared" si="149"/>
        <v>2967</v>
      </c>
      <c r="AK86" s="169">
        <f t="shared" si="149"/>
        <v>2399</v>
      </c>
      <c r="AL86" s="169">
        <f t="shared" si="149"/>
        <v>1859</v>
      </c>
      <c r="AM86" s="169">
        <f t="shared" si="149"/>
        <v>2347</v>
      </c>
      <c r="AN86" s="169">
        <f t="shared" si="149"/>
        <v>3245</v>
      </c>
      <c r="AO86" s="169">
        <f t="shared" si="149"/>
        <v>7005</v>
      </c>
      <c r="AP86" s="169">
        <f t="shared" si="149"/>
        <v>7682</v>
      </c>
      <c r="AQ86" s="169">
        <f t="shared" si="149"/>
        <v>8708</v>
      </c>
      <c r="AR86" s="169">
        <f t="shared" si="149"/>
        <v>10400</v>
      </c>
      <c r="AS86" s="169">
        <f t="shared" si="149"/>
        <v>11403</v>
      </c>
      <c r="AT86" s="169">
        <f t="shared" si="149"/>
        <v>12934</v>
      </c>
      <c r="AU86" s="169">
        <f t="shared" si="149"/>
        <v>14922</v>
      </c>
      <c r="AV86" s="169">
        <f t="shared" si="149"/>
        <v>6853</v>
      </c>
      <c r="AW86" s="169">
        <f t="shared" si="149"/>
        <v>7534</v>
      </c>
      <c r="AX86" s="169">
        <f t="shared" si="149"/>
        <v>8855</v>
      </c>
      <c r="AY86" s="169">
        <f t="shared" si="149"/>
        <v>10109</v>
      </c>
      <c r="AZ86" s="169">
        <f>SUM(AZ87:AZ88)</f>
        <v>15363</v>
      </c>
      <c r="BA86" s="169">
        <f t="shared" si="149"/>
        <v>19595</v>
      </c>
      <c r="BB86" s="169">
        <f t="shared" si="149"/>
        <v>23570</v>
      </c>
      <c r="BC86" s="169">
        <f t="shared" si="149"/>
        <v>28500</v>
      </c>
      <c r="BD86" s="169">
        <f>SUM(BD87:BD88)</f>
        <v>35290</v>
      </c>
      <c r="BE86" s="169">
        <f>SUM(BE87:BE88)</f>
        <v>44274</v>
      </c>
      <c r="BF86" s="169">
        <f>SUM(BF87:BF88)</f>
        <v>53414</v>
      </c>
      <c r="BG86" s="169">
        <f>SUM(BG87:BG88)</f>
        <v>109668</v>
      </c>
      <c r="BH86" s="169">
        <f>SUM(BH87:BH88)</f>
        <v>118184</v>
      </c>
      <c r="BI86" s="169">
        <f t="shared" ref="BI86:BJ86" si="150">SUM(BI87:BI88)</f>
        <v>124258</v>
      </c>
      <c r="BJ86" s="169">
        <f t="shared" si="150"/>
        <v>127228</v>
      </c>
      <c r="BK86" s="169">
        <f t="shared" ref="BK86:BM86" si="151">SUM(BK87:BK88)</f>
        <v>131052</v>
      </c>
      <c r="BL86" s="169">
        <f t="shared" si="151"/>
        <v>131473</v>
      </c>
      <c r="BM86" s="169">
        <f t="shared" si="151"/>
        <v>128390</v>
      </c>
      <c r="BN86" s="169">
        <f t="shared" ref="BN86:BO86" si="152">SUM(BN87:BN88)</f>
        <v>124918</v>
      </c>
      <c r="BO86" s="169">
        <f t="shared" si="152"/>
        <v>127348</v>
      </c>
      <c r="BP86" s="169">
        <f t="shared" ref="BP86" si="153">SUM(BP87:BP88)</f>
        <v>137977</v>
      </c>
      <c r="BQ86" s="169">
        <f>SUM(BQ87:BQ88)</f>
        <v>134260</v>
      </c>
      <c r="BR86" s="169">
        <f>SUM(BR87:BR88)</f>
        <v>130329</v>
      </c>
    </row>
    <row r="87" spans="2:70" ht="11.25" customHeight="1" x14ac:dyDescent="0.2">
      <c r="B87" s="17"/>
      <c r="C87" s="17"/>
      <c r="D87" s="17"/>
      <c r="E87" s="17" t="s">
        <v>133</v>
      </c>
      <c r="F87" s="18"/>
      <c r="G87" s="18"/>
      <c r="H87" s="20"/>
      <c r="I87" s="164">
        <v>8962</v>
      </c>
      <c r="J87" s="164">
        <v>10055</v>
      </c>
      <c r="K87" s="164">
        <v>10284</v>
      </c>
      <c r="L87" s="164">
        <v>10312</v>
      </c>
      <c r="M87" s="164">
        <v>10361</v>
      </c>
      <c r="N87" s="164">
        <v>10395</v>
      </c>
      <c r="O87" s="164">
        <v>10458</v>
      </c>
      <c r="P87" s="164">
        <v>10484</v>
      </c>
      <c r="Q87" s="164">
        <v>10815</v>
      </c>
      <c r="R87" s="164">
        <v>10906</v>
      </c>
      <c r="S87" s="164">
        <v>10667</v>
      </c>
      <c r="T87" s="164">
        <v>10065</v>
      </c>
      <c r="U87" s="164">
        <v>9591</v>
      </c>
      <c r="V87" s="164">
        <v>9048</v>
      </c>
      <c r="W87" s="164">
        <v>8629</v>
      </c>
      <c r="X87" s="164">
        <v>8111</v>
      </c>
      <c r="Y87" s="164">
        <v>7584</v>
      </c>
      <c r="Z87" s="164">
        <v>6963</v>
      </c>
      <c r="AA87" s="164">
        <v>6692</v>
      </c>
      <c r="AB87" s="164">
        <v>6264</v>
      </c>
      <c r="AC87" s="164">
        <v>5812</v>
      </c>
      <c r="AD87" s="164">
        <v>5481</v>
      </c>
      <c r="AE87" s="164">
        <v>4995</v>
      </c>
      <c r="AF87" s="164">
        <v>4671</v>
      </c>
      <c r="AG87" s="164">
        <v>4430</v>
      </c>
      <c r="AH87" s="164">
        <v>3854</v>
      </c>
      <c r="AI87" s="164">
        <v>3445</v>
      </c>
      <c r="AJ87" s="164">
        <v>2967</v>
      </c>
      <c r="AK87" s="164">
        <v>2399</v>
      </c>
      <c r="AL87" s="164">
        <v>1859</v>
      </c>
      <c r="AM87" s="164">
        <v>2347</v>
      </c>
      <c r="AN87" s="164">
        <v>3245</v>
      </c>
      <c r="AO87" s="164">
        <v>7005</v>
      </c>
      <c r="AP87" s="164">
        <v>7682</v>
      </c>
      <c r="AQ87" s="164">
        <v>8708</v>
      </c>
      <c r="AR87" s="164">
        <v>10400</v>
      </c>
      <c r="AS87" s="164">
        <v>11403</v>
      </c>
      <c r="AT87" s="164">
        <v>12934</v>
      </c>
      <c r="AU87" s="164">
        <v>14922</v>
      </c>
      <c r="AV87" s="164">
        <v>6853</v>
      </c>
      <c r="AW87" s="164">
        <v>7534</v>
      </c>
      <c r="AX87" s="164">
        <v>8855</v>
      </c>
      <c r="AY87" s="164">
        <v>10109</v>
      </c>
      <c r="AZ87" s="164">
        <v>15363</v>
      </c>
      <c r="BA87" s="164">
        <v>19595</v>
      </c>
      <c r="BB87" s="164">
        <v>23570</v>
      </c>
      <c r="BC87" s="164">
        <v>28500</v>
      </c>
      <c r="BD87" s="164">
        <v>35290</v>
      </c>
      <c r="BE87" s="164">
        <v>44274</v>
      </c>
      <c r="BF87" s="164">
        <v>53414</v>
      </c>
      <c r="BG87" s="164">
        <v>109668</v>
      </c>
      <c r="BH87" s="164">
        <v>118184</v>
      </c>
      <c r="BI87" s="164">
        <v>124258</v>
      </c>
      <c r="BJ87" s="164">
        <v>127228</v>
      </c>
      <c r="BK87" s="164">
        <v>131052</v>
      </c>
      <c r="BL87" s="164">
        <v>131473</v>
      </c>
      <c r="BM87" s="164">
        <v>128390</v>
      </c>
      <c r="BN87" s="164">
        <v>124918</v>
      </c>
      <c r="BO87" s="164">
        <v>127348</v>
      </c>
      <c r="BP87" s="164">
        <v>137977</v>
      </c>
      <c r="BQ87" s="164">
        <v>134260</v>
      </c>
      <c r="BR87" s="164">
        <v>130329</v>
      </c>
    </row>
    <row r="88" spans="2:70" x14ac:dyDescent="0.2">
      <c r="I88" s="9"/>
      <c r="J88" s="9"/>
      <c r="K88" s="9"/>
      <c r="L88" s="9"/>
      <c r="M88" s="9"/>
      <c r="N88" s="9"/>
      <c r="R88" s="8"/>
      <c r="S88" s="8"/>
      <c r="T88" s="8"/>
      <c r="BL88" s="10"/>
    </row>
    <row r="89" spans="2:70" x14ac:dyDescent="0.2">
      <c r="I89" s="9"/>
      <c r="J89" s="9"/>
      <c r="K89" s="9"/>
      <c r="L89" s="9"/>
      <c r="M89" s="9"/>
      <c r="N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G89" s="10"/>
      <c r="BI89" s="9"/>
      <c r="BJ89" s="9"/>
    </row>
    <row r="90" spans="2:70" x14ac:dyDescent="0.2">
      <c r="I90" s="9"/>
      <c r="J90" s="9"/>
      <c r="K90" s="9"/>
      <c r="L90" s="9"/>
      <c r="M90" s="9"/>
      <c r="N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I90" s="9"/>
      <c r="BJ90" s="9"/>
    </row>
    <row r="91" spans="2:70" x14ac:dyDescent="0.2">
      <c r="I91" s="9"/>
      <c r="J91" s="9"/>
      <c r="K91" s="9"/>
      <c r="L91" s="9"/>
      <c r="M91" s="9"/>
      <c r="N91" s="9"/>
      <c r="R91" s="8"/>
      <c r="S91" s="8"/>
      <c r="T91" s="8"/>
    </row>
    <row r="92" spans="2:70" x14ac:dyDescent="0.2">
      <c r="I92" s="10">
        <f>I8-'Balanço Patrimonial Passivo'!H8</f>
        <v>0</v>
      </c>
      <c r="J92" s="10">
        <f>J8-'Balanço Patrimonial Passivo'!I8</f>
        <v>0</v>
      </c>
      <c r="K92" s="10">
        <f>K8-'Balanço Patrimonial Passivo'!J8</f>
        <v>0</v>
      </c>
      <c r="L92" s="10">
        <f>L8-'Balanço Patrimonial Passivo'!K8</f>
        <v>0</v>
      </c>
      <c r="M92" s="10">
        <f>M8-'Balanço Patrimonial Passivo'!L8</f>
        <v>0</v>
      </c>
      <c r="N92" s="10">
        <f>N8-'Balanço Patrimonial Passivo'!M8</f>
        <v>0</v>
      </c>
      <c r="O92" s="10">
        <f>O8-'Balanço Patrimonial Passivo'!N8</f>
        <v>0</v>
      </c>
      <c r="P92" s="10">
        <f>P8-'Balanço Patrimonial Passivo'!O8</f>
        <v>0</v>
      </c>
      <c r="Q92" s="10">
        <f>Q8-'Balanço Patrimonial Passivo'!P8</f>
        <v>0</v>
      </c>
      <c r="R92" s="10">
        <f>R8-'Balanço Patrimonial Passivo'!Q8</f>
        <v>0</v>
      </c>
      <c r="S92" s="10">
        <f>S8-'Balanço Patrimonial Passivo'!R8</f>
        <v>0</v>
      </c>
      <c r="T92" s="10">
        <f>T8-'Balanço Patrimonial Passivo'!S8</f>
        <v>0</v>
      </c>
      <c r="U92" s="10">
        <f>U8-'Balanço Patrimonial Passivo'!T8</f>
        <v>0</v>
      </c>
      <c r="V92" s="10">
        <f>V8-'Balanço Patrimonial Passivo'!U8</f>
        <v>0</v>
      </c>
      <c r="W92" s="10">
        <f>W8-'Balanço Patrimonial Passivo'!V8</f>
        <v>0</v>
      </c>
      <c r="X92" s="10">
        <f>X8-'Balanço Patrimonial Passivo'!W8</f>
        <v>0</v>
      </c>
      <c r="Y92" s="10">
        <f>Y8-'Balanço Patrimonial Passivo'!X8</f>
        <v>0</v>
      </c>
      <c r="Z92" s="10">
        <f>Z8-'Balanço Patrimonial Passivo'!Y8</f>
        <v>0</v>
      </c>
      <c r="AA92" s="10">
        <f>AA8-'Balanço Patrimonial Passivo'!Z8</f>
        <v>0</v>
      </c>
      <c r="AB92" s="10">
        <f>AB8-'Balanço Patrimonial Passivo'!AA8</f>
        <v>0</v>
      </c>
      <c r="AC92" s="10">
        <f>AC8-'Balanço Patrimonial Passivo'!AB8</f>
        <v>0</v>
      </c>
      <c r="AD92" s="10">
        <f>AD8-'Balanço Patrimonial Passivo'!AC8</f>
        <v>0</v>
      </c>
      <c r="AE92" s="10">
        <f>AE8-'Balanço Patrimonial Passivo'!AD8</f>
        <v>0</v>
      </c>
      <c r="AF92" s="10">
        <f>AF8-'Balanço Patrimonial Passivo'!AE8</f>
        <v>0</v>
      </c>
      <c r="AG92" s="10">
        <f>AG8-'Balanço Patrimonial Passivo'!AF8</f>
        <v>0</v>
      </c>
      <c r="AH92" s="10">
        <f>AH8-'Balanço Patrimonial Passivo'!AG8</f>
        <v>0</v>
      </c>
      <c r="AI92" s="10">
        <f>AI8-'Balanço Patrimonial Passivo'!AH8</f>
        <v>0</v>
      </c>
      <c r="AJ92" s="10">
        <f>AJ8-'Balanço Patrimonial Passivo'!AI8</f>
        <v>0</v>
      </c>
      <c r="AK92" s="10">
        <f>AK8-'Balanço Patrimonial Passivo'!AJ8</f>
        <v>0</v>
      </c>
      <c r="AL92" s="10">
        <f>AL8-'Balanço Patrimonial Passivo'!AK8</f>
        <v>0</v>
      </c>
      <c r="AM92" s="10">
        <f>AM8-'Balanço Patrimonial Passivo'!AL8</f>
        <v>0</v>
      </c>
      <c r="AN92" s="10">
        <f>AN8-'Balanço Patrimonial Passivo'!AM8</f>
        <v>0</v>
      </c>
      <c r="AO92" s="10">
        <f>AO8-'Balanço Patrimonial Passivo'!AN8</f>
        <v>0</v>
      </c>
      <c r="AP92" s="10">
        <f>AP8-'Balanço Patrimonial Passivo'!AO8</f>
        <v>0</v>
      </c>
      <c r="AQ92" s="10">
        <f>AQ8-'Balanço Patrimonial Passivo'!AP8</f>
        <v>0</v>
      </c>
      <c r="AR92" s="10">
        <f>AR8-'Balanço Patrimonial Passivo'!AQ8</f>
        <v>0</v>
      </c>
      <c r="AS92" s="10">
        <f>AS8-'Balanço Patrimonial Passivo'!AR8</f>
        <v>0</v>
      </c>
      <c r="AT92" s="10">
        <f>AT8-'Balanço Patrimonial Passivo'!AS8</f>
        <v>0</v>
      </c>
      <c r="AU92" s="10">
        <f>AU8-'Balanço Patrimonial Passivo'!AT8</f>
        <v>0</v>
      </c>
      <c r="AV92" s="10">
        <f>AV8-'Balanço Patrimonial Passivo'!AU8</f>
        <v>0</v>
      </c>
      <c r="AW92" s="10">
        <f>AW8-'Balanço Patrimonial Passivo'!AV8</f>
        <v>0</v>
      </c>
      <c r="AX92" s="10">
        <f>AX8-'Balanço Patrimonial Passivo'!AW8</f>
        <v>0</v>
      </c>
      <c r="AY92" s="10">
        <f>AY8-'Balanço Patrimonial Passivo'!AX8</f>
        <v>0</v>
      </c>
      <c r="AZ92" s="10">
        <f>AZ8-'Balanço Patrimonial Passivo'!AY8</f>
        <v>0</v>
      </c>
      <c r="BA92" s="10">
        <f>BA8-'Balanço Patrimonial Passivo'!AZ8</f>
        <v>0</v>
      </c>
      <c r="BB92" s="10">
        <f>BB8-'Balanço Patrimonial Passivo'!BA8</f>
        <v>0</v>
      </c>
      <c r="BC92" s="10">
        <f>BC8-'Balanço Patrimonial Passivo'!BB8</f>
        <v>0</v>
      </c>
      <c r="BD92" s="10">
        <f>BD8-'Balanço Patrimonial Passivo'!BC8</f>
        <v>0</v>
      </c>
      <c r="BE92" s="10">
        <f>BE8-'Balanço Patrimonial Passivo'!BD8</f>
        <v>0</v>
      </c>
      <c r="BF92" s="10">
        <f>BF8-'Balanço Patrimonial Passivo'!BE8</f>
        <v>0</v>
      </c>
      <c r="BG92" s="10">
        <f>BG8-'Balanço Patrimonial Passivo'!BF8</f>
        <v>0</v>
      </c>
      <c r="BH92" s="10">
        <f>BH8-'Balanço Patrimonial Passivo'!BG8</f>
        <v>0</v>
      </c>
      <c r="BI92" s="10">
        <f>BI8-'Balanço Patrimonial Passivo'!BH8</f>
        <v>0</v>
      </c>
      <c r="BJ92" s="10">
        <f>BJ8-'Balanço Patrimonial Passivo'!BI8</f>
        <v>0</v>
      </c>
      <c r="BK92" s="10">
        <f>BK8-'Balanço Patrimonial Passivo'!BJ8</f>
        <v>0</v>
      </c>
      <c r="BL92" s="10">
        <f>BL8-'Balanço Patrimonial Passivo'!BK8</f>
        <v>0</v>
      </c>
      <c r="BM92" s="10">
        <f>BM8-'Balanço Patrimonial Passivo'!BL8</f>
        <v>0</v>
      </c>
      <c r="BN92" s="10">
        <f>BN8-'Balanço Patrimonial Passivo'!BM8</f>
        <v>0</v>
      </c>
      <c r="BO92" s="10">
        <f>BO8-'Balanço Patrimonial Passivo'!BN8</f>
        <v>0</v>
      </c>
      <c r="BP92" s="10">
        <f>BP8-'Balanço Patrimonial Passivo'!BO8</f>
        <v>0</v>
      </c>
      <c r="BQ92" s="10">
        <f>BQ8-'Balanço Patrimonial Passivo'!BP8</f>
        <v>0</v>
      </c>
      <c r="BR92" s="10">
        <f>BR8-'Balanço Patrimonial Passivo'!BQ8</f>
        <v>0</v>
      </c>
    </row>
    <row r="93" spans="2:70" x14ac:dyDescent="0.2">
      <c r="I93" s="9"/>
      <c r="J93" s="9"/>
      <c r="K93" s="9"/>
      <c r="L93" s="9"/>
      <c r="M93" s="9"/>
      <c r="N93" s="9"/>
      <c r="R93" s="8"/>
      <c r="S93" s="8"/>
      <c r="T93" s="8"/>
    </row>
    <row r="94" spans="2:70" x14ac:dyDescent="0.2">
      <c r="I94" s="9"/>
      <c r="J94" s="9"/>
      <c r="K94" s="9"/>
      <c r="L94" s="9"/>
      <c r="M94" s="9"/>
      <c r="N94" s="9"/>
      <c r="R94" s="8"/>
      <c r="S94" s="8"/>
      <c r="T94" s="8"/>
    </row>
    <row r="95" spans="2:70" x14ac:dyDescent="0.2">
      <c r="I95" s="9"/>
      <c r="J95" s="9"/>
      <c r="K95" s="9"/>
      <c r="L95" s="9"/>
      <c r="M95" s="9"/>
      <c r="N95" s="9"/>
      <c r="R95" s="8"/>
      <c r="S95" s="8"/>
      <c r="T95" s="8"/>
    </row>
    <row r="96" spans="2:70" x14ac:dyDescent="0.2">
      <c r="I96" s="9"/>
      <c r="J96" s="9"/>
      <c r="K96" s="9"/>
      <c r="L96" s="9"/>
      <c r="M96" s="9"/>
      <c r="N96" s="9"/>
      <c r="R96" s="8"/>
      <c r="S96" s="8"/>
      <c r="T96" s="8"/>
    </row>
    <row r="97" spans="9:20" x14ac:dyDescent="0.2">
      <c r="I97" s="9"/>
      <c r="J97" s="9"/>
      <c r="K97" s="9"/>
      <c r="L97" s="9"/>
      <c r="M97" s="9"/>
      <c r="N97" s="9"/>
      <c r="R97" s="8"/>
      <c r="S97" s="8"/>
      <c r="T97" s="8"/>
    </row>
    <row r="98" spans="9:20" x14ac:dyDescent="0.2">
      <c r="I98" s="9"/>
      <c r="J98" s="9"/>
      <c r="K98" s="9"/>
      <c r="L98" s="9"/>
      <c r="M98" s="9"/>
      <c r="N98" s="9"/>
      <c r="R98" s="8"/>
      <c r="S98" s="8"/>
      <c r="T98" s="8"/>
    </row>
    <row r="99" spans="9:20" x14ac:dyDescent="0.2">
      <c r="I99" s="9"/>
      <c r="J99" s="9"/>
      <c r="K99" s="9"/>
      <c r="L99" s="9"/>
      <c r="M99" s="9"/>
      <c r="N99" s="9"/>
      <c r="R99" s="8"/>
      <c r="S99" s="8"/>
      <c r="T99" s="8"/>
    </row>
    <row r="100" spans="9:20" x14ac:dyDescent="0.2">
      <c r="I100" s="9"/>
      <c r="J100" s="9"/>
      <c r="K100" s="9"/>
      <c r="L100" s="9"/>
      <c r="M100" s="9"/>
      <c r="N100" s="9"/>
      <c r="R100" s="8"/>
      <c r="S100" s="8"/>
      <c r="T100" s="8"/>
    </row>
    <row r="101" spans="9:20" x14ac:dyDescent="0.2">
      <c r="I101" s="9"/>
      <c r="J101" s="9"/>
      <c r="K101" s="9"/>
      <c r="L101" s="9"/>
      <c r="M101" s="9"/>
      <c r="N101" s="9"/>
      <c r="R101" s="8"/>
      <c r="S101" s="8"/>
      <c r="T101" s="8"/>
    </row>
    <row r="102" spans="9:20" x14ac:dyDescent="0.2">
      <c r="I102" s="9"/>
      <c r="J102" s="9"/>
      <c r="K102" s="9"/>
      <c r="L102" s="9"/>
      <c r="M102" s="9"/>
      <c r="N102" s="9"/>
      <c r="R102" s="8"/>
      <c r="S102" s="8"/>
      <c r="T102" s="8"/>
    </row>
    <row r="103" spans="9:20" x14ac:dyDescent="0.2">
      <c r="I103" s="9"/>
      <c r="J103" s="9"/>
      <c r="K103" s="9"/>
      <c r="L103" s="9"/>
      <c r="M103" s="9"/>
      <c r="N103" s="9"/>
      <c r="R103" s="8"/>
      <c r="S103" s="8"/>
      <c r="T103" s="8"/>
    </row>
    <row r="104" spans="9:20" x14ac:dyDescent="0.2">
      <c r="I104" s="9"/>
      <c r="J104" s="9"/>
      <c r="K104" s="9"/>
      <c r="L104" s="9"/>
      <c r="M104" s="9"/>
      <c r="N104" s="9"/>
      <c r="R104" s="8"/>
      <c r="S104" s="8"/>
      <c r="T104" s="8"/>
    </row>
    <row r="105" spans="9:20" x14ac:dyDescent="0.2">
      <c r="I105" s="9"/>
      <c r="J105" s="9"/>
      <c r="K105" s="9"/>
      <c r="L105" s="9"/>
      <c r="M105" s="9"/>
      <c r="N105" s="9"/>
      <c r="R105" s="8"/>
      <c r="S105" s="8"/>
      <c r="T105" s="8"/>
    </row>
    <row r="106" spans="9:20" x14ac:dyDescent="0.2">
      <c r="I106" s="9"/>
      <c r="J106" s="9"/>
      <c r="K106" s="9"/>
      <c r="L106" s="9"/>
      <c r="M106" s="9"/>
      <c r="N106" s="9"/>
      <c r="R106" s="8"/>
      <c r="S106" s="8"/>
      <c r="T106" s="8"/>
    </row>
    <row r="107" spans="9:20" x14ac:dyDescent="0.2">
      <c r="I107" s="9"/>
      <c r="J107" s="9"/>
      <c r="K107" s="9"/>
      <c r="L107" s="9"/>
      <c r="M107" s="9"/>
      <c r="N107" s="9"/>
      <c r="R107" s="8"/>
      <c r="S107" s="8"/>
      <c r="T107" s="8"/>
    </row>
    <row r="108" spans="9:20" x14ac:dyDescent="0.2">
      <c r="I108" s="9"/>
      <c r="J108" s="9"/>
      <c r="K108" s="9"/>
      <c r="L108" s="9"/>
      <c r="M108" s="9"/>
      <c r="N108" s="9"/>
      <c r="R108" s="8"/>
      <c r="S108" s="8"/>
      <c r="T108" s="8"/>
    </row>
    <row r="109" spans="9:20" x14ac:dyDescent="0.2">
      <c r="I109" s="9"/>
      <c r="J109" s="9"/>
      <c r="K109" s="9"/>
      <c r="L109" s="9"/>
      <c r="M109" s="9"/>
      <c r="N109" s="9"/>
      <c r="R109" s="8"/>
      <c r="S109" s="8"/>
      <c r="T109" s="8"/>
    </row>
    <row r="110" spans="9:20" x14ac:dyDescent="0.2">
      <c r="I110" s="9"/>
      <c r="J110" s="9"/>
      <c r="K110" s="9"/>
      <c r="L110" s="9"/>
      <c r="M110" s="9"/>
      <c r="N110" s="9"/>
      <c r="R110" s="8"/>
      <c r="S110" s="8"/>
      <c r="T110" s="8"/>
    </row>
    <row r="111" spans="9:20" x14ac:dyDescent="0.2">
      <c r="I111" s="9"/>
      <c r="J111" s="9"/>
      <c r="K111" s="9"/>
      <c r="L111" s="9"/>
      <c r="M111" s="9"/>
      <c r="N111" s="9"/>
      <c r="R111" s="8"/>
      <c r="S111" s="8"/>
      <c r="T111" s="8"/>
    </row>
    <row r="112" spans="9:20" x14ac:dyDescent="0.2">
      <c r="I112" s="9"/>
      <c r="J112" s="9"/>
      <c r="K112" s="9"/>
      <c r="L112" s="9"/>
      <c r="M112" s="9"/>
      <c r="N112" s="9"/>
      <c r="R112" s="8"/>
      <c r="S112" s="8"/>
      <c r="T112" s="8"/>
    </row>
    <row r="113" spans="9:20" x14ac:dyDescent="0.2">
      <c r="I113" s="9"/>
      <c r="J113" s="9"/>
      <c r="K113" s="9"/>
      <c r="L113" s="9"/>
      <c r="M113" s="9"/>
      <c r="N113" s="9"/>
      <c r="R113" s="8"/>
      <c r="S113" s="8"/>
      <c r="T113" s="8"/>
    </row>
    <row r="114" spans="9:20" x14ac:dyDescent="0.2">
      <c r="I114" s="9"/>
      <c r="J114" s="9"/>
      <c r="K114" s="9"/>
      <c r="L114" s="9"/>
      <c r="M114" s="9"/>
      <c r="N114" s="9"/>
      <c r="R114" s="8"/>
      <c r="S114" s="8"/>
      <c r="T114" s="8"/>
    </row>
    <row r="115" spans="9:20" x14ac:dyDescent="0.2">
      <c r="I115" s="9"/>
      <c r="J115" s="9"/>
      <c r="K115" s="9"/>
      <c r="L115" s="9"/>
      <c r="M115" s="9"/>
      <c r="N115" s="9"/>
      <c r="R115" s="8"/>
      <c r="S115" s="8"/>
      <c r="T115" s="8"/>
    </row>
    <row r="116" spans="9:20" x14ac:dyDescent="0.2">
      <c r="I116" s="9"/>
      <c r="J116" s="9"/>
      <c r="K116" s="9"/>
      <c r="L116" s="9"/>
      <c r="M116" s="9"/>
      <c r="N116" s="9"/>
      <c r="R116" s="8"/>
      <c r="S116" s="8"/>
      <c r="T116" s="8"/>
    </row>
    <row r="117" spans="9:20" x14ac:dyDescent="0.2">
      <c r="I117" s="9"/>
      <c r="J117" s="9"/>
      <c r="K117" s="9"/>
      <c r="L117" s="9"/>
      <c r="M117" s="9"/>
      <c r="N117" s="9"/>
      <c r="R117" s="8"/>
      <c r="S117" s="8"/>
      <c r="T117" s="8"/>
    </row>
    <row r="118" spans="9:20" x14ac:dyDescent="0.2">
      <c r="I118" s="9"/>
      <c r="J118" s="9"/>
      <c r="K118" s="9"/>
      <c r="L118" s="9"/>
      <c r="M118" s="9"/>
      <c r="N118" s="9"/>
      <c r="R118" s="8"/>
      <c r="S118" s="8"/>
      <c r="T118" s="8"/>
    </row>
    <row r="119" spans="9:20" x14ac:dyDescent="0.2">
      <c r="I119" s="9"/>
      <c r="J119" s="9"/>
      <c r="K119" s="9"/>
      <c r="L119" s="9"/>
      <c r="M119" s="9"/>
      <c r="N119" s="9"/>
      <c r="R119" s="8"/>
      <c r="S119" s="8"/>
      <c r="T119" s="8"/>
    </row>
    <row r="120" spans="9:20" x14ac:dyDescent="0.2">
      <c r="I120" s="9"/>
      <c r="J120" s="9"/>
      <c r="K120" s="9"/>
      <c r="L120" s="9"/>
      <c r="M120" s="9"/>
      <c r="N120" s="9"/>
      <c r="R120" s="8"/>
      <c r="S120" s="8"/>
      <c r="T120" s="8"/>
    </row>
    <row r="121" spans="9:20" x14ac:dyDescent="0.2">
      <c r="I121" s="9"/>
      <c r="J121" s="9"/>
      <c r="K121" s="9"/>
      <c r="L121" s="9"/>
      <c r="M121" s="9"/>
      <c r="N121" s="9"/>
      <c r="R121" s="8"/>
      <c r="S121" s="8"/>
      <c r="T121" s="8"/>
    </row>
    <row r="122" spans="9:20" x14ac:dyDescent="0.2">
      <c r="I122" s="9"/>
      <c r="J122" s="9"/>
      <c r="K122" s="9"/>
      <c r="L122" s="9"/>
      <c r="M122" s="9"/>
      <c r="N122" s="9"/>
      <c r="R122" s="8"/>
      <c r="S122" s="8"/>
      <c r="T122" s="8"/>
    </row>
    <row r="123" spans="9:20" x14ac:dyDescent="0.2">
      <c r="I123" s="9"/>
      <c r="J123" s="9"/>
      <c r="K123" s="9"/>
      <c r="L123" s="9"/>
      <c r="M123" s="9"/>
      <c r="N123" s="9"/>
      <c r="R123" s="8"/>
      <c r="S123" s="8"/>
      <c r="T123" s="8"/>
    </row>
    <row r="124" spans="9:20" x14ac:dyDescent="0.2">
      <c r="I124" s="9"/>
      <c r="J124" s="9"/>
      <c r="K124" s="9"/>
      <c r="L124" s="9"/>
      <c r="M124" s="9"/>
      <c r="N124" s="9"/>
      <c r="R124" s="8"/>
      <c r="S124" s="8"/>
      <c r="T124" s="8"/>
    </row>
    <row r="125" spans="9:20" x14ac:dyDescent="0.2">
      <c r="I125" s="9"/>
      <c r="J125" s="9"/>
      <c r="K125" s="9"/>
      <c r="L125" s="9"/>
      <c r="M125" s="9"/>
      <c r="N125" s="9"/>
      <c r="R125" s="8"/>
      <c r="S125" s="8"/>
      <c r="T125" s="8"/>
    </row>
    <row r="126" spans="9:20" x14ac:dyDescent="0.2">
      <c r="I126" s="9"/>
      <c r="J126" s="9"/>
      <c r="K126" s="9"/>
      <c r="L126" s="9"/>
      <c r="M126" s="9"/>
      <c r="N126" s="9"/>
      <c r="R126" s="8"/>
      <c r="S126" s="8"/>
      <c r="T126" s="8"/>
    </row>
    <row r="127" spans="9:20" x14ac:dyDescent="0.2">
      <c r="I127" s="9"/>
      <c r="J127" s="9"/>
      <c r="K127" s="9"/>
      <c r="L127" s="9"/>
      <c r="M127" s="9"/>
      <c r="N127" s="9"/>
      <c r="R127" s="8"/>
      <c r="S127" s="8"/>
      <c r="T127" s="8"/>
    </row>
    <row r="128" spans="9:20" x14ac:dyDescent="0.2">
      <c r="I128" s="9"/>
      <c r="J128" s="9"/>
      <c r="K128" s="9"/>
      <c r="L128" s="9"/>
      <c r="M128" s="9"/>
      <c r="N128" s="9"/>
      <c r="R128" s="8"/>
      <c r="S128" s="8"/>
      <c r="T128" s="8"/>
    </row>
    <row r="129" spans="9:20" x14ac:dyDescent="0.2">
      <c r="I129" s="9"/>
      <c r="J129" s="9"/>
      <c r="K129" s="9"/>
      <c r="L129" s="9"/>
      <c r="M129" s="9"/>
      <c r="N129" s="9"/>
      <c r="R129" s="8"/>
      <c r="S129" s="8"/>
      <c r="T129" s="8"/>
    </row>
    <row r="130" spans="9:20" x14ac:dyDescent="0.2">
      <c r="I130" s="9"/>
      <c r="J130" s="9"/>
      <c r="K130" s="9"/>
      <c r="L130" s="9"/>
      <c r="M130" s="9"/>
      <c r="N130" s="9"/>
      <c r="R130" s="8"/>
      <c r="S130" s="8"/>
      <c r="T130" s="8"/>
    </row>
    <row r="131" spans="9:20" x14ac:dyDescent="0.2">
      <c r="I131" s="9"/>
      <c r="J131" s="9"/>
      <c r="K131" s="9"/>
      <c r="L131" s="9"/>
      <c r="M131" s="9"/>
      <c r="N131" s="9"/>
      <c r="R131" s="8"/>
      <c r="S131" s="8"/>
      <c r="T131" s="8"/>
    </row>
    <row r="132" spans="9:20" x14ac:dyDescent="0.2">
      <c r="I132" s="9"/>
      <c r="J132" s="9"/>
      <c r="K132" s="9"/>
      <c r="L132" s="9"/>
      <c r="M132" s="9"/>
      <c r="N132" s="9"/>
      <c r="R132" s="8"/>
      <c r="S132" s="8"/>
      <c r="T132" s="8"/>
    </row>
    <row r="133" spans="9:20" x14ac:dyDescent="0.2">
      <c r="I133" s="9"/>
      <c r="J133" s="9"/>
      <c r="K133" s="9"/>
      <c r="L133" s="9"/>
      <c r="M133" s="9"/>
      <c r="N133" s="9"/>
      <c r="R133" s="8"/>
      <c r="S133" s="8"/>
      <c r="T133" s="8"/>
    </row>
    <row r="134" spans="9:20" x14ac:dyDescent="0.2">
      <c r="I134" s="9"/>
      <c r="J134" s="9"/>
      <c r="K134" s="9"/>
      <c r="L134" s="9"/>
      <c r="M134" s="9"/>
      <c r="N134" s="9"/>
      <c r="R134" s="8"/>
      <c r="S134" s="8"/>
      <c r="T134" s="8"/>
    </row>
    <row r="135" spans="9:20" x14ac:dyDescent="0.2">
      <c r="I135" s="9"/>
      <c r="J135" s="9"/>
      <c r="K135" s="9"/>
      <c r="L135" s="9"/>
      <c r="M135" s="9"/>
      <c r="N135" s="9"/>
      <c r="R135" s="8"/>
      <c r="S135" s="8"/>
      <c r="T135" s="8"/>
    </row>
    <row r="136" spans="9:20" x14ac:dyDescent="0.2">
      <c r="I136" s="9"/>
      <c r="J136" s="9"/>
      <c r="K136" s="9"/>
      <c r="L136" s="9"/>
      <c r="M136" s="9"/>
      <c r="N136" s="9"/>
      <c r="R136" s="8"/>
      <c r="S136" s="8"/>
      <c r="T136" s="8"/>
    </row>
    <row r="137" spans="9:20" x14ac:dyDescent="0.2">
      <c r="I137" s="9"/>
      <c r="J137" s="9"/>
      <c r="K137" s="9"/>
      <c r="L137" s="9"/>
      <c r="M137" s="9"/>
      <c r="N137" s="9"/>
      <c r="R137" s="8"/>
      <c r="S137" s="8"/>
      <c r="T137" s="8"/>
    </row>
    <row r="138" spans="9:20" x14ac:dyDescent="0.2">
      <c r="I138" s="9"/>
      <c r="J138" s="9"/>
      <c r="K138" s="9"/>
      <c r="L138" s="9"/>
      <c r="M138" s="9"/>
      <c r="N138" s="9"/>
      <c r="R138" s="8"/>
      <c r="S138" s="8"/>
      <c r="T138" s="8"/>
    </row>
    <row r="139" spans="9:20" x14ac:dyDescent="0.2">
      <c r="I139" s="9"/>
      <c r="J139" s="9"/>
      <c r="K139" s="9"/>
      <c r="L139" s="9"/>
      <c r="M139" s="9"/>
      <c r="N139" s="9"/>
      <c r="R139" s="8"/>
      <c r="S139" s="8"/>
      <c r="T139" s="8"/>
    </row>
    <row r="140" spans="9:20" x14ac:dyDescent="0.2">
      <c r="I140" s="9"/>
      <c r="J140" s="9"/>
      <c r="K140" s="9"/>
      <c r="L140" s="9"/>
      <c r="M140" s="9"/>
      <c r="N140" s="9"/>
      <c r="R140" s="8"/>
      <c r="S140" s="8"/>
      <c r="T140" s="8"/>
    </row>
    <row r="141" spans="9:20" x14ac:dyDescent="0.2">
      <c r="I141" s="9"/>
      <c r="J141" s="9"/>
      <c r="K141" s="9"/>
      <c r="L141" s="9"/>
      <c r="M141" s="9"/>
      <c r="N141" s="9"/>
      <c r="R141" s="8"/>
      <c r="S141" s="8"/>
      <c r="T141" s="8"/>
    </row>
    <row r="142" spans="9:20" x14ac:dyDescent="0.2">
      <c r="I142" s="9"/>
      <c r="J142" s="9"/>
      <c r="K142" s="9"/>
      <c r="L142" s="9"/>
      <c r="M142" s="9"/>
      <c r="N142" s="9"/>
      <c r="R142" s="8"/>
      <c r="S142" s="8"/>
      <c r="T142" s="8"/>
    </row>
    <row r="143" spans="9:20" x14ac:dyDescent="0.2">
      <c r="I143" s="9"/>
      <c r="J143" s="9"/>
      <c r="K143" s="9"/>
      <c r="L143" s="9"/>
      <c r="M143" s="9"/>
      <c r="N143" s="9"/>
      <c r="R143" s="8"/>
      <c r="S143" s="8"/>
      <c r="T143" s="8"/>
    </row>
    <row r="144" spans="9:20" x14ac:dyDescent="0.2">
      <c r="I144" s="9"/>
      <c r="J144" s="9"/>
      <c r="K144" s="9"/>
      <c r="L144" s="9"/>
      <c r="M144" s="9"/>
      <c r="N144" s="9"/>
      <c r="R144" s="8"/>
      <c r="S144" s="8"/>
      <c r="T144" s="8"/>
    </row>
    <row r="145" spans="9:20" x14ac:dyDescent="0.2">
      <c r="I145" s="9"/>
      <c r="J145" s="9"/>
      <c r="K145" s="9"/>
      <c r="L145" s="9"/>
      <c r="M145" s="9"/>
      <c r="N145" s="9"/>
      <c r="R145" s="8"/>
      <c r="S145" s="8"/>
      <c r="T145" s="8"/>
    </row>
    <row r="146" spans="9:20" x14ac:dyDescent="0.2">
      <c r="I146" s="9"/>
      <c r="J146" s="9"/>
      <c r="K146" s="9"/>
      <c r="L146" s="9"/>
      <c r="M146" s="9"/>
      <c r="N146" s="9"/>
      <c r="R146" s="8"/>
      <c r="S146" s="8"/>
      <c r="T146" s="8"/>
    </row>
    <row r="147" spans="9:20" x14ac:dyDescent="0.2">
      <c r="I147" s="9"/>
      <c r="J147" s="9"/>
      <c r="K147" s="9"/>
      <c r="L147" s="9"/>
      <c r="M147" s="9"/>
      <c r="N147" s="9"/>
      <c r="R147" s="8"/>
      <c r="S147" s="8"/>
      <c r="T147" s="8"/>
    </row>
    <row r="148" spans="9:20" x14ac:dyDescent="0.2">
      <c r="I148" s="9"/>
      <c r="J148" s="9"/>
      <c r="K148" s="9"/>
      <c r="L148" s="9"/>
      <c r="M148" s="9"/>
      <c r="N148" s="9"/>
      <c r="R148" s="8"/>
      <c r="S148" s="8"/>
      <c r="T148" s="8"/>
    </row>
    <row r="149" spans="9:20" x14ac:dyDescent="0.2">
      <c r="I149" s="9"/>
      <c r="J149" s="9"/>
      <c r="K149" s="9"/>
      <c r="L149" s="9"/>
      <c r="M149" s="9"/>
      <c r="N149" s="9"/>
      <c r="R149" s="8"/>
      <c r="S149" s="8"/>
      <c r="T149" s="8"/>
    </row>
    <row r="150" spans="9:20" x14ac:dyDescent="0.2">
      <c r="I150" s="9"/>
      <c r="J150" s="9"/>
      <c r="K150" s="9"/>
      <c r="L150" s="9"/>
      <c r="M150" s="9"/>
      <c r="N150" s="9"/>
      <c r="R150" s="8"/>
      <c r="S150" s="8"/>
      <c r="T150" s="8"/>
    </row>
    <row r="151" spans="9:20" x14ac:dyDescent="0.2">
      <c r="I151" s="9"/>
      <c r="J151" s="9"/>
      <c r="K151" s="9"/>
      <c r="L151" s="9"/>
      <c r="M151" s="9"/>
      <c r="N151" s="9"/>
      <c r="R151" s="8"/>
      <c r="S151" s="8"/>
      <c r="T151" s="8"/>
    </row>
    <row r="152" spans="9:20" x14ac:dyDescent="0.2">
      <c r="I152" s="9"/>
      <c r="J152" s="9"/>
      <c r="K152" s="9"/>
      <c r="L152" s="9"/>
      <c r="M152" s="9"/>
      <c r="N152" s="9"/>
      <c r="R152" s="8"/>
      <c r="S152" s="8"/>
      <c r="T152" s="8"/>
    </row>
    <row r="153" spans="9:20" x14ac:dyDescent="0.2">
      <c r="I153" s="9"/>
      <c r="J153" s="9"/>
      <c r="K153" s="9"/>
      <c r="L153" s="9"/>
      <c r="M153" s="9"/>
      <c r="N153" s="9"/>
      <c r="R153" s="8"/>
      <c r="S153" s="8"/>
      <c r="T153" s="8"/>
    </row>
    <row r="154" spans="9:20" x14ac:dyDescent="0.2">
      <c r="I154" s="9"/>
      <c r="J154" s="9"/>
      <c r="K154" s="9"/>
      <c r="L154" s="9"/>
      <c r="M154" s="9"/>
      <c r="N154" s="9"/>
      <c r="R154" s="8"/>
      <c r="S154" s="8"/>
      <c r="T154" s="8"/>
    </row>
    <row r="155" spans="9:20" x14ac:dyDescent="0.2">
      <c r="I155" s="9"/>
      <c r="J155" s="9"/>
      <c r="K155" s="9"/>
      <c r="L155" s="9"/>
      <c r="M155" s="9"/>
      <c r="N155" s="9"/>
      <c r="R155" s="8"/>
      <c r="S155" s="8"/>
      <c r="T155" s="8"/>
    </row>
    <row r="156" spans="9:20" x14ac:dyDescent="0.2">
      <c r="I156" s="9"/>
      <c r="J156" s="9"/>
      <c r="K156" s="9"/>
      <c r="L156" s="9"/>
      <c r="M156" s="9"/>
      <c r="N156" s="9"/>
      <c r="R156" s="8"/>
      <c r="S156" s="8"/>
      <c r="T156" s="8"/>
    </row>
    <row r="157" spans="9:20" x14ac:dyDescent="0.2">
      <c r="I157" s="9"/>
      <c r="J157" s="9"/>
      <c r="K157" s="9"/>
      <c r="L157" s="9"/>
      <c r="M157" s="9"/>
      <c r="N157" s="9"/>
      <c r="R157" s="8"/>
      <c r="S157" s="8"/>
      <c r="T157" s="8"/>
    </row>
    <row r="158" spans="9:20" x14ac:dyDescent="0.2">
      <c r="I158" s="9"/>
      <c r="J158" s="9"/>
      <c r="K158" s="9"/>
      <c r="L158" s="9"/>
      <c r="M158" s="9"/>
      <c r="N158" s="9"/>
      <c r="R158" s="8"/>
      <c r="S158" s="8"/>
      <c r="T158" s="8"/>
    </row>
    <row r="159" spans="9:20" x14ac:dyDescent="0.2">
      <c r="I159" s="9"/>
      <c r="J159" s="9"/>
      <c r="K159" s="9"/>
      <c r="L159" s="9"/>
      <c r="M159" s="9"/>
      <c r="N159" s="9"/>
      <c r="R159" s="8"/>
      <c r="S159" s="8"/>
      <c r="T159" s="8"/>
    </row>
    <row r="160" spans="9:20" x14ac:dyDescent="0.2">
      <c r="I160" s="9"/>
      <c r="J160" s="9"/>
      <c r="K160" s="9"/>
      <c r="L160" s="9"/>
      <c r="M160" s="9"/>
      <c r="N160" s="9"/>
      <c r="R160" s="8"/>
      <c r="S160" s="8"/>
      <c r="T160" s="8"/>
    </row>
    <row r="161" spans="9:20" x14ac:dyDescent="0.2">
      <c r="I161" s="9"/>
      <c r="J161" s="9"/>
      <c r="K161" s="9"/>
      <c r="L161" s="9"/>
      <c r="M161" s="9"/>
      <c r="N161" s="9"/>
      <c r="R161" s="8"/>
      <c r="S161" s="8"/>
      <c r="T161" s="8"/>
    </row>
    <row r="162" spans="9:20" x14ac:dyDescent="0.2">
      <c r="I162" s="9"/>
      <c r="J162" s="9"/>
      <c r="K162" s="9"/>
      <c r="L162" s="9"/>
      <c r="M162" s="9"/>
      <c r="N162" s="9"/>
      <c r="R162" s="8"/>
      <c r="S162" s="8"/>
      <c r="T162" s="8"/>
    </row>
    <row r="163" spans="9:20" x14ac:dyDescent="0.2">
      <c r="I163" s="9"/>
      <c r="J163" s="9"/>
      <c r="K163" s="9"/>
      <c r="L163" s="9"/>
      <c r="M163" s="9"/>
      <c r="N163" s="9"/>
      <c r="R163" s="8"/>
      <c r="S163" s="8"/>
      <c r="T163" s="8"/>
    </row>
    <row r="164" spans="9:20" x14ac:dyDescent="0.2">
      <c r="I164" s="9"/>
      <c r="J164" s="9"/>
      <c r="K164" s="9"/>
      <c r="L164" s="9"/>
      <c r="M164" s="9"/>
      <c r="N164" s="9"/>
      <c r="R164" s="8"/>
      <c r="S164" s="8"/>
      <c r="T164" s="8"/>
    </row>
    <row r="165" spans="9:20" x14ac:dyDescent="0.2">
      <c r="I165" s="9"/>
      <c r="J165" s="9"/>
      <c r="K165" s="9"/>
      <c r="L165" s="9"/>
      <c r="M165" s="9"/>
      <c r="N165" s="9"/>
      <c r="R165" s="8"/>
      <c r="S165" s="8"/>
      <c r="T165" s="8"/>
    </row>
    <row r="166" spans="9:20" x14ac:dyDescent="0.2">
      <c r="I166" s="9"/>
      <c r="J166" s="9"/>
      <c r="K166" s="9"/>
      <c r="L166" s="9"/>
      <c r="M166" s="9"/>
      <c r="N166" s="9"/>
      <c r="R166" s="8"/>
      <c r="S166" s="8"/>
      <c r="T166" s="8"/>
    </row>
    <row r="167" spans="9:20" x14ac:dyDescent="0.2">
      <c r="I167" s="9"/>
      <c r="J167" s="9"/>
      <c r="K167" s="9"/>
      <c r="L167" s="9"/>
      <c r="M167" s="9"/>
      <c r="N167" s="9"/>
      <c r="R167" s="8"/>
      <c r="S167" s="8"/>
      <c r="T167" s="8"/>
    </row>
    <row r="168" spans="9:20" x14ac:dyDescent="0.2">
      <c r="I168" s="9"/>
      <c r="J168" s="9"/>
      <c r="K168" s="9"/>
      <c r="L168" s="9"/>
      <c r="M168" s="9"/>
      <c r="N168" s="9"/>
      <c r="R168" s="8"/>
      <c r="S168" s="8"/>
      <c r="T168" s="8"/>
    </row>
    <row r="169" spans="9:20" x14ac:dyDescent="0.2">
      <c r="I169" s="9"/>
      <c r="J169" s="9"/>
      <c r="K169" s="9"/>
      <c r="L169" s="9"/>
      <c r="M169" s="9"/>
      <c r="N169" s="9"/>
      <c r="R169" s="8"/>
      <c r="S169" s="8"/>
      <c r="T169" s="8"/>
    </row>
    <row r="170" spans="9:20" x14ac:dyDescent="0.2">
      <c r="I170" s="9"/>
      <c r="J170" s="9"/>
      <c r="K170" s="9"/>
      <c r="L170" s="9"/>
      <c r="M170" s="9"/>
      <c r="N170" s="9"/>
      <c r="R170" s="8"/>
      <c r="S170" s="8"/>
      <c r="T170" s="8"/>
    </row>
    <row r="171" spans="9:20" x14ac:dyDescent="0.2">
      <c r="I171" s="9"/>
      <c r="J171" s="9"/>
      <c r="K171" s="9"/>
      <c r="L171" s="9"/>
      <c r="M171" s="9"/>
      <c r="N171" s="9"/>
      <c r="R171" s="8"/>
      <c r="S171" s="8"/>
      <c r="T171" s="8"/>
    </row>
    <row r="172" spans="9:20" x14ac:dyDescent="0.2">
      <c r="I172" s="9"/>
      <c r="J172" s="9"/>
      <c r="K172" s="9"/>
      <c r="L172" s="9"/>
      <c r="M172" s="9"/>
      <c r="N172" s="9"/>
      <c r="R172" s="8"/>
      <c r="S172" s="8"/>
      <c r="T172" s="8"/>
    </row>
    <row r="173" spans="9:20" x14ac:dyDescent="0.2">
      <c r="I173" s="9"/>
      <c r="J173" s="9"/>
      <c r="K173" s="9"/>
      <c r="L173" s="9"/>
      <c r="M173" s="9"/>
      <c r="N173" s="9"/>
      <c r="R173" s="8"/>
      <c r="S173" s="8"/>
      <c r="T173" s="8"/>
    </row>
    <row r="174" spans="9:20" x14ac:dyDescent="0.2">
      <c r="I174" s="9"/>
      <c r="J174" s="9"/>
      <c r="K174" s="9"/>
      <c r="L174" s="9"/>
      <c r="M174" s="9"/>
      <c r="N174" s="9"/>
      <c r="R174" s="8"/>
      <c r="S174" s="8"/>
      <c r="T174" s="8"/>
    </row>
    <row r="175" spans="9:20" x14ac:dyDescent="0.2">
      <c r="I175" s="9"/>
      <c r="J175" s="9"/>
      <c r="K175" s="9"/>
      <c r="L175" s="9"/>
      <c r="M175" s="9"/>
      <c r="N175" s="9"/>
      <c r="R175" s="8"/>
      <c r="S175" s="8"/>
      <c r="T175" s="8"/>
    </row>
    <row r="176" spans="9:20" x14ac:dyDescent="0.2">
      <c r="I176" s="9"/>
      <c r="J176" s="9"/>
      <c r="K176" s="9"/>
      <c r="L176" s="9"/>
      <c r="M176" s="9"/>
      <c r="N176" s="9"/>
      <c r="R176" s="8"/>
      <c r="S176" s="8"/>
      <c r="T176" s="8"/>
    </row>
    <row r="177" spans="9:20" x14ac:dyDescent="0.2">
      <c r="I177" s="9"/>
      <c r="J177" s="9"/>
      <c r="K177" s="9"/>
      <c r="L177" s="9"/>
      <c r="M177" s="9"/>
      <c r="N177" s="9"/>
      <c r="R177" s="8"/>
      <c r="S177" s="8"/>
      <c r="T177" s="8"/>
    </row>
    <row r="178" spans="9:20" x14ac:dyDescent="0.2">
      <c r="I178" s="9"/>
      <c r="J178" s="9"/>
      <c r="K178" s="9"/>
      <c r="L178" s="9"/>
      <c r="M178" s="9"/>
      <c r="N178" s="9"/>
      <c r="R178" s="8"/>
      <c r="S178" s="8"/>
      <c r="T178" s="8"/>
    </row>
    <row r="179" spans="9:20" x14ac:dyDescent="0.2">
      <c r="I179" s="9"/>
      <c r="J179" s="9"/>
      <c r="K179" s="9"/>
      <c r="L179" s="9"/>
      <c r="M179" s="9"/>
      <c r="N179" s="9"/>
      <c r="R179" s="8"/>
      <c r="S179" s="8"/>
      <c r="T179" s="8"/>
    </row>
    <row r="180" spans="9:20" x14ac:dyDescent="0.2">
      <c r="I180" s="9"/>
      <c r="J180" s="9"/>
      <c r="K180" s="9"/>
      <c r="L180" s="9"/>
      <c r="M180" s="9"/>
      <c r="N180" s="9"/>
      <c r="R180" s="8"/>
      <c r="S180" s="8"/>
      <c r="T180" s="8"/>
    </row>
    <row r="181" spans="9:20" x14ac:dyDescent="0.2">
      <c r="I181" s="9"/>
      <c r="J181" s="9"/>
      <c r="K181" s="9"/>
      <c r="L181" s="9"/>
      <c r="M181" s="9"/>
      <c r="N181" s="9"/>
      <c r="R181" s="8"/>
      <c r="S181" s="8"/>
      <c r="T181" s="8"/>
    </row>
    <row r="182" spans="9:20" x14ac:dyDescent="0.2">
      <c r="I182" s="9"/>
      <c r="J182" s="9"/>
      <c r="K182" s="9"/>
      <c r="L182" s="9"/>
      <c r="M182" s="9"/>
      <c r="N182" s="9"/>
      <c r="R182" s="8"/>
      <c r="S182" s="8"/>
      <c r="T182" s="8"/>
    </row>
    <row r="183" spans="9:20" x14ac:dyDescent="0.2">
      <c r="I183" s="9"/>
      <c r="J183" s="9"/>
      <c r="K183" s="9"/>
      <c r="L183" s="9"/>
      <c r="M183" s="9"/>
      <c r="N183" s="9"/>
      <c r="R183" s="8"/>
      <c r="S183" s="8"/>
      <c r="T183" s="8"/>
    </row>
    <row r="184" spans="9:20" x14ac:dyDescent="0.2">
      <c r="I184" s="9"/>
      <c r="J184" s="9"/>
      <c r="K184" s="9"/>
      <c r="L184" s="9"/>
      <c r="M184" s="9"/>
      <c r="N184" s="9"/>
      <c r="R184" s="8"/>
      <c r="S184" s="8"/>
      <c r="T184" s="8"/>
    </row>
    <row r="185" spans="9:20" x14ac:dyDescent="0.2">
      <c r="I185" s="9"/>
      <c r="J185" s="9"/>
      <c r="K185" s="9"/>
      <c r="L185" s="9"/>
      <c r="M185" s="9"/>
      <c r="N185" s="9"/>
      <c r="R185" s="8"/>
      <c r="S185" s="8"/>
      <c r="T185" s="8"/>
    </row>
    <row r="186" spans="9:20" x14ac:dyDescent="0.2">
      <c r="I186" s="9"/>
      <c r="J186" s="9"/>
      <c r="K186" s="9"/>
      <c r="L186" s="9"/>
      <c r="M186" s="9"/>
      <c r="N186" s="9"/>
      <c r="R186" s="8"/>
      <c r="S186" s="8"/>
      <c r="T186" s="8"/>
    </row>
    <row r="187" spans="9:20" x14ac:dyDescent="0.2">
      <c r="I187" s="9"/>
      <c r="J187" s="9"/>
      <c r="K187" s="9"/>
      <c r="L187" s="9"/>
      <c r="M187" s="9"/>
      <c r="N187" s="9"/>
      <c r="R187" s="8"/>
      <c r="S187" s="8"/>
      <c r="T187" s="8"/>
    </row>
    <row r="188" spans="9:20" x14ac:dyDescent="0.2">
      <c r="I188" s="9"/>
      <c r="J188" s="9"/>
      <c r="K188" s="9"/>
      <c r="L188" s="9"/>
      <c r="M188" s="9"/>
      <c r="N188" s="9"/>
      <c r="R188" s="8"/>
      <c r="S188" s="8"/>
      <c r="T188" s="8"/>
    </row>
    <row r="189" spans="9:20" x14ac:dyDescent="0.2">
      <c r="I189" s="9"/>
      <c r="J189" s="9"/>
      <c r="K189" s="9"/>
      <c r="L189" s="9"/>
      <c r="M189" s="9"/>
      <c r="N189" s="9"/>
      <c r="R189" s="8"/>
      <c r="S189" s="8"/>
      <c r="T189" s="8"/>
    </row>
    <row r="190" spans="9:20" x14ac:dyDescent="0.2">
      <c r="I190" s="9"/>
      <c r="J190" s="9"/>
      <c r="K190" s="9"/>
      <c r="L190" s="9"/>
      <c r="M190" s="9"/>
      <c r="N190" s="9"/>
      <c r="R190" s="8"/>
      <c r="S190" s="8"/>
      <c r="T190" s="8"/>
    </row>
    <row r="191" spans="9:20" x14ac:dyDescent="0.2">
      <c r="I191" s="9"/>
      <c r="J191" s="9"/>
      <c r="K191" s="9"/>
      <c r="L191" s="9"/>
      <c r="M191" s="9"/>
      <c r="N191" s="9"/>
      <c r="R191" s="8"/>
      <c r="S191" s="8"/>
      <c r="T191" s="8"/>
    </row>
    <row r="192" spans="9:20" x14ac:dyDescent="0.2">
      <c r="I192" s="9"/>
      <c r="J192" s="9"/>
      <c r="K192" s="9"/>
      <c r="L192" s="9"/>
      <c r="M192" s="9"/>
      <c r="N192" s="9"/>
      <c r="R192" s="8"/>
      <c r="S192" s="8"/>
      <c r="T192" s="8"/>
    </row>
    <row r="193" spans="9:20" x14ac:dyDescent="0.2">
      <c r="I193" s="9"/>
      <c r="J193" s="9"/>
      <c r="K193" s="9"/>
      <c r="L193" s="9"/>
      <c r="M193" s="9"/>
      <c r="N193" s="9"/>
      <c r="R193" s="8"/>
      <c r="S193" s="8"/>
      <c r="T193" s="8"/>
    </row>
    <row r="194" spans="9:20" x14ac:dyDescent="0.2">
      <c r="I194" s="9"/>
      <c r="J194" s="9"/>
      <c r="K194" s="9"/>
      <c r="L194" s="9"/>
      <c r="M194" s="9"/>
      <c r="N194" s="9"/>
      <c r="R194" s="8"/>
      <c r="S194" s="8"/>
      <c r="T194" s="8"/>
    </row>
    <row r="195" spans="9:20" x14ac:dyDescent="0.2">
      <c r="I195" s="9"/>
      <c r="J195" s="9"/>
      <c r="K195" s="9"/>
      <c r="L195" s="9"/>
      <c r="M195" s="9"/>
      <c r="N195" s="9"/>
      <c r="R195" s="8"/>
      <c r="S195" s="8"/>
      <c r="T195" s="8"/>
    </row>
    <row r="196" spans="9:20" x14ac:dyDescent="0.2">
      <c r="I196" s="9"/>
      <c r="J196" s="9"/>
      <c r="K196" s="9"/>
      <c r="L196" s="9"/>
      <c r="M196" s="9"/>
      <c r="N196" s="9"/>
      <c r="R196" s="8"/>
      <c r="S196" s="8"/>
      <c r="T196" s="8"/>
    </row>
    <row r="197" spans="9:20" x14ac:dyDescent="0.2">
      <c r="I197" s="9"/>
      <c r="J197" s="9"/>
      <c r="K197" s="9"/>
      <c r="L197" s="9"/>
      <c r="M197" s="9"/>
      <c r="N197" s="9"/>
      <c r="R197" s="8"/>
      <c r="S197" s="8"/>
      <c r="T197" s="8"/>
    </row>
    <row r="198" spans="9:20" x14ac:dyDescent="0.2">
      <c r="I198" s="9"/>
      <c r="J198" s="9"/>
      <c r="K198" s="9"/>
      <c r="L198" s="9"/>
      <c r="M198" s="9"/>
      <c r="N198" s="9"/>
      <c r="R198" s="8"/>
      <c r="S198" s="8"/>
      <c r="T198" s="8"/>
    </row>
    <row r="199" spans="9:20" x14ac:dyDescent="0.2">
      <c r="I199" s="9"/>
      <c r="J199" s="9"/>
      <c r="K199" s="9"/>
      <c r="L199" s="9"/>
      <c r="M199" s="9"/>
      <c r="N199" s="9"/>
      <c r="R199" s="8"/>
      <c r="S199" s="8"/>
      <c r="T199" s="8"/>
    </row>
    <row r="200" spans="9:20" x14ac:dyDescent="0.2">
      <c r="I200" s="9"/>
      <c r="J200" s="9"/>
      <c r="K200" s="9"/>
      <c r="L200" s="9"/>
      <c r="M200" s="9"/>
      <c r="N200" s="9"/>
      <c r="R200" s="8"/>
      <c r="S200" s="8"/>
      <c r="T200" s="8"/>
    </row>
    <row r="201" spans="9:20" x14ac:dyDescent="0.2">
      <c r="I201" s="9"/>
      <c r="J201" s="9"/>
      <c r="K201" s="9"/>
      <c r="L201" s="9"/>
      <c r="M201" s="9"/>
      <c r="N201" s="9"/>
      <c r="R201" s="8"/>
      <c r="S201" s="8"/>
      <c r="T201" s="8"/>
    </row>
    <row r="202" spans="9:20" x14ac:dyDescent="0.2">
      <c r="I202" s="9"/>
      <c r="J202" s="9"/>
      <c r="K202" s="9"/>
      <c r="L202" s="9"/>
      <c r="M202" s="9"/>
      <c r="N202" s="9"/>
      <c r="R202" s="8"/>
      <c r="S202" s="8"/>
      <c r="T202" s="8"/>
    </row>
    <row r="203" spans="9:20" x14ac:dyDescent="0.2">
      <c r="I203" s="9"/>
      <c r="J203" s="9"/>
      <c r="K203" s="9"/>
      <c r="L203" s="9"/>
      <c r="M203" s="9"/>
      <c r="N203" s="9"/>
      <c r="R203" s="8"/>
      <c r="S203" s="8"/>
      <c r="T203" s="8"/>
    </row>
    <row r="204" spans="9:20" x14ac:dyDescent="0.2">
      <c r="I204" s="9"/>
      <c r="J204" s="9"/>
      <c r="K204" s="9"/>
      <c r="L204" s="9"/>
      <c r="M204" s="9"/>
      <c r="N204" s="9"/>
      <c r="R204" s="8"/>
      <c r="S204" s="8"/>
      <c r="T204" s="8"/>
    </row>
    <row r="205" spans="9:20" x14ac:dyDescent="0.2">
      <c r="I205" s="9"/>
      <c r="J205" s="9"/>
      <c r="K205" s="9"/>
      <c r="L205" s="9"/>
      <c r="M205" s="9"/>
      <c r="N205" s="9"/>
      <c r="R205" s="8"/>
      <c r="S205" s="8"/>
      <c r="T205" s="8"/>
    </row>
    <row r="206" spans="9:20" x14ac:dyDescent="0.2">
      <c r="I206" s="9"/>
      <c r="J206" s="9"/>
      <c r="K206" s="9"/>
      <c r="L206" s="9"/>
      <c r="M206" s="9"/>
      <c r="N206" s="9"/>
      <c r="R206" s="8"/>
      <c r="S206" s="8"/>
      <c r="T206" s="8"/>
    </row>
    <row r="207" spans="9:20" x14ac:dyDescent="0.2">
      <c r="I207" s="9"/>
      <c r="J207" s="9"/>
      <c r="K207" s="9"/>
      <c r="L207" s="9"/>
      <c r="M207" s="9"/>
      <c r="N207" s="9"/>
      <c r="R207" s="8"/>
      <c r="S207" s="8"/>
      <c r="T207" s="8"/>
    </row>
    <row r="208" spans="9:20" x14ac:dyDescent="0.2">
      <c r="I208" s="9"/>
      <c r="J208" s="9"/>
      <c r="K208" s="9"/>
      <c r="L208" s="9"/>
      <c r="M208" s="9"/>
      <c r="N208" s="9"/>
      <c r="R208" s="8"/>
      <c r="S208" s="8"/>
      <c r="T208" s="8"/>
    </row>
    <row r="209" spans="9:20" x14ac:dyDescent="0.2">
      <c r="I209" s="9"/>
      <c r="J209" s="9"/>
      <c r="K209" s="9"/>
      <c r="L209" s="9"/>
      <c r="M209" s="9"/>
      <c r="N209" s="9"/>
      <c r="R209" s="8"/>
      <c r="S209" s="8"/>
      <c r="T209" s="8"/>
    </row>
    <row r="210" spans="9:20" x14ac:dyDescent="0.2">
      <c r="I210" s="9"/>
      <c r="J210" s="9"/>
      <c r="K210" s="9"/>
      <c r="L210" s="9"/>
      <c r="M210" s="9"/>
      <c r="N210" s="9"/>
      <c r="R210" s="8"/>
      <c r="S210" s="8"/>
      <c r="T210" s="8"/>
    </row>
    <row r="211" spans="9:20" x14ac:dyDescent="0.2">
      <c r="I211" s="9"/>
      <c r="J211" s="9"/>
      <c r="K211" s="9"/>
      <c r="L211" s="9"/>
      <c r="M211" s="9"/>
      <c r="N211" s="9"/>
      <c r="R211" s="8"/>
      <c r="S211" s="8"/>
      <c r="T211" s="8"/>
    </row>
    <row r="212" spans="9:20" x14ac:dyDescent="0.2">
      <c r="I212" s="9"/>
      <c r="J212" s="9"/>
      <c r="K212" s="9"/>
      <c r="L212" s="9"/>
      <c r="M212" s="9"/>
      <c r="N212" s="9"/>
      <c r="R212" s="8"/>
      <c r="S212" s="8"/>
      <c r="T212" s="8"/>
    </row>
    <row r="213" spans="9:20" x14ac:dyDescent="0.2">
      <c r="I213" s="9"/>
      <c r="J213" s="9"/>
      <c r="K213" s="9"/>
      <c r="L213" s="9"/>
      <c r="M213" s="9"/>
      <c r="N213" s="9"/>
      <c r="R213" s="8"/>
      <c r="S213" s="8"/>
      <c r="T213" s="8"/>
    </row>
    <row r="214" spans="9:20" x14ac:dyDescent="0.2">
      <c r="I214" s="9"/>
      <c r="J214" s="9"/>
      <c r="K214" s="9"/>
      <c r="L214" s="9"/>
      <c r="M214" s="9"/>
      <c r="N214" s="9"/>
      <c r="R214" s="8"/>
      <c r="S214" s="8"/>
      <c r="T214" s="8"/>
    </row>
    <row r="215" spans="9:20" x14ac:dyDescent="0.2">
      <c r="I215" s="9"/>
      <c r="J215" s="9"/>
      <c r="K215" s="9"/>
      <c r="L215" s="9"/>
      <c r="M215" s="9"/>
      <c r="N215" s="9"/>
      <c r="R215" s="8"/>
      <c r="S215" s="8"/>
      <c r="T215" s="8"/>
    </row>
    <row r="216" spans="9:20" x14ac:dyDescent="0.2">
      <c r="I216" s="9"/>
      <c r="J216" s="9"/>
      <c r="K216" s="9"/>
      <c r="L216" s="9"/>
      <c r="M216" s="9"/>
      <c r="N216" s="9"/>
      <c r="R216" s="8"/>
      <c r="S216" s="8"/>
      <c r="T216" s="8"/>
    </row>
    <row r="217" spans="9:20" x14ac:dyDescent="0.2">
      <c r="I217" s="9"/>
      <c r="J217" s="9"/>
      <c r="K217" s="9"/>
      <c r="L217" s="9"/>
      <c r="M217" s="9"/>
      <c r="N217" s="9"/>
      <c r="R217" s="8"/>
      <c r="S217" s="8"/>
      <c r="T217" s="8"/>
    </row>
    <row r="218" spans="9:20" x14ac:dyDescent="0.2">
      <c r="I218" s="9"/>
      <c r="J218" s="9"/>
      <c r="K218" s="9"/>
      <c r="L218" s="9"/>
      <c r="M218" s="9"/>
      <c r="N218" s="9"/>
      <c r="R218" s="8"/>
      <c r="S218" s="8"/>
      <c r="T218" s="8"/>
    </row>
    <row r="219" spans="9:20" x14ac:dyDescent="0.2">
      <c r="I219" s="9"/>
      <c r="J219" s="9"/>
      <c r="K219" s="9"/>
      <c r="L219" s="9"/>
      <c r="M219" s="9"/>
      <c r="N219" s="9"/>
      <c r="R219" s="8"/>
      <c r="S219" s="8"/>
      <c r="T219" s="8"/>
    </row>
    <row r="220" spans="9:20" x14ac:dyDescent="0.2">
      <c r="I220" s="9"/>
      <c r="J220" s="9"/>
      <c r="K220" s="9"/>
      <c r="L220" s="9"/>
      <c r="M220" s="9"/>
      <c r="N220" s="9"/>
      <c r="R220" s="8"/>
      <c r="S220" s="8"/>
      <c r="T220" s="8"/>
    </row>
    <row r="221" spans="9:20" x14ac:dyDescent="0.2">
      <c r="I221" s="9"/>
      <c r="J221" s="9"/>
      <c r="K221" s="9"/>
      <c r="L221" s="9"/>
      <c r="M221" s="9"/>
      <c r="N221" s="9"/>
      <c r="R221" s="8"/>
      <c r="S221" s="8"/>
      <c r="T221" s="8"/>
    </row>
    <row r="222" spans="9:20" x14ac:dyDescent="0.2">
      <c r="I222" s="9"/>
      <c r="J222" s="9"/>
      <c r="K222" s="9"/>
      <c r="L222" s="9"/>
      <c r="M222" s="9"/>
      <c r="N222" s="9"/>
      <c r="R222" s="8"/>
      <c r="S222" s="8"/>
      <c r="T222" s="8"/>
    </row>
    <row r="223" spans="9:20" x14ac:dyDescent="0.2">
      <c r="I223" s="9"/>
      <c r="J223" s="9"/>
      <c r="K223" s="9"/>
      <c r="L223" s="9"/>
      <c r="M223" s="9"/>
      <c r="N223" s="9"/>
      <c r="R223" s="8"/>
      <c r="S223" s="8"/>
      <c r="T223" s="8"/>
    </row>
    <row r="224" spans="9:20" x14ac:dyDescent="0.2">
      <c r="I224" s="9"/>
      <c r="J224" s="9"/>
      <c r="K224" s="9"/>
      <c r="L224" s="9"/>
      <c r="M224" s="9"/>
      <c r="N224" s="9"/>
      <c r="R224" s="8"/>
      <c r="S224" s="8"/>
      <c r="T224" s="8"/>
    </row>
    <row r="225" spans="9:20" x14ac:dyDescent="0.2">
      <c r="I225" s="9"/>
      <c r="J225" s="9"/>
      <c r="K225" s="9"/>
      <c r="L225" s="9"/>
      <c r="M225" s="9"/>
      <c r="N225" s="9"/>
      <c r="R225" s="8"/>
      <c r="S225" s="8"/>
      <c r="T225" s="8"/>
    </row>
    <row r="226" spans="9:20" x14ac:dyDescent="0.2">
      <c r="I226" s="9"/>
      <c r="J226" s="9"/>
      <c r="K226" s="9"/>
      <c r="L226" s="9"/>
      <c r="M226" s="9"/>
      <c r="N226" s="9"/>
      <c r="R226" s="8"/>
      <c r="S226" s="8"/>
      <c r="T226" s="8"/>
    </row>
    <row r="227" spans="9:20" x14ac:dyDescent="0.2">
      <c r="I227" s="9"/>
      <c r="J227" s="9"/>
      <c r="K227" s="9"/>
      <c r="L227" s="9"/>
      <c r="M227" s="9"/>
      <c r="N227" s="9"/>
      <c r="R227" s="8"/>
      <c r="S227" s="8"/>
      <c r="T227" s="8"/>
    </row>
    <row r="228" spans="9:20" x14ac:dyDescent="0.2">
      <c r="I228" s="9"/>
      <c r="J228" s="9"/>
      <c r="K228" s="9"/>
      <c r="L228" s="9"/>
      <c r="M228" s="9"/>
      <c r="N228" s="9"/>
      <c r="R228" s="8"/>
      <c r="S228" s="8"/>
      <c r="T228" s="8"/>
    </row>
    <row r="229" spans="9:20" x14ac:dyDescent="0.2">
      <c r="I229" s="9"/>
      <c r="J229" s="9"/>
      <c r="K229" s="9"/>
      <c r="L229" s="9"/>
      <c r="M229" s="9"/>
      <c r="N229" s="9"/>
      <c r="R229" s="8"/>
      <c r="S229" s="8"/>
      <c r="T229" s="8"/>
    </row>
    <row r="230" spans="9:20" x14ac:dyDescent="0.2">
      <c r="I230" s="9"/>
      <c r="J230" s="9"/>
      <c r="K230" s="9"/>
      <c r="L230" s="9"/>
      <c r="M230" s="9"/>
      <c r="N230" s="9"/>
      <c r="R230" s="8"/>
      <c r="S230" s="8"/>
      <c r="T230" s="8"/>
    </row>
    <row r="231" spans="9:20" x14ac:dyDescent="0.2">
      <c r="I231" s="9"/>
      <c r="J231" s="9"/>
      <c r="K231" s="9"/>
      <c r="L231" s="9"/>
      <c r="M231" s="9"/>
      <c r="N231" s="9"/>
      <c r="R231" s="8"/>
      <c r="S231" s="8"/>
      <c r="T231" s="8"/>
    </row>
    <row r="232" spans="9:20" x14ac:dyDescent="0.2">
      <c r="I232" s="9"/>
      <c r="J232" s="9"/>
      <c r="K232" s="9"/>
      <c r="L232" s="9"/>
      <c r="M232" s="9"/>
      <c r="N232" s="9"/>
      <c r="R232" s="8"/>
      <c r="S232" s="8"/>
      <c r="T232" s="8"/>
    </row>
    <row r="233" spans="9:20" x14ac:dyDescent="0.2">
      <c r="I233" s="9"/>
      <c r="J233" s="9"/>
      <c r="K233" s="9"/>
      <c r="L233" s="9"/>
      <c r="M233" s="9"/>
      <c r="N233" s="9"/>
      <c r="R233" s="8"/>
      <c r="S233" s="8"/>
      <c r="T233" s="8"/>
    </row>
    <row r="234" spans="9:20" x14ac:dyDescent="0.2">
      <c r="I234" s="9"/>
      <c r="J234" s="9"/>
      <c r="K234" s="9"/>
      <c r="L234" s="9"/>
      <c r="M234" s="9"/>
      <c r="N234" s="9"/>
      <c r="R234" s="8"/>
      <c r="S234" s="8"/>
      <c r="T234" s="8"/>
    </row>
    <row r="235" spans="9:20" x14ac:dyDescent="0.2">
      <c r="I235" s="9"/>
      <c r="J235" s="9"/>
      <c r="K235" s="9"/>
      <c r="L235" s="9"/>
      <c r="M235" s="9"/>
      <c r="N235" s="9"/>
      <c r="R235" s="8"/>
      <c r="S235" s="8"/>
      <c r="T235" s="8"/>
    </row>
    <row r="236" spans="9:20" x14ac:dyDescent="0.2">
      <c r="I236" s="9"/>
      <c r="J236" s="9"/>
      <c r="K236" s="9"/>
      <c r="L236" s="9"/>
      <c r="M236" s="9"/>
      <c r="N236" s="9"/>
      <c r="R236" s="8"/>
      <c r="S236" s="8"/>
      <c r="T236" s="8"/>
    </row>
    <row r="237" spans="9:20" x14ac:dyDescent="0.2">
      <c r="I237" s="9"/>
      <c r="J237" s="9"/>
      <c r="K237" s="9"/>
      <c r="L237" s="9"/>
      <c r="M237" s="9"/>
      <c r="N237" s="9"/>
      <c r="R237" s="8"/>
      <c r="S237" s="8"/>
      <c r="T237" s="8"/>
    </row>
    <row r="238" spans="9:20" x14ac:dyDescent="0.2">
      <c r="I238" s="9"/>
      <c r="J238" s="9"/>
      <c r="K238" s="9"/>
      <c r="L238" s="9"/>
      <c r="M238" s="9"/>
      <c r="N238" s="9"/>
      <c r="R238" s="8"/>
      <c r="S238" s="8"/>
      <c r="T238" s="8"/>
    </row>
    <row r="239" spans="9:20" x14ac:dyDescent="0.2">
      <c r="I239" s="9"/>
      <c r="J239" s="9"/>
      <c r="K239" s="9"/>
      <c r="L239" s="9"/>
      <c r="M239" s="9"/>
      <c r="N239" s="9"/>
      <c r="R239" s="8"/>
      <c r="S239" s="8"/>
      <c r="T239" s="8"/>
    </row>
    <row r="240" spans="9:20" x14ac:dyDescent="0.2">
      <c r="I240" s="9"/>
      <c r="J240" s="9"/>
      <c r="K240" s="9"/>
      <c r="L240" s="9"/>
      <c r="M240" s="9"/>
      <c r="N240" s="9"/>
      <c r="R240" s="8"/>
      <c r="S240" s="8"/>
      <c r="T240" s="8"/>
    </row>
    <row r="241" spans="9:20" x14ac:dyDescent="0.2">
      <c r="I241" s="9"/>
      <c r="J241" s="9"/>
      <c r="K241" s="9"/>
      <c r="L241" s="9"/>
      <c r="M241" s="9"/>
      <c r="N241" s="9"/>
      <c r="R241" s="8"/>
      <c r="S241" s="8"/>
      <c r="T241" s="8"/>
    </row>
    <row r="242" spans="9:20" x14ac:dyDescent="0.2">
      <c r="I242" s="9"/>
      <c r="J242" s="9"/>
      <c r="K242" s="9"/>
      <c r="L242" s="9"/>
      <c r="M242" s="9"/>
      <c r="N242" s="9"/>
      <c r="R242" s="8"/>
      <c r="S242" s="8"/>
      <c r="T242" s="8"/>
    </row>
    <row r="243" spans="9:20" x14ac:dyDescent="0.2">
      <c r="I243" s="9"/>
      <c r="J243" s="9"/>
      <c r="K243" s="9"/>
      <c r="L243" s="9"/>
      <c r="M243" s="9"/>
      <c r="N243" s="9"/>
      <c r="R243" s="8"/>
      <c r="S243" s="8"/>
      <c r="T243" s="8"/>
    </row>
    <row r="244" spans="9:20" x14ac:dyDescent="0.2">
      <c r="I244" s="9"/>
      <c r="J244" s="9"/>
      <c r="K244" s="9"/>
      <c r="L244" s="9"/>
      <c r="M244" s="9"/>
      <c r="N244" s="9"/>
      <c r="R244" s="8"/>
      <c r="S244" s="8"/>
      <c r="T244" s="8"/>
    </row>
    <row r="245" spans="9:20" x14ac:dyDescent="0.2">
      <c r="I245" s="9"/>
      <c r="J245" s="9"/>
      <c r="K245" s="9"/>
      <c r="L245" s="9"/>
      <c r="M245" s="9"/>
      <c r="N245" s="9"/>
      <c r="R245" s="8"/>
      <c r="S245" s="8"/>
      <c r="T245" s="8"/>
    </row>
    <row r="246" spans="9:20" x14ac:dyDescent="0.2">
      <c r="I246" s="9"/>
      <c r="J246" s="9"/>
      <c r="K246" s="9"/>
      <c r="L246" s="9"/>
      <c r="M246" s="9"/>
      <c r="N246" s="9"/>
      <c r="R246" s="8"/>
      <c r="S246" s="8"/>
      <c r="T246" s="8"/>
    </row>
    <row r="247" spans="9:20" x14ac:dyDescent="0.2">
      <c r="I247" s="9"/>
      <c r="J247" s="9"/>
      <c r="K247" s="9"/>
      <c r="L247" s="9"/>
      <c r="M247" s="9"/>
      <c r="N247" s="9"/>
      <c r="R247" s="8"/>
      <c r="S247" s="8"/>
      <c r="T247" s="8"/>
    </row>
    <row r="248" spans="9:20" x14ac:dyDescent="0.2">
      <c r="I248" s="9"/>
      <c r="J248" s="9"/>
      <c r="K248" s="9"/>
      <c r="L248" s="9"/>
      <c r="M248" s="9"/>
      <c r="N248" s="9"/>
      <c r="R248" s="8"/>
      <c r="S248" s="8"/>
      <c r="T248" s="8"/>
    </row>
    <row r="249" spans="9:20" x14ac:dyDescent="0.2">
      <c r="I249" s="9"/>
      <c r="J249" s="9"/>
      <c r="K249" s="9"/>
      <c r="L249" s="9"/>
      <c r="M249" s="9"/>
      <c r="N249" s="9"/>
      <c r="R249" s="8"/>
      <c r="S249" s="8"/>
      <c r="T249" s="8"/>
    </row>
    <row r="250" spans="9:20" x14ac:dyDescent="0.2">
      <c r="I250" s="9"/>
      <c r="J250" s="9"/>
      <c r="K250" s="9"/>
      <c r="L250" s="9"/>
      <c r="M250" s="9"/>
      <c r="N250" s="9"/>
      <c r="R250" s="8"/>
      <c r="S250" s="8"/>
      <c r="T250" s="8"/>
    </row>
    <row r="251" spans="9:20" x14ac:dyDescent="0.2">
      <c r="I251" s="9"/>
      <c r="J251" s="9"/>
      <c r="K251" s="9"/>
      <c r="L251" s="9"/>
      <c r="M251" s="9"/>
      <c r="N251" s="9"/>
      <c r="R251" s="8"/>
      <c r="S251" s="8"/>
      <c r="T251" s="8"/>
    </row>
    <row r="252" spans="9:20" x14ac:dyDescent="0.2">
      <c r="I252" s="9"/>
      <c r="J252" s="9"/>
      <c r="K252" s="9"/>
      <c r="L252" s="9"/>
      <c r="M252" s="9"/>
      <c r="N252" s="9"/>
      <c r="R252" s="8"/>
      <c r="S252" s="8"/>
      <c r="T252" s="8"/>
    </row>
    <row r="253" spans="9:20" x14ac:dyDescent="0.2">
      <c r="I253" s="9"/>
      <c r="J253" s="9"/>
      <c r="K253" s="9"/>
      <c r="L253" s="9"/>
      <c r="M253" s="9"/>
      <c r="N253" s="9"/>
      <c r="R253" s="8"/>
      <c r="S253" s="8"/>
      <c r="T253" s="8"/>
    </row>
    <row r="254" spans="9:20" x14ac:dyDescent="0.2">
      <c r="I254" s="9"/>
      <c r="J254" s="9"/>
      <c r="K254" s="9"/>
      <c r="L254" s="9"/>
      <c r="M254" s="9"/>
      <c r="N254" s="9"/>
      <c r="R254" s="8"/>
      <c r="S254" s="8"/>
      <c r="T254" s="8"/>
    </row>
    <row r="255" spans="9:20" x14ac:dyDescent="0.2">
      <c r="I255" s="9"/>
      <c r="J255" s="9"/>
      <c r="K255" s="9"/>
      <c r="L255" s="9"/>
      <c r="M255" s="9"/>
      <c r="N255" s="9"/>
      <c r="R255" s="8"/>
      <c r="S255" s="8"/>
      <c r="T255" s="8"/>
    </row>
    <row r="256" spans="9:20" x14ac:dyDescent="0.2">
      <c r="I256" s="9"/>
      <c r="J256" s="9"/>
      <c r="K256" s="9"/>
      <c r="L256" s="9"/>
      <c r="M256" s="9"/>
      <c r="N256" s="9"/>
      <c r="R256" s="8"/>
      <c r="S256" s="8"/>
      <c r="T256" s="8"/>
    </row>
    <row r="257" spans="9:20" x14ac:dyDescent="0.2">
      <c r="I257" s="9"/>
      <c r="J257" s="9"/>
      <c r="K257" s="9"/>
      <c r="L257" s="9"/>
      <c r="M257" s="9"/>
      <c r="N257" s="9"/>
      <c r="R257" s="8"/>
      <c r="S257" s="8"/>
      <c r="T257" s="8"/>
    </row>
    <row r="258" spans="9:20" x14ac:dyDescent="0.2">
      <c r="I258" s="9"/>
      <c r="J258" s="9"/>
      <c r="K258" s="9"/>
      <c r="L258" s="9"/>
      <c r="M258" s="9"/>
      <c r="N258" s="9"/>
      <c r="R258" s="8"/>
      <c r="S258" s="8"/>
      <c r="T258" s="8"/>
    </row>
    <row r="259" spans="9:20" x14ac:dyDescent="0.2">
      <c r="I259" s="9"/>
      <c r="J259" s="9"/>
      <c r="K259" s="9"/>
      <c r="L259" s="9"/>
      <c r="M259" s="9"/>
      <c r="N259" s="9"/>
      <c r="R259" s="8"/>
      <c r="S259" s="8"/>
      <c r="T259" s="8"/>
    </row>
    <row r="260" spans="9:20" x14ac:dyDescent="0.2">
      <c r="I260" s="9"/>
      <c r="J260" s="9"/>
      <c r="K260" s="9"/>
      <c r="L260" s="9"/>
      <c r="M260" s="9"/>
      <c r="N260" s="9"/>
      <c r="R260" s="8"/>
      <c r="S260" s="8"/>
      <c r="T260" s="8"/>
    </row>
    <row r="261" spans="9:20" x14ac:dyDescent="0.2">
      <c r="I261" s="9"/>
      <c r="J261" s="9"/>
      <c r="K261" s="9"/>
      <c r="L261" s="9"/>
      <c r="M261" s="9"/>
      <c r="N261" s="9"/>
      <c r="R261" s="8"/>
      <c r="S261" s="8"/>
      <c r="T261" s="8"/>
    </row>
    <row r="262" spans="9:20" x14ac:dyDescent="0.2">
      <c r="I262" s="9"/>
      <c r="J262" s="9"/>
      <c r="K262" s="9"/>
      <c r="L262" s="9"/>
      <c r="M262" s="9"/>
      <c r="N262" s="9"/>
      <c r="R262" s="8"/>
      <c r="S262" s="8"/>
      <c r="T262" s="8"/>
    </row>
    <row r="263" spans="9:20" x14ac:dyDescent="0.2">
      <c r="I263" s="9"/>
      <c r="J263" s="9"/>
      <c r="K263" s="9"/>
      <c r="L263" s="9"/>
      <c r="M263" s="9"/>
      <c r="N263" s="9"/>
      <c r="R263" s="8"/>
      <c r="S263" s="8"/>
      <c r="T263" s="8"/>
    </row>
    <row r="264" spans="9:20" x14ac:dyDescent="0.2">
      <c r="I264" s="9"/>
      <c r="J264" s="9"/>
      <c r="K264" s="9"/>
      <c r="L264" s="9"/>
      <c r="M264" s="9"/>
      <c r="N264" s="9"/>
      <c r="R264" s="8"/>
      <c r="S264" s="8"/>
      <c r="T264" s="8"/>
    </row>
    <row r="265" spans="9:20" x14ac:dyDescent="0.2">
      <c r="I265" s="9"/>
      <c r="J265" s="9"/>
      <c r="K265" s="9"/>
      <c r="L265" s="9"/>
      <c r="M265" s="9"/>
      <c r="N265" s="9"/>
      <c r="R265" s="8"/>
      <c r="S265" s="8"/>
      <c r="T265" s="8"/>
    </row>
    <row r="266" spans="9:20" x14ac:dyDescent="0.2">
      <c r="I266" s="9"/>
      <c r="J266" s="9"/>
      <c r="K266" s="9"/>
      <c r="L266" s="9"/>
      <c r="M266" s="9"/>
      <c r="N266" s="9"/>
      <c r="R266" s="8"/>
      <c r="S266" s="8"/>
      <c r="T266" s="8"/>
    </row>
    <row r="267" spans="9:20" x14ac:dyDescent="0.2">
      <c r="I267" s="9"/>
      <c r="J267" s="9"/>
      <c r="K267" s="9"/>
      <c r="L267" s="9"/>
      <c r="M267" s="9"/>
      <c r="N267" s="9"/>
      <c r="R267" s="8"/>
      <c r="S267" s="8"/>
      <c r="T267" s="8"/>
    </row>
    <row r="268" spans="9:20" x14ac:dyDescent="0.2">
      <c r="I268" s="9"/>
      <c r="J268" s="9"/>
      <c r="K268" s="9"/>
      <c r="L268" s="9"/>
      <c r="M268" s="9"/>
      <c r="N268" s="9"/>
      <c r="R268" s="8"/>
      <c r="S268" s="8"/>
      <c r="T268" s="8"/>
    </row>
    <row r="269" spans="9:20" x14ac:dyDescent="0.2">
      <c r="I269" s="9"/>
      <c r="J269" s="9"/>
      <c r="K269" s="9"/>
      <c r="L269" s="9"/>
      <c r="M269" s="9"/>
      <c r="N269" s="9"/>
      <c r="R269" s="8"/>
      <c r="S269" s="8"/>
      <c r="T269" s="8"/>
    </row>
    <row r="270" spans="9:20" x14ac:dyDescent="0.2">
      <c r="I270" s="9"/>
      <c r="J270" s="9"/>
      <c r="K270" s="9"/>
      <c r="L270" s="9"/>
      <c r="M270" s="9"/>
      <c r="N270" s="9"/>
      <c r="R270" s="8"/>
      <c r="S270" s="8"/>
      <c r="T270" s="8"/>
    </row>
    <row r="271" spans="9:20" x14ac:dyDescent="0.2">
      <c r="I271" s="9"/>
      <c r="J271" s="9"/>
      <c r="K271" s="9"/>
      <c r="L271" s="9"/>
      <c r="M271" s="9"/>
      <c r="N271" s="9"/>
      <c r="R271" s="8"/>
      <c r="S271" s="8"/>
      <c r="T271" s="8"/>
    </row>
    <row r="272" spans="9:20" x14ac:dyDescent="0.2">
      <c r="I272" s="9"/>
      <c r="J272" s="9"/>
      <c r="K272" s="9"/>
      <c r="L272" s="9"/>
      <c r="M272" s="9"/>
      <c r="N272" s="9"/>
      <c r="R272" s="8"/>
      <c r="S272" s="8"/>
      <c r="T272" s="8"/>
    </row>
    <row r="273" spans="9:20" x14ac:dyDescent="0.2">
      <c r="I273" s="9"/>
      <c r="J273" s="9"/>
      <c r="K273" s="9"/>
      <c r="L273" s="9"/>
      <c r="M273" s="9"/>
      <c r="N273" s="9"/>
      <c r="R273" s="8"/>
      <c r="S273" s="8"/>
      <c r="T273" s="8"/>
    </row>
    <row r="274" spans="9:20" x14ac:dyDescent="0.2">
      <c r="I274" s="9"/>
      <c r="J274" s="9"/>
      <c r="K274" s="9"/>
      <c r="L274" s="9"/>
      <c r="M274" s="9"/>
      <c r="N274" s="9"/>
      <c r="R274" s="8"/>
      <c r="S274" s="8"/>
      <c r="T274" s="8"/>
    </row>
    <row r="275" spans="9:20" x14ac:dyDescent="0.2">
      <c r="I275" s="9"/>
      <c r="J275" s="9"/>
      <c r="K275" s="9"/>
      <c r="L275" s="9"/>
      <c r="M275" s="9"/>
      <c r="N275" s="9"/>
      <c r="R275" s="8"/>
      <c r="S275" s="8"/>
      <c r="T275" s="8"/>
    </row>
    <row r="276" spans="9:20" x14ac:dyDescent="0.2">
      <c r="I276" s="9"/>
      <c r="J276" s="9"/>
      <c r="K276" s="9"/>
      <c r="L276" s="9"/>
      <c r="M276" s="9"/>
      <c r="N276" s="9"/>
      <c r="R276" s="8"/>
      <c r="S276" s="8"/>
      <c r="T276" s="8"/>
    </row>
    <row r="277" spans="9:20" x14ac:dyDescent="0.2">
      <c r="I277" s="9"/>
      <c r="J277" s="9"/>
      <c r="K277" s="9"/>
      <c r="L277" s="9"/>
      <c r="M277" s="9"/>
      <c r="N277" s="9"/>
      <c r="R277" s="8"/>
      <c r="S277" s="8"/>
      <c r="T277" s="8"/>
    </row>
    <row r="278" spans="9:20" x14ac:dyDescent="0.2">
      <c r="I278" s="9"/>
      <c r="J278" s="9"/>
      <c r="K278" s="9"/>
      <c r="L278" s="9"/>
      <c r="M278" s="9"/>
      <c r="N278" s="9"/>
      <c r="R278" s="8"/>
      <c r="S278" s="8"/>
      <c r="T278" s="8"/>
    </row>
    <row r="279" spans="9:20" x14ac:dyDescent="0.2">
      <c r="I279" s="9"/>
      <c r="J279" s="9"/>
      <c r="K279" s="9"/>
      <c r="L279" s="9"/>
      <c r="M279" s="9"/>
      <c r="N279" s="9"/>
      <c r="R279" s="8"/>
      <c r="S279" s="8"/>
      <c r="T279" s="8"/>
    </row>
    <row r="280" spans="9:20" x14ac:dyDescent="0.2">
      <c r="I280" s="9"/>
      <c r="J280" s="9"/>
      <c r="K280" s="9"/>
      <c r="L280" s="9"/>
      <c r="M280" s="9"/>
      <c r="N280" s="9"/>
      <c r="R280" s="8"/>
      <c r="S280" s="8"/>
      <c r="T280" s="8"/>
    </row>
    <row r="281" spans="9:20" x14ac:dyDescent="0.2">
      <c r="I281" s="9"/>
      <c r="J281" s="9"/>
      <c r="K281" s="9"/>
      <c r="L281" s="9"/>
      <c r="M281" s="9"/>
      <c r="N281" s="9"/>
      <c r="R281" s="8"/>
      <c r="S281" s="8"/>
      <c r="T281" s="8"/>
    </row>
    <row r="282" spans="9:20" x14ac:dyDescent="0.2">
      <c r="I282" s="9"/>
      <c r="J282" s="9"/>
      <c r="K282" s="9"/>
      <c r="L282" s="9"/>
      <c r="M282" s="9"/>
      <c r="N282" s="9"/>
      <c r="R282" s="8"/>
      <c r="S282" s="8"/>
      <c r="T282" s="8"/>
    </row>
    <row r="283" spans="9:20" x14ac:dyDescent="0.2">
      <c r="I283" s="9"/>
      <c r="J283" s="9"/>
      <c r="K283" s="9"/>
      <c r="L283" s="9"/>
      <c r="M283" s="9"/>
      <c r="N283" s="9"/>
      <c r="R283" s="8"/>
      <c r="S283" s="8"/>
      <c r="T283" s="8"/>
    </row>
    <row r="284" spans="9:20" x14ac:dyDescent="0.2">
      <c r="I284" s="9"/>
      <c r="J284" s="9"/>
      <c r="K284" s="9"/>
      <c r="L284" s="9"/>
      <c r="M284" s="9"/>
      <c r="N284" s="9"/>
      <c r="R284" s="8"/>
      <c r="S284" s="8"/>
      <c r="T284" s="8"/>
    </row>
    <row r="285" spans="9:20" x14ac:dyDescent="0.2">
      <c r="I285" s="9"/>
      <c r="J285" s="9"/>
      <c r="K285" s="9"/>
      <c r="L285" s="9"/>
      <c r="M285" s="9"/>
      <c r="N285" s="9"/>
      <c r="R285" s="8"/>
      <c r="S285" s="8"/>
      <c r="T285" s="8"/>
    </row>
    <row r="286" spans="9:20" x14ac:dyDescent="0.2">
      <c r="I286" s="9"/>
      <c r="J286" s="9"/>
      <c r="K286" s="9"/>
      <c r="L286" s="9"/>
      <c r="M286" s="9"/>
      <c r="N286" s="9"/>
      <c r="R286" s="8"/>
      <c r="S286" s="8"/>
      <c r="T286" s="8"/>
    </row>
    <row r="287" spans="9:20" x14ac:dyDescent="0.2">
      <c r="I287" s="9"/>
      <c r="J287" s="9"/>
      <c r="K287" s="9"/>
      <c r="L287" s="9"/>
      <c r="M287" s="9"/>
      <c r="N287" s="9"/>
      <c r="R287" s="8"/>
      <c r="S287" s="8"/>
      <c r="T287" s="8"/>
    </row>
    <row r="288" spans="9:20" x14ac:dyDescent="0.2">
      <c r="I288" s="9"/>
      <c r="J288" s="9"/>
      <c r="K288" s="9"/>
      <c r="L288" s="9"/>
      <c r="M288" s="9"/>
      <c r="N288" s="9"/>
      <c r="R288" s="8"/>
      <c r="S288" s="8"/>
      <c r="T288" s="8"/>
    </row>
    <row r="289" spans="9:20" x14ac:dyDescent="0.2">
      <c r="I289" s="9"/>
      <c r="J289" s="9"/>
      <c r="K289" s="9"/>
      <c r="L289" s="9"/>
      <c r="M289" s="9"/>
      <c r="N289" s="9"/>
      <c r="R289" s="8"/>
      <c r="S289" s="8"/>
      <c r="T289" s="8"/>
    </row>
    <row r="290" spans="9:20" x14ac:dyDescent="0.2">
      <c r="I290" s="9"/>
      <c r="J290" s="9"/>
      <c r="K290" s="9"/>
      <c r="L290" s="9"/>
      <c r="M290" s="9"/>
      <c r="N290" s="9"/>
      <c r="R290" s="8"/>
      <c r="S290" s="8"/>
      <c r="T290" s="8"/>
    </row>
    <row r="291" spans="9:20" x14ac:dyDescent="0.2">
      <c r="I291" s="9"/>
      <c r="J291" s="9"/>
      <c r="K291" s="9"/>
      <c r="L291" s="9"/>
      <c r="M291" s="9"/>
      <c r="N291" s="9"/>
      <c r="R291" s="8"/>
      <c r="S291" s="8"/>
      <c r="T291" s="8"/>
    </row>
    <row r="292" spans="9:20" x14ac:dyDescent="0.2">
      <c r="I292" s="9"/>
      <c r="J292" s="9"/>
      <c r="K292" s="9"/>
      <c r="L292" s="9"/>
      <c r="M292" s="9"/>
      <c r="N292" s="9"/>
      <c r="R292" s="8"/>
      <c r="S292" s="8"/>
      <c r="T292" s="8"/>
    </row>
    <row r="293" spans="9:20" x14ac:dyDescent="0.2">
      <c r="I293" s="9"/>
      <c r="J293" s="9"/>
      <c r="K293" s="9"/>
      <c r="L293" s="9"/>
      <c r="M293" s="9"/>
      <c r="N293" s="9"/>
      <c r="R293" s="8"/>
      <c r="S293" s="8"/>
      <c r="T293" s="8"/>
    </row>
    <row r="294" spans="9:20" x14ac:dyDescent="0.2">
      <c r="I294" s="9"/>
      <c r="J294" s="9"/>
      <c r="K294" s="9"/>
      <c r="L294" s="9"/>
      <c r="M294" s="9"/>
      <c r="N294" s="9"/>
      <c r="R294" s="8"/>
      <c r="S294" s="8"/>
      <c r="T294" s="8"/>
    </row>
    <row r="295" spans="9:20" x14ac:dyDescent="0.2">
      <c r="I295" s="9"/>
      <c r="J295" s="9"/>
      <c r="K295" s="9"/>
      <c r="L295" s="9"/>
      <c r="M295" s="9"/>
      <c r="N295" s="9"/>
      <c r="R295" s="8"/>
      <c r="S295" s="8"/>
      <c r="T295" s="8"/>
    </row>
    <row r="296" spans="9:20" x14ac:dyDescent="0.2">
      <c r="I296" s="9"/>
      <c r="J296" s="9"/>
      <c r="K296" s="9"/>
      <c r="L296" s="9"/>
      <c r="M296" s="9"/>
      <c r="N296" s="9"/>
      <c r="R296" s="8"/>
      <c r="S296" s="8"/>
      <c r="T296" s="8"/>
    </row>
    <row r="297" spans="9:20" x14ac:dyDescent="0.2">
      <c r="I297" s="9"/>
      <c r="J297" s="9"/>
      <c r="K297" s="9"/>
      <c r="L297" s="9"/>
      <c r="M297" s="9"/>
      <c r="N297" s="9"/>
      <c r="R297" s="8"/>
      <c r="S297" s="8"/>
      <c r="T297" s="8"/>
    </row>
    <row r="298" spans="9:20" x14ac:dyDescent="0.2">
      <c r="I298" s="9"/>
      <c r="J298" s="9"/>
      <c r="K298" s="9"/>
      <c r="L298" s="9"/>
      <c r="M298" s="9"/>
      <c r="N298" s="9"/>
      <c r="R298" s="8"/>
      <c r="S298" s="8"/>
      <c r="T298" s="8"/>
    </row>
    <row r="299" spans="9:20" x14ac:dyDescent="0.2">
      <c r="I299" s="9"/>
      <c r="J299" s="9"/>
      <c r="K299" s="9"/>
      <c r="L299" s="9"/>
      <c r="M299" s="9"/>
      <c r="N299" s="9"/>
      <c r="R299" s="8"/>
      <c r="S299" s="8"/>
      <c r="T299" s="8"/>
    </row>
    <row r="300" spans="9:20" x14ac:dyDescent="0.2">
      <c r="I300" s="9"/>
      <c r="J300" s="9"/>
      <c r="K300" s="9"/>
      <c r="L300" s="9"/>
      <c r="M300" s="9"/>
      <c r="N300" s="9"/>
      <c r="R300" s="8"/>
      <c r="S300" s="8"/>
      <c r="T300" s="8"/>
    </row>
    <row r="301" spans="9:20" x14ac:dyDescent="0.2">
      <c r="I301" s="9"/>
      <c r="J301" s="9"/>
      <c r="K301" s="9"/>
      <c r="L301" s="9"/>
      <c r="M301" s="9"/>
      <c r="N301" s="9"/>
      <c r="R301" s="8"/>
      <c r="S301" s="8"/>
      <c r="T301" s="8"/>
    </row>
    <row r="302" spans="9:20" x14ac:dyDescent="0.2">
      <c r="I302" s="9"/>
      <c r="J302" s="9"/>
      <c r="K302" s="9"/>
      <c r="L302" s="9"/>
      <c r="M302" s="9"/>
      <c r="N302" s="9"/>
      <c r="R302" s="8"/>
      <c r="S302" s="8"/>
      <c r="T302" s="8"/>
    </row>
    <row r="303" spans="9:20" x14ac:dyDescent="0.2">
      <c r="I303" s="9"/>
      <c r="J303" s="9"/>
      <c r="K303" s="9"/>
      <c r="L303" s="9"/>
      <c r="M303" s="9"/>
      <c r="N303" s="9"/>
      <c r="R303" s="8"/>
      <c r="S303" s="8"/>
      <c r="T303" s="8"/>
    </row>
    <row r="304" spans="9:20" x14ac:dyDescent="0.2">
      <c r="I304" s="9"/>
      <c r="J304" s="9"/>
      <c r="K304" s="9"/>
      <c r="L304" s="9"/>
      <c r="M304" s="9"/>
      <c r="N304" s="9"/>
      <c r="R304" s="8"/>
      <c r="S304" s="8"/>
      <c r="T304" s="8"/>
    </row>
    <row r="305" spans="9:20" x14ac:dyDescent="0.2">
      <c r="I305" s="9"/>
      <c r="J305" s="9"/>
      <c r="K305" s="9"/>
      <c r="L305" s="9"/>
      <c r="M305" s="9"/>
      <c r="N305" s="9"/>
      <c r="R305" s="8"/>
      <c r="S305" s="8"/>
      <c r="T305" s="8"/>
    </row>
    <row r="306" spans="9:20" x14ac:dyDescent="0.2">
      <c r="I306" s="9"/>
      <c r="J306" s="9"/>
      <c r="K306" s="9"/>
      <c r="L306" s="9"/>
      <c r="M306" s="9"/>
      <c r="N306" s="9"/>
      <c r="R306" s="8"/>
      <c r="S306" s="8"/>
      <c r="T306" s="8"/>
    </row>
    <row r="307" spans="9:20" x14ac:dyDescent="0.2">
      <c r="I307" s="9"/>
      <c r="J307" s="9"/>
      <c r="K307" s="9"/>
      <c r="L307" s="9"/>
      <c r="M307" s="9"/>
      <c r="N307" s="9"/>
      <c r="R307" s="8"/>
      <c r="S307" s="8"/>
      <c r="T307" s="8"/>
    </row>
    <row r="308" spans="9:20" x14ac:dyDescent="0.2">
      <c r="I308" s="9"/>
      <c r="J308" s="9"/>
      <c r="K308" s="9"/>
      <c r="L308" s="9"/>
      <c r="M308" s="9"/>
      <c r="N308" s="9"/>
      <c r="R308" s="8"/>
      <c r="S308" s="8"/>
      <c r="T308" s="8"/>
    </row>
    <row r="309" spans="9:20" x14ac:dyDescent="0.2">
      <c r="I309" s="9"/>
      <c r="J309" s="9"/>
      <c r="K309" s="9"/>
      <c r="L309" s="9"/>
      <c r="M309" s="9"/>
      <c r="N309" s="9"/>
      <c r="R309" s="8"/>
      <c r="S309" s="8"/>
      <c r="T309" s="8"/>
    </row>
    <row r="310" spans="9:20" x14ac:dyDescent="0.2">
      <c r="I310" s="9"/>
      <c r="J310" s="9"/>
      <c r="K310" s="9"/>
      <c r="L310" s="9"/>
      <c r="M310" s="9"/>
      <c r="N310" s="9"/>
      <c r="R310" s="8"/>
      <c r="S310" s="8"/>
      <c r="T310" s="8"/>
    </row>
    <row r="311" spans="9:20" x14ac:dyDescent="0.2">
      <c r="I311" s="9"/>
      <c r="J311" s="9"/>
      <c r="K311" s="9"/>
      <c r="L311" s="9"/>
      <c r="M311" s="9"/>
      <c r="N311" s="9"/>
      <c r="R311" s="8"/>
      <c r="S311" s="8"/>
      <c r="T311" s="8"/>
    </row>
    <row r="312" spans="9:20" x14ac:dyDescent="0.2">
      <c r="I312" s="9"/>
      <c r="J312" s="9"/>
      <c r="K312" s="9"/>
      <c r="L312" s="9"/>
      <c r="M312" s="9"/>
      <c r="N312" s="9"/>
      <c r="R312" s="8"/>
      <c r="S312" s="8"/>
      <c r="T312" s="8"/>
    </row>
    <row r="313" spans="9:20" x14ac:dyDescent="0.2">
      <c r="I313" s="9"/>
      <c r="J313" s="9"/>
      <c r="K313" s="9"/>
      <c r="L313" s="9"/>
      <c r="M313" s="9"/>
      <c r="N313" s="9"/>
      <c r="R313" s="8"/>
      <c r="S313" s="8"/>
      <c r="T313" s="8"/>
    </row>
    <row r="314" spans="9:20" x14ac:dyDescent="0.2">
      <c r="I314" s="9"/>
      <c r="J314" s="9"/>
      <c r="K314" s="9"/>
      <c r="L314" s="9"/>
      <c r="M314" s="9"/>
      <c r="N314" s="9"/>
      <c r="R314" s="8"/>
      <c r="S314" s="8"/>
      <c r="T314" s="8"/>
    </row>
    <row r="315" spans="9:20" x14ac:dyDescent="0.2">
      <c r="I315" s="9"/>
      <c r="J315" s="9"/>
      <c r="K315" s="9"/>
      <c r="L315" s="9"/>
      <c r="M315" s="9"/>
      <c r="N315" s="9"/>
      <c r="R315" s="8"/>
      <c r="S315" s="8"/>
      <c r="T315" s="8"/>
    </row>
    <row r="316" spans="9:20" x14ac:dyDescent="0.2">
      <c r="I316" s="9"/>
      <c r="J316" s="9"/>
      <c r="K316" s="9"/>
      <c r="L316" s="9"/>
      <c r="M316" s="9"/>
      <c r="N316" s="9"/>
      <c r="R316" s="8"/>
      <c r="S316" s="8"/>
      <c r="T316" s="8"/>
    </row>
    <row r="317" spans="9:20" x14ac:dyDescent="0.2">
      <c r="I317" s="9"/>
      <c r="J317" s="9"/>
      <c r="K317" s="9"/>
      <c r="L317" s="9"/>
      <c r="M317" s="9"/>
      <c r="N317" s="9"/>
      <c r="R317" s="8"/>
      <c r="S317" s="8"/>
      <c r="T317" s="8"/>
    </row>
    <row r="318" spans="9:20" x14ac:dyDescent="0.2">
      <c r="I318" s="9"/>
      <c r="J318" s="9"/>
      <c r="K318" s="9"/>
      <c r="L318" s="9"/>
      <c r="M318" s="9"/>
      <c r="N318" s="9"/>
      <c r="R318" s="8"/>
      <c r="S318" s="8"/>
      <c r="T318" s="8"/>
    </row>
    <row r="319" spans="9:20" x14ac:dyDescent="0.2">
      <c r="I319" s="9"/>
      <c r="J319" s="9"/>
      <c r="K319" s="9"/>
      <c r="L319" s="9"/>
      <c r="M319" s="9"/>
      <c r="N319" s="9"/>
      <c r="R319" s="8"/>
      <c r="S319" s="8"/>
      <c r="T319" s="8"/>
    </row>
    <row r="320" spans="9:20" x14ac:dyDescent="0.2">
      <c r="I320" s="9"/>
      <c r="J320" s="9"/>
      <c r="K320" s="9"/>
      <c r="L320" s="9"/>
      <c r="M320" s="9"/>
      <c r="N320" s="9"/>
      <c r="R320" s="8"/>
      <c r="S320" s="8"/>
      <c r="T320" s="8"/>
    </row>
    <row r="321" spans="9:20" x14ac:dyDescent="0.2">
      <c r="I321" s="9"/>
      <c r="J321" s="9"/>
      <c r="K321" s="9"/>
      <c r="L321" s="9"/>
      <c r="M321" s="9"/>
      <c r="N321" s="9"/>
      <c r="R321" s="8"/>
      <c r="S321" s="8"/>
      <c r="T321" s="8"/>
    </row>
    <row r="322" spans="9:20" x14ac:dyDescent="0.2">
      <c r="I322" s="9"/>
      <c r="J322" s="9"/>
      <c r="K322" s="9"/>
      <c r="L322" s="9"/>
      <c r="M322" s="9"/>
      <c r="N322" s="9"/>
      <c r="R322" s="8"/>
      <c r="S322" s="8"/>
      <c r="T322" s="8"/>
    </row>
    <row r="323" spans="9:20" x14ac:dyDescent="0.2">
      <c r="I323" s="9"/>
      <c r="J323" s="9"/>
      <c r="K323" s="9"/>
      <c r="L323" s="9"/>
      <c r="M323" s="9"/>
      <c r="N323" s="9"/>
      <c r="R323" s="8"/>
      <c r="S323" s="8"/>
      <c r="T323" s="8"/>
    </row>
    <row r="324" spans="9:20" x14ac:dyDescent="0.2">
      <c r="I324" s="9"/>
      <c r="J324" s="9"/>
      <c r="K324" s="9"/>
      <c r="L324" s="9"/>
      <c r="M324" s="9"/>
      <c r="N324" s="9"/>
      <c r="R324" s="8"/>
      <c r="S324" s="8"/>
      <c r="T324" s="8"/>
    </row>
    <row r="325" spans="9:20" x14ac:dyDescent="0.2">
      <c r="I325" s="9"/>
      <c r="J325" s="9"/>
      <c r="K325" s="9"/>
      <c r="L325" s="9"/>
      <c r="M325" s="9"/>
      <c r="N325" s="9"/>
      <c r="R325" s="8"/>
      <c r="S325" s="8"/>
      <c r="T325" s="8"/>
    </row>
    <row r="326" spans="9:20" x14ac:dyDescent="0.2">
      <c r="I326" s="9"/>
      <c r="J326" s="9"/>
      <c r="K326" s="9"/>
      <c r="L326" s="9"/>
      <c r="M326" s="9"/>
      <c r="N326" s="9"/>
      <c r="R326" s="8"/>
      <c r="S326" s="8"/>
      <c r="T326" s="8"/>
    </row>
    <row r="327" spans="9:20" x14ac:dyDescent="0.2">
      <c r="I327" s="9"/>
      <c r="J327" s="9"/>
      <c r="K327" s="9"/>
      <c r="L327" s="9"/>
      <c r="M327" s="9"/>
      <c r="N327" s="9"/>
      <c r="R327" s="8"/>
      <c r="S327" s="8"/>
      <c r="T327" s="8"/>
    </row>
    <row r="328" spans="9:20" x14ac:dyDescent="0.2">
      <c r="I328" s="9"/>
      <c r="J328" s="9"/>
      <c r="K328" s="9"/>
      <c r="L328" s="9"/>
      <c r="M328" s="9"/>
      <c r="N328" s="9"/>
      <c r="R328" s="8"/>
      <c r="S328" s="8"/>
      <c r="T328" s="8"/>
    </row>
    <row r="329" spans="9:20" x14ac:dyDescent="0.2">
      <c r="I329" s="9"/>
      <c r="J329" s="9"/>
      <c r="K329" s="9"/>
      <c r="L329" s="9"/>
      <c r="M329" s="9"/>
      <c r="N329" s="9"/>
      <c r="R329" s="8"/>
      <c r="S329" s="8"/>
      <c r="T329" s="8"/>
    </row>
    <row r="330" spans="9:20" x14ac:dyDescent="0.2">
      <c r="I330" s="9"/>
      <c r="J330" s="9"/>
      <c r="K330" s="9"/>
      <c r="L330" s="9"/>
      <c r="M330" s="9"/>
      <c r="N330" s="9"/>
      <c r="R330" s="8"/>
      <c r="S330" s="8"/>
      <c r="T330" s="8"/>
    </row>
    <row r="331" spans="9:20" x14ac:dyDescent="0.2">
      <c r="I331" s="9"/>
      <c r="J331" s="9"/>
      <c r="K331" s="9"/>
      <c r="L331" s="9"/>
      <c r="M331" s="9"/>
      <c r="N331" s="9"/>
      <c r="R331" s="8"/>
      <c r="S331" s="8"/>
      <c r="T331" s="8"/>
    </row>
    <row r="332" spans="9:20" x14ac:dyDescent="0.2">
      <c r="I332" s="9"/>
      <c r="J332" s="9"/>
      <c r="K332" s="9"/>
      <c r="L332" s="9"/>
      <c r="M332" s="9"/>
      <c r="N332" s="9"/>
      <c r="R332" s="8"/>
      <c r="S332" s="8"/>
      <c r="T332" s="8"/>
    </row>
    <row r="333" spans="9:20" x14ac:dyDescent="0.2">
      <c r="I333" s="9"/>
      <c r="J333" s="9"/>
      <c r="K333" s="9"/>
      <c r="L333" s="9"/>
      <c r="M333" s="9"/>
      <c r="N333" s="9"/>
      <c r="R333" s="8"/>
      <c r="S333" s="8"/>
      <c r="T333" s="8"/>
    </row>
    <row r="334" spans="9:20" x14ac:dyDescent="0.2">
      <c r="I334" s="9"/>
      <c r="J334" s="9"/>
      <c r="K334" s="9"/>
      <c r="L334" s="9"/>
      <c r="M334" s="9"/>
      <c r="N334" s="9"/>
      <c r="R334" s="8"/>
      <c r="S334" s="8"/>
      <c r="T334" s="8"/>
    </row>
    <row r="335" spans="9:20" x14ac:dyDescent="0.2">
      <c r="I335" s="9"/>
      <c r="J335" s="9"/>
      <c r="K335" s="9"/>
      <c r="L335" s="9"/>
      <c r="M335" s="9"/>
      <c r="N335" s="9"/>
      <c r="R335" s="8"/>
      <c r="S335" s="8"/>
      <c r="T335" s="8"/>
    </row>
    <row r="336" spans="9:20" x14ac:dyDescent="0.2">
      <c r="I336" s="9"/>
      <c r="J336" s="9"/>
      <c r="K336" s="9"/>
      <c r="L336" s="9"/>
      <c r="M336" s="9"/>
      <c r="N336" s="9"/>
      <c r="R336" s="8"/>
      <c r="S336" s="8"/>
      <c r="T336" s="8"/>
    </row>
    <row r="337" spans="9:20" x14ac:dyDescent="0.2">
      <c r="I337" s="9"/>
      <c r="J337" s="9"/>
      <c r="K337" s="9"/>
      <c r="L337" s="9"/>
      <c r="M337" s="9"/>
      <c r="N337" s="9"/>
      <c r="R337" s="8"/>
      <c r="S337" s="8"/>
      <c r="T337" s="8"/>
    </row>
    <row r="338" spans="9:20" x14ac:dyDescent="0.2">
      <c r="I338" s="9"/>
      <c r="J338" s="9"/>
      <c r="K338" s="9"/>
      <c r="L338" s="9"/>
      <c r="M338" s="9"/>
      <c r="N338" s="9"/>
      <c r="R338" s="8"/>
      <c r="S338" s="8"/>
      <c r="T338" s="8"/>
    </row>
    <row r="339" spans="9:20" x14ac:dyDescent="0.2">
      <c r="I339" s="9"/>
      <c r="J339" s="9"/>
      <c r="K339" s="9"/>
      <c r="L339" s="9"/>
      <c r="M339" s="9"/>
      <c r="N339" s="9"/>
      <c r="R339" s="8"/>
      <c r="S339" s="8"/>
      <c r="T339" s="8"/>
    </row>
    <row r="340" spans="9:20" x14ac:dyDescent="0.2">
      <c r="I340" s="9"/>
      <c r="J340" s="9"/>
      <c r="K340" s="9"/>
      <c r="L340" s="9"/>
      <c r="M340" s="9"/>
      <c r="N340" s="9"/>
      <c r="R340" s="8"/>
      <c r="S340" s="8"/>
      <c r="T340" s="8"/>
    </row>
    <row r="341" spans="9:20" x14ac:dyDescent="0.2">
      <c r="I341" s="9"/>
      <c r="J341" s="9"/>
      <c r="K341" s="9"/>
      <c r="L341" s="9"/>
      <c r="M341" s="9"/>
      <c r="N341" s="9"/>
      <c r="R341" s="8"/>
      <c r="S341" s="8"/>
      <c r="T341" s="8"/>
    </row>
    <row r="342" spans="9:20" x14ac:dyDescent="0.2">
      <c r="I342" s="9"/>
      <c r="J342" s="9"/>
      <c r="K342" s="9"/>
      <c r="L342" s="9"/>
      <c r="M342" s="9"/>
      <c r="N342" s="9"/>
      <c r="R342" s="8"/>
      <c r="S342" s="8"/>
      <c r="T342" s="8"/>
    </row>
    <row r="343" spans="9:20" x14ac:dyDescent="0.2">
      <c r="I343" s="9"/>
      <c r="J343" s="9"/>
      <c r="K343" s="9"/>
      <c r="L343" s="9"/>
      <c r="M343" s="9"/>
      <c r="N343" s="9"/>
      <c r="R343" s="8"/>
      <c r="S343" s="8"/>
      <c r="T343" s="8"/>
    </row>
    <row r="344" spans="9:20" x14ac:dyDescent="0.2">
      <c r="I344" s="9"/>
      <c r="J344" s="9"/>
      <c r="K344" s="9"/>
      <c r="L344" s="9"/>
      <c r="M344" s="9"/>
      <c r="N344" s="9"/>
      <c r="R344" s="8"/>
      <c r="S344" s="8"/>
      <c r="T344" s="8"/>
    </row>
    <row r="345" spans="9:20" x14ac:dyDescent="0.2">
      <c r="I345" s="9"/>
      <c r="J345" s="9"/>
      <c r="K345" s="9"/>
      <c r="L345" s="9"/>
      <c r="M345" s="9"/>
      <c r="N345" s="9"/>
      <c r="R345" s="8"/>
      <c r="S345" s="8"/>
      <c r="T345" s="8"/>
    </row>
    <row r="346" spans="9:20" x14ac:dyDescent="0.2">
      <c r="I346" s="9"/>
      <c r="J346" s="9"/>
      <c r="K346" s="9"/>
      <c r="L346" s="9"/>
      <c r="M346" s="9"/>
      <c r="N346" s="9"/>
      <c r="R346" s="8"/>
      <c r="S346" s="8"/>
      <c r="T346" s="8"/>
    </row>
    <row r="347" spans="9:20" x14ac:dyDescent="0.2">
      <c r="I347" s="9"/>
      <c r="J347" s="9"/>
      <c r="K347" s="9"/>
      <c r="L347" s="9"/>
      <c r="M347" s="9"/>
      <c r="N347" s="9"/>
      <c r="R347" s="8"/>
      <c r="S347" s="8"/>
      <c r="T347" s="8"/>
    </row>
    <row r="348" spans="9:20" x14ac:dyDescent="0.2">
      <c r="I348" s="9"/>
      <c r="J348" s="9"/>
      <c r="K348" s="9"/>
      <c r="L348" s="9"/>
      <c r="M348" s="9"/>
      <c r="N348" s="9"/>
      <c r="R348" s="8"/>
      <c r="S348" s="8"/>
      <c r="T348" s="8"/>
    </row>
    <row r="349" spans="9:20" x14ac:dyDescent="0.2">
      <c r="I349" s="9"/>
      <c r="J349" s="9"/>
      <c r="K349" s="9"/>
      <c r="L349" s="9"/>
      <c r="M349" s="9"/>
      <c r="N349" s="9"/>
      <c r="R349" s="8"/>
      <c r="S349" s="8"/>
      <c r="T349" s="8"/>
    </row>
    <row r="350" spans="9:20" x14ac:dyDescent="0.2">
      <c r="I350" s="9"/>
      <c r="J350" s="9"/>
      <c r="K350" s="9"/>
      <c r="L350" s="9"/>
      <c r="M350" s="9"/>
      <c r="N350" s="9"/>
      <c r="R350" s="8"/>
      <c r="S350" s="8"/>
      <c r="T350" s="8"/>
    </row>
    <row r="351" spans="9:20" x14ac:dyDescent="0.2">
      <c r="I351" s="9"/>
      <c r="J351" s="9"/>
      <c r="K351" s="9"/>
      <c r="L351" s="9"/>
      <c r="M351" s="9"/>
      <c r="N351" s="9"/>
      <c r="R351" s="8"/>
      <c r="S351" s="8"/>
      <c r="T351" s="8"/>
    </row>
    <row r="352" spans="9:20" x14ac:dyDescent="0.2">
      <c r="I352" s="9"/>
      <c r="J352" s="9"/>
      <c r="K352" s="9"/>
      <c r="L352" s="9"/>
      <c r="M352" s="9"/>
      <c r="N352" s="9"/>
      <c r="R352" s="8"/>
      <c r="S352" s="8"/>
      <c r="T352" s="8"/>
    </row>
    <row r="353" spans="9:20" x14ac:dyDescent="0.2">
      <c r="I353" s="9"/>
      <c r="J353" s="9"/>
      <c r="K353" s="9"/>
      <c r="L353" s="9"/>
      <c r="M353" s="9"/>
      <c r="N353" s="9"/>
      <c r="R353" s="8"/>
      <c r="S353" s="8"/>
      <c r="T353" s="8"/>
    </row>
    <row r="354" spans="9:20" x14ac:dyDescent="0.2">
      <c r="I354" s="9"/>
      <c r="J354" s="9"/>
      <c r="K354" s="9"/>
      <c r="L354" s="9"/>
      <c r="M354" s="9"/>
      <c r="N354" s="9"/>
      <c r="R354" s="8"/>
      <c r="S354" s="8"/>
      <c r="T354" s="8"/>
    </row>
    <row r="355" spans="9:20" x14ac:dyDescent="0.2">
      <c r="I355" s="9"/>
      <c r="J355" s="9"/>
      <c r="K355" s="9"/>
      <c r="L355" s="9"/>
      <c r="M355" s="9"/>
      <c r="N355" s="9"/>
      <c r="R355" s="8"/>
      <c r="S355" s="8"/>
      <c r="T355" s="8"/>
    </row>
    <row r="356" spans="9:20" x14ac:dyDescent="0.2">
      <c r="I356" s="9"/>
      <c r="J356" s="9"/>
      <c r="K356" s="9"/>
      <c r="L356" s="9"/>
      <c r="M356" s="9"/>
      <c r="N356" s="9"/>
      <c r="R356" s="8"/>
      <c r="S356" s="8"/>
      <c r="T356" s="8"/>
    </row>
    <row r="357" spans="9:20" x14ac:dyDescent="0.2">
      <c r="I357" s="9"/>
      <c r="J357" s="9"/>
      <c r="K357" s="9"/>
      <c r="L357" s="9"/>
      <c r="M357" s="9"/>
      <c r="N357" s="9"/>
      <c r="R357" s="8"/>
      <c r="S357" s="8"/>
      <c r="T357" s="8"/>
    </row>
    <row r="358" spans="9:20" x14ac:dyDescent="0.2">
      <c r="I358" s="9"/>
      <c r="J358" s="9"/>
      <c r="K358" s="9"/>
      <c r="L358" s="9"/>
      <c r="M358" s="9"/>
      <c r="N358" s="9"/>
      <c r="R358" s="8"/>
      <c r="S358" s="8"/>
      <c r="T358" s="8"/>
    </row>
    <row r="359" spans="9:20" x14ac:dyDescent="0.2">
      <c r="I359" s="9"/>
      <c r="J359" s="9"/>
      <c r="K359" s="9"/>
      <c r="L359" s="9"/>
      <c r="M359" s="9"/>
      <c r="N359" s="9"/>
      <c r="R359" s="8"/>
      <c r="S359" s="8"/>
      <c r="T359" s="8"/>
    </row>
    <row r="360" spans="9:20" x14ac:dyDescent="0.2">
      <c r="I360" s="9"/>
      <c r="J360" s="9"/>
      <c r="K360" s="9"/>
      <c r="L360" s="9"/>
      <c r="M360" s="9"/>
      <c r="N360" s="9"/>
      <c r="R360" s="8"/>
      <c r="S360" s="8"/>
      <c r="T360" s="8"/>
    </row>
    <row r="361" spans="9:20" x14ac:dyDescent="0.2">
      <c r="I361" s="9"/>
      <c r="J361" s="9"/>
      <c r="K361" s="9"/>
      <c r="L361" s="9"/>
      <c r="M361" s="9"/>
      <c r="N361" s="9"/>
      <c r="R361" s="8"/>
      <c r="S361" s="8"/>
      <c r="T361" s="8"/>
    </row>
    <row r="362" spans="9:20" x14ac:dyDescent="0.2">
      <c r="I362" s="9"/>
      <c r="J362" s="9"/>
      <c r="K362" s="9"/>
      <c r="L362" s="9"/>
      <c r="M362" s="9"/>
      <c r="N362" s="9"/>
      <c r="R362" s="8"/>
      <c r="S362" s="8"/>
      <c r="T362" s="8"/>
    </row>
    <row r="363" spans="9:20" x14ac:dyDescent="0.2">
      <c r="I363" s="9"/>
      <c r="J363" s="9"/>
      <c r="K363" s="9"/>
      <c r="L363" s="9"/>
      <c r="M363" s="9"/>
      <c r="N363" s="9"/>
      <c r="R363" s="8"/>
      <c r="S363" s="8"/>
      <c r="T363" s="8"/>
    </row>
    <row r="364" spans="9:20" x14ac:dyDescent="0.2">
      <c r="I364" s="9"/>
      <c r="J364" s="9"/>
      <c r="K364" s="9"/>
      <c r="L364" s="9"/>
      <c r="M364" s="9"/>
      <c r="N364" s="9"/>
      <c r="R364" s="8"/>
      <c r="S364" s="8"/>
      <c r="T364" s="8"/>
    </row>
    <row r="365" spans="9:20" x14ac:dyDescent="0.2">
      <c r="I365" s="9"/>
      <c r="J365" s="9"/>
      <c r="K365" s="9"/>
      <c r="L365" s="9"/>
      <c r="M365" s="9"/>
      <c r="N365" s="9"/>
      <c r="R365" s="8"/>
      <c r="S365" s="8"/>
      <c r="T365" s="8"/>
    </row>
    <row r="366" spans="9:20" x14ac:dyDescent="0.2">
      <c r="I366" s="9"/>
      <c r="J366" s="9"/>
      <c r="K366" s="9"/>
      <c r="L366" s="9"/>
      <c r="M366" s="9"/>
      <c r="N366" s="9"/>
      <c r="R366" s="8"/>
      <c r="S366" s="8"/>
      <c r="T366" s="8"/>
    </row>
    <row r="367" spans="9:20" x14ac:dyDescent="0.2">
      <c r="I367" s="9"/>
      <c r="J367" s="9"/>
      <c r="K367" s="9"/>
      <c r="L367" s="9"/>
      <c r="M367" s="9"/>
      <c r="N367" s="9"/>
      <c r="R367" s="8"/>
      <c r="S367" s="8"/>
      <c r="T367" s="8"/>
    </row>
    <row r="368" spans="9:20" x14ac:dyDescent="0.2">
      <c r="I368" s="9"/>
      <c r="J368" s="9"/>
      <c r="K368" s="9"/>
      <c r="L368" s="9"/>
      <c r="M368" s="9"/>
      <c r="N368" s="9"/>
      <c r="R368" s="8"/>
      <c r="S368" s="8"/>
      <c r="T368" s="8"/>
    </row>
    <row r="369" spans="9:20" x14ac:dyDescent="0.2">
      <c r="I369" s="9"/>
      <c r="J369" s="9"/>
      <c r="K369" s="9"/>
      <c r="L369" s="9"/>
      <c r="M369" s="9"/>
      <c r="N369" s="9"/>
      <c r="R369" s="8"/>
      <c r="S369" s="8"/>
      <c r="T369" s="8"/>
    </row>
    <row r="370" spans="9:20" x14ac:dyDescent="0.2">
      <c r="I370" s="9"/>
      <c r="J370" s="9"/>
      <c r="K370" s="9"/>
      <c r="L370" s="9"/>
      <c r="M370" s="9"/>
      <c r="N370" s="9"/>
      <c r="R370" s="8"/>
      <c r="S370" s="8"/>
      <c r="T370" s="8"/>
    </row>
    <row r="371" spans="9:20" x14ac:dyDescent="0.2">
      <c r="I371" s="9"/>
      <c r="J371" s="9"/>
      <c r="K371" s="9"/>
      <c r="L371" s="9"/>
      <c r="M371" s="9"/>
      <c r="N371" s="9"/>
      <c r="R371" s="8"/>
      <c r="S371" s="8"/>
      <c r="T371" s="8"/>
    </row>
    <row r="372" spans="9:20" x14ac:dyDescent="0.2">
      <c r="I372" s="9"/>
      <c r="J372" s="9"/>
      <c r="K372" s="9"/>
      <c r="L372" s="9"/>
      <c r="M372" s="9"/>
      <c r="N372" s="9"/>
      <c r="R372" s="8"/>
      <c r="S372" s="8"/>
      <c r="T372" s="8"/>
    </row>
    <row r="373" spans="9:20" x14ac:dyDescent="0.2">
      <c r="I373" s="9"/>
      <c r="J373" s="9"/>
      <c r="K373" s="9"/>
      <c r="L373" s="9"/>
      <c r="M373" s="9"/>
      <c r="N373" s="9"/>
      <c r="R373" s="8"/>
      <c r="S373" s="8"/>
      <c r="T373" s="8"/>
    </row>
    <row r="374" spans="9:20" x14ac:dyDescent="0.2">
      <c r="I374" s="9"/>
      <c r="J374" s="9"/>
      <c r="K374" s="9"/>
      <c r="L374" s="9"/>
      <c r="M374" s="9"/>
      <c r="N374" s="9"/>
      <c r="R374" s="8"/>
      <c r="S374" s="8"/>
      <c r="T374" s="8"/>
    </row>
    <row r="375" spans="9:20" x14ac:dyDescent="0.2">
      <c r="I375" s="9"/>
      <c r="J375" s="9"/>
      <c r="K375" s="9"/>
      <c r="L375" s="9"/>
      <c r="M375" s="9"/>
      <c r="N375" s="9"/>
      <c r="R375" s="8"/>
      <c r="S375" s="8"/>
      <c r="T375" s="8"/>
    </row>
    <row r="376" spans="9:20" x14ac:dyDescent="0.2">
      <c r="I376" s="9"/>
      <c r="J376" s="9"/>
      <c r="K376" s="9"/>
      <c r="L376" s="9"/>
      <c r="M376" s="9"/>
      <c r="N376" s="9"/>
      <c r="R376" s="8"/>
      <c r="S376" s="8"/>
      <c r="T376" s="8"/>
    </row>
    <row r="377" spans="9:20" x14ac:dyDescent="0.2">
      <c r="I377" s="9"/>
      <c r="J377" s="9"/>
      <c r="K377" s="9"/>
      <c r="L377" s="9"/>
      <c r="M377" s="9"/>
      <c r="N377" s="9"/>
      <c r="R377" s="8"/>
      <c r="S377" s="8"/>
      <c r="T377" s="8"/>
    </row>
    <row r="378" spans="9:20" x14ac:dyDescent="0.2">
      <c r="I378" s="9"/>
      <c r="J378" s="9"/>
      <c r="K378" s="9"/>
      <c r="L378" s="9"/>
      <c r="M378" s="9"/>
      <c r="N378" s="9"/>
      <c r="R378" s="8"/>
      <c r="S378" s="8"/>
      <c r="T378" s="8"/>
    </row>
    <row r="379" spans="9:20" x14ac:dyDescent="0.2">
      <c r="I379" s="9"/>
      <c r="J379" s="9"/>
      <c r="K379" s="9"/>
      <c r="L379" s="9"/>
      <c r="M379" s="9"/>
      <c r="N379" s="9"/>
      <c r="R379" s="8"/>
      <c r="S379" s="8"/>
      <c r="T379" s="8"/>
    </row>
    <row r="380" spans="9:20" x14ac:dyDescent="0.2">
      <c r="I380" s="9"/>
      <c r="J380" s="9"/>
      <c r="K380" s="9"/>
      <c r="L380" s="9"/>
      <c r="M380" s="9"/>
      <c r="N380" s="9"/>
      <c r="R380" s="8"/>
      <c r="S380" s="8"/>
      <c r="T380" s="8"/>
    </row>
    <row r="381" spans="9:20" x14ac:dyDescent="0.2">
      <c r="I381" s="9"/>
      <c r="J381" s="9"/>
      <c r="K381" s="9"/>
      <c r="L381" s="9"/>
      <c r="M381" s="9"/>
      <c r="N381" s="9"/>
      <c r="R381" s="8"/>
      <c r="S381" s="8"/>
      <c r="T381" s="8"/>
    </row>
    <row r="382" spans="9:20" x14ac:dyDescent="0.2">
      <c r="I382" s="9"/>
      <c r="J382" s="9"/>
      <c r="K382" s="9"/>
      <c r="L382" s="9"/>
      <c r="M382" s="9"/>
      <c r="N382" s="9"/>
      <c r="R382" s="8"/>
      <c r="S382" s="8"/>
      <c r="T382" s="8"/>
    </row>
    <row r="383" spans="9:20" x14ac:dyDescent="0.2">
      <c r="I383" s="9"/>
      <c r="J383" s="9"/>
      <c r="K383" s="9"/>
      <c r="L383" s="9"/>
      <c r="M383" s="9"/>
      <c r="N383" s="9"/>
      <c r="R383" s="8"/>
      <c r="S383" s="8"/>
      <c r="T383" s="8"/>
    </row>
    <row r="384" spans="9:20" x14ac:dyDescent="0.2">
      <c r="I384" s="9"/>
      <c r="J384" s="9"/>
      <c r="K384" s="9"/>
      <c r="L384" s="9"/>
      <c r="M384" s="9"/>
      <c r="N384" s="9"/>
      <c r="R384" s="8"/>
      <c r="S384" s="8"/>
      <c r="T384" s="8"/>
    </row>
  </sheetData>
  <protectedRanges>
    <protectedRange password="C48B" sqref="B20:H22" name="Intervalo3"/>
    <protectedRange password="C48B" sqref="B15:H16" name="Intervalo2"/>
  </protectedRanges>
  <customSheetViews>
    <customSheetView guid="{123C4F1C-4895-46DD-B59E-C96253E6CB23}" showGridLines="0" fitToPage="1" showRuler="0" topLeftCell="B1">
      <pane xSplit="8" ySplit="7" topLeftCell="O11" activePane="bottomRight" state="frozen"/>
      <selection pane="bottomRight" activeCell="R23" sqref="R23"/>
      <pageMargins left="0" right="0" top="0" bottom="0" header="0" footer="0"/>
      <pageSetup paperSize="9" scale="65" orientation="portrait" blackAndWhite="1" r:id="rId1"/>
      <headerFooter alignWithMargins="0"/>
    </customSheetView>
    <customSheetView guid="{87BBC8EC-E3DC-4681-ADCF-155BFED637D3}" showGridLines="0" fitToPage="1" hiddenColumns="1" showRuler="0" topLeftCell="B1">
      <pane xSplit="8" ySplit="7" topLeftCell="N89" activePane="bottomRight" state="frozen"/>
      <selection pane="bottomRight" activeCell="R100" sqref="R100"/>
      <pageMargins left="0" right="0" top="0" bottom="0" header="0" footer="0"/>
      <pageSetup paperSize="9" scale="65" orientation="portrait" blackAndWhite="1" r:id="rId2"/>
      <headerFooter alignWithMargins="0"/>
    </customSheetView>
    <customSheetView guid="{541190A4-AA4E-4E6C-B49E-AED913B3B1F4}" showGridLines="0" fitToPage="1" hiddenColumns="1" showRuler="0" topLeftCell="B1">
      <pane xSplit="8" ySplit="7" topLeftCell="N89" activePane="bottomRight" state="frozen"/>
      <selection pane="bottomRight" activeCell="R100" sqref="R100"/>
      <pageMargins left="0" right="0" top="0" bottom="0" header="0" footer="0"/>
      <pageSetup paperSize="9" scale="65" orientation="portrait" blackAndWhite="1" r:id="rId3"/>
      <headerFooter alignWithMargins="0"/>
    </customSheetView>
    <customSheetView guid="{2F2F03EC-AF42-4C78-9418-7B0DEBF08052}" showGridLines="0" fitToPage="1" topLeftCell="B1">
      <pane xSplit="8" ySplit="7" topLeftCell="V47" activePane="bottomRight" state="frozen"/>
      <selection pane="bottomRight" activeCell="V56" sqref="V56"/>
      <pageMargins left="0" right="0" top="0" bottom="0" header="0" footer="0"/>
      <pageSetup paperSize="9" scale="65" orientation="portrait" blackAndWhite="1" r:id="rId4"/>
      <headerFooter alignWithMargins="0"/>
    </customSheetView>
  </customSheetViews>
  <mergeCells count="3">
    <mergeCell ref="B2:Y2"/>
    <mergeCell ref="B6:H7"/>
    <mergeCell ref="B3:AB3"/>
  </mergeCells>
  <phoneticPr fontId="3" type="noConversion"/>
  <pageMargins left="0.15748031496062992" right="0.15748031496062992" top="0.15748031496062992" bottom="0.23622047244094491" header="0.15748031496062992" footer="0.19685039370078741"/>
  <pageSetup paperSize="9" scale="15" orientation="portrait" blackAndWhite="1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593C"/>
    <pageSetUpPr fitToPage="1"/>
  </sheetPr>
  <dimension ref="A1:BR65483"/>
  <sheetViews>
    <sheetView showGridLines="0" zoomScaleNormal="100" workbookViewId="0">
      <pane xSplit="7" ySplit="7" topLeftCell="BI45" activePane="bottomRight" state="frozen"/>
      <selection pane="topRight" activeCell="M20" sqref="M20"/>
      <selection pane="bottomLeft" activeCell="M20" sqref="M20"/>
      <selection pane="bottomRight" activeCell="BR9" sqref="BR9"/>
    </sheetView>
  </sheetViews>
  <sheetFormatPr defaultColWidth="9.1796875" defaultRowHeight="10.5" x14ac:dyDescent="0.25"/>
  <cols>
    <col min="1" max="6" width="1.54296875" style="8" customWidth="1"/>
    <col min="7" max="7" width="41.81640625" style="8" customWidth="1"/>
    <col min="8" max="12" width="10" style="8" bestFit="1" customWidth="1"/>
    <col min="13" max="13" width="10" style="106" bestFit="1" customWidth="1"/>
    <col min="14" max="14" width="10" style="40" bestFit="1" customWidth="1"/>
    <col min="15" max="16" width="10" style="8" bestFit="1" customWidth="1"/>
    <col min="17" max="17" width="10" style="40" bestFit="1" customWidth="1"/>
    <col min="18" max="35" width="10" style="8" bestFit="1" customWidth="1"/>
    <col min="36" max="51" width="9.1796875" style="8"/>
    <col min="52" max="54" width="9.1796875" style="8" customWidth="1"/>
    <col min="55" max="55" width="9.1796875" style="8"/>
    <col min="56" max="56" width="9.1796875" style="8" customWidth="1"/>
    <col min="57" max="58" width="9.81640625" style="8" customWidth="1"/>
    <col min="59" max="59" width="9.81640625" style="8" bestFit="1" customWidth="1"/>
    <col min="60" max="61" width="9.81640625" style="8" customWidth="1"/>
    <col min="62" max="62" width="9.1796875" style="8" customWidth="1"/>
    <col min="63" max="63" width="9.1796875" style="8"/>
    <col min="64" max="65" width="9.81640625" style="8" customWidth="1"/>
    <col min="66" max="66" width="9.1796875" style="8" customWidth="1"/>
    <col min="67" max="16384" width="9.1796875" style="8"/>
  </cols>
  <sheetData>
    <row r="1" spans="1:70" ht="11" customHeight="1" x14ac:dyDescent="0.25"/>
    <row r="2" spans="1:70" ht="11" customHeight="1" x14ac:dyDescent="0.3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</row>
    <row r="3" spans="1:70" ht="11" customHeight="1" x14ac:dyDescent="0.3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145"/>
      <c r="AC3" s="145"/>
      <c r="AD3" s="145"/>
      <c r="AE3" s="145"/>
      <c r="AF3" s="145"/>
      <c r="AG3" s="145"/>
      <c r="AH3" s="145"/>
      <c r="AI3" s="145"/>
    </row>
    <row r="4" spans="1:70" ht="11" customHeight="1" x14ac:dyDescent="0.2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T4" s="9"/>
    </row>
    <row r="5" spans="1:70" ht="11" customHeight="1" x14ac:dyDescent="0.2">
      <c r="A5" s="128"/>
      <c r="B5" s="128"/>
      <c r="C5" s="128"/>
      <c r="D5" s="128"/>
      <c r="E5" s="128"/>
      <c r="F5" s="128"/>
      <c r="G5" s="12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</row>
    <row r="6" spans="1:70" ht="12.75" customHeight="1" x14ac:dyDescent="0.25">
      <c r="A6" s="242" t="s">
        <v>19</v>
      </c>
      <c r="B6" s="242"/>
      <c r="C6" s="242"/>
      <c r="D6" s="242"/>
      <c r="E6" s="242"/>
      <c r="F6" s="242"/>
      <c r="G6" s="242"/>
      <c r="H6" s="11" t="str">
        <f>'Balanço Patrimonial Ativo'!I6</f>
        <v>BR GAAP</v>
      </c>
      <c r="I6" s="11" t="str">
        <f>'Balanço Patrimonial Ativo'!J6</f>
        <v>BR GAAP</v>
      </c>
      <c r="J6" s="11" t="str">
        <f>'Balanço Patrimonial Ativo'!K6</f>
        <v>BR GAAP</v>
      </c>
      <c r="K6" s="11" t="str">
        <f>'Balanço Patrimonial Ativo'!L6</f>
        <v>IFRS</v>
      </c>
      <c r="L6" s="11" t="str">
        <f>'Balanço Patrimonial Ativo'!M6</f>
        <v>IFRS</v>
      </c>
      <c r="M6" s="11" t="str">
        <f>'Balanço Patrimonial Ativo'!N6</f>
        <v>IFRS</v>
      </c>
      <c r="N6" s="11" t="str">
        <f>'Balanço Patrimonial Ativo'!O6</f>
        <v>IFRS</v>
      </c>
      <c r="O6" s="11" t="str">
        <f>'Balanço Patrimonial Ativo'!P6</f>
        <v>IFRS</v>
      </c>
      <c r="P6" s="11" t="str">
        <f>'Balanço Patrimonial Ativo'!Q6</f>
        <v>IFRS</v>
      </c>
      <c r="Q6" s="11" t="str">
        <f>'Balanço Patrimonial Ativo'!R6</f>
        <v>IFRS</v>
      </c>
      <c r="R6" s="11" t="str">
        <f>'Balanço Patrimonial Ativo'!S6</f>
        <v>IFRS</v>
      </c>
      <c r="S6" s="11" t="str">
        <f>'Balanço Patrimonial Ativo'!T6</f>
        <v>IFRS</v>
      </c>
      <c r="T6" s="11" t="str">
        <f>'Balanço Patrimonial Ativo'!U6</f>
        <v>IFRS</v>
      </c>
      <c r="U6" s="11" t="str">
        <f>'Balanço Patrimonial Ativo'!V6</f>
        <v>IFRS</v>
      </c>
      <c r="V6" s="11" t="str">
        <f>'Balanço Patrimonial Ativo'!W6</f>
        <v>IFRS</v>
      </c>
      <c r="W6" s="11" t="str">
        <f>'Balanço Patrimonial Ativo'!X6</f>
        <v>IFRS</v>
      </c>
      <c r="X6" s="11" t="str">
        <f>'Balanço Patrimonial Ativo'!Y6</f>
        <v>IFRS</v>
      </c>
      <c r="Y6" s="11" t="str">
        <f>'Balanço Patrimonial Ativo'!Z6</f>
        <v>IFRS</v>
      </c>
      <c r="Z6" s="11" t="str">
        <f>'Balanço Patrimonial Ativo'!AA6</f>
        <v>IFRS</v>
      </c>
      <c r="AA6" s="11" t="str">
        <f>'Balanço Patrimonial Ativo'!AB6</f>
        <v>IFRS</v>
      </c>
      <c r="AB6" s="11" t="str">
        <f>'Balanço Patrimonial Ativo'!AC6</f>
        <v>IFRS</v>
      </c>
      <c r="AC6" s="11" t="str">
        <f>'Balanço Patrimonial Ativo'!AD6</f>
        <v>IFRS</v>
      </c>
      <c r="AD6" s="11" t="str">
        <f>'Balanço Patrimonial Ativo'!AE6</f>
        <v>IFRS</v>
      </c>
      <c r="AE6" s="11" t="str">
        <f>'Balanço Patrimonial Ativo'!AF6</f>
        <v>IFRS</v>
      </c>
      <c r="AF6" s="11" t="str">
        <f>'Balanço Patrimonial Ativo'!AG6</f>
        <v>IFRS</v>
      </c>
      <c r="AG6" s="11" t="str">
        <f>'Balanço Patrimonial Ativo'!AH6</f>
        <v>IFRS</v>
      </c>
      <c r="AH6" s="11" t="str">
        <f>'Balanço Patrimonial Ativo'!AI6</f>
        <v>IFRS</v>
      </c>
      <c r="AI6" s="11" t="str">
        <f>'Balanço Patrimonial Ativo'!AJ6</f>
        <v>IFRS</v>
      </c>
      <c r="AJ6" s="11" t="str">
        <f>'Balanço Patrimonial Ativo'!AK6</f>
        <v>IFRS</v>
      </c>
      <c r="AK6" s="11" t="str">
        <f>'Balanço Patrimonial Ativo'!AL6</f>
        <v>IFRS</v>
      </c>
      <c r="AL6" s="11" t="str">
        <f>'Balanço Patrimonial Ativo'!AM6</f>
        <v>IFRS</v>
      </c>
      <c r="AM6" s="11" t="str">
        <f>'Balanço Patrimonial Ativo'!AN6</f>
        <v>IFRS</v>
      </c>
      <c r="AN6" s="11" t="str">
        <f>'Balanço Patrimonial Ativo'!AO6</f>
        <v>IFRS</v>
      </c>
      <c r="AO6" s="11" t="str">
        <f>'Balanço Patrimonial Ativo'!AP6</f>
        <v>IFRS</v>
      </c>
      <c r="AP6" s="11" t="str">
        <f>'Balanço Patrimonial Ativo'!AQ6</f>
        <v>IFRS</v>
      </c>
      <c r="AQ6" s="11" t="str">
        <f>'Balanço Patrimonial Ativo'!AR6</f>
        <v>IFRS</v>
      </c>
      <c r="AR6" s="11" t="str">
        <f>'Balanço Patrimonial Ativo'!AS6</f>
        <v>IFRS</v>
      </c>
      <c r="AS6" s="11" t="str">
        <f>'Balanço Patrimonial Ativo'!AT6</f>
        <v>IFRS</v>
      </c>
      <c r="AT6" s="11" t="str">
        <f>'Balanço Patrimonial Ativo'!AU6</f>
        <v>IFRS</v>
      </c>
      <c r="AU6" s="11" t="str">
        <f>'Balanço Patrimonial Ativo'!AV6</f>
        <v>IFRS</v>
      </c>
      <c r="AV6" s="11" t="str">
        <f>'Balanço Patrimonial Ativo'!AW6</f>
        <v>IFRS</v>
      </c>
      <c r="AW6" s="11" t="str">
        <f>'Balanço Patrimonial Ativo'!AX6</f>
        <v>IFRS</v>
      </c>
      <c r="AX6" s="11" t="str">
        <f>'Balanço Patrimonial Ativo'!AY6</f>
        <v>IFRS</v>
      </c>
      <c r="AY6" s="11" t="str">
        <f>'Balanço Patrimonial Ativo'!AZ6</f>
        <v>IFRS</v>
      </c>
      <c r="AZ6" s="11" t="str">
        <f>'Balanço Patrimonial Ativo'!BA6</f>
        <v>IFRS</v>
      </c>
      <c r="BA6" s="11" t="str">
        <f>'Balanço Patrimonial Ativo'!BB6</f>
        <v>IFRS</v>
      </c>
      <c r="BB6" s="11" t="str">
        <f>'Balanço Patrimonial Ativo'!BC6</f>
        <v>IFRS</v>
      </c>
      <c r="BC6" s="11" t="str">
        <f>'Balanço Patrimonial Ativo'!BD6</f>
        <v>IFRS</v>
      </c>
      <c r="BD6" s="11" t="str">
        <f>'Balanço Patrimonial Ativo'!BE6</f>
        <v>IFRS</v>
      </c>
      <c r="BE6" s="11" t="str">
        <f>'Balanço Patrimonial Ativo'!BF6</f>
        <v>IFRS</v>
      </c>
      <c r="BF6" s="11" t="str">
        <f>'Balanço Patrimonial Ativo'!BG6</f>
        <v>IFRS</v>
      </c>
      <c r="BG6" s="11" t="str">
        <f>'Balanço Patrimonial Ativo'!BH6</f>
        <v>IFRS</v>
      </c>
      <c r="BH6" s="11" t="str">
        <f>'Balanço Patrimonial Ativo'!BI6</f>
        <v>IFRS</v>
      </c>
      <c r="BI6" s="11" t="str">
        <f>'Balanço Patrimonial Ativo'!BJ6</f>
        <v>IFRS</v>
      </c>
      <c r="BJ6" s="11" t="str">
        <f>'Balanço Patrimonial Ativo'!BK6</f>
        <v>IFRS</v>
      </c>
      <c r="BK6" s="11" t="str">
        <f>'Balanço Patrimonial Ativo'!BL6</f>
        <v>IFRS</v>
      </c>
      <c r="BL6" s="11" t="str">
        <f>'Balanço Patrimonial Ativo'!BM6</f>
        <v>IFRS</v>
      </c>
      <c r="BM6" s="11" t="str">
        <f>'Balanço Patrimonial Ativo'!BN6</f>
        <v>IFRS</v>
      </c>
      <c r="BN6" s="11" t="str">
        <f>'Balanço Patrimonial Ativo'!BO6</f>
        <v>IFRS</v>
      </c>
      <c r="BO6" s="11" t="str">
        <f>'Balanço Patrimonial Ativo'!BP6</f>
        <v>IFRS</v>
      </c>
      <c r="BP6" s="11" t="str">
        <f>'[3]Balanço Patrimonial Ativo'!BQ6</f>
        <v>IFRS</v>
      </c>
      <c r="BQ6" s="11" t="s">
        <v>21</v>
      </c>
    </row>
    <row r="7" spans="1:70" ht="11.25" customHeight="1" x14ac:dyDescent="0.25">
      <c r="A7" s="243"/>
      <c r="B7" s="243"/>
      <c r="C7" s="243"/>
      <c r="D7" s="243"/>
      <c r="E7" s="243"/>
      <c r="F7" s="243"/>
      <c r="G7" s="243"/>
      <c r="H7" s="11" t="str">
        <f>'Balanço Patrimonial Ativo'!I7</f>
        <v>01T09</v>
      </c>
      <c r="I7" s="11" t="str">
        <f>'Balanço Patrimonial Ativo'!J7</f>
        <v>02T09</v>
      </c>
      <c r="J7" s="11" t="str">
        <f>'Balanço Patrimonial Ativo'!K7</f>
        <v>03T09</v>
      </c>
      <c r="K7" s="11" t="str">
        <f>'Balanço Patrimonial Ativo'!L7</f>
        <v>2009</v>
      </c>
      <c r="L7" s="11" t="s">
        <v>26</v>
      </c>
      <c r="M7" s="11" t="s">
        <v>27</v>
      </c>
      <c r="N7" s="11" t="s">
        <v>28</v>
      </c>
      <c r="O7" s="209" t="s">
        <v>29</v>
      </c>
      <c r="P7" s="11" t="s">
        <v>30</v>
      </c>
      <c r="Q7" s="11" t="s">
        <v>31</v>
      </c>
      <c r="R7" s="11" t="s">
        <v>32</v>
      </c>
      <c r="S7" s="209" t="s">
        <v>33</v>
      </c>
      <c r="T7" s="11" t="s">
        <v>34</v>
      </c>
      <c r="U7" s="11" t="s">
        <v>35</v>
      </c>
      <c r="V7" s="11" t="s">
        <v>36</v>
      </c>
      <c r="W7" s="209" t="s">
        <v>37</v>
      </c>
      <c r="X7" s="11" t="s">
        <v>38</v>
      </c>
      <c r="Y7" s="11" t="s">
        <v>39</v>
      </c>
      <c r="Z7" s="11" t="s">
        <v>40</v>
      </c>
      <c r="AA7" s="209" t="s">
        <v>41</v>
      </c>
      <c r="AB7" s="11" t="s">
        <v>42</v>
      </c>
      <c r="AC7" s="11" t="s">
        <v>43</v>
      </c>
      <c r="AD7" s="11" t="s">
        <v>44</v>
      </c>
      <c r="AE7" s="209" t="s">
        <v>45</v>
      </c>
      <c r="AF7" s="11" t="s">
        <v>46</v>
      </c>
      <c r="AG7" s="11" t="s">
        <v>47</v>
      </c>
      <c r="AH7" s="11" t="s">
        <v>48</v>
      </c>
      <c r="AI7" s="209" t="s">
        <v>49</v>
      </c>
      <c r="AJ7" s="11" t="s">
        <v>50</v>
      </c>
      <c r="AK7" s="11" t="s">
        <v>51</v>
      </c>
      <c r="AL7" s="11" t="s">
        <v>52</v>
      </c>
      <c r="AM7" s="209" t="s">
        <v>53</v>
      </c>
      <c r="AN7" s="11" t="s">
        <v>54</v>
      </c>
      <c r="AO7" s="11" t="s">
        <v>55</v>
      </c>
      <c r="AP7" s="11" t="s">
        <v>56</v>
      </c>
      <c r="AQ7" s="209" t="s">
        <v>57</v>
      </c>
      <c r="AR7" s="11" t="s">
        <v>58</v>
      </c>
      <c r="AS7" s="11" t="s">
        <v>59</v>
      </c>
      <c r="AT7" s="11" t="s">
        <v>60</v>
      </c>
      <c r="AU7" s="209" t="s">
        <v>61</v>
      </c>
      <c r="AV7" s="11" t="s">
        <v>62</v>
      </c>
      <c r="AW7" s="11" t="s">
        <v>63</v>
      </c>
      <c r="AX7" s="11" t="s">
        <v>64</v>
      </c>
      <c r="AY7" s="209" t="s">
        <v>65</v>
      </c>
      <c r="AZ7" s="11" t="s">
        <v>66</v>
      </c>
      <c r="BA7" s="11" t="s">
        <v>67</v>
      </c>
      <c r="BB7" s="11" t="s">
        <v>68</v>
      </c>
      <c r="BC7" s="209" t="s">
        <v>134</v>
      </c>
      <c r="BD7" s="11" t="s">
        <v>69</v>
      </c>
      <c r="BE7" s="11" t="s">
        <v>70</v>
      </c>
      <c r="BF7" s="11" t="s">
        <v>71</v>
      </c>
      <c r="BG7" s="209" t="s">
        <v>72</v>
      </c>
      <c r="BH7" s="209" t="s">
        <v>135</v>
      </c>
      <c r="BI7" s="209" t="s">
        <v>394</v>
      </c>
      <c r="BJ7" s="209" t="s">
        <v>398</v>
      </c>
      <c r="BK7" s="209" t="s">
        <v>400</v>
      </c>
      <c r="BL7" s="209" t="s">
        <v>406</v>
      </c>
      <c r="BM7" s="209" t="s">
        <v>407</v>
      </c>
      <c r="BN7" s="209" t="s">
        <v>415</v>
      </c>
      <c r="BO7" s="209" t="s">
        <v>424</v>
      </c>
      <c r="BP7" s="230" t="s">
        <v>433</v>
      </c>
      <c r="BQ7" s="230" t="s">
        <v>436</v>
      </c>
    </row>
    <row r="8" spans="1:70" ht="11.25" customHeight="1" x14ac:dyDescent="0.25">
      <c r="A8" s="27" t="s">
        <v>136</v>
      </c>
      <c r="B8" s="27"/>
      <c r="C8" s="16"/>
      <c r="D8" s="27"/>
      <c r="E8" s="27"/>
      <c r="F8" s="27"/>
      <c r="G8" s="35"/>
      <c r="H8" s="36">
        <f t="shared" ref="H8:AM8" si="0">H9+H47+H66+H67+H75+H82+H83+H84</f>
        <v>1610571</v>
      </c>
      <c r="I8" s="36">
        <f t="shared" si="0"/>
        <v>1648341</v>
      </c>
      <c r="J8" s="36">
        <f t="shared" si="0"/>
        <v>1570027</v>
      </c>
      <c r="K8" s="36">
        <f t="shared" si="0"/>
        <v>2952554</v>
      </c>
      <c r="L8" s="36">
        <f t="shared" si="0"/>
        <v>3025168</v>
      </c>
      <c r="M8" s="36">
        <f t="shared" si="0"/>
        <v>3007996</v>
      </c>
      <c r="N8" s="36">
        <f t="shared" si="0"/>
        <v>3114857</v>
      </c>
      <c r="O8" s="36">
        <f t="shared" si="0"/>
        <v>3116573</v>
      </c>
      <c r="P8" s="36">
        <f t="shared" si="0"/>
        <v>3234484</v>
      </c>
      <c r="Q8" s="36">
        <f t="shared" si="0"/>
        <v>3271489</v>
      </c>
      <c r="R8" s="36">
        <f t="shared" si="0"/>
        <v>3427426</v>
      </c>
      <c r="S8" s="36">
        <f t="shared" si="0"/>
        <v>3584453</v>
      </c>
      <c r="T8" s="36">
        <f t="shared" si="0"/>
        <v>3656587</v>
      </c>
      <c r="U8" s="36">
        <f t="shared" si="0"/>
        <v>3606983</v>
      </c>
      <c r="V8" s="36">
        <f t="shared" si="0"/>
        <v>3718626</v>
      </c>
      <c r="W8" s="36">
        <f t="shared" si="0"/>
        <v>3698602</v>
      </c>
      <c r="X8" s="36">
        <f t="shared" si="0"/>
        <v>3783758</v>
      </c>
      <c r="Y8" s="36">
        <f t="shared" si="0"/>
        <v>3850621</v>
      </c>
      <c r="Z8" s="36">
        <f t="shared" si="0"/>
        <v>3930026</v>
      </c>
      <c r="AA8" s="36">
        <f t="shared" si="0"/>
        <v>4261078</v>
      </c>
      <c r="AB8" s="36">
        <f t="shared" si="0"/>
        <v>4238995</v>
      </c>
      <c r="AC8" s="36">
        <f t="shared" si="0"/>
        <v>4147627</v>
      </c>
      <c r="AD8" s="36">
        <f t="shared" si="0"/>
        <v>4292317</v>
      </c>
      <c r="AE8" s="36">
        <f t="shared" si="0"/>
        <v>4498634</v>
      </c>
      <c r="AF8" s="36">
        <f t="shared" si="0"/>
        <v>4655848</v>
      </c>
      <c r="AG8" s="36">
        <f t="shared" si="0"/>
        <v>4470717</v>
      </c>
      <c r="AH8" s="36">
        <f t="shared" si="0"/>
        <v>4892091</v>
      </c>
      <c r="AI8" s="36">
        <f t="shared" si="0"/>
        <v>5309633</v>
      </c>
      <c r="AJ8" s="36">
        <f t="shared" si="0"/>
        <v>5161049</v>
      </c>
      <c r="AK8" s="36">
        <f t="shared" si="0"/>
        <v>4817686</v>
      </c>
      <c r="AL8" s="36">
        <f t="shared" si="0"/>
        <v>4971850</v>
      </c>
      <c r="AM8" s="36">
        <f t="shared" si="0"/>
        <v>5453376</v>
      </c>
      <c r="AN8" s="36">
        <f t="shared" ref="AN8:BE8" si="1">AN9+AN47+AN66+AN67+AN75+AN82+AN83+AN84</f>
        <v>5364775</v>
      </c>
      <c r="AO8" s="36">
        <f t="shared" si="1"/>
        <v>5023279</v>
      </c>
      <c r="AP8" s="36">
        <f t="shared" si="1"/>
        <v>5251898</v>
      </c>
      <c r="AQ8" s="36">
        <f t="shared" si="1"/>
        <v>5293685</v>
      </c>
      <c r="AR8" s="36">
        <f t="shared" si="1"/>
        <v>5098907</v>
      </c>
      <c r="AS8" s="36">
        <f t="shared" si="1"/>
        <v>5232212</v>
      </c>
      <c r="AT8" s="36">
        <f t="shared" si="1"/>
        <v>5479383</v>
      </c>
      <c r="AU8" s="36">
        <f t="shared" si="1"/>
        <v>5755537</v>
      </c>
      <c r="AV8" s="36">
        <f t="shared" si="1"/>
        <v>6120354</v>
      </c>
      <c r="AW8" s="36">
        <f t="shared" si="1"/>
        <v>6399505</v>
      </c>
      <c r="AX8" s="36">
        <f t="shared" si="1"/>
        <v>6876917</v>
      </c>
      <c r="AY8" s="36">
        <f t="shared" si="1"/>
        <v>6958129</v>
      </c>
      <c r="AZ8" s="36">
        <f t="shared" si="1"/>
        <v>7279288</v>
      </c>
      <c r="BA8" s="36">
        <f t="shared" si="1"/>
        <v>7660637</v>
      </c>
      <c r="BB8" s="36">
        <f t="shared" si="1"/>
        <v>7830049</v>
      </c>
      <c r="BC8" s="36">
        <f t="shared" si="1"/>
        <v>8589691</v>
      </c>
      <c r="BD8" s="36">
        <f t="shared" si="1"/>
        <v>9108328</v>
      </c>
      <c r="BE8" s="36">
        <f t="shared" si="1"/>
        <v>10248415</v>
      </c>
      <c r="BF8" s="36">
        <f t="shared" ref="BF8" si="2">BF9+BF47+BF66+BF67+BF75+BF82+BF83+BF84</f>
        <v>12825433</v>
      </c>
      <c r="BG8" s="36">
        <f>BG9+BG47+BG66+BG67+BG75+BG82+BG83+BG84</f>
        <v>12866343</v>
      </c>
      <c r="BH8" s="36">
        <f t="shared" ref="BH8:BI8" si="3">BH9+BH47+BH66+BH67+BH75+BH82+BH83+BH84</f>
        <v>15007809</v>
      </c>
      <c r="BI8" s="36">
        <f t="shared" si="3"/>
        <v>14354245</v>
      </c>
      <c r="BJ8" s="36">
        <f t="shared" ref="BJ8" si="4">BJ9+BJ47+BJ66+BJ67+BJ75+BJ82+BJ83+BJ84</f>
        <v>15101114</v>
      </c>
      <c r="BK8" s="36">
        <f>BK9+BK47+BK66+BK67+BK75+BK82+BK83+BK84</f>
        <v>14868389</v>
      </c>
      <c r="BL8" s="36">
        <f t="shared" ref="BL8:BM8" si="5">BL9+BL47+BL66+BL67+BL75+BL82+BL83+BL84</f>
        <v>15979855</v>
      </c>
      <c r="BM8" s="36">
        <f t="shared" si="5"/>
        <v>15545044</v>
      </c>
      <c r="BN8" s="36">
        <f t="shared" ref="BN8" si="6">BN9+BN47+BN66+BN67+BN75+BN82+BN83+BN84</f>
        <v>16548948</v>
      </c>
      <c r="BO8" s="36">
        <f>BO9+BO47+BO66+BO67+BO75+BO82+BO83+BO84</f>
        <v>15856318</v>
      </c>
      <c r="BP8" s="36">
        <f t="shared" ref="BP8:BQ8" si="7">BP9+BP47+BP66+BP67+BP75+BP82+BP83+BP84</f>
        <v>15424018</v>
      </c>
      <c r="BQ8" s="36">
        <f t="shared" si="7"/>
        <v>15536244</v>
      </c>
      <c r="BR8" s="10">
        <f>BQ8-'Balanço Patrimonial Ativo'!BR8</f>
        <v>0</v>
      </c>
    </row>
    <row r="9" spans="1:70" ht="11.25" customHeight="1" x14ac:dyDescent="0.25">
      <c r="A9" s="27"/>
      <c r="B9" s="27" t="s">
        <v>137</v>
      </c>
      <c r="C9" s="16"/>
      <c r="D9" s="27"/>
      <c r="E9" s="27"/>
      <c r="F9" s="27"/>
      <c r="G9" s="35"/>
      <c r="H9" s="36">
        <f t="shared" ref="H9:BB9" si="8">H10+H13+H16+H22+H26+H39</f>
        <v>433811</v>
      </c>
      <c r="I9" s="36">
        <f t="shared" si="8"/>
        <v>450487</v>
      </c>
      <c r="J9" s="36">
        <f t="shared" si="8"/>
        <v>354453</v>
      </c>
      <c r="K9" s="36">
        <f t="shared" si="8"/>
        <v>380032</v>
      </c>
      <c r="L9" s="36">
        <f t="shared" si="8"/>
        <v>449751</v>
      </c>
      <c r="M9" s="36">
        <f t="shared" si="8"/>
        <v>382417</v>
      </c>
      <c r="N9" s="36">
        <f t="shared" si="8"/>
        <v>470584</v>
      </c>
      <c r="O9" s="36">
        <f t="shared" si="8"/>
        <v>493029</v>
      </c>
      <c r="P9" s="36">
        <f t="shared" si="8"/>
        <v>580170</v>
      </c>
      <c r="Q9" s="36">
        <f t="shared" si="8"/>
        <v>485218</v>
      </c>
      <c r="R9" s="36">
        <f t="shared" si="8"/>
        <v>602977</v>
      </c>
      <c r="S9" s="36">
        <f t="shared" si="8"/>
        <v>817592</v>
      </c>
      <c r="T9" s="36">
        <f t="shared" si="8"/>
        <v>745505</v>
      </c>
      <c r="U9" s="36">
        <f t="shared" si="8"/>
        <v>767094</v>
      </c>
      <c r="V9" s="36">
        <f t="shared" si="8"/>
        <v>802665</v>
      </c>
      <c r="W9" s="36">
        <f t="shared" si="8"/>
        <v>783302</v>
      </c>
      <c r="X9" s="36">
        <f t="shared" si="8"/>
        <v>815233</v>
      </c>
      <c r="Y9" s="36">
        <f t="shared" si="8"/>
        <v>921211</v>
      </c>
      <c r="Z9" s="36">
        <f t="shared" si="8"/>
        <v>948898</v>
      </c>
      <c r="AA9" s="36">
        <f t="shared" si="8"/>
        <v>1195746</v>
      </c>
      <c r="AB9" s="36">
        <f t="shared" si="8"/>
        <v>1133937</v>
      </c>
      <c r="AC9" s="36">
        <f t="shared" si="8"/>
        <v>1035318</v>
      </c>
      <c r="AD9" s="36">
        <f t="shared" si="8"/>
        <v>1247799</v>
      </c>
      <c r="AE9" s="36">
        <f t="shared" si="8"/>
        <v>1343286</v>
      </c>
      <c r="AF9" s="36">
        <f t="shared" si="8"/>
        <v>1528865</v>
      </c>
      <c r="AG9" s="36">
        <f t="shared" si="8"/>
        <v>1172453</v>
      </c>
      <c r="AH9" s="36">
        <f t="shared" si="8"/>
        <v>1591086</v>
      </c>
      <c r="AI9" s="36">
        <f t="shared" si="8"/>
        <v>1747970</v>
      </c>
      <c r="AJ9" s="36">
        <f t="shared" si="8"/>
        <v>1603556</v>
      </c>
      <c r="AK9" s="36">
        <f t="shared" si="8"/>
        <v>1189590</v>
      </c>
      <c r="AL9" s="36">
        <f t="shared" si="8"/>
        <v>1409201</v>
      </c>
      <c r="AM9" s="36">
        <f t="shared" si="8"/>
        <v>1838376</v>
      </c>
      <c r="AN9" s="36">
        <f t="shared" si="8"/>
        <v>1801533</v>
      </c>
      <c r="AO9" s="36">
        <f t="shared" si="8"/>
        <v>1365043</v>
      </c>
      <c r="AP9" s="36">
        <f t="shared" si="8"/>
        <v>1581767</v>
      </c>
      <c r="AQ9" s="36">
        <f t="shared" si="8"/>
        <v>1662232</v>
      </c>
      <c r="AR9" s="36">
        <f t="shared" si="8"/>
        <v>1451872</v>
      </c>
      <c r="AS9" s="36">
        <f t="shared" si="8"/>
        <v>1486064</v>
      </c>
      <c r="AT9" s="36">
        <f t="shared" si="8"/>
        <v>1733157</v>
      </c>
      <c r="AU9" s="36">
        <f t="shared" si="8"/>
        <v>1890191</v>
      </c>
      <c r="AV9" s="36">
        <f t="shared" si="8"/>
        <v>1690644</v>
      </c>
      <c r="AW9" s="36">
        <f t="shared" si="8"/>
        <v>1436068</v>
      </c>
      <c r="AX9" s="36">
        <f t="shared" si="8"/>
        <v>2033342</v>
      </c>
      <c r="AY9" s="36">
        <f t="shared" si="8"/>
        <v>2043561</v>
      </c>
      <c r="AZ9" s="36">
        <f t="shared" si="8"/>
        <v>2254261</v>
      </c>
      <c r="BA9" s="36">
        <f t="shared" si="8"/>
        <v>2201557</v>
      </c>
      <c r="BB9" s="36">
        <f t="shared" si="8"/>
        <v>2475175</v>
      </c>
      <c r="BC9" s="36">
        <f t="shared" ref="BC9:BI9" si="9">BC10+BC13+BC16+BC22+BC26+BC39</f>
        <v>2337097</v>
      </c>
      <c r="BD9" s="36">
        <f t="shared" si="9"/>
        <v>2928588</v>
      </c>
      <c r="BE9" s="36">
        <f t="shared" si="9"/>
        <v>2546371</v>
      </c>
      <c r="BF9" s="36">
        <f t="shared" si="9"/>
        <v>4040434</v>
      </c>
      <c r="BG9" s="36">
        <f t="shared" si="9"/>
        <v>3831980</v>
      </c>
      <c r="BH9" s="36">
        <f t="shared" si="9"/>
        <v>4153876</v>
      </c>
      <c r="BI9" s="36">
        <f t="shared" si="9"/>
        <v>3487576</v>
      </c>
      <c r="BJ9" s="36">
        <f t="shared" ref="BJ9:BL9" si="10">BJ10+BJ13+BJ16+BJ22+BJ26+BJ39</f>
        <v>4219803</v>
      </c>
      <c r="BK9" s="36">
        <f t="shared" si="10"/>
        <v>4589690</v>
      </c>
      <c r="BL9" s="36">
        <f t="shared" si="10"/>
        <v>4282314</v>
      </c>
      <c r="BM9" s="36">
        <f t="shared" ref="BM9:BP9" si="11">BM10+BM13+BM16+BM22+BM26+BM39</f>
        <v>3856777</v>
      </c>
      <c r="BN9" s="36">
        <f t="shared" si="11"/>
        <v>4039894</v>
      </c>
      <c r="BO9" s="36">
        <f t="shared" si="11"/>
        <v>4040317</v>
      </c>
      <c r="BP9" s="36">
        <f t="shared" si="11"/>
        <v>4424391</v>
      </c>
      <c r="BQ9" s="36">
        <f t="shared" ref="BQ9" si="12">BQ10+BQ13+BQ16+BQ22+BQ26+BQ39</f>
        <v>4697008</v>
      </c>
    </row>
    <row r="10" spans="1:70" ht="11.25" customHeight="1" x14ac:dyDescent="0.25">
      <c r="A10" s="27"/>
      <c r="B10" s="27"/>
      <c r="C10" s="27" t="s">
        <v>138</v>
      </c>
      <c r="D10" s="27"/>
      <c r="E10" s="27"/>
      <c r="F10" s="27"/>
      <c r="G10" s="25"/>
      <c r="H10" s="26">
        <f t="shared" ref="H10:M10" si="13">SUM(H11:H12)</f>
        <v>5070</v>
      </c>
      <c r="I10" s="26">
        <f t="shared" si="13"/>
        <v>5702</v>
      </c>
      <c r="J10" s="26">
        <f t="shared" si="13"/>
        <v>7034</v>
      </c>
      <c r="K10" s="26">
        <f t="shared" si="13"/>
        <v>1115</v>
      </c>
      <c r="L10" s="26">
        <f t="shared" si="13"/>
        <v>5549</v>
      </c>
      <c r="M10" s="26">
        <f t="shared" si="13"/>
        <v>6954</v>
      </c>
      <c r="N10" s="26">
        <f t="shared" ref="N10:AF10" si="14">SUM(N11:N12)</f>
        <v>8208</v>
      </c>
      <c r="O10" s="26">
        <f t="shared" si="14"/>
        <v>6399</v>
      </c>
      <c r="P10" s="26">
        <f t="shared" si="14"/>
        <v>7858</v>
      </c>
      <c r="Q10" s="26">
        <f t="shared" si="14"/>
        <v>8211</v>
      </c>
      <c r="R10" s="26">
        <f t="shared" si="14"/>
        <v>3068</v>
      </c>
      <c r="S10" s="26">
        <f t="shared" si="14"/>
        <v>3226</v>
      </c>
      <c r="T10" s="26">
        <f t="shared" si="14"/>
        <v>3421</v>
      </c>
      <c r="U10" s="26">
        <f t="shared" si="14"/>
        <v>2973</v>
      </c>
      <c r="V10" s="26">
        <f t="shared" si="14"/>
        <v>3794</v>
      </c>
      <c r="W10" s="26">
        <f t="shared" si="14"/>
        <v>7672</v>
      </c>
      <c r="X10" s="26">
        <f t="shared" si="14"/>
        <v>8541</v>
      </c>
      <c r="Y10" s="26">
        <f t="shared" si="14"/>
        <v>7559</v>
      </c>
      <c r="Z10" s="26">
        <f t="shared" si="14"/>
        <v>7348</v>
      </c>
      <c r="AA10" s="26">
        <f t="shared" si="14"/>
        <v>8875</v>
      </c>
      <c r="AB10" s="26">
        <f t="shared" si="14"/>
        <v>11224</v>
      </c>
      <c r="AC10" s="26">
        <f t="shared" si="14"/>
        <v>11747</v>
      </c>
      <c r="AD10" s="26">
        <f t="shared" si="14"/>
        <v>11306</v>
      </c>
      <c r="AE10" s="26">
        <f t="shared" si="14"/>
        <v>10344</v>
      </c>
      <c r="AF10" s="26">
        <f t="shared" si="14"/>
        <v>13464</v>
      </c>
      <c r="AG10" s="26">
        <f>SUM(AG11:AG12)</f>
        <v>13344</v>
      </c>
      <c r="AH10" s="26">
        <f>SUM(AH11:AH12)</f>
        <v>12535</v>
      </c>
      <c r="AI10" s="26">
        <f>SUM(AI11:AI12)</f>
        <v>13763</v>
      </c>
      <c r="AJ10" s="26">
        <f>SUM(AJ11:AJ12)</f>
        <v>17182</v>
      </c>
      <c r="AK10" s="26">
        <f t="shared" ref="AK10:BB10" si="15">SUM(AK11:AK12)</f>
        <v>18124</v>
      </c>
      <c r="AL10" s="26">
        <f t="shared" si="15"/>
        <v>15341</v>
      </c>
      <c r="AM10" s="26">
        <f t="shared" si="15"/>
        <v>15308</v>
      </c>
      <c r="AN10" s="26">
        <f t="shared" si="15"/>
        <v>18714</v>
      </c>
      <c r="AO10" s="26">
        <f t="shared" si="15"/>
        <v>16514</v>
      </c>
      <c r="AP10" s="26">
        <f t="shared" si="15"/>
        <v>17667</v>
      </c>
      <c r="AQ10" s="26">
        <f t="shared" si="15"/>
        <v>23315</v>
      </c>
      <c r="AR10" s="26">
        <f t="shared" si="15"/>
        <v>23109</v>
      </c>
      <c r="AS10" s="26">
        <f t="shared" si="15"/>
        <v>24722</v>
      </c>
      <c r="AT10" s="26">
        <f>SUM(AT11:AT12)</f>
        <v>10232</v>
      </c>
      <c r="AU10" s="26">
        <f t="shared" si="15"/>
        <v>11058</v>
      </c>
      <c r="AV10" s="26">
        <f t="shared" si="15"/>
        <v>10081</v>
      </c>
      <c r="AW10" s="26">
        <f t="shared" si="15"/>
        <v>7876</v>
      </c>
      <c r="AX10" s="26">
        <f>SUM(AX11:AX12)</f>
        <v>7247</v>
      </c>
      <c r="AY10" s="26">
        <f t="shared" si="15"/>
        <v>9652</v>
      </c>
      <c r="AZ10" s="26">
        <f t="shared" si="15"/>
        <v>12618</v>
      </c>
      <c r="BA10" s="26">
        <f t="shared" si="15"/>
        <v>21973</v>
      </c>
      <c r="BB10" s="26">
        <f t="shared" si="15"/>
        <v>15693</v>
      </c>
      <c r="BC10" s="26">
        <f t="shared" ref="BC10:BH10" si="16">SUM(BC11:BC12)</f>
        <v>13157</v>
      </c>
      <c r="BD10" s="26">
        <f t="shared" si="16"/>
        <v>14693</v>
      </c>
      <c r="BE10" s="26">
        <f t="shared" si="16"/>
        <v>13651</v>
      </c>
      <c r="BF10" s="26">
        <f t="shared" si="16"/>
        <v>25645</v>
      </c>
      <c r="BG10" s="26">
        <f t="shared" si="16"/>
        <v>42662</v>
      </c>
      <c r="BH10" s="26">
        <f t="shared" si="16"/>
        <v>22658</v>
      </c>
      <c r="BI10" s="26">
        <f t="shared" ref="BI10:BL10" si="17">SUM(BI11:BI12)</f>
        <v>21443</v>
      </c>
      <c r="BJ10" s="26">
        <f t="shared" si="17"/>
        <v>22623</v>
      </c>
      <c r="BK10" s="26">
        <f>SUM(BK11:BK12)</f>
        <v>21790</v>
      </c>
      <c r="BL10" s="26">
        <f t="shared" si="17"/>
        <v>25403</v>
      </c>
      <c r="BM10" s="218">
        <f t="shared" ref="BM10:BN10" si="18">SUM(BM11:BM12)</f>
        <v>15164</v>
      </c>
      <c r="BN10" s="218">
        <f t="shared" si="18"/>
        <v>18764</v>
      </c>
      <c r="BO10" s="26">
        <f>SUM(BO11:BO12)</f>
        <v>16526</v>
      </c>
      <c r="BP10" s="26">
        <f t="shared" ref="BP10:BQ10" si="19">SUM(BP11:BP12)</f>
        <v>22602</v>
      </c>
      <c r="BQ10" s="26">
        <f t="shared" si="19"/>
        <v>25529</v>
      </c>
    </row>
    <row r="11" spans="1:70" ht="11.25" customHeight="1" x14ac:dyDescent="0.2">
      <c r="A11" s="17"/>
      <c r="B11" s="17"/>
      <c r="C11" s="17"/>
      <c r="D11" s="18" t="s">
        <v>139</v>
      </c>
      <c r="E11" s="18"/>
      <c r="F11" s="18"/>
      <c r="G11" s="21"/>
      <c r="H11" s="107">
        <v>0</v>
      </c>
      <c r="I11" s="107">
        <v>0</v>
      </c>
      <c r="J11" s="107">
        <v>0</v>
      </c>
      <c r="K11" s="107">
        <v>1054</v>
      </c>
      <c r="L11" s="107">
        <v>0</v>
      </c>
      <c r="M11" s="107">
        <v>0</v>
      </c>
      <c r="N11" s="107">
        <v>0</v>
      </c>
      <c r="O11" s="107">
        <v>2752</v>
      </c>
      <c r="P11" s="107">
        <v>2538</v>
      </c>
      <c r="Q11" s="107">
        <v>1894</v>
      </c>
      <c r="R11" s="107">
        <v>2840</v>
      </c>
      <c r="S11" s="107">
        <v>3025</v>
      </c>
      <c r="T11" s="107">
        <v>3082</v>
      </c>
      <c r="U11" s="107">
        <v>2594</v>
      </c>
      <c r="V11" s="107">
        <v>3440</v>
      </c>
      <c r="W11" s="107">
        <v>7358</v>
      </c>
      <c r="X11" s="107">
        <v>8196</v>
      </c>
      <c r="Y11" s="107">
        <v>7244</v>
      </c>
      <c r="Z11" s="107">
        <v>7010</v>
      </c>
      <c r="AA11" s="107">
        <v>8583</v>
      </c>
      <c r="AB11" s="107">
        <v>10840</v>
      </c>
      <c r="AC11" s="107">
        <v>11404</v>
      </c>
      <c r="AD11" s="107">
        <v>10920</v>
      </c>
      <c r="AE11" s="107">
        <v>9945</v>
      </c>
      <c r="AF11" s="194">
        <v>13016</v>
      </c>
      <c r="AG11" s="194">
        <v>12729</v>
      </c>
      <c r="AH11" s="194">
        <v>12096</v>
      </c>
      <c r="AI11" s="194">
        <v>13351</v>
      </c>
      <c r="AJ11" s="194">
        <v>16802</v>
      </c>
      <c r="AK11" s="194">
        <v>17854</v>
      </c>
      <c r="AL11" s="194">
        <v>14955</v>
      </c>
      <c r="AM11" s="194">
        <v>14947</v>
      </c>
      <c r="AN11" s="194">
        <v>18201</v>
      </c>
      <c r="AO11" s="194">
        <v>16129</v>
      </c>
      <c r="AP11" s="194">
        <v>17323</v>
      </c>
      <c r="AQ11" s="194">
        <v>22869</v>
      </c>
      <c r="AR11" s="194">
        <v>22653</v>
      </c>
      <c r="AS11" s="194">
        <v>24124</v>
      </c>
      <c r="AT11" s="194">
        <v>9711</v>
      </c>
      <c r="AU11" s="194">
        <v>10476</v>
      </c>
      <c r="AV11" s="194">
        <v>9508</v>
      </c>
      <c r="AW11" s="194">
        <v>6982</v>
      </c>
      <c r="AX11" s="194">
        <v>6507</v>
      </c>
      <c r="AY11" s="194">
        <v>8753</v>
      </c>
      <c r="AZ11" s="194">
        <v>11626</v>
      </c>
      <c r="BA11" s="194">
        <v>21085</v>
      </c>
      <c r="BB11" s="194">
        <v>15096</v>
      </c>
      <c r="BC11" s="194">
        <v>12458</v>
      </c>
      <c r="BD11" s="194">
        <v>13861</v>
      </c>
      <c r="BE11" s="194">
        <v>12443</v>
      </c>
      <c r="BF11" s="194">
        <v>24975</v>
      </c>
      <c r="BG11" s="194">
        <v>42633</v>
      </c>
      <c r="BH11" s="194">
        <v>20487</v>
      </c>
      <c r="BI11" s="194">
        <v>19777</v>
      </c>
      <c r="BJ11" s="194">
        <v>19534</v>
      </c>
      <c r="BK11" s="194">
        <v>22210</v>
      </c>
      <c r="BL11" s="194">
        <v>25728</v>
      </c>
      <c r="BM11" s="194">
        <v>15156</v>
      </c>
      <c r="BN11" s="194">
        <v>15476</v>
      </c>
      <c r="BO11" s="194">
        <v>15409</v>
      </c>
      <c r="BP11" s="231">
        <v>18358</v>
      </c>
      <c r="BQ11" s="231">
        <v>20521</v>
      </c>
    </row>
    <row r="12" spans="1:70" ht="11.25" customHeight="1" x14ac:dyDescent="0.2">
      <c r="A12" s="17"/>
      <c r="B12" s="17"/>
      <c r="C12" s="17"/>
      <c r="D12" s="18" t="s">
        <v>140</v>
      </c>
      <c r="E12" s="17"/>
      <c r="F12" s="17"/>
      <c r="G12" s="21"/>
      <c r="H12" s="107">
        <v>5070</v>
      </c>
      <c r="I12" s="107">
        <v>5702</v>
      </c>
      <c r="J12" s="107">
        <v>7034</v>
      </c>
      <c r="K12" s="107">
        <v>61</v>
      </c>
      <c r="L12" s="107">
        <v>5549</v>
      </c>
      <c r="M12" s="107">
        <v>6954</v>
      </c>
      <c r="N12" s="107">
        <v>8208</v>
      </c>
      <c r="O12" s="107">
        <v>3647</v>
      </c>
      <c r="P12" s="107">
        <v>5320</v>
      </c>
      <c r="Q12" s="107">
        <v>6317</v>
      </c>
      <c r="R12" s="107">
        <v>228</v>
      </c>
      <c r="S12" s="107">
        <v>201</v>
      </c>
      <c r="T12" s="107">
        <v>339</v>
      </c>
      <c r="U12" s="107">
        <v>379</v>
      </c>
      <c r="V12" s="107">
        <v>354</v>
      </c>
      <c r="W12" s="107">
        <v>314</v>
      </c>
      <c r="X12" s="107">
        <v>345</v>
      </c>
      <c r="Y12" s="107">
        <v>315</v>
      </c>
      <c r="Z12" s="107">
        <v>338</v>
      </c>
      <c r="AA12" s="107">
        <v>292</v>
      </c>
      <c r="AB12" s="107">
        <v>384</v>
      </c>
      <c r="AC12" s="107">
        <v>343</v>
      </c>
      <c r="AD12" s="107">
        <v>386</v>
      </c>
      <c r="AE12" s="107">
        <v>399</v>
      </c>
      <c r="AF12" s="194">
        <v>448</v>
      </c>
      <c r="AG12" s="194">
        <v>615</v>
      </c>
      <c r="AH12" s="194">
        <v>439</v>
      </c>
      <c r="AI12" s="194">
        <v>412</v>
      </c>
      <c r="AJ12" s="194">
        <v>380</v>
      </c>
      <c r="AK12" s="194">
        <v>270</v>
      </c>
      <c r="AL12" s="194">
        <v>386</v>
      </c>
      <c r="AM12" s="194">
        <v>361</v>
      </c>
      <c r="AN12" s="194">
        <v>513</v>
      </c>
      <c r="AO12" s="194">
        <v>385</v>
      </c>
      <c r="AP12" s="194">
        <v>344</v>
      </c>
      <c r="AQ12" s="194">
        <v>446</v>
      </c>
      <c r="AR12" s="194">
        <v>456</v>
      </c>
      <c r="AS12" s="194">
        <v>598</v>
      </c>
      <c r="AT12" s="194">
        <v>521</v>
      </c>
      <c r="AU12" s="194">
        <v>582</v>
      </c>
      <c r="AV12" s="194">
        <v>573</v>
      </c>
      <c r="AW12" s="194">
        <v>894</v>
      </c>
      <c r="AX12" s="194">
        <v>740</v>
      </c>
      <c r="AY12" s="194">
        <v>899</v>
      </c>
      <c r="AZ12" s="194">
        <v>992</v>
      </c>
      <c r="BA12" s="194">
        <v>888</v>
      </c>
      <c r="BB12" s="194">
        <v>597</v>
      </c>
      <c r="BC12" s="194">
        <v>699</v>
      </c>
      <c r="BD12" s="194">
        <v>832</v>
      </c>
      <c r="BE12" s="194">
        <v>1208</v>
      </c>
      <c r="BF12" s="194">
        <v>670</v>
      </c>
      <c r="BG12" s="194">
        <v>29</v>
      </c>
      <c r="BH12" s="194">
        <v>2171</v>
      </c>
      <c r="BI12" s="194">
        <v>1666</v>
      </c>
      <c r="BJ12" s="194">
        <v>3089</v>
      </c>
      <c r="BK12" s="194">
        <v>-420</v>
      </c>
      <c r="BL12" s="194">
        <v>-325</v>
      </c>
      <c r="BM12" s="194">
        <v>8</v>
      </c>
      <c r="BN12" s="194">
        <v>3288</v>
      </c>
      <c r="BO12" s="194">
        <v>1117</v>
      </c>
      <c r="BP12" s="231">
        <v>4244</v>
      </c>
      <c r="BQ12" s="231">
        <v>5008</v>
      </c>
    </row>
    <row r="13" spans="1:70" ht="11.25" customHeight="1" x14ac:dyDescent="0.25">
      <c r="A13" s="27"/>
      <c r="B13" s="27"/>
      <c r="C13" s="27" t="s">
        <v>141</v>
      </c>
      <c r="D13" s="27"/>
      <c r="E13" s="27"/>
      <c r="F13" s="27"/>
      <c r="G13" s="25"/>
      <c r="H13" s="26">
        <f t="shared" ref="H13:AF13" si="20">SUM(H14:H15)</f>
        <v>10449</v>
      </c>
      <c r="I13" s="26">
        <f t="shared" si="20"/>
        <v>24694</v>
      </c>
      <c r="J13" s="26">
        <f t="shared" si="20"/>
        <v>57985</v>
      </c>
      <c r="K13" s="26">
        <f t="shared" si="20"/>
        <v>63104</v>
      </c>
      <c r="L13" s="26">
        <f t="shared" si="20"/>
        <v>18723</v>
      </c>
      <c r="M13" s="26">
        <f t="shared" si="20"/>
        <v>12774</v>
      </c>
      <c r="N13" s="26">
        <f t="shared" si="20"/>
        <v>40265</v>
      </c>
      <c r="O13" s="26">
        <f t="shared" si="20"/>
        <v>94974</v>
      </c>
      <c r="P13" s="26">
        <f t="shared" si="20"/>
        <v>27035</v>
      </c>
      <c r="Q13" s="26">
        <f t="shared" si="20"/>
        <v>43042</v>
      </c>
      <c r="R13" s="26">
        <f t="shared" si="20"/>
        <v>62307</v>
      </c>
      <c r="S13" s="26">
        <f t="shared" si="20"/>
        <v>117919</v>
      </c>
      <c r="T13" s="26">
        <f t="shared" si="20"/>
        <v>40388</v>
      </c>
      <c r="U13" s="26">
        <f t="shared" si="20"/>
        <v>50376</v>
      </c>
      <c r="V13" s="26">
        <f t="shared" si="20"/>
        <v>92094</v>
      </c>
      <c r="W13" s="26">
        <f t="shared" si="20"/>
        <v>137758</v>
      </c>
      <c r="X13" s="26">
        <f t="shared" si="20"/>
        <v>53397</v>
      </c>
      <c r="Y13" s="26">
        <f t="shared" si="20"/>
        <v>99773</v>
      </c>
      <c r="Z13" s="26">
        <f t="shared" si="20"/>
        <v>121856</v>
      </c>
      <c r="AA13" s="26">
        <f t="shared" si="20"/>
        <v>236217</v>
      </c>
      <c r="AB13" s="26">
        <f t="shared" si="20"/>
        <v>55681</v>
      </c>
      <c r="AC13" s="26">
        <f t="shared" si="20"/>
        <v>85522</v>
      </c>
      <c r="AD13" s="26">
        <f t="shared" si="20"/>
        <v>168504</v>
      </c>
      <c r="AE13" s="26">
        <f t="shared" si="20"/>
        <v>312759</v>
      </c>
      <c r="AF13" s="26">
        <f t="shared" si="20"/>
        <v>107619</v>
      </c>
      <c r="AG13" s="26">
        <f>SUM(AG14:AG15)</f>
        <v>78112</v>
      </c>
      <c r="AH13" s="26">
        <f>SUM(AH14:AH15)</f>
        <v>236093</v>
      </c>
      <c r="AI13" s="26">
        <f>SUM(AI14:AI15)</f>
        <v>398860</v>
      </c>
      <c r="AJ13" s="26">
        <f>SUM(AJ14:AJ15)</f>
        <v>130642</v>
      </c>
      <c r="AK13" s="26">
        <f t="shared" ref="AK13:BB13" si="21">SUM(AK14:AK15)</f>
        <v>102829</v>
      </c>
      <c r="AL13" s="26">
        <f t="shared" si="21"/>
        <v>170994</v>
      </c>
      <c r="AM13" s="26">
        <f t="shared" si="21"/>
        <v>439735</v>
      </c>
      <c r="AN13" s="26">
        <f t="shared" si="21"/>
        <v>191625</v>
      </c>
      <c r="AO13" s="26">
        <f t="shared" si="21"/>
        <v>149912</v>
      </c>
      <c r="AP13" s="26">
        <f t="shared" si="21"/>
        <v>213993</v>
      </c>
      <c r="AQ13" s="26">
        <f t="shared" si="21"/>
        <v>424041</v>
      </c>
      <c r="AR13" s="26">
        <f t="shared" si="21"/>
        <v>241495</v>
      </c>
      <c r="AS13" s="26">
        <f t="shared" si="21"/>
        <v>118043</v>
      </c>
      <c r="AT13" s="26">
        <f>SUM(AT14:AT15)</f>
        <v>305140</v>
      </c>
      <c r="AU13" s="26">
        <f t="shared" si="21"/>
        <v>703564</v>
      </c>
      <c r="AV13" s="26">
        <f t="shared" si="21"/>
        <v>344884</v>
      </c>
      <c r="AW13" s="26">
        <f t="shared" si="21"/>
        <v>170364</v>
      </c>
      <c r="AX13" s="26">
        <f>SUM(AX14:AX15)</f>
        <v>544440</v>
      </c>
      <c r="AY13" s="26">
        <f t="shared" si="21"/>
        <v>922000</v>
      </c>
      <c r="AZ13" s="26">
        <f t="shared" si="21"/>
        <v>372334</v>
      </c>
      <c r="BA13" s="26">
        <f t="shared" si="21"/>
        <v>306819</v>
      </c>
      <c r="BB13" s="26">
        <f t="shared" si="21"/>
        <v>653488</v>
      </c>
      <c r="BC13" s="26">
        <f t="shared" ref="BC13:BH13" si="22">SUM(BC14:BC15)</f>
        <v>1101769</v>
      </c>
      <c r="BD13" s="26">
        <f t="shared" si="22"/>
        <v>733392</v>
      </c>
      <c r="BE13" s="26">
        <f t="shared" si="22"/>
        <v>405898</v>
      </c>
      <c r="BF13" s="26">
        <f t="shared" si="22"/>
        <v>1129503</v>
      </c>
      <c r="BG13" s="26">
        <f t="shared" si="22"/>
        <v>1009194</v>
      </c>
      <c r="BH13" s="26">
        <f t="shared" si="22"/>
        <v>953049</v>
      </c>
      <c r="BI13" s="26">
        <f t="shared" ref="BI13:BL13" si="23">SUM(BI14:BI15)</f>
        <v>540192</v>
      </c>
      <c r="BJ13" s="26">
        <f t="shared" si="23"/>
        <v>1036649</v>
      </c>
      <c r="BK13" s="26">
        <f t="shared" si="23"/>
        <v>1564582</v>
      </c>
      <c r="BL13" s="26">
        <f t="shared" si="23"/>
        <v>907276</v>
      </c>
      <c r="BM13" s="26">
        <f t="shared" ref="BM13:BP13" si="24">SUM(BM14:BM15)</f>
        <v>646894</v>
      </c>
      <c r="BN13" s="26">
        <f t="shared" si="24"/>
        <v>616387</v>
      </c>
      <c r="BO13" s="26">
        <f t="shared" si="24"/>
        <v>1258175</v>
      </c>
      <c r="BP13" s="26">
        <f t="shared" si="24"/>
        <v>812671</v>
      </c>
      <c r="BQ13" s="26">
        <f t="shared" ref="BQ13" si="25">SUM(BQ14:BQ15)</f>
        <v>702546</v>
      </c>
    </row>
    <row r="14" spans="1:70" ht="11.25" customHeight="1" x14ac:dyDescent="0.2">
      <c r="A14" s="17"/>
      <c r="B14" s="17"/>
      <c r="C14" s="17"/>
      <c r="D14" s="18" t="s">
        <v>142</v>
      </c>
      <c r="E14" s="18"/>
      <c r="F14" s="18"/>
      <c r="G14" s="21"/>
      <c r="H14" s="107">
        <v>10449</v>
      </c>
      <c r="I14" s="107">
        <v>24694</v>
      </c>
      <c r="J14" s="107">
        <v>57985</v>
      </c>
      <c r="K14" s="107">
        <v>63104</v>
      </c>
      <c r="L14" s="107">
        <v>18723</v>
      </c>
      <c r="M14" s="107">
        <v>12774</v>
      </c>
      <c r="N14" s="107">
        <v>40265</v>
      </c>
      <c r="O14" s="107">
        <v>94974</v>
      </c>
      <c r="P14" s="107">
        <v>27035</v>
      </c>
      <c r="Q14" s="107">
        <v>43042</v>
      </c>
      <c r="R14" s="107">
        <v>62307</v>
      </c>
      <c r="S14" s="107">
        <v>117919</v>
      </c>
      <c r="T14" s="107">
        <v>40388</v>
      </c>
      <c r="U14" s="107">
        <v>50376</v>
      </c>
      <c r="V14" s="107">
        <v>92094</v>
      </c>
      <c r="W14" s="107">
        <v>137758</v>
      </c>
      <c r="X14" s="107">
        <v>53397</v>
      </c>
      <c r="Y14" s="107">
        <v>99773</v>
      </c>
      <c r="Z14" s="107">
        <v>121856</v>
      </c>
      <c r="AA14" s="107">
        <v>236217</v>
      </c>
      <c r="AB14" s="107">
        <v>55681</v>
      </c>
      <c r="AC14" s="107">
        <v>85522</v>
      </c>
      <c r="AD14" s="107">
        <v>168504</v>
      </c>
      <c r="AE14" s="107">
        <v>312759</v>
      </c>
      <c r="AF14" s="194">
        <v>107619</v>
      </c>
      <c r="AG14" s="194">
        <v>78112</v>
      </c>
      <c r="AH14" s="194">
        <v>236093</v>
      </c>
      <c r="AI14" s="194">
        <v>398860</v>
      </c>
      <c r="AJ14" s="194">
        <v>130642</v>
      </c>
      <c r="AK14" s="194">
        <v>102829</v>
      </c>
      <c r="AL14" s="194">
        <v>170994</v>
      </c>
      <c r="AM14" s="194">
        <v>439735</v>
      </c>
      <c r="AN14" s="194">
        <v>191625</v>
      </c>
      <c r="AO14" s="194">
        <v>149912</v>
      </c>
      <c r="AP14" s="194">
        <v>213993</v>
      </c>
      <c r="AQ14" s="194">
        <v>424041</v>
      </c>
      <c r="AR14" s="194">
        <v>241495</v>
      </c>
      <c r="AS14" s="194">
        <v>118043</v>
      </c>
      <c r="AT14" s="194">
        <v>305140</v>
      </c>
      <c r="AU14" s="194">
        <v>703564</v>
      </c>
      <c r="AV14" s="194">
        <v>344884</v>
      </c>
      <c r="AW14" s="194">
        <v>170364</v>
      </c>
      <c r="AX14" s="194">
        <v>544440</v>
      </c>
      <c r="AY14" s="194">
        <v>922000</v>
      </c>
      <c r="AZ14" s="194">
        <v>372334</v>
      </c>
      <c r="BA14" s="194">
        <v>306819</v>
      </c>
      <c r="BB14" s="194">
        <v>653488</v>
      </c>
      <c r="BC14" s="194">
        <v>1101769</v>
      </c>
      <c r="BD14" s="194">
        <v>733392</v>
      </c>
      <c r="BE14" s="194">
        <v>405898</v>
      </c>
      <c r="BF14" s="194">
        <v>1129503</v>
      </c>
      <c r="BG14" s="194">
        <v>1008792</v>
      </c>
      <c r="BH14" s="194">
        <v>951793</v>
      </c>
      <c r="BI14" s="194">
        <v>539672</v>
      </c>
      <c r="BJ14" s="194">
        <v>1033884</v>
      </c>
      <c r="BK14" s="194">
        <v>1564582</v>
      </c>
      <c r="BL14" s="194">
        <v>907276</v>
      </c>
      <c r="BM14" s="194">
        <v>646894</v>
      </c>
      <c r="BN14" s="194">
        <v>616378</v>
      </c>
      <c r="BO14" s="194">
        <v>1258175</v>
      </c>
      <c r="BP14" s="231">
        <v>746184</v>
      </c>
      <c r="BQ14" s="231">
        <v>695563</v>
      </c>
    </row>
    <row r="15" spans="1:70" ht="11.25" customHeight="1" x14ac:dyDescent="0.2">
      <c r="A15" s="17"/>
      <c r="B15" s="17"/>
      <c r="C15" s="17"/>
      <c r="D15" s="18" t="s">
        <v>143</v>
      </c>
      <c r="E15" s="18"/>
      <c r="F15" s="18"/>
      <c r="G15" s="21"/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>
        <v>0</v>
      </c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0</v>
      </c>
      <c r="AF15" s="194">
        <v>0</v>
      </c>
      <c r="AG15" s="194">
        <v>0</v>
      </c>
      <c r="AH15" s="194">
        <v>0</v>
      </c>
      <c r="AI15" s="194">
        <v>0</v>
      </c>
      <c r="AJ15" s="194">
        <v>0</v>
      </c>
      <c r="AK15" s="194">
        <v>0</v>
      </c>
      <c r="AL15" s="194">
        <v>0</v>
      </c>
      <c r="AM15" s="194">
        <v>0</v>
      </c>
      <c r="AN15" s="194">
        <v>0</v>
      </c>
      <c r="AO15" s="194">
        <v>0</v>
      </c>
      <c r="AP15" s="194">
        <v>0</v>
      </c>
      <c r="AQ15" s="194">
        <v>0</v>
      </c>
      <c r="AR15" s="194">
        <v>0</v>
      </c>
      <c r="AS15" s="194">
        <v>0</v>
      </c>
      <c r="AT15" s="194">
        <v>0</v>
      </c>
      <c r="AU15" s="194">
        <v>0</v>
      </c>
      <c r="AV15" s="194">
        <v>0</v>
      </c>
      <c r="AW15" s="194">
        <v>0</v>
      </c>
      <c r="AX15" s="194">
        <v>0</v>
      </c>
      <c r="AY15" s="194">
        <v>0</v>
      </c>
      <c r="AZ15" s="194">
        <v>0</v>
      </c>
      <c r="BA15" s="194">
        <v>0</v>
      </c>
      <c r="BB15" s="194"/>
      <c r="BC15" s="194">
        <v>0</v>
      </c>
      <c r="BD15" s="194">
        <v>0</v>
      </c>
      <c r="BE15" s="194">
        <v>0</v>
      </c>
      <c r="BF15" s="194">
        <v>0</v>
      </c>
      <c r="BG15" s="194">
        <v>402</v>
      </c>
      <c r="BH15" s="194">
        <v>1256</v>
      </c>
      <c r="BI15" s="194">
        <v>520</v>
      </c>
      <c r="BJ15" s="194">
        <v>2765</v>
      </c>
      <c r="BK15" s="194">
        <v>0</v>
      </c>
      <c r="BL15" s="194">
        <v>0</v>
      </c>
      <c r="BM15" s="194">
        <v>0</v>
      </c>
      <c r="BN15" s="194">
        <v>9</v>
      </c>
      <c r="BO15" s="194">
        <v>0</v>
      </c>
      <c r="BP15" s="231">
        <v>66487</v>
      </c>
      <c r="BQ15" s="231">
        <v>6983</v>
      </c>
    </row>
    <row r="16" spans="1:70" ht="11.25" customHeight="1" x14ac:dyDescent="0.25">
      <c r="A16" s="27"/>
      <c r="B16" s="27"/>
      <c r="C16" s="27" t="s">
        <v>144</v>
      </c>
      <c r="D16" s="27"/>
      <c r="E16" s="27"/>
      <c r="F16" s="27"/>
      <c r="G16" s="25"/>
      <c r="H16" s="26">
        <f t="shared" ref="H16:AF16" si="26">H17+H20+H21</f>
        <v>8827</v>
      </c>
      <c r="I16" s="26">
        <f t="shared" si="26"/>
        <v>5131</v>
      </c>
      <c r="J16" s="26">
        <f t="shared" si="26"/>
        <v>4074</v>
      </c>
      <c r="K16" s="26">
        <f t="shared" si="26"/>
        <v>2476</v>
      </c>
      <c r="L16" s="26">
        <f t="shared" si="26"/>
        <v>9216</v>
      </c>
      <c r="M16" s="26">
        <f t="shared" si="26"/>
        <v>6927</v>
      </c>
      <c r="N16" s="26">
        <f t="shared" si="26"/>
        <v>8247</v>
      </c>
      <c r="O16" s="26">
        <f t="shared" si="26"/>
        <v>4838</v>
      </c>
      <c r="P16" s="26">
        <f t="shared" si="26"/>
        <v>9992</v>
      </c>
      <c r="Q16" s="26">
        <f t="shared" si="26"/>
        <v>8000</v>
      </c>
      <c r="R16" s="26">
        <f t="shared" si="26"/>
        <v>11933</v>
      </c>
      <c r="S16" s="26">
        <f t="shared" si="26"/>
        <v>21151</v>
      </c>
      <c r="T16" s="26">
        <f t="shared" si="26"/>
        <v>12612</v>
      </c>
      <c r="U16" s="26">
        <f t="shared" si="26"/>
        <v>16565</v>
      </c>
      <c r="V16" s="26">
        <f t="shared" si="26"/>
        <v>18634</v>
      </c>
      <c r="W16" s="26">
        <f t="shared" si="26"/>
        <v>13352</v>
      </c>
      <c r="X16" s="26">
        <f t="shared" si="26"/>
        <v>23676</v>
      </c>
      <c r="Y16" s="26">
        <f t="shared" si="26"/>
        <v>33451</v>
      </c>
      <c r="Z16" s="26">
        <f t="shared" si="26"/>
        <v>16907</v>
      </c>
      <c r="AA16" s="26">
        <f t="shared" si="26"/>
        <v>18605</v>
      </c>
      <c r="AB16" s="26">
        <f t="shared" si="26"/>
        <v>16197</v>
      </c>
      <c r="AC16" s="26">
        <f t="shared" si="26"/>
        <v>21494</v>
      </c>
      <c r="AD16" s="26">
        <f t="shared" si="26"/>
        <v>21041</v>
      </c>
      <c r="AE16" s="26">
        <f t="shared" si="26"/>
        <v>13926</v>
      </c>
      <c r="AF16" s="26">
        <f t="shared" si="26"/>
        <v>8142</v>
      </c>
      <c r="AG16" s="26">
        <f>AG17+AG20+AG21</f>
        <v>6318</v>
      </c>
      <c r="AH16" s="26">
        <f>AH17+AH20+AH21</f>
        <v>8398</v>
      </c>
      <c r="AI16" s="26">
        <f>AI17+AI20+AI21</f>
        <v>6702</v>
      </c>
      <c r="AJ16" s="26">
        <f>AJ17+AJ20+AJ21</f>
        <v>5321</v>
      </c>
      <c r="AK16" s="26">
        <f t="shared" ref="AK16:BB16" si="27">AK17+AK20+AK21</f>
        <v>10908</v>
      </c>
      <c r="AL16" s="26">
        <f t="shared" si="27"/>
        <v>12765</v>
      </c>
      <c r="AM16" s="26">
        <f t="shared" si="27"/>
        <v>7995</v>
      </c>
      <c r="AN16" s="26">
        <f t="shared" si="27"/>
        <v>3113</v>
      </c>
      <c r="AO16" s="26">
        <f>AO17+AO20+AO21</f>
        <v>6227</v>
      </c>
      <c r="AP16" s="26">
        <f t="shared" si="27"/>
        <v>14559</v>
      </c>
      <c r="AQ16" s="26">
        <f t="shared" si="27"/>
        <v>28414</v>
      </c>
      <c r="AR16" s="26">
        <f t="shared" si="27"/>
        <v>7726</v>
      </c>
      <c r="AS16" s="26">
        <f t="shared" si="27"/>
        <v>15499</v>
      </c>
      <c r="AT16" s="26">
        <f>AT17+AT20+AT21</f>
        <v>12230</v>
      </c>
      <c r="AU16" s="26">
        <f t="shared" si="27"/>
        <v>24656</v>
      </c>
      <c r="AV16" s="26">
        <f t="shared" si="27"/>
        <v>15653</v>
      </c>
      <c r="AW16" s="26">
        <f t="shared" si="27"/>
        <v>11923</v>
      </c>
      <c r="AX16" s="26">
        <f>AX17+AX20+AX21</f>
        <v>15097</v>
      </c>
      <c r="AY16" s="26">
        <f t="shared" si="27"/>
        <v>57510</v>
      </c>
      <c r="AZ16" s="26">
        <f t="shared" si="27"/>
        <v>5105</v>
      </c>
      <c r="BA16" s="26">
        <f t="shared" si="27"/>
        <v>7331</v>
      </c>
      <c r="BB16" s="26">
        <f t="shared" si="27"/>
        <v>22398</v>
      </c>
      <c r="BC16" s="26">
        <f t="shared" ref="BC16:BH16" si="28">BC17+BC20+BC21</f>
        <v>57186</v>
      </c>
      <c r="BD16" s="26">
        <f t="shared" si="28"/>
        <v>41755</v>
      </c>
      <c r="BE16" s="26">
        <f t="shared" si="28"/>
        <v>115165</v>
      </c>
      <c r="BF16" s="26">
        <f t="shared" si="28"/>
        <v>79569</v>
      </c>
      <c r="BG16" s="26">
        <f t="shared" si="28"/>
        <v>57832</v>
      </c>
      <c r="BH16" s="26">
        <f t="shared" si="28"/>
        <v>361516</v>
      </c>
      <c r="BI16" s="26">
        <f t="shared" ref="BI16:BL16" si="29">BI17+BI20+BI21</f>
        <v>111434</v>
      </c>
      <c r="BJ16" s="26">
        <f t="shared" si="29"/>
        <v>42755</v>
      </c>
      <c r="BK16" s="26">
        <f t="shared" si="29"/>
        <v>207688</v>
      </c>
      <c r="BL16" s="26">
        <f t="shared" si="29"/>
        <v>165113</v>
      </c>
      <c r="BM16" s="26">
        <f t="shared" ref="BM16:BP16" si="30">BM17+BM20+BM21</f>
        <v>55405</v>
      </c>
      <c r="BN16" s="26">
        <f t="shared" si="30"/>
        <v>106230</v>
      </c>
      <c r="BO16" s="26">
        <f t="shared" si="30"/>
        <v>109026</v>
      </c>
      <c r="BP16" s="26">
        <f t="shared" si="30"/>
        <v>32466</v>
      </c>
      <c r="BQ16" s="26">
        <f t="shared" ref="BQ16" si="31">BQ17+BQ20+BQ21</f>
        <v>50519</v>
      </c>
    </row>
    <row r="17" spans="1:69" ht="11.25" customHeight="1" x14ac:dyDescent="0.2">
      <c r="A17" s="24"/>
      <c r="B17" s="24"/>
      <c r="C17" s="24"/>
      <c r="D17" s="24" t="s">
        <v>145</v>
      </c>
      <c r="E17" s="24"/>
      <c r="F17" s="24"/>
      <c r="G17" s="25"/>
      <c r="H17" s="26">
        <f t="shared" ref="H17:M17" si="32">SUM(H18:H19)</f>
        <v>8827</v>
      </c>
      <c r="I17" s="26">
        <f t="shared" si="32"/>
        <v>5131</v>
      </c>
      <c r="J17" s="26">
        <f t="shared" si="32"/>
        <v>4074</v>
      </c>
      <c r="K17" s="26">
        <f t="shared" si="32"/>
        <v>1979</v>
      </c>
      <c r="L17" s="26">
        <f t="shared" si="32"/>
        <v>9216</v>
      </c>
      <c r="M17" s="26">
        <f t="shared" si="32"/>
        <v>6927</v>
      </c>
      <c r="N17" s="26">
        <f t="shared" ref="N17:AF17" si="33">SUM(N18:N19)</f>
        <v>8247</v>
      </c>
      <c r="O17" s="26">
        <f t="shared" si="33"/>
        <v>4131</v>
      </c>
      <c r="P17" s="26">
        <f t="shared" si="33"/>
        <v>9211</v>
      </c>
      <c r="Q17" s="26">
        <f t="shared" si="33"/>
        <v>7159</v>
      </c>
      <c r="R17" s="26">
        <f t="shared" si="33"/>
        <v>10725</v>
      </c>
      <c r="S17" s="26">
        <f t="shared" si="33"/>
        <v>20411</v>
      </c>
      <c r="T17" s="26">
        <f t="shared" si="33"/>
        <v>11189</v>
      </c>
      <c r="U17" s="26">
        <f t="shared" si="33"/>
        <v>16292</v>
      </c>
      <c r="V17" s="26">
        <f t="shared" si="33"/>
        <v>17776</v>
      </c>
      <c r="W17" s="26">
        <f t="shared" si="33"/>
        <v>12766</v>
      </c>
      <c r="X17" s="26">
        <f t="shared" si="33"/>
        <v>22066</v>
      </c>
      <c r="Y17" s="26">
        <f t="shared" si="33"/>
        <v>32390</v>
      </c>
      <c r="Z17" s="26">
        <f t="shared" si="33"/>
        <v>15297</v>
      </c>
      <c r="AA17" s="26">
        <f t="shared" si="33"/>
        <v>17356</v>
      </c>
      <c r="AB17" s="26">
        <f t="shared" si="33"/>
        <v>14813</v>
      </c>
      <c r="AC17" s="26">
        <f t="shared" si="33"/>
        <v>20918</v>
      </c>
      <c r="AD17" s="26">
        <f t="shared" si="33"/>
        <v>19925</v>
      </c>
      <c r="AE17" s="26">
        <f t="shared" si="33"/>
        <v>13305</v>
      </c>
      <c r="AF17" s="26">
        <f t="shared" si="33"/>
        <v>7700</v>
      </c>
      <c r="AG17" s="26">
        <f>SUM(AG18:AG19)</f>
        <v>5724</v>
      </c>
      <c r="AH17" s="26">
        <f>SUM(AH18:AH19)</f>
        <v>7755</v>
      </c>
      <c r="AI17" s="26">
        <f>SUM(AI18:AI19)</f>
        <v>5655</v>
      </c>
      <c r="AJ17" s="26">
        <f>SUM(AJ18:AJ19)</f>
        <v>4572</v>
      </c>
      <c r="AK17" s="26">
        <f t="shared" ref="AK17:BB17" si="34">SUM(AK18:AK19)</f>
        <v>10042</v>
      </c>
      <c r="AL17" s="26">
        <f>SUM(AL18:AL19)</f>
        <v>9664</v>
      </c>
      <c r="AM17" s="26">
        <f t="shared" si="34"/>
        <v>6480</v>
      </c>
      <c r="AN17" s="26">
        <f t="shared" si="34"/>
        <v>2180</v>
      </c>
      <c r="AO17" s="26">
        <f t="shared" si="34"/>
        <v>5504</v>
      </c>
      <c r="AP17" s="26">
        <f t="shared" si="34"/>
        <v>12836</v>
      </c>
      <c r="AQ17" s="26">
        <f t="shared" si="34"/>
        <v>27133</v>
      </c>
      <c r="AR17" s="26">
        <f t="shared" si="34"/>
        <v>6860</v>
      </c>
      <c r="AS17" s="26">
        <f t="shared" si="34"/>
        <v>14632</v>
      </c>
      <c r="AT17" s="26">
        <f>SUM(AT18:AT19)</f>
        <v>9747</v>
      </c>
      <c r="AU17" s="26">
        <f t="shared" si="34"/>
        <v>23299</v>
      </c>
      <c r="AV17" s="26">
        <f t="shared" si="34"/>
        <v>14524</v>
      </c>
      <c r="AW17" s="26">
        <f t="shared" si="34"/>
        <v>11050</v>
      </c>
      <c r="AX17" s="26">
        <f>SUM(AX18:AX19)</f>
        <v>13524</v>
      </c>
      <c r="AY17" s="26">
        <f t="shared" si="34"/>
        <v>56497</v>
      </c>
      <c r="AZ17" s="26">
        <f t="shared" si="34"/>
        <v>2844</v>
      </c>
      <c r="BA17" s="26">
        <f t="shared" si="34"/>
        <v>5745</v>
      </c>
      <c r="BB17" s="26">
        <f t="shared" si="34"/>
        <v>20371</v>
      </c>
      <c r="BC17" s="26">
        <f t="shared" ref="BC17:BH17" si="35">SUM(BC18:BC19)</f>
        <v>54689</v>
      </c>
      <c r="BD17" s="26">
        <f t="shared" si="35"/>
        <v>39120</v>
      </c>
      <c r="BE17" s="26">
        <f t="shared" si="35"/>
        <v>113902</v>
      </c>
      <c r="BF17" s="26">
        <f t="shared" si="35"/>
        <v>71535</v>
      </c>
      <c r="BG17" s="26">
        <f t="shared" si="35"/>
        <v>45929</v>
      </c>
      <c r="BH17" s="26">
        <f t="shared" si="35"/>
        <v>350133</v>
      </c>
      <c r="BI17" s="26">
        <f t="shared" ref="BI17:BL17" si="36">SUM(BI18:BI19)</f>
        <v>103992</v>
      </c>
      <c r="BJ17" s="26">
        <f t="shared" si="36"/>
        <v>33525</v>
      </c>
      <c r="BK17" s="26">
        <f t="shared" si="36"/>
        <v>198587</v>
      </c>
      <c r="BL17" s="26">
        <f t="shared" si="36"/>
        <v>157615</v>
      </c>
      <c r="BM17" s="26">
        <f t="shared" ref="BM17:BP17" si="37">SUM(BM18:BM19)</f>
        <v>51277</v>
      </c>
      <c r="BN17" s="26">
        <f t="shared" si="37"/>
        <v>96487</v>
      </c>
      <c r="BO17" s="26">
        <f t="shared" si="37"/>
        <v>101008</v>
      </c>
      <c r="BP17" s="26">
        <f t="shared" si="37"/>
        <v>25049</v>
      </c>
      <c r="BQ17" s="26">
        <f t="shared" ref="BQ17" si="38">SUM(BQ18:BQ19)</f>
        <v>45138</v>
      </c>
    </row>
    <row r="18" spans="1:69" ht="11.25" customHeight="1" x14ac:dyDescent="0.2">
      <c r="A18" s="17"/>
      <c r="B18" s="17"/>
      <c r="C18" s="17"/>
      <c r="D18" s="17"/>
      <c r="E18" s="18" t="s">
        <v>146</v>
      </c>
      <c r="F18" s="18"/>
      <c r="G18" s="21"/>
      <c r="H18" s="107">
        <v>0</v>
      </c>
      <c r="I18" s="107">
        <v>0</v>
      </c>
      <c r="J18" s="107">
        <v>0</v>
      </c>
      <c r="K18" s="107">
        <v>1271</v>
      </c>
      <c r="L18" s="107">
        <v>0</v>
      </c>
      <c r="M18" s="107">
        <v>0</v>
      </c>
      <c r="N18" s="107">
        <v>0</v>
      </c>
      <c r="O18" s="107">
        <v>3529</v>
      </c>
      <c r="P18" s="107">
        <v>7694</v>
      </c>
      <c r="Q18" s="107">
        <v>6687</v>
      </c>
      <c r="R18" s="107">
        <v>10282</v>
      </c>
      <c r="S18" s="107">
        <v>18964</v>
      </c>
      <c r="T18" s="107">
        <v>10667</v>
      </c>
      <c r="U18" s="107">
        <v>15672</v>
      </c>
      <c r="V18" s="107">
        <v>16424</v>
      </c>
      <c r="W18" s="107">
        <v>11272</v>
      </c>
      <c r="X18" s="107">
        <v>21704</v>
      </c>
      <c r="Y18" s="107">
        <v>31966</v>
      </c>
      <c r="Z18" s="107">
        <v>14725</v>
      </c>
      <c r="AA18" s="107">
        <v>16180</v>
      </c>
      <c r="AB18" s="107">
        <v>14326</v>
      </c>
      <c r="AC18" s="107">
        <v>20082</v>
      </c>
      <c r="AD18" s="107">
        <v>19133</v>
      </c>
      <c r="AE18" s="107">
        <v>12296</v>
      </c>
      <c r="AF18" s="194">
        <v>6830</v>
      </c>
      <c r="AG18" s="194">
        <v>3626</v>
      </c>
      <c r="AH18" s="194">
        <v>6676</v>
      </c>
      <c r="AI18" s="194">
        <v>4155</v>
      </c>
      <c r="AJ18" s="194">
        <v>3345</v>
      </c>
      <c r="AK18" s="194">
        <v>8756</v>
      </c>
      <c r="AL18" s="194">
        <v>8838</v>
      </c>
      <c r="AM18" s="194">
        <v>4626</v>
      </c>
      <c r="AN18" s="194">
        <v>1439</v>
      </c>
      <c r="AO18" s="194">
        <v>4703</v>
      </c>
      <c r="AP18" s="194">
        <v>11742</v>
      </c>
      <c r="AQ18" s="194">
        <v>25737</v>
      </c>
      <c r="AR18" s="194">
        <v>6042</v>
      </c>
      <c r="AS18" s="194">
        <v>13891</v>
      </c>
      <c r="AT18" s="194">
        <v>8953</v>
      </c>
      <c r="AU18" s="194">
        <v>21377</v>
      </c>
      <c r="AV18" s="194">
        <v>13312</v>
      </c>
      <c r="AW18" s="194">
        <v>9659</v>
      </c>
      <c r="AX18" s="194">
        <v>12346</v>
      </c>
      <c r="AY18" s="194">
        <v>54290</v>
      </c>
      <c r="AZ18" s="194">
        <v>1147</v>
      </c>
      <c r="BA18" s="194">
        <v>3208</v>
      </c>
      <c r="BB18" s="194">
        <v>15462</v>
      </c>
      <c r="BC18" s="194">
        <v>47449</v>
      </c>
      <c r="BD18" s="194">
        <v>29700</v>
      </c>
      <c r="BE18" s="194">
        <v>101634</v>
      </c>
      <c r="BF18" s="194">
        <v>42739</v>
      </c>
      <c r="BG18" s="194">
        <v>14879</v>
      </c>
      <c r="BH18" s="194">
        <v>317570</v>
      </c>
      <c r="BI18" s="194">
        <v>70611</v>
      </c>
      <c r="BJ18" s="194">
        <v>5777</v>
      </c>
      <c r="BK18" s="194">
        <v>159219</v>
      </c>
      <c r="BL18" s="194">
        <v>128932</v>
      </c>
      <c r="BM18" s="194">
        <v>22474</v>
      </c>
      <c r="BN18" s="194">
        <v>68950</v>
      </c>
      <c r="BO18" s="194">
        <v>92829</v>
      </c>
      <c r="BP18" s="231">
        <v>23108</v>
      </c>
      <c r="BQ18" s="231">
        <v>31322</v>
      </c>
    </row>
    <row r="19" spans="1:69" ht="11.25" customHeight="1" x14ac:dyDescent="0.2">
      <c r="A19" s="17"/>
      <c r="B19" s="17"/>
      <c r="C19" s="17"/>
      <c r="D19" s="17"/>
      <c r="E19" s="18" t="s">
        <v>147</v>
      </c>
      <c r="F19" s="18"/>
      <c r="G19" s="21"/>
      <c r="H19" s="107">
        <v>8827</v>
      </c>
      <c r="I19" s="107">
        <v>5131</v>
      </c>
      <c r="J19" s="107">
        <v>4074</v>
      </c>
      <c r="K19" s="107">
        <v>708</v>
      </c>
      <c r="L19" s="107">
        <v>9216</v>
      </c>
      <c r="M19" s="107">
        <v>6927</v>
      </c>
      <c r="N19" s="107">
        <v>8247</v>
      </c>
      <c r="O19" s="107">
        <v>602</v>
      </c>
      <c r="P19" s="107">
        <v>1517</v>
      </c>
      <c r="Q19" s="107">
        <v>472</v>
      </c>
      <c r="R19" s="107">
        <v>443</v>
      </c>
      <c r="S19" s="107">
        <v>1447</v>
      </c>
      <c r="T19" s="107">
        <v>522</v>
      </c>
      <c r="U19" s="107">
        <v>620</v>
      </c>
      <c r="V19" s="107">
        <v>1352</v>
      </c>
      <c r="W19" s="107">
        <v>1494</v>
      </c>
      <c r="X19" s="107">
        <v>362</v>
      </c>
      <c r="Y19" s="107">
        <v>424</v>
      </c>
      <c r="Z19" s="107">
        <v>572</v>
      </c>
      <c r="AA19" s="107">
        <v>1176</v>
      </c>
      <c r="AB19" s="107">
        <v>487</v>
      </c>
      <c r="AC19" s="107">
        <v>836</v>
      </c>
      <c r="AD19" s="107">
        <v>792</v>
      </c>
      <c r="AE19" s="107">
        <v>1009</v>
      </c>
      <c r="AF19" s="194">
        <v>870</v>
      </c>
      <c r="AG19" s="194">
        <v>2098</v>
      </c>
      <c r="AH19" s="194">
        <v>1079</v>
      </c>
      <c r="AI19" s="194">
        <v>1500</v>
      </c>
      <c r="AJ19" s="194">
        <v>1227</v>
      </c>
      <c r="AK19" s="194">
        <v>1286</v>
      </c>
      <c r="AL19" s="194">
        <v>826</v>
      </c>
      <c r="AM19" s="194">
        <v>1854</v>
      </c>
      <c r="AN19" s="194">
        <v>741</v>
      </c>
      <c r="AO19" s="194">
        <v>801</v>
      </c>
      <c r="AP19" s="194">
        <v>1094</v>
      </c>
      <c r="AQ19" s="194">
        <v>1396</v>
      </c>
      <c r="AR19" s="194">
        <v>818</v>
      </c>
      <c r="AS19" s="194">
        <v>741</v>
      </c>
      <c r="AT19" s="194">
        <v>794</v>
      </c>
      <c r="AU19" s="194">
        <v>1922</v>
      </c>
      <c r="AV19" s="194">
        <v>1212</v>
      </c>
      <c r="AW19" s="194">
        <v>1391</v>
      </c>
      <c r="AX19" s="194">
        <v>1178</v>
      </c>
      <c r="AY19" s="194">
        <v>2207</v>
      </c>
      <c r="AZ19" s="194">
        <v>1697</v>
      </c>
      <c r="BA19" s="194">
        <v>2537</v>
      </c>
      <c r="BB19" s="194">
        <v>4909</v>
      </c>
      <c r="BC19" s="194">
        <v>7240</v>
      </c>
      <c r="BD19" s="194">
        <v>9420</v>
      </c>
      <c r="BE19" s="194">
        <v>12268</v>
      </c>
      <c r="BF19" s="194">
        <v>28796</v>
      </c>
      <c r="BG19" s="194">
        <v>31050</v>
      </c>
      <c r="BH19" s="194">
        <v>32563</v>
      </c>
      <c r="BI19" s="194">
        <v>33381</v>
      </c>
      <c r="BJ19" s="194">
        <v>27748</v>
      </c>
      <c r="BK19" s="194">
        <v>39368</v>
      </c>
      <c r="BL19" s="194">
        <v>28683</v>
      </c>
      <c r="BM19" s="194">
        <v>28803</v>
      </c>
      <c r="BN19" s="194">
        <v>27537</v>
      </c>
      <c r="BO19" s="194">
        <v>8179</v>
      </c>
      <c r="BP19" s="231">
        <v>1941</v>
      </c>
      <c r="BQ19" s="231">
        <v>13816</v>
      </c>
    </row>
    <row r="20" spans="1:69" ht="11" customHeight="1" x14ac:dyDescent="0.2">
      <c r="A20" s="17"/>
      <c r="B20" s="17"/>
      <c r="C20" s="17"/>
      <c r="D20" s="18" t="s">
        <v>148</v>
      </c>
      <c r="E20" s="17"/>
      <c r="F20" s="17"/>
      <c r="G20" s="21"/>
      <c r="H20" s="107">
        <v>0</v>
      </c>
      <c r="I20" s="107">
        <v>0</v>
      </c>
      <c r="J20" s="107">
        <v>0</v>
      </c>
      <c r="K20" s="107">
        <v>324</v>
      </c>
      <c r="L20" s="107">
        <v>0</v>
      </c>
      <c r="M20" s="107">
        <v>0</v>
      </c>
      <c r="N20" s="107">
        <v>0</v>
      </c>
      <c r="O20" s="107">
        <v>632</v>
      </c>
      <c r="P20" s="107">
        <v>688</v>
      </c>
      <c r="Q20" s="107">
        <v>712</v>
      </c>
      <c r="R20" s="107">
        <v>1093</v>
      </c>
      <c r="S20" s="107">
        <v>599</v>
      </c>
      <c r="T20" s="107">
        <v>1272</v>
      </c>
      <c r="U20" s="107">
        <v>188</v>
      </c>
      <c r="V20" s="107">
        <v>779</v>
      </c>
      <c r="W20" s="107">
        <v>487</v>
      </c>
      <c r="X20" s="107">
        <v>1511</v>
      </c>
      <c r="Y20" s="107">
        <v>942</v>
      </c>
      <c r="Z20" s="107">
        <v>1477</v>
      </c>
      <c r="AA20" s="107">
        <v>990</v>
      </c>
      <c r="AB20" s="107">
        <v>1114</v>
      </c>
      <c r="AC20" s="107">
        <v>209</v>
      </c>
      <c r="AD20" s="107">
        <v>919</v>
      </c>
      <c r="AE20" s="107">
        <v>387</v>
      </c>
      <c r="AF20" s="194">
        <v>159</v>
      </c>
      <c r="AG20" s="194">
        <v>344</v>
      </c>
      <c r="AH20" s="194">
        <v>499</v>
      </c>
      <c r="AI20" s="194">
        <v>828</v>
      </c>
      <c r="AJ20" s="194">
        <v>460</v>
      </c>
      <c r="AK20" s="194">
        <v>678</v>
      </c>
      <c r="AL20" s="194">
        <v>2973</v>
      </c>
      <c r="AM20" s="194">
        <v>1370</v>
      </c>
      <c r="AN20" s="194">
        <v>598</v>
      </c>
      <c r="AO20" s="194">
        <v>514</v>
      </c>
      <c r="AP20" s="194">
        <v>1300</v>
      </c>
      <c r="AQ20" s="194">
        <v>1035</v>
      </c>
      <c r="AR20" s="194">
        <v>470</v>
      </c>
      <c r="AS20" s="194">
        <v>614</v>
      </c>
      <c r="AT20" s="194">
        <v>2181</v>
      </c>
      <c r="AU20" s="194">
        <v>994</v>
      </c>
      <c r="AV20" s="194">
        <v>638</v>
      </c>
      <c r="AW20" s="194">
        <v>475</v>
      </c>
      <c r="AX20" s="194">
        <v>1221</v>
      </c>
      <c r="AY20" s="194">
        <v>653</v>
      </c>
      <c r="AZ20" s="194">
        <v>1601</v>
      </c>
      <c r="BA20" s="194">
        <v>1241</v>
      </c>
      <c r="BB20" s="194">
        <v>1679</v>
      </c>
      <c r="BC20" s="194">
        <v>2126</v>
      </c>
      <c r="BD20" s="194">
        <v>1582</v>
      </c>
      <c r="BE20" s="194">
        <v>881</v>
      </c>
      <c r="BF20" s="194">
        <v>7655</v>
      </c>
      <c r="BG20" s="194">
        <v>11326</v>
      </c>
      <c r="BH20" s="194">
        <v>9400</v>
      </c>
      <c r="BI20" s="194">
        <v>6622</v>
      </c>
      <c r="BJ20" s="194">
        <v>8277</v>
      </c>
      <c r="BK20" s="194">
        <v>7770</v>
      </c>
      <c r="BL20" s="194">
        <v>4278</v>
      </c>
      <c r="BM20" s="194">
        <v>2604</v>
      </c>
      <c r="BN20" s="194">
        <v>8231</v>
      </c>
      <c r="BO20" s="194">
        <v>6609</v>
      </c>
      <c r="BP20" s="231">
        <v>4717</v>
      </c>
      <c r="BQ20" s="231">
        <v>3563</v>
      </c>
    </row>
    <row r="21" spans="1:69" ht="11.25" customHeight="1" x14ac:dyDescent="0.2">
      <c r="A21" s="17"/>
      <c r="B21" s="17"/>
      <c r="C21" s="17"/>
      <c r="D21" s="18" t="s">
        <v>149</v>
      </c>
      <c r="E21" s="18"/>
      <c r="F21" s="18"/>
      <c r="G21" s="21"/>
      <c r="H21" s="107">
        <v>0</v>
      </c>
      <c r="I21" s="107">
        <v>0</v>
      </c>
      <c r="J21" s="107">
        <v>0</v>
      </c>
      <c r="K21" s="107">
        <v>173</v>
      </c>
      <c r="L21" s="107">
        <v>0</v>
      </c>
      <c r="M21" s="107">
        <v>0</v>
      </c>
      <c r="N21" s="107">
        <v>0</v>
      </c>
      <c r="O21" s="107">
        <v>75</v>
      </c>
      <c r="P21" s="107">
        <v>93</v>
      </c>
      <c r="Q21" s="107">
        <v>129</v>
      </c>
      <c r="R21" s="107">
        <v>115</v>
      </c>
      <c r="S21" s="107">
        <v>141</v>
      </c>
      <c r="T21" s="107">
        <v>151</v>
      </c>
      <c r="U21" s="107">
        <v>85</v>
      </c>
      <c r="V21" s="107">
        <v>79</v>
      </c>
      <c r="W21" s="107">
        <v>99</v>
      </c>
      <c r="X21" s="107">
        <v>99</v>
      </c>
      <c r="Y21" s="107">
        <v>119</v>
      </c>
      <c r="Z21" s="107">
        <v>133</v>
      </c>
      <c r="AA21" s="107">
        <v>259</v>
      </c>
      <c r="AB21" s="107">
        <v>270</v>
      </c>
      <c r="AC21" s="107">
        <v>367</v>
      </c>
      <c r="AD21" s="107">
        <v>197</v>
      </c>
      <c r="AE21" s="107">
        <v>234</v>
      </c>
      <c r="AF21" s="194">
        <v>283</v>
      </c>
      <c r="AG21" s="194">
        <v>250</v>
      </c>
      <c r="AH21" s="194">
        <v>144</v>
      </c>
      <c r="AI21" s="194">
        <v>219</v>
      </c>
      <c r="AJ21" s="194">
        <v>289</v>
      </c>
      <c r="AK21" s="194">
        <v>188</v>
      </c>
      <c r="AL21" s="194">
        <v>128</v>
      </c>
      <c r="AM21" s="194">
        <v>145</v>
      </c>
      <c r="AN21" s="194">
        <v>335</v>
      </c>
      <c r="AO21" s="194">
        <v>209</v>
      </c>
      <c r="AP21" s="194">
        <v>423</v>
      </c>
      <c r="AQ21" s="194">
        <v>246</v>
      </c>
      <c r="AR21" s="194">
        <v>396</v>
      </c>
      <c r="AS21" s="194">
        <v>253</v>
      </c>
      <c r="AT21" s="194">
        <v>302</v>
      </c>
      <c r="AU21" s="194">
        <v>363</v>
      </c>
      <c r="AV21" s="194">
        <v>491</v>
      </c>
      <c r="AW21" s="194">
        <v>398</v>
      </c>
      <c r="AX21" s="194">
        <v>352</v>
      </c>
      <c r="AY21" s="194">
        <v>360</v>
      </c>
      <c r="AZ21" s="194">
        <v>660</v>
      </c>
      <c r="BA21" s="194">
        <v>345</v>
      </c>
      <c r="BB21" s="194">
        <v>348</v>
      </c>
      <c r="BC21" s="194">
        <v>371</v>
      </c>
      <c r="BD21" s="194">
        <v>1053</v>
      </c>
      <c r="BE21" s="194">
        <v>382</v>
      </c>
      <c r="BF21" s="194">
        <v>379</v>
      </c>
      <c r="BG21" s="194">
        <v>577</v>
      </c>
      <c r="BH21" s="194">
        <v>1983</v>
      </c>
      <c r="BI21" s="194">
        <v>820</v>
      </c>
      <c r="BJ21" s="194">
        <v>953</v>
      </c>
      <c r="BK21" s="194">
        <v>1331</v>
      </c>
      <c r="BL21" s="194">
        <v>3220</v>
      </c>
      <c r="BM21" s="194">
        <v>1524</v>
      </c>
      <c r="BN21" s="194">
        <v>1512</v>
      </c>
      <c r="BO21" s="194">
        <v>1409</v>
      </c>
      <c r="BP21" s="231">
        <v>2700</v>
      </c>
      <c r="BQ21" s="231">
        <v>1818</v>
      </c>
    </row>
    <row r="22" spans="1:69" ht="11.25" customHeight="1" x14ac:dyDescent="0.25">
      <c r="A22" s="27"/>
      <c r="B22" s="27"/>
      <c r="C22" s="27" t="s">
        <v>150</v>
      </c>
      <c r="D22" s="27"/>
      <c r="E22" s="27"/>
      <c r="F22" s="27"/>
      <c r="G22" s="25"/>
      <c r="H22" s="26">
        <f>H23</f>
        <v>225868</v>
      </c>
      <c r="I22" s="26">
        <f t="shared" ref="I22:BL22" si="39">I23</f>
        <v>281359</v>
      </c>
      <c r="J22" s="26">
        <f t="shared" si="39"/>
        <v>167529</v>
      </c>
      <c r="K22" s="26">
        <f t="shared" si="39"/>
        <v>232263</v>
      </c>
      <c r="L22" s="26">
        <f t="shared" si="39"/>
        <v>314936</v>
      </c>
      <c r="M22" s="26">
        <f t="shared" si="39"/>
        <v>282661</v>
      </c>
      <c r="N22" s="26">
        <f t="shared" si="39"/>
        <v>273771</v>
      </c>
      <c r="O22" s="26">
        <f t="shared" si="39"/>
        <v>260117</v>
      </c>
      <c r="P22" s="26">
        <f t="shared" si="39"/>
        <v>337655</v>
      </c>
      <c r="Q22" s="26">
        <f t="shared" si="39"/>
        <v>280080</v>
      </c>
      <c r="R22" s="26">
        <f t="shared" si="39"/>
        <v>330204</v>
      </c>
      <c r="S22" s="26">
        <f t="shared" si="39"/>
        <v>384735</v>
      </c>
      <c r="T22" s="26">
        <f t="shared" si="39"/>
        <v>379901</v>
      </c>
      <c r="U22" s="26">
        <f t="shared" si="39"/>
        <v>415370</v>
      </c>
      <c r="V22" s="26">
        <f t="shared" si="39"/>
        <v>413143</v>
      </c>
      <c r="W22" s="26">
        <f t="shared" si="39"/>
        <v>435498</v>
      </c>
      <c r="X22" s="26">
        <f t="shared" si="39"/>
        <v>460339</v>
      </c>
      <c r="Y22" s="26">
        <f t="shared" si="39"/>
        <v>536482</v>
      </c>
      <c r="Z22" s="26">
        <f t="shared" si="39"/>
        <v>583760</v>
      </c>
      <c r="AA22" s="26">
        <f t="shared" si="39"/>
        <v>692418</v>
      </c>
      <c r="AB22" s="26">
        <f t="shared" si="39"/>
        <v>723700</v>
      </c>
      <c r="AC22" s="26">
        <f t="shared" si="39"/>
        <v>738647</v>
      </c>
      <c r="AD22" s="26">
        <f t="shared" si="39"/>
        <v>838609</v>
      </c>
      <c r="AE22" s="26">
        <f t="shared" si="39"/>
        <v>780739</v>
      </c>
      <c r="AF22" s="26">
        <f t="shared" si="39"/>
        <v>872278</v>
      </c>
      <c r="AG22" s="26">
        <f t="shared" si="39"/>
        <v>795480</v>
      </c>
      <c r="AH22" s="26">
        <f t="shared" si="39"/>
        <v>918679</v>
      </c>
      <c r="AI22" s="26">
        <f t="shared" si="39"/>
        <v>931732</v>
      </c>
      <c r="AJ22" s="26">
        <f t="shared" si="39"/>
        <v>993032</v>
      </c>
      <c r="AK22" s="26">
        <f t="shared" si="39"/>
        <v>804310</v>
      </c>
      <c r="AL22" s="26">
        <f t="shared" si="39"/>
        <v>994991</v>
      </c>
      <c r="AM22" s="26">
        <f t="shared" si="39"/>
        <v>1155641</v>
      </c>
      <c r="AN22" s="26">
        <f t="shared" si="39"/>
        <v>1223220</v>
      </c>
      <c r="AO22" s="26">
        <f t="shared" si="39"/>
        <v>949311</v>
      </c>
      <c r="AP22" s="26">
        <f t="shared" si="39"/>
        <v>838167</v>
      </c>
      <c r="AQ22" s="26">
        <f t="shared" si="39"/>
        <v>860976</v>
      </c>
      <c r="AR22" s="26">
        <f t="shared" si="39"/>
        <v>691357</v>
      </c>
      <c r="AS22" s="26">
        <f t="shared" si="39"/>
        <v>825197</v>
      </c>
      <c r="AT22" s="26">
        <f t="shared" si="39"/>
        <v>925306</v>
      </c>
      <c r="AU22" s="26">
        <f t="shared" si="39"/>
        <v>738712</v>
      </c>
      <c r="AV22" s="26">
        <f t="shared" si="39"/>
        <v>830213</v>
      </c>
      <c r="AW22" s="26">
        <f t="shared" si="39"/>
        <v>881351</v>
      </c>
      <c r="AX22" s="26">
        <f t="shared" si="39"/>
        <v>980468</v>
      </c>
      <c r="AY22" s="26">
        <f t="shared" si="39"/>
        <v>699515</v>
      </c>
      <c r="AZ22" s="26">
        <f t="shared" si="39"/>
        <v>990103</v>
      </c>
      <c r="BA22" s="26">
        <f t="shared" si="39"/>
        <v>967431</v>
      </c>
      <c r="BB22" s="26">
        <f t="shared" si="39"/>
        <v>959531</v>
      </c>
      <c r="BC22" s="26">
        <f t="shared" si="39"/>
        <v>377547</v>
      </c>
      <c r="BD22" s="26">
        <f t="shared" si="39"/>
        <v>1007863</v>
      </c>
      <c r="BE22" s="26">
        <f t="shared" si="39"/>
        <v>1130885</v>
      </c>
      <c r="BF22" s="26">
        <f t="shared" si="39"/>
        <v>1174190</v>
      </c>
      <c r="BG22" s="26">
        <f t="shared" si="39"/>
        <v>669735</v>
      </c>
      <c r="BH22" s="26">
        <f t="shared" si="39"/>
        <v>768177</v>
      </c>
      <c r="BI22" s="26">
        <f t="shared" si="39"/>
        <v>1434202</v>
      </c>
      <c r="BJ22" s="26">
        <f t="shared" si="39"/>
        <v>1843265</v>
      </c>
      <c r="BK22" s="26">
        <f t="shared" si="39"/>
        <v>1281537</v>
      </c>
      <c r="BL22" s="26">
        <f t="shared" si="39"/>
        <v>1705770</v>
      </c>
      <c r="BM22" s="26">
        <f>BM23</f>
        <v>2098862</v>
      </c>
      <c r="BN22" s="26">
        <f>BN23</f>
        <v>1918472</v>
      </c>
      <c r="BO22" s="26">
        <f t="shared" ref="BO22:BQ22" si="40">BO23</f>
        <v>1413552</v>
      </c>
      <c r="BP22" s="26">
        <f t="shared" si="40"/>
        <v>2161099</v>
      </c>
      <c r="BQ22" s="26">
        <f t="shared" si="40"/>
        <v>2444289</v>
      </c>
    </row>
    <row r="23" spans="1:69" ht="11.25" customHeight="1" x14ac:dyDescent="0.2">
      <c r="A23" s="24"/>
      <c r="B23" s="24"/>
      <c r="C23" s="24"/>
      <c r="D23" s="24" t="s">
        <v>150</v>
      </c>
      <c r="E23" s="24"/>
      <c r="F23" s="24"/>
      <c r="G23" s="25"/>
      <c r="H23" s="26">
        <f t="shared" ref="H23:AF23" si="41">SUM(H24:H25)</f>
        <v>225868</v>
      </c>
      <c r="I23" s="26">
        <f t="shared" si="41"/>
        <v>281359</v>
      </c>
      <c r="J23" s="26">
        <f t="shared" si="41"/>
        <v>167529</v>
      </c>
      <c r="K23" s="26">
        <f t="shared" si="41"/>
        <v>232263</v>
      </c>
      <c r="L23" s="26">
        <f t="shared" si="41"/>
        <v>314936</v>
      </c>
      <c r="M23" s="26">
        <f t="shared" si="41"/>
        <v>282661</v>
      </c>
      <c r="N23" s="26">
        <f t="shared" si="41"/>
        <v>273771</v>
      </c>
      <c r="O23" s="26">
        <f t="shared" si="41"/>
        <v>260117</v>
      </c>
      <c r="P23" s="26">
        <f t="shared" si="41"/>
        <v>337655</v>
      </c>
      <c r="Q23" s="26">
        <f t="shared" si="41"/>
        <v>280080</v>
      </c>
      <c r="R23" s="26">
        <f t="shared" si="41"/>
        <v>330204</v>
      </c>
      <c r="S23" s="26">
        <f t="shared" si="41"/>
        <v>384735</v>
      </c>
      <c r="T23" s="26">
        <f t="shared" si="41"/>
        <v>379901</v>
      </c>
      <c r="U23" s="26">
        <f t="shared" si="41"/>
        <v>415370</v>
      </c>
      <c r="V23" s="26">
        <f t="shared" si="41"/>
        <v>413143</v>
      </c>
      <c r="W23" s="26">
        <f t="shared" si="41"/>
        <v>435498</v>
      </c>
      <c r="X23" s="26">
        <f t="shared" si="41"/>
        <v>460339</v>
      </c>
      <c r="Y23" s="26">
        <f t="shared" si="41"/>
        <v>536482</v>
      </c>
      <c r="Z23" s="26">
        <f t="shared" si="41"/>
        <v>583760</v>
      </c>
      <c r="AA23" s="26">
        <f t="shared" si="41"/>
        <v>692418</v>
      </c>
      <c r="AB23" s="26">
        <f t="shared" si="41"/>
        <v>723700</v>
      </c>
      <c r="AC23" s="26">
        <f t="shared" si="41"/>
        <v>738647</v>
      </c>
      <c r="AD23" s="26">
        <f t="shared" si="41"/>
        <v>838609</v>
      </c>
      <c r="AE23" s="26">
        <f t="shared" si="41"/>
        <v>780739</v>
      </c>
      <c r="AF23" s="26">
        <f t="shared" si="41"/>
        <v>872278</v>
      </c>
      <c r="AG23" s="26">
        <f>SUM(AG24:AG25)</f>
        <v>795480</v>
      </c>
      <c r="AH23" s="26">
        <f>SUM(AH24:AH25)</f>
        <v>918679</v>
      </c>
      <c r="AI23" s="26">
        <f>SUM(AI24:AI25)</f>
        <v>931732</v>
      </c>
      <c r="AJ23" s="26">
        <f>SUM(AJ24:AJ25)</f>
        <v>993032</v>
      </c>
      <c r="AK23" s="26">
        <f t="shared" ref="AK23:BB23" si="42">SUM(AK24:AK25)</f>
        <v>804310</v>
      </c>
      <c r="AL23" s="26">
        <f t="shared" si="42"/>
        <v>994991</v>
      </c>
      <c r="AM23" s="26">
        <f t="shared" si="42"/>
        <v>1155641</v>
      </c>
      <c r="AN23" s="26">
        <f t="shared" si="42"/>
        <v>1223220</v>
      </c>
      <c r="AO23" s="26">
        <f t="shared" si="42"/>
        <v>949311</v>
      </c>
      <c r="AP23" s="26">
        <f t="shared" si="42"/>
        <v>838167</v>
      </c>
      <c r="AQ23" s="26">
        <f t="shared" si="42"/>
        <v>860976</v>
      </c>
      <c r="AR23" s="26">
        <f t="shared" si="42"/>
        <v>691357</v>
      </c>
      <c r="AS23" s="26">
        <f t="shared" si="42"/>
        <v>825197</v>
      </c>
      <c r="AT23" s="26">
        <f>SUM(AT24:AT25)</f>
        <v>925306</v>
      </c>
      <c r="AU23" s="26">
        <f t="shared" si="42"/>
        <v>738712</v>
      </c>
      <c r="AV23" s="26">
        <f t="shared" si="42"/>
        <v>830213</v>
      </c>
      <c r="AW23" s="26">
        <f t="shared" si="42"/>
        <v>881351</v>
      </c>
      <c r="AX23" s="26">
        <f>SUM(AX24:AX25)</f>
        <v>980468</v>
      </c>
      <c r="AY23" s="26">
        <f t="shared" si="42"/>
        <v>699515</v>
      </c>
      <c r="AZ23" s="26">
        <f t="shared" si="42"/>
        <v>990103</v>
      </c>
      <c r="BA23" s="26">
        <f t="shared" si="42"/>
        <v>967431</v>
      </c>
      <c r="BB23" s="26">
        <f t="shared" si="42"/>
        <v>959531</v>
      </c>
      <c r="BC23" s="26">
        <f t="shared" ref="BC23:BH23" si="43">SUM(BC24:BC25)</f>
        <v>377547</v>
      </c>
      <c r="BD23" s="26">
        <f t="shared" si="43"/>
        <v>1007863</v>
      </c>
      <c r="BE23" s="26">
        <f t="shared" si="43"/>
        <v>1130885</v>
      </c>
      <c r="BF23" s="26">
        <f t="shared" si="43"/>
        <v>1174190</v>
      </c>
      <c r="BG23" s="26">
        <f t="shared" si="43"/>
        <v>669735</v>
      </c>
      <c r="BH23" s="26">
        <f t="shared" si="43"/>
        <v>768177</v>
      </c>
      <c r="BI23" s="26">
        <f t="shared" ref="BI23:BL23" si="44">SUM(BI24:BI25)</f>
        <v>1434202</v>
      </c>
      <c r="BJ23" s="26">
        <f t="shared" si="44"/>
        <v>1843265</v>
      </c>
      <c r="BK23" s="26">
        <f t="shared" si="44"/>
        <v>1281537</v>
      </c>
      <c r="BL23" s="26">
        <f t="shared" si="44"/>
        <v>1705770</v>
      </c>
      <c r="BM23" s="26">
        <f>SUM(BM24:BM25)</f>
        <v>2098862</v>
      </c>
      <c r="BN23" s="26">
        <f>SUM(BN24:BN25)</f>
        <v>1918472</v>
      </c>
      <c r="BO23" s="26">
        <f t="shared" ref="BO23:BP23" si="45">SUM(BO24:BO25)</f>
        <v>1413552</v>
      </c>
      <c r="BP23" s="26">
        <f t="shared" si="45"/>
        <v>2161099</v>
      </c>
      <c r="BQ23" s="26">
        <f t="shared" ref="BQ23" si="46">SUM(BQ24:BQ25)</f>
        <v>2444289</v>
      </c>
    </row>
    <row r="24" spans="1:69" ht="11.25" customHeight="1" x14ac:dyDescent="0.2">
      <c r="A24" s="17"/>
      <c r="B24" s="17"/>
      <c r="C24" s="17"/>
      <c r="D24" s="17"/>
      <c r="E24" s="18" t="s">
        <v>151</v>
      </c>
      <c r="F24" s="18"/>
      <c r="G24" s="21"/>
      <c r="H24" s="107">
        <v>225868</v>
      </c>
      <c r="I24" s="107">
        <v>281359</v>
      </c>
      <c r="J24" s="107">
        <v>167529</v>
      </c>
      <c r="K24" s="107">
        <v>232263</v>
      </c>
      <c r="L24" s="107">
        <v>314936</v>
      </c>
      <c r="M24" s="107">
        <v>282661</v>
      </c>
      <c r="N24" s="107">
        <v>273771</v>
      </c>
      <c r="O24" s="107">
        <v>260117</v>
      </c>
      <c r="P24" s="107">
        <v>337655</v>
      </c>
      <c r="Q24" s="107">
        <v>280080</v>
      </c>
      <c r="R24" s="107">
        <v>330204</v>
      </c>
      <c r="S24" s="107">
        <v>277401</v>
      </c>
      <c r="T24" s="107">
        <v>366700</v>
      </c>
      <c r="U24" s="107">
        <v>318143</v>
      </c>
      <c r="V24" s="107">
        <v>317946</v>
      </c>
      <c r="W24" s="107">
        <v>340432</v>
      </c>
      <c r="X24" s="107">
        <v>366455</v>
      </c>
      <c r="Y24" s="107">
        <v>435622</v>
      </c>
      <c r="Z24" s="107">
        <v>478854</v>
      </c>
      <c r="AA24" s="107">
        <v>589981.10208198999</v>
      </c>
      <c r="AB24" s="107">
        <v>614333</v>
      </c>
      <c r="AC24" s="107">
        <v>666705.272164725</v>
      </c>
      <c r="AD24" s="107">
        <v>756967</v>
      </c>
      <c r="AE24" s="107">
        <v>697111</v>
      </c>
      <c r="AF24" s="194">
        <v>759330</v>
      </c>
      <c r="AG24" s="194">
        <v>596922</v>
      </c>
      <c r="AH24" s="194">
        <v>557673</v>
      </c>
      <c r="AI24" s="194">
        <v>691775</v>
      </c>
      <c r="AJ24" s="194">
        <v>811492</v>
      </c>
      <c r="AK24" s="194">
        <v>605778</v>
      </c>
      <c r="AL24" s="194">
        <v>806475</v>
      </c>
      <c r="AM24" s="194">
        <v>913499</v>
      </c>
      <c r="AN24" s="194">
        <v>1032771</v>
      </c>
      <c r="AO24" s="194">
        <v>807072</v>
      </c>
      <c r="AP24" s="194">
        <v>697932</v>
      </c>
      <c r="AQ24" s="194">
        <v>718405</v>
      </c>
      <c r="AR24" s="194">
        <v>548786</v>
      </c>
      <c r="AS24" s="194">
        <v>659658</v>
      </c>
      <c r="AT24" s="194">
        <v>749270</v>
      </c>
      <c r="AU24" s="194">
        <v>571371</v>
      </c>
      <c r="AV24" s="194">
        <v>670996</v>
      </c>
      <c r="AW24" s="194">
        <v>881351</v>
      </c>
      <c r="AX24" s="194">
        <v>980468</v>
      </c>
      <c r="AY24" s="194">
        <v>699515</v>
      </c>
      <c r="AZ24" s="194">
        <v>990103</v>
      </c>
      <c r="BA24" s="194">
        <v>967431</v>
      </c>
      <c r="BB24" s="194">
        <v>959531</v>
      </c>
      <c r="BC24" s="194">
        <v>377547</v>
      </c>
      <c r="BD24" s="194">
        <v>1007863</v>
      </c>
      <c r="BE24" s="194">
        <v>1130885</v>
      </c>
      <c r="BF24" s="194">
        <v>1174190</v>
      </c>
      <c r="BG24" s="194">
        <v>669735</v>
      </c>
      <c r="BH24" s="194">
        <v>768177</v>
      </c>
      <c r="BI24" s="194">
        <v>1434202</v>
      </c>
      <c r="BJ24" s="194">
        <v>1843265</v>
      </c>
      <c r="BK24" s="194">
        <v>1281537</v>
      </c>
      <c r="BL24" s="194">
        <v>1705770</v>
      </c>
      <c r="BM24" s="194">
        <v>2098862</v>
      </c>
      <c r="BN24" s="194">
        <v>1918472</v>
      </c>
      <c r="BO24" s="194">
        <v>1413552</v>
      </c>
      <c r="BP24" s="231">
        <v>2161099</v>
      </c>
      <c r="BQ24" s="231">
        <v>2444289</v>
      </c>
    </row>
    <row r="25" spans="1:69" ht="11.25" customHeight="1" x14ac:dyDescent="0.2">
      <c r="A25" s="17"/>
      <c r="B25" s="17"/>
      <c r="C25" s="17"/>
      <c r="D25" s="17"/>
      <c r="E25" s="18" t="s">
        <v>152</v>
      </c>
      <c r="F25" s="18"/>
      <c r="G25" s="21"/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107334</v>
      </c>
      <c r="T25" s="107">
        <v>13201</v>
      </c>
      <c r="U25" s="107">
        <v>97227</v>
      </c>
      <c r="V25" s="107">
        <v>95197</v>
      </c>
      <c r="W25" s="107">
        <v>95066</v>
      </c>
      <c r="X25" s="107">
        <v>93884</v>
      </c>
      <c r="Y25" s="107">
        <v>100860</v>
      </c>
      <c r="Z25" s="107">
        <v>104906</v>
      </c>
      <c r="AA25" s="107">
        <v>102436.89791801</v>
      </c>
      <c r="AB25" s="107">
        <v>109367</v>
      </c>
      <c r="AC25" s="107">
        <v>71941.727835275</v>
      </c>
      <c r="AD25" s="107">
        <v>81642</v>
      </c>
      <c r="AE25" s="107">
        <v>83628</v>
      </c>
      <c r="AF25" s="194">
        <v>112948</v>
      </c>
      <c r="AG25" s="194">
        <v>198558</v>
      </c>
      <c r="AH25" s="194">
        <v>361006</v>
      </c>
      <c r="AI25" s="194">
        <v>239957</v>
      </c>
      <c r="AJ25" s="194">
        <v>181540</v>
      </c>
      <c r="AK25" s="194">
        <v>198532</v>
      </c>
      <c r="AL25" s="194">
        <v>188516</v>
      </c>
      <c r="AM25" s="194">
        <v>242142</v>
      </c>
      <c r="AN25" s="194">
        <v>190449</v>
      </c>
      <c r="AO25" s="194">
        <v>142239</v>
      </c>
      <c r="AP25" s="194">
        <v>140235</v>
      </c>
      <c r="AQ25" s="194">
        <v>142571</v>
      </c>
      <c r="AR25" s="194">
        <v>142571</v>
      </c>
      <c r="AS25" s="194">
        <v>165539</v>
      </c>
      <c r="AT25" s="194">
        <v>176036</v>
      </c>
      <c r="AU25" s="194">
        <v>167341</v>
      </c>
      <c r="AV25" s="194">
        <v>159217</v>
      </c>
      <c r="AW25" s="194">
        <v>0</v>
      </c>
      <c r="AX25" s="194">
        <v>0</v>
      </c>
      <c r="AY25" s="194">
        <v>0</v>
      </c>
      <c r="AZ25" s="194">
        <v>0</v>
      </c>
      <c r="BA25" s="194">
        <v>0</v>
      </c>
      <c r="BB25" s="194"/>
      <c r="BC25" s="194">
        <v>0</v>
      </c>
      <c r="BD25" s="194">
        <v>0</v>
      </c>
      <c r="BE25" s="194">
        <v>0</v>
      </c>
      <c r="BF25" s="194">
        <v>0</v>
      </c>
      <c r="BG25" s="194">
        <v>0</v>
      </c>
      <c r="BH25" s="194">
        <v>0</v>
      </c>
      <c r="BI25" s="194">
        <v>0</v>
      </c>
      <c r="BJ25" s="194">
        <v>0</v>
      </c>
      <c r="BK25" s="194">
        <v>0</v>
      </c>
      <c r="BL25" s="194">
        <v>0</v>
      </c>
      <c r="BM25" s="194">
        <v>0</v>
      </c>
      <c r="BN25" s="194">
        <v>0</v>
      </c>
      <c r="BO25" s="194">
        <v>0</v>
      </c>
      <c r="BP25" s="231">
        <v>0</v>
      </c>
      <c r="BQ25" s="231">
        <v>0</v>
      </c>
    </row>
    <row r="26" spans="1:69" ht="11.25" customHeight="1" x14ac:dyDescent="0.25">
      <c r="A26" s="108"/>
      <c r="B26" s="108"/>
      <c r="C26" s="108" t="s">
        <v>153</v>
      </c>
      <c r="D26" s="108"/>
      <c r="E26" s="108"/>
      <c r="F26" s="108"/>
      <c r="G26" s="109"/>
      <c r="H26" s="26">
        <f>H28</f>
        <v>183597</v>
      </c>
      <c r="I26" s="26">
        <f t="shared" ref="I26:AQ26" si="47">I28</f>
        <v>133601</v>
      </c>
      <c r="J26" s="26">
        <f t="shared" si="47"/>
        <v>117831</v>
      </c>
      <c r="K26" s="26">
        <f t="shared" si="47"/>
        <v>75604</v>
      </c>
      <c r="L26" s="26">
        <f t="shared" si="47"/>
        <v>101327</v>
      </c>
      <c r="M26" s="26">
        <f t="shared" si="47"/>
        <v>73101</v>
      </c>
      <c r="N26" s="26">
        <f t="shared" si="47"/>
        <v>140093</v>
      </c>
      <c r="O26" s="26">
        <f t="shared" si="47"/>
        <v>121815</v>
      </c>
      <c r="P26" s="26">
        <f t="shared" si="47"/>
        <v>195134</v>
      </c>
      <c r="Q26" s="26">
        <f t="shared" si="47"/>
        <v>140837</v>
      </c>
      <c r="R26" s="26">
        <f t="shared" si="47"/>
        <v>178376</v>
      </c>
      <c r="S26" s="26">
        <f t="shared" si="47"/>
        <v>270913</v>
      </c>
      <c r="T26" s="26">
        <f t="shared" si="47"/>
        <v>297822</v>
      </c>
      <c r="U26" s="26">
        <f t="shared" si="47"/>
        <v>269138</v>
      </c>
      <c r="V26" s="26">
        <f t="shared" si="47"/>
        <v>259828</v>
      </c>
      <c r="W26" s="26">
        <f t="shared" si="47"/>
        <v>176773</v>
      </c>
      <c r="X26" s="26">
        <f t="shared" si="47"/>
        <v>257680</v>
      </c>
      <c r="Y26" s="26">
        <f t="shared" si="47"/>
        <v>230078</v>
      </c>
      <c r="Z26" s="26">
        <f t="shared" si="47"/>
        <v>201238</v>
      </c>
      <c r="AA26" s="26">
        <f t="shared" si="47"/>
        <v>223444</v>
      </c>
      <c r="AB26" s="26">
        <f t="shared" si="47"/>
        <v>313010</v>
      </c>
      <c r="AC26" s="26">
        <f t="shared" si="47"/>
        <v>160532</v>
      </c>
      <c r="AD26" s="26">
        <f t="shared" si="47"/>
        <v>186090</v>
      </c>
      <c r="AE26" s="26">
        <f t="shared" si="47"/>
        <v>208194</v>
      </c>
      <c r="AF26" s="26">
        <f t="shared" si="47"/>
        <v>511218</v>
      </c>
      <c r="AG26" s="26">
        <f t="shared" si="47"/>
        <v>260319</v>
      </c>
      <c r="AH26" s="26">
        <f t="shared" si="47"/>
        <v>392553</v>
      </c>
      <c r="AI26" s="26">
        <f t="shared" si="47"/>
        <v>376498</v>
      </c>
      <c r="AJ26" s="26">
        <f t="shared" si="47"/>
        <v>440385</v>
      </c>
      <c r="AK26" s="26">
        <f t="shared" si="47"/>
        <v>235127</v>
      </c>
      <c r="AL26" s="26">
        <f t="shared" si="47"/>
        <v>195625</v>
      </c>
      <c r="AM26" s="26">
        <f t="shared" si="47"/>
        <v>204675</v>
      </c>
      <c r="AN26" s="26">
        <f t="shared" si="47"/>
        <v>345588</v>
      </c>
      <c r="AO26" s="26">
        <f t="shared" si="47"/>
        <v>215968</v>
      </c>
      <c r="AP26" s="26">
        <f t="shared" si="47"/>
        <v>458951</v>
      </c>
      <c r="AQ26" s="26">
        <f t="shared" si="47"/>
        <v>283654</v>
      </c>
      <c r="AR26" s="26">
        <f>AR27+AR28</f>
        <v>462850</v>
      </c>
      <c r="AS26" s="26">
        <f t="shared" ref="AS26:BB26" si="48">AS27+AS28</f>
        <v>468231</v>
      </c>
      <c r="AT26" s="26">
        <f t="shared" si="48"/>
        <v>432214</v>
      </c>
      <c r="AU26" s="26">
        <f t="shared" si="48"/>
        <v>357855</v>
      </c>
      <c r="AV26" s="26">
        <f t="shared" si="48"/>
        <v>457877</v>
      </c>
      <c r="AW26" s="26">
        <f t="shared" si="48"/>
        <v>321519</v>
      </c>
      <c r="AX26" s="26">
        <f t="shared" si="48"/>
        <v>435529</v>
      </c>
      <c r="AY26" s="26">
        <f t="shared" si="48"/>
        <v>305843</v>
      </c>
      <c r="AZ26" s="26">
        <f t="shared" si="48"/>
        <v>840118</v>
      </c>
      <c r="BA26" s="26">
        <f t="shared" si="48"/>
        <v>846952</v>
      </c>
      <c r="BB26" s="26">
        <f t="shared" si="48"/>
        <v>764560</v>
      </c>
      <c r="BC26" s="26">
        <f t="shared" ref="BC26:BF26" si="49">BC27+BC28</f>
        <v>715177</v>
      </c>
      <c r="BD26" s="26">
        <f t="shared" si="49"/>
        <v>1083284</v>
      </c>
      <c r="BE26" s="26">
        <f t="shared" si="49"/>
        <v>811257</v>
      </c>
      <c r="BF26" s="26">
        <f t="shared" si="49"/>
        <v>1504648</v>
      </c>
      <c r="BG26" s="26">
        <f t="shared" ref="BG26:BL26" si="50">BG27+BG28</f>
        <v>1914604</v>
      </c>
      <c r="BH26" s="26">
        <f t="shared" si="50"/>
        <v>1935152</v>
      </c>
      <c r="BI26" s="26">
        <f t="shared" si="50"/>
        <v>1237289</v>
      </c>
      <c r="BJ26" s="26">
        <f t="shared" si="50"/>
        <v>1103702</v>
      </c>
      <c r="BK26" s="26">
        <f t="shared" si="50"/>
        <v>1347870</v>
      </c>
      <c r="BL26" s="26">
        <f t="shared" si="50"/>
        <v>1392965</v>
      </c>
      <c r="BM26" s="26">
        <f>BM27+BM28</f>
        <v>932747</v>
      </c>
      <c r="BN26" s="26">
        <f>BN27+BN28</f>
        <v>1232914</v>
      </c>
      <c r="BO26" s="26">
        <f t="shared" ref="BO26:BP26" si="51">BO27+BO28</f>
        <v>1110691</v>
      </c>
      <c r="BP26" s="26">
        <f t="shared" si="51"/>
        <v>1328312</v>
      </c>
      <c r="BQ26" s="26">
        <f t="shared" ref="BQ26" si="52">BQ27+BQ28</f>
        <v>1382752</v>
      </c>
    </row>
    <row r="27" spans="1:69" ht="11.25" customHeight="1" x14ac:dyDescent="0.25">
      <c r="A27" s="116"/>
      <c r="B27" s="116"/>
      <c r="C27" s="116"/>
      <c r="D27" s="116" t="s">
        <v>154</v>
      </c>
      <c r="E27" s="116"/>
      <c r="F27" s="116"/>
      <c r="G27" s="32"/>
      <c r="H27" s="210">
        <v>0</v>
      </c>
      <c r="I27" s="210">
        <v>0</v>
      </c>
      <c r="J27" s="210">
        <v>0</v>
      </c>
      <c r="K27" s="210">
        <v>0</v>
      </c>
      <c r="L27" s="210">
        <v>0</v>
      </c>
      <c r="M27" s="210">
        <v>0</v>
      </c>
      <c r="N27" s="210">
        <v>0</v>
      </c>
      <c r="O27" s="210">
        <v>0</v>
      </c>
      <c r="P27" s="210">
        <v>0</v>
      </c>
      <c r="Q27" s="210">
        <v>0</v>
      </c>
      <c r="R27" s="210">
        <v>0</v>
      </c>
      <c r="S27" s="210">
        <v>0</v>
      </c>
      <c r="T27" s="210">
        <v>0</v>
      </c>
      <c r="U27" s="210">
        <v>0</v>
      </c>
      <c r="V27" s="210">
        <v>0</v>
      </c>
      <c r="W27" s="210">
        <v>0</v>
      </c>
      <c r="X27" s="210">
        <v>0</v>
      </c>
      <c r="Y27" s="210">
        <v>0</v>
      </c>
      <c r="Z27" s="210">
        <v>0</v>
      </c>
      <c r="AA27" s="210">
        <v>0</v>
      </c>
      <c r="AB27" s="210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0">
        <v>0</v>
      </c>
      <c r="AI27" s="210">
        <v>0</v>
      </c>
      <c r="AJ27" s="210">
        <v>0</v>
      </c>
      <c r="AK27" s="210">
        <v>0</v>
      </c>
      <c r="AL27" s="210">
        <v>0</v>
      </c>
      <c r="AM27" s="210">
        <v>0</v>
      </c>
      <c r="AN27" s="210">
        <v>0</v>
      </c>
      <c r="AO27" s="210">
        <v>0</v>
      </c>
      <c r="AP27" s="210">
        <v>0</v>
      </c>
      <c r="AQ27" s="210">
        <v>0</v>
      </c>
      <c r="AR27" s="210">
        <v>41</v>
      </c>
      <c r="AS27" s="210">
        <v>268</v>
      </c>
      <c r="AT27" s="210">
        <v>885</v>
      </c>
      <c r="AU27" s="210">
        <v>153</v>
      </c>
      <c r="AV27" s="210">
        <v>336</v>
      </c>
      <c r="AW27" s="210">
        <v>548</v>
      </c>
      <c r="AX27" s="210">
        <v>270</v>
      </c>
      <c r="AY27" s="210">
        <v>125</v>
      </c>
      <c r="AZ27" s="210">
        <v>116</v>
      </c>
      <c r="BA27" s="210">
        <v>108</v>
      </c>
      <c r="BB27" s="210">
        <v>117</v>
      </c>
      <c r="BC27" s="210">
        <v>118</v>
      </c>
      <c r="BD27" s="210">
        <v>116</v>
      </c>
      <c r="BE27" s="210">
        <v>149</v>
      </c>
      <c r="BF27" s="210">
        <v>150</v>
      </c>
      <c r="BG27" s="210">
        <v>79</v>
      </c>
      <c r="BH27" s="210">
        <v>100</v>
      </c>
      <c r="BI27" s="210">
        <v>100</v>
      </c>
      <c r="BJ27" s="210">
        <v>257</v>
      </c>
      <c r="BK27" s="210">
        <v>2482</v>
      </c>
      <c r="BL27" s="210">
        <v>2705</v>
      </c>
      <c r="BM27" s="210">
        <v>3206</v>
      </c>
      <c r="BN27" s="210">
        <v>374</v>
      </c>
      <c r="BO27" s="210">
        <v>2539</v>
      </c>
      <c r="BP27" s="210">
        <v>944</v>
      </c>
      <c r="BQ27" s="210">
        <v>100</v>
      </c>
    </row>
    <row r="28" spans="1:69" ht="11.25" customHeight="1" x14ac:dyDescent="0.25">
      <c r="A28" s="108"/>
      <c r="B28" s="108"/>
      <c r="C28" s="108"/>
      <c r="D28" s="108" t="s">
        <v>155</v>
      </c>
      <c r="E28" s="108"/>
      <c r="F28" s="108"/>
      <c r="G28" s="110"/>
      <c r="H28" s="26">
        <f t="shared" ref="H28:AF28" si="53">SUM(H30:H36)</f>
        <v>183597</v>
      </c>
      <c r="I28" s="26">
        <f t="shared" si="53"/>
        <v>133601</v>
      </c>
      <c r="J28" s="26">
        <f t="shared" si="53"/>
        <v>117831</v>
      </c>
      <c r="K28" s="26">
        <f t="shared" si="53"/>
        <v>75604</v>
      </c>
      <c r="L28" s="26">
        <f t="shared" si="53"/>
        <v>101327</v>
      </c>
      <c r="M28" s="26">
        <f t="shared" si="53"/>
        <v>73101</v>
      </c>
      <c r="N28" s="26">
        <f t="shared" si="53"/>
        <v>140093</v>
      </c>
      <c r="O28" s="26">
        <f t="shared" si="53"/>
        <v>121815</v>
      </c>
      <c r="P28" s="26">
        <f t="shared" si="53"/>
        <v>195134</v>
      </c>
      <c r="Q28" s="26">
        <f t="shared" si="53"/>
        <v>140837</v>
      </c>
      <c r="R28" s="26">
        <f t="shared" si="53"/>
        <v>178376</v>
      </c>
      <c r="S28" s="26">
        <f t="shared" si="53"/>
        <v>270913</v>
      </c>
      <c r="T28" s="26">
        <f t="shared" si="53"/>
        <v>297822</v>
      </c>
      <c r="U28" s="26">
        <f t="shared" si="53"/>
        <v>269138</v>
      </c>
      <c r="V28" s="26">
        <f t="shared" si="53"/>
        <v>259828</v>
      </c>
      <c r="W28" s="26">
        <f t="shared" si="53"/>
        <v>176773</v>
      </c>
      <c r="X28" s="26">
        <f t="shared" si="53"/>
        <v>257680</v>
      </c>
      <c r="Y28" s="26">
        <f t="shared" si="53"/>
        <v>230078</v>
      </c>
      <c r="Z28" s="26">
        <f t="shared" si="53"/>
        <v>201238</v>
      </c>
      <c r="AA28" s="26">
        <f t="shared" si="53"/>
        <v>223444</v>
      </c>
      <c r="AB28" s="26">
        <f t="shared" si="53"/>
        <v>313010</v>
      </c>
      <c r="AC28" s="26">
        <f t="shared" si="53"/>
        <v>160532</v>
      </c>
      <c r="AD28" s="26">
        <f t="shared" si="53"/>
        <v>186090</v>
      </c>
      <c r="AE28" s="26">
        <f t="shared" si="53"/>
        <v>208194</v>
      </c>
      <c r="AF28" s="26">
        <f t="shared" si="53"/>
        <v>511218</v>
      </c>
      <c r="AG28" s="26">
        <f>SUM(AG30:AG36)</f>
        <v>260319</v>
      </c>
      <c r="AH28" s="26">
        <f>SUM(AH30:AH36)</f>
        <v>392553</v>
      </c>
      <c r="AI28" s="26">
        <f>SUM(AI30:AI36)</f>
        <v>376498</v>
      </c>
      <c r="AJ28" s="26">
        <f>SUM(AJ30:AJ36)</f>
        <v>440385</v>
      </c>
      <c r="AK28" s="26">
        <f t="shared" ref="AK28:AQ28" si="54">SUM(AK30:AK36)</f>
        <v>235127</v>
      </c>
      <c r="AL28" s="26">
        <f t="shared" si="54"/>
        <v>195625</v>
      </c>
      <c r="AM28" s="26">
        <f t="shared" si="54"/>
        <v>204675</v>
      </c>
      <c r="AN28" s="26">
        <f t="shared" si="54"/>
        <v>345588</v>
      </c>
      <c r="AO28" s="26">
        <f t="shared" si="54"/>
        <v>215968</v>
      </c>
      <c r="AP28" s="26">
        <f t="shared" si="54"/>
        <v>458951</v>
      </c>
      <c r="AQ28" s="26">
        <f t="shared" si="54"/>
        <v>283654</v>
      </c>
      <c r="AR28" s="26">
        <f>SUM(AR29:AR36)</f>
        <v>462809</v>
      </c>
      <c r="AS28" s="26">
        <f>SUM(AS29:AS36)</f>
        <v>467963</v>
      </c>
      <c r="AT28" s="26">
        <f>SUM(AT29:AT36)</f>
        <v>431329</v>
      </c>
      <c r="AU28" s="26">
        <f>SUM(AU29:AU36)</f>
        <v>357702</v>
      </c>
      <c r="AV28" s="26">
        <f>SUM(AV29:AV37)</f>
        <v>457541</v>
      </c>
      <c r="AW28" s="26">
        <f t="shared" ref="AW28:BB28" si="55">SUM(AW29:AW37)</f>
        <v>320971</v>
      </c>
      <c r="AX28" s="26">
        <f t="shared" si="55"/>
        <v>435259</v>
      </c>
      <c r="AY28" s="26">
        <f t="shared" si="55"/>
        <v>305718</v>
      </c>
      <c r="AZ28" s="26">
        <f t="shared" si="55"/>
        <v>840002</v>
      </c>
      <c r="BA28" s="26">
        <f t="shared" si="55"/>
        <v>846844</v>
      </c>
      <c r="BB28" s="26">
        <f t="shared" si="55"/>
        <v>764443</v>
      </c>
      <c r="BC28" s="26">
        <f t="shared" ref="BC28:BF28" si="56">SUM(BC29:BC37)</f>
        <v>715059</v>
      </c>
      <c r="BD28" s="26">
        <f t="shared" si="56"/>
        <v>1083168</v>
      </c>
      <c r="BE28" s="26">
        <f t="shared" si="56"/>
        <v>811108</v>
      </c>
      <c r="BF28" s="26">
        <f t="shared" si="56"/>
        <v>1504498</v>
      </c>
      <c r="BG28" s="26">
        <f t="shared" ref="BG28:BL28" si="57">SUM(BG29:BG37)+BG38</f>
        <v>1914525</v>
      </c>
      <c r="BH28" s="26">
        <f t="shared" si="57"/>
        <v>1935052</v>
      </c>
      <c r="BI28" s="26">
        <f t="shared" si="57"/>
        <v>1237189</v>
      </c>
      <c r="BJ28" s="26">
        <f t="shared" si="57"/>
        <v>1103445</v>
      </c>
      <c r="BK28" s="26">
        <f t="shared" si="57"/>
        <v>1345388</v>
      </c>
      <c r="BL28" s="26">
        <f t="shared" si="57"/>
        <v>1390260</v>
      </c>
      <c r="BM28" s="26">
        <f t="shared" ref="BM28:BN28" si="58">SUM(BM29:BM37)+BM38</f>
        <v>929541</v>
      </c>
      <c r="BN28" s="26">
        <f t="shared" si="58"/>
        <v>1232540</v>
      </c>
      <c r="BO28" s="26">
        <f t="shared" ref="BO28:BP28" si="59">SUM(BO29:BO37)+BO38</f>
        <v>1108152</v>
      </c>
      <c r="BP28" s="26">
        <f t="shared" si="59"/>
        <v>1327368</v>
      </c>
      <c r="BQ28" s="26">
        <f t="shared" ref="BQ28" si="60">SUM(BQ29:BQ37)+BQ38</f>
        <v>1382652</v>
      </c>
    </row>
    <row r="29" spans="1:69" ht="11.25" customHeight="1" x14ac:dyDescent="0.25">
      <c r="A29" s="116"/>
      <c r="B29" s="116"/>
      <c r="C29" s="116"/>
      <c r="D29" s="116"/>
      <c r="E29" s="116" t="s">
        <v>156</v>
      </c>
      <c r="F29" s="116"/>
      <c r="G29" s="203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>
        <v>10809</v>
      </c>
      <c r="AT29" s="210">
        <v>10809</v>
      </c>
      <c r="AU29" s="210">
        <v>0</v>
      </c>
      <c r="AV29" s="210">
        <v>0</v>
      </c>
      <c r="AW29" s="210">
        <v>0</v>
      </c>
      <c r="AX29" s="210">
        <v>0</v>
      </c>
      <c r="AY29" s="210">
        <v>0</v>
      </c>
      <c r="AZ29" s="210">
        <v>0</v>
      </c>
      <c r="BA29" s="210">
        <v>0</v>
      </c>
      <c r="BB29" s="210">
        <v>0</v>
      </c>
      <c r="BC29" s="210">
        <v>0</v>
      </c>
      <c r="BD29" s="210">
        <v>0</v>
      </c>
      <c r="BE29" s="210">
        <v>0</v>
      </c>
      <c r="BF29" s="210">
        <v>0</v>
      </c>
      <c r="BG29" s="210">
        <v>0</v>
      </c>
      <c r="BH29" s="210">
        <v>0</v>
      </c>
      <c r="BI29" s="210">
        <v>0</v>
      </c>
      <c r="BJ29" s="210">
        <v>0</v>
      </c>
      <c r="BK29" s="210">
        <v>0</v>
      </c>
      <c r="BL29" s="210">
        <v>0</v>
      </c>
      <c r="BM29" s="210">
        <v>0</v>
      </c>
      <c r="BN29" s="210">
        <v>0</v>
      </c>
      <c r="BO29" s="210">
        <v>0</v>
      </c>
      <c r="BP29" s="210">
        <v>0</v>
      </c>
      <c r="BQ29" s="210">
        <v>0</v>
      </c>
    </row>
    <row r="30" spans="1:69" ht="11.25" customHeight="1" x14ac:dyDescent="0.2">
      <c r="A30" s="111"/>
      <c r="B30" s="111"/>
      <c r="C30" s="111"/>
      <c r="D30" s="111"/>
      <c r="E30" s="112" t="s">
        <v>157</v>
      </c>
      <c r="F30" s="112"/>
      <c r="G30" s="32"/>
      <c r="H30" s="107">
        <v>10595</v>
      </c>
      <c r="I30" s="107">
        <v>0</v>
      </c>
      <c r="J30" s="107">
        <v>0</v>
      </c>
      <c r="K30" s="107">
        <v>7081</v>
      </c>
      <c r="L30" s="107">
        <v>7081</v>
      </c>
      <c r="M30" s="107">
        <v>0</v>
      </c>
      <c r="N30" s="107">
        <v>0</v>
      </c>
      <c r="O30" s="107">
        <v>15592</v>
      </c>
      <c r="P30" s="107">
        <v>15592</v>
      </c>
      <c r="Q30" s="107">
        <v>0</v>
      </c>
      <c r="R30" s="107">
        <v>0</v>
      </c>
      <c r="S30" s="107">
        <v>38654</v>
      </c>
      <c r="T30" s="107">
        <v>38654</v>
      </c>
      <c r="U30" s="107">
        <v>0</v>
      </c>
      <c r="V30" s="107">
        <v>0</v>
      </c>
      <c r="W30" s="107">
        <v>9526</v>
      </c>
      <c r="X30" s="107">
        <v>9526</v>
      </c>
      <c r="Y30" s="107">
        <v>0</v>
      </c>
      <c r="Z30" s="107">
        <v>0</v>
      </c>
      <c r="AA30" s="107">
        <v>23923</v>
      </c>
      <c r="AB30" s="107">
        <v>23923</v>
      </c>
      <c r="AC30" s="107">
        <v>59</v>
      </c>
      <c r="AD30" s="107">
        <v>59</v>
      </c>
      <c r="AE30" s="107">
        <v>17758</v>
      </c>
      <c r="AF30" s="194">
        <v>17758</v>
      </c>
      <c r="AG30" s="194">
        <v>783</v>
      </c>
      <c r="AH30" s="194">
        <v>59</v>
      </c>
      <c r="AI30" s="194">
        <v>29100</v>
      </c>
      <c r="AJ30" s="194">
        <v>29100</v>
      </c>
      <c r="AK30" s="194">
        <v>0</v>
      </c>
      <c r="AL30" s="194">
        <v>0</v>
      </c>
      <c r="AM30" s="194">
        <v>7112</v>
      </c>
      <c r="AN30" s="194">
        <v>7112</v>
      </c>
      <c r="AO30" s="194">
        <v>1</v>
      </c>
      <c r="AP30" s="194">
        <v>200001</v>
      </c>
      <c r="AQ30" s="194">
        <v>83598</v>
      </c>
      <c r="AR30" s="194">
        <v>83598</v>
      </c>
      <c r="AS30" s="194">
        <v>13</v>
      </c>
      <c r="AT30" s="194">
        <v>13</v>
      </c>
      <c r="AU30" s="194">
        <v>91804</v>
      </c>
      <c r="AV30" s="194">
        <v>96584</v>
      </c>
      <c r="AW30" s="194">
        <v>10</v>
      </c>
      <c r="AX30" s="194">
        <v>10</v>
      </c>
      <c r="AY30" s="194">
        <v>73759</v>
      </c>
      <c r="AZ30" s="194">
        <v>73759</v>
      </c>
      <c r="BA30" s="194">
        <v>11</v>
      </c>
      <c r="BB30" s="194">
        <v>12</v>
      </c>
      <c r="BC30" s="194">
        <v>83680</v>
      </c>
      <c r="BD30" s="194">
        <v>83680</v>
      </c>
      <c r="BE30" s="194">
        <v>9</v>
      </c>
      <c r="BF30" s="194">
        <v>9</v>
      </c>
      <c r="BG30" s="194">
        <v>252226</v>
      </c>
      <c r="BH30" s="194">
        <v>252226</v>
      </c>
      <c r="BI30" s="194">
        <v>22</v>
      </c>
      <c r="BJ30" s="194">
        <v>22</v>
      </c>
      <c r="BK30" s="194">
        <v>291852</v>
      </c>
      <c r="BL30" s="194">
        <v>230006</v>
      </c>
      <c r="BM30" s="194">
        <v>215</v>
      </c>
      <c r="BN30" s="194">
        <v>215</v>
      </c>
      <c r="BO30" s="194">
        <v>191578</v>
      </c>
      <c r="BP30" s="231">
        <v>170748</v>
      </c>
      <c r="BQ30" s="231">
        <v>349</v>
      </c>
    </row>
    <row r="31" spans="1:69" ht="11.25" customHeight="1" x14ac:dyDescent="0.2">
      <c r="A31" s="111"/>
      <c r="B31" s="111"/>
      <c r="C31" s="111"/>
      <c r="D31" s="111"/>
      <c r="E31" s="112" t="s">
        <v>158</v>
      </c>
      <c r="F31" s="112"/>
      <c r="G31" s="32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>
        <v>2652</v>
      </c>
      <c r="BD31" s="194">
        <v>2651</v>
      </c>
      <c r="BE31" s="194">
        <v>0</v>
      </c>
      <c r="BF31" s="194">
        <v>0</v>
      </c>
      <c r="BG31" s="194">
        <v>17577</v>
      </c>
      <c r="BH31" s="194">
        <v>17577</v>
      </c>
      <c r="BI31" s="194">
        <v>6917</v>
      </c>
      <c r="BJ31" s="194">
        <v>27669</v>
      </c>
      <c r="BK31" s="194">
        <v>10518</v>
      </c>
      <c r="BL31" s="194">
        <v>13667</v>
      </c>
      <c r="BM31" s="194">
        <v>8710</v>
      </c>
      <c r="BN31" s="194">
        <v>0</v>
      </c>
      <c r="BO31" s="194">
        <v>5826</v>
      </c>
      <c r="BP31" s="231">
        <v>5826</v>
      </c>
      <c r="BQ31" s="231">
        <v>1985</v>
      </c>
    </row>
    <row r="32" spans="1:69" ht="11.25" customHeight="1" x14ac:dyDescent="0.2">
      <c r="A32" s="111"/>
      <c r="B32" s="111"/>
      <c r="C32" s="111"/>
      <c r="D32" s="111"/>
      <c r="E32" s="112" t="s">
        <v>159</v>
      </c>
      <c r="F32" s="112"/>
      <c r="G32" s="32"/>
      <c r="H32" s="107">
        <v>43630</v>
      </c>
      <c r="I32" s="107">
        <v>44299</v>
      </c>
      <c r="J32" s="107">
        <v>37133</v>
      </c>
      <c r="K32" s="107">
        <v>38769</v>
      </c>
      <c r="L32" s="107">
        <v>36493</v>
      </c>
      <c r="M32" s="107">
        <v>41216</v>
      </c>
      <c r="N32" s="107">
        <v>66436</v>
      </c>
      <c r="O32" s="107">
        <v>50077</v>
      </c>
      <c r="P32" s="107">
        <v>43395</v>
      </c>
      <c r="Q32" s="107">
        <v>57155</v>
      </c>
      <c r="R32" s="107">
        <v>61753</v>
      </c>
      <c r="S32" s="107">
        <v>113876</v>
      </c>
      <c r="T32" s="107">
        <v>109804</v>
      </c>
      <c r="U32" s="107">
        <v>127345</v>
      </c>
      <c r="V32" s="107">
        <v>133471</v>
      </c>
      <c r="W32" s="107">
        <v>95283</v>
      </c>
      <c r="X32" s="107">
        <v>81156</v>
      </c>
      <c r="Y32" s="107">
        <v>101894</v>
      </c>
      <c r="Z32" s="107">
        <v>97737</v>
      </c>
      <c r="AA32" s="107">
        <v>126494</v>
      </c>
      <c r="AB32" s="107">
        <v>92654</v>
      </c>
      <c r="AC32" s="107">
        <v>54853</v>
      </c>
      <c r="AD32" s="107">
        <v>47407</v>
      </c>
      <c r="AE32" s="107">
        <v>49689</v>
      </c>
      <c r="AF32" s="194">
        <v>51919</v>
      </c>
      <c r="AG32" s="194">
        <v>52177</v>
      </c>
      <c r="AH32" s="194">
        <v>66136</v>
      </c>
      <c r="AI32" s="194">
        <v>75564</v>
      </c>
      <c r="AJ32" s="194">
        <v>74232</v>
      </c>
      <c r="AK32" s="194">
        <v>72794</v>
      </c>
      <c r="AL32" s="194">
        <v>71001</v>
      </c>
      <c r="AM32" s="194">
        <v>81813</v>
      </c>
      <c r="AN32" s="194">
        <v>81797</v>
      </c>
      <c r="AO32" s="194">
        <v>79259</v>
      </c>
      <c r="AP32" s="194">
        <v>76334</v>
      </c>
      <c r="AQ32" s="194">
        <v>17543</v>
      </c>
      <c r="AR32" s="194">
        <v>17990</v>
      </c>
      <c r="AS32" s="194">
        <v>13873</v>
      </c>
      <c r="AT32" s="194">
        <v>14466</v>
      </c>
      <c r="AU32" s="194">
        <v>11567</v>
      </c>
      <c r="AV32" s="194">
        <v>12273</v>
      </c>
      <c r="AW32" s="194">
        <v>12273</v>
      </c>
      <c r="AX32" s="194">
        <v>12273</v>
      </c>
      <c r="AY32" s="194">
        <v>12273</v>
      </c>
      <c r="AZ32" s="194">
        <v>12273</v>
      </c>
      <c r="BA32" s="194">
        <v>12273</v>
      </c>
      <c r="BB32" s="194">
        <v>12273</v>
      </c>
      <c r="BC32" s="194">
        <v>12273</v>
      </c>
      <c r="BD32" s="194">
        <v>12273</v>
      </c>
      <c r="BE32" s="194">
        <v>12273</v>
      </c>
      <c r="BF32" s="194">
        <v>53120</v>
      </c>
      <c r="BG32" s="194">
        <v>93775</v>
      </c>
      <c r="BH32" s="194">
        <v>85358</v>
      </c>
      <c r="BI32" s="194">
        <v>79134</v>
      </c>
      <c r="BJ32" s="194">
        <v>78534</v>
      </c>
      <c r="BK32" s="194">
        <v>86102</v>
      </c>
      <c r="BL32" s="194">
        <v>140229</v>
      </c>
      <c r="BM32" s="194">
        <v>141936</v>
      </c>
      <c r="BN32" s="194">
        <v>151202</v>
      </c>
      <c r="BO32" s="194">
        <v>53899</v>
      </c>
      <c r="BP32" s="231">
        <v>213880</v>
      </c>
      <c r="BQ32" s="231">
        <v>207413</v>
      </c>
    </row>
    <row r="33" spans="1:69" ht="11.25" customHeight="1" x14ac:dyDescent="0.2">
      <c r="A33" s="111"/>
      <c r="B33" s="111"/>
      <c r="C33" s="111"/>
      <c r="D33" s="111"/>
      <c r="E33" s="112" t="s">
        <v>160</v>
      </c>
      <c r="F33" s="112"/>
      <c r="G33" s="32"/>
      <c r="H33" s="107">
        <v>27022</v>
      </c>
      <c r="I33" s="107">
        <v>37965</v>
      </c>
      <c r="J33" s="107">
        <v>34193</v>
      </c>
      <c r="K33" s="107">
        <v>6824</v>
      </c>
      <c r="L33" s="107">
        <v>46823</v>
      </c>
      <c r="M33" s="107">
        <v>24665</v>
      </c>
      <c r="N33" s="107">
        <v>45798</v>
      </c>
      <c r="O33" s="107">
        <v>10875</v>
      </c>
      <c r="P33" s="107">
        <v>86982</v>
      </c>
      <c r="Q33" s="107">
        <v>73369</v>
      </c>
      <c r="R33" s="107">
        <v>64868</v>
      </c>
      <c r="S33" s="107">
        <v>67613</v>
      </c>
      <c r="T33" s="107">
        <v>113841</v>
      </c>
      <c r="U33" s="107">
        <v>79966</v>
      </c>
      <c r="V33" s="107">
        <v>62300</v>
      </c>
      <c r="W33" s="107">
        <v>39814</v>
      </c>
      <c r="X33" s="107">
        <v>139220</v>
      </c>
      <c r="Y33" s="107">
        <v>89758</v>
      </c>
      <c r="Z33" s="107">
        <v>56824</v>
      </c>
      <c r="AA33" s="107">
        <v>25029</v>
      </c>
      <c r="AB33" s="107">
        <v>142814</v>
      </c>
      <c r="AC33" s="107">
        <v>82154</v>
      </c>
      <c r="AD33" s="107">
        <v>74720</v>
      </c>
      <c r="AE33" s="107">
        <v>53200</v>
      </c>
      <c r="AF33" s="194">
        <v>280728</v>
      </c>
      <c r="AG33" s="194">
        <v>91393</v>
      </c>
      <c r="AH33" s="194">
        <v>80246</v>
      </c>
      <c r="AI33" s="194">
        <v>110401</v>
      </c>
      <c r="AJ33" s="194">
        <v>220052</v>
      </c>
      <c r="AK33" s="194">
        <v>78351</v>
      </c>
      <c r="AL33" s="194">
        <v>35117</v>
      </c>
      <c r="AM33" s="194">
        <v>19285</v>
      </c>
      <c r="AN33" s="194">
        <v>144422</v>
      </c>
      <c r="AO33" s="194">
        <v>58145</v>
      </c>
      <c r="AP33" s="194">
        <v>130769</v>
      </c>
      <c r="AQ33" s="194">
        <v>98652</v>
      </c>
      <c r="AR33" s="194">
        <v>259585</v>
      </c>
      <c r="AS33" s="194">
        <v>152179</v>
      </c>
      <c r="AT33" s="194">
        <v>123173</v>
      </c>
      <c r="AU33" s="194">
        <v>42163</v>
      </c>
      <c r="AV33" s="194">
        <v>88104</v>
      </c>
      <c r="AW33" s="194">
        <v>108088</v>
      </c>
      <c r="AX33" s="194">
        <v>123969</v>
      </c>
      <c r="AY33" s="194">
        <v>33289</v>
      </c>
      <c r="AZ33" s="194">
        <v>168360</v>
      </c>
      <c r="BA33" s="194">
        <v>263485</v>
      </c>
      <c r="BB33" s="194">
        <v>162971</v>
      </c>
      <c r="BC33" s="194">
        <v>68264</v>
      </c>
      <c r="BD33" s="194">
        <v>360434</v>
      </c>
      <c r="BE33" s="194">
        <v>199672</v>
      </c>
      <c r="BF33" s="194">
        <v>309477</v>
      </c>
      <c r="BG33" s="194">
        <v>568043</v>
      </c>
      <c r="BH33" s="194">
        <v>546048</v>
      </c>
      <c r="BI33" s="194">
        <v>350674</v>
      </c>
      <c r="BJ33" s="194">
        <v>275418</v>
      </c>
      <c r="BK33" s="194">
        <v>238942</v>
      </c>
      <c r="BL33" s="194">
        <v>426672</v>
      </c>
      <c r="BM33" s="194">
        <v>292816</v>
      </c>
      <c r="BN33" s="194">
        <v>540454</v>
      </c>
      <c r="BO33" s="194">
        <v>354070</v>
      </c>
      <c r="BP33" s="231">
        <v>455248</v>
      </c>
      <c r="BQ33" s="231">
        <v>417971</v>
      </c>
    </row>
    <row r="34" spans="1:69" ht="11.25" customHeight="1" x14ac:dyDescent="0.2">
      <c r="A34" s="111"/>
      <c r="B34" s="111"/>
      <c r="C34" s="111"/>
      <c r="D34" s="111"/>
      <c r="E34" s="112" t="s">
        <v>121</v>
      </c>
      <c r="F34" s="112"/>
      <c r="G34" s="32"/>
      <c r="H34" s="107">
        <v>95737</v>
      </c>
      <c r="I34" s="107">
        <v>49333</v>
      </c>
      <c r="J34" s="107">
        <v>42538</v>
      </c>
      <c r="K34" s="107">
        <v>3954</v>
      </c>
      <c r="L34" s="107">
        <v>3045</v>
      </c>
      <c r="M34" s="107">
        <v>3719</v>
      </c>
      <c r="N34" s="107">
        <v>17724</v>
      </c>
      <c r="O34" s="107">
        <v>35987</v>
      </c>
      <c r="P34" s="107">
        <v>35988</v>
      </c>
      <c r="Q34" s="107">
        <v>1265</v>
      </c>
      <c r="R34" s="107">
        <v>36589</v>
      </c>
      <c r="S34" s="107">
        <v>37349</v>
      </c>
      <c r="T34" s="107">
        <v>20138</v>
      </c>
      <c r="U34" s="107">
        <v>56353</v>
      </c>
      <c r="V34" s="107">
        <v>48677</v>
      </c>
      <c r="W34" s="107">
        <v>20058</v>
      </c>
      <c r="X34" s="107">
        <v>15102</v>
      </c>
      <c r="Y34" s="107">
        <v>32633</v>
      </c>
      <c r="Z34" s="107">
        <v>22169</v>
      </c>
      <c r="AA34" s="107">
        <v>31433</v>
      </c>
      <c r="AB34" s="107">
        <v>25785</v>
      </c>
      <c r="AC34" s="107">
        <v>7123</v>
      </c>
      <c r="AD34" s="107">
        <v>26119</v>
      </c>
      <c r="AE34" s="107">
        <v>51651</v>
      </c>
      <c r="AF34" s="194">
        <v>116052</v>
      </c>
      <c r="AG34" s="194">
        <v>95141</v>
      </c>
      <c r="AH34" s="194">
        <v>207483</v>
      </c>
      <c r="AI34" s="194">
        <v>120544</v>
      </c>
      <c r="AJ34" s="194">
        <v>55512</v>
      </c>
      <c r="AK34" s="194">
        <v>52278</v>
      </c>
      <c r="AL34" s="194">
        <v>62789</v>
      </c>
      <c r="AM34" s="194">
        <v>56604</v>
      </c>
      <c r="AN34" s="194">
        <v>59864</v>
      </c>
      <c r="AO34" s="194">
        <v>26931</v>
      </c>
      <c r="AP34" s="194">
        <v>24164</v>
      </c>
      <c r="AQ34" s="194">
        <v>42583</v>
      </c>
      <c r="AR34" s="194">
        <v>41805</v>
      </c>
      <c r="AS34" s="194">
        <v>247915</v>
      </c>
      <c r="AT34" s="194">
        <v>219648</v>
      </c>
      <c r="AU34" s="194">
        <v>139866</v>
      </c>
      <c r="AV34" s="194">
        <v>107622</v>
      </c>
      <c r="AW34" s="194">
        <v>62815</v>
      </c>
      <c r="AX34" s="194">
        <v>147387</v>
      </c>
      <c r="AY34" s="194">
        <v>55230</v>
      </c>
      <c r="AZ34" s="194">
        <v>442746</v>
      </c>
      <c r="BA34" s="194">
        <v>416509</v>
      </c>
      <c r="BB34" s="194">
        <v>425004</v>
      </c>
      <c r="BC34" s="194">
        <v>358969</v>
      </c>
      <c r="BD34" s="194">
        <v>434660</v>
      </c>
      <c r="BE34" s="194">
        <v>278185</v>
      </c>
      <c r="BF34" s="194">
        <v>646665</v>
      </c>
      <c r="BG34" s="194">
        <v>394582</v>
      </c>
      <c r="BH34" s="194">
        <v>398663</v>
      </c>
      <c r="BI34" s="194">
        <v>275284</v>
      </c>
      <c r="BJ34" s="194">
        <v>200624</v>
      </c>
      <c r="BK34" s="194">
        <v>139585</v>
      </c>
      <c r="BL34" s="194">
        <v>195939</v>
      </c>
      <c r="BM34" s="194">
        <v>210635</v>
      </c>
      <c r="BN34" s="194">
        <v>237910</v>
      </c>
      <c r="BO34" s="194">
        <v>113012</v>
      </c>
      <c r="BP34" s="231">
        <v>158340</v>
      </c>
      <c r="BQ34" s="231">
        <v>455135</v>
      </c>
    </row>
    <row r="35" spans="1:69" ht="11.25" customHeight="1" x14ac:dyDescent="0.2">
      <c r="A35" s="111"/>
      <c r="B35" s="111"/>
      <c r="C35" s="111"/>
      <c r="D35" s="111"/>
      <c r="E35" s="112" t="s">
        <v>161</v>
      </c>
      <c r="F35" s="112"/>
      <c r="G35" s="32"/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0</v>
      </c>
      <c r="N35" s="107">
        <v>0</v>
      </c>
      <c r="O35" s="107">
        <v>4983</v>
      </c>
      <c r="P35" s="107">
        <v>12179</v>
      </c>
      <c r="Q35" s="107">
        <v>6663</v>
      </c>
      <c r="R35" s="107">
        <v>3168</v>
      </c>
      <c r="S35" s="107">
        <v>4704</v>
      </c>
      <c r="T35" s="107">
        <v>9069</v>
      </c>
      <c r="U35" s="107">
        <v>3178</v>
      </c>
      <c r="V35" s="107">
        <v>4068</v>
      </c>
      <c r="W35" s="107">
        <v>6828</v>
      </c>
      <c r="X35" s="107">
        <v>9433</v>
      </c>
      <c r="Y35" s="107">
        <v>3374</v>
      </c>
      <c r="Z35" s="107">
        <v>4270</v>
      </c>
      <c r="AA35" s="107">
        <v>13137</v>
      </c>
      <c r="AB35" s="107">
        <v>22530</v>
      </c>
      <c r="AC35" s="107">
        <v>14795</v>
      </c>
      <c r="AD35" s="107">
        <v>17141</v>
      </c>
      <c r="AE35" s="107">
        <v>28452</v>
      </c>
      <c r="AF35" s="194">
        <v>38979</v>
      </c>
      <c r="AG35" s="194">
        <v>17763</v>
      </c>
      <c r="AH35" s="194">
        <v>18896</v>
      </c>
      <c r="AI35" s="194">
        <v>34196</v>
      </c>
      <c r="AJ35" s="194">
        <v>45827</v>
      </c>
      <c r="AK35" s="194">
        <v>18802</v>
      </c>
      <c r="AL35" s="194">
        <v>22924</v>
      </c>
      <c r="AM35" s="194">
        <v>37467</v>
      </c>
      <c r="AN35" s="194">
        <v>49724</v>
      </c>
      <c r="AO35" s="194">
        <v>35463</v>
      </c>
      <c r="AP35" s="194">
        <v>21728</v>
      </c>
      <c r="AQ35" s="194">
        <v>37486</v>
      </c>
      <c r="AR35" s="194">
        <v>57004</v>
      </c>
      <c r="AS35" s="194">
        <v>42033</v>
      </c>
      <c r="AT35" s="194">
        <v>44859</v>
      </c>
      <c r="AU35" s="194">
        <v>58742</v>
      </c>
      <c r="AV35" s="194">
        <v>58498</v>
      </c>
      <c r="AW35" s="194">
        <v>22709</v>
      </c>
      <c r="AX35" s="194">
        <v>22682</v>
      </c>
      <c r="AY35" s="194">
        <v>225</v>
      </c>
      <c r="AZ35" s="194">
        <v>155</v>
      </c>
      <c r="BA35" s="194">
        <v>154</v>
      </c>
      <c r="BB35" s="194">
        <v>408</v>
      </c>
      <c r="BC35" s="194">
        <v>5283</v>
      </c>
      <c r="BD35" s="194">
        <v>5283</v>
      </c>
      <c r="BE35" s="194">
        <v>0</v>
      </c>
      <c r="BF35" s="194">
        <v>0</v>
      </c>
      <c r="BG35" s="194">
        <v>15048</v>
      </c>
      <c r="BH35" s="194">
        <v>15048</v>
      </c>
      <c r="BI35" s="194">
        <v>0</v>
      </c>
      <c r="BJ35" s="194">
        <v>0</v>
      </c>
      <c r="BK35" s="194">
        <v>14146</v>
      </c>
      <c r="BL35" s="194">
        <v>14146</v>
      </c>
      <c r="BM35" s="194">
        <v>1134</v>
      </c>
      <c r="BN35" s="194">
        <v>1134</v>
      </c>
      <c r="BO35" s="194">
        <v>16762</v>
      </c>
      <c r="BP35" s="231">
        <v>15628</v>
      </c>
      <c r="BQ35" s="231">
        <v>0</v>
      </c>
    </row>
    <row r="36" spans="1:69" ht="11.25" customHeight="1" x14ac:dyDescent="0.2">
      <c r="A36" s="111"/>
      <c r="B36" s="111"/>
      <c r="C36" s="111"/>
      <c r="D36" s="111"/>
      <c r="E36" s="112" t="s">
        <v>162</v>
      </c>
      <c r="F36" s="112"/>
      <c r="G36" s="32"/>
      <c r="H36" s="107">
        <v>6613</v>
      </c>
      <c r="I36" s="107">
        <f>1494+510</f>
        <v>2004</v>
      </c>
      <c r="J36" s="107">
        <f>3763+204</f>
        <v>3967</v>
      </c>
      <c r="K36" s="107">
        <v>18976</v>
      </c>
      <c r="L36" s="107">
        <f>7741+144</f>
        <v>7885</v>
      </c>
      <c r="M36" s="107">
        <f>3496+5</f>
        <v>3501</v>
      </c>
      <c r="N36" s="107">
        <v>10135</v>
      </c>
      <c r="O36" s="107">
        <v>4301</v>
      </c>
      <c r="P36" s="107">
        <v>998</v>
      </c>
      <c r="Q36" s="107">
        <v>2385</v>
      </c>
      <c r="R36" s="107">
        <v>11998</v>
      </c>
      <c r="S36" s="107">
        <v>8717</v>
      </c>
      <c r="T36" s="107">
        <v>6316</v>
      </c>
      <c r="U36" s="107">
        <f>1617+679</f>
        <v>2296</v>
      </c>
      <c r="V36" s="107">
        <f>15380-4068</f>
        <v>11312</v>
      </c>
      <c r="W36" s="107">
        <v>5264</v>
      </c>
      <c r="X36" s="107">
        <v>3243</v>
      </c>
      <c r="Y36" s="107">
        <v>2419</v>
      </c>
      <c r="Z36" s="107">
        <f>24508-4270</f>
        <v>20238</v>
      </c>
      <c r="AA36" s="107">
        <v>3428</v>
      </c>
      <c r="AB36" s="107">
        <v>5304</v>
      </c>
      <c r="AC36" s="107">
        <v>1548</v>
      </c>
      <c r="AD36" s="107">
        <v>20644</v>
      </c>
      <c r="AE36" s="107">
        <v>7444</v>
      </c>
      <c r="AF36" s="194">
        <v>5782</v>
      </c>
      <c r="AG36" s="194">
        <v>3062</v>
      </c>
      <c r="AH36" s="194">
        <v>19733</v>
      </c>
      <c r="AI36" s="194">
        <v>6693</v>
      </c>
      <c r="AJ36" s="194">
        <v>15662</v>
      </c>
      <c r="AK36" s="194">
        <v>12902</v>
      </c>
      <c r="AL36" s="194">
        <v>3794</v>
      </c>
      <c r="AM36" s="194">
        <v>2394</v>
      </c>
      <c r="AN36" s="194">
        <v>2669</v>
      </c>
      <c r="AO36" s="194">
        <v>16169</v>
      </c>
      <c r="AP36" s="194">
        <v>5955</v>
      </c>
      <c r="AQ36" s="194">
        <v>3792</v>
      </c>
      <c r="AR36" s="194">
        <v>2827</v>
      </c>
      <c r="AS36" s="194">
        <v>1141</v>
      </c>
      <c r="AT36" s="194">
        <v>18361</v>
      </c>
      <c r="AU36" s="194">
        <v>13560</v>
      </c>
      <c r="AV36" s="194">
        <v>12566</v>
      </c>
      <c r="AW36" s="194">
        <v>12540</v>
      </c>
      <c r="AX36" s="194">
        <v>14496</v>
      </c>
      <c r="AY36" s="194">
        <v>16375</v>
      </c>
      <c r="AZ36" s="194">
        <v>18423</v>
      </c>
      <c r="BA36" s="194">
        <v>19936</v>
      </c>
      <c r="BB36" s="194">
        <v>22014</v>
      </c>
      <c r="BC36" s="194">
        <v>21680</v>
      </c>
      <c r="BD36" s="194">
        <v>20526</v>
      </c>
      <c r="BE36" s="194">
        <v>19841</v>
      </c>
      <c r="BF36" s="194">
        <v>19714</v>
      </c>
      <c r="BG36" s="194">
        <v>22338</v>
      </c>
      <c r="BH36" s="194">
        <v>20194</v>
      </c>
      <c r="BI36" s="194">
        <v>21111</v>
      </c>
      <c r="BJ36" s="194">
        <v>18324</v>
      </c>
      <c r="BK36" s="194">
        <v>40670</v>
      </c>
      <c r="BL36" s="194">
        <v>26366</v>
      </c>
      <c r="BM36" s="194">
        <v>29207</v>
      </c>
      <c r="BN36" s="194">
        <v>32702</v>
      </c>
      <c r="BO36" s="194">
        <v>74361</v>
      </c>
      <c r="BP36" s="231">
        <v>46857</v>
      </c>
      <c r="BQ36" s="231">
        <v>37053</v>
      </c>
    </row>
    <row r="37" spans="1:69" ht="11.25" customHeight="1" x14ac:dyDescent="0.2">
      <c r="A37" s="111"/>
      <c r="B37" s="111"/>
      <c r="C37" s="111"/>
      <c r="D37" s="111"/>
      <c r="E37" s="112" t="s">
        <v>163</v>
      </c>
      <c r="F37" s="112"/>
      <c r="G37" s="32"/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7">
        <v>0</v>
      </c>
      <c r="Z37" s="107">
        <v>0</v>
      </c>
      <c r="AA37" s="107">
        <v>0</v>
      </c>
      <c r="AB37" s="107">
        <v>0</v>
      </c>
      <c r="AC37" s="107">
        <v>0</v>
      </c>
      <c r="AD37" s="107">
        <v>0</v>
      </c>
      <c r="AE37" s="107">
        <v>0</v>
      </c>
      <c r="AF37" s="194">
        <v>0</v>
      </c>
      <c r="AG37" s="194">
        <v>0</v>
      </c>
      <c r="AH37" s="194">
        <v>0</v>
      </c>
      <c r="AI37" s="194">
        <v>0</v>
      </c>
      <c r="AJ37" s="194">
        <v>0</v>
      </c>
      <c r="AK37" s="194">
        <v>0</v>
      </c>
      <c r="AL37" s="194">
        <v>0</v>
      </c>
      <c r="AM37" s="194">
        <v>0</v>
      </c>
      <c r="AN37" s="194">
        <v>0</v>
      </c>
      <c r="AO37" s="194">
        <v>0</v>
      </c>
      <c r="AP37" s="194">
        <v>0</v>
      </c>
      <c r="AQ37" s="194">
        <v>0</v>
      </c>
      <c r="AR37" s="194">
        <v>0</v>
      </c>
      <c r="AS37" s="194">
        <v>0</v>
      </c>
      <c r="AT37" s="194">
        <v>0</v>
      </c>
      <c r="AU37" s="194">
        <v>0</v>
      </c>
      <c r="AV37" s="194">
        <v>81894</v>
      </c>
      <c r="AW37" s="194">
        <v>102536</v>
      </c>
      <c r="AX37" s="194">
        <v>114442</v>
      </c>
      <c r="AY37" s="194">
        <v>114567</v>
      </c>
      <c r="AZ37" s="194">
        <v>124286</v>
      </c>
      <c r="BA37" s="194">
        <v>134476</v>
      </c>
      <c r="BB37" s="194">
        <v>141761</v>
      </c>
      <c r="BC37" s="194">
        <v>162258</v>
      </c>
      <c r="BD37" s="194">
        <v>163661</v>
      </c>
      <c r="BE37" s="194">
        <v>301128</v>
      </c>
      <c r="BF37" s="194">
        <v>475513</v>
      </c>
      <c r="BG37" s="194">
        <v>511932</v>
      </c>
      <c r="BH37" s="194">
        <v>560934</v>
      </c>
      <c r="BI37" s="194">
        <v>504015</v>
      </c>
      <c r="BJ37" s="194">
        <v>502854</v>
      </c>
      <c r="BK37" s="194">
        <v>523573</v>
      </c>
      <c r="BL37" s="194">
        <v>343235</v>
      </c>
      <c r="BM37" s="194">
        <v>244888</v>
      </c>
      <c r="BN37" s="194">
        <v>268923</v>
      </c>
      <c r="BO37" s="194">
        <v>298644</v>
      </c>
      <c r="BP37" s="231">
        <v>260841</v>
      </c>
      <c r="BQ37" s="231">
        <v>262746</v>
      </c>
    </row>
    <row r="38" spans="1:69" ht="11.25" customHeight="1" x14ac:dyDescent="0.25">
      <c r="A38" s="108"/>
      <c r="B38" s="108"/>
      <c r="C38" s="108" t="s">
        <v>164</v>
      </c>
      <c r="D38" s="108"/>
      <c r="E38" s="108"/>
      <c r="F38" s="108"/>
      <c r="G38" s="109"/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39004</v>
      </c>
      <c r="BH38" s="36">
        <v>39004</v>
      </c>
      <c r="BI38" s="36">
        <v>32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</row>
    <row r="39" spans="1:69" ht="11.25" customHeight="1" x14ac:dyDescent="0.25">
      <c r="A39" s="108"/>
      <c r="B39" s="108"/>
      <c r="C39" s="108" t="s">
        <v>165</v>
      </c>
      <c r="D39" s="108"/>
      <c r="E39" s="108"/>
      <c r="F39" s="108"/>
      <c r="G39" s="109"/>
      <c r="H39" s="36">
        <f>H40</f>
        <v>0</v>
      </c>
      <c r="I39" s="36">
        <f t="shared" ref="I39:AL39" si="61">I40</f>
        <v>0</v>
      </c>
      <c r="J39" s="36">
        <f t="shared" si="61"/>
        <v>0</v>
      </c>
      <c r="K39" s="36">
        <f t="shared" si="61"/>
        <v>5470</v>
      </c>
      <c r="L39" s="36">
        <f t="shared" si="61"/>
        <v>0</v>
      </c>
      <c r="M39" s="36">
        <f t="shared" si="61"/>
        <v>0</v>
      </c>
      <c r="N39" s="36">
        <f t="shared" si="61"/>
        <v>0</v>
      </c>
      <c r="O39" s="36">
        <f t="shared" si="61"/>
        <v>4886</v>
      </c>
      <c r="P39" s="36">
        <f t="shared" si="61"/>
        <v>2496</v>
      </c>
      <c r="Q39" s="36">
        <f t="shared" si="61"/>
        <v>5048</v>
      </c>
      <c r="R39" s="36">
        <f t="shared" si="61"/>
        <v>17089</v>
      </c>
      <c r="S39" s="36">
        <f t="shared" si="61"/>
        <v>19648</v>
      </c>
      <c r="T39" s="36">
        <f t="shared" si="61"/>
        <v>11361</v>
      </c>
      <c r="U39" s="36">
        <f t="shared" si="61"/>
        <v>12672</v>
      </c>
      <c r="V39" s="36">
        <f t="shared" si="61"/>
        <v>15172</v>
      </c>
      <c r="W39" s="36">
        <f t="shared" si="61"/>
        <v>12249</v>
      </c>
      <c r="X39" s="36">
        <f t="shared" si="61"/>
        <v>11600</v>
      </c>
      <c r="Y39" s="36">
        <f t="shared" si="61"/>
        <v>13868</v>
      </c>
      <c r="Z39" s="36">
        <f t="shared" si="61"/>
        <v>17789</v>
      </c>
      <c r="AA39" s="36">
        <f t="shared" si="61"/>
        <v>16187</v>
      </c>
      <c r="AB39" s="36">
        <f t="shared" si="61"/>
        <v>14125</v>
      </c>
      <c r="AC39" s="36">
        <f t="shared" si="61"/>
        <v>17376</v>
      </c>
      <c r="AD39" s="36">
        <f t="shared" si="61"/>
        <v>22249</v>
      </c>
      <c r="AE39" s="36">
        <f t="shared" si="61"/>
        <v>17324</v>
      </c>
      <c r="AF39" s="36">
        <f t="shared" si="61"/>
        <v>16144</v>
      </c>
      <c r="AG39" s="36">
        <f t="shared" si="61"/>
        <v>18880</v>
      </c>
      <c r="AH39" s="36">
        <f t="shared" si="61"/>
        <v>22828</v>
      </c>
      <c r="AI39" s="36">
        <f t="shared" si="61"/>
        <v>20415</v>
      </c>
      <c r="AJ39" s="36">
        <f t="shared" si="61"/>
        <v>16994</v>
      </c>
      <c r="AK39" s="36">
        <f t="shared" si="61"/>
        <v>18292</v>
      </c>
      <c r="AL39" s="36">
        <f t="shared" si="61"/>
        <v>19485</v>
      </c>
      <c r="AM39" s="36">
        <f>AM40</f>
        <v>15022</v>
      </c>
      <c r="AN39" s="36">
        <f>AN40+AN46</f>
        <v>19273</v>
      </c>
      <c r="AO39" s="36">
        <f>AO40+AO46</f>
        <v>27111</v>
      </c>
      <c r="AP39" s="36">
        <f>AP40+AP46</f>
        <v>38430</v>
      </c>
      <c r="AQ39" s="36">
        <f t="shared" ref="AQ39:BB39" si="62">AQ40+AQ46</f>
        <v>41832</v>
      </c>
      <c r="AR39" s="36">
        <f t="shared" si="62"/>
        <v>25335</v>
      </c>
      <c r="AS39" s="36">
        <f>AS40+AS46</f>
        <v>34372</v>
      </c>
      <c r="AT39" s="36">
        <f t="shared" si="62"/>
        <v>48035</v>
      </c>
      <c r="AU39" s="36">
        <f t="shared" si="62"/>
        <v>54346</v>
      </c>
      <c r="AV39" s="36">
        <f t="shared" si="62"/>
        <v>31936</v>
      </c>
      <c r="AW39" s="36">
        <f t="shared" si="62"/>
        <v>43035</v>
      </c>
      <c r="AX39" s="36">
        <f t="shared" si="62"/>
        <v>50561</v>
      </c>
      <c r="AY39" s="36">
        <f t="shared" si="62"/>
        <v>49041</v>
      </c>
      <c r="AZ39" s="36">
        <f t="shared" si="62"/>
        <v>33983</v>
      </c>
      <c r="BA39" s="36">
        <f t="shared" si="62"/>
        <v>51051</v>
      </c>
      <c r="BB39" s="36">
        <f t="shared" si="62"/>
        <v>59505</v>
      </c>
      <c r="BC39" s="36">
        <f t="shared" ref="BC39:BH39" si="63">BC40+BC46</f>
        <v>72261</v>
      </c>
      <c r="BD39" s="36">
        <f t="shared" si="63"/>
        <v>47601</v>
      </c>
      <c r="BE39" s="36">
        <f t="shared" si="63"/>
        <v>69515</v>
      </c>
      <c r="BF39" s="36">
        <f t="shared" si="63"/>
        <v>126879</v>
      </c>
      <c r="BG39" s="36">
        <f t="shared" si="63"/>
        <v>137953</v>
      </c>
      <c r="BH39" s="36">
        <f t="shared" si="63"/>
        <v>113324</v>
      </c>
      <c r="BI39" s="36">
        <f t="shared" ref="BI39:BL39" si="64">BI40+BI46</f>
        <v>143016</v>
      </c>
      <c r="BJ39" s="36">
        <f t="shared" si="64"/>
        <v>170809</v>
      </c>
      <c r="BK39" s="36">
        <f t="shared" si="64"/>
        <v>166223</v>
      </c>
      <c r="BL39" s="36">
        <f t="shared" si="64"/>
        <v>85787</v>
      </c>
      <c r="BM39" s="219">
        <f>BM40+BM46</f>
        <v>107705</v>
      </c>
      <c r="BN39" s="219">
        <f>BN40+BN46</f>
        <v>147127</v>
      </c>
      <c r="BO39" s="36">
        <f t="shared" ref="BO39:BP39" si="65">BO40+BO46</f>
        <v>132347</v>
      </c>
      <c r="BP39" s="36">
        <f t="shared" si="65"/>
        <v>67241</v>
      </c>
      <c r="BQ39" s="36">
        <f t="shared" ref="BQ39" si="66">BQ40+BQ46</f>
        <v>91373</v>
      </c>
    </row>
    <row r="40" spans="1:69" ht="11.25" customHeight="1" x14ac:dyDescent="0.25">
      <c r="A40" s="113"/>
      <c r="B40" s="113"/>
      <c r="C40" s="113"/>
      <c r="D40" s="113" t="s">
        <v>166</v>
      </c>
      <c r="E40" s="113"/>
      <c r="F40" s="113"/>
      <c r="G40" s="109"/>
      <c r="H40" s="36">
        <f t="shared" ref="H40:X40" si="67">SUM(H41:H43)</f>
        <v>0</v>
      </c>
      <c r="I40" s="36">
        <f t="shared" si="67"/>
        <v>0</v>
      </c>
      <c r="J40" s="36">
        <f t="shared" si="67"/>
        <v>0</v>
      </c>
      <c r="K40" s="36">
        <f t="shared" si="67"/>
        <v>5470</v>
      </c>
      <c r="L40" s="36">
        <f t="shared" si="67"/>
        <v>0</v>
      </c>
      <c r="M40" s="36">
        <f t="shared" si="67"/>
        <v>0</v>
      </c>
      <c r="N40" s="36">
        <f t="shared" si="67"/>
        <v>0</v>
      </c>
      <c r="O40" s="36">
        <f t="shared" si="67"/>
        <v>4886</v>
      </c>
      <c r="P40" s="36">
        <f t="shared" si="67"/>
        <v>2496</v>
      </c>
      <c r="Q40" s="36">
        <f t="shared" si="67"/>
        <v>5048</v>
      </c>
      <c r="R40" s="36">
        <f t="shared" si="67"/>
        <v>17089</v>
      </c>
      <c r="S40" s="36">
        <f t="shared" si="67"/>
        <v>19648</v>
      </c>
      <c r="T40" s="36">
        <f t="shared" si="67"/>
        <v>11361</v>
      </c>
      <c r="U40" s="36">
        <f t="shared" si="67"/>
        <v>12672</v>
      </c>
      <c r="V40" s="36">
        <f t="shared" si="67"/>
        <v>15172</v>
      </c>
      <c r="W40" s="36">
        <f t="shared" si="67"/>
        <v>12249</v>
      </c>
      <c r="X40" s="36">
        <f t="shared" si="67"/>
        <v>11600</v>
      </c>
      <c r="Y40" s="36">
        <f>SUM(Y41:Y43)</f>
        <v>13868</v>
      </c>
      <c r="Z40" s="36">
        <f>SUM(Z41:Z43)</f>
        <v>17789</v>
      </c>
      <c r="AA40" s="36">
        <f t="shared" ref="AA40:AF40" si="68">SUM(AA41:AA45)</f>
        <v>16187</v>
      </c>
      <c r="AB40" s="36">
        <f t="shared" si="68"/>
        <v>14125</v>
      </c>
      <c r="AC40" s="36">
        <f t="shared" si="68"/>
        <v>17376</v>
      </c>
      <c r="AD40" s="36">
        <f t="shared" si="68"/>
        <v>22249</v>
      </c>
      <c r="AE40" s="36">
        <f t="shared" si="68"/>
        <v>17324</v>
      </c>
      <c r="AF40" s="36">
        <f t="shared" si="68"/>
        <v>16144</v>
      </c>
      <c r="AG40" s="36">
        <f>SUM(AG41:AG45)</f>
        <v>18880</v>
      </c>
      <c r="AH40" s="36">
        <f>SUM(AH41:AH45)</f>
        <v>22828</v>
      </c>
      <c r="AI40" s="36">
        <f>SUM(AI41:AI45)</f>
        <v>20415</v>
      </c>
      <c r="AJ40" s="36">
        <f>SUM(AJ41:AJ45)</f>
        <v>16994</v>
      </c>
      <c r="AK40" s="36">
        <f t="shared" ref="AK40:BB40" si="69">SUM(AK41:AK45)</f>
        <v>18292</v>
      </c>
      <c r="AL40" s="36">
        <f t="shared" si="69"/>
        <v>19485</v>
      </c>
      <c r="AM40" s="36">
        <f t="shared" si="69"/>
        <v>15022</v>
      </c>
      <c r="AN40" s="36">
        <f>SUM(AN41:AN45)</f>
        <v>18963</v>
      </c>
      <c r="AO40" s="36">
        <f t="shared" si="69"/>
        <v>26781</v>
      </c>
      <c r="AP40" s="36">
        <f t="shared" si="69"/>
        <v>38100</v>
      </c>
      <c r="AQ40" s="36">
        <f t="shared" si="69"/>
        <v>41502</v>
      </c>
      <c r="AR40" s="36">
        <f t="shared" si="69"/>
        <v>25005</v>
      </c>
      <c r="AS40" s="36">
        <f t="shared" si="69"/>
        <v>34042</v>
      </c>
      <c r="AT40" s="36">
        <f>SUM(AT41:AT45)</f>
        <v>47705</v>
      </c>
      <c r="AU40" s="36">
        <f t="shared" si="69"/>
        <v>54016</v>
      </c>
      <c r="AV40" s="36">
        <f t="shared" si="69"/>
        <v>31606</v>
      </c>
      <c r="AW40" s="36">
        <f t="shared" si="69"/>
        <v>42705</v>
      </c>
      <c r="AX40" s="36">
        <f>SUM(AX41:AX45)</f>
        <v>50231</v>
      </c>
      <c r="AY40" s="36">
        <f t="shared" si="69"/>
        <v>48711</v>
      </c>
      <c r="AZ40" s="36">
        <f t="shared" si="69"/>
        <v>33653</v>
      </c>
      <c r="BA40" s="36">
        <f t="shared" si="69"/>
        <v>50721</v>
      </c>
      <c r="BB40" s="36">
        <f t="shared" si="69"/>
        <v>59175</v>
      </c>
      <c r="BC40" s="36">
        <f t="shared" ref="BC40:BH40" si="70">SUM(BC41:BC45)</f>
        <v>71931</v>
      </c>
      <c r="BD40" s="36">
        <f t="shared" si="70"/>
        <v>47271</v>
      </c>
      <c r="BE40" s="36">
        <f t="shared" si="70"/>
        <v>68986</v>
      </c>
      <c r="BF40" s="36">
        <f t="shared" si="70"/>
        <v>126350</v>
      </c>
      <c r="BG40" s="36">
        <f t="shared" si="70"/>
        <v>137094</v>
      </c>
      <c r="BH40" s="36">
        <f t="shared" si="70"/>
        <v>112346</v>
      </c>
      <c r="BI40" s="36">
        <f t="shared" ref="BI40:BL40" si="71">SUM(BI41:BI45)</f>
        <v>141970</v>
      </c>
      <c r="BJ40" s="36">
        <f t="shared" si="71"/>
        <v>169790</v>
      </c>
      <c r="BK40" s="36">
        <f t="shared" si="71"/>
        <v>165183</v>
      </c>
      <c r="BL40" s="36">
        <f t="shared" si="71"/>
        <v>84611</v>
      </c>
      <c r="BM40" s="36">
        <f t="shared" ref="BM40:BP40" si="72">SUM(BM41:BM45)</f>
        <v>106492</v>
      </c>
      <c r="BN40" s="36">
        <f t="shared" si="72"/>
        <v>145875</v>
      </c>
      <c r="BO40" s="36">
        <f t="shared" si="72"/>
        <v>131060</v>
      </c>
      <c r="BP40" s="36">
        <f t="shared" si="72"/>
        <v>65672</v>
      </c>
      <c r="BQ40" s="36">
        <f t="shared" ref="BQ40" si="73">SUM(BQ41:BQ45)</f>
        <v>91104</v>
      </c>
    </row>
    <row r="41" spans="1:69" ht="11.25" customHeight="1" x14ac:dyDescent="0.2">
      <c r="A41" s="111"/>
      <c r="B41" s="111"/>
      <c r="C41" s="111"/>
      <c r="D41" s="111"/>
      <c r="E41" s="112" t="s">
        <v>167</v>
      </c>
      <c r="F41" s="112"/>
      <c r="G41" s="32"/>
      <c r="H41" s="107">
        <v>0</v>
      </c>
      <c r="I41" s="107">
        <v>0</v>
      </c>
      <c r="J41" s="107">
        <v>0</v>
      </c>
      <c r="K41" s="107">
        <v>0</v>
      </c>
      <c r="L41" s="107">
        <v>0</v>
      </c>
      <c r="M41" s="107">
        <v>0</v>
      </c>
      <c r="N41" s="107">
        <v>0</v>
      </c>
      <c r="O41" s="107">
        <v>160</v>
      </c>
      <c r="P41" s="107">
        <v>160</v>
      </c>
      <c r="Q41" s="107">
        <v>160</v>
      </c>
      <c r="R41" s="107">
        <v>160</v>
      </c>
      <c r="S41" s="107">
        <v>160</v>
      </c>
      <c r="T41" s="107">
        <v>160</v>
      </c>
      <c r="U41" s="107">
        <v>160</v>
      </c>
      <c r="V41" s="107">
        <v>160</v>
      </c>
      <c r="W41" s="107">
        <v>160</v>
      </c>
      <c r="X41" s="107">
        <v>160</v>
      </c>
      <c r="Y41" s="107">
        <v>160</v>
      </c>
      <c r="Z41" s="107">
        <v>160</v>
      </c>
      <c r="AA41" s="107">
        <v>160</v>
      </c>
      <c r="AB41" s="107">
        <v>160</v>
      </c>
      <c r="AC41" s="107">
        <v>160</v>
      </c>
      <c r="AD41" s="107">
        <v>160</v>
      </c>
      <c r="AE41" s="107">
        <v>160</v>
      </c>
      <c r="AF41" s="194">
        <v>160</v>
      </c>
      <c r="AG41" s="194">
        <v>160</v>
      </c>
      <c r="AH41" s="194">
        <v>160</v>
      </c>
      <c r="AI41" s="194">
        <v>0</v>
      </c>
      <c r="AJ41" s="194">
        <v>0</v>
      </c>
      <c r="AK41" s="194">
        <v>0</v>
      </c>
      <c r="AL41" s="194">
        <v>0</v>
      </c>
      <c r="AM41" s="194">
        <v>0</v>
      </c>
      <c r="AN41" s="194">
        <v>0</v>
      </c>
      <c r="AO41" s="194">
        <v>0</v>
      </c>
      <c r="AP41" s="194">
        <v>0</v>
      </c>
      <c r="AQ41" s="194">
        <v>0</v>
      </c>
      <c r="AR41" s="194">
        <v>0</v>
      </c>
      <c r="AS41" s="194">
        <v>0</v>
      </c>
      <c r="AT41" s="194">
        <v>0</v>
      </c>
      <c r="AU41" s="194">
        <v>0</v>
      </c>
      <c r="AV41" s="194">
        <v>0</v>
      </c>
      <c r="AW41" s="194">
        <v>0</v>
      </c>
      <c r="AX41" s="194">
        <v>0</v>
      </c>
      <c r="AY41" s="194">
        <v>0</v>
      </c>
      <c r="AZ41" s="194">
        <v>0</v>
      </c>
      <c r="BA41" s="194">
        <v>6187</v>
      </c>
      <c r="BB41" s="194">
        <v>1123</v>
      </c>
      <c r="BC41" s="194">
        <v>1123</v>
      </c>
      <c r="BD41" s="194">
        <v>1123</v>
      </c>
      <c r="BE41" s="194">
        <v>1123</v>
      </c>
      <c r="BF41" s="194">
        <v>2146</v>
      </c>
      <c r="BG41" s="194">
        <v>2123</v>
      </c>
      <c r="BH41" s="194">
        <v>4301</v>
      </c>
      <c r="BI41" s="194">
        <v>4339</v>
      </c>
      <c r="BJ41" s="194">
        <v>4107</v>
      </c>
      <c r="BK41" s="194">
        <v>4185</v>
      </c>
      <c r="BL41" s="194">
        <v>4302</v>
      </c>
      <c r="BM41" s="194">
        <v>3660</v>
      </c>
      <c r="BN41" s="194">
        <v>3766</v>
      </c>
      <c r="BO41" s="194">
        <v>3286</v>
      </c>
      <c r="BP41" s="231">
        <v>0</v>
      </c>
      <c r="BQ41" s="231">
        <v>0</v>
      </c>
    </row>
    <row r="42" spans="1:69" ht="11.25" customHeight="1" x14ac:dyDescent="0.2">
      <c r="A42" s="111"/>
      <c r="B42" s="111"/>
      <c r="C42" s="111"/>
      <c r="D42" s="111"/>
      <c r="E42" s="112" t="s">
        <v>168</v>
      </c>
      <c r="F42" s="112"/>
      <c r="G42" s="32"/>
      <c r="H42" s="107">
        <v>0</v>
      </c>
      <c r="I42" s="107">
        <v>0</v>
      </c>
      <c r="J42" s="107">
        <v>0</v>
      </c>
      <c r="K42" s="107">
        <v>4660</v>
      </c>
      <c r="L42" s="107">
        <v>0</v>
      </c>
      <c r="M42" s="107">
        <v>0</v>
      </c>
      <c r="N42" s="107">
        <v>0</v>
      </c>
      <c r="O42" s="107">
        <v>694</v>
      </c>
      <c r="P42" s="107">
        <v>214</v>
      </c>
      <c r="Q42" s="107">
        <v>319</v>
      </c>
      <c r="R42" s="107">
        <v>9214</v>
      </c>
      <c r="S42" s="107">
        <v>6918</v>
      </c>
      <c r="T42" s="107">
        <v>8514</v>
      </c>
      <c r="U42" s="107">
        <v>8900</v>
      </c>
      <c r="V42" s="107">
        <f>9892+1378</f>
        <v>11270</v>
      </c>
      <c r="W42" s="107">
        <v>8231</v>
      </c>
      <c r="X42" s="107">
        <v>9646</v>
      </c>
      <c r="Y42" s="107">
        <v>9570</v>
      </c>
      <c r="Z42" s="107">
        <f>11015+1085</f>
        <v>12100</v>
      </c>
      <c r="AA42" s="107">
        <f>15627-7694</f>
        <v>7933</v>
      </c>
      <c r="AB42" s="107">
        <f>13725-3069-160</f>
        <v>10496</v>
      </c>
      <c r="AC42" s="107">
        <f>11964-400</f>
        <v>11564</v>
      </c>
      <c r="AD42" s="107">
        <v>15028</v>
      </c>
      <c r="AE42" s="107">
        <v>10298</v>
      </c>
      <c r="AF42" s="194">
        <v>13460</v>
      </c>
      <c r="AG42" s="194">
        <v>14471</v>
      </c>
      <c r="AH42" s="194">
        <v>17256</v>
      </c>
      <c r="AI42" s="194">
        <v>11756</v>
      </c>
      <c r="AJ42" s="194">
        <f>12889+1906</f>
        <v>14795</v>
      </c>
      <c r="AK42" s="194">
        <f>14121+2287</f>
        <v>16408</v>
      </c>
      <c r="AL42" s="194">
        <f>16130+1825</f>
        <v>17955</v>
      </c>
      <c r="AM42" s="194">
        <f>10232+2086</f>
        <v>12318</v>
      </c>
      <c r="AN42" s="194">
        <f>13763+2141</f>
        <v>15904</v>
      </c>
      <c r="AO42" s="194">
        <f>15125+2173</f>
        <v>17298</v>
      </c>
      <c r="AP42" s="194">
        <f>18619+2094</f>
        <v>20713</v>
      </c>
      <c r="AQ42" s="194">
        <f>12445+2116</f>
        <v>14561</v>
      </c>
      <c r="AR42" s="194">
        <f>16474+2252</f>
        <v>18726</v>
      </c>
      <c r="AS42" s="194">
        <f>18696+2196</f>
        <v>20892</v>
      </c>
      <c r="AT42" s="194">
        <f>22654+2072</f>
        <v>24726</v>
      </c>
      <c r="AU42" s="194">
        <f>15575+2067</f>
        <v>17642</v>
      </c>
      <c r="AV42" s="194">
        <f>19655+2201</f>
        <v>21856</v>
      </c>
      <c r="AW42" s="194">
        <f>22062+2153</f>
        <v>24215</v>
      </c>
      <c r="AX42" s="194">
        <f>25649+1660</f>
        <v>27309</v>
      </c>
      <c r="AY42" s="194">
        <f>17236+1788</f>
        <v>19024</v>
      </c>
      <c r="AZ42" s="194">
        <f>21678+1829</f>
        <v>23507</v>
      </c>
      <c r="BA42" s="194">
        <f>24585+1845</f>
        <v>26430</v>
      </c>
      <c r="BB42" s="194">
        <f>28714+1830</f>
        <v>30544</v>
      </c>
      <c r="BC42" s="194">
        <f>20131+1983</f>
        <v>22114</v>
      </c>
      <c r="BD42" s="194">
        <f>25401+1997</f>
        <v>27398</v>
      </c>
      <c r="BE42" s="194">
        <f>29528+2320</f>
        <v>31848</v>
      </c>
      <c r="BF42" s="194">
        <f>35014+26500</f>
        <v>61514</v>
      </c>
      <c r="BG42" s="194">
        <f>24671+26257</f>
        <v>50928</v>
      </c>
      <c r="BH42" s="194">
        <f>40670+28923</f>
        <v>69593</v>
      </c>
      <c r="BI42" s="194">
        <f>46987+27137</f>
        <v>74124</v>
      </c>
      <c r="BJ42" s="194">
        <f>55660+27923</f>
        <v>83583</v>
      </c>
      <c r="BK42" s="194">
        <f>34410+28090</f>
        <v>62500</v>
      </c>
      <c r="BL42" s="194">
        <f>42345+7123</f>
        <v>49468</v>
      </c>
      <c r="BM42" s="194">
        <f>47236+3806</f>
        <v>51042</v>
      </c>
      <c r="BN42" s="194">
        <f>56968+3866</f>
        <v>60834</v>
      </c>
      <c r="BO42" s="194">
        <f>38031+4743</f>
        <v>42774</v>
      </c>
      <c r="BP42" s="231">
        <f>45429+5037</f>
        <v>50466</v>
      </c>
      <c r="BQ42" s="231">
        <f>49779+6783</f>
        <v>56562</v>
      </c>
    </row>
    <row r="43" spans="1:69" ht="11.25" customHeight="1" x14ac:dyDescent="0.2">
      <c r="A43" s="111"/>
      <c r="B43" s="111"/>
      <c r="C43" s="111"/>
      <c r="D43" s="111"/>
      <c r="E43" s="112" t="s">
        <v>169</v>
      </c>
      <c r="F43" s="112"/>
      <c r="G43" s="32"/>
      <c r="H43" s="107">
        <v>0</v>
      </c>
      <c r="I43" s="107">
        <v>0</v>
      </c>
      <c r="J43" s="107">
        <v>0</v>
      </c>
      <c r="K43" s="107">
        <v>810</v>
      </c>
      <c r="L43" s="107">
        <v>0</v>
      </c>
      <c r="M43" s="107">
        <v>0</v>
      </c>
      <c r="N43" s="107">
        <v>0</v>
      </c>
      <c r="O43" s="107">
        <v>4032</v>
      </c>
      <c r="P43" s="107">
        <v>2122</v>
      </c>
      <c r="Q43" s="107">
        <v>4569</v>
      </c>
      <c r="R43" s="107">
        <v>7715</v>
      </c>
      <c r="S43" s="107">
        <v>12570</v>
      </c>
      <c r="T43" s="107">
        <v>2687</v>
      </c>
      <c r="U43" s="107">
        <v>3612</v>
      </c>
      <c r="V43" s="107">
        <v>3742</v>
      </c>
      <c r="W43" s="107">
        <v>3858</v>
      </c>
      <c r="X43" s="107">
        <v>1794</v>
      </c>
      <c r="Y43" s="107">
        <v>4138</v>
      </c>
      <c r="Z43" s="107">
        <v>5529</v>
      </c>
      <c r="AA43" s="107">
        <v>7694</v>
      </c>
      <c r="AB43" s="107">
        <v>3069</v>
      </c>
      <c r="AC43" s="107">
        <v>5252</v>
      </c>
      <c r="AD43" s="107">
        <v>6661</v>
      </c>
      <c r="AE43" s="107">
        <v>6466</v>
      </c>
      <c r="AF43" s="194">
        <v>2524</v>
      </c>
      <c r="AG43" s="194">
        <v>4249</v>
      </c>
      <c r="AH43" s="194">
        <v>5412</v>
      </c>
      <c r="AI43" s="194">
        <v>8659</v>
      </c>
      <c r="AJ43" s="194">
        <v>2199</v>
      </c>
      <c r="AK43" s="194">
        <v>1884</v>
      </c>
      <c r="AL43" s="194">
        <v>1530</v>
      </c>
      <c r="AM43" s="194">
        <v>2704</v>
      </c>
      <c r="AN43" s="194">
        <v>3059</v>
      </c>
      <c r="AO43" s="194">
        <v>9483</v>
      </c>
      <c r="AP43" s="194">
        <v>17387</v>
      </c>
      <c r="AQ43" s="194">
        <v>26941</v>
      </c>
      <c r="AR43" s="194">
        <v>6279</v>
      </c>
      <c r="AS43" s="194">
        <v>13150</v>
      </c>
      <c r="AT43" s="194">
        <v>22979</v>
      </c>
      <c r="AU43" s="194">
        <v>36374</v>
      </c>
      <c r="AV43" s="194">
        <v>7134</v>
      </c>
      <c r="AW43" s="194">
        <v>15748</v>
      </c>
      <c r="AX43" s="194">
        <v>20863</v>
      </c>
      <c r="AY43" s="194">
        <v>27684</v>
      </c>
      <c r="AZ43" s="194">
        <v>8153</v>
      </c>
      <c r="BA43" s="194">
        <v>16111</v>
      </c>
      <c r="BB43" s="194">
        <v>25515</v>
      </c>
      <c r="BC43" s="194">
        <v>46701</v>
      </c>
      <c r="BD43" s="194">
        <v>17160</v>
      </c>
      <c r="BE43" s="194">
        <v>34425</v>
      </c>
      <c r="BF43" s="194">
        <v>59912</v>
      </c>
      <c r="BG43" s="194">
        <v>81280</v>
      </c>
      <c r="BH43" s="194">
        <v>34441</v>
      </c>
      <c r="BI43" s="194">
        <v>58343</v>
      </c>
      <c r="BJ43" s="194">
        <v>76919</v>
      </c>
      <c r="BK43" s="194">
        <v>93556</v>
      </c>
      <c r="BL43" s="194">
        <v>25541</v>
      </c>
      <c r="BM43" s="194">
        <v>47342</v>
      </c>
      <c r="BN43" s="194">
        <v>76816</v>
      </c>
      <c r="BO43" s="194">
        <v>80722</v>
      </c>
      <c r="BP43" s="231">
        <v>11322</v>
      </c>
      <c r="BQ43" s="231">
        <v>30544</v>
      </c>
    </row>
    <row r="44" spans="1:69" ht="11.25" customHeight="1" x14ac:dyDescent="0.2">
      <c r="A44" s="111"/>
      <c r="B44" s="111"/>
      <c r="C44" s="111"/>
      <c r="D44" s="111"/>
      <c r="E44" s="112" t="s">
        <v>170</v>
      </c>
      <c r="F44" s="112"/>
      <c r="G44" s="32"/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07">
        <v>0</v>
      </c>
      <c r="AE44" s="107"/>
      <c r="AF44" s="194">
        <v>0</v>
      </c>
      <c r="AG44" s="194">
        <v>0</v>
      </c>
      <c r="AH44" s="194">
        <v>0</v>
      </c>
      <c r="AI44" s="194">
        <v>0</v>
      </c>
      <c r="AJ44" s="194">
        <v>0</v>
      </c>
      <c r="AK44" s="194">
        <v>0</v>
      </c>
      <c r="AL44" s="194">
        <v>0</v>
      </c>
      <c r="AM44" s="194">
        <v>0</v>
      </c>
      <c r="AN44" s="194">
        <v>0</v>
      </c>
      <c r="AO44" s="194">
        <v>0</v>
      </c>
      <c r="AP44" s="194">
        <v>0</v>
      </c>
      <c r="AQ44" s="194">
        <v>0</v>
      </c>
      <c r="AR44" s="194">
        <v>0</v>
      </c>
      <c r="AS44" s="194">
        <v>0</v>
      </c>
      <c r="AT44" s="194">
        <v>0</v>
      </c>
      <c r="AU44" s="194">
        <v>0</v>
      </c>
      <c r="AV44" s="194">
        <v>2616</v>
      </c>
      <c r="AW44" s="194">
        <v>2742</v>
      </c>
      <c r="AX44" s="194">
        <v>2059</v>
      </c>
      <c r="AY44" s="194">
        <v>2003</v>
      </c>
      <c r="AZ44" s="194">
        <v>1993</v>
      </c>
      <c r="BA44" s="194">
        <v>1993</v>
      </c>
      <c r="BB44" s="194">
        <v>1993</v>
      </c>
      <c r="BC44" s="194">
        <v>1993</v>
      </c>
      <c r="BD44" s="194">
        <v>1590</v>
      </c>
      <c r="BE44" s="194">
        <v>1590</v>
      </c>
      <c r="BF44" s="194">
        <v>2778</v>
      </c>
      <c r="BG44" s="194">
        <v>2763</v>
      </c>
      <c r="BH44" s="194">
        <v>4011</v>
      </c>
      <c r="BI44" s="194">
        <v>5164</v>
      </c>
      <c r="BJ44" s="194">
        <v>5181</v>
      </c>
      <c r="BK44" s="194">
        <v>4942</v>
      </c>
      <c r="BL44" s="194">
        <v>5300</v>
      </c>
      <c r="BM44" s="194">
        <v>4448</v>
      </c>
      <c r="BN44" s="194">
        <v>4459</v>
      </c>
      <c r="BO44" s="194">
        <v>4278</v>
      </c>
      <c r="BP44" s="231">
        <v>3884</v>
      </c>
      <c r="BQ44" s="231">
        <v>3998</v>
      </c>
    </row>
    <row r="45" spans="1:69" ht="11.25" customHeight="1" x14ac:dyDescent="0.2">
      <c r="A45" s="111"/>
      <c r="B45" s="111"/>
      <c r="C45" s="111"/>
      <c r="D45" s="111"/>
      <c r="E45" s="112" t="s">
        <v>171</v>
      </c>
      <c r="F45" s="112"/>
      <c r="G45" s="32"/>
      <c r="H45" s="107">
        <v>0</v>
      </c>
      <c r="I45" s="107">
        <v>0</v>
      </c>
      <c r="J45" s="107">
        <v>0</v>
      </c>
      <c r="K45" s="107">
        <v>0</v>
      </c>
      <c r="L45" s="107">
        <v>0</v>
      </c>
      <c r="M45" s="107">
        <v>0</v>
      </c>
      <c r="N45" s="107">
        <v>0</v>
      </c>
      <c r="O45" s="107">
        <v>0</v>
      </c>
      <c r="P45" s="107">
        <v>0</v>
      </c>
      <c r="Q45" s="107">
        <v>0</v>
      </c>
      <c r="R45" s="107">
        <v>0</v>
      </c>
      <c r="S45" s="107">
        <v>0</v>
      </c>
      <c r="T45" s="107">
        <v>0</v>
      </c>
      <c r="U45" s="107">
        <v>0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7">
        <v>400</v>
      </c>
      <c r="AB45" s="107">
        <v>400</v>
      </c>
      <c r="AC45" s="107">
        <v>400</v>
      </c>
      <c r="AD45" s="107">
        <v>400</v>
      </c>
      <c r="AE45" s="107">
        <v>400</v>
      </c>
      <c r="AF45" s="194">
        <v>0</v>
      </c>
      <c r="AG45" s="194">
        <v>0</v>
      </c>
      <c r="AH45" s="194">
        <v>0</v>
      </c>
      <c r="AI45" s="194">
        <v>0</v>
      </c>
      <c r="AJ45" s="194">
        <v>0</v>
      </c>
      <c r="AK45" s="194">
        <v>0</v>
      </c>
      <c r="AL45" s="194">
        <v>0</v>
      </c>
      <c r="AM45" s="194">
        <v>0</v>
      </c>
      <c r="AN45" s="194">
        <v>0</v>
      </c>
      <c r="AO45" s="194">
        <v>0</v>
      </c>
      <c r="AP45" s="194">
        <v>0</v>
      </c>
      <c r="AQ45" s="194">
        <v>0</v>
      </c>
      <c r="AR45" s="194">
        <v>0</v>
      </c>
      <c r="AS45" s="194">
        <v>0</v>
      </c>
      <c r="AT45" s="194">
        <v>0</v>
      </c>
      <c r="AU45" s="194">
        <v>0</v>
      </c>
      <c r="AV45" s="194">
        <v>0</v>
      </c>
      <c r="AW45" s="194">
        <v>0</v>
      </c>
      <c r="AX45" s="194">
        <v>0</v>
      </c>
      <c r="AY45" s="194">
        <v>0</v>
      </c>
      <c r="AZ45" s="194">
        <v>0</v>
      </c>
      <c r="BA45" s="194">
        <v>0</v>
      </c>
      <c r="BB45" s="194">
        <v>0</v>
      </c>
      <c r="BC45" s="194">
        <v>0</v>
      </c>
      <c r="BD45" s="194">
        <v>0</v>
      </c>
      <c r="BE45" s="194">
        <v>0</v>
      </c>
      <c r="BF45" s="194">
        <v>0</v>
      </c>
      <c r="BG45" s="194">
        <v>0</v>
      </c>
      <c r="BH45" s="194">
        <v>0</v>
      </c>
      <c r="BI45" s="194">
        <v>0</v>
      </c>
      <c r="BJ45" s="194">
        <v>0</v>
      </c>
      <c r="BK45" s="194">
        <v>0</v>
      </c>
      <c r="BL45" s="194">
        <v>0</v>
      </c>
      <c r="BM45" s="194">
        <v>0</v>
      </c>
      <c r="BN45" s="194">
        <v>0</v>
      </c>
      <c r="BO45" s="194">
        <v>0</v>
      </c>
      <c r="BP45" s="231">
        <v>0</v>
      </c>
      <c r="BQ45" s="231">
        <v>0</v>
      </c>
    </row>
    <row r="46" spans="1:69" ht="11.25" customHeight="1" x14ac:dyDescent="0.2">
      <c r="A46" s="111"/>
      <c r="B46" s="111"/>
      <c r="C46" s="111"/>
      <c r="D46" s="111"/>
      <c r="E46" s="112" t="s">
        <v>172</v>
      </c>
      <c r="F46" s="112"/>
      <c r="G46" s="32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94"/>
      <c r="AG46" s="194"/>
      <c r="AH46" s="194"/>
      <c r="AI46" s="194"/>
      <c r="AJ46" s="194"/>
      <c r="AK46" s="194"/>
      <c r="AL46" s="194"/>
      <c r="AM46" s="194"/>
      <c r="AN46" s="194">
        <v>310</v>
      </c>
      <c r="AO46" s="194">
        <v>330</v>
      </c>
      <c r="AP46" s="194">
        <v>330</v>
      </c>
      <c r="AQ46" s="194">
        <v>330</v>
      </c>
      <c r="AR46" s="194">
        <v>330</v>
      </c>
      <c r="AS46" s="194">
        <v>330</v>
      </c>
      <c r="AT46" s="194">
        <v>330</v>
      </c>
      <c r="AU46" s="194">
        <v>330</v>
      </c>
      <c r="AV46" s="194">
        <v>330</v>
      </c>
      <c r="AW46" s="194">
        <v>330</v>
      </c>
      <c r="AX46" s="194">
        <v>330</v>
      </c>
      <c r="AY46" s="194">
        <v>330</v>
      </c>
      <c r="AZ46" s="194">
        <v>330</v>
      </c>
      <c r="BA46" s="194">
        <v>330</v>
      </c>
      <c r="BB46" s="194">
        <v>330</v>
      </c>
      <c r="BC46" s="194">
        <v>330</v>
      </c>
      <c r="BD46" s="194">
        <v>330</v>
      </c>
      <c r="BE46" s="194">
        <v>529</v>
      </c>
      <c r="BF46" s="194">
        <v>529</v>
      </c>
      <c r="BG46" s="194">
        <v>859</v>
      </c>
      <c r="BH46" s="194">
        <v>978</v>
      </c>
      <c r="BI46" s="194">
        <v>1046</v>
      </c>
      <c r="BJ46" s="194">
        <v>1019</v>
      </c>
      <c r="BK46" s="194">
        <v>1040</v>
      </c>
      <c r="BL46" s="194">
        <v>1176</v>
      </c>
      <c r="BM46" s="194">
        <v>1213</v>
      </c>
      <c r="BN46" s="194">
        <v>1252</v>
      </c>
      <c r="BO46" s="194">
        <v>1287</v>
      </c>
      <c r="BP46" s="231">
        <v>1569</v>
      </c>
      <c r="BQ46" s="231">
        <v>269</v>
      </c>
    </row>
    <row r="47" spans="1:69" ht="11.25" customHeight="1" x14ac:dyDescent="0.25">
      <c r="A47" s="108"/>
      <c r="B47" s="108" t="s">
        <v>173</v>
      </c>
      <c r="C47" s="108"/>
      <c r="D47" s="108"/>
      <c r="E47" s="108"/>
      <c r="F47" s="108"/>
      <c r="G47" s="109"/>
      <c r="H47" s="36">
        <f t="shared" ref="H47:AF47" si="74">H48+H52+H58+H60</f>
        <v>411793</v>
      </c>
      <c r="I47" s="36">
        <f t="shared" si="74"/>
        <v>391713</v>
      </c>
      <c r="J47" s="36">
        <f t="shared" si="74"/>
        <v>408535</v>
      </c>
      <c r="K47" s="36">
        <f t="shared" si="74"/>
        <v>765424</v>
      </c>
      <c r="L47" s="36">
        <f t="shared" si="74"/>
        <v>768841</v>
      </c>
      <c r="M47" s="36">
        <f t="shared" si="74"/>
        <v>784757</v>
      </c>
      <c r="N47" s="36">
        <f t="shared" si="74"/>
        <v>766936</v>
      </c>
      <c r="O47" s="36">
        <f t="shared" si="74"/>
        <v>748551</v>
      </c>
      <c r="P47" s="36">
        <f t="shared" si="74"/>
        <v>747657</v>
      </c>
      <c r="Q47" s="36">
        <f t="shared" si="74"/>
        <v>823021</v>
      </c>
      <c r="R47" s="36">
        <f t="shared" si="74"/>
        <v>898229</v>
      </c>
      <c r="S47" s="36">
        <f t="shared" si="74"/>
        <v>846625</v>
      </c>
      <c r="T47" s="36">
        <f t="shared" si="74"/>
        <v>940587</v>
      </c>
      <c r="U47" s="36">
        <f t="shared" si="74"/>
        <v>985845</v>
      </c>
      <c r="V47" s="36">
        <f t="shared" si="74"/>
        <v>982938</v>
      </c>
      <c r="W47" s="36">
        <f t="shared" si="74"/>
        <v>921675</v>
      </c>
      <c r="X47" s="36">
        <f t="shared" si="74"/>
        <v>907111</v>
      </c>
      <c r="Y47" s="36">
        <f t="shared" si="74"/>
        <v>859322</v>
      </c>
      <c r="Z47" s="36">
        <f t="shared" si="74"/>
        <v>867591</v>
      </c>
      <c r="AA47" s="36">
        <f t="shared" si="74"/>
        <v>928320</v>
      </c>
      <c r="AB47" s="36">
        <f t="shared" si="74"/>
        <v>885952</v>
      </c>
      <c r="AC47" s="36">
        <f t="shared" si="74"/>
        <v>868779</v>
      </c>
      <c r="AD47" s="36">
        <f t="shared" si="74"/>
        <v>847167</v>
      </c>
      <c r="AE47" s="36">
        <f t="shared" si="74"/>
        <v>762340</v>
      </c>
      <c r="AF47" s="36">
        <f t="shared" si="74"/>
        <v>796041</v>
      </c>
      <c r="AG47" s="36">
        <f>AG48+AG52+AG58+AG60</f>
        <v>872690</v>
      </c>
      <c r="AH47" s="36">
        <f>AH48+AH52+AH58+AH60</f>
        <v>1010637</v>
      </c>
      <c r="AI47" s="36">
        <f>AI48+AI52+AI58+AI60</f>
        <v>1169400</v>
      </c>
      <c r="AJ47" s="36">
        <f>AJ48+AJ52+AJ58+AJ60</f>
        <v>1030929</v>
      </c>
      <c r="AK47" s="36">
        <f t="shared" ref="AK47:BB47" si="75">AK48+AK52+AK58+AK60</f>
        <v>1113418</v>
      </c>
      <c r="AL47" s="36">
        <f t="shared" si="75"/>
        <v>1060096</v>
      </c>
      <c r="AM47" s="36">
        <f t="shared" si="75"/>
        <v>986114</v>
      </c>
      <c r="AN47" s="36">
        <f t="shared" si="75"/>
        <v>766734</v>
      </c>
      <c r="AO47" s="36">
        <f t="shared" si="75"/>
        <v>803608</v>
      </c>
      <c r="AP47" s="36">
        <f t="shared" si="75"/>
        <v>927714</v>
      </c>
      <c r="AQ47" s="36">
        <f t="shared" si="75"/>
        <v>929626</v>
      </c>
      <c r="AR47" s="36">
        <f t="shared" si="75"/>
        <v>828223</v>
      </c>
      <c r="AS47" s="36">
        <f t="shared" si="75"/>
        <v>1043469</v>
      </c>
      <c r="AT47" s="36">
        <f>AT48+AT52+AT58+AT60</f>
        <v>1020999</v>
      </c>
      <c r="AU47" s="36">
        <f t="shared" si="75"/>
        <v>1070593</v>
      </c>
      <c r="AV47" s="36">
        <f t="shared" si="75"/>
        <v>1533095</v>
      </c>
      <c r="AW47" s="36">
        <f t="shared" si="75"/>
        <v>1882998</v>
      </c>
      <c r="AX47" s="36">
        <f>AX48+AX52+AX58+AX60</f>
        <v>1913311</v>
      </c>
      <c r="AY47" s="36">
        <f t="shared" si="75"/>
        <v>1930147</v>
      </c>
      <c r="AZ47" s="36">
        <f t="shared" si="75"/>
        <v>2125774</v>
      </c>
      <c r="BA47" s="36">
        <f t="shared" si="75"/>
        <v>2395519</v>
      </c>
      <c r="BB47" s="36">
        <f t="shared" si="75"/>
        <v>2444148</v>
      </c>
      <c r="BC47" s="36">
        <f t="shared" ref="BC47:BH47" si="76">BC48+BC52+BC58+BC60</f>
        <v>3101536</v>
      </c>
      <c r="BD47" s="36">
        <f t="shared" si="76"/>
        <v>2794808</v>
      </c>
      <c r="BE47" s="36">
        <f t="shared" si="76"/>
        <v>3725211</v>
      </c>
      <c r="BF47" s="36">
        <f t="shared" si="76"/>
        <v>4939318</v>
      </c>
      <c r="BG47" s="36">
        <f t="shared" si="76"/>
        <v>5258287</v>
      </c>
      <c r="BH47" s="36">
        <f t="shared" si="76"/>
        <v>5828701</v>
      </c>
      <c r="BI47" s="36">
        <f t="shared" ref="BI47:BL47" si="77">BI48+BI52+BI58+BI60</f>
        <v>5703838</v>
      </c>
      <c r="BJ47" s="36">
        <f t="shared" si="77"/>
        <v>5804259</v>
      </c>
      <c r="BK47" s="36">
        <f t="shared" si="77"/>
        <v>5382267</v>
      </c>
      <c r="BL47" s="36">
        <f t="shared" si="77"/>
        <v>6139911</v>
      </c>
      <c r="BM47" s="36">
        <f t="shared" ref="BM47:BP47" si="78">BM48+BM52+BM58+BM60</f>
        <v>6037014</v>
      </c>
      <c r="BN47" s="36">
        <f t="shared" si="78"/>
        <v>6982203</v>
      </c>
      <c r="BO47" s="36">
        <f t="shared" si="78"/>
        <v>6574135</v>
      </c>
      <c r="BP47" s="36">
        <f t="shared" si="78"/>
        <v>5745257</v>
      </c>
      <c r="BQ47" s="36">
        <f t="shared" ref="BQ47" si="79">BQ48+BQ52+BQ58+BQ60</f>
        <v>5668383</v>
      </c>
    </row>
    <row r="48" spans="1:69" ht="11.25" customHeight="1" x14ac:dyDescent="0.25">
      <c r="A48" s="108"/>
      <c r="B48" s="108"/>
      <c r="C48" s="108" t="s">
        <v>150</v>
      </c>
      <c r="D48" s="108"/>
      <c r="E48" s="108"/>
      <c r="F48" s="108"/>
      <c r="G48" s="109"/>
      <c r="H48" s="36">
        <f>H49</f>
        <v>218390</v>
      </c>
      <c r="I48" s="36">
        <f t="shared" ref="I48:BQ48" si="80">I49</f>
        <v>228353</v>
      </c>
      <c r="J48" s="36">
        <f t="shared" si="80"/>
        <v>242267</v>
      </c>
      <c r="K48" s="36">
        <f t="shared" si="80"/>
        <v>228388</v>
      </c>
      <c r="L48" s="36">
        <f t="shared" si="80"/>
        <v>229120</v>
      </c>
      <c r="M48" s="36">
        <f t="shared" si="80"/>
        <v>229360</v>
      </c>
      <c r="N48" s="36">
        <f t="shared" si="80"/>
        <v>195288</v>
      </c>
      <c r="O48" s="36">
        <f t="shared" si="80"/>
        <v>189476</v>
      </c>
      <c r="P48" s="36">
        <f t="shared" si="80"/>
        <v>186378</v>
      </c>
      <c r="Q48" s="36">
        <f t="shared" si="80"/>
        <v>259866</v>
      </c>
      <c r="R48" s="36">
        <f t="shared" si="80"/>
        <v>262825</v>
      </c>
      <c r="S48" s="36">
        <f t="shared" si="80"/>
        <v>255296</v>
      </c>
      <c r="T48" s="36">
        <f t="shared" si="80"/>
        <v>318224</v>
      </c>
      <c r="U48" s="36">
        <f t="shared" si="80"/>
        <v>452029</v>
      </c>
      <c r="V48" s="36">
        <f t="shared" si="80"/>
        <v>422414</v>
      </c>
      <c r="W48" s="36">
        <f t="shared" si="80"/>
        <v>375362</v>
      </c>
      <c r="X48" s="36">
        <f t="shared" si="80"/>
        <v>383291</v>
      </c>
      <c r="Y48" s="36">
        <f t="shared" si="80"/>
        <v>374792</v>
      </c>
      <c r="Z48" s="36">
        <f t="shared" si="80"/>
        <v>379947</v>
      </c>
      <c r="AA48" s="36">
        <f t="shared" si="80"/>
        <v>477871</v>
      </c>
      <c r="AB48" s="36">
        <f t="shared" si="80"/>
        <v>419418</v>
      </c>
      <c r="AC48" s="36">
        <f t="shared" si="80"/>
        <v>418022</v>
      </c>
      <c r="AD48" s="36">
        <f t="shared" si="80"/>
        <v>424778</v>
      </c>
      <c r="AE48" s="36">
        <f t="shared" si="80"/>
        <v>551237</v>
      </c>
      <c r="AF48" s="36">
        <f t="shared" si="80"/>
        <v>594229</v>
      </c>
      <c r="AG48" s="36">
        <f t="shared" si="80"/>
        <v>652030</v>
      </c>
      <c r="AH48" s="36">
        <f t="shared" si="80"/>
        <v>756342</v>
      </c>
      <c r="AI48" s="36">
        <f t="shared" si="80"/>
        <v>947145</v>
      </c>
      <c r="AJ48" s="36">
        <f t="shared" si="80"/>
        <v>773043</v>
      </c>
      <c r="AK48" s="36">
        <f t="shared" si="80"/>
        <v>841994</v>
      </c>
      <c r="AL48" s="36">
        <f t="shared" si="80"/>
        <v>802625</v>
      </c>
      <c r="AM48" s="36">
        <f t="shared" si="80"/>
        <v>745604</v>
      </c>
      <c r="AN48" s="36">
        <f t="shared" si="80"/>
        <v>542729</v>
      </c>
      <c r="AO48" s="36">
        <f t="shared" si="80"/>
        <v>558525</v>
      </c>
      <c r="AP48" s="36">
        <f t="shared" si="80"/>
        <v>646027</v>
      </c>
      <c r="AQ48" s="36">
        <f t="shared" si="80"/>
        <v>728198</v>
      </c>
      <c r="AR48" s="36">
        <f t="shared" si="80"/>
        <v>619390</v>
      </c>
      <c r="AS48" s="36">
        <f t="shared" si="80"/>
        <v>835152</v>
      </c>
      <c r="AT48" s="36">
        <f t="shared" si="80"/>
        <v>765437</v>
      </c>
      <c r="AU48" s="36">
        <f t="shared" si="80"/>
        <v>866359</v>
      </c>
      <c r="AV48" s="36">
        <f t="shared" si="80"/>
        <v>871579</v>
      </c>
      <c r="AW48" s="36">
        <f t="shared" si="80"/>
        <v>1134348</v>
      </c>
      <c r="AX48" s="36">
        <f t="shared" si="80"/>
        <v>1157076</v>
      </c>
      <c r="AY48" s="36">
        <f t="shared" si="80"/>
        <v>1160251</v>
      </c>
      <c r="AZ48" s="36">
        <f t="shared" si="80"/>
        <v>1312427</v>
      </c>
      <c r="BA48" s="36">
        <f t="shared" si="80"/>
        <v>1492350</v>
      </c>
      <c r="BB48" s="36">
        <f t="shared" si="80"/>
        <v>1494494</v>
      </c>
      <c r="BC48" s="36">
        <f t="shared" si="80"/>
        <v>2039736</v>
      </c>
      <c r="BD48" s="36">
        <f t="shared" si="80"/>
        <v>1614038</v>
      </c>
      <c r="BE48" s="36">
        <f t="shared" si="80"/>
        <v>1556453</v>
      </c>
      <c r="BF48" s="36">
        <f t="shared" si="80"/>
        <v>1793876</v>
      </c>
      <c r="BG48" s="36">
        <f t="shared" si="80"/>
        <v>1918024</v>
      </c>
      <c r="BH48" s="36">
        <f t="shared" si="80"/>
        <v>2230765</v>
      </c>
      <c r="BI48" s="36">
        <f t="shared" si="80"/>
        <v>2406640</v>
      </c>
      <c r="BJ48" s="36">
        <f t="shared" si="80"/>
        <v>2492926</v>
      </c>
      <c r="BK48" s="36">
        <f t="shared" si="80"/>
        <v>2172734</v>
      </c>
      <c r="BL48" s="36">
        <f t="shared" si="80"/>
        <v>2257430</v>
      </c>
      <c r="BM48" s="36">
        <f t="shared" si="80"/>
        <v>2826279</v>
      </c>
      <c r="BN48" s="36">
        <f t="shared" si="80"/>
        <v>3163460</v>
      </c>
      <c r="BO48" s="36">
        <f t="shared" si="80"/>
        <v>2979827</v>
      </c>
      <c r="BP48" s="36">
        <f t="shared" si="80"/>
        <v>2812860</v>
      </c>
      <c r="BQ48" s="36">
        <f t="shared" si="80"/>
        <v>2942782</v>
      </c>
    </row>
    <row r="49" spans="1:69" ht="11.25" customHeight="1" x14ac:dyDescent="0.25">
      <c r="A49" s="113"/>
      <c r="B49" s="113"/>
      <c r="C49" s="113"/>
      <c r="D49" s="113" t="s">
        <v>150</v>
      </c>
      <c r="E49" s="113"/>
      <c r="F49" s="113"/>
      <c r="G49" s="109"/>
      <c r="H49" s="36">
        <f t="shared" ref="H49:S49" si="81">SUM(H50:H51)</f>
        <v>218390</v>
      </c>
      <c r="I49" s="36">
        <f t="shared" si="81"/>
        <v>228353</v>
      </c>
      <c r="J49" s="36">
        <f t="shared" si="81"/>
        <v>242267</v>
      </c>
      <c r="K49" s="36">
        <f t="shared" si="81"/>
        <v>228388</v>
      </c>
      <c r="L49" s="36">
        <f t="shared" si="81"/>
        <v>229120</v>
      </c>
      <c r="M49" s="36">
        <f t="shared" si="81"/>
        <v>229360</v>
      </c>
      <c r="N49" s="36">
        <f t="shared" si="81"/>
        <v>195288</v>
      </c>
      <c r="O49" s="36">
        <f t="shared" si="81"/>
        <v>189476</v>
      </c>
      <c r="P49" s="36">
        <f t="shared" si="81"/>
        <v>186378</v>
      </c>
      <c r="Q49" s="36">
        <f t="shared" si="81"/>
        <v>259866</v>
      </c>
      <c r="R49" s="36">
        <f t="shared" si="81"/>
        <v>262825</v>
      </c>
      <c r="S49" s="36">
        <f t="shared" si="81"/>
        <v>255296</v>
      </c>
      <c r="T49" s="36">
        <f t="shared" ref="T49:AF49" si="82">SUM(T50:T51)</f>
        <v>318224</v>
      </c>
      <c r="U49" s="36">
        <f t="shared" si="82"/>
        <v>452029</v>
      </c>
      <c r="V49" s="36">
        <f t="shared" si="82"/>
        <v>422414</v>
      </c>
      <c r="W49" s="36">
        <f t="shared" si="82"/>
        <v>375362</v>
      </c>
      <c r="X49" s="36">
        <f t="shared" si="82"/>
        <v>383291</v>
      </c>
      <c r="Y49" s="36">
        <f t="shared" si="82"/>
        <v>374792</v>
      </c>
      <c r="Z49" s="36">
        <f t="shared" si="82"/>
        <v>379947</v>
      </c>
      <c r="AA49" s="36">
        <f t="shared" si="82"/>
        <v>477871</v>
      </c>
      <c r="AB49" s="36">
        <f t="shared" si="82"/>
        <v>419418</v>
      </c>
      <c r="AC49" s="36">
        <f t="shared" si="82"/>
        <v>418022</v>
      </c>
      <c r="AD49" s="36">
        <f t="shared" si="82"/>
        <v>424778</v>
      </c>
      <c r="AE49" s="36">
        <f t="shared" si="82"/>
        <v>551237</v>
      </c>
      <c r="AF49" s="36">
        <f t="shared" si="82"/>
        <v>594229</v>
      </c>
      <c r="AG49" s="36">
        <f>SUM(AG50:AG51)</f>
        <v>652030</v>
      </c>
      <c r="AH49" s="36">
        <f>SUM(AH50:AH51)</f>
        <v>756342</v>
      </c>
      <c r="AI49" s="36">
        <f>SUM(AI50:AI51)</f>
        <v>947145</v>
      </c>
      <c r="AJ49" s="36">
        <f>SUM(AJ50:AJ51)</f>
        <v>773043</v>
      </c>
      <c r="AK49" s="36">
        <f t="shared" ref="AK49:BB49" si="83">SUM(AK50:AK51)</f>
        <v>841994</v>
      </c>
      <c r="AL49" s="36">
        <f t="shared" si="83"/>
        <v>802625</v>
      </c>
      <c r="AM49" s="36">
        <f t="shared" si="83"/>
        <v>745604</v>
      </c>
      <c r="AN49" s="36">
        <f t="shared" si="83"/>
        <v>542729</v>
      </c>
      <c r="AO49" s="36">
        <f t="shared" si="83"/>
        <v>558525</v>
      </c>
      <c r="AP49" s="36">
        <f t="shared" si="83"/>
        <v>646027</v>
      </c>
      <c r="AQ49" s="36">
        <f t="shared" si="83"/>
        <v>728198</v>
      </c>
      <c r="AR49" s="36">
        <f t="shared" si="83"/>
        <v>619390</v>
      </c>
      <c r="AS49" s="36">
        <f t="shared" si="83"/>
        <v>835152</v>
      </c>
      <c r="AT49" s="36">
        <f>SUM(AT50:AT51)</f>
        <v>765437</v>
      </c>
      <c r="AU49" s="36">
        <f t="shared" si="83"/>
        <v>866359</v>
      </c>
      <c r="AV49" s="36">
        <f t="shared" si="83"/>
        <v>871579</v>
      </c>
      <c r="AW49" s="36">
        <f t="shared" si="83"/>
        <v>1134348</v>
      </c>
      <c r="AX49" s="36">
        <f>SUM(AX50:AX51)</f>
        <v>1157076</v>
      </c>
      <c r="AY49" s="36">
        <f t="shared" si="83"/>
        <v>1160251</v>
      </c>
      <c r="AZ49" s="36">
        <f t="shared" si="83"/>
        <v>1312427</v>
      </c>
      <c r="BA49" s="36">
        <f t="shared" si="83"/>
        <v>1492350</v>
      </c>
      <c r="BB49" s="36">
        <f t="shared" si="83"/>
        <v>1494494</v>
      </c>
      <c r="BC49" s="36">
        <f t="shared" ref="BC49:BH49" si="84">SUM(BC50:BC51)</f>
        <v>2039736</v>
      </c>
      <c r="BD49" s="36">
        <f t="shared" si="84"/>
        <v>1614038</v>
      </c>
      <c r="BE49" s="36">
        <f t="shared" si="84"/>
        <v>1556453</v>
      </c>
      <c r="BF49" s="36">
        <f t="shared" si="84"/>
        <v>1793876</v>
      </c>
      <c r="BG49" s="36">
        <f t="shared" si="84"/>
        <v>1918024</v>
      </c>
      <c r="BH49" s="36">
        <f t="shared" si="84"/>
        <v>2230765</v>
      </c>
      <c r="BI49" s="36">
        <f t="shared" ref="BI49:BL49" si="85">SUM(BI50:BI51)</f>
        <v>2406640</v>
      </c>
      <c r="BJ49" s="36">
        <f t="shared" si="85"/>
        <v>2492926</v>
      </c>
      <c r="BK49" s="36">
        <f t="shared" si="85"/>
        <v>2172734</v>
      </c>
      <c r="BL49" s="36">
        <f t="shared" si="85"/>
        <v>2257430</v>
      </c>
      <c r="BM49" s="36">
        <f>SUM(BM50:BM51)</f>
        <v>2826279</v>
      </c>
      <c r="BN49" s="36">
        <f>SUM(BN50:BN51)</f>
        <v>3163460</v>
      </c>
      <c r="BO49" s="36">
        <f t="shared" ref="BO49:BP49" si="86">SUM(BO50:BO51)</f>
        <v>2979827</v>
      </c>
      <c r="BP49" s="36">
        <f t="shared" si="86"/>
        <v>2812860</v>
      </c>
      <c r="BQ49" s="36">
        <f t="shared" ref="BQ49" si="87">SUM(BQ50:BQ51)</f>
        <v>2942782</v>
      </c>
    </row>
    <row r="50" spans="1:69" ht="11.25" customHeight="1" x14ac:dyDescent="0.2">
      <c r="A50" s="111"/>
      <c r="B50" s="111"/>
      <c r="C50" s="111"/>
      <c r="D50" s="111"/>
      <c r="E50" s="112" t="s">
        <v>151</v>
      </c>
      <c r="F50" s="112"/>
      <c r="G50" s="32"/>
      <c r="H50" s="107">
        <v>218390</v>
      </c>
      <c r="I50" s="107">
        <v>228353</v>
      </c>
      <c r="J50" s="107">
        <v>242267</v>
      </c>
      <c r="K50" s="107">
        <v>228388</v>
      </c>
      <c r="L50" s="107">
        <v>229120</v>
      </c>
      <c r="M50" s="107">
        <v>229360</v>
      </c>
      <c r="N50" s="107">
        <v>195288</v>
      </c>
      <c r="O50" s="107">
        <v>189476</v>
      </c>
      <c r="P50" s="107">
        <v>186378</v>
      </c>
      <c r="Q50" s="107">
        <v>259866</v>
      </c>
      <c r="R50" s="107">
        <v>262825</v>
      </c>
      <c r="S50" s="107">
        <v>109349</v>
      </c>
      <c r="T50" s="107">
        <v>318224</v>
      </c>
      <c r="U50" s="107">
        <v>105171</v>
      </c>
      <c r="V50" s="107">
        <v>95551</v>
      </c>
      <c r="W50" s="107">
        <v>81568</v>
      </c>
      <c r="X50" s="107">
        <v>123914</v>
      </c>
      <c r="Y50" s="107">
        <v>109675</v>
      </c>
      <c r="Z50" s="107">
        <v>117317</v>
      </c>
      <c r="AA50" s="107">
        <v>200790.63548260601</v>
      </c>
      <c r="AB50" s="107">
        <v>185976</v>
      </c>
      <c r="AC50" s="107">
        <v>218382.655427805</v>
      </c>
      <c r="AD50" s="107">
        <v>214327</v>
      </c>
      <c r="AE50" s="107">
        <v>180484</v>
      </c>
      <c r="AF50" s="194">
        <v>387446</v>
      </c>
      <c r="AG50" s="194">
        <v>495753</v>
      </c>
      <c r="AH50" s="194">
        <v>238409</v>
      </c>
      <c r="AI50" s="194">
        <v>346883</v>
      </c>
      <c r="AJ50" s="194">
        <v>289914</v>
      </c>
      <c r="AK50" s="194">
        <v>501426</v>
      </c>
      <c r="AL50" s="194">
        <v>464158</v>
      </c>
      <c r="AM50" s="194">
        <v>468580</v>
      </c>
      <c r="AN50" s="194">
        <v>308376</v>
      </c>
      <c r="AO50" s="194">
        <v>352575</v>
      </c>
      <c r="AP50" s="194">
        <v>446833</v>
      </c>
      <c r="AQ50" s="194">
        <v>587608</v>
      </c>
      <c r="AR50" s="194">
        <v>478800</v>
      </c>
      <c r="AS50" s="194">
        <v>655387</v>
      </c>
      <c r="AT50" s="194">
        <v>578341</v>
      </c>
      <c r="AU50" s="194">
        <v>763031</v>
      </c>
      <c r="AV50" s="194">
        <v>792215</v>
      </c>
      <c r="AW50" s="194">
        <v>1134348</v>
      </c>
      <c r="AX50" s="194">
        <v>1157076</v>
      </c>
      <c r="AY50" s="194">
        <v>1160251</v>
      </c>
      <c r="AZ50" s="194">
        <v>1312427</v>
      </c>
      <c r="BA50" s="194">
        <v>1492350</v>
      </c>
      <c r="BB50" s="194">
        <v>1494494</v>
      </c>
      <c r="BC50" s="194">
        <v>2039736</v>
      </c>
      <c r="BD50" s="194">
        <v>1614038</v>
      </c>
      <c r="BE50" s="194">
        <v>1556453</v>
      </c>
      <c r="BF50" s="194">
        <v>1793876</v>
      </c>
      <c r="BG50" s="194">
        <v>1918024</v>
      </c>
      <c r="BH50" s="194">
        <v>2230765</v>
      </c>
      <c r="BI50" s="194">
        <v>2406640</v>
      </c>
      <c r="BJ50" s="194">
        <v>2492926</v>
      </c>
      <c r="BK50" s="194">
        <v>2172734</v>
      </c>
      <c r="BL50" s="194">
        <v>2257430</v>
      </c>
      <c r="BM50" s="194">
        <v>2826279</v>
      </c>
      <c r="BN50" s="194">
        <v>3163460</v>
      </c>
      <c r="BO50" s="194">
        <v>2979827</v>
      </c>
      <c r="BP50" s="231">
        <v>2812860</v>
      </c>
      <c r="BQ50" s="231">
        <v>2942782</v>
      </c>
    </row>
    <row r="51" spans="1:69" ht="11.25" customHeight="1" x14ac:dyDescent="0.2">
      <c r="A51" s="111"/>
      <c r="B51" s="111"/>
      <c r="C51" s="111"/>
      <c r="D51" s="111"/>
      <c r="E51" s="112" t="s">
        <v>152</v>
      </c>
      <c r="F51" s="112"/>
      <c r="G51" s="32"/>
      <c r="H51" s="107">
        <v>0</v>
      </c>
      <c r="I51" s="107">
        <v>0</v>
      </c>
      <c r="J51" s="107">
        <v>0</v>
      </c>
      <c r="K51" s="107">
        <v>0</v>
      </c>
      <c r="L51" s="107">
        <v>0</v>
      </c>
      <c r="M51" s="107">
        <v>0</v>
      </c>
      <c r="N51" s="107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145947</v>
      </c>
      <c r="T51" s="107">
        <v>0</v>
      </c>
      <c r="U51" s="107">
        <v>346858</v>
      </c>
      <c r="V51" s="107">
        <v>326863</v>
      </c>
      <c r="W51" s="107">
        <v>293794</v>
      </c>
      <c r="X51" s="107">
        <v>259377</v>
      </c>
      <c r="Y51" s="107">
        <v>265117</v>
      </c>
      <c r="Z51" s="107">
        <v>262630</v>
      </c>
      <c r="AA51" s="107">
        <v>277080.36451739399</v>
      </c>
      <c r="AB51" s="107">
        <v>233442</v>
      </c>
      <c r="AC51" s="107">
        <v>199639.344572195</v>
      </c>
      <c r="AD51" s="107">
        <v>210451</v>
      </c>
      <c r="AE51" s="107">
        <v>370753</v>
      </c>
      <c r="AF51" s="194">
        <v>206783</v>
      </c>
      <c r="AG51" s="194">
        <v>156277</v>
      </c>
      <c r="AH51" s="194">
        <v>517933</v>
      </c>
      <c r="AI51" s="194">
        <v>600262</v>
      </c>
      <c r="AJ51" s="194">
        <v>483129</v>
      </c>
      <c r="AK51" s="194">
        <v>340568</v>
      </c>
      <c r="AL51" s="194">
        <v>338467</v>
      </c>
      <c r="AM51" s="194">
        <v>277024</v>
      </c>
      <c r="AN51" s="194">
        <v>234353</v>
      </c>
      <c r="AO51" s="194">
        <v>205950</v>
      </c>
      <c r="AP51" s="194">
        <v>199194</v>
      </c>
      <c r="AQ51" s="194">
        <v>140590</v>
      </c>
      <c r="AR51" s="194">
        <v>140590</v>
      </c>
      <c r="AS51" s="194">
        <v>179765</v>
      </c>
      <c r="AT51" s="194">
        <v>187096</v>
      </c>
      <c r="AU51" s="194">
        <v>103328</v>
      </c>
      <c r="AV51" s="194">
        <v>79364</v>
      </c>
      <c r="AW51" s="194">
        <v>0</v>
      </c>
      <c r="AX51" s="194">
        <v>0</v>
      </c>
      <c r="AY51" s="194">
        <v>0</v>
      </c>
      <c r="AZ51" s="194">
        <v>0</v>
      </c>
      <c r="BA51" s="194">
        <v>0</v>
      </c>
      <c r="BB51" s="194">
        <v>0</v>
      </c>
      <c r="BC51" s="194">
        <v>0</v>
      </c>
      <c r="BD51" s="194">
        <v>0</v>
      </c>
      <c r="BE51" s="194">
        <v>0</v>
      </c>
      <c r="BF51" s="194">
        <v>0</v>
      </c>
      <c r="BG51" s="194">
        <v>0</v>
      </c>
      <c r="BH51" s="194">
        <v>0</v>
      </c>
      <c r="BI51" s="194">
        <v>0</v>
      </c>
      <c r="BJ51" s="194">
        <v>0</v>
      </c>
      <c r="BK51" s="194">
        <v>0</v>
      </c>
      <c r="BL51" s="194">
        <v>0</v>
      </c>
      <c r="BM51" s="194">
        <v>0</v>
      </c>
      <c r="BN51" s="194">
        <v>0</v>
      </c>
      <c r="BO51" s="194">
        <v>0</v>
      </c>
      <c r="BP51" s="231">
        <v>0</v>
      </c>
      <c r="BQ51" s="231">
        <v>0</v>
      </c>
    </row>
    <row r="52" spans="1:69" ht="11.25" customHeight="1" x14ac:dyDescent="0.25">
      <c r="A52" s="108"/>
      <c r="B52" s="108"/>
      <c r="C52" s="108" t="s">
        <v>153</v>
      </c>
      <c r="D52" s="108"/>
      <c r="E52" s="108"/>
      <c r="F52" s="108"/>
      <c r="G52" s="109"/>
      <c r="H52" s="36">
        <f>+H53</f>
        <v>125602</v>
      </c>
      <c r="I52" s="36">
        <f t="shared" ref="I52:BL52" si="88">+I53</f>
        <v>91410</v>
      </c>
      <c r="J52" s="36">
        <f t="shared" si="88"/>
        <v>85795</v>
      </c>
      <c r="K52" s="36">
        <f t="shared" si="88"/>
        <v>60384</v>
      </c>
      <c r="L52" s="36">
        <f t="shared" si="88"/>
        <v>46650</v>
      </c>
      <c r="M52" s="36">
        <f t="shared" si="88"/>
        <v>39380</v>
      </c>
      <c r="N52" s="36">
        <f t="shared" si="88"/>
        <v>48385</v>
      </c>
      <c r="O52" s="36">
        <f t="shared" si="88"/>
        <v>53730</v>
      </c>
      <c r="P52" s="36">
        <f t="shared" si="88"/>
        <v>50064</v>
      </c>
      <c r="Q52" s="36">
        <f t="shared" si="88"/>
        <v>35315</v>
      </c>
      <c r="R52" s="36">
        <f t="shared" si="88"/>
        <v>102501</v>
      </c>
      <c r="S52" s="36">
        <f t="shared" si="88"/>
        <v>134607</v>
      </c>
      <c r="T52" s="36">
        <f t="shared" si="88"/>
        <v>144140</v>
      </c>
      <c r="U52" s="36">
        <f t="shared" si="88"/>
        <v>101719</v>
      </c>
      <c r="V52" s="36">
        <f t="shared" si="88"/>
        <v>111292</v>
      </c>
      <c r="W52" s="36">
        <f t="shared" si="88"/>
        <v>88174</v>
      </c>
      <c r="X52" s="36">
        <f t="shared" si="88"/>
        <v>68269</v>
      </c>
      <c r="Y52" s="36">
        <f t="shared" si="88"/>
        <v>41438</v>
      </c>
      <c r="Z52" s="36">
        <f t="shared" si="88"/>
        <v>38854</v>
      </c>
      <c r="AA52" s="36">
        <f t="shared" si="88"/>
        <v>30636</v>
      </c>
      <c r="AB52" s="36">
        <f t="shared" si="88"/>
        <v>25001</v>
      </c>
      <c r="AC52" s="36">
        <f t="shared" si="88"/>
        <v>25246</v>
      </c>
      <c r="AD52" s="36">
        <f t="shared" si="88"/>
        <v>29930</v>
      </c>
      <c r="AE52" s="36">
        <f t="shared" si="88"/>
        <v>27592</v>
      </c>
      <c r="AF52" s="36">
        <f t="shared" si="88"/>
        <v>27320</v>
      </c>
      <c r="AG52" s="36">
        <f t="shared" si="88"/>
        <v>31469</v>
      </c>
      <c r="AH52" s="36">
        <f t="shared" si="88"/>
        <v>103988</v>
      </c>
      <c r="AI52" s="36">
        <f t="shared" si="88"/>
        <v>68946</v>
      </c>
      <c r="AJ52" s="36">
        <f t="shared" si="88"/>
        <v>59171</v>
      </c>
      <c r="AK52" s="36">
        <f t="shared" si="88"/>
        <v>63723</v>
      </c>
      <c r="AL52" s="36">
        <f t="shared" si="88"/>
        <v>65723</v>
      </c>
      <c r="AM52" s="36">
        <f t="shared" si="88"/>
        <v>24425</v>
      </c>
      <c r="AN52" s="36">
        <f t="shared" si="88"/>
        <v>25106</v>
      </c>
      <c r="AO52" s="36">
        <f t="shared" si="88"/>
        <v>22887</v>
      </c>
      <c r="AP52" s="36">
        <f t="shared" si="88"/>
        <v>24648</v>
      </c>
      <c r="AQ52" s="36">
        <f t="shared" si="88"/>
        <v>14453</v>
      </c>
      <c r="AR52" s="36">
        <f t="shared" si="88"/>
        <v>12390</v>
      </c>
      <c r="AS52" s="36">
        <f t="shared" si="88"/>
        <v>27893</v>
      </c>
      <c r="AT52" s="36">
        <f t="shared" si="88"/>
        <v>69702</v>
      </c>
      <c r="AU52" s="36">
        <f t="shared" si="88"/>
        <v>7987</v>
      </c>
      <c r="AV52" s="36">
        <f t="shared" si="88"/>
        <v>430502</v>
      </c>
      <c r="AW52" s="36">
        <f t="shared" si="88"/>
        <v>378985</v>
      </c>
      <c r="AX52" s="36">
        <f t="shared" si="88"/>
        <v>467315</v>
      </c>
      <c r="AY52" s="36">
        <f t="shared" si="88"/>
        <v>522365</v>
      </c>
      <c r="AZ52" s="36">
        <f t="shared" si="88"/>
        <v>612224</v>
      </c>
      <c r="BA52" s="36">
        <f t="shared" si="88"/>
        <v>635432</v>
      </c>
      <c r="BB52" s="36">
        <f t="shared" si="88"/>
        <v>738325</v>
      </c>
      <c r="BC52" s="36">
        <f t="shared" si="88"/>
        <v>830998</v>
      </c>
      <c r="BD52" s="36">
        <f t="shared" si="88"/>
        <v>872130</v>
      </c>
      <c r="BE52" s="36">
        <f t="shared" si="88"/>
        <v>1636284</v>
      </c>
      <c r="BF52" s="36">
        <f t="shared" si="88"/>
        <v>2839045</v>
      </c>
      <c r="BG52" s="36">
        <f t="shared" si="88"/>
        <v>2979357</v>
      </c>
      <c r="BH52" s="36">
        <f t="shared" si="88"/>
        <v>3016760</v>
      </c>
      <c r="BI52" s="36">
        <f t="shared" si="88"/>
        <v>2623758</v>
      </c>
      <c r="BJ52" s="36">
        <f t="shared" si="88"/>
        <v>2687262</v>
      </c>
      <c r="BK52" s="36">
        <f t="shared" si="88"/>
        <v>2765816</v>
      </c>
      <c r="BL52" s="36">
        <f t="shared" si="88"/>
        <v>3285909</v>
      </c>
      <c r="BM52" s="36">
        <f>+BM53</f>
        <v>2480368</v>
      </c>
      <c r="BN52" s="36">
        <f>+BN53</f>
        <v>3205519</v>
      </c>
      <c r="BO52" s="36">
        <f t="shared" ref="BO52:BQ52" si="89">+BO53</f>
        <v>3158436</v>
      </c>
      <c r="BP52" s="36">
        <f t="shared" si="89"/>
        <v>2525402</v>
      </c>
      <c r="BQ52" s="36">
        <f t="shared" si="89"/>
        <v>2325524</v>
      </c>
    </row>
    <row r="53" spans="1:69" ht="11.25" customHeight="1" x14ac:dyDescent="0.25">
      <c r="A53" s="108"/>
      <c r="B53" s="108"/>
      <c r="C53" s="108"/>
      <c r="D53" s="108" t="s">
        <v>155</v>
      </c>
      <c r="E53" s="108"/>
      <c r="F53" s="108"/>
      <c r="G53" s="110"/>
      <c r="H53" s="36">
        <f t="shared" ref="H53:AF53" si="90">SUM(H54:H56)</f>
        <v>125602</v>
      </c>
      <c r="I53" s="36">
        <f t="shared" si="90"/>
        <v>91410</v>
      </c>
      <c r="J53" s="36">
        <f t="shared" si="90"/>
        <v>85795</v>
      </c>
      <c r="K53" s="36">
        <f t="shared" si="90"/>
        <v>60384</v>
      </c>
      <c r="L53" s="36">
        <f t="shared" si="90"/>
        <v>46650</v>
      </c>
      <c r="M53" s="36">
        <f t="shared" si="90"/>
        <v>39380</v>
      </c>
      <c r="N53" s="36">
        <f t="shared" si="90"/>
        <v>48385</v>
      </c>
      <c r="O53" s="36">
        <f t="shared" si="90"/>
        <v>53730</v>
      </c>
      <c r="P53" s="36">
        <f t="shared" si="90"/>
        <v>50064</v>
      </c>
      <c r="Q53" s="36">
        <f t="shared" si="90"/>
        <v>35315</v>
      </c>
      <c r="R53" s="36">
        <f t="shared" si="90"/>
        <v>102501</v>
      </c>
      <c r="S53" s="36">
        <f t="shared" si="90"/>
        <v>134607</v>
      </c>
      <c r="T53" s="36">
        <f t="shared" si="90"/>
        <v>144140</v>
      </c>
      <c r="U53" s="36">
        <f t="shared" si="90"/>
        <v>101719</v>
      </c>
      <c r="V53" s="36">
        <f t="shared" si="90"/>
        <v>111292</v>
      </c>
      <c r="W53" s="36">
        <f t="shared" si="90"/>
        <v>88174</v>
      </c>
      <c r="X53" s="36">
        <f t="shared" si="90"/>
        <v>68269</v>
      </c>
      <c r="Y53" s="36">
        <f t="shared" si="90"/>
        <v>41438</v>
      </c>
      <c r="Z53" s="36">
        <f t="shared" si="90"/>
        <v>38854</v>
      </c>
      <c r="AA53" s="36">
        <f t="shared" si="90"/>
        <v>30636</v>
      </c>
      <c r="AB53" s="36">
        <f t="shared" si="90"/>
        <v>25001</v>
      </c>
      <c r="AC53" s="36">
        <f t="shared" si="90"/>
        <v>25246</v>
      </c>
      <c r="AD53" s="36">
        <f t="shared" si="90"/>
        <v>29930</v>
      </c>
      <c r="AE53" s="36">
        <f t="shared" si="90"/>
        <v>27592</v>
      </c>
      <c r="AF53" s="36">
        <f t="shared" si="90"/>
        <v>27320</v>
      </c>
      <c r="AG53" s="36">
        <f>SUM(AG54:AG56)</f>
        <v>31469</v>
      </c>
      <c r="AH53" s="36">
        <f>SUM(AH54:AH56)</f>
        <v>103988</v>
      </c>
      <c r="AI53" s="36">
        <f>SUM(AI54:AI56)</f>
        <v>68946</v>
      </c>
      <c r="AJ53" s="36">
        <f>SUM(AJ54:AJ56)</f>
        <v>59171</v>
      </c>
      <c r="AK53" s="36">
        <f t="shared" ref="AK53:AU53" si="91">SUM(AK54:AK56)</f>
        <v>63723</v>
      </c>
      <c r="AL53" s="36">
        <f t="shared" si="91"/>
        <v>65723</v>
      </c>
      <c r="AM53" s="36">
        <f t="shared" si="91"/>
        <v>24425</v>
      </c>
      <c r="AN53" s="36">
        <f t="shared" si="91"/>
        <v>25106</v>
      </c>
      <c r="AO53" s="36">
        <f t="shared" si="91"/>
        <v>22887</v>
      </c>
      <c r="AP53" s="36">
        <f t="shared" si="91"/>
        <v>24648</v>
      </c>
      <c r="AQ53" s="36">
        <f t="shared" si="91"/>
        <v>14453</v>
      </c>
      <c r="AR53" s="36">
        <f t="shared" si="91"/>
        <v>12390</v>
      </c>
      <c r="AS53" s="36">
        <f t="shared" si="91"/>
        <v>27893</v>
      </c>
      <c r="AT53" s="36">
        <f>SUM(AT54:AT56)</f>
        <v>69702</v>
      </c>
      <c r="AU53" s="36">
        <f t="shared" si="91"/>
        <v>7987</v>
      </c>
      <c r="AV53" s="36">
        <f>SUM(AV54:AV57)</f>
        <v>430502</v>
      </c>
      <c r="AW53" s="36">
        <f t="shared" ref="AW53:BB53" si="92">SUM(AW54:AW57)</f>
        <v>378985</v>
      </c>
      <c r="AX53" s="36">
        <f t="shared" si="92"/>
        <v>467315</v>
      </c>
      <c r="AY53" s="36">
        <f t="shared" si="92"/>
        <v>522365</v>
      </c>
      <c r="AZ53" s="36">
        <f t="shared" si="92"/>
        <v>612224</v>
      </c>
      <c r="BA53" s="36">
        <f t="shared" si="92"/>
        <v>635432</v>
      </c>
      <c r="BB53" s="36">
        <f t="shared" si="92"/>
        <v>738325</v>
      </c>
      <c r="BC53" s="36">
        <f t="shared" ref="BC53:BH53" si="93">SUM(BC54:BC57)</f>
        <v>830998</v>
      </c>
      <c r="BD53" s="36">
        <f t="shared" si="93"/>
        <v>872130</v>
      </c>
      <c r="BE53" s="36">
        <f t="shared" si="93"/>
        <v>1636284</v>
      </c>
      <c r="BF53" s="36">
        <f t="shared" si="93"/>
        <v>2839045</v>
      </c>
      <c r="BG53" s="36">
        <f t="shared" si="93"/>
        <v>2979357</v>
      </c>
      <c r="BH53" s="36">
        <f t="shared" si="93"/>
        <v>3016760</v>
      </c>
      <c r="BI53" s="36">
        <f t="shared" ref="BI53:BL53" si="94">SUM(BI54:BI57)</f>
        <v>2623758</v>
      </c>
      <c r="BJ53" s="36">
        <f t="shared" si="94"/>
        <v>2687262</v>
      </c>
      <c r="BK53" s="36">
        <f t="shared" si="94"/>
        <v>2765816</v>
      </c>
      <c r="BL53" s="36">
        <f t="shared" si="94"/>
        <v>3285909</v>
      </c>
      <c r="BM53" s="36">
        <f>SUM(BM54:BM57)</f>
        <v>2480368</v>
      </c>
      <c r="BN53" s="36">
        <f>SUM(BN54:BN57)</f>
        <v>3205519</v>
      </c>
      <c r="BO53" s="36">
        <f t="shared" ref="BO53:BP53" si="95">SUM(BO54:BO57)</f>
        <v>3158436</v>
      </c>
      <c r="BP53" s="36">
        <f t="shared" si="95"/>
        <v>2525402</v>
      </c>
      <c r="BQ53" s="36">
        <f t="shared" ref="BQ53" si="96">SUM(BQ54:BQ57)</f>
        <v>2325524</v>
      </c>
    </row>
    <row r="54" spans="1:69" ht="11.25" customHeight="1" x14ac:dyDescent="0.2">
      <c r="A54" s="111"/>
      <c r="B54" s="111"/>
      <c r="C54" s="111"/>
      <c r="D54" s="111"/>
      <c r="E54" s="112" t="s">
        <v>159</v>
      </c>
      <c r="F54" s="112"/>
      <c r="G54" s="32"/>
      <c r="H54" s="107">
        <v>80806</v>
      </c>
      <c r="I54" s="107">
        <v>67143</v>
      </c>
      <c r="J54" s="107">
        <v>61751</v>
      </c>
      <c r="K54" s="107">
        <v>58071</v>
      </c>
      <c r="L54" s="107">
        <v>44044</v>
      </c>
      <c r="M54" s="107">
        <v>36935</v>
      </c>
      <c r="N54" s="107">
        <v>45749</v>
      </c>
      <c r="O54" s="107">
        <v>51596</v>
      </c>
      <c r="P54" s="107">
        <v>48622</v>
      </c>
      <c r="Q54" s="107">
        <v>33335</v>
      </c>
      <c r="R54" s="107">
        <v>72583</v>
      </c>
      <c r="S54" s="107">
        <v>128505</v>
      </c>
      <c r="T54" s="107">
        <v>139804</v>
      </c>
      <c r="U54" s="107">
        <v>96999</v>
      </c>
      <c r="V54" s="107">
        <v>108155</v>
      </c>
      <c r="W54" s="107">
        <v>86851</v>
      </c>
      <c r="X54" s="107">
        <v>67555</v>
      </c>
      <c r="Y54" s="107">
        <v>34535</v>
      </c>
      <c r="Z54" s="107">
        <v>35161</v>
      </c>
      <c r="AA54" s="107">
        <v>29216</v>
      </c>
      <c r="AB54" s="107">
        <v>23728</v>
      </c>
      <c r="AC54" s="107">
        <v>22895</v>
      </c>
      <c r="AD54" s="107">
        <v>21646</v>
      </c>
      <c r="AE54" s="107">
        <v>16751</v>
      </c>
      <c r="AF54" s="194">
        <v>18473</v>
      </c>
      <c r="AG54" s="194">
        <v>11968</v>
      </c>
      <c r="AH54" s="194">
        <v>41975</v>
      </c>
      <c r="AI54" s="194">
        <v>36700</v>
      </c>
      <c r="AJ54" s="194">
        <v>36828</v>
      </c>
      <c r="AK54" s="194">
        <v>39284</v>
      </c>
      <c r="AL54" s="194">
        <v>39849</v>
      </c>
      <c r="AM54" s="194">
        <v>0</v>
      </c>
      <c r="AN54" s="194">
        <v>0</v>
      </c>
      <c r="AO54" s="194">
        <v>0</v>
      </c>
      <c r="AP54" s="194">
        <v>0</v>
      </c>
      <c r="AQ54" s="194">
        <v>0</v>
      </c>
      <c r="AR54" s="194">
        <v>0</v>
      </c>
      <c r="AS54" s="194">
        <v>0</v>
      </c>
      <c r="AT54" s="194">
        <v>0</v>
      </c>
      <c r="AU54" s="194">
        <v>0</v>
      </c>
      <c r="AV54" s="194">
        <v>2117</v>
      </c>
      <c r="AW54" s="194">
        <v>1412</v>
      </c>
      <c r="AX54" s="194">
        <v>1412</v>
      </c>
      <c r="AY54" s="194">
        <v>1412</v>
      </c>
      <c r="AZ54" s="194">
        <v>1412</v>
      </c>
      <c r="BA54" s="194">
        <v>706</v>
      </c>
      <c r="BB54" s="194">
        <v>706</v>
      </c>
      <c r="BC54" s="194">
        <v>706</v>
      </c>
      <c r="BD54" s="194">
        <v>706</v>
      </c>
      <c r="BE54" s="194">
        <v>0</v>
      </c>
      <c r="BF54" s="194">
        <v>52629</v>
      </c>
      <c r="BG54" s="194">
        <v>14862</v>
      </c>
      <c r="BH54" s="194">
        <v>14276</v>
      </c>
      <c r="BI54" s="194">
        <v>14276</v>
      </c>
      <c r="BJ54" s="194">
        <v>14276</v>
      </c>
      <c r="BK54" s="194">
        <v>14276</v>
      </c>
      <c r="BL54" s="194">
        <v>172065</v>
      </c>
      <c r="BM54" s="194">
        <v>157789</v>
      </c>
      <c r="BN54" s="194">
        <v>157789</v>
      </c>
      <c r="BO54" s="194">
        <v>154056</v>
      </c>
      <c r="BP54" s="231">
        <v>0</v>
      </c>
      <c r="BQ54" s="231">
        <v>0</v>
      </c>
    </row>
    <row r="55" spans="1:69" ht="11.25" customHeight="1" x14ac:dyDescent="0.2">
      <c r="A55" s="111"/>
      <c r="B55" s="111"/>
      <c r="C55" s="111"/>
      <c r="D55" s="111"/>
      <c r="E55" s="112" t="s">
        <v>121</v>
      </c>
      <c r="F55" s="112"/>
      <c r="G55" s="32"/>
      <c r="H55" s="107">
        <v>21661</v>
      </c>
      <c r="I55" s="107">
        <v>1132</v>
      </c>
      <c r="J55" s="107">
        <v>909</v>
      </c>
      <c r="K55" s="107">
        <v>1765</v>
      </c>
      <c r="L55" s="107">
        <v>2058</v>
      </c>
      <c r="M55" s="107">
        <v>1897</v>
      </c>
      <c r="N55" s="107">
        <v>2088</v>
      </c>
      <c r="O55" s="107">
        <v>1585</v>
      </c>
      <c r="P55" s="107">
        <v>893</v>
      </c>
      <c r="Q55" s="107">
        <v>1431</v>
      </c>
      <c r="R55" s="107">
        <v>29370</v>
      </c>
      <c r="S55" s="107">
        <v>5554</v>
      </c>
      <c r="T55" s="107">
        <v>3788</v>
      </c>
      <c r="U55" s="107">
        <v>4172</v>
      </c>
      <c r="V55" s="107">
        <v>2589</v>
      </c>
      <c r="W55" s="107">
        <v>775</v>
      </c>
      <c r="X55" s="107">
        <v>166</v>
      </c>
      <c r="Y55" s="107">
        <v>6355</v>
      </c>
      <c r="Z55" s="107">
        <v>3145</v>
      </c>
      <c r="AA55" s="107">
        <v>811</v>
      </c>
      <c r="AB55" s="107">
        <v>725</v>
      </c>
      <c r="AC55" s="107">
        <v>1803</v>
      </c>
      <c r="AD55" s="107">
        <v>7736</v>
      </c>
      <c r="AE55" s="107">
        <v>10292</v>
      </c>
      <c r="AF55" s="194">
        <v>8300</v>
      </c>
      <c r="AG55" s="194">
        <v>18952</v>
      </c>
      <c r="AH55" s="194">
        <v>61467</v>
      </c>
      <c r="AI55" s="194">
        <v>31624</v>
      </c>
      <c r="AJ55" s="194">
        <v>21506</v>
      </c>
      <c r="AK55" s="194">
        <v>23601</v>
      </c>
      <c r="AL55" s="194">
        <v>25818</v>
      </c>
      <c r="AM55" s="194">
        <v>24346</v>
      </c>
      <c r="AN55" s="194">
        <v>25024</v>
      </c>
      <c r="AO55" s="194">
        <v>22806</v>
      </c>
      <c r="AP55" s="194">
        <v>24567</v>
      </c>
      <c r="AQ55" s="194">
        <v>14372</v>
      </c>
      <c r="AR55" s="194">
        <v>12308</v>
      </c>
      <c r="AS55" s="194">
        <v>27812</v>
      </c>
      <c r="AT55" s="194">
        <v>69647</v>
      </c>
      <c r="AU55" s="194">
        <v>7932</v>
      </c>
      <c r="AV55" s="194">
        <v>4901</v>
      </c>
      <c r="AW55" s="194">
        <v>5</v>
      </c>
      <c r="AX55" s="194">
        <v>11545</v>
      </c>
      <c r="AY55" s="194">
        <v>5643</v>
      </c>
      <c r="AZ55" s="194">
        <v>62925</v>
      </c>
      <c r="BA55" s="194">
        <v>59494</v>
      </c>
      <c r="BB55" s="194">
        <v>110268</v>
      </c>
      <c r="BC55" s="194">
        <v>58152</v>
      </c>
      <c r="BD55" s="194">
        <v>76968</v>
      </c>
      <c r="BE55" s="194">
        <v>73162</v>
      </c>
      <c r="BF55" s="194">
        <v>182825</v>
      </c>
      <c r="BG55" s="194">
        <v>139966</v>
      </c>
      <c r="BH55" s="194">
        <v>164888</v>
      </c>
      <c r="BI55" s="194">
        <v>108891</v>
      </c>
      <c r="BJ55" s="194">
        <v>99182</v>
      </c>
      <c r="BK55" s="194">
        <v>20546</v>
      </c>
      <c r="BL55" s="194">
        <v>33836</v>
      </c>
      <c r="BM55" s="194">
        <v>40871</v>
      </c>
      <c r="BN55" s="194">
        <v>51404</v>
      </c>
      <c r="BO55" s="194">
        <v>21864</v>
      </c>
      <c r="BP55" s="231">
        <v>21309</v>
      </c>
      <c r="BQ55" s="231">
        <v>75196</v>
      </c>
    </row>
    <row r="56" spans="1:69" ht="11.25" customHeight="1" x14ac:dyDescent="0.2">
      <c r="A56" s="111"/>
      <c r="B56" s="111"/>
      <c r="C56" s="111"/>
      <c r="D56" s="111"/>
      <c r="E56" s="112" t="s">
        <v>162</v>
      </c>
      <c r="F56" s="112"/>
      <c r="G56" s="32"/>
      <c r="H56" s="107">
        <f>548+22587</f>
        <v>23135</v>
      </c>
      <c r="I56" s="107">
        <f>548+22587</f>
        <v>23135</v>
      </c>
      <c r="J56" s="107">
        <f>548+22587</f>
        <v>23135</v>
      </c>
      <c r="K56" s="107">
        <v>548</v>
      </c>
      <c r="L56" s="107">
        <v>548</v>
      </c>
      <c r="M56" s="107">
        <v>548</v>
      </c>
      <c r="N56" s="107">
        <v>548</v>
      </c>
      <c r="O56" s="107">
        <v>549</v>
      </c>
      <c r="P56" s="107">
        <v>549</v>
      </c>
      <c r="Q56" s="107">
        <v>549</v>
      </c>
      <c r="R56" s="107">
        <v>548</v>
      </c>
      <c r="S56" s="107">
        <v>548</v>
      </c>
      <c r="T56" s="107">
        <v>548</v>
      </c>
      <c r="U56" s="107">
        <v>548</v>
      </c>
      <c r="V56" s="107">
        <v>548</v>
      </c>
      <c r="W56" s="107">
        <v>548</v>
      </c>
      <c r="X56" s="107">
        <v>548</v>
      </c>
      <c r="Y56" s="107">
        <v>548</v>
      </c>
      <c r="Z56" s="107">
        <v>548</v>
      </c>
      <c r="AA56" s="107">
        <v>609</v>
      </c>
      <c r="AB56" s="107">
        <v>548</v>
      </c>
      <c r="AC56" s="107">
        <v>548</v>
      </c>
      <c r="AD56" s="107">
        <v>548</v>
      </c>
      <c r="AE56" s="107">
        <v>549</v>
      </c>
      <c r="AF56" s="194">
        <v>547</v>
      </c>
      <c r="AG56" s="194">
        <v>549</v>
      </c>
      <c r="AH56" s="194">
        <v>546</v>
      </c>
      <c r="AI56" s="194">
        <v>622</v>
      </c>
      <c r="AJ56" s="194">
        <v>837</v>
      </c>
      <c r="AK56" s="194">
        <v>838</v>
      </c>
      <c r="AL56" s="194">
        <v>56</v>
      </c>
      <c r="AM56" s="194">
        <v>79</v>
      </c>
      <c r="AN56" s="194">
        <v>82</v>
      </c>
      <c r="AO56" s="194">
        <v>81</v>
      </c>
      <c r="AP56" s="194">
        <v>81</v>
      </c>
      <c r="AQ56" s="194">
        <v>81</v>
      </c>
      <c r="AR56" s="194">
        <v>82</v>
      </c>
      <c r="AS56" s="194">
        <v>81</v>
      </c>
      <c r="AT56" s="194">
        <v>55</v>
      </c>
      <c r="AU56" s="194">
        <v>55</v>
      </c>
      <c r="AV56" s="194">
        <v>56</v>
      </c>
      <c r="AW56" s="194">
        <v>53</v>
      </c>
      <c r="AX56" s="194">
        <v>224</v>
      </c>
      <c r="AY56" s="194">
        <v>161</v>
      </c>
      <c r="AZ56" s="194">
        <v>147</v>
      </c>
      <c r="BA56" s="194">
        <v>136</v>
      </c>
      <c r="BB56" s="194">
        <v>128</v>
      </c>
      <c r="BC56" s="194">
        <v>114</v>
      </c>
      <c r="BD56" s="194">
        <v>103</v>
      </c>
      <c r="BE56" s="194">
        <v>92</v>
      </c>
      <c r="BF56" s="194">
        <v>81</v>
      </c>
      <c r="BG56" s="194">
        <v>73</v>
      </c>
      <c r="BH56" s="194">
        <v>73</v>
      </c>
      <c r="BI56" s="194">
        <v>0</v>
      </c>
      <c r="BJ56" s="194">
        <v>555</v>
      </c>
      <c r="BK56" s="194">
        <v>520</v>
      </c>
      <c r="BL56" s="194">
        <v>5071</v>
      </c>
      <c r="BM56" s="194">
        <v>5323</v>
      </c>
      <c r="BN56" s="194">
        <v>5282</v>
      </c>
      <c r="BO56" s="194">
        <v>5217</v>
      </c>
      <c r="BP56" s="231">
        <v>5182</v>
      </c>
      <c r="BQ56" s="231">
        <v>5165</v>
      </c>
    </row>
    <row r="57" spans="1:69" ht="11.25" customHeight="1" x14ac:dyDescent="0.2">
      <c r="A57" s="111"/>
      <c r="B57" s="111"/>
      <c r="C57" s="111"/>
      <c r="D57" s="111"/>
      <c r="E57" s="112" t="s">
        <v>174</v>
      </c>
      <c r="F57" s="112"/>
      <c r="G57" s="32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>
        <v>423428</v>
      </c>
      <c r="AW57" s="194">
        <v>377515</v>
      </c>
      <c r="AX57" s="194">
        <v>454134</v>
      </c>
      <c r="AY57" s="194">
        <v>515149</v>
      </c>
      <c r="AZ57" s="194">
        <v>547740</v>
      </c>
      <c r="BA57" s="194">
        <v>575096</v>
      </c>
      <c r="BB57" s="194">
        <v>627223</v>
      </c>
      <c r="BC57" s="194">
        <v>772026</v>
      </c>
      <c r="BD57" s="194">
        <v>794353</v>
      </c>
      <c r="BE57" s="194">
        <v>1563030</v>
      </c>
      <c r="BF57" s="194">
        <v>2603510</v>
      </c>
      <c r="BG57" s="194">
        <v>2824456</v>
      </c>
      <c r="BH57" s="194">
        <v>2837523</v>
      </c>
      <c r="BI57" s="194">
        <v>2500591</v>
      </c>
      <c r="BJ57" s="194">
        <v>2573249</v>
      </c>
      <c r="BK57" s="194">
        <v>2730474</v>
      </c>
      <c r="BL57" s="194">
        <v>3074937</v>
      </c>
      <c r="BM57" s="194">
        <v>2276385</v>
      </c>
      <c r="BN57" s="194">
        <v>2991044</v>
      </c>
      <c r="BO57" s="194">
        <v>2977299</v>
      </c>
      <c r="BP57" s="231">
        <v>2498911</v>
      </c>
      <c r="BQ57" s="231">
        <v>2245163</v>
      </c>
    </row>
    <row r="58" spans="1:69" ht="11.25" customHeight="1" x14ac:dyDescent="0.25">
      <c r="A58" s="108"/>
      <c r="B58" s="108"/>
      <c r="C58" s="108" t="s">
        <v>175</v>
      </c>
      <c r="D58" s="108"/>
      <c r="E58" s="108"/>
      <c r="F58" s="108"/>
      <c r="G58" s="109"/>
      <c r="H58" s="36">
        <f t="shared" ref="H58:X58" si="97">H59</f>
        <v>67801</v>
      </c>
      <c r="I58" s="36">
        <f t="shared" si="97"/>
        <v>71950</v>
      </c>
      <c r="J58" s="36">
        <f t="shared" si="97"/>
        <v>80473</v>
      </c>
      <c r="K58" s="36">
        <f t="shared" si="97"/>
        <v>476652</v>
      </c>
      <c r="L58" s="36">
        <f t="shared" si="97"/>
        <v>493071</v>
      </c>
      <c r="M58" s="36">
        <f t="shared" si="97"/>
        <v>516017</v>
      </c>
      <c r="N58" s="36">
        <f t="shared" si="97"/>
        <v>523263</v>
      </c>
      <c r="O58" s="36">
        <f t="shared" si="97"/>
        <v>505345</v>
      </c>
      <c r="P58" s="36">
        <f t="shared" si="97"/>
        <v>511215</v>
      </c>
      <c r="Q58" s="36">
        <f t="shared" si="97"/>
        <v>527840</v>
      </c>
      <c r="R58" s="36">
        <f t="shared" si="97"/>
        <v>532903</v>
      </c>
      <c r="S58" s="36">
        <f t="shared" si="97"/>
        <v>456722</v>
      </c>
      <c r="T58" s="36">
        <f t="shared" si="97"/>
        <v>478223</v>
      </c>
      <c r="U58" s="36">
        <f t="shared" si="97"/>
        <v>432097</v>
      </c>
      <c r="V58" s="36">
        <f t="shared" si="97"/>
        <v>449232</v>
      </c>
      <c r="W58" s="36">
        <f t="shared" si="97"/>
        <v>458139</v>
      </c>
      <c r="X58" s="36">
        <f t="shared" si="97"/>
        <v>455551</v>
      </c>
      <c r="Y58" s="36">
        <f t="shared" ref="Y58:AF58" si="98">Y59+Y62+Y63</f>
        <v>443092</v>
      </c>
      <c r="Z58" s="36">
        <f t="shared" si="98"/>
        <v>448790</v>
      </c>
      <c r="AA58" s="36">
        <f t="shared" si="98"/>
        <v>419813</v>
      </c>
      <c r="AB58" s="36">
        <f t="shared" si="98"/>
        <v>441533</v>
      </c>
      <c r="AC58" s="36">
        <f t="shared" si="98"/>
        <v>425511</v>
      </c>
      <c r="AD58" s="36">
        <f t="shared" si="98"/>
        <v>392459</v>
      </c>
      <c r="AE58" s="36">
        <f t="shared" si="98"/>
        <v>183511</v>
      </c>
      <c r="AF58" s="36">
        <f t="shared" si="98"/>
        <v>174492</v>
      </c>
      <c r="AG58" s="36">
        <f>AG59+AG62+AG63</f>
        <v>189191</v>
      </c>
      <c r="AH58" s="36">
        <f>AH59+AH62+AH63</f>
        <v>150307</v>
      </c>
      <c r="AI58" s="36">
        <f>AI59+AI62+AI63</f>
        <v>153309</v>
      </c>
      <c r="AJ58" s="36">
        <f>AJ59+AJ62+AJ63</f>
        <v>198715</v>
      </c>
      <c r="AK58" s="36">
        <f t="shared" ref="AK58:BB58" si="99">AK59+AK62+AK63</f>
        <v>207701</v>
      </c>
      <c r="AL58" s="36">
        <f t="shared" si="99"/>
        <v>191748</v>
      </c>
      <c r="AM58" s="36">
        <f t="shared" si="99"/>
        <v>216085</v>
      </c>
      <c r="AN58" s="36">
        <f t="shared" si="99"/>
        <v>198899</v>
      </c>
      <c r="AO58" s="36">
        <f t="shared" si="99"/>
        <v>222196</v>
      </c>
      <c r="AP58" s="36">
        <f t="shared" si="99"/>
        <v>257039</v>
      </c>
      <c r="AQ58" s="36">
        <f t="shared" si="99"/>
        <v>186975</v>
      </c>
      <c r="AR58" s="36">
        <f t="shared" si="99"/>
        <v>196443</v>
      </c>
      <c r="AS58" s="36">
        <f t="shared" si="99"/>
        <v>180424</v>
      </c>
      <c r="AT58" s="36">
        <f>AT59+AT62+AT63</f>
        <v>185860</v>
      </c>
      <c r="AU58" s="36">
        <f t="shared" si="99"/>
        <v>196247</v>
      </c>
      <c r="AV58" s="36">
        <f t="shared" si="99"/>
        <v>231014</v>
      </c>
      <c r="AW58" s="36">
        <f t="shared" si="99"/>
        <v>369665</v>
      </c>
      <c r="AX58" s="36">
        <f>AX59+AX62+AX63</f>
        <v>288920</v>
      </c>
      <c r="AY58" s="36">
        <f t="shared" si="99"/>
        <v>247531</v>
      </c>
      <c r="AZ58" s="36">
        <f t="shared" si="99"/>
        <v>201123</v>
      </c>
      <c r="BA58" s="36">
        <f t="shared" si="99"/>
        <v>267737</v>
      </c>
      <c r="BB58" s="36">
        <f t="shared" si="99"/>
        <v>211329</v>
      </c>
      <c r="BC58" s="36">
        <f t="shared" ref="BC58:BH58" si="100">BC59+BC62+BC63</f>
        <v>230802</v>
      </c>
      <c r="BD58" s="36">
        <f t="shared" si="100"/>
        <v>308640</v>
      </c>
      <c r="BE58" s="36">
        <f t="shared" si="100"/>
        <v>532474</v>
      </c>
      <c r="BF58" s="36">
        <f t="shared" si="100"/>
        <v>306397</v>
      </c>
      <c r="BG58" s="36">
        <f t="shared" si="100"/>
        <v>360906</v>
      </c>
      <c r="BH58" s="36">
        <f t="shared" si="100"/>
        <v>581176</v>
      </c>
      <c r="BI58" s="36">
        <f t="shared" ref="BI58:BL58" si="101">BI59+BI62+BI63</f>
        <v>673440</v>
      </c>
      <c r="BJ58" s="36">
        <f t="shared" si="101"/>
        <v>624071</v>
      </c>
      <c r="BK58" s="36">
        <f t="shared" si="101"/>
        <v>443717</v>
      </c>
      <c r="BL58" s="36">
        <f t="shared" si="101"/>
        <v>596572</v>
      </c>
      <c r="BM58" s="36">
        <f t="shared" ref="BM58:BP58" si="102">BM59+BM62+BM63</f>
        <v>730367</v>
      </c>
      <c r="BN58" s="36">
        <f t="shared" si="102"/>
        <v>613224</v>
      </c>
      <c r="BO58" s="36">
        <f t="shared" si="102"/>
        <v>435872</v>
      </c>
      <c r="BP58" s="36">
        <f t="shared" si="102"/>
        <v>406995</v>
      </c>
      <c r="BQ58" s="36">
        <v>400077</v>
      </c>
    </row>
    <row r="59" spans="1:69" ht="11.25" customHeight="1" x14ac:dyDescent="0.2">
      <c r="A59" s="111"/>
      <c r="B59" s="111"/>
      <c r="C59" s="111"/>
      <c r="D59" s="112" t="s">
        <v>176</v>
      </c>
      <c r="E59" s="112"/>
      <c r="F59" s="112"/>
      <c r="G59" s="32"/>
      <c r="H59" s="107">
        <f>56446+11355</f>
        <v>67801</v>
      </c>
      <c r="I59" s="107">
        <f>60591+11359</f>
        <v>71950</v>
      </c>
      <c r="J59" s="107">
        <f>18227+62246</f>
        <v>80473</v>
      </c>
      <c r="K59" s="107">
        <v>476652</v>
      </c>
      <c r="L59" s="107">
        <v>493071</v>
      </c>
      <c r="M59" s="107">
        <v>516017</v>
      </c>
      <c r="N59" s="107">
        <v>523263</v>
      </c>
      <c r="O59" s="107">
        <f>433371+71974</f>
        <v>505345</v>
      </c>
      <c r="P59" s="107">
        <v>511215</v>
      </c>
      <c r="Q59" s="107">
        <v>527840</v>
      </c>
      <c r="R59" s="107">
        <v>532903</v>
      </c>
      <c r="S59" s="107">
        <v>456722</v>
      </c>
      <c r="T59" s="107">
        <v>478223</v>
      </c>
      <c r="U59" s="107">
        <v>432097</v>
      </c>
      <c r="V59" s="107">
        <v>449232</v>
      </c>
      <c r="W59" s="107">
        <v>458139</v>
      </c>
      <c r="X59" s="107">
        <v>455551</v>
      </c>
      <c r="Y59" s="107">
        <v>443092</v>
      </c>
      <c r="Z59" s="107">
        <v>448790</v>
      </c>
      <c r="AA59" s="107">
        <v>419813</v>
      </c>
      <c r="AB59" s="107">
        <v>441533</v>
      </c>
      <c r="AC59" s="107">
        <v>425511</v>
      </c>
      <c r="AD59" s="107">
        <v>392459</v>
      </c>
      <c r="AE59" s="107">
        <v>183511</v>
      </c>
      <c r="AF59" s="194">
        <v>174492</v>
      </c>
      <c r="AG59" s="194">
        <v>189191</v>
      </c>
      <c r="AH59" s="194">
        <v>150307</v>
      </c>
      <c r="AI59" s="194">
        <v>153309</v>
      </c>
      <c r="AJ59" s="194">
        <v>198715</v>
      </c>
      <c r="AK59" s="194">
        <v>207701</v>
      </c>
      <c r="AL59" s="194">
        <v>191748</v>
      </c>
      <c r="AM59" s="194">
        <v>216085</v>
      </c>
      <c r="AN59" s="194">
        <v>198899</v>
      </c>
      <c r="AO59" s="194">
        <v>222196</v>
      </c>
      <c r="AP59" s="194">
        <v>257039</v>
      </c>
      <c r="AQ59" s="194">
        <v>186975</v>
      </c>
      <c r="AR59" s="194">
        <v>196443</v>
      </c>
      <c r="AS59" s="194">
        <v>180424</v>
      </c>
      <c r="AT59" s="194">
        <v>185860</v>
      </c>
      <c r="AU59" s="194">
        <v>196247</v>
      </c>
      <c r="AV59" s="194">
        <v>231014</v>
      </c>
      <c r="AW59" s="194">
        <v>369665</v>
      </c>
      <c r="AX59" s="194">
        <v>288920</v>
      </c>
      <c r="AY59" s="194">
        <v>247531</v>
      </c>
      <c r="AZ59" s="194">
        <v>201123</v>
      </c>
      <c r="BA59" s="194">
        <v>267737</v>
      </c>
      <c r="BB59" s="194">
        <v>211329</v>
      </c>
      <c r="BC59" s="194">
        <v>230802</v>
      </c>
      <c r="BD59" s="194">
        <v>308640</v>
      </c>
      <c r="BE59" s="194">
        <v>532474</v>
      </c>
      <c r="BF59" s="194">
        <v>306397</v>
      </c>
      <c r="BG59" s="194">
        <v>360906</v>
      </c>
      <c r="BH59" s="194">
        <v>581176</v>
      </c>
      <c r="BI59" s="194">
        <v>673440</v>
      </c>
      <c r="BJ59" s="194">
        <v>624071</v>
      </c>
      <c r="BK59" s="194">
        <v>443717</v>
      </c>
      <c r="BL59" s="194">
        <v>596572</v>
      </c>
      <c r="BM59" s="194">
        <v>730367</v>
      </c>
      <c r="BN59" s="194">
        <v>613224</v>
      </c>
      <c r="BO59" s="194">
        <v>435872</v>
      </c>
      <c r="BP59" s="231">
        <v>406995</v>
      </c>
      <c r="BQ59" s="231">
        <v>400077</v>
      </c>
    </row>
    <row r="60" spans="1:69" ht="11.25" customHeight="1" x14ac:dyDescent="0.25">
      <c r="A60" s="108"/>
      <c r="B60" s="108"/>
      <c r="C60" s="108" t="s">
        <v>165</v>
      </c>
      <c r="D60" s="108"/>
      <c r="E60" s="108"/>
      <c r="F60" s="108"/>
      <c r="G60" s="109"/>
      <c r="H60" s="36">
        <f>H61</f>
        <v>0</v>
      </c>
      <c r="I60" s="36">
        <f t="shared" ref="I60:BQ60" si="103">I61</f>
        <v>0</v>
      </c>
      <c r="J60" s="36">
        <f t="shared" si="103"/>
        <v>0</v>
      </c>
      <c r="K60" s="36">
        <f t="shared" si="103"/>
        <v>0</v>
      </c>
      <c r="L60" s="36">
        <f t="shared" si="103"/>
        <v>0</v>
      </c>
      <c r="M60" s="36">
        <f t="shared" si="103"/>
        <v>0</v>
      </c>
      <c r="N60" s="36">
        <f t="shared" si="103"/>
        <v>0</v>
      </c>
      <c r="O60" s="36">
        <f t="shared" si="103"/>
        <v>0</v>
      </c>
      <c r="P60" s="36">
        <f t="shared" si="103"/>
        <v>0</v>
      </c>
      <c r="Q60" s="36">
        <f t="shared" si="103"/>
        <v>0</v>
      </c>
      <c r="R60" s="36">
        <f t="shared" si="103"/>
        <v>0</v>
      </c>
      <c r="S60" s="36">
        <f t="shared" si="103"/>
        <v>0</v>
      </c>
      <c r="T60" s="36">
        <f t="shared" si="103"/>
        <v>0</v>
      </c>
      <c r="U60" s="36">
        <f t="shared" si="103"/>
        <v>0</v>
      </c>
      <c r="V60" s="36">
        <f t="shared" si="103"/>
        <v>0</v>
      </c>
      <c r="W60" s="36">
        <f t="shared" si="103"/>
        <v>0</v>
      </c>
      <c r="X60" s="36">
        <f t="shared" si="103"/>
        <v>0</v>
      </c>
      <c r="Y60" s="36">
        <f t="shared" si="103"/>
        <v>0</v>
      </c>
      <c r="Z60" s="36">
        <f t="shared" si="103"/>
        <v>0</v>
      </c>
      <c r="AA60" s="36">
        <f t="shared" si="103"/>
        <v>0</v>
      </c>
      <c r="AB60" s="36">
        <f t="shared" si="103"/>
        <v>0</v>
      </c>
      <c r="AC60" s="36">
        <f t="shared" si="103"/>
        <v>0</v>
      </c>
      <c r="AD60" s="36">
        <f t="shared" si="103"/>
        <v>0</v>
      </c>
      <c r="AE60" s="36">
        <f t="shared" si="103"/>
        <v>0</v>
      </c>
      <c r="AF60" s="36">
        <f t="shared" si="103"/>
        <v>0</v>
      </c>
      <c r="AG60" s="36">
        <f t="shared" si="103"/>
        <v>0</v>
      </c>
      <c r="AH60" s="36">
        <f t="shared" si="103"/>
        <v>0</v>
      </c>
      <c r="AI60" s="36">
        <f t="shared" si="103"/>
        <v>0</v>
      </c>
      <c r="AJ60" s="36">
        <f t="shared" si="103"/>
        <v>0</v>
      </c>
      <c r="AK60" s="36">
        <f t="shared" si="103"/>
        <v>0</v>
      </c>
      <c r="AL60" s="36">
        <f t="shared" si="103"/>
        <v>0</v>
      </c>
      <c r="AM60" s="36">
        <f t="shared" si="103"/>
        <v>0</v>
      </c>
      <c r="AN60" s="36">
        <f t="shared" si="103"/>
        <v>0</v>
      </c>
      <c r="AO60" s="36">
        <f t="shared" si="103"/>
        <v>0</v>
      </c>
      <c r="AP60" s="36">
        <f t="shared" si="103"/>
        <v>0</v>
      </c>
      <c r="AQ60" s="36">
        <f t="shared" si="103"/>
        <v>0</v>
      </c>
      <c r="AR60" s="36">
        <f t="shared" si="103"/>
        <v>0</v>
      </c>
      <c r="AS60" s="36">
        <f t="shared" si="103"/>
        <v>0</v>
      </c>
      <c r="AT60" s="36">
        <f t="shared" si="103"/>
        <v>0</v>
      </c>
      <c r="AU60" s="36">
        <f t="shared" si="103"/>
        <v>0</v>
      </c>
      <c r="AV60" s="36">
        <f t="shared" si="103"/>
        <v>0</v>
      </c>
      <c r="AW60" s="36">
        <f t="shared" si="103"/>
        <v>0</v>
      </c>
      <c r="AX60" s="36">
        <f t="shared" si="103"/>
        <v>0</v>
      </c>
      <c r="AY60" s="36">
        <f t="shared" si="103"/>
        <v>0</v>
      </c>
      <c r="AZ60" s="36">
        <f t="shared" si="103"/>
        <v>0</v>
      </c>
      <c r="BA60" s="36">
        <f t="shared" si="103"/>
        <v>0</v>
      </c>
      <c r="BB60" s="36">
        <f t="shared" si="103"/>
        <v>0</v>
      </c>
      <c r="BC60" s="36">
        <f t="shared" si="103"/>
        <v>0</v>
      </c>
      <c r="BD60" s="36">
        <f t="shared" si="103"/>
        <v>0</v>
      </c>
      <c r="BE60" s="36">
        <f t="shared" si="103"/>
        <v>0</v>
      </c>
      <c r="BF60" s="36">
        <f t="shared" si="103"/>
        <v>0</v>
      </c>
      <c r="BG60" s="36">
        <f t="shared" si="103"/>
        <v>0</v>
      </c>
      <c r="BH60" s="36">
        <f t="shared" si="103"/>
        <v>0</v>
      </c>
      <c r="BI60" s="36">
        <f t="shared" si="103"/>
        <v>0</v>
      </c>
      <c r="BJ60" s="36">
        <f t="shared" si="103"/>
        <v>0</v>
      </c>
      <c r="BK60" s="36">
        <f t="shared" si="103"/>
        <v>0</v>
      </c>
      <c r="BL60" s="36">
        <f t="shared" si="103"/>
        <v>0</v>
      </c>
      <c r="BM60" s="36">
        <f t="shared" si="103"/>
        <v>0</v>
      </c>
      <c r="BN60" s="36">
        <f t="shared" si="103"/>
        <v>0</v>
      </c>
      <c r="BO60" s="36">
        <f t="shared" si="103"/>
        <v>0</v>
      </c>
      <c r="BP60" s="36">
        <f t="shared" si="103"/>
        <v>0</v>
      </c>
      <c r="BQ60" s="36">
        <f t="shared" si="103"/>
        <v>0</v>
      </c>
    </row>
    <row r="61" spans="1:69" ht="11.25" customHeight="1" x14ac:dyDescent="0.25">
      <c r="A61" s="113"/>
      <c r="B61" s="113"/>
      <c r="C61" s="113"/>
      <c r="D61" s="113" t="s">
        <v>177</v>
      </c>
      <c r="E61" s="113"/>
      <c r="F61" s="113"/>
      <c r="G61" s="109"/>
      <c r="H61" s="36">
        <f t="shared" ref="H61:X61" si="104">SUM(H62:H64)</f>
        <v>0</v>
      </c>
      <c r="I61" s="36">
        <f t="shared" si="104"/>
        <v>0</v>
      </c>
      <c r="J61" s="36">
        <f t="shared" si="104"/>
        <v>0</v>
      </c>
      <c r="K61" s="36">
        <f t="shared" si="104"/>
        <v>0</v>
      </c>
      <c r="L61" s="36">
        <f t="shared" si="104"/>
        <v>0</v>
      </c>
      <c r="M61" s="36">
        <f t="shared" si="104"/>
        <v>0</v>
      </c>
      <c r="N61" s="36">
        <f t="shared" si="104"/>
        <v>0</v>
      </c>
      <c r="O61" s="36">
        <f t="shared" si="104"/>
        <v>0</v>
      </c>
      <c r="P61" s="36">
        <f t="shared" si="104"/>
        <v>0</v>
      </c>
      <c r="Q61" s="36">
        <f t="shared" si="104"/>
        <v>0</v>
      </c>
      <c r="R61" s="36">
        <f t="shared" si="104"/>
        <v>0</v>
      </c>
      <c r="S61" s="36">
        <f t="shared" si="104"/>
        <v>0</v>
      </c>
      <c r="T61" s="36">
        <f t="shared" si="104"/>
        <v>0</v>
      </c>
      <c r="U61" s="36">
        <f t="shared" si="104"/>
        <v>0</v>
      </c>
      <c r="V61" s="36">
        <f t="shared" si="104"/>
        <v>0</v>
      </c>
      <c r="W61" s="36">
        <f t="shared" si="104"/>
        <v>0</v>
      </c>
      <c r="X61" s="36">
        <f t="shared" si="104"/>
        <v>0</v>
      </c>
      <c r="Y61" s="36">
        <f t="shared" ref="Y61:AF61" si="105">SUM(Y62:Y64)</f>
        <v>0</v>
      </c>
      <c r="Z61" s="36">
        <f t="shared" si="105"/>
        <v>0</v>
      </c>
      <c r="AA61" s="36">
        <f t="shared" si="105"/>
        <v>0</v>
      </c>
      <c r="AB61" s="36">
        <f t="shared" si="105"/>
        <v>0</v>
      </c>
      <c r="AC61" s="36">
        <f t="shared" si="105"/>
        <v>0</v>
      </c>
      <c r="AD61" s="36">
        <f t="shared" si="105"/>
        <v>0</v>
      </c>
      <c r="AE61" s="36">
        <f t="shared" si="105"/>
        <v>0</v>
      </c>
      <c r="AF61" s="36">
        <f t="shared" si="105"/>
        <v>0</v>
      </c>
      <c r="AG61" s="36">
        <f>SUM(AG62:AG64)</f>
        <v>0</v>
      </c>
      <c r="AH61" s="36">
        <f>SUM(AH62:AH64)</f>
        <v>0</v>
      </c>
      <c r="AI61" s="36">
        <f>SUM(AI62:AI64)</f>
        <v>0</v>
      </c>
      <c r="AJ61" s="36">
        <f>SUM(AJ62:AJ64)</f>
        <v>0</v>
      </c>
      <c r="AK61" s="36">
        <f t="shared" ref="AK61:BB61" si="106">SUM(AK62:AK64)</f>
        <v>0</v>
      </c>
      <c r="AL61" s="36">
        <f t="shared" si="106"/>
        <v>0</v>
      </c>
      <c r="AM61" s="36">
        <f t="shared" si="106"/>
        <v>0</v>
      </c>
      <c r="AN61" s="36">
        <f t="shared" si="106"/>
        <v>0</v>
      </c>
      <c r="AO61" s="36">
        <f t="shared" si="106"/>
        <v>0</v>
      </c>
      <c r="AP61" s="36">
        <f t="shared" si="106"/>
        <v>0</v>
      </c>
      <c r="AQ61" s="36">
        <f t="shared" si="106"/>
        <v>0</v>
      </c>
      <c r="AR61" s="36">
        <f t="shared" si="106"/>
        <v>0</v>
      </c>
      <c r="AS61" s="36">
        <f t="shared" si="106"/>
        <v>0</v>
      </c>
      <c r="AT61" s="36">
        <f>SUM(AT62:AT64)</f>
        <v>0</v>
      </c>
      <c r="AU61" s="36">
        <f t="shared" si="106"/>
        <v>0</v>
      </c>
      <c r="AV61" s="36">
        <f t="shared" si="106"/>
        <v>0</v>
      </c>
      <c r="AW61" s="36">
        <f t="shared" si="106"/>
        <v>0</v>
      </c>
      <c r="AX61" s="36">
        <f>SUM(AX62:AX64)</f>
        <v>0</v>
      </c>
      <c r="AY61" s="36">
        <f t="shared" si="106"/>
        <v>0</v>
      </c>
      <c r="AZ61" s="36">
        <f t="shared" si="106"/>
        <v>0</v>
      </c>
      <c r="BA61" s="36">
        <f t="shared" si="106"/>
        <v>0</v>
      </c>
      <c r="BB61" s="36">
        <f t="shared" si="106"/>
        <v>0</v>
      </c>
      <c r="BC61" s="36">
        <f t="shared" ref="BC61:BH61" si="107">SUM(BC62:BC64)</f>
        <v>0</v>
      </c>
      <c r="BD61" s="36">
        <f t="shared" si="107"/>
        <v>0</v>
      </c>
      <c r="BE61" s="36">
        <f t="shared" si="107"/>
        <v>0</v>
      </c>
      <c r="BF61" s="36">
        <f t="shared" si="107"/>
        <v>0</v>
      </c>
      <c r="BG61" s="36">
        <f t="shared" si="107"/>
        <v>0</v>
      </c>
      <c r="BH61" s="36">
        <f t="shared" si="107"/>
        <v>0</v>
      </c>
      <c r="BI61" s="36">
        <f t="shared" ref="BI61:BL61" si="108">SUM(BI62:BI64)</f>
        <v>0</v>
      </c>
      <c r="BJ61" s="36">
        <f t="shared" si="108"/>
        <v>0</v>
      </c>
      <c r="BK61" s="36">
        <f t="shared" si="108"/>
        <v>0</v>
      </c>
      <c r="BL61" s="36">
        <f t="shared" si="108"/>
        <v>0</v>
      </c>
      <c r="BM61" s="36">
        <f t="shared" ref="BM61:BP61" si="109">SUM(BM62:BM64)</f>
        <v>0</v>
      </c>
      <c r="BN61" s="36">
        <f t="shared" si="109"/>
        <v>0</v>
      </c>
      <c r="BO61" s="36">
        <f t="shared" si="109"/>
        <v>0</v>
      </c>
      <c r="BP61" s="36">
        <f t="shared" si="109"/>
        <v>0</v>
      </c>
      <c r="BQ61" s="36">
        <f t="shared" ref="BQ61" si="110">SUM(BQ62:BQ64)</f>
        <v>0</v>
      </c>
    </row>
    <row r="62" spans="1:69" ht="11.25" customHeight="1" x14ac:dyDescent="0.2">
      <c r="A62" s="111"/>
      <c r="B62" s="111"/>
      <c r="C62" s="111"/>
      <c r="D62" s="111"/>
      <c r="E62" s="112" t="s">
        <v>167</v>
      </c>
      <c r="F62" s="112"/>
      <c r="G62" s="32"/>
      <c r="H62" s="107">
        <v>0</v>
      </c>
      <c r="I62" s="107">
        <v>0</v>
      </c>
      <c r="J62" s="107">
        <v>0</v>
      </c>
      <c r="K62" s="107">
        <v>0</v>
      </c>
      <c r="L62" s="107">
        <v>0</v>
      </c>
      <c r="M62" s="107">
        <v>0</v>
      </c>
      <c r="N62" s="107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7">
        <v>0</v>
      </c>
      <c r="AB62" s="107">
        <v>0</v>
      </c>
      <c r="AC62" s="107">
        <v>0</v>
      </c>
      <c r="AD62" s="107">
        <v>0</v>
      </c>
      <c r="AE62" s="107">
        <v>0</v>
      </c>
      <c r="AF62" s="194">
        <v>0</v>
      </c>
      <c r="AG62" s="194">
        <v>0</v>
      </c>
      <c r="AH62" s="194">
        <v>0</v>
      </c>
      <c r="AI62" s="194">
        <v>0</v>
      </c>
      <c r="AJ62" s="194">
        <v>0</v>
      </c>
      <c r="AK62" s="194">
        <v>0</v>
      </c>
      <c r="AL62" s="194">
        <v>0</v>
      </c>
      <c r="AM62" s="194">
        <v>0</v>
      </c>
      <c r="AN62" s="194">
        <v>0</v>
      </c>
      <c r="AO62" s="194">
        <v>0</v>
      </c>
      <c r="AP62" s="194">
        <v>0</v>
      </c>
      <c r="AQ62" s="194">
        <v>0</v>
      </c>
      <c r="AR62" s="194">
        <v>0</v>
      </c>
      <c r="AS62" s="194">
        <v>0</v>
      </c>
      <c r="AT62" s="194">
        <v>0</v>
      </c>
      <c r="AU62" s="194">
        <v>0</v>
      </c>
      <c r="AV62" s="194">
        <v>0</v>
      </c>
      <c r="AW62" s="194">
        <v>0</v>
      </c>
      <c r="AX62" s="194">
        <v>0</v>
      </c>
      <c r="AY62" s="194">
        <v>0</v>
      </c>
      <c r="AZ62" s="194">
        <v>0</v>
      </c>
      <c r="BA62" s="194">
        <v>0</v>
      </c>
      <c r="BB62" s="194">
        <v>0</v>
      </c>
      <c r="BC62" s="194">
        <v>0</v>
      </c>
      <c r="BD62" s="194">
        <v>0</v>
      </c>
      <c r="BE62" s="194">
        <v>0</v>
      </c>
      <c r="BF62" s="194">
        <v>0</v>
      </c>
      <c r="BG62" s="194">
        <v>0</v>
      </c>
      <c r="BH62" s="194">
        <v>0</v>
      </c>
      <c r="BI62" s="194">
        <v>0</v>
      </c>
      <c r="BJ62" s="194">
        <v>0</v>
      </c>
      <c r="BK62" s="194">
        <v>0</v>
      </c>
      <c r="BL62" s="194">
        <v>0</v>
      </c>
      <c r="BM62" s="194">
        <v>0</v>
      </c>
      <c r="BN62" s="194">
        <v>0</v>
      </c>
      <c r="BO62" s="194">
        <v>0</v>
      </c>
      <c r="BP62" s="231">
        <v>0</v>
      </c>
      <c r="BQ62" s="231">
        <v>0</v>
      </c>
    </row>
    <row r="63" spans="1:69" ht="11.25" customHeight="1" x14ac:dyDescent="0.2">
      <c r="A63" s="111"/>
      <c r="B63" s="111"/>
      <c r="C63" s="111"/>
      <c r="D63" s="111"/>
      <c r="E63" s="112" t="s">
        <v>168</v>
      </c>
      <c r="F63" s="112"/>
      <c r="G63" s="32"/>
      <c r="H63" s="107">
        <v>0</v>
      </c>
      <c r="I63" s="107">
        <v>0</v>
      </c>
      <c r="J63" s="107">
        <v>0</v>
      </c>
      <c r="K63" s="107">
        <v>0</v>
      </c>
      <c r="L63" s="107">
        <v>0</v>
      </c>
      <c r="M63" s="107">
        <v>0</v>
      </c>
      <c r="N63" s="107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7">
        <v>0</v>
      </c>
      <c r="Z63" s="107">
        <v>0</v>
      </c>
      <c r="AA63" s="107">
        <v>0</v>
      </c>
      <c r="AB63" s="107">
        <v>0</v>
      </c>
      <c r="AC63" s="107">
        <v>0</v>
      </c>
      <c r="AD63" s="107">
        <v>0</v>
      </c>
      <c r="AE63" s="107">
        <v>0</v>
      </c>
      <c r="AF63" s="194">
        <v>0</v>
      </c>
      <c r="AG63" s="194">
        <v>0</v>
      </c>
      <c r="AH63" s="194">
        <v>0</v>
      </c>
      <c r="AI63" s="194">
        <v>0</v>
      </c>
      <c r="AJ63" s="194">
        <v>0</v>
      </c>
      <c r="AK63" s="194">
        <v>0</v>
      </c>
      <c r="AL63" s="194">
        <v>0</v>
      </c>
      <c r="AM63" s="194">
        <v>0</v>
      </c>
      <c r="AN63" s="194">
        <v>0</v>
      </c>
      <c r="AO63" s="194">
        <v>0</v>
      </c>
      <c r="AP63" s="194">
        <v>0</v>
      </c>
      <c r="AQ63" s="194">
        <v>0</v>
      </c>
      <c r="AR63" s="194">
        <v>0</v>
      </c>
      <c r="AS63" s="194">
        <v>0</v>
      </c>
      <c r="AT63" s="194">
        <v>0</v>
      </c>
      <c r="AU63" s="194">
        <v>0</v>
      </c>
      <c r="AV63" s="194">
        <v>0</v>
      </c>
      <c r="AW63" s="194">
        <v>0</v>
      </c>
      <c r="AX63" s="194">
        <v>0</v>
      </c>
      <c r="AY63" s="194">
        <v>0</v>
      </c>
      <c r="AZ63" s="194">
        <v>0</v>
      </c>
      <c r="BA63" s="194">
        <v>0</v>
      </c>
      <c r="BB63" s="194">
        <v>0</v>
      </c>
      <c r="BC63" s="194">
        <v>0</v>
      </c>
      <c r="BD63" s="194">
        <v>0</v>
      </c>
      <c r="BE63" s="194">
        <v>0</v>
      </c>
      <c r="BF63" s="194">
        <v>0</v>
      </c>
      <c r="BG63" s="194">
        <v>0</v>
      </c>
      <c r="BH63" s="194">
        <v>0</v>
      </c>
      <c r="BI63" s="194">
        <v>0</v>
      </c>
      <c r="BJ63" s="194">
        <v>0</v>
      </c>
      <c r="BK63" s="194">
        <v>0</v>
      </c>
      <c r="BL63" s="194">
        <v>0</v>
      </c>
      <c r="BM63" s="194">
        <v>0</v>
      </c>
      <c r="BN63" s="194">
        <v>0</v>
      </c>
      <c r="BO63" s="194">
        <v>0</v>
      </c>
      <c r="BP63" s="231">
        <v>0</v>
      </c>
      <c r="BQ63" s="231">
        <v>0</v>
      </c>
    </row>
    <row r="64" spans="1:69" ht="11.25" customHeight="1" x14ac:dyDescent="0.2">
      <c r="A64" s="111"/>
      <c r="B64" s="111"/>
      <c r="C64" s="111"/>
      <c r="D64" s="111"/>
      <c r="E64" s="112" t="s">
        <v>169</v>
      </c>
      <c r="F64" s="112"/>
      <c r="G64" s="32"/>
      <c r="H64" s="107">
        <v>0</v>
      </c>
      <c r="I64" s="107">
        <v>0</v>
      </c>
      <c r="J64" s="107">
        <v>0</v>
      </c>
      <c r="K64" s="107">
        <v>0</v>
      </c>
      <c r="L64" s="107">
        <v>0</v>
      </c>
      <c r="M64" s="107">
        <v>0</v>
      </c>
      <c r="N64" s="107">
        <v>0</v>
      </c>
      <c r="O64" s="107">
        <v>0</v>
      </c>
      <c r="P64" s="107">
        <v>0</v>
      </c>
      <c r="Q64" s="107">
        <v>0</v>
      </c>
      <c r="R64" s="107">
        <v>0</v>
      </c>
      <c r="S64" s="107">
        <v>0</v>
      </c>
      <c r="T64" s="107">
        <v>0</v>
      </c>
      <c r="U64" s="107">
        <v>0</v>
      </c>
      <c r="V64" s="107">
        <v>0</v>
      </c>
      <c r="W64" s="107">
        <v>0</v>
      </c>
      <c r="X64" s="107">
        <v>0</v>
      </c>
      <c r="Y64" s="107">
        <v>0</v>
      </c>
      <c r="Z64" s="107">
        <v>0</v>
      </c>
      <c r="AA64" s="107">
        <v>0</v>
      </c>
      <c r="AB64" s="107">
        <v>0</v>
      </c>
      <c r="AC64" s="107">
        <v>0</v>
      </c>
      <c r="AD64" s="107">
        <v>0</v>
      </c>
      <c r="AE64" s="107">
        <v>0</v>
      </c>
      <c r="AF64" s="194">
        <v>0</v>
      </c>
      <c r="AG64" s="194">
        <v>0</v>
      </c>
      <c r="AH64" s="194">
        <v>0</v>
      </c>
      <c r="AI64" s="194">
        <v>0</v>
      </c>
      <c r="AJ64" s="194">
        <v>0</v>
      </c>
      <c r="AK64" s="194">
        <v>0</v>
      </c>
      <c r="AL64" s="194">
        <v>0</v>
      </c>
      <c r="AM64" s="194">
        <v>0</v>
      </c>
      <c r="AN64" s="194">
        <v>0</v>
      </c>
      <c r="AO64" s="194">
        <v>0</v>
      </c>
      <c r="AP64" s="194">
        <v>0</v>
      </c>
      <c r="AQ64" s="194">
        <v>0</v>
      </c>
      <c r="AR64" s="194">
        <v>0</v>
      </c>
      <c r="AS64" s="194">
        <v>0</v>
      </c>
      <c r="AT64" s="194">
        <v>0</v>
      </c>
      <c r="AU64" s="194">
        <v>0</v>
      </c>
      <c r="AV64" s="194">
        <v>0</v>
      </c>
      <c r="AW64" s="194">
        <v>0</v>
      </c>
      <c r="AX64" s="194">
        <v>0</v>
      </c>
      <c r="AY64" s="194">
        <v>0</v>
      </c>
      <c r="AZ64" s="194">
        <v>0</v>
      </c>
      <c r="BA64" s="194">
        <v>0</v>
      </c>
      <c r="BB64" s="194">
        <v>0</v>
      </c>
      <c r="BC64" s="194">
        <v>0</v>
      </c>
      <c r="BD64" s="194">
        <v>0</v>
      </c>
      <c r="BE64" s="194">
        <v>0</v>
      </c>
      <c r="BF64" s="194">
        <v>0</v>
      </c>
      <c r="BG64" s="194">
        <v>0</v>
      </c>
      <c r="BH64" s="194">
        <v>0</v>
      </c>
      <c r="BI64" s="194">
        <v>0</v>
      </c>
      <c r="BJ64" s="194">
        <v>0</v>
      </c>
      <c r="BK64" s="194">
        <v>0</v>
      </c>
      <c r="BL64" s="194">
        <v>0</v>
      </c>
      <c r="BM64" s="194">
        <v>0</v>
      </c>
      <c r="BN64" s="194">
        <v>0</v>
      </c>
      <c r="BO64" s="194">
        <v>0</v>
      </c>
      <c r="BP64" s="231">
        <v>0</v>
      </c>
      <c r="BQ64" s="231">
        <v>0</v>
      </c>
    </row>
    <row r="65" spans="1:69" ht="11.25" customHeight="1" x14ac:dyDescent="0.25">
      <c r="A65" s="108"/>
      <c r="B65" s="108" t="s">
        <v>178</v>
      </c>
      <c r="C65" s="114"/>
      <c r="D65" s="108"/>
      <c r="E65" s="108"/>
      <c r="F65" s="108"/>
      <c r="G65" s="115"/>
      <c r="H65" s="35">
        <f t="shared" ref="H65:AM65" si="111">SUM(H66,H67,H75,H82,H83,H84)</f>
        <v>764967</v>
      </c>
      <c r="I65" s="35">
        <f t="shared" si="111"/>
        <v>806141</v>
      </c>
      <c r="J65" s="35">
        <f t="shared" si="111"/>
        <v>807039</v>
      </c>
      <c r="K65" s="35">
        <f t="shared" si="111"/>
        <v>1807098</v>
      </c>
      <c r="L65" s="35">
        <f>SUM(L66,L67,L75,L82,L83,L84)</f>
        <v>1806576</v>
      </c>
      <c r="M65" s="35">
        <f t="shared" si="111"/>
        <v>1840822</v>
      </c>
      <c r="N65" s="35">
        <f t="shared" si="111"/>
        <v>1877337</v>
      </c>
      <c r="O65" s="35">
        <f t="shared" si="111"/>
        <v>1874993</v>
      </c>
      <c r="P65" s="35">
        <f t="shared" si="111"/>
        <v>1906657</v>
      </c>
      <c r="Q65" s="35">
        <f t="shared" si="111"/>
        <v>1963250</v>
      </c>
      <c r="R65" s="35">
        <f t="shared" si="111"/>
        <v>1926220</v>
      </c>
      <c r="S65" s="35">
        <f t="shared" si="111"/>
        <v>1920236</v>
      </c>
      <c r="T65" s="35">
        <f t="shared" si="111"/>
        <v>1970495</v>
      </c>
      <c r="U65" s="35">
        <f t="shared" si="111"/>
        <v>1854044</v>
      </c>
      <c r="V65" s="35">
        <f t="shared" si="111"/>
        <v>1933023</v>
      </c>
      <c r="W65" s="35">
        <f t="shared" si="111"/>
        <v>1993625</v>
      </c>
      <c r="X65" s="35">
        <f t="shared" si="111"/>
        <v>2061414</v>
      </c>
      <c r="Y65" s="35">
        <f t="shared" si="111"/>
        <v>2070088</v>
      </c>
      <c r="Z65" s="35">
        <f t="shared" si="111"/>
        <v>2113537</v>
      </c>
      <c r="AA65" s="35">
        <f t="shared" si="111"/>
        <v>2137012</v>
      </c>
      <c r="AB65" s="35">
        <f t="shared" si="111"/>
        <v>2219106</v>
      </c>
      <c r="AC65" s="35">
        <f t="shared" si="111"/>
        <v>2243530</v>
      </c>
      <c r="AD65" s="35">
        <f t="shared" si="111"/>
        <v>2197351</v>
      </c>
      <c r="AE65" s="35">
        <f t="shared" si="111"/>
        <v>2393008</v>
      </c>
      <c r="AF65" s="35">
        <f t="shared" si="111"/>
        <v>2330942</v>
      </c>
      <c r="AG65" s="35">
        <f t="shared" si="111"/>
        <v>2425574</v>
      </c>
      <c r="AH65" s="35">
        <f t="shared" si="111"/>
        <v>2290368</v>
      </c>
      <c r="AI65" s="35">
        <f t="shared" si="111"/>
        <v>2392263</v>
      </c>
      <c r="AJ65" s="35">
        <f t="shared" si="111"/>
        <v>2526564</v>
      </c>
      <c r="AK65" s="35">
        <f t="shared" si="111"/>
        <v>2514678</v>
      </c>
      <c r="AL65" s="35">
        <f t="shared" si="111"/>
        <v>2502553</v>
      </c>
      <c r="AM65" s="35">
        <f t="shared" si="111"/>
        <v>2628886</v>
      </c>
      <c r="AN65" s="35">
        <f t="shared" ref="AN65:BE65" si="112">SUM(AN66,AN67,AN75,AN82,AN83,AN84)</f>
        <v>2796508</v>
      </c>
      <c r="AO65" s="35">
        <f t="shared" si="112"/>
        <v>2854628</v>
      </c>
      <c r="AP65" s="35">
        <f t="shared" si="112"/>
        <v>2742417</v>
      </c>
      <c r="AQ65" s="35">
        <f t="shared" si="112"/>
        <v>2701827</v>
      </c>
      <c r="AR65" s="35">
        <f t="shared" si="112"/>
        <v>2818812</v>
      </c>
      <c r="AS65" s="35">
        <f t="shared" si="112"/>
        <v>2702679</v>
      </c>
      <c r="AT65" s="35">
        <f t="shared" si="112"/>
        <v>2725227</v>
      </c>
      <c r="AU65" s="35">
        <f t="shared" si="112"/>
        <v>2794753</v>
      </c>
      <c r="AV65" s="35">
        <f t="shared" si="112"/>
        <v>2896615</v>
      </c>
      <c r="AW65" s="35">
        <f t="shared" si="112"/>
        <v>3080439</v>
      </c>
      <c r="AX65" s="35">
        <f t="shared" si="112"/>
        <v>2930264</v>
      </c>
      <c r="AY65" s="35">
        <f t="shared" si="112"/>
        <v>2984421</v>
      </c>
      <c r="AZ65" s="35">
        <f t="shared" si="112"/>
        <v>2899253</v>
      </c>
      <c r="BA65" s="35">
        <f t="shared" si="112"/>
        <v>3063561</v>
      </c>
      <c r="BB65" s="35">
        <f t="shared" si="112"/>
        <v>2910726</v>
      </c>
      <c r="BC65" s="35">
        <f t="shared" si="112"/>
        <v>3151058</v>
      </c>
      <c r="BD65" s="35">
        <f t="shared" si="112"/>
        <v>3384932</v>
      </c>
      <c r="BE65" s="35">
        <f t="shared" si="112"/>
        <v>3976833</v>
      </c>
      <c r="BF65" s="35">
        <f t="shared" ref="BF65:BG65" si="113">SUM(BF66,BF67,BF75,BF82,BF83,BF84)</f>
        <v>3845681</v>
      </c>
      <c r="BG65" s="35">
        <f t="shared" si="113"/>
        <v>3776076</v>
      </c>
      <c r="BH65" s="35">
        <f t="shared" ref="BH65:BI65" si="114">SUM(BH66,BH67,BH75,BH82,BH83,BH84)</f>
        <v>5025232</v>
      </c>
      <c r="BI65" s="35">
        <f t="shared" si="114"/>
        <v>5162831</v>
      </c>
      <c r="BJ65" s="35">
        <f>SUM(BJ66,BJ67,BJ75,BJ82,BJ83,BJ84)</f>
        <v>5077052</v>
      </c>
      <c r="BK65" s="35">
        <f t="shared" ref="BK65:BL65" si="115">SUM(BK66,BK67,BK75,BK82,BK83,BK84)</f>
        <v>4896432</v>
      </c>
      <c r="BL65" s="35">
        <f t="shared" si="115"/>
        <v>5557630</v>
      </c>
      <c r="BM65" s="35">
        <f t="shared" ref="BM65:BP65" si="116">SUM(BM66,BM67,BM75,BM82,BM83,BM84)</f>
        <v>5651253</v>
      </c>
      <c r="BN65" s="35">
        <f t="shared" si="116"/>
        <v>5526851</v>
      </c>
      <c r="BO65" s="35">
        <f t="shared" si="116"/>
        <v>5241866</v>
      </c>
      <c r="BP65" s="35">
        <f t="shared" si="116"/>
        <v>5254370</v>
      </c>
      <c r="BQ65" s="35">
        <f t="shared" ref="BQ65" si="117">SUM(BQ66,BQ67,BQ75,BQ82,BQ83,BQ84)</f>
        <v>5170853</v>
      </c>
    </row>
    <row r="66" spans="1:69" ht="11.25" customHeight="1" x14ac:dyDescent="0.25">
      <c r="A66" s="116"/>
      <c r="B66" s="116"/>
      <c r="C66" s="116" t="s">
        <v>179</v>
      </c>
      <c r="D66" s="117"/>
      <c r="E66" s="116"/>
      <c r="F66" s="116"/>
      <c r="G66" s="118"/>
      <c r="H66" s="107">
        <v>557434</v>
      </c>
      <c r="I66" s="107">
        <v>557434</v>
      </c>
      <c r="J66" s="107">
        <v>557434</v>
      </c>
      <c r="K66" s="107">
        <v>557434</v>
      </c>
      <c r="L66" s="107">
        <v>557434</v>
      </c>
      <c r="M66" s="107">
        <v>557434</v>
      </c>
      <c r="N66" s="107">
        <v>557434</v>
      </c>
      <c r="O66" s="107">
        <v>557434</v>
      </c>
      <c r="P66" s="107">
        <v>557434</v>
      </c>
      <c r="Q66" s="107">
        <v>557434</v>
      </c>
      <c r="R66" s="107">
        <v>557434</v>
      </c>
      <c r="S66" s="107">
        <v>557434</v>
      </c>
      <c r="T66" s="107">
        <v>557434</v>
      </c>
      <c r="U66" s="107">
        <v>557434</v>
      </c>
      <c r="V66" s="107">
        <v>557434</v>
      </c>
      <c r="W66" s="107">
        <v>557434</v>
      </c>
      <c r="X66" s="107">
        <v>557434</v>
      </c>
      <c r="Y66" s="107">
        <v>557434</v>
      </c>
      <c r="Z66" s="107">
        <v>557434</v>
      </c>
      <c r="AA66" s="107">
        <v>557434</v>
      </c>
      <c r="AB66" s="107">
        <v>557434</v>
      </c>
      <c r="AC66" s="107">
        <v>557434</v>
      </c>
      <c r="AD66" s="107">
        <v>557434</v>
      </c>
      <c r="AE66" s="107">
        <v>557434</v>
      </c>
      <c r="AF66" s="194">
        <v>557434</v>
      </c>
      <c r="AG66" s="194">
        <v>557434</v>
      </c>
      <c r="AH66" s="194">
        <v>947522</v>
      </c>
      <c r="AI66" s="194">
        <v>947522</v>
      </c>
      <c r="AJ66" s="194">
        <v>947522</v>
      </c>
      <c r="AK66" s="194">
        <v>947522</v>
      </c>
      <c r="AL66" s="194">
        <v>947522</v>
      </c>
      <c r="AM66" s="194">
        <v>947522</v>
      </c>
      <c r="AN66" s="194">
        <v>947522</v>
      </c>
      <c r="AO66" s="194">
        <v>947522</v>
      </c>
      <c r="AP66" s="194">
        <v>947522</v>
      </c>
      <c r="AQ66" s="194">
        <v>947522</v>
      </c>
      <c r="AR66" s="194">
        <v>947522</v>
      </c>
      <c r="AS66" s="194">
        <v>947522</v>
      </c>
      <c r="AT66" s="194">
        <v>947522</v>
      </c>
      <c r="AU66" s="194">
        <v>947522</v>
      </c>
      <c r="AV66" s="194">
        <v>947522</v>
      </c>
      <c r="AW66" s="194">
        <v>947522</v>
      </c>
      <c r="AX66" s="194">
        <v>947522</v>
      </c>
      <c r="AY66" s="194">
        <v>947522</v>
      </c>
      <c r="AZ66" s="194">
        <v>947522</v>
      </c>
      <c r="BA66" s="194">
        <v>947522</v>
      </c>
      <c r="BB66" s="194">
        <v>947522</v>
      </c>
      <c r="BC66" s="194">
        <v>947522</v>
      </c>
      <c r="BD66" s="194">
        <v>947522</v>
      </c>
      <c r="BE66" s="194">
        <v>947522</v>
      </c>
      <c r="BF66" s="194">
        <v>1012522</v>
      </c>
      <c r="BG66" s="194">
        <v>1512522</v>
      </c>
      <c r="BH66" s="194">
        <v>1512522</v>
      </c>
      <c r="BI66" s="194">
        <v>1512522</v>
      </c>
      <c r="BJ66" s="194">
        <v>1512522</v>
      </c>
      <c r="BK66" s="194">
        <v>1512522</v>
      </c>
      <c r="BL66" s="194">
        <v>1512522</v>
      </c>
      <c r="BM66" s="194">
        <v>2012522</v>
      </c>
      <c r="BN66" s="194">
        <v>2012522</v>
      </c>
      <c r="BO66" s="194">
        <v>2012522</v>
      </c>
      <c r="BP66" s="231">
        <v>2012522</v>
      </c>
      <c r="BQ66" s="231">
        <v>2012522</v>
      </c>
    </row>
    <row r="67" spans="1:69" ht="11.25" customHeight="1" x14ac:dyDescent="0.25">
      <c r="A67" s="108"/>
      <c r="B67" s="108"/>
      <c r="C67" s="108" t="s">
        <v>180</v>
      </c>
      <c r="D67" s="114"/>
      <c r="E67" s="108"/>
      <c r="F67" s="108"/>
      <c r="G67" s="115"/>
      <c r="H67" s="36">
        <f t="shared" ref="H67:N67" si="118">SUM(H68,H70:H70,H73:H73)</f>
        <v>163273</v>
      </c>
      <c r="I67" s="36">
        <f t="shared" si="118"/>
        <v>164461</v>
      </c>
      <c r="J67" s="36">
        <f t="shared" si="118"/>
        <v>165576</v>
      </c>
      <c r="K67" s="36">
        <f t="shared" si="118"/>
        <v>166782</v>
      </c>
      <c r="L67" s="36">
        <f>SUM(L68,L70:L70,L73:L73)</f>
        <v>167118</v>
      </c>
      <c r="M67" s="36">
        <f t="shared" si="118"/>
        <v>168063</v>
      </c>
      <c r="N67" s="36">
        <f t="shared" si="118"/>
        <v>169298</v>
      </c>
      <c r="O67" s="36">
        <v>174015</v>
      </c>
      <c r="P67" s="36">
        <v>177072</v>
      </c>
      <c r="Q67" s="36">
        <v>179557</v>
      </c>
      <c r="R67" s="36">
        <v>172857</v>
      </c>
      <c r="S67" s="36">
        <v>172954</v>
      </c>
      <c r="T67" s="36">
        <v>174333</v>
      </c>
      <c r="U67" s="36">
        <v>180468</v>
      </c>
      <c r="V67" s="36">
        <v>188289</v>
      </c>
      <c r="W67" s="36">
        <v>190110</v>
      </c>
      <c r="X67" s="36">
        <v>192759</v>
      </c>
      <c r="Y67" s="36">
        <v>193186</v>
      </c>
      <c r="Z67" s="36">
        <v>197300</v>
      </c>
      <c r="AA67" s="36">
        <v>196902</v>
      </c>
      <c r="AB67" s="36">
        <v>198789</v>
      </c>
      <c r="AC67" s="36">
        <v>189422</v>
      </c>
      <c r="AD67" s="36">
        <v>179306</v>
      </c>
      <c r="AE67" s="36">
        <v>175360</v>
      </c>
      <c r="AF67" s="36">
        <v>176799</v>
      </c>
      <c r="AG67" s="36">
        <v>177299</v>
      </c>
      <c r="AH67" s="36">
        <v>74520</v>
      </c>
      <c r="AI67" s="36">
        <v>75056</v>
      </c>
      <c r="AJ67" s="36">
        <v>77317</v>
      </c>
      <c r="AK67" s="36">
        <v>78985</v>
      </c>
      <c r="AL67" s="36">
        <v>80476</v>
      </c>
      <c r="AM67" s="36">
        <v>80984</v>
      </c>
      <c r="AN67" s="36">
        <v>81544</v>
      </c>
      <c r="AO67" s="36">
        <v>84102</v>
      </c>
      <c r="AP67" s="36">
        <v>63544</v>
      </c>
      <c r="AQ67" s="36">
        <v>49970</v>
      </c>
      <c r="AR67" s="36">
        <v>58803</v>
      </c>
      <c r="AS67" s="36">
        <v>62967</v>
      </c>
      <c r="AT67" s="36">
        <v>64364</v>
      </c>
      <c r="AU67" s="36">
        <v>65888</v>
      </c>
      <c r="AV67" s="36">
        <v>52165</v>
      </c>
      <c r="AW67" s="36">
        <v>26751</v>
      </c>
      <c r="AX67" s="36">
        <v>28103</v>
      </c>
      <c r="AY67" s="36">
        <v>33439</v>
      </c>
      <c r="AZ67" s="36">
        <v>35883</v>
      </c>
      <c r="BA67" s="36">
        <v>39154</v>
      </c>
      <c r="BB67" s="36">
        <v>41160</v>
      </c>
      <c r="BC67" s="36">
        <v>44583</v>
      </c>
      <c r="BD67" s="36">
        <v>49847</v>
      </c>
      <c r="BE67" s="36">
        <f t="shared" ref="BE67:BJ67" si="119">BE68+BE70+BE73+BE74</f>
        <v>53231</v>
      </c>
      <c r="BF67" s="36">
        <f t="shared" si="119"/>
        <v>92700</v>
      </c>
      <c r="BG67" s="36">
        <f t="shared" si="119"/>
        <v>48107</v>
      </c>
      <c r="BH67" s="36">
        <f t="shared" si="119"/>
        <v>54072</v>
      </c>
      <c r="BI67" s="36">
        <f t="shared" si="119"/>
        <v>50420</v>
      </c>
      <c r="BJ67" s="36">
        <f t="shared" si="119"/>
        <v>-7254</v>
      </c>
      <c r="BK67" s="36">
        <f t="shared" ref="BK67:BL67" si="120">BK68+BK70+BK73+BK74</f>
        <v>-111626</v>
      </c>
      <c r="BL67" s="36">
        <f t="shared" si="120"/>
        <v>-103844</v>
      </c>
      <c r="BM67" s="36">
        <f>BM68+BM70+BM73+BM74</f>
        <v>18844</v>
      </c>
      <c r="BN67" s="36">
        <f>BN68+BN70+BN73+BN74</f>
        <v>-62875</v>
      </c>
      <c r="BO67" s="36">
        <f t="shared" ref="BO67:BP67" si="121">BO68+BO70+BO73+BO74</f>
        <v>110997</v>
      </c>
      <c r="BP67" s="36">
        <f t="shared" si="121"/>
        <v>108138</v>
      </c>
      <c r="BQ67" s="36">
        <f t="shared" ref="BQ67" si="122">BQ68+BQ70+BQ73+BQ74</f>
        <v>112598</v>
      </c>
    </row>
    <row r="68" spans="1:69" ht="11.25" customHeight="1" x14ac:dyDescent="0.2">
      <c r="A68" s="111"/>
      <c r="B68" s="111"/>
      <c r="C68" s="111"/>
      <c r="D68" s="112" t="s">
        <v>181</v>
      </c>
      <c r="E68" s="119"/>
      <c r="F68" s="119"/>
      <c r="G68" s="120"/>
      <c r="H68" s="210">
        <f>H69</f>
        <v>200000</v>
      </c>
      <c r="I68" s="210">
        <f t="shared" ref="I68:N68" si="123">I69</f>
        <v>200013</v>
      </c>
      <c r="J68" s="210">
        <f t="shared" si="123"/>
        <v>200013</v>
      </c>
      <c r="K68" s="210">
        <f t="shared" si="123"/>
        <v>200013</v>
      </c>
      <c r="L68" s="210">
        <f t="shared" si="123"/>
        <v>175467</v>
      </c>
      <c r="M68" s="210">
        <f t="shared" si="123"/>
        <v>175467</v>
      </c>
      <c r="N68" s="210">
        <f t="shared" si="123"/>
        <v>175508</v>
      </c>
      <c r="O68" s="210">
        <v>200706</v>
      </c>
      <c r="P68" s="210">
        <v>200872</v>
      </c>
      <c r="Q68" s="210">
        <v>176483</v>
      </c>
      <c r="R68" s="210">
        <v>176483</v>
      </c>
      <c r="S68" s="210">
        <v>176534</v>
      </c>
      <c r="T68" s="210">
        <v>176534</v>
      </c>
      <c r="U68" s="210">
        <v>176774</v>
      </c>
      <c r="V68" s="210">
        <v>177421</v>
      </c>
      <c r="W68" s="210">
        <v>177585</v>
      </c>
      <c r="X68" s="210">
        <v>177800</v>
      </c>
      <c r="Y68" s="210">
        <v>177831</v>
      </c>
      <c r="Z68" s="210">
        <v>178011</v>
      </c>
      <c r="AA68" s="210">
        <v>178054</v>
      </c>
      <c r="AB68" s="210">
        <v>178035</v>
      </c>
      <c r="AC68" s="210">
        <v>178021</v>
      </c>
      <c r="AD68" s="210">
        <v>178021</v>
      </c>
      <c r="AE68" s="210">
        <v>177984</v>
      </c>
      <c r="AF68" s="210">
        <v>177953</v>
      </c>
      <c r="AG68" s="210">
        <v>177864</v>
      </c>
      <c r="AH68" s="210">
        <v>72426</v>
      </c>
      <c r="AI68" s="210">
        <v>72282</v>
      </c>
      <c r="AJ68" s="210">
        <v>72247</v>
      </c>
      <c r="AK68" s="210">
        <v>72203</v>
      </c>
      <c r="AL68" s="210">
        <v>72169</v>
      </c>
      <c r="AM68" s="210">
        <v>72102</v>
      </c>
      <c r="AN68" s="210">
        <v>71599</v>
      </c>
      <c r="AO68" s="210">
        <v>70478</v>
      </c>
      <c r="AP68" s="210">
        <v>67991</v>
      </c>
      <c r="AQ68" s="210">
        <v>67573</v>
      </c>
      <c r="AR68" s="210">
        <v>64509</v>
      </c>
      <c r="AS68" s="210">
        <v>59615</v>
      </c>
      <c r="AT68" s="210">
        <v>59040</v>
      </c>
      <c r="AU68" s="210">
        <v>53941</v>
      </c>
      <c r="AV68" s="210">
        <v>53892</v>
      </c>
      <c r="AW68" s="210">
        <v>52533</v>
      </c>
      <c r="AX68" s="210">
        <v>52499</v>
      </c>
      <c r="AY68" s="210">
        <v>43611</v>
      </c>
      <c r="AZ68" s="210">
        <v>42669</v>
      </c>
      <c r="BA68" s="210">
        <v>41313</v>
      </c>
      <c r="BB68" s="210">
        <v>41032</v>
      </c>
      <c r="BC68" s="210">
        <v>38923</v>
      </c>
      <c r="BD68" s="210">
        <v>37630</v>
      </c>
      <c r="BE68" s="210">
        <v>37278</v>
      </c>
      <c r="BF68" s="210">
        <v>37261</v>
      </c>
      <c r="BG68" s="210">
        <v>34049</v>
      </c>
      <c r="BH68" s="210">
        <v>33300</v>
      </c>
      <c r="BI68" s="210">
        <v>32470</v>
      </c>
      <c r="BJ68" s="107">
        <v>31458</v>
      </c>
      <c r="BK68" s="210">
        <v>26666</v>
      </c>
      <c r="BL68" s="210">
        <v>25116</v>
      </c>
      <c r="BM68" s="210">
        <v>19414</v>
      </c>
      <c r="BN68" s="210">
        <v>17882</v>
      </c>
      <c r="BO68" s="210">
        <v>15387</v>
      </c>
      <c r="BP68" s="210">
        <v>14190</v>
      </c>
      <c r="BQ68" s="210">
        <v>14191</v>
      </c>
    </row>
    <row r="69" spans="1:69" ht="11.25" customHeight="1" x14ac:dyDescent="0.2">
      <c r="A69" s="111"/>
      <c r="B69" s="111"/>
      <c r="C69" s="111"/>
      <c r="D69" s="112"/>
      <c r="E69" s="119" t="s">
        <v>182</v>
      </c>
      <c r="F69" s="119"/>
      <c r="G69" s="120"/>
      <c r="H69" s="107">
        <v>200000</v>
      </c>
      <c r="I69" s="107">
        <v>200013</v>
      </c>
      <c r="J69" s="107">
        <v>200013</v>
      </c>
      <c r="K69" s="107">
        <v>200013</v>
      </c>
      <c r="L69" s="107">
        <v>175467</v>
      </c>
      <c r="M69" s="107">
        <v>175467</v>
      </c>
      <c r="N69" s="107">
        <v>175508</v>
      </c>
      <c r="O69" s="107">
        <v>200706</v>
      </c>
      <c r="P69" s="107">
        <v>200872</v>
      </c>
      <c r="Q69" s="107">
        <v>176483</v>
      </c>
      <c r="R69" s="107">
        <v>176483</v>
      </c>
      <c r="S69" s="107">
        <v>176534</v>
      </c>
      <c r="T69" s="107">
        <v>176534</v>
      </c>
      <c r="U69" s="107">
        <v>176774</v>
      </c>
      <c r="V69" s="107">
        <v>177421</v>
      </c>
      <c r="W69" s="107">
        <v>177585</v>
      </c>
      <c r="X69" s="107">
        <v>177800</v>
      </c>
      <c r="Y69" s="107">
        <v>177831</v>
      </c>
      <c r="Z69" s="107">
        <v>178011</v>
      </c>
      <c r="AA69" s="107">
        <v>178054</v>
      </c>
      <c r="AB69" s="107">
        <v>178035</v>
      </c>
      <c r="AC69" s="107">
        <v>178021</v>
      </c>
      <c r="AD69" s="107">
        <v>178021</v>
      </c>
      <c r="AE69" s="107">
        <v>177984</v>
      </c>
      <c r="AF69" s="107">
        <v>177953</v>
      </c>
      <c r="AG69" s="107">
        <v>177864</v>
      </c>
      <c r="AH69" s="107">
        <v>72426</v>
      </c>
      <c r="AI69" s="107">
        <v>72282</v>
      </c>
      <c r="AJ69" s="107">
        <v>72247</v>
      </c>
      <c r="AK69" s="107">
        <v>72203</v>
      </c>
      <c r="AL69" s="107">
        <v>72169</v>
      </c>
      <c r="AM69" s="107">
        <v>72102</v>
      </c>
      <c r="AN69" s="107">
        <v>71599</v>
      </c>
      <c r="AO69" s="107">
        <v>70478</v>
      </c>
      <c r="AP69" s="107">
        <v>67991</v>
      </c>
      <c r="AQ69" s="107">
        <v>67573</v>
      </c>
      <c r="AR69" s="107">
        <v>64509</v>
      </c>
      <c r="AS69" s="107">
        <v>59615</v>
      </c>
      <c r="AT69" s="107">
        <v>59040</v>
      </c>
      <c r="AU69" s="107">
        <v>53941</v>
      </c>
      <c r="AV69" s="107">
        <v>53892</v>
      </c>
      <c r="AW69" s="107">
        <v>52533</v>
      </c>
      <c r="AX69" s="107">
        <v>52499</v>
      </c>
      <c r="AY69" s="107">
        <v>43611</v>
      </c>
      <c r="AZ69" s="107">
        <v>42669</v>
      </c>
      <c r="BA69" s="107">
        <v>41313</v>
      </c>
      <c r="BB69" s="107">
        <v>41032</v>
      </c>
      <c r="BC69" s="107">
        <v>38923</v>
      </c>
      <c r="BD69" s="107">
        <v>37630</v>
      </c>
      <c r="BE69" s="107">
        <v>37278</v>
      </c>
      <c r="BF69" s="107">
        <v>37261</v>
      </c>
      <c r="BG69" s="107">
        <v>34049</v>
      </c>
      <c r="BH69" s="107">
        <v>33300</v>
      </c>
      <c r="BI69" s="107">
        <v>32470</v>
      </c>
      <c r="BJ69" s="107">
        <v>31458</v>
      </c>
      <c r="BK69" s="107">
        <v>26666</v>
      </c>
      <c r="BL69" s="210">
        <v>25116</v>
      </c>
      <c r="BM69" s="210">
        <v>19414</v>
      </c>
      <c r="BN69" s="210">
        <v>17882</v>
      </c>
      <c r="BO69" s="210">
        <v>15387</v>
      </c>
      <c r="BP69" s="210">
        <v>14190</v>
      </c>
      <c r="BQ69" s="210">
        <v>14191</v>
      </c>
    </row>
    <row r="70" spans="1:69" ht="11.25" customHeight="1" x14ac:dyDescent="0.2">
      <c r="A70" s="111"/>
      <c r="B70" s="111"/>
      <c r="C70" s="111"/>
      <c r="D70" s="112" t="s">
        <v>183</v>
      </c>
      <c r="E70" s="119"/>
      <c r="F70" s="119"/>
      <c r="G70" s="120"/>
      <c r="H70" s="107">
        <f>SUM(H71:H72)</f>
        <v>-21106</v>
      </c>
      <c r="I70" s="107">
        <f>SUM(I71:I72)</f>
        <v>-20003</v>
      </c>
      <c r="J70" s="107">
        <f>SUM(J71:J72)</f>
        <v>-18888</v>
      </c>
      <c r="K70" s="107">
        <f>SUM(K71:K72)</f>
        <v>-17682</v>
      </c>
      <c r="L70" s="107">
        <v>6866</v>
      </c>
      <c r="M70" s="107">
        <v>7811</v>
      </c>
      <c r="N70" s="107">
        <v>8766</v>
      </c>
      <c r="O70" s="107">
        <v>9691</v>
      </c>
      <c r="P70" s="107">
        <v>11630</v>
      </c>
      <c r="Q70" s="107">
        <v>13128</v>
      </c>
      <c r="R70" s="107">
        <v>14695</v>
      </c>
      <c r="S70" s="107">
        <v>15952</v>
      </c>
      <c r="T70" s="107">
        <v>17331</v>
      </c>
      <c r="U70" s="107">
        <v>18839</v>
      </c>
      <c r="V70" s="107">
        <v>19851</v>
      </c>
      <c r="W70" s="107">
        <v>20274</v>
      </c>
      <c r="X70" s="107">
        <v>21649</v>
      </c>
      <c r="Y70" s="107">
        <v>23040</v>
      </c>
      <c r="Z70" s="107">
        <v>24446</v>
      </c>
      <c r="AA70" s="107">
        <v>25868</v>
      </c>
      <c r="AB70" s="107">
        <v>27300</v>
      </c>
      <c r="AC70" s="107">
        <v>28748</v>
      </c>
      <c r="AD70" s="107">
        <v>30211</v>
      </c>
      <c r="AE70" s="107">
        <v>30223</v>
      </c>
      <c r="AF70" s="107">
        <v>30936</v>
      </c>
      <c r="AG70" s="107">
        <v>32171</v>
      </c>
      <c r="AH70" s="107">
        <v>33405</v>
      </c>
      <c r="AI70" s="107">
        <v>35121</v>
      </c>
      <c r="AJ70" s="107">
        <v>36944</v>
      </c>
      <c r="AK70" s="107">
        <v>38508</v>
      </c>
      <c r="AL70" s="107">
        <v>39919</v>
      </c>
      <c r="AM70" s="107">
        <v>39534</v>
      </c>
      <c r="AN70" s="107">
        <v>40701</v>
      </c>
      <c r="AO70" s="107">
        <v>41742</v>
      </c>
      <c r="AP70" s="107">
        <v>42733</v>
      </c>
      <c r="AQ70" s="107">
        <v>42993</v>
      </c>
      <c r="AR70" s="107">
        <v>45466</v>
      </c>
      <c r="AS70" s="107">
        <v>46564</v>
      </c>
      <c r="AT70" s="107">
        <v>47600</v>
      </c>
      <c r="AU70" s="107">
        <v>48763</v>
      </c>
      <c r="AV70" s="107">
        <v>51398</v>
      </c>
      <c r="AW70" s="107">
        <v>51389</v>
      </c>
      <c r="AX70" s="107">
        <v>52723</v>
      </c>
      <c r="AY70" s="107">
        <v>54149</v>
      </c>
      <c r="AZ70" s="107">
        <v>55676</v>
      </c>
      <c r="BA70" s="107">
        <v>57203</v>
      </c>
      <c r="BB70" s="107">
        <v>58746</v>
      </c>
      <c r="BC70" s="107">
        <v>58581</v>
      </c>
      <c r="BD70" s="107">
        <v>60503</v>
      </c>
      <c r="BE70" s="107">
        <v>62511</v>
      </c>
      <c r="BF70" s="107">
        <v>64482</v>
      </c>
      <c r="BG70" s="107">
        <v>65048</v>
      </c>
      <c r="BH70" s="107">
        <v>68833</v>
      </c>
      <c r="BI70" s="107">
        <v>72659</v>
      </c>
      <c r="BJ70" s="107">
        <v>76528</v>
      </c>
      <c r="BK70" s="107">
        <v>76022</v>
      </c>
      <c r="BL70" s="107">
        <v>80750</v>
      </c>
      <c r="BM70" s="107">
        <v>85481</v>
      </c>
      <c r="BN70" s="107">
        <v>90103</v>
      </c>
      <c r="BO70" s="107">
        <v>87461</v>
      </c>
      <c r="BP70" s="107">
        <v>91594</v>
      </c>
      <c r="BQ70" s="107">
        <v>96053</v>
      </c>
    </row>
    <row r="71" spans="1:69" ht="11.25" customHeight="1" x14ac:dyDescent="0.25">
      <c r="A71" s="111"/>
      <c r="B71" s="111"/>
      <c r="C71" s="111"/>
      <c r="D71" s="112"/>
      <c r="E71" s="119" t="s">
        <v>184</v>
      </c>
      <c r="F71" s="119"/>
      <c r="G71" s="120"/>
      <c r="H71" s="206">
        <v>3498</v>
      </c>
      <c r="I71" s="206">
        <v>4601</v>
      </c>
      <c r="J71" s="206">
        <v>5716</v>
      </c>
      <c r="K71" s="206">
        <v>6922</v>
      </c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</row>
    <row r="72" spans="1:69" ht="11.25" customHeight="1" x14ac:dyDescent="0.2">
      <c r="A72" s="111"/>
      <c r="B72" s="111"/>
      <c r="C72" s="111"/>
      <c r="D72" s="112"/>
      <c r="E72" s="119" t="s">
        <v>185</v>
      </c>
      <c r="F72" s="119"/>
      <c r="G72" s="120"/>
      <c r="H72" s="107">
        <v>-24604</v>
      </c>
      <c r="I72" s="107">
        <v>-24604</v>
      </c>
      <c r="J72" s="107">
        <v>-24604</v>
      </c>
      <c r="K72" s="107">
        <v>-24604</v>
      </c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</row>
    <row r="73" spans="1:69" ht="11.25" customHeight="1" x14ac:dyDescent="0.25">
      <c r="A73" s="111"/>
      <c r="B73" s="111"/>
      <c r="C73" s="111"/>
      <c r="D73" s="112" t="s">
        <v>186</v>
      </c>
      <c r="E73" s="119"/>
      <c r="F73" s="119"/>
      <c r="G73" s="120"/>
      <c r="H73" s="206">
        <v>-15621</v>
      </c>
      <c r="I73" s="206">
        <v>-15549</v>
      </c>
      <c r="J73" s="206">
        <v>-15549</v>
      </c>
      <c r="K73" s="206">
        <v>-15549</v>
      </c>
      <c r="L73" s="206">
        <v>-15215</v>
      </c>
      <c r="M73" s="206">
        <v>-15215</v>
      </c>
      <c r="N73" s="206">
        <v>-14976</v>
      </c>
      <c r="O73" s="206">
        <v>-11778</v>
      </c>
      <c r="P73" s="206">
        <v>-10826</v>
      </c>
      <c r="Q73" s="206">
        <v>-10054</v>
      </c>
      <c r="R73" s="206">
        <v>-18321</v>
      </c>
      <c r="S73" s="206">
        <v>-19532</v>
      </c>
      <c r="T73" s="206">
        <v>-19532</v>
      </c>
      <c r="U73" s="206">
        <v>-15145</v>
      </c>
      <c r="V73" s="206">
        <v>-8983</v>
      </c>
      <c r="W73" s="206">
        <v>-7749</v>
      </c>
      <c r="X73" s="206">
        <v>-6692</v>
      </c>
      <c r="Y73" s="206">
        <v>-7685</v>
      </c>
      <c r="Z73" s="206">
        <v>-5157</v>
      </c>
      <c r="AA73" s="206">
        <v>-7019</v>
      </c>
      <c r="AB73" s="206">
        <v>-6546</v>
      </c>
      <c r="AC73" s="206">
        <v>-17347</v>
      </c>
      <c r="AD73" s="206">
        <v>-28926</v>
      </c>
      <c r="AE73" s="206">
        <v>-32847</v>
      </c>
      <c r="AF73" s="206">
        <v>-32090</v>
      </c>
      <c r="AG73" s="206">
        <v>-32736</v>
      </c>
      <c r="AH73" s="206">
        <v>-31311</v>
      </c>
      <c r="AI73" s="206">
        <v>-32347</v>
      </c>
      <c r="AJ73" s="206">
        <v>-31874</v>
      </c>
      <c r="AK73" s="206">
        <v>-31726</v>
      </c>
      <c r="AL73" s="206">
        <v>-31612</v>
      </c>
      <c r="AM73" s="206">
        <v>-30652</v>
      </c>
      <c r="AN73" s="206">
        <v>-30756</v>
      </c>
      <c r="AO73" s="206">
        <v>-28118</v>
      </c>
      <c r="AP73" s="206">
        <v>-47180</v>
      </c>
      <c r="AQ73" s="206">
        <v>-60596</v>
      </c>
      <c r="AR73" s="206">
        <v>-51172</v>
      </c>
      <c r="AS73" s="206">
        <v>-43212</v>
      </c>
      <c r="AT73" s="206">
        <v>-42276</v>
      </c>
      <c r="AU73" s="206">
        <v>-36816</v>
      </c>
      <c r="AV73" s="206">
        <v>-53125</v>
      </c>
      <c r="AW73" s="206">
        <v>-77171</v>
      </c>
      <c r="AX73" s="206">
        <v>-77119</v>
      </c>
      <c r="AY73" s="206">
        <v>-64321</v>
      </c>
      <c r="AZ73" s="206">
        <v>-62462</v>
      </c>
      <c r="BA73" s="206">
        <v>-59362</v>
      </c>
      <c r="BB73" s="206">
        <v>-58618</v>
      </c>
      <c r="BC73" s="206">
        <v>-52921</v>
      </c>
      <c r="BD73" s="206">
        <v>-48286</v>
      </c>
      <c r="BE73" s="206">
        <v>-46558</v>
      </c>
      <c r="BF73" s="206">
        <v>-74899</v>
      </c>
      <c r="BG73" s="206">
        <v>-116846</v>
      </c>
      <c r="BH73" s="206">
        <v>-113917</v>
      </c>
      <c r="BI73" s="206">
        <v>-120565</v>
      </c>
      <c r="BJ73" s="206">
        <v>-181096</v>
      </c>
      <c r="BK73" s="206">
        <v>-280170</v>
      </c>
      <c r="BL73" s="206">
        <v>-275566</v>
      </c>
      <c r="BM73" s="206">
        <v>-151907</v>
      </c>
      <c r="BN73" s="206">
        <v>-236716</v>
      </c>
      <c r="BO73" s="206">
        <v>-57707</v>
      </c>
      <c r="BP73" s="206">
        <v>-63502</v>
      </c>
      <c r="BQ73" s="206">
        <v>-63502</v>
      </c>
    </row>
    <row r="74" spans="1:69" ht="11.25" customHeight="1" x14ac:dyDescent="0.25">
      <c r="A74" s="111"/>
      <c r="B74" s="111"/>
      <c r="C74" s="111"/>
      <c r="D74" s="112" t="s">
        <v>187</v>
      </c>
      <c r="E74" s="119"/>
      <c r="F74" s="119"/>
      <c r="G74" s="120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>
        <v>65856</v>
      </c>
      <c r="BG74" s="206">
        <v>65856</v>
      </c>
      <c r="BH74" s="206">
        <v>65856</v>
      </c>
      <c r="BI74" s="206">
        <v>65856</v>
      </c>
      <c r="BJ74" s="206">
        <v>65856</v>
      </c>
      <c r="BK74" s="206">
        <v>65856</v>
      </c>
      <c r="BL74" s="206">
        <v>65856</v>
      </c>
      <c r="BM74" s="206">
        <v>65856</v>
      </c>
      <c r="BN74" s="206">
        <v>65856</v>
      </c>
      <c r="BO74" s="206">
        <v>65856</v>
      </c>
      <c r="BP74" s="206">
        <v>65856</v>
      </c>
      <c r="BQ74" s="206">
        <v>65856</v>
      </c>
    </row>
    <row r="75" spans="1:69" ht="11.25" customHeight="1" x14ac:dyDescent="0.25">
      <c r="A75" s="108"/>
      <c r="B75" s="108"/>
      <c r="C75" s="108" t="s">
        <v>188</v>
      </c>
      <c r="D75" s="121"/>
      <c r="E75" s="108"/>
      <c r="F75" s="108"/>
      <c r="G75" s="115"/>
      <c r="H75" s="122">
        <f t="shared" ref="H75:AF75" si="124">SUM(H76:H79)</f>
        <v>73484</v>
      </c>
      <c r="I75" s="122">
        <f t="shared" si="124"/>
        <v>73484</v>
      </c>
      <c r="J75" s="122">
        <f t="shared" si="124"/>
        <v>73484</v>
      </c>
      <c r="K75" s="122">
        <f t="shared" si="124"/>
        <v>88179</v>
      </c>
      <c r="L75" s="122">
        <f t="shared" si="124"/>
        <v>88179</v>
      </c>
      <c r="M75" s="122">
        <f t="shared" si="124"/>
        <v>88179</v>
      </c>
      <c r="N75" s="122">
        <f t="shared" si="124"/>
        <v>88179</v>
      </c>
      <c r="O75" s="122">
        <f t="shared" si="124"/>
        <v>154253</v>
      </c>
      <c r="P75" s="122">
        <f t="shared" si="124"/>
        <v>154159</v>
      </c>
      <c r="Q75" s="122">
        <f t="shared" si="124"/>
        <v>154252</v>
      </c>
      <c r="R75" s="122">
        <f t="shared" si="124"/>
        <v>149077</v>
      </c>
      <c r="S75" s="122">
        <f t="shared" si="124"/>
        <v>287295</v>
      </c>
      <c r="T75" s="122">
        <f t="shared" si="124"/>
        <v>287295</v>
      </c>
      <c r="U75" s="122">
        <f t="shared" si="124"/>
        <v>264093</v>
      </c>
      <c r="V75" s="122">
        <f t="shared" si="124"/>
        <v>264093</v>
      </c>
      <c r="W75" s="122">
        <f t="shared" si="124"/>
        <v>307129</v>
      </c>
      <c r="X75" s="122">
        <f t="shared" si="124"/>
        <v>307129</v>
      </c>
      <c r="Y75" s="122">
        <f t="shared" si="124"/>
        <v>301439</v>
      </c>
      <c r="Z75" s="122">
        <f t="shared" si="124"/>
        <v>301439</v>
      </c>
      <c r="AA75" s="122">
        <f t="shared" si="124"/>
        <v>397216</v>
      </c>
      <c r="AB75" s="122">
        <f t="shared" si="124"/>
        <v>397216</v>
      </c>
      <c r="AC75" s="122">
        <f t="shared" si="124"/>
        <v>382880</v>
      </c>
      <c r="AD75" s="122">
        <f t="shared" si="124"/>
        <v>382880</v>
      </c>
      <c r="AE75" s="122">
        <f t="shared" si="124"/>
        <v>484936</v>
      </c>
      <c r="AF75" s="195">
        <f t="shared" si="124"/>
        <v>484936</v>
      </c>
      <c r="AG75" s="195">
        <f>SUM(AG76:AG79)</f>
        <v>474750</v>
      </c>
      <c r="AH75" s="195">
        <f>SUM(AH76:AH79)</f>
        <v>189900</v>
      </c>
      <c r="AI75" s="195">
        <f>SUM(AI76:AI79)</f>
        <v>291798</v>
      </c>
      <c r="AJ75" s="195">
        <f>SUM(AJ76:AJ79)</f>
        <v>291798</v>
      </c>
      <c r="AK75" s="195">
        <f t="shared" ref="AK75:AP75" si="125">SUM(AK76:AK79)</f>
        <v>262698</v>
      </c>
      <c r="AL75" s="195">
        <f t="shared" si="125"/>
        <v>262698</v>
      </c>
      <c r="AM75" s="195">
        <f t="shared" si="125"/>
        <v>292744</v>
      </c>
      <c r="AN75" s="195">
        <f t="shared" si="125"/>
        <v>292744</v>
      </c>
      <c r="AO75" s="195">
        <f t="shared" si="125"/>
        <v>285633</v>
      </c>
      <c r="AP75" s="195">
        <f t="shared" si="125"/>
        <v>85633</v>
      </c>
      <c r="AQ75" s="195">
        <f>SUM(AQ76:AQ81)</f>
        <v>404975</v>
      </c>
      <c r="AR75" s="195">
        <f t="shared" ref="AR75:BB75" si="126">SUM(AR76:AR81)</f>
        <v>318107</v>
      </c>
      <c r="AS75" s="195">
        <f t="shared" si="126"/>
        <v>201702</v>
      </c>
      <c r="AT75" s="195">
        <f t="shared" si="126"/>
        <v>201702</v>
      </c>
      <c r="AU75" s="195">
        <f t="shared" si="126"/>
        <v>496797</v>
      </c>
      <c r="AV75" s="195">
        <f t="shared" si="126"/>
        <v>496797</v>
      </c>
      <c r="AW75" s="195">
        <f t="shared" si="126"/>
        <v>408641</v>
      </c>
      <c r="AX75" s="195">
        <f t="shared" si="126"/>
        <v>408641</v>
      </c>
      <c r="AY75" s="195">
        <f>SUM(AY76:AY81)</f>
        <v>680719</v>
      </c>
      <c r="AZ75" s="195">
        <f t="shared" si="126"/>
        <v>680719</v>
      </c>
      <c r="BA75" s="195">
        <f t="shared" si="126"/>
        <v>680719</v>
      </c>
      <c r="BB75" s="195">
        <f t="shared" si="126"/>
        <v>606970</v>
      </c>
      <c r="BC75" s="195">
        <f t="shared" ref="BC75:BH75" si="127">SUM(BC76:BC81)</f>
        <v>978074</v>
      </c>
      <c r="BD75" s="195">
        <f t="shared" si="127"/>
        <v>978074</v>
      </c>
      <c r="BE75" s="195">
        <f t="shared" si="127"/>
        <v>862055</v>
      </c>
      <c r="BF75" s="195">
        <f t="shared" si="127"/>
        <v>862055</v>
      </c>
      <c r="BG75" s="195">
        <f t="shared" si="127"/>
        <v>1174813</v>
      </c>
      <c r="BH75" s="195">
        <f t="shared" si="127"/>
        <v>1174813</v>
      </c>
      <c r="BI75" s="195">
        <f t="shared" ref="BI75:BL75" si="128">SUM(BI76:BI81)</f>
        <v>922596</v>
      </c>
      <c r="BJ75" s="195">
        <f t="shared" si="128"/>
        <v>922596</v>
      </c>
      <c r="BK75" s="195">
        <f t="shared" si="128"/>
        <v>1891460</v>
      </c>
      <c r="BL75" s="195">
        <f t="shared" si="128"/>
        <v>1891460</v>
      </c>
      <c r="BM75" s="195">
        <f t="shared" ref="BM75:BP75" si="129">SUM(BM76:BM81)</f>
        <v>872843</v>
      </c>
      <c r="BN75" s="195">
        <f t="shared" si="129"/>
        <v>872843</v>
      </c>
      <c r="BO75" s="195">
        <f t="shared" si="129"/>
        <v>1395452</v>
      </c>
      <c r="BP75" s="232">
        <f t="shared" si="129"/>
        <v>1395452</v>
      </c>
      <c r="BQ75" s="232">
        <f t="shared" ref="BQ75" si="130">SUM(BQ76:BQ81)</f>
        <v>1200926</v>
      </c>
    </row>
    <row r="76" spans="1:69" ht="11.25" customHeight="1" x14ac:dyDescent="0.2">
      <c r="A76" s="111"/>
      <c r="B76" s="111"/>
      <c r="C76" s="111"/>
      <c r="D76" s="112" t="s">
        <v>189</v>
      </c>
      <c r="E76" s="119"/>
      <c r="F76" s="119"/>
      <c r="G76" s="120"/>
      <c r="H76" s="107">
        <v>2851</v>
      </c>
      <c r="I76" s="107">
        <v>2851</v>
      </c>
      <c r="J76" s="107">
        <v>2851</v>
      </c>
      <c r="K76" s="107">
        <v>2851</v>
      </c>
      <c r="L76" s="107">
        <v>2851</v>
      </c>
      <c r="M76" s="107">
        <v>2851</v>
      </c>
      <c r="N76" s="107">
        <v>2851</v>
      </c>
      <c r="O76" s="107">
        <v>2851</v>
      </c>
      <c r="P76" s="107">
        <v>2851</v>
      </c>
      <c r="Q76" s="107">
        <v>2851</v>
      </c>
      <c r="R76" s="107">
        <v>2851</v>
      </c>
      <c r="S76" s="107">
        <v>2851</v>
      </c>
      <c r="T76" s="107">
        <v>2851</v>
      </c>
      <c r="U76" s="107">
        <v>2851</v>
      </c>
      <c r="V76" s="107">
        <v>2851</v>
      </c>
      <c r="W76" s="107">
        <v>2851</v>
      </c>
      <c r="X76" s="107">
        <v>2851</v>
      </c>
      <c r="Y76" s="107">
        <v>2851</v>
      </c>
      <c r="Z76" s="107">
        <v>2851</v>
      </c>
      <c r="AA76" s="107">
        <v>2851</v>
      </c>
      <c r="AB76" s="107">
        <v>2851</v>
      </c>
      <c r="AC76" s="107">
        <v>2851</v>
      </c>
      <c r="AD76" s="107">
        <v>2851</v>
      </c>
      <c r="AE76" s="107">
        <v>2851</v>
      </c>
      <c r="AF76" s="194">
        <v>2851</v>
      </c>
      <c r="AG76" s="194">
        <v>2851</v>
      </c>
      <c r="AH76" s="194">
        <v>2851</v>
      </c>
      <c r="AI76" s="194">
        <v>8977</v>
      </c>
      <c r="AJ76" s="194">
        <v>8977</v>
      </c>
      <c r="AK76" s="194">
        <v>8977</v>
      </c>
      <c r="AL76" s="194">
        <v>8977</v>
      </c>
      <c r="AM76" s="194">
        <v>10474</v>
      </c>
      <c r="AN76" s="194">
        <v>10474</v>
      </c>
      <c r="AO76" s="194">
        <v>10474</v>
      </c>
      <c r="AP76" s="194">
        <v>10474</v>
      </c>
      <c r="AQ76" s="194">
        <v>28074</v>
      </c>
      <c r="AR76" s="194">
        <v>28074</v>
      </c>
      <c r="AS76" s="194">
        <v>28074</v>
      </c>
      <c r="AT76" s="194">
        <v>28074</v>
      </c>
      <c r="AU76" s="194">
        <v>47136</v>
      </c>
      <c r="AV76" s="194">
        <v>47136</v>
      </c>
      <c r="AW76" s="194">
        <v>47136</v>
      </c>
      <c r="AX76" s="194">
        <v>47136</v>
      </c>
      <c r="AY76" s="194">
        <v>62711</v>
      </c>
      <c r="AZ76" s="194">
        <v>62711</v>
      </c>
      <c r="BA76" s="194">
        <v>62711</v>
      </c>
      <c r="BB76" s="194">
        <v>62711</v>
      </c>
      <c r="BC76" s="194">
        <v>87136</v>
      </c>
      <c r="BD76" s="194">
        <v>87136</v>
      </c>
      <c r="BE76" s="194">
        <v>87136</v>
      </c>
      <c r="BF76" s="194">
        <v>87136</v>
      </c>
      <c r="BG76" s="194">
        <v>140235</v>
      </c>
      <c r="BH76" s="194">
        <v>140235</v>
      </c>
      <c r="BI76" s="194">
        <v>140235</v>
      </c>
      <c r="BJ76" s="194">
        <v>140235</v>
      </c>
      <c r="BK76" s="194">
        <v>203595</v>
      </c>
      <c r="BL76" s="194">
        <v>203595</v>
      </c>
      <c r="BM76" s="194">
        <v>203595</v>
      </c>
      <c r="BN76" s="194">
        <v>203595</v>
      </c>
      <c r="BO76" s="194">
        <v>244548</v>
      </c>
      <c r="BP76" s="231">
        <v>244548</v>
      </c>
      <c r="BQ76" s="231">
        <v>244548</v>
      </c>
    </row>
    <row r="77" spans="1:69" ht="11.25" customHeight="1" x14ac:dyDescent="0.2">
      <c r="A77" s="111"/>
      <c r="B77" s="111"/>
      <c r="C77" s="111"/>
      <c r="D77" s="112" t="s">
        <v>190</v>
      </c>
      <c r="E77" s="119"/>
      <c r="F77" s="119"/>
      <c r="G77" s="120"/>
      <c r="H77" s="107">
        <v>65005</v>
      </c>
      <c r="I77" s="107">
        <v>65005</v>
      </c>
      <c r="J77" s="107">
        <v>65005</v>
      </c>
      <c r="K77" s="107">
        <v>79700</v>
      </c>
      <c r="L77" s="107">
        <v>79700</v>
      </c>
      <c r="M77" s="107">
        <v>79700</v>
      </c>
      <c r="N77" s="107">
        <v>79700</v>
      </c>
      <c r="O77" s="107">
        <v>145774</v>
      </c>
      <c r="P77" s="107">
        <v>145680</v>
      </c>
      <c r="Q77" s="107">
        <v>145773</v>
      </c>
      <c r="R77" s="107">
        <v>140598</v>
      </c>
      <c r="S77" s="107">
        <v>240162</v>
      </c>
      <c r="T77" s="107">
        <v>278816</v>
      </c>
      <c r="U77" s="107">
        <v>255614</v>
      </c>
      <c r="V77" s="107">
        <v>255614</v>
      </c>
      <c r="W77" s="107">
        <v>298650</v>
      </c>
      <c r="X77" s="107">
        <v>298650</v>
      </c>
      <c r="Y77" s="107">
        <v>292960</v>
      </c>
      <c r="Z77" s="107">
        <v>292960</v>
      </c>
      <c r="AA77" s="107">
        <v>374401</v>
      </c>
      <c r="AB77" s="107">
        <v>374401</v>
      </c>
      <c r="AC77" s="107">
        <v>374401</v>
      </c>
      <c r="AD77" s="107">
        <v>374401</v>
      </c>
      <c r="AE77" s="107">
        <v>466272</v>
      </c>
      <c r="AF77" s="194">
        <v>466272</v>
      </c>
      <c r="AG77" s="194">
        <v>466271</v>
      </c>
      <c r="AH77" s="194">
        <v>181421</v>
      </c>
      <c r="AI77" s="194">
        <v>248093</v>
      </c>
      <c r="AJ77" s="194">
        <v>248093</v>
      </c>
      <c r="AK77" s="194">
        <v>248093</v>
      </c>
      <c r="AL77" s="194">
        <v>248093</v>
      </c>
      <c r="AM77" s="194">
        <v>248093</v>
      </c>
      <c r="AN77" s="194">
        <v>248093</v>
      </c>
      <c r="AO77" s="194">
        <v>248094</v>
      </c>
      <c r="AP77" s="194">
        <v>48094</v>
      </c>
      <c r="AQ77" s="194">
        <v>0</v>
      </c>
      <c r="AR77" s="194">
        <v>0</v>
      </c>
      <c r="AS77" s="194">
        <v>163633</v>
      </c>
      <c r="AT77" s="194">
        <v>163633</v>
      </c>
      <c r="AU77" s="194">
        <v>341945</v>
      </c>
      <c r="AV77" s="194">
        <v>341945</v>
      </c>
      <c r="AW77" s="194">
        <v>341945</v>
      </c>
      <c r="AX77" s="194">
        <v>341945</v>
      </c>
      <c r="AY77" s="194">
        <v>523760</v>
      </c>
      <c r="AZ77" s="194">
        <v>523760</v>
      </c>
      <c r="BA77" s="194">
        <v>523760</v>
      </c>
      <c r="BB77" s="194">
        <v>523760</v>
      </c>
      <c r="BC77" s="194">
        <v>754249</v>
      </c>
      <c r="BD77" s="194">
        <v>754249</v>
      </c>
      <c r="BE77" s="194">
        <v>754249</v>
      </c>
      <c r="BF77" s="194">
        <v>754249</v>
      </c>
      <c r="BG77" s="194">
        <v>761542</v>
      </c>
      <c r="BH77" s="194">
        <v>761542</v>
      </c>
      <c r="BI77" s="194">
        <v>761542</v>
      </c>
      <c r="BJ77" s="194">
        <v>761542</v>
      </c>
      <c r="BK77" s="194">
        <v>1365836</v>
      </c>
      <c r="BL77" s="194">
        <v>1365836</v>
      </c>
      <c r="BM77" s="194">
        <v>648182</v>
      </c>
      <c r="BN77" s="194">
        <v>648182</v>
      </c>
      <c r="BO77" s="194">
        <v>858768</v>
      </c>
      <c r="BP77" s="231">
        <v>858768</v>
      </c>
      <c r="BQ77" s="231">
        <v>664406</v>
      </c>
    </row>
    <row r="78" spans="1:69" ht="11.25" customHeight="1" x14ac:dyDescent="0.2">
      <c r="A78" s="111"/>
      <c r="B78" s="111"/>
      <c r="C78" s="111"/>
      <c r="D78" s="112" t="s">
        <v>191</v>
      </c>
      <c r="E78" s="119"/>
      <c r="F78" s="119"/>
      <c r="G78" s="120"/>
      <c r="H78" s="107">
        <v>5628</v>
      </c>
      <c r="I78" s="107">
        <v>5628</v>
      </c>
      <c r="J78" s="107">
        <v>5628</v>
      </c>
      <c r="K78" s="107">
        <v>5628</v>
      </c>
      <c r="L78" s="107">
        <v>5628</v>
      </c>
      <c r="M78" s="107">
        <v>5628</v>
      </c>
      <c r="N78" s="107">
        <v>5628</v>
      </c>
      <c r="O78" s="107">
        <v>5628</v>
      </c>
      <c r="P78" s="107">
        <v>5628</v>
      </c>
      <c r="Q78" s="107">
        <v>5628</v>
      </c>
      <c r="R78" s="107">
        <v>5628</v>
      </c>
      <c r="S78" s="107">
        <v>5628</v>
      </c>
      <c r="T78" s="107">
        <v>5628</v>
      </c>
      <c r="U78" s="107">
        <v>5628</v>
      </c>
      <c r="V78" s="107">
        <v>5628</v>
      </c>
      <c r="W78" s="107">
        <v>5628</v>
      </c>
      <c r="X78" s="107">
        <v>5628</v>
      </c>
      <c r="Y78" s="107">
        <v>5628</v>
      </c>
      <c r="Z78" s="107">
        <v>5628</v>
      </c>
      <c r="AA78" s="107">
        <v>5628</v>
      </c>
      <c r="AB78" s="107">
        <v>5628</v>
      </c>
      <c r="AC78" s="107">
        <v>5628</v>
      </c>
      <c r="AD78" s="107">
        <v>5628</v>
      </c>
      <c r="AE78" s="107">
        <v>5628</v>
      </c>
      <c r="AF78" s="194">
        <v>5628</v>
      </c>
      <c r="AG78" s="194">
        <v>5628</v>
      </c>
      <c r="AH78" s="194">
        <v>5628</v>
      </c>
      <c r="AI78" s="194">
        <v>5628</v>
      </c>
      <c r="AJ78" s="194">
        <v>5628</v>
      </c>
      <c r="AK78" s="194">
        <v>5628</v>
      </c>
      <c r="AL78" s="194">
        <v>5628</v>
      </c>
      <c r="AM78" s="194">
        <v>27065</v>
      </c>
      <c r="AN78" s="194">
        <v>27065</v>
      </c>
      <c r="AO78" s="194">
        <v>27065</v>
      </c>
      <c r="AP78" s="194">
        <v>27065</v>
      </c>
      <c r="AQ78" s="194">
        <v>5628</v>
      </c>
      <c r="AR78" s="194">
        <v>5628</v>
      </c>
      <c r="AS78" s="194">
        <v>5628</v>
      </c>
      <c r="AT78" s="194">
        <v>5628</v>
      </c>
      <c r="AU78" s="194">
        <v>5628</v>
      </c>
      <c r="AV78" s="194">
        <v>5628</v>
      </c>
      <c r="AW78" s="194">
        <v>5628</v>
      </c>
      <c r="AX78" s="194">
        <v>5628</v>
      </c>
      <c r="AY78" s="194">
        <v>5628</v>
      </c>
      <c r="AZ78" s="194">
        <v>5628</v>
      </c>
      <c r="BA78" s="194">
        <v>5628</v>
      </c>
      <c r="BB78" s="194">
        <v>5628</v>
      </c>
      <c r="BC78" s="194">
        <v>5628</v>
      </c>
      <c r="BD78" s="194">
        <v>5628</v>
      </c>
      <c r="BE78" s="194">
        <v>5628</v>
      </c>
      <c r="BF78" s="194">
        <v>5628</v>
      </c>
      <c r="BG78" s="194">
        <v>5628</v>
      </c>
      <c r="BH78" s="194">
        <v>5628</v>
      </c>
      <c r="BI78" s="194">
        <v>5628</v>
      </c>
      <c r="BJ78" s="194">
        <v>5628</v>
      </c>
      <c r="BK78" s="194">
        <v>5628</v>
      </c>
      <c r="BL78" s="194">
        <v>5628</v>
      </c>
      <c r="BM78" s="194">
        <v>5628</v>
      </c>
      <c r="BN78" s="194">
        <v>5628</v>
      </c>
      <c r="BO78" s="194">
        <v>5628</v>
      </c>
      <c r="BP78" s="231">
        <v>5628</v>
      </c>
      <c r="BQ78" s="231">
        <v>0</v>
      </c>
    </row>
    <row r="79" spans="1:69" ht="11.25" customHeight="1" x14ac:dyDescent="0.2">
      <c r="A79" s="111"/>
      <c r="B79" s="111"/>
      <c r="C79" s="111"/>
      <c r="D79" s="112" t="s">
        <v>192</v>
      </c>
      <c r="E79" s="119"/>
      <c r="F79" s="119"/>
      <c r="G79" s="120"/>
      <c r="H79" s="107">
        <v>0</v>
      </c>
      <c r="I79" s="107">
        <v>0</v>
      </c>
      <c r="J79" s="107">
        <v>0</v>
      </c>
      <c r="K79" s="107">
        <v>0</v>
      </c>
      <c r="L79" s="107">
        <v>0</v>
      </c>
      <c r="M79" s="107">
        <v>0</v>
      </c>
      <c r="N79" s="107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38654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7">
        <v>0</v>
      </c>
      <c r="Z79" s="107">
        <v>0</v>
      </c>
      <c r="AA79" s="107">
        <v>14336</v>
      </c>
      <c r="AB79" s="107">
        <v>14336</v>
      </c>
      <c r="AC79" s="107">
        <v>0</v>
      </c>
      <c r="AD79" s="107">
        <v>0</v>
      </c>
      <c r="AE79" s="107">
        <v>10185</v>
      </c>
      <c r="AF79" s="194">
        <v>10185</v>
      </c>
      <c r="AG79" s="194">
        <v>0</v>
      </c>
      <c r="AH79" s="194">
        <v>0</v>
      </c>
      <c r="AI79" s="194">
        <v>29100</v>
      </c>
      <c r="AJ79" s="194">
        <v>29100</v>
      </c>
      <c r="AK79" s="194">
        <v>0</v>
      </c>
      <c r="AL79" s="194">
        <v>0</v>
      </c>
      <c r="AM79" s="194">
        <v>7112</v>
      </c>
      <c r="AN79" s="194">
        <v>7112</v>
      </c>
      <c r="AO79" s="194">
        <v>0</v>
      </c>
      <c r="AP79" s="194">
        <v>0</v>
      </c>
      <c r="AQ79" s="194">
        <v>116405</v>
      </c>
      <c r="AR79" s="194">
        <v>116405</v>
      </c>
      <c r="AS79" s="194">
        <v>0</v>
      </c>
      <c r="AT79" s="194">
        <v>0</v>
      </c>
      <c r="AU79" s="194">
        <v>88156</v>
      </c>
      <c r="AV79" s="194">
        <v>88156</v>
      </c>
      <c r="AW79" s="194">
        <v>0</v>
      </c>
      <c r="AX79" s="194">
        <v>0</v>
      </c>
      <c r="AY79" s="194">
        <v>73749</v>
      </c>
      <c r="AZ79" s="194">
        <v>73749</v>
      </c>
      <c r="BA79" s="194">
        <v>73749</v>
      </c>
      <c r="BB79" s="194">
        <v>0</v>
      </c>
      <c r="BC79" s="194">
        <v>116019</v>
      </c>
      <c r="BD79" s="194">
        <v>116019</v>
      </c>
      <c r="BE79" s="194">
        <v>0</v>
      </c>
      <c r="BF79" s="194">
        <v>0</v>
      </c>
      <c r="BG79" s="194">
        <v>252217</v>
      </c>
      <c r="BH79" s="194">
        <v>252217</v>
      </c>
      <c r="BI79" s="194">
        <v>0</v>
      </c>
      <c r="BJ79" s="194">
        <v>0</v>
      </c>
      <c r="BK79" s="194">
        <v>300963</v>
      </c>
      <c r="BL79" s="194">
        <v>300963</v>
      </c>
      <c r="BM79" s="194">
        <v>0</v>
      </c>
      <c r="BN79" s="194">
        <v>0</v>
      </c>
      <c r="BO79" s="194">
        <v>194526</v>
      </c>
      <c r="BP79" s="231">
        <v>194526</v>
      </c>
      <c r="BQ79" s="231">
        <v>0</v>
      </c>
    </row>
    <row r="80" spans="1:69" ht="11.25" customHeight="1" x14ac:dyDescent="0.2">
      <c r="A80" s="111"/>
      <c r="B80" s="111"/>
      <c r="C80" s="111"/>
      <c r="D80" s="112" t="s">
        <v>193</v>
      </c>
      <c r="E80" s="119"/>
      <c r="F80" s="119"/>
      <c r="G80" s="120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>
        <v>4367</v>
      </c>
      <c r="AR80" s="194">
        <v>4367</v>
      </c>
      <c r="AS80" s="194">
        <v>4367</v>
      </c>
      <c r="AT80" s="194">
        <v>4367</v>
      </c>
      <c r="AU80" s="194">
        <v>13932</v>
      </c>
      <c r="AV80" s="194">
        <v>13932</v>
      </c>
      <c r="AW80" s="194">
        <v>13932</v>
      </c>
      <c r="AX80" s="194">
        <v>13932</v>
      </c>
      <c r="AY80" s="194">
        <v>14871</v>
      </c>
      <c r="AZ80" s="194">
        <v>14871</v>
      </c>
      <c r="BA80" s="194">
        <v>14871</v>
      </c>
      <c r="BB80" s="194">
        <v>14871</v>
      </c>
      <c r="BC80" s="194">
        <v>15042</v>
      </c>
      <c r="BD80" s="194">
        <v>15042</v>
      </c>
      <c r="BE80" s="194">
        <v>15042</v>
      </c>
      <c r="BF80" s="194">
        <v>15042</v>
      </c>
      <c r="BG80" s="194">
        <v>15191</v>
      </c>
      <c r="BH80" s="194">
        <v>15191</v>
      </c>
      <c r="BI80" s="194">
        <v>15191</v>
      </c>
      <c r="BJ80" s="194">
        <v>15191</v>
      </c>
      <c r="BK80" s="194">
        <v>15438</v>
      </c>
      <c r="BL80" s="194">
        <v>15438</v>
      </c>
      <c r="BM80" s="194">
        <v>15438</v>
      </c>
      <c r="BN80" s="194">
        <v>15438</v>
      </c>
      <c r="BO80" s="194">
        <v>91982</v>
      </c>
      <c r="BP80" s="231">
        <v>91982</v>
      </c>
      <c r="BQ80" s="231">
        <v>291972</v>
      </c>
    </row>
    <row r="81" spans="1:69" ht="11.25" customHeight="1" x14ac:dyDescent="0.2">
      <c r="A81" s="111"/>
      <c r="B81" s="111"/>
      <c r="C81" s="111"/>
      <c r="D81" s="112" t="s">
        <v>194</v>
      </c>
      <c r="E81" s="119"/>
      <c r="F81" s="119"/>
      <c r="G81" s="120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>
        <v>250501</v>
      </c>
      <c r="AR81" s="194">
        <v>163633</v>
      </c>
      <c r="AS81" s="194">
        <v>0</v>
      </c>
      <c r="AT81" s="194">
        <v>0</v>
      </c>
      <c r="AU81" s="194">
        <v>0</v>
      </c>
      <c r="AV81" s="194">
        <v>0</v>
      </c>
      <c r="AW81" s="194">
        <v>0</v>
      </c>
      <c r="AX81" s="194">
        <v>0</v>
      </c>
      <c r="AY81" s="194">
        <v>0</v>
      </c>
      <c r="AZ81" s="194">
        <v>0</v>
      </c>
      <c r="BA81" s="194">
        <v>0</v>
      </c>
      <c r="BB81" s="194">
        <v>0</v>
      </c>
      <c r="BC81" s="194">
        <v>0</v>
      </c>
      <c r="BD81" s="194">
        <v>0</v>
      </c>
      <c r="BE81" s="194">
        <v>0</v>
      </c>
      <c r="BF81" s="194">
        <v>0</v>
      </c>
      <c r="BG81" s="194">
        <v>0</v>
      </c>
      <c r="BH81" s="194">
        <v>0</v>
      </c>
      <c r="BI81" s="194">
        <v>0</v>
      </c>
      <c r="BJ81" s="194">
        <v>0</v>
      </c>
      <c r="BK81" s="194">
        <v>0</v>
      </c>
      <c r="BL81" s="194">
        <v>0</v>
      </c>
      <c r="BM81" s="194">
        <v>0</v>
      </c>
      <c r="BN81" s="194">
        <v>0</v>
      </c>
      <c r="BO81" s="194">
        <v>0</v>
      </c>
      <c r="BP81" s="231">
        <v>0</v>
      </c>
      <c r="BQ81" s="231">
        <v>0</v>
      </c>
    </row>
    <row r="82" spans="1:69" ht="11.25" customHeight="1" x14ac:dyDescent="0.25">
      <c r="A82" s="108"/>
      <c r="B82" s="108"/>
      <c r="C82" s="108" t="s">
        <v>195</v>
      </c>
      <c r="D82" s="114"/>
      <c r="E82" s="108"/>
      <c r="F82" s="108"/>
      <c r="G82" s="115"/>
      <c r="H82" s="122">
        <v>28226</v>
      </c>
      <c r="I82" s="122">
        <v>22305</v>
      </c>
      <c r="J82" s="122">
        <v>185</v>
      </c>
      <c r="K82" s="122">
        <v>0</v>
      </c>
      <c r="L82" s="122">
        <v>-342</v>
      </c>
      <c r="M82" s="122">
        <v>29919</v>
      </c>
      <c r="N82" s="122">
        <v>47842</v>
      </c>
      <c r="O82" s="122">
        <v>0</v>
      </c>
      <c r="P82" s="122">
        <v>23562</v>
      </c>
      <c r="Q82" s="122">
        <v>66758</v>
      </c>
      <c r="R82" s="122">
        <v>132161</v>
      </c>
      <c r="S82" s="122">
        <v>0</v>
      </c>
      <c r="T82" s="122">
        <v>37142</v>
      </c>
      <c r="U82" s="122">
        <v>-6864</v>
      </c>
      <c r="V82" s="122">
        <v>-1893</v>
      </c>
      <c r="W82" s="122">
        <v>0</v>
      </c>
      <c r="X82" s="122">
        <v>50339</v>
      </c>
      <c r="Y82" s="122">
        <v>89677</v>
      </c>
      <c r="Z82" s="122">
        <v>108280</v>
      </c>
      <c r="AA82" s="122">
        <v>0</v>
      </c>
      <c r="AB82" s="122">
        <v>46035</v>
      </c>
      <c r="AC82" s="122">
        <v>95648</v>
      </c>
      <c r="AD82" s="122">
        <v>100214</v>
      </c>
      <c r="AE82" s="122">
        <v>0</v>
      </c>
      <c r="AF82" s="195">
        <v>35955</v>
      </c>
      <c r="AG82" s="195">
        <v>80171</v>
      </c>
      <c r="AH82" s="195">
        <v>94214</v>
      </c>
      <c r="AI82" s="195">
        <v>0</v>
      </c>
      <c r="AJ82" s="195">
        <v>-5134</v>
      </c>
      <c r="AK82" s="195">
        <v>-62375</v>
      </c>
      <c r="AL82" s="195">
        <v>-76725</v>
      </c>
      <c r="AM82" s="195">
        <v>0</v>
      </c>
      <c r="AN82" s="195">
        <v>76601</v>
      </c>
      <c r="AO82" s="195">
        <v>154611</v>
      </c>
      <c r="AP82" s="195">
        <v>224648</v>
      </c>
      <c r="AQ82" s="195">
        <v>0</v>
      </c>
      <c r="AR82" s="195">
        <v>155207</v>
      </c>
      <c r="AS82" s="195">
        <v>312827</v>
      </c>
      <c r="AT82" s="195">
        <v>349363</v>
      </c>
      <c r="AU82" s="195">
        <v>0</v>
      </c>
      <c r="AV82" s="195">
        <v>103585</v>
      </c>
      <c r="AW82" s="195">
        <v>309825</v>
      </c>
      <c r="AX82" s="195">
        <v>230142</v>
      </c>
      <c r="AY82" s="195">
        <v>0</v>
      </c>
      <c r="AZ82" s="195">
        <v>144323</v>
      </c>
      <c r="BA82" s="195">
        <v>330694</v>
      </c>
      <c r="BB82" s="195">
        <v>308039</v>
      </c>
      <c r="BC82" s="195">
        <v>0</v>
      </c>
      <c r="BD82" s="195">
        <v>344069</v>
      </c>
      <c r="BE82" s="195">
        <v>763389</v>
      </c>
      <c r="BF82" s="195">
        <v>885217</v>
      </c>
      <c r="BG82" s="195">
        <v>0</v>
      </c>
      <c r="BH82" s="195">
        <v>745915</v>
      </c>
      <c r="BI82" s="195">
        <v>1220509</v>
      </c>
      <c r="BJ82" s="195">
        <v>1157304</v>
      </c>
      <c r="BK82" s="195">
        <v>0</v>
      </c>
      <c r="BL82" s="195">
        <v>539314</v>
      </c>
      <c r="BM82" s="195">
        <v>873907</v>
      </c>
      <c r="BN82" s="195">
        <v>1039193</v>
      </c>
      <c r="BO82" s="195">
        <v>0</v>
      </c>
      <c r="BP82" s="232">
        <v>223391</v>
      </c>
      <c r="BQ82" s="232">
        <v>543958</v>
      </c>
    </row>
    <row r="83" spans="1:69" ht="11.25" customHeight="1" x14ac:dyDescent="0.25">
      <c r="A83" s="108"/>
      <c r="B83" s="108"/>
      <c r="C83" s="108" t="s">
        <v>196</v>
      </c>
      <c r="D83" s="114"/>
      <c r="E83" s="108"/>
      <c r="F83" s="108"/>
      <c r="G83" s="115"/>
      <c r="H83" s="122">
        <v>-57450</v>
      </c>
      <c r="I83" s="122">
        <v>-11543</v>
      </c>
      <c r="J83" s="122">
        <v>10360</v>
      </c>
      <c r="K83" s="122">
        <v>994703</v>
      </c>
      <c r="L83" s="122">
        <v>994187</v>
      </c>
      <c r="M83" s="122">
        <v>997227</v>
      </c>
      <c r="N83" s="122">
        <v>1014584</v>
      </c>
      <c r="O83" s="122">
        <v>989291</v>
      </c>
      <c r="P83" s="122">
        <v>994430</v>
      </c>
      <c r="Q83" s="122">
        <v>1005249</v>
      </c>
      <c r="R83" s="122">
        <v>914691</v>
      </c>
      <c r="S83" s="122">
        <v>902553</v>
      </c>
      <c r="T83" s="122">
        <v>914291</v>
      </c>
      <c r="U83" s="122">
        <v>858913</v>
      </c>
      <c r="V83" s="122">
        <v>879351</v>
      </c>
      <c r="W83" s="122">
        <v>892834</v>
      </c>
      <c r="X83" s="122">
        <v>907389</v>
      </c>
      <c r="Y83" s="122">
        <v>865760</v>
      </c>
      <c r="Z83" s="122">
        <v>856203</v>
      </c>
      <c r="AA83" s="122">
        <v>857123</v>
      </c>
      <c r="AB83" s="122">
        <v>889881</v>
      </c>
      <c r="AC83" s="122">
        <v>887051</v>
      </c>
      <c r="AD83" s="122">
        <v>841208</v>
      </c>
      <c r="AE83" s="122">
        <v>985640</v>
      </c>
      <c r="AF83" s="195">
        <v>888418</v>
      </c>
      <c r="AG83" s="195">
        <v>944973</v>
      </c>
      <c r="AH83" s="195">
        <v>799960</v>
      </c>
      <c r="AI83" s="195">
        <v>891332</v>
      </c>
      <c r="AJ83" s="195">
        <v>1020905</v>
      </c>
      <c r="AK83" s="195">
        <v>1107912</v>
      </c>
      <c r="AL83" s="195">
        <v>1112036</v>
      </c>
      <c r="AM83" s="195">
        <v>1129785</v>
      </c>
      <c r="AN83" s="195">
        <v>1210540</v>
      </c>
      <c r="AO83" s="195">
        <v>1194797</v>
      </c>
      <c r="AP83" s="195">
        <v>1230528</v>
      </c>
      <c r="AQ83" s="195">
        <v>1110732</v>
      </c>
      <c r="AR83" s="195">
        <v>1135605</v>
      </c>
      <c r="AS83" s="195">
        <v>981918</v>
      </c>
      <c r="AT83" s="195">
        <v>967761</v>
      </c>
      <c r="AU83" s="195">
        <v>1087961</v>
      </c>
      <c r="AV83" s="195">
        <v>1090120</v>
      </c>
      <c r="AW83" s="195">
        <v>1171244</v>
      </c>
      <c r="AX83" s="195">
        <v>1118686</v>
      </c>
      <c r="AY83" s="195">
        <v>1122997</v>
      </c>
      <c r="AZ83" s="195">
        <v>893792</v>
      </c>
      <c r="BA83" s="195">
        <v>861740</v>
      </c>
      <c r="BB83" s="195">
        <v>814081</v>
      </c>
      <c r="BC83" s="195">
        <v>970200</v>
      </c>
      <c r="BD83" s="195">
        <v>830400</v>
      </c>
      <c r="BE83" s="195">
        <v>1073390</v>
      </c>
      <c r="BF83" s="195">
        <v>742617</v>
      </c>
      <c r="BG83" s="195">
        <v>789306</v>
      </c>
      <c r="BH83" s="195">
        <v>1208806</v>
      </c>
      <c r="BI83" s="195">
        <v>1134174</v>
      </c>
      <c r="BJ83" s="195">
        <v>1203721</v>
      </c>
      <c r="BK83" s="195">
        <v>1306441</v>
      </c>
      <c r="BL83" s="195">
        <v>1378812</v>
      </c>
      <c r="BM83" s="195">
        <v>1520763</v>
      </c>
      <c r="BN83" s="195">
        <v>1335402</v>
      </c>
      <c r="BO83" s="195">
        <v>1408087</v>
      </c>
      <c r="BP83" s="232">
        <v>1204284</v>
      </c>
      <c r="BQ83" s="232">
        <v>1026073</v>
      </c>
    </row>
    <row r="84" spans="1:69" ht="11.25" customHeight="1" x14ac:dyDescent="0.25">
      <c r="A84" s="123"/>
      <c r="B84" s="123"/>
      <c r="C84" s="123" t="s">
        <v>197</v>
      </c>
      <c r="D84" s="124"/>
      <c r="E84" s="123"/>
      <c r="F84" s="123"/>
      <c r="G84" s="125"/>
      <c r="H84" s="126">
        <v>0</v>
      </c>
      <c r="I84" s="126">
        <v>0</v>
      </c>
      <c r="J84" s="126">
        <v>0</v>
      </c>
      <c r="K84" s="126">
        <v>0</v>
      </c>
      <c r="L84" s="126">
        <v>0</v>
      </c>
      <c r="M84" s="126">
        <v>0</v>
      </c>
      <c r="N84" s="126">
        <v>0</v>
      </c>
      <c r="O84" s="126">
        <v>0</v>
      </c>
      <c r="P84" s="126">
        <v>0</v>
      </c>
      <c r="Q84" s="126">
        <v>0</v>
      </c>
      <c r="R84" s="126">
        <v>0</v>
      </c>
      <c r="S84" s="126">
        <v>0</v>
      </c>
      <c r="T84" s="126">
        <v>0</v>
      </c>
      <c r="U84" s="126">
        <v>0</v>
      </c>
      <c r="V84" s="126">
        <v>45749</v>
      </c>
      <c r="W84" s="126">
        <v>46118</v>
      </c>
      <c r="X84" s="126">
        <v>46364</v>
      </c>
      <c r="Y84" s="126">
        <v>62592</v>
      </c>
      <c r="Z84" s="126">
        <v>92881</v>
      </c>
      <c r="AA84" s="126">
        <v>128337</v>
      </c>
      <c r="AB84" s="126">
        <v>129751</v>
      </c>
      <c r="AC84" s="126">
        <v>131095</v>
      </c>
      <c r="AD84" s="126">
        <v>136309</v>
      </c>
      <c r="AE84" s="126">
        <v>189638</v>
      </c>
      <c r="AF84" s="196">
        <v>187400</v>
      </c>
      <c r="AG84" s="196">
        <v>190947</v>
      </c>
      <c r="AH84" s="196">
        <v>184252</v>
      </c>
      <c r="AI84" s="196">
        <v>186555</v>
      </c>
      <c r="AJ84" s="196">
        <v>194156</v>
      </c>
      <c r="AK84" s="196">
        <v>179936</v>
      </c>
      <c r="AL84" s="196">
        <v>176546</v>
      </c>
      <c r="AM84" s="196">
        <v>177851</v>
      </c>
      <c r="AN84" s="196">
        <v>187557</v>
      </c>
      <c r="AO84" s="196">
        <v>187963</v>
      </c>
      <c r="AP84" s="196">
        <v>190542</v>
      </c>
      <c r="AQ84" s="196">
        <v>188628</v>
      </c>
      <c r="AR84" s="196">
        <v>203568</v>
      </c>
      <c r="AS84" s="196">
        <v>195743</v>
      </c>
      <c r="AT84" s="196">
        <v>194515</v>
      </c>
      <c r="AU84" s="196">
        <v>196585</v>
      </c>
      <c r="AV84" s="196">
        <v>206426</v>
      </c>
      <c r="AW84" s="196">
        <v>216456</v>
      </c>
      <c r="AX84" s="196">
        <v>197170</v>
      </c>
      <c r="AY84" s="196">
        <v>199744</v>
      </c>
      <c r="AZ84" s="196">
        <v>197014</v>
      </c>
      <c r="BA84" s="196">
        <v>203732</v>
      </c>
      <c r="BB84" s="196">
        <v>192954</v>
      </c>
      <c r="BC84" s="196">
        <v>210679</v>
      </c>
      <c r="BD84" s="196">
        <v>235020</v>
      </c>
      <c r="BE84" s="196">
        <v>277246</v>
      </c>
      <c r="BF84" s="196">
        <v>250570</v>
      </c>
      <c r="BG84" s="196">
        <v>251328</v>
      </c>
      <c r="BH84" s="196">
        <v>329104</v>
      </c>
      <c r="BI84" s="196">
        <v>322610</v>
      </c>
      <c r="BJ84" s="196">
        <v>288163</v>
      </c>
      <c r="BK84" s="196">
        <v>297635</v>
      </c>
      <c r="BL84" s="196">
        <v>339366</v>
      </c>
      <c r="BM84" s="196">
        <v>352374</v>
      </c>
      <c r="BN84" s="196">
        <v>329766</v>
      </c>
      <c r="BO84" s="196">
        <v>314808</v>
      </c>
      <c r="BP84" s="233">
        <v>310583</v>
      </c>
      <c r="BQ84" s="233">
        <v>274776</v>
      </c>
    </row>
    <row r="85" spans="1:69" ht="10" x14ac:dyDescent="0.2">
      <c r="H85" s="96"/>
      <c r="I85" s="96"/>
      <c r="J85" s="96"/>
      <c r="K85" s="96"/>
      <c r="L85" s="96"/>
      <c r="M85" s="96"/>
      <c r="N85" s="8"/>
      <c r="Q85" s="8"/>
    </row>
    <row r="86" spans="1:69" ht="10" x14ac:dyDescent="0.2">
      <c r="H86" s="96"/>
      <c r="J86" s="127"/>
      <c r="N86" s="8"/>
      <c r="Q86" s="8"/>
    </row>
    <row r="87" spans="1:69" x14ac:dyDescent="0.25">
      <c r="Q87" s="8"/>
    </row>
    <row r="88" spans="1:69" x14ac:dyDescent="0.25">
      <c r="Q88" s="8"/>
    </row>
    <row r="89" spans="1:69" x14ac:dyDescent="0.25">
      <c r="Q89" s="8"/>
    </row>
    <row r="90" spans="1:69" x14ac:dyDescent="0.25">
      <c r="Q90" s="8"/>
    </row>
    <row r="91" spans="1:69" x14ac:dyDescent="0.25">
      <c r="Q91" s="8"/>
    </row>
    <row r="92" spans="1:69" x14ac:dyDescent="0.25">
      <c r="Q92" s="8"/>
    </row>
    <row r="93" spans="1:69" x14ac:dyDescent="0.25">
      <c r="Q93" s="8"/>
    </row>
    <row r="94" spans="1:69" x14ac:dyDescent="0.25">
      <c r="Q94" s="8"/>
    </row>
    <row r="95" spans="1:69" x14ac:dyDescent="0.25">
      <c r="Q95" s="8"/>
    </row>
    <row r="96" spans="1:69" x14ac:dyDescent="0.25">
      <c r="Q96" s="8"/>
    </row>
    <row r="97" spans="17:17" x14ac:dyDescent="0.25">
      <c r="Q97" s="8"/>
    </row>
    <row r="98" spans="17:17" x14ac:dyDescent="0.25">
      <c r="Q98" s="8"/>
    </row>
    <row r="99" spans="17:17" x14ac:dyDescent="0.25">
      <c r="Q99" s="8"/>
    </row>
    <row r="100" spans="17:17" x14ac:dyDescent="0.25">
      <c r="Q100" s="8"/>
    </row>
    <row r="101" spans="17:17" x14ac:dyDescent="0.25">
      <c r="Q101" s="8"/>
    </row>
    <row r="102" spans="17:17" x14ac:dyDescent="0.25">
      <c r="Q102" s="8"/>
    </row>
    <row r="103" spans="17:17" x14ac:dyDescent="0.25">
      <c r="Q103" s="8"/>
    </row>
    <row r="104" spans="17:17" x14ac:dyDescent="0.25">
      <c r="Q104" s="8"/>
    </row>
    <row r="105" spans="17:17" x14ac:dyDescent="0.25">
      <c r="Q105" s="8"/>
    </row>
    <row r="106" spans="17:17" x14ac:dyDescent="0.25">
      <c r="Q106" s="8"/>
    </row>
    <row r="107" spans="17:17" x14ac:dyDescent="0.25">
      <c r="Q107" s="8"/>
    </row>
    <row r="108" spans="17:17" x14ac:dyDescent="0.25">
      <c r="Q108" s="8"/>
    </row>
    <row r="109" spans="17:17" x14ac:dyDescent="0.25">
      <c r="Q109" s="8"/>
    </row>
    <row r="110" spans="17:17" x14ac:dyDescent="0.25">
      <c r="Q110" s="8"/>
    </row>
    <row r="111" spans="17:17" x14ac:dyDescent="0.25">
      <c r="Q111" s="8"/>
    </row>
    <row r="112" spans="17:17" x14ac:dyDescent="0.25">
      <c r="Q112" s="8"/>
    </row>
    <row r="113" spans="17:17" x14ac:dyDescent="0.25">
      <c r="Q113" s="8"/>
    </row>
    <row r="114" spans="17:17" x14ac:dyDescent="0.25">
      <c r="Q114" s="8"/>
    </row>
    <row r="115" spans="17:17" x14ac:dyDescent="0.25">
      <c r="Q115" s="8"/>
    </row>
    <row r="116" spans="17:17" x14ac:dyDescent="0.25">
      <c r="Q116" s="8"/>
    </row>
    <row r="117" spans="17:17" x14ac:dyDescent="0.25">
      <c r="Q117" s="8"/>
    </row>
    <row r="118" spans="17:17" x14ac:dyDescent="0.25">
      <c r="Q118" s="8"/>
    </row>
    <row r="119" spans="17:17" x14ac:dyDescent="0.25">
      <c r="Q119" s="8"/>
    </row>
    <row r="120" spans="17:17" x14ac:dyDescent="0.25">
      <c r="Q120" s="8"/>
    </row>
    <row r="121" spans="17:17" x14ac:dyDescent="0.25">
      <c r="Q121" s="8"/>
    </row>
    <row r="122" spans="17:17" x14ac:dyDescent="0.25">
      <c r="Q122" s="8"/>
    </row>
    <row r="123" spans="17:17" x14ac:dyDescent="0.25">
      <c r="Q123" s="8"/>
    </row>
    <row r="124" spans="17:17" x14ac:dyDescent="0.25">
      <c r="Q124" s="8"/>
    </row>
    <row r="125" spans="17:17" x14ac:dyDescent="0.25">
      <c r="Q125" s="8"/>
    </row>
    <row r="126" spans="17:17" x14ac:dyDescent="0.25">
      <c r="Q126" s="8"/>
    </row>
    <row r="127" spans="17:17" x14ac:dyDescent="0.25">
      <c r="Q127" s="8"/>
    </row>
    <row r="128" spans="17:17" x14ac:dyDescent="0.25">
      <c r="Q128" s="8"/>
    </row>
    <row r="129" spans="17:17" x14ac:dyDescent="0.25">
      <c r="Q129" s="8"/>
    </row>
    <row r="130" spans="17:17" x14ac:dyDescent="0.25">
      <c r="Q130" s="8"/>
    </row>
    <row r="131" spans="17:17" x14ac:dyDescent="0.25">
      <c r="Q131" s="8"/>
    </row>
    <row r="132" spans="17:17" x14ac:dyDescent="0.25">
      <c r="Q132" s="8"/>
    </row>
    <row r="133" spans="17:17" x14ac:dyDescent="0.25">
      <c r="Q133" s="8"/>
    </row>
    <row r="134" spans="17:17" x14ac:dyDescent="0.25">
      <c r="Q134" s="8"/>
    </row>
    <row r="135" spans="17:17" x14ac:dyDescent="0.25">
      <c r="Q135" s="8"/>
    </row>
    <row r="136" spans="17:17" x14ac:dyDescent="0.25">
      <c r="Q136" s="8"/>
    </row>
    <row r="137" spans="17:17" x14ac:dyDescent="0.25">
      <c r="Q137" s="8"/>
    </row>
    <row r="138" spans="17:17" x14ac:dyDescent="0.25">
      <c r="Q138" s="8"/>
    </row>
    <row r="139" spans="17:17" x14ac:dyDescent="0.25">
      <c r="Q139" s="8"/>
    </row>
    <row r="140" spans="17:17" x14ac:dyDescent="0.25">
      <c r="Q140" s="8"/>
    </row>
    <row r="141" spans="17:17" x14ac:dyDescent="0.25">
      <c r="Q141" s="8"/>
    </row>
    <row r="142" spans="17:17" x14ac:dyDescent="0.25">
      <c r="Q142" s="8"/>
    </row>
    <row r="143" spans="17:17" x14ac:dyDescent="0.25">
      <c r="Q143" s="8"/>
    </row>
    <row r="144" spans="17:17" x14ac:dyDescent="0.25">
      <c r="Q144" s="8"/>
    </row>
    <row r="145" spans="17:17" x14ac:dyDescent="0.25">
      <c r="Q145" s="8"/>
    </row>
    <row r="146" spans="17:17" x14ac:dyDescent="0.25">
      <c r="Q146" s="8"/>
    </row>
    <row r="147" spans="17:17" x14ac:dyDescent="0.25">
      <c r="Q147" s="8"/>
    </row>
    <row r="148" spans="17:17" x14ac:dyDescent="0.25">
      <c r="Q148" s="8"/>
    </row>
    <row r="149" spans="17:17" x14ac:dyDescent="0.25">
      <c r="Q149" s="8"/>
    </row>
    <row r="150" spans="17:17" x14ac:dyDescent="0.25">
      <c r="Q150" s="8"/>
    </row>
    <row r="151" spans="17:17" x14ac:dyDescent="0.25">
      <c r="Q151" s="8"/>
    </row>
    <row r="152" spans="17:17" x14ac:dyDescent="0.25">
      <c r="Q152" s="8"/>
    </row>
    <row r="153" spans="17:17" x14ac:dyDescent="0.25">
      <c r="Q153" s="8"/>
    </row>
    <row r="154" spans="17:17" x14ac:dyDescent="0.25">
      <c r="Q154" s="8"/>
    </row>
    <row r="155" spans="17:17" x14ac:dyDescent="0.25">
      <c r="Q155" s="8"/>
    </row>
    <row r="156" spans="17:17" x14ac:dyDescent="0.25">
      <c r="Q156" s="8"/>
    </row>
    <row r="157" spans="17:17" x14ac:dyDescent="0.25">
      <c r="Q157" s="8"/>
    </row>
    <row r="158" spans="17:17" x14ac:dyDescent="0.25">
      <c r="Q158" s="8"/>
    </row>
    <row r="159" spans="17:17" x14ac:dyDescent="0.25">
      <c r="Q159" s="8"/>
    </row>
    <row r="160" spans="17:17" x14ac:dyDescent="0.25">
      <c r="Q160" s="8"/>
    </row>
    <row r="161" spans="17:17" x14ac:dyDescent="0.25">
      <c r="Q161" s="8"/>
    </row>
    <row r="162" spans="17:17" x14ac:dyDescent="0.25">
      <c r="Q162" s="8"/>
    </row>
    <row r="163" spans="17:17" x14ac:dyDescent="0.25">
      <c r="Q163" s="8"/>
    </row>
    <row r="164" spans="17:17" x14ac:dyDescent="0.25">
      <c r="Q164" s="8"/>
    </row>
    <row r="165" spans="17:17" x14ac:dyDescent="0.25">
      <c r="Q165" s="8"/>
    </row>
    <row r="166" spans="17:17" x14ac:dyDescent="0.25">
      <c r="Q166" s="8"/>
    </row>
    <row r="167" spans="17:17" x14ac:dyDescent="0.25">
      <c r="Q167" s="8"/>
    </row>
    <row r="168" spans="17:17" x14ac:dyDescent="0.25">
      <c r="Q168" s="8"/>
    </row>
    <row r="169" spans="17:17" x14ac:dyDescent="0.25">
      <c r="Q169" s="8"/>
    </row>
    <row r="170" spans="17:17" x14ac:dyDescent="0.25">
      <c r="Q170" s="8"/>
    </row>
    <row r="171" spans="17:17" x14ac:dyDescent="0.25">
      <c r="Q171" s="8"/>
    </row>
    <row r="172" spans="17:17" x14ac:dyDescent="0.25">
      <c r="Q172" s="8"/>
    </row>
    <row r="173" spans="17:17" x14ac:dyDescent="0.25">
      <c r="Q173" s="8"/>
    </row>
    <row r="174" spans="17:17" x14ac:dyDescent="0.25">
      <c r="Q174" s="8"/>
    </row>
    <row r="175" spans="17:17" x14ac:dyDescent="0.25">
      <c r="Q175" s="8"/>
    </row>
    <row r="176" spans="17:17" x14ac:dyDescent="0.25">
      <c r="Q176" s="8"/>
    </row>
    <row r="177" spans="17:17" x14ac:dyDescent="0.25">
      <c r="Q177" s="8"/>
    </row>
    <row r="178" spans="17:17" x14ac:dyDescent="0.25">
      <c r="Q178" s="8"/>
    </row>
    <row r="179" spans="17:17" x14ac:dyDescent="0.25">
      <c r="Q179" s="8"/>
    </row>
    <row r="180" spans="17:17" x14ac:dyDescent="0.25">
      <c r="Q180" s="8"/>
    </row>
    <row r="181" spans="17:17" x14ac:dyDescent="0.25">
      <c r="Q181" s="8"/>
    </row>
    <row r="182" spans="17:17" x14ac:dyDescent="0.25">
      <c r="Q182" s="8"/>
    </row>
    <row r="183" spans="17:17" x14ac:dyDescent="0.25">
      <c r="Q183" s="8"/>
    </row>
    <row r="184" spans="17:17" x14ac:dyDescent="0.25">
      <c r="Q184" s="8"/>
    </row>
    <row r="185" spans="17:17" x14ac:dyDescent="0.25">
      <c r="Q185" s="8"/>
    </row>
    <row r="186" spans="17:17" x14ac:dyDescent="0.25">
      <c r="Q186" s="8"/>
    </row>
    <row r="187" spans="17:17" x14ac:dyDescent="0.25">
      <c r="Q187" s="8"/>
    </row>
    <row r="188" spans="17:17" x14ac:dyDescent="0.25">
      <c r="Q188" s="8"/>
    </row>
    <row r="189" spans="17:17" x14ac:dyDescent="0.25">
      <c r="Q189" s="8"/>
    </row>
    <row r="190" spans="17:17" x14ac:dyDescent="0.25">
      <c r="Q190" s="8"/>
    </row>
    <row r="191" spans="17:17" x14ac:dyDescent="0.25">
      <c r="Q191" s="8"/>
    </row>
    <row r="192" spans="17:17" x14ac:dyDescent="0.25">
      <c r="Q192" s="8"/>
    </row>
    <row r="193" spans="17:17" x14ac:dyDescent="0.25">
      <c r="Q193" s="8"/>
    </row>
    <row r="194" spans="17:17" x14ac:dyDescent="0.25">
      <c r="Q194" s="8"/>
    </row>
    <row r="195" spans="17:17" x14ac:dyDescent="0.25">
      <c r="Q195" s="8"/>
    </row>
    <row r="196" spans="17:17" x14ac:dyDescent="0.25">
      <c r="Q196" s="8"/>
    </row>
    <row r="197" spans="17:17" x14ac:dyDescent="0.25">
      <c r="Q197" s="8"/>
    </row>
    <row r="198" spans="17:17" x14ac:dyDescent="0.25">
      <c r="Q198" s="8"/>
    </row>
    <row r="199" spans="17:17" x14ac:dyDescent="0.25">
      <c r="Q199" s="8"/>
    </row>
    <row r="200" spans="17:17" x14ac:dyDescent="0.25">
      <c r="Q200" s="8"/>
    </row>
    <row r="201" spans="17:17" x14ac:dyDescent="0.25">
      <c r="Q201" s="8"/>
    </row>
    <row r="202" spans="17:17" x14ac:dyDescent="0.25">
      <c r="Q202" s="8"/>
    </row>
    <row r="203" spans="17:17" x14ac:dyDescent="0.25">
      <c r="Q203" s="8"/>
    </row>
    <row r="204" spans="17:17" x14ac:dyDescent="0.25">
      <c r="Q204" s="8"/>
    </row>
    <row r="205" spans="17:17" x14ac:dyDescent="0.25">
      <c r="Q205" s="8"/>
    </row>
    <row r="206" spans="17:17" x14ac:dyDescent="0.25">
      <c r="Q206" s="8"/>
    </row>
    <row r="207" spans="17:17" x14ac:dyDescent="0.25">
      <c r="Q207" s="8"/>
    </row>
    <row r="208" spans="17:17" x14ac:dyDescent="0.25">
      <c r="Q208" s="8"/>
    </row>
    <row r="209" spans="17:17" x14ac:dyDescent="0.25">
      <c r="Q209" s="8"/>
    </row>
    <row r="210" spans="17:17" x14ac:dyDescent="0.25">
      <c r="Q210" s="8"/>
    </row>
    <row r="211" spans="17:17" x14ac:dyDescent="0.25">
      <c r="Q211" s="8"/>
    </row>
    <row r="212" spans="17:17" x14ac:dyDescent="0.25">
      <c r="Q212" s="8"/>
    </row>
    <row r="213" spans="17:17" x14ac:dyDescent="0.25">
      <c r="Q213" s="8"/>
    </row>
    <row r="214" spans="17:17" x14ac:dyDescent="0.25">
      <c r="Q214" s="8"/>
    </row>
    <row r="215" spans="17:17" x14ac:dyDescent="0.25">
      <c r="Q215" s="8"/>
    </row>
    <row r="216" spans="17:17" x14ac:dyDescent="0.25">
      <c r="Q216" s="8"/>
    </row>
    <row r="217" spans="17:17" x14ac:dyDescent="0.25">
      <c r="Q217" s="8"/>
    </row>
    <row r="218" spans="17:17" x14ac:dyDescent="0.25">
      <c r="Q218" s="8"/>
    </row>
    <row r="219" spans="17:17" x14ac:dyDescent="0.25">
      <c r="Q219" s="8"/>
    </row>
    <row r="220" spans="17:17" x14ac:dyDescent="0.25">
      <c r="Q220" s="8"/>
    </row>
    <row r="221" spans="17:17" x14ac:dyDescent="0.25">
      <c r="Q221" s="8"/>
    </row>
    <row r="222" spans="17:17" x14ac:dyDescent="0.25">
      <c r="Q222" s="8"/>
    </row>
    <row r="223" spans="17:17" x14ac:dyDescent="0.25">
      <c r="Q223" s="8"/>
    </row>
    <row r="224" spans="17:17" x14ac:dyDescent="0.25">
      <c r="Q224" s="8"/>
    </row>
    <row r="225" spans="17:17" x14ac:dyDescent="0.25">
      <c r="Q225" s="8"/>
    </row>
    <row r="226" spans="17:17" x14ac:dyDescent="0.25">
      <c r="Q226" s="8"/>
    </row>
    <row r="227" spans="17:17" x14ac:dyDescent="0.25">
      <c r="Q227" s="8"/>
    </row>
    <row r="228" spans="17:17" x14ac:dyDescent="0.25">
      <c r="Q228" s="8"/>
    </row>
    <row r="229" spans="17:17" x14ac:dyDescent="0.25">
      <c r="Q229" s="8"/>
    </row>
    <row r="230" spans="17:17" x14ac:dyDescent="0.25">
      <c r="Q230" s="8"/>
    </row>
    <row r="231" spans="17:17" x14ac:dyDescent="0.25">
      <c r="Q231" s="8"/>
    </row>
    <row r="232" spans="17:17" x14ac:dyDescent="0.25">
      <c r="Q232" s="8"/>
    </row>
    <row r="233" spans="17:17" x14ac:dyDescent="0.25">
      <c r="Q233" s="8"/>
    </row>
    <row r="234" spans="17:17" x14ac:dyDescent="0.25">
      <c r="Q234" s="8"/>
    </row>
    <row r="235" spans="17:17" x14ac:dyDescent="0.25">
      <c r="Q235" s="8"/>
    </row>
    <row r="236" spans="17:17" x14ac:dyDescent="0.25">
      <c r="Q236" s="8"/>
    </row>
    <row r="237" spans="17:17" x14ac:dyDescent="0.25">
      <c r="Q237" s="8"/>
    </row>
    <row r="238" spans="17:17" x14ac:dyDescent="0.25">
      <c r="Q238" s="8"/>
    </row>
    <row r="239" spans="17:17" x14ac:dyDescent="0.25">
      <c r="Q239" s="8"/>
    </row>
    <row r="240" spans="17:17" x14ac:dyDescent="0.25">
      <c r="Q240" s="8"/>
    </row>
    <row r="241" spans="17:17" x14ac:dyDescent="0.25">
      <c r="Q241" s="8"/>
    </row>
    <row r="242" spans="17:17" x14ac:dyDescent="0.25">
      <c r="Q242" s="8"/>
    </row>
    <row r="243" spans="17:17" x14ac:dyDescent="0.25">
      <c r="Q243" s="8"/>
    </row>
    <row r="244" spans="17:17" x14ac:dyDescent="0.25">
      <c r="Q244" s="8"/>
    </row>
    <row r="245" spans="17:17" x14ac:dyDescent="0.25">
      <c r="Q245" s="8"/>
    </row>
    <row r="246" spans="17:17" x14ac:dyDescent="0.25">
      <c r="Q246" s="8"/>
    </row>
    <row r="247" spans="17:17" x14ac:dyDescent="0.25">
      <c r="Q247" s="8"/>
    </row>
    <row r="248" spans="17:17" x14ac:dyDescent="0.25">
      <c r="Q248" s="8"/>
    </row>
    <row r="249" spans="17:17" x14ac:dyDescent="0.25">
      <c r="Q249" s="8"/>
    </row>
    <row r="250" spans="17:17" x14ac:dyDescent="0.25">
      <c r="Q250" s="8"/>
    </row>
    <row r="251" spans="17:17" x14ac:dyDescent="0.25">
      <c r="Q251" s="8"/>
    </row>
    <row r="252" spans="17:17" x14ac:dyDescent="0.25">
      <c r="Q252" s="8"/>
    </row>
    <row r="253" spans="17:17" x14ac:dyDescent="0.25">
      <c r="Q253" s="8"/>
    </row>
    <row r="254" spans="17:17" x14ac:dyDescent="0.25">
      <c r="Q254" s="8"/>
    </row>
    <row r="255" spans="17:17" x14ac:dyDescent="0.25">
      <c r="Q255" s="8"/>
    </row>
    <row r="256" spans="17:17" x14ac:dyDescent="0.25">
      <c r="Q256" s="8"/>
    </row>
    <row r="257" spans="17:17" x14ac:dyDescent="0.25">
      <c r="Q257" s="8"/>
    </row>
    <row r="258" spans="17:17" x14ac:dyDescent="0.25">
      <c r="Q258" s="8"/>
    </row>
    <row r="259" spans="17:17" x14ac:dyDescent="0.25">
      <c r="Q259" s="8"/>
    </row>
    <row r="260" spans="17:17" x14ac:dyDescent="0.25">
      <c r="Q260" s="8"/>
    </row>
    <row r="261" spans="17:17" x14ac:dyDescent="0.25">
      <c r="Q261" s="8"/>
    </row>
    <row r="262" spans="17:17" x14ac:dyDescent="0.25">
      <c r="Q262" s="8"/>
    </row>
    <row r="263" spans="17:17" x14ac:dyDescent="0.25">
      <c r="Q263" s="8"/>
    </row>
    <row r="264" spans="17:17" x14ac:dyDescent="0.25">
      <c r="Q264" s="8"/>
    </row>
    <row r="265" spans="17:17" x14ac:dyDescent="0.25">
      <c r="Q265" s="8"/>
    </row>
    <row r="266" spans="17:17" x14ac:dyDescent="0.25">
      <c r="Q266" s="8"/>
    </row>
    <row r="267" spans="17:17" x14ac:dyDescent="0.25">
      <c r="Q267" s="8"/>
    </row>
    <row r="268" spans="17:17" x14ac:dyDescent="0.25">
      <c r="Q268" s="8"/>
    </row>
    <row r="269" spans="17:17" x14ac:dyDescent="0.25">
      <c r="Q269" s="8"/>
    </row>
    <row r="270" spans="17:17" x14ac:dyDescent="0.25">
      <c r="Q270" s="8"/>
    </row>
    <row r="271" spans="17:17" x14ac:dyDescent="0.25">
      <c r="Q271" s="8"/>
    </row>
    <row r="272" spans="17:17" x14ac:dyDescent="0.25">
      <c r="Q272" s="8"/>
    </row>
    <row r="273" spans="17:17" x14ac:dyDescent="0.25">
      <c r="Q273" s="8"/>
    </row>
    <row r="274" spans="17:17" x14ac:dyDescent="0.25">
      <c r="Q274" s="8"/>
    </row>
    <row r="275" spans="17:17" x14ac:dyDescent="0.25">
      <c r="Q275" s="8"/>
    </row>
    <row r="276" spans="17:17" x14ac:dyDescent="0.25">
      <c r="Q276" s="8"/>
    </row>
    <row r="277" spans="17:17" x14ac:dyDescent="0.25">
      <c r="Q277" s="8"/>
    </row>
    <row r="278" spans="17:17" x14ac:dyDescent="0.25">
      <c r="Q278" s="8"/>
    </row>
    <row r="279" spans="17:17" x14ac:dyDescent="0.25">
      <c r="Q279" s="8"/>
    </row>
    <row r="280" spans="17:17" x14ac:dyDescent="0.25">
      <c r="Q280" s="8"/>
    </row>
    <row r="281" spans="17:17" x14ac:dyDescent="0.25">
      <c r="Q281" s="8"/>
    </row>
    <row r="282" spans="17:17" x14ac:dyDescent="0.25">
      <c r="Q282" s="8"/>
    </row>
    <row r="283" spans="17:17" x14ac:dyDescent="0.25">
      <c r="Q283" s="8"/>
    </row>
    <row r="284" spans="17:17" x14ac:dyDescent="0.25">
      <c r="Q284" s="8"/>
    </row>
    <row r="285" spans="17:17" x14ac:dyDescent="0.25">
      <c r="Q285" s="8"/>
    </row>
    <row r="286" spans="17:17" x14ac:dyDescent="0.25">
      <c r="Q286" s="8"/>
    </row>
    <row r="287" spans="17:17" x14ac:dyDescent="0.25">
      <c r="Q287" s="8"/>
    </row>
    <row r="288" spans="17:17" x14ac:dyDescent="0.25">
      <c r="Q288" s="8"/>
    </row>
    <row r="289" spans="17:17" x14ac:dyDescent="0.25">
      <c r="Q289" s="8"/>
    </row>
    <row r="290" spans="17:17" x14ac:dyDescent="0.25">
      <c r="Q290" s="8"/>
    </row>
    <row r="291" spans="17:17" x14ac:dyDescent="0.25">
      <c r="Q291" s="8"/>
    </row>
    <row r="292" spans="17:17" x14ac:dyDescent="0.25">
      <c r="Q292" s="8"/>
    </row>
    <row r="293" spans="17:17" x14ac:dyDescent="0.25">
      <c r="Q293" s="8"/>
    </row>
    <row r="294" spans="17:17" x14ac:dyDescent="0.25">
      <c r="Q294" s="8"/>
    </row>
    <row r="295" spans="17:17" x14ac:dyDescent="0.25">
      <c r="Q295" s="8"/>
    </row>
    <row r="296" spans="17:17" x14ac:dyDescent="0.25">
      <c r="Q296" s="8"/>
    </row>
    <row r="297" spans="17:17" x14ac:dyDescent="0.25">
      <c r="Q297" s="8"/>
    </row>
    <row r="298" spans="17:17" x14ac:dyDescent="0.25">
      <c r="Q298" s="8"/>
    </row>
    <row r="299" spans="17:17" x14ac:dyDescent="0.25">
      <c r="Q299" s="8"/>
    </row>
    <row r="300" spans="17:17" x14ac:dyDescent="0.25">
      <c r="Q300" s="8"/>
    </row>
    <row r="301" spans="17:17" x14ac:dyDescent="0.25">
      <c r="Q301" s="8"/>
    </row>
    <row r="302" spans="17:17" x14ac:dyDescent="0.25">
      <c r="Q302" s="8"/>
    </row>
    <row r="303" spans="17:17" x14ac:dyDescent="0.25">
      <c r="Q303" s="8"/>
    </row>
    <row r="304" spans="17:17" x14ac:dyDescent="0.25">
      <c r="Q304" s="8"/>
    </row>
    <row r="305" spans="17:17" x14ac:dyDescent="0.25">
      <c r="Q305" s="8"/>
    </row>
    <row r="306" spans="17:17" x14ac:dyDescent="0.25">
      <c r="Q306" s="8"/>
    </row>
    <row r="307" spans="17:17" x14ac:dyDescent="0.25">
      <c r="Q307" s="8"/>
    </row>
    <row r="308" spans="17:17" x14ac:dyDescent="0.25">
      <c r="Q308" s="8"/>
    </row>
    <row r="309" spans="17:17" x14ac:dyDescent="0.25">
      <c r="Q309" s="8"/>
    </row>
    <row r="310" spans="17:17" x14ac:dyDescent="0.25">
      <c r="Q310" s="8"/>
    </row>
    <row r="311" spans="17:17" x14ac:dyDescent="0.25">
      <c r="Q311" s="8"/>
    </row>
    <row r="312" spans="17:17" x14ac:dyDescent="0.25">
      <c r="Q312" s="8"/>
    </row>
    <row r="313" spans="17:17" x14ac:dyDescent="0.25">
      <c r="Q313" s="8"/>
    </row>
    <row r="314" spans="17:17" x14ac:dyDescent="0.25">
      <c r="Q314" s="8"/>
    </row>
    <row r="315" spans="17:17" x14ac:dyDescent="0.25">
      <c r="Q315" s="8"/>
    </row>
    <row r="316" spans="17:17" x14ac:dyDescent="0.25">
      <c r="Q316" s="8"/>
    </row>
    <row r="317" spans="17:17" x14ac:dyDescent="0.25">
      <c r="Q317" s="8"/>
    </row>
    <row r="318" spans="17:17" x14ac:dyDescent="0.25">
      <c r="Q318" s="8"/>
    </row>
    <row r="319" spans="17:17" x14ac:dyDescent="0.25">
      <c r="Q319" s="8"/>
    </row>
    <row r="320" spans="17:17" x14ac:dyDescent="0.25">
      <c r="Q320" s="8"/>
    </row>
    <row r="321" spans="17:17" x14ac:dyDescent="0.25">
      <c r="Q321" s="8"/>
    </row>
    <row r="322" spans="17:17" x14ac:dyDescent="0.25">
      <c r="Q322" s="8"/>
    </row>
    <row r="323" spans="17:17" x14ac:dyDescent="0.25">
      <c r="Q323" s="8"/>
    </row>
    <row r="324" spans="17:17" x14ac:dyDescent="0.25">
      <c r="Q324" s="8"/>
    </row>
    <row r="325" spans="17:17" x14ac:dyDescent="0.25">
      <c r="Q325" s="8"/>
    </row>
    <row r="326" spans="17:17" x14ac:dyDescent="0.25">
      <c r="Q326" s="8"/>
    </row>
    <row r="327" spans="17:17" x14ac:dyDescent="0.25">
      <c r="Q327" s="8"/>
    </row>
    <row r="328" spans="17:17" x14ac:dyDescent="0.25">
      <c r="Q328" s="8"/>
    </row>
    <row r="329" spans="17:17" x14ac:dyDescent="0.25">
      <c r="Q329" s="8"/>
    </row>
    <row r="330" spans="17:17" x14ac:dyDescent="0.25">
      <c r="Q330" s="8"/>
    </row>
    <row r="331" spans="17:17" x14ac:dyDescent="0.25">
      <c r="Q331" s="8"/>
    </row>
    <row r="332" spans="17:17" x14ac:dyDescent="0.25">
      <c r="Q332" s="8"/>
    </row>
    <row r="333" spans="17:17" x14ac:dyDescent="0.25">
      <c r="Q333" s="8"/>
    </row>
    <row r="334" spans="17:17" x14ac:dyDescent="0.25">
      <c r="Q334" s="8"/>
    </row>
    <row r="335" spans="17:17" x14ac:dyDescent="0.25">
      <c r="Q335" s="8"/>
    </row>
    <row r="336" spans="17:17" x14ac:dyDescent="0.25">
      <c r="Q336" s="8"/>
    </row>
    <row r="337" spans="17:17" x14ac:dyDescent="0.25">
      <c r="Q337" s="8"/>
    </row>
    <row r="338" spans="17:17" x14ac:dyDescent="0.25">
      <c r="Q338" s="8"/>
    </row>
    <row r="339" spans="17:17" x14ac:dyDescent="0.25">
      <c r="Q339" s="8"/>
    </row>
    <row r="340" spans="17:17" x14ac:dyDescent="0.25">
      <c r="Q340" s="8"/>
    </row>
    <row r="341" spans="17:17" x14ac:dyDescent="0.25">
      <c r="Q341" s="8"/>
    </row>
    <row r="342" spans="17:17" x14ac:dyDescent="0.25">
      <c r="Q342" s="8"/>
    </row>
    <row r="343" spans="17:17" x14ac:dyDescent="0.25">
      <c r="Q343" s="8"/>
    </row>
    <row r="344" spans="17:17" x14ac:dyDescent="0.25">
      <c r="Q344" s="8"/>
    </row>
    <row r="345" spans="17:17" x14ac:dyDescent="0.25">
      <c r="Q345" s="8"/>
    </row>
    <row r="346" spans="17:17" x14ac:dyDescent="0.25">
      <c r="Q346" s="8"/>
    </row>
    <row r="347" spans="17:17" x14ac:dyDescent="0.25">
      <c r="Q347" s="8"/>
    </row>
    <row r="348" spans="17:17" x14ac:dyDescent="0.25">
      <c r="Q348" s="8"/>
    </row>
    <row r="349" spans="17:17" x14ac:dyDescent="0.25">
      <c r="Q349" s="8"/>
    </row>
    <row r="350" spans="17:17" x14ac:dyDescent="0.25">
      <c r="Q350" s="8"/>
    </row>
    <row r="351" spans="17:17" x14ac:dyDescent="0.25">
      <c r="Q351" s="8"/>
    </row>
    <row r="352" spans="17:17" x14ac:dyDescent="0.25">
      <c r="Q352" s="8"/>
    </row>
    <row r="353" spans="17:17" x14ac:dyDescent="0.25">
      <c r="Q353" s="8"/>
    </row>
    <row r="354" spans="17:17" x14ac:dyDescent="0.25">
      <c r="Q354" s="8"/>
    </row>
    <row r="355" spans="17:17" x14ac:dyDescent="0.25">
      <c r="Q355" s="8"/>
    </row>
    <row r="356" spans="17:17" x14ac:dyDescent="0.25">
      <c r="Q356" s="8"/>
    </row>
    <row r="357" spans="17:17" x14ac:dyDescent="0.25">
      <c r="Q357" s="8"/>
    </row>
    <row r="358" spans="17:17" x14ac:dyDescent="0.25">
      <c r="Q358" s="8"/>
    </row>
    <row r="359" spans="17:17" x14ac:dyDescent="0.25">
      <c r="Q359" s="8"/>
    </row>
    <row r="360" spans="17:17" x14ac:dyDescent="0.25">
      <c r="Q360" s="8"/>
    </row>
    <row r="361" spans="17:17" x14ac:dyDescent="0.25">
      <c r="Q361" s="8"/>
    </row>
    <row r="362" spans="17:17" x14ac:dyDescent="0.25">
      <c r="Q362" s="8"/>
    </row>
    <row r="363" spans="17:17" x14ac:dyDescent="0.25">
      <c r="Q363" s="8"/>
    </row>
    <row r="364" spans="17:17" x14ac:dyDescent="0.25">
      <c r="Q364" s="8"/>
    </row>
    <row r="365" spans="17:17" x14ac:dyDescent="0.25">
      <c r="Q365" s="8"/>
    </row>
    <row r="366" spans="17:17" x14ac:dyDescent="0.25">
      <c r="Q366" s="8"/>
    </row>
    <row r="367" spans="17:17" x14ac:dyDescent="0.25">
      <c r="Q367" s="8"/>
    </row>
    <row r="368" spans="17:17" x14ac:dyDescent="0.25">
      <c r="Q368" s="8"/>
    </row>
    <row r="369" spans="17:17" x14ac:dyDescent="0.25">
      <c r="Q369" s="8"/>
    </row>
    <row r="370" spans="17:17" x14ac:dyDescent="0.25">
      <c r="Q370" s="8"/>
    </row>
    <row r="371" spans="17:17" x14ac:dyDescent="0.25">
      <c r="Q371" s="8"/>
    </row>
    <row r="372" spans="17:17" x14ac:dyDescent="0.25">
      <c r="Q372" s="8"/>
    </row>
    <row r="373" spans="17:17" x14ac:dyDescent="0.25">
      <c r="Q373" s="8"/>
    </row>
    <row r="374" spans="17:17" x14ac:dyDescent="0.25">
      <c r="Q374" s="8"/>
    </row>
    <row r="375" spans="17:17" x14ac:dyDescent="0.25">
      <c r="Q375" s="8"/>
    </row>
    <row r="376" spans="17:17" x14ac:dyDescent="0.25">
      <c r="Q376" s="8"/>
    </row>
    <row r="377" spans="17:17" x14ac:dyDescent="0.25">
      <c r="Q377" s="8"/>
    </row>
    <row r="378" spans="17:17" x14ac:dyDescent="0.25">
      <c r="Q378" s="8"/>
    </row>
    <row r="379" spans="17:17" x14ac:dyDescent="0.25">
      <c r="Q379" s="8"/>
    </row>
    <row r="380" spans="17:17" x14ac:dyDescent="0.25">
      <c r="Q380" s="8"/>
    </row>
    <row r="381" spans="17:17" x14ac:dyDescent="0.25">
      <c r="Q381" s="8"/>
    </row>
    <row r="382" spans="17:17" x14ac:dyDescent="0.25">
      <c r="Q382" s="8"/>
    </row>
    <row r="383" spans="17:17" x14ac:dyDescent="0.25">
      <c r="Q383" s="8"/>
    </row>
    <row r="384" spans="17:17" x14ac:dyDescent="0.25">
      <c r="Q384" s="8"/>
    </row>
    <row r="385" spans="17:17" x14ac:dyDescent="0.25">
      <c r="Q385" s="8"/>
    </row>
    <row r="386" spans="17:17" x14ac:dyDescent="0.25">
      <c r="Q386" s="8"/>
    </row>
    <row r="387" spans="17:17" x14ac:dyDescent="0.25">
      <c r="Q387" s="8"/>
    </row>
    <row r="388" spans="17:17" x14ac:dyDescent="0.25">
      <c r="Q388" s="8"/>
    </row>
    <row r="389" spans="17:17" x14ac:dyDescent="0.25">
      <c r="Q389" s="8"/>
    </row>
    <row r="390" spans="17:17" x14ac:dyDescent="0.25">
      <c r="Q390" s="8"/>
    </row>
    <row r="391" spans="17:17" x14ac:dyDescent="0.25">
      <c r="Q391" s="8"/>
    </row>
    <row r="392" spans="17:17" x14ac:dyDescent="0.25">
      <c r="Q392" s="8"/>
    </row>
    <row r="393" spans="17:17" x14ac:dyDescent="0.25">
      <c r="Q393" s="8"/>
    </row>
    <row r="394" spans="17:17" x14ac:dyDescent="0.25">
      <c r="Q394" s="8"/>
    </row>
    <row r="395" spans="17:17" x14ac:dyDescent="0.25">
      <c r="Q395" s="8"/>
    </row>
    <row r="396" spans="17:17" x14ac:dyDescent="0.25">
      <c r="Q396" s="8"/>
    </row>
    <row r="397" spans="17:17" x14ac:dyDescent="0.25">
      <c r="Q397" s="8"/>
    </row>
    <row r="398" spans="17:17" x14ac:dyDescent="0.25">
      <c r="Q398" s="8"/>
    </row>
    <row r="399" spans="17:17" x14ac:dyDescent="0.25">
      <c r="Q399" s="8"/>
    </row>
    <row r="400" spans="17:17" x14ac:dyDescent="0.25">
      <c r="Q400" s="8"/>
    </row>
    <row r="401" spans="17:17" x14ac:dyDescent="0.25">
      <c r="Q401" s="8"/>
    </row>
    <row r="402" spans="17:17" x14ac:dyDescent="0.25">
      <c r="Q402" s="8"/>
    </row>
    <row r="403" spans="17:17" x14ac:dyDescent="0.25">
      <c r="Q403" s="8"/>
    </row>
    <row r="404" spans="17:17" x14ac:dyDescent="0.25">
      <c r="Q404" s="8"/>
    </row>
    <row r="405" spans="17:17" x14ac:dyDescent="0.25">
      <c r="Q405" s="8"/>
    </row>
    <row r="406" spans="17:17" x14ac:dyDescent="0.25">
      <c r="Q406" s="8"/>
    </row>
    <row r="407" spans="17:17" x14ac:dyDescent="0.25">
      <c r="Q407" s="8"/>
    </row>
    <row r="408" spans="17:17" x14ac:dyDescent="0.25">
      <c r="Q408" s="8"/>
    </row>
    <row r="409" spans="17:17" x14ac:dyDescent="0.25">
      <c r="Q409" s="8"/>
    </row>
    <row r="410" spans="17:17" x14ac:dyDescent="0.25">
      <c r="Q410" s="8"/>
    </row>
    <row r="411" spans="17:17" x14ac:dyDescent="0.25">
      <c r="Q411" s="8"/>
    </row>
    <row r="412" spans="17:17" x14ac:dyDescent="0.25">
      <c r="Q412" s="8"/>
    </row>
    <row r="413" spans="17:17" x14ac:dyDescent="0.25">
      <c r="Q413" s="8"/>
    </row>
    <row r="414" spans="17:17" x14ac:dyDescent="0.25">
      <c r="Q414" s="8"/>
    </row>
    <row r="415" spans="17:17" x14ac:dyDescent="0.25">
      <c r="Q415" s="8"/>
    </row>
    <row r="416" spans="17:17" x14ac:dyDescent="0.25">
      <c r="Q416" s="8"/>
    </row>
    <row r="417" spans="17:17" x14ac:dyDescent="0.25">
      <c r="Q417" s="8"/>
    </row>
    <row r="418" spans="17:17" x14ac:dyDescent="0.25">
      <c r="Q418" s="8"/>
    </row>
    <row r="419" spans="17:17" x14ac:dyDescent="0.25">
      <c r="Q419" s="8"/>
    </row>
    <row r="420" spans="17:17" x14ac:dyDescent="0.25">
      <c r="Q420" s="8"/>
    </row>
    <row r="421" spans="17:17" x14ac:dyDescent="0.25">
      <c r="Q421" s="8"/>
    </row>
    <row r="422" spans="17:17" x14ac:dyDescent="0.25">
      <c r="Q422" s="8"/>
    </row>
    <row r="423" spans="17:17" x14ac:dyDescent="0.25">
      <c r="Q423" s="8"/>
    </row>
    <row r="424" spans="17:17" x14ac:dyDescent="0.25">
      <c r="Q424" s="8"/>
    </row>
    <row r="425" spans="17:17" x14ac:dyDescent="0.25">
      <c r="Q425" s="8"/>
    </row>
    <row r="426" spans="17:17" x14ac:dyDescent="0.25">
      <c r="Q426" s="8"/>
    </row>
    <row r="427" spans="17:17" x14ac:dyDescent="0.25">
      <c r="Q427" s="8"/>
    </row>
    <row r="428" spans="17:17" x14ac:dyDescent="0.25">
      <c r="Q428" s="8"/>
    </row>
    <row r="429" spans="17:17" x14ac:dyDescent="0.25">
      <c r="Q429" s="8"/>
    </row>
    <row r="430" spans="17:17" x14ac:dyDescent="0.25">
      <c r="Q430" s="8"/>
    </row>
    <row r="431" spans="17:17" x14ac:dyDescent="0.25">
      <c r="Q431" s="8"/>
    </row>
    <row r="432" spans="17:17" x14ac:dyDescent="0.25">
      <c r="Q432" s="8"/>
    </row>
    <row r="433" spans="17:17" x14ac:dyDescent="0.25">
      <c r="Q433" s="8"/>
    </row>
    <row r="434" spans="17:17" x14ac:dyDescent="0.25">
      <c r="Q434" s="8"/>
    </row>
    <row r="435" spans="17:17" x14ac:dyDescent="0.25">
      <c r="Q435" s="8"/>
    </row>
    <row r="436" spans="17:17" x14ac:dyDescent="0.25">
      <c r="Q436" s="8"/>
    </row>
    <row r="437" spans="17:17" x14ac:dyDescent="0.25">
      <c r="Q437" s="8"/>
    </row>
    <row r="438" spans="17:17" x14ac:dyDescent="0.25">
      <c r="Q438" s="8"/>
    </row>
    <row r="439" spans="17:17" x14ac:dyDescent="0.25">
      <c r="Q439" s="8"/>
    </row>
    <row r="440" spans="17:17" x14ac:dyDescent="0.25">
      <c r="Q440" s="8"/>
    </row>
    <row r="441" spans="17:17" x14ac:dyDescent="0.25">
      <c r="Q441" s="8"/>
    </row>
    <row r="442" spans="17:17" x14ac:dyDescent="0.25">
      <c r="Q442" s="8"/>
    </row>
    <row r="443" spans="17:17" x14ac:dyDescent="0.25">
      <c r="Q443" s="8"/>
    </row>
    <row r="444" spans="17:17" x14ac:dyDescent="0.25">
      <c r="Q444" s="8"/>
    </row>
    <row r="445" spans="17:17" x14ac:dyDescent="0.25">
      <c r="Q445" s="8"/>
    </row>
    <row r="446" spans="17:17" x14ac:dyDescent="0.25">
      <c r="Q446" s="8"/>
    </row>
    <row r="447" spans="17:17" x14ac:dyDescent="0.25">
      <c r="Q447" s="8"/>
    </row>
    <row r="448" spans="17:17" x14ac:dyDescent="0.25">
      <c r="Q448" s="8"/>
    </row>
    <row r="449" spans="17:17" x14ac:dyDescent="0.25">
      <c r="Q449" s="8"/>
    </row>
    <row r="450" spans="17:17" x14ac:dyDescent="0.25">
      <c r="Q450" s="8"/>
    </row>
    <row r="451" spans="17:17" x14ac:dyDescent="0.25">
      <c r="Q451" s="8"/>
    </row>
    <row r="452" spans="17:17" x14ac:dyDescent="0.25">
      <c r="Q452" s="8"/>
    </row>
    <row r="453" spans="17:17" x14ac:dyDescent="0.25">
      <c r="Q453" s="8"/>
    </row>
    <row r="454" spans="17:17" x14ac:dyDescent="0.25">
      <c r="Q454" s="8"/>
    </row>
    <row r="455" spans="17:17" x14ac:dyDescent="0.25">
      <c r="Q455" s="8"/>
    </row>
    <row r="456" spans="17:17" x14ac:dyDescent="0.25">
      <c r="Q456" s="8"/>
    </row>
    <row r="457" spans="17:17" x14ac:dyDescent="0.25">
      <c r="Q457" s="8"/>
    </row>
    <row r="458" spans="17:17" x14ac:dyDescent="0.25">
      <c r="Q458" s="8"/>
    </row>
    <row r="459" spans="17:17" x14ac:dyDescent="0.25">
      <c r="Q459" s="8"/>
    </row>
    <row r="460" spans="17:17" x14ac:dyDescent="0.25">
      <c r="Q460" s="8"/>
    </row>
    <row r="461" spans="17:17" x14ac:dyDescent="0.25">
      <c r="Q461" s="8"/>
    </row>
    <row r="462" spans="17:17" x14ac:dyDescent="0.25">
      <c r="Q462" s="8"/>
    </row>
    <row r="463" spans="17:17" x14ac:dyDescent="0.25">
      <c r="Q463" s="8"/>
    </row>
    <row r="464" spans="17:17" x14ac:dyDescent="0.25">
      <c r="Q464" s="8"/>
    </row>
    <row r="465" spans="17:17" x14ac:dyDescent="0.25">
      <c r="Q465" s="8"/>
    </row>
    <row r="466" spans="17:17" x14ac:dyDescent="0.25">
      <c r="Q466" s="8"/>
    </row>
    <row r="467" spans="17:17" x14ac:dyDescent="0.25">
      <c r="Q467" s="8"/>
    </row>
    <row r="468" spans="17:17" x14ac:dyDescent="0.25">
      <c r="Q468" s="8"/>
    </row>
    <row r="469" spans="17:17" x14ac:dyDescent="0.25">
      <c r="Q469" s="8"/>
    </row>
    <row r="470" spans="17:17" x14ac:dyDescent="0.25">
      <c r="Q470" s="8"/>
    </row>
    <row r="471" spans="17:17" x14ac:dyDescent="0.25">
      <c r="Q471" s="8"/>
    </row>
    <row r="472" spans="17:17" x14ac:dyDescent="0.25">
      <c r="Q472" s="8"/>
    </row>
    <row r="473" spans="17:17" x14ac:dyDescent="0.25">
      <c r="Q473" s="8"/>
    </row>
    <row r="474" spans="17:17" x14ac:dyDescent="0.25">
      <c r="Q474" s="8"/>
    </row>
    <row r="475" spans="17:17" x14ac:dyDescent="0.25">
      <c r="Q475" s="8"/>
    </row>
    <row r="476" spans="17:17" x14ac:dyDescent="0.25">
      <c r="Q476" s="8"/>
    </row>
    <row r="477" spans="17:17" x14ac:dyDescent="0.25">
      <c r="Q477" s="8"/>
    </row>
    <row r="478" spans="17:17" x14ac:dyDescent="0.25">
      <c r="Q478" s="8"/>
    </row>
    <row r="479" spans="17:17" x14ac:dyDescent="0.25">
      <c r="Q479" s="8"/>
    </row>
    <row r="480" spans="17:17" x14ac:dyDescent="0.25">
      <c r="Q480" s="8"/>
    </row>
    <row r="481" spans="17:17" x14ac:dyDescent="0.25">
      <c r="Q481" s="8"/>
    </row>
    <row r="482" spans="17:17" x14ac:dyDescent="0.25">
      <c r="Q482" s="8"/>
    </row>
    <row r="483" spans="17:17" x14ac:dyDescent="0.25">
      <c r="Q483" s="8"/>
    </row>
    <row r="484" spans="17:17" x14ac:dyDescent="0.25">
      <c r="Q484" s="8"/>
    </row>
    <row r="485" spans="17:17" x14ac:dyDescent="0.25">
      <c r="Q485" s="8"/>
    </row>
    <row r="486" spans="17:17" x14ac:dyDescent="0.25">
      <c r="Q486" s="8"/>
    </row>
    <row r="487" spans="17:17" x14ac:dyDescent="0.25">
      <c r="Q487" s="8"/>
    </row>
    <row r="488" spans="17:17" x14ac:dyDescent="0.25">
      <c r="Q488" s="8"/>
    </row>
    <row r="489" spans="17:17" x14ac:dyDescent="0.25">
      <c r="Q489" s="8"/>
    </row>
    <row r="490" spans="17:17" x14ac:dyDescent="0.25">
      <c r="Q490" s="8"/>
    </row>
    <row r="491" spans="17:17" x14ac:dyDescent="0.25">
      <c r="Q491" s="8"/>
    </row>
    <row r="492" spans="17:17" x14ac:dyDescent="0.25">
      <c r="Q492" s="8"/>
    </row>
    <row r="493" spans="17:17" x14ac:dyDescent="0.25">
      <c r="Q493" s="8"/>
    </row>
    <row r="494" spans="17:17" x14ac:dyDescent="0.25">
      <c r="Q494" s="8"/>
    </row>
    <row r="495" spans="17:17" x14ac:dyDescent="0.25">
      <c r="Q495" s="8"/>
    </row>
    <row r="496" spans="17:17" x14ac:dyDescent="0.25">
      <c r="Q496" s="8"/>
    </row>
    <row r="497" spans="17:17" x14ac:dyDescent="0.25">
      <c r="Q497" s="8"/>
    </row>
    <row r="498" spans="17:17" x14ac:dyDescent="0.25">
      <c r="Q498" s="8"/>
    </row>
    <row r="499" spans="17:17" x14ac:dyDescent="0.25">
      <c r="Q499" s="8"/>
    </row>
    <row r="500" spans="17:17" x14ac:dyDescent="0.25">
      <c r="Q500" s="8"/>
    </row>
    <row r="501" spans="17:17" x14ac:dyDescent="0.25">
      <c r="Q501" s="8"/>
    </row>
    <row r="502" spans="17:17" x14ac:dyDescent="0.25">
      <c r="Q502" s="8"/>
    </row>
    <row r="503" spans="17:17" x14ac:dyDescent="0.25">
      <c r="Q503" s="8"/>
    </row>
    <row r="504" spans="17:17" x14ac:dyDescent="0.25">
      <c r="Q504" s="8"/>
    </row>
    <row r="505" spans="17:17" x14ac:dyDescent="0.25">
      <c r="Q505" s="8"/>
    </row>
    <row r="506" spans="17:17" x14ac:dyDescent="0.25">
      <c r="Q506" s="8"/>
    </row>
    <row r="507" spans="17:17" x14ac:dyDescent="0.25">
      <c r="Q507" s="8"/>
    </row>
    <row r="508" spans="17:17" x14ac:dyDescent="0.25">
      <c r="Q508" s="8"/>
    </row>
    <row r="509" spans="17:17" x14ac:dyDescent="0.25">
      <c r="Q509" s="8"/>
    </row>
    <row r="510" spans="17:17" x14ac:dyDescent="0.25">
      <c r="Q510" s="8"/>
    </row>
    <row r="511" spans="17:17" x14ac:dyDescent="0.25">
      <c r="Q511" s="8"/>
    </row>
    <row r="512" spans="17:17" x14ac:dyDescent="0.25">
      <c r="Q512" s="8"/>
    </row>
    <row r="513" spans="17:17" x14ac:dyDescent="0.25">
      <c r="Q513" s="8"/>
    </row>
    <row r="514" spans="17:17" x14ac:dyDescent="0.25">
      <c r="Q514" s="8"/>
    </row>
    <row r="515" spans="17:17" x14ac:dyDescent="0.25">
      <c r="Q515" s="8"/>
    </row>
    <row r="516" spans="17:17" x14ac:dyDescent="0.25">
      <c r="Q516" s="8"/>
    </row>
    <row r="517" spans="17:17" x14ac:dyDescent="0.25">
      <c r="Q517" s="8"/>
    </row>
    <row r="518" spans="17:17" x14ac:dyDescent="0.25">
      <c r="Q518" s="8"/>
    </row>
    <row r="519" spans="17:17" x14ac:dyDescent="0.25">
      <c r="Q519" s="8"/>
    </row>
    <row r="520" spans="17:17" x14ac:dyDescent="0.25">
      <c r="Q520" s="8"/>
    </row>
    <row r="521" spans="17:17" x14ac:dyDescent="0.25">
      <c r="Q521" s="8"/>
    </row>
    <row r="522" spans="17:17" x14ac:dyDescent="0.25">
      <c r="Q522" s="8"/>
    </row>
    <row r="523" spans="17:17" x14ac:dyDescent="0.25">
      <c r="Q523" s="8"/>
    </row>
    <row r="524" spans="17:17" x14ac:dyDescent="0.25">
      <c r="Q524" s="8"/>
    </row>
    <row r="525" spans="17:17" x14ac:dyDescent="0.25">
      <c r="Q525" s="8"/>
    </row>
    <row r="526" spans="17:17" x14ac:dyDescent="0.25">
      <c r="Q526" s="8"/>
    </row>
    <row r="527" spans="17:17" x14ac:dyDescent="0.25">
      <c r="Q527" s="8"/>
    </row>
    <row r="528" spans="17:17" x14ac:dyDescent="0.25">
      <c r="Q528" s="8"/>
    </row>
    <row r="529" spans="17:17" x14ac:dyDescent="0.25">
      <c r="Q529" s="8"/>
    </row>
    <row r="530" spans="17:17" x14ac:dyDescent="0.25">
      <c r="Q530" s="8"/>
    </row>
    <row r="531" spans="17:17" x14ac:dyDescent="0.25">
      <c r="Q531" s="8"/>
    </row>
    <row r="532" spans="17:17" x14ac:dyDescent="0.25">
      <c r="Q532" s="8"/>
    </row>
    <row r="533" spans="17:17" x14ac:dyDescent="0.25">
      <c r="Q533" s="8"/>
    </row>
    <row r="534" spans="17:17" x14ac:dyDescent="0.25">
      <c r="Q534" s="8"/>
    </row>
    <row r="535" spans="17:17" x14ac:dyDescent="0.25">
      <c r="Q535" s="8"/>
    </row>
    <row r="536" spans="17:17" x14ac:dyDescent="0.25">
      <c r="Q536" s="8"/>
    </row>
    <row r="537" spans="17:17" x14ac:dyDescent="0.25">
      <c r="Q537" s="8"/>
    </row>
    <row r="538" spans="17:17" x14ac:dyDescent="0.25">
      <c r="Q538" s="8"/>
    </row>
    <row r="539" spans="17:17" x14ac:dyDescent="0.25">
      <c r="Q539" s="8"/>
    </row>
    <row r="540" spans="17:17" x14ac:dyDescent="0.25">
      <c r="Q540" s="8"/>
    </row>
    <row r="541" spans="17:17" x14ac:dyDescent="0.25">
      <c r="Q541" s="8"/>
    </row>
    <row r="542" spans="17:17" x14ac:dyDescent="0.25">
      <c r="Q542" s="8"/>
    </row>
    <row r="543" spans="17:17" x14ac:dyDescent="0.25">
      <c r="Q543" s="8"/>
    </row>
    <row r="544" spans="17:17" x14ac:dyDescent="0.25">
      <c r="Q544" s="8"/>
    </row>
    <row r="545" spans="17:17" x14ac:dyDescent="0.25">
      <c r="Q545" s="8"/>
    </row>
    <row r="546" spans="17:17" x14ac:dyDescent="0.25">
      <c r="Q546" s="8"/>
    </row>
    <row r="547" spans="17:17" x14ac:dyDescent="0.25">
      <c r="Q547" s="8"/>
    </row>
    <row r="548" spans="17:17" x14ac:dyDescent="0.25">
      <c r="Q548" s="8"/>
    </row>
    <row r="549" spans="17:17" x14ac:dyDescent="0.25">
      <c r="Q549" s="8"/>
    </row>
    <row r="550" spans="17:17" x14ac:dyDescent="0.25">
      <c r="Q550" s="8"/>
    </row>
    <row r="551" spans="17:17" x14ac:dyDescent="0.25">
      <c r="Q551" s="8"/>
    </row>
    <row r="552" spans="17:17" x14ac:dyDescent="0.25">
      <c r="Q552" s="8"/>
    </row>
    <row r="553" spans="17:17" x14ac:dyDescent="0.25">
      <c r="Q553" s="8"/>
    </row>
    <row r="554" spans="17:17" x14ac:dyDescent="0.25">
      <c r="Q554" s="8"/>
    </row>
    <row r="555" spans="17:17" x14ac:dyDescent="0.25">
      <c r="Q555" s="8"/>
    </row>
    <row r="556" spans="17:17" x14ac:dyDescent="0.25">
      <c r="Q556" s="8"/>
    </row>
    <row r="557" spans="17:17" x14ac:dyDescent="0.25">
      <c r="Q557" s="8"/>
    </row>
    <row r="558" spans="17:17" x14ac:dyDescent="0.25">
      <c r="Q558" s="8"/>
    </row>
    <row r="559" spans="17:17" x14ac:dyDescent="0.25">
      <c r="Q559" s="8"/>
    </row>
    <row r="560" spans="17:17" x14ac:dyDescent="0.25">
      <c r="Q560" s="8"/>
    </row>
    <row r="561" spans="17:17" x14ac:dyDescent="0.25">
      <c r="Q561" s="8"/>
    </row>
    <row r="562" spans="17:17" x14ac:dyDescent="0.25">
      <c r="Q562" s="8"/>
    </row>
    <row r="563" spans="17:17" x14ac:dyDescent="0.25">
      <c r="Q563" s="8"/>
    </row>
    <row r="564" spans="17:17" x14ac:dyDescent="0.25">
      <c r="Q564" s="8"/>
    </row>
    <row r="565" spans="17:17" x14ac:dyDescent="0.25">
      <c r="Q565" s="8"/>
    </row>
    <row r="566" spans="17:17" x14ac:dyDescent="0.25">
      <c r="Q566" s="8"/>
    </row>
    <row r="567" spans="17:17" x14ac:dyDescent="0.25">
      <c r="Q567" s="8"/>
    </row>
    <row r="568" spans="17:17" x14ac:dyDescent="0.25">
      <c r="Q568" s="8"/>
    </row>
    <row r="569" spans="17:17" x14ac:dyDescent="0.25">
      <c r="Q569" s="8"/>
    </row>
    <row r="570" spans="17:17" x14ac:dyDescent="0.25">
      <c r="Q570" s="8"/>
    </row>
    <row r="571" spans="17:17" x14ac:dyDescent="0.25">
      <c r="Q571" s="8"/>
    </row>
    <row r="572" spans="17:17" x14ac:dyDescent="0.25">
      <c r="Q572" s="8"/>
    </row>
    <row r="573" spans="17:17" x14ac:dyDescent="0.25">
      <c r="Q573" s="8"/>
    </row>
    <row r="574" spans="17:17" x14ac:dyDescent="0.25">
      <c r="Q574" s="8"/>
    </row>
    <row r="575" spans="17:17" x14ac:dyDescent="0.25">
      <c r="Q575" s="8"/>
    </row>
    <row r="576" spans="17:17" x14ac:dyDescent="0.25">
      <c r="Q576" s="8"/>
    </row>
    <row r="577" spans="17:17" x14ac:dyDescent="0.25">
      <c r="Q577" s="8"/>
    </row>
    <row r="578" spans="17:17" x14ac:dyDescent="0.25">
      <c r="Q578" s="8"/>
    </row>
    <row r="579" spans="17:17" x14ac:dyDescent="0.25">
      <c r="Q579" s="8"/>
    </row>
    <row r="580" spans="17:17" x14ac:dyDescent="0.25">
      <c r="Q580" s="8"/>
    </row>
    <row r="581" spans="17:17" x14ac:dyDescent="0.25">
      <c r="Q581" s="8"/>
    </row>
    <row r="582" spans="17:17" x14ac:dyDescent="0.25">
      <c r="Q582" s="8"/>
    </row>
    <row r="583" spans="17:17" x14ac:dyDescent="0.25">
      <c r="Q583" s="8"/>
    </row>
    <row r="584" spans="17:17" x14ac:dyDescent="0.25">
      <c r="Q584" s="8"/>
    </row>
    <row r="585" spans="17:17" x14ac:dyDescent="0.25">
      <c r="Q585" s="8"/>
    </row>
    <row r="586" spans="17:17" x14ac:dyDescent="0.25">
      <c r="Q586" s="8"/>
    </row>
    <row r="587" spans="17:17" x14ac:dyDescent="0.25">
      <c r="Q587" s="8"/>
    </row>
    <row r="588" spans="17:17" x14ac:dyDescent="0.25">
      <c r="Q588" s="8"/>
    </row>
    <row r="589" spans="17:17" x14ac:dyDescent="0.25">
      <c r="Q589" s="8"/>
    </row>
    <row r="590" spans="17:17" x14ac:dyDescent="0.25">
      <c r="Q590" s="8"/>
    </row>
    <row r="591" spans="17:17" x14ac:dyDescent="0.25">
      <c r="Q591" s="8"/>
    </row>
    <row r="592" spans="17:17" x14ac:dyDescent="0.25">
      <c r="Q592" s="8"/>
    </row>
    <row r="593" spans="17:17" x14ac:dyDescent="0.25">
      <c r="Q593" s="8"/>
    </row>
    <row r="594" spans="17:17" x14ac:dyDescent="0.25">
      <c r="Q594" s="8"/>
    </row>
    <row r="595" spans="17:17" x14ac:dyDescent="0.25">
      <c r="Q595" s="8"/>
    </row>
    <row r="596" spans="17:17" x14ac:dyDescent="0.25">
      <c r="Q596" s="8"/>
    </row>
    <row r="597" spans="17:17" x14ac:dyDescent="0.25">
      <c r="Q597" s="8"/>
    </row>
    <row r="598" spans="17:17" x14ac:dyDescent="0.25">
      <c r="Q598" s="8"/>
    </row>
    <row r="599" spans="17:17" x14ac:dyDescent="0.25">
      <c r="Q599" s="8"/>
    </row>
    <row r="600" spans="17:17" x14ac:dyDescent="0.25">
      <c r="Q600" s="8"/>
    </row>
    <row r="601" spans="17:17" x14ac:dyDescent="0.25">
      <c r="Q601" s="8"/>
    </row>
    <row r="602" spans="17:17" x14ac:dyDescent="0.25">
      <c r="Q602" s="8"/>
    </row>
    <row r="603" spans="17:17" x14ac:dyDescent="0.25">
      <c r="Q603" s="8"/>
    </row>
    <row r="604" spans="17:17" x14ac:dyDescent="0.25">
      <c r="Q604" s="8"/>
    </row>
    <row r="605" spans="17:17" x14ac:dyDescent="0.25">
      <c r="Q605" s="8"/>
    </row>
    <row r="606" spans="17:17" x14ac:dyDescent="0.25">
      <c r="Q606" s="8"/>
    </row>
    <row r="607" spans="17:17" x14ac:dyDescent="0.25">
      <c r="Q607" s="8"/>
    </row>
    <row r="608" spans="17:17" x14ac:dyDescent="0.25">
      <c r="Q608" s="8"/>
    </row>
    <row r="609" spans="17:17" x14ac:dyDescent="0.25">
      <c r="Q609" s="8"/>
    </row>
    <row r="610" spans="17:17" x14ac:dyDescent="0.25">
      <c r="Q610" s="8"/>
    </row>
    <row r="611" spans="17:17" x14ac:dyDescent="0.25">
      <c r="Q611" s="8"/>
    </row>
    <row r="612" spans="17:17" x14ac:dyDescent="0.25">
      <c r="Q612" s="8"/>
    </row>
    <row r="613" spans="17:17" x14ac:dyDescent="0.25">
      <c r="Q613" s="8"/>
    </row>
    <row r="614" spans="17:17" x14ac:dyDescent="0.25">
      <c r="Q614" s="8"/>
    </row>
    <row r="615" spans="17:17" x14ac:dyDescent="0.25">
      <c r="Q615" s="8"/>
    </row>
    <row r="616" spans="17:17" x14ac:dyDescent="0.25">
      <c r="Q616" s="8"/>
    </row>
    <row r="617" spans="17:17" x14ac:dyDescent="0.25">
      <c r="Q617" s="8"/>
    </row>
    <row r="618" spans="17:17" x14ac:dyDescent="0.25">
      <c r="Q618" s="8"/>
    </row>
    <row r="619" spans="17:17" x14ac:dyDescent="0.25">
      <c r="Q619" s="8"/>
    </row>
    <row r="620" spans="17:17" x14ac:dyDescent="0.25">
      <c r="Q620" s="8"/>
    </row>
    <row r="621" spans="17:17" x14ac:dyDescent="0.25">
      <c r="Q621" s="8"/>
    </row>
    <row r="622" spans="17:17" x14ac:dyDescent="0.25">
      <c r="Q622" s="8"/>
    </row>
    <row r="623" spans="17:17" x14ac:dyDescent="0.25">
      <c r="Q623" s="8"/>
    </row>
    <row r="624" spans="17:17" x14ac:dyDescent="0.25">
      <c r="Q624" s="8"/>
    </row>
    <row r="625" spans="17:17" x14ac:dyDescent="0.25">
      <c r="Q625" s="8"/>
    </row>
    <row r="626" spans="17:17" x14ac:dyDescent="0.25">
      <c r="Q626" s="8"/>
    </row>
    <row r="627" spans="17:17" x14ac:dyDescent="0.25">
      <c r="Q627" s="8"/>
    </row>
    <row r="628" spans="17:17" x14ac:dyDescent="0.25">
      <c r="Q628" s="8"/>
    </row>
    <row r="629" spans="17:17" x14ac:dyDescent="0.25">
      <c r="Q629" s="8"/>
    </row>
    <row r="630" spans="17:17" x14ac:dyDescent="0.25">
      <c r="Q630" s="8"/>
    </row>
    <row r="631" spans="17:17" x14ac:dyDescent="0.25">
      <c r="Q631" s="8"/>
    </row>
    <row r="632" spans="17:17" x14ac:dyDescent="0.25">
      <c r="Q632" s="8"/>
    </row>
    <row r="633" spans="17:17" x14ac:dyDescent="0.25">
      <c r="Q633" s="8"/>
    </row>
    <row r="634" spans="17:17" x14ac:dyDescent="0.25">
      <c r="Q634" s="8"/>
    </row>
    <row r="635" spans="17:17" x14ac:dyDescent="0.25">
      <c r="Q635" s="8"/>
    </row>
    <row r="636" spans="17:17" x14ac:dyDescent="0.25">
      <c r="Q636" s="8"/>
    </row>
    <row r="637" spans="17:17" x14ac:dyDescent="0.25">
      <c r="Q637" s="8"/>
    </row>
    <row r="638" spans="17:17" x14ac:dyDescent="0.25">
      <c r="Q638" s="8"/>
    </row>
    <row r="639" spans="17:17" x14ac:dyDescent="0.25">
      <c r="Q639" s="8"/>
    </row>
    <row r="640" spans="17:17" x14ac:dyDescent="0.25">
      <c r="Q640" s="8"/>
    </row>
    <row r="641" spans="17:17" x14ac:dyDescent="0.25">
      <c r="Q641" s="8"/>
    </row>
    <row r="642" spans="17:17" x14ac:dyDescent="0.25">
      <c r="Q642" s="8"/>
    </row>
    <row r="643" spans="17:17" x14ac:dyDescent="0.25">
      <c r="Q643" s="8"/>
    </row>
    <row r="644" spans="17:17" x14ac:dyDescent="0.25">
      <c r="Q644" s="8"/>
    </row>
    <row r="645" spans="17:17" x14ac:dyDescent="0.25">
      <c r="Q645" s="8"/>
    </row>
    <row r="646" spans="17:17" x14ac:dyDescent="0.25">
      <c r="Q646" s="8"/>
    </row>
    <row r="647" spans="17:17" x14ac:dyDescent="0.25">
      <c r="Q647" s="8"/>
    </row>
    <row r="648" spans="17:17" x14ac:dyDescent="0.25">
      <c r="Q648" s="8"/>
    </row>
    <row r="649" spans="17:17" x14ac:dyDescent="0.25">
      <c r="Q649" s="8"/>
    </row>
    <row r="650" spans="17:17" x14ac:dyDescent="0.25">
      <c r="Q650" s="8"/>
    </row>
    <row r="651" spans="17:17" x14ac:dyDescent="0.25">
      <c r="Q651" s="8"/>
    </row>
    <row r="652" spans="17:17" x14ac:dyDescent="0.25">
      <c r="Q652" s="8"/>
    </row>
    <row r="653" spans="17:17" x14ac:dyDescent="0.25">
      <c r="Q653" s="8"/>
    </row>
    <row r="654" spans="17:17" x14ac:dyDescent="0.25">
      <c r="Q654" s="8"/>
    </row>
    <row r="655" spans="17:17" x14ac:dyDescent="0.25">
      <c r="Q655" s="8"/>
    </row>
    <row r="656" spans="17:17" x14ac:dyDescent="0.25">
      <c r="Q656" s="8"/>
    </row>
    <row r="657" spans="17:17" x14ac:dyDescent="0.25">
      <c r="Q657" s="8"/>
    </row>
    <row r="658" spans="17:17" x14ac:dyDescent="0.25">
      <c r="Q658" s="8"/>
    </row>
    <row r="659" spans="17:17" x14ac:dyDescent="0.25">
      <c r="Q659" s="8"/>
    </row>
    <row r="660" spans="17:17" x14ac:dyDescent="0.25">
      <c r="Q660" s="8"/>
    </row>
    <row r="661" spans="17:17" x14ac:dyDescent="0.25">
      <c r="Q661" s="8"/>
    </row>
    <row r="662" spans="17:17" x14ac:dyDescent="0.25">
      <c r="Q662" s="8"/>
    </row>
    <row r="663" spans="17:17" x14ac:dyDescent="0.25">
      <c r="Q663" s="8"/>
    </row>
    <row r="664" spans="17:17" x14ac:dyDescent="0.25">
      <c r="Q664" s="8"/>
    </row>
    <row r="665" spans="17:17" x14ac:dyDescent="0.25">
      <c r="Q665" s="8"/>
    </row>
    <row r="666" spans="17:17" x14ac:dyDescent="0.25">
      <c r="Q666" s="8"/>
    </row>
    <row r="667" spans="17:17" x14ac:dyDescent="0.25">
      <c r="Q667" s="8"/>
    </row>
    <row r="668" spans="17:17" x14ac:dyDescent="0.25">
      <c r="Q668" s="8"/>
    </row>
    <row r="669" spans="17:17" x14ac:dyDescent="0.25">
      <c r="Q669" s="8"/>
    </row>
    <row r="670" spans="17:17" x14ac:dyDescent="0.25">
      <c r="Q670" s="8"/>
    </row>
    <row r="671" spans="17:17" x14ac:dyDescent="0.25">
      <c r="Q671" s="8"/>
    </row>
    <row r="672" spans="17:17" x14ac:dyDescent="0.25">
      <c r="Q672" s="8"/>
    </row>
    <row r="673" spans="17:17" x14ac:dyDescent="0.25">
      <c r="Q673" s="8"/>
    </row>
    <row r="674" spans="17:17" x14ac:dyDescent="0.25">
      <c r="Q674" s="8"/>
    </row>
    <row r="675" spans="17:17" x14ac:dyDescent="0.25">
      <c r="Q675" s="8"/>
    </row>
    <row r="676" spans="17:17" x14ac:dyDescent="0.25">
      <c r="Q676" s="8"/>
    </row>
    <row r="677" spans="17:17" x14ac:dyDescent="0.25">
      <c r="Q677" s="8"/>
    </row>
    <row r="678" spans="17:17" x14ac:dyDescent="0.25">
      <c r="Q678" s="8"/>
    </row>
    <row r="679" spans="17:17" x14ac:dyDescent="0.25">
      <c r="Q679" s="8"/>
    </row>
    <row r="680" spans="17:17" x14ac:dyDescent="0.25">
      <c r="Q680" s="8"/>
    </row>
    <row r="681" spans="17:17" x14ac:dyDescent="0.25">
      <c r="Q681" s="8"/>
    </row>
    <row r="682" spans="17:17" x14ac:dyDescent="0.25">
      <c r="Q682" s="8"/>
    </row>
    <row r="683" spans="17:17" x14ac:dyDescent="0.25">
      <c r="Q683" s="8"/>
    </row>
    <row r="684" spans="17:17" x14ac:dyDescent="0.25">
      <c r="Q684" s="8"/>
    </row>
    <row r="685" spans="17:17" x14ac:dyDescent="0.25">
      <c r="Q685" s="8"/>
    </row>
    <row r="686" spans="17:17" x14ac:dyDescent="0.25">
      <c r="Q686" s="8"/>
    </row>
    <row r="687" spans="17:17" x14ac:dyDescent="0.25">
      <c r="Q687" s="8"/>
    </row>
    <row r="688" spans="17:17" x14ac:dyDescent="0.25">
      <c r="Q688" s="8"/>
    </row>
    <row r="689" spans="17:17" x14ac:dyDescent="0.25">
      <c r="Q689" s="8"/>
    </row>
    <row r="690" spans="17:17" x14ac:dyDescent="0.25">
      <c r="Q690" s="8"/>
    </row>
    <row r="691" spans="17:17" x14ac:dyDescent="0.25">
      <c r="Q691" s="8"/>
    </row>
    <row r="692" spans="17:17" x14ac:dyDescent="0.25">
      <c r="Q692" s="8"/>
    </row>
    <row r="693" spans="17:17" x14ac:dyDescent="0.25">
      <c r="Q693" s="8"/>
    </row>
    <row r="694" spans="17:17" x14ac:dyDescent="0.25">
      <c r="Q694" s="8"/>
    </row>
    <row r="695" spans="17:17" x14ac:dyDescent="0.25">
      <c r="Q695" s="8"/>
    </row>
    <row r="696" spans="17:17" x14ac:dyDescent="0.25">
      <c r="Q696" s="8"/>
    </row>
    <row r="697" spans="17:17" x14ac:dyDescent="0.25">
      <c r="Q697" s="8"/>
    </row>
    <row r="698" spans="17:17" x14ac:dyDescent="0.25">
      <c r="Q698" s="8"/>
    </row>
    <row r="699" spans="17:17" x14ac:dyDescent="0.25">
      <c r="Q699" s="8"/>
    </row>
    <row r="700" spans="17:17" x14ac:dyDescent="0.25">
      <c r="Q700" s="8"/>
    </row>
    <row r="701" spans="17:17" x14ac:dyDescent="0.25">
      <c r="Q701" s="8"/>
    </row>
    <row r="702" spans="17:17" x14ac:dyDescent="0.25">
      <c r="Q702" s="8"/>
    </row>
    <row r="703" spans="17:17" x14ac:dyDescent="0.25">
      <c r="Q703" s="8"/>
    </row>
    <row r="704" spans="17:17" x14ac:dyDescent="0.25">
      <c r="Q704" s="8"/>
    </row>
    <row r="705" spans="17:17" x14ac:dyDescent="0.25">
      <c r="Q705" s="8"/>
    </row>
    <row r="706" spans="17:17" x14ac:dyDescent="0.25">
      <c r="Q706" s="8"/>
    </row>
    <row r="707" spans="17:17" x14ac:dyDescent="0.25">
      <c r="Q707" s="8"/>
    </row>
    <row r="708" spans="17:17" x14ac:dyDescent="0.25">
      <c r="Q708" s="8"/>
    </row>
    <row r="709" spans="17:17" x14ac:dyDescent="0.25">
      <c r="Q709" s="8"/>
    </row>
    <row r="710" spans="17:17" x14ac:dyDescent="0.25">
      <c r="Q710" s="8"/>
    </row>
    <row r="711" spans="17:17" x14ac:dyDescent="0.25">
      <c r="Q711" s="8"/>
    </row>
    <row r="712" spans="17:17" x14ac:dyDescent="0.25">
      <c r="Q712" s="8"/>
    </row>
    <row r="713" spans="17:17" x14ac:dyDescent="0.25">
      <c r="Q713" s="8"/>
    </row>
    <row r="714" spans="17:17" x14ac:dyDescent="0.25">
      <c r="Q714" s="8"/>
    </row>
    <row r="715" spans="17:17" x14ac:dyDescent="0.25">
      <c r="Q715" s="8"/>
    </row>
    <row r="716" spans="17:17" x14ac:dyDescent="0.25">
      <c r="Q716" s="8"/>
    </row>
    <row r="717" spans="17:17" x14ac:dyDescent="0.25">
      <c r="Q717" s="8"/>
    </row>
    <row r="718" spans="17:17" x14ac:dyDescent="0.25">
      <c r="Q718" s="8"/>
    </row>
    <row r="719" spans="17:17" x14ac:dyDescent="0.25">
      <c r="Q719" s="8"/>
    </row>
    <row r="720" spans="17:17" x14ac:dyDescent="0.25">
      <c r="Q720" s="8"/>
    </row>
    <row r="721" spans="17:17" x14ac:dyDescent="0.25">
      <c r="Q721" s="8"/>
    </row>
    <row r="722" spans="17:17" x14ac:dyDescent="0.25">
      <c r="Q722" s="8"/>
    </row>
    <row r="723" spans="17:17" x14ac:dyDescent="0.25">
      <c r="Q723" s="8"/>
    </row>
    <row r="724" spans="17:17" x14ac:dyDescent="0.25">
      <c r="Q724" s="8"/>
    </row>
    <row r="725" spans="17:17" x14ac:dyDescent="0.25">
      <c r="Q725" s="8"/>
    </row>
    <row r="726" spans="17:17" x14ac:dyDescent="0.25">
      <c r="Q726" s="8"/>
    </row>
    <row r="727" spans="17:17" x14ac:dyDescent="0.25">
      <c r="Q727" s="8"/>
    </row>
    <row r="728" spans="17:17" x14ac:dyDescent="0.25">
      <c r="Q728" s="8"/>
    </row>
    <row r="729" spans="17:17" x14ac:dyDescent="0.25">
      <c r="Q729" s="8"/>
    </row>
    <row r="730" spans="17:17" x14ac:dyDescent="0.25">
      <c r="Q730" s="8"/>
    </row>
    <row r="731" spans="17:17" x14ac:dyDescent="0.25">
      <c r="Q731" s="8"/>
    </row>
    <row r="732" spans="17:17" x14ac:dyDescent="0.25">
      <c r="Q732" s="8"/>
    </row>
    <row r="733" spans="17:17" x14ac:dyDescent="0.25">
      <c r="Q733" s="8"/>
    </row>
    <row r="734" spans="17:17" x14ac:dyDescent="0.25">
      <c r="Q734" s="8"/>
    </row>
    <row r="735" spans="17:17" x14ac:dyDescent="0.25">
      <c r="Q735" s="8"/>
    </row>
    <row r="736" spans="17:17" x14ac:dyDescent="0.25">
      <c r="Q736" s="8"/>
    </row>
    <row r="737" spans="17:17" x14ac:dyDescent="0.25">
      <c r="Q737" s="8"/>
    </row>
    <row r="738" spans="17:17" x14ac:dyDescent="0.25">
      <c r="Q738" s="8"/>
    </row>
    <row r="739" spans="17:17" x14ac:dyDescent="0.25">
      <c r="Q739" s="8"/>
    </row>
    <row r="740" spans="17:17" x14ac:dyDescent="0.25">
      <c r="Q740" s="8"/>
    </row>
    <row r="741" spans="17:17" x14ac:dyDescent="0.25">
      <c r="Q741" s="8"/>
    </row>
    <row r="742" spans="17:17" x14ac:dyDescent="0.25">
      <c r="Q742" s="8"/>
    </row>
    <row r="743" spans="17:17" x14ac:dyDescent="0.25">
      <c r="Q743" s="8"/>
    </row>
    <row r="744" spans="17:17" x14ac:dyDescent="0.25">
      <c r="Q744" s="8"/>
    </row>
    <row r="745" spans="17:17" x14ac:dyDescent="0.25">
      <c r="Q745" s="8"/>
    </row>
    <row r="746" spans="17:17" x14ac:dyDescent="0.25">
      <c r="Q746" s="8"/>
    </row>
    <row r="747" spans="17:17" x14ac:dyDescent="0.25">
      <c r="Q747" s="8"/>
    </row>
    <row r="748" spans="17:17" x14ac:dyDescent="0.25">
      <c r="Q748" s="8"/>
    </row>
    <row r="749" spans="17:17" x14ac:dyDescent="0.25">
      <c r="Q749" s="8"/>
    </row>
    <row r="750" spans="17:17" x14ac:dyDescent="0.25">
      <c r="Q750" s="8"/>
    </row>
    <row r="751" spans="17:17" x14ac:dyDescent="0.25">
      <c r="Q751" s="8"/>
    </row>
    <row r="752" spans="17:17" x14ac:dyDescent="0.25">
      <c r="Q752" s="8"/>
    </row>
    <row r="753" spans="17:17" x14ac:dyDescent="0.25">
      <c r="Q753" s="8"/>
    </row>
    <row r="754" spans="17:17" x14ac:dyDescent="0.25">
      <c r="Q754" s="8"/>
    </row>
    <row r="755" spans="17:17" x14ac:dyDescent="0.25">
      <c r="Q755" s="8"/>
    </row>
    <row r="756" spans="17:17" x14ac:dyDescent="0.25">
      <c r="Q756" s="8"/>
    </row>
    <row r="757" spans="17:17" x14ac:dyDescent="0.25">
      <c r="Q757" s="8"/>
    </row>
    <row r="758" spans="17:17" x14ac:dyDescent="0.25">
      <c r="Q758" s="8"/>
    </row>
    <row r="759" spans="17:17" x14ac:dyDescent="0.25">
      <c r="Q759" s="8"/>
    </row>
    <row r="760" spans="17:17" x14ac:dyDescent="0.25">
      <c r="Q760" s="8"/>
    </row>
    <row r="761" spans="17:17" x14ac:dyDescent="0.25">
      <c r="Q761" s="8"/>
    </row>
    <row r="762" spans="17:17" x14ac:dyDescent="0.25">
      <c r="Q762" s="8"/>
    </row>
    <row r="763" spans="17:17" x14ac:dyDescent="0.25">
      <c r="Q763" s="8"/>
    </row>
    <row r="764" spans="17:17" x14ac:dyDescent="0.25">
      <c r="Q764" s="8"/>
    </row>
    <row r="765" spans="17:17" x14ac:dyDescent="0.25">
      <c r="Q765" s="8"/>
    </row>
    <row r="766" spans="17:17" x14ac:dyDescent="0.25">
      <c r="Q766" s="8"/>
    </row>
    <row r="767" spans="17:17" x14ac:dyDescent="0.25">
      <c r="Q767" s="8"/>
    </row>
    <row r="768" spans="17:17" x14ac:dyDescent="0.25">
      <c r="Q768" s="8"/>
    </row>
    <row r="769" spans="17:17" x14ac:dyDescent="0.25">
      <c r="Q769" s="8"/>
    </row>
    <row r="770" spans="17:17" x14ac:dyDescent="0.25">
      <c r="Q770" s="8"/>
    </row>
    <row r="771" spans="17:17" x14ac:dyDescent="0.25">
      <c r="Q771" s="8"/>
    </row>
    <row r="772" spans="17:17" x14ac:dyDescent="0.25">
      <c r="Q772" s="8"/>
    </row>
    <row r="773" spans="17:17" x14ac:dyDescent="0.25">
      <c r="Q773" s="8"/>
    </row>
    <row r="774" spans="17:17" x14ac:dyDescent="0.25">
      <c r="Q774" s="8"/>
    </row>
    <row r="775" spans="17:17" x14ac:dyDescent="0.25">
      <c r="Q775" s="8"/>
    </row>
    <row r="776" spans="17:17" x14ac:dyDescent="0.25">
      <c r="Q776" s="8"/>
    </row>
    <row r="777" spans="17:17" x14ac:dyDescent="0.25">
      <c r="Q777" s="8"/>
    </row>
    <row r="778" spans="17:17" x14ac:dyDescent="0.25">
      <c r="Q778" s="8"/>
    </row>
    <row r="779" spans="17:17" x14ac:dyDescent="0.25">
      <c r="Q779" s="8"/>
    </row>
    <row r="780" spans="17:17" x14ac:dyDescent="0.25">
      <c r="Q780" s="8"/>
    </row>
    <row r="781" spans="17:17" x14ac:dyDescent="0.25">
      <c r="Q781" s="8"/>
    </row>
    <row r="782" spans="17:17" x14ac:dyDescent="0.25">
      <c r="Q782" s="8"/>
    </row>
    <row r="783" spans="17:17" x14ac:dyDescent="0.25">
      <c r="Q783" s="8"/>
    </row>
    <row r="784" spans="17:17" x14ac:dyDescent="0.25">
      <c r="Q784" s="8"/>
    </row>
    <row r="785" spans="17:17" x14ac:dyDescent="0.25">
      <c r="Q785" s="8"/>
    </row>
    <row r="786" spans="17:17" x14ac:dyDescent="0.25">
      <c r="Q786" s="8"/>
    </row>
    <row r="787" spans="17:17" x14ac:dyDescent="0.25">
      <c r="Q787" s="8"/>
    </row>
    <row r="788" spans="17:17" x14ac:dyDescent="0.25">
      <c r="Q788" s="8"/>
    </row>
    <row r="789" spans="17:17" x14ac:dyDescent="0.25">
      <c r="Q789" s="8"/>
    </row>
    <row r="790" spans="17:17" x14ac:dyDescent="0.25">
      <c r="Q790" s="8"/>
    </row>
    <row r="791" spans="17:17" x14ac:dyDescent="0.25">
      <c r="Q791" s="8"/>
    </row>
    <row r="792" spans="17:17" x14ac:dyDescent="0.25">
      <c r="Q792" s="8"/>
    </row>
    <row r="793" spans="17:17" x14ac:dyDescent="0.25">
      <c r="Q793" s="8"/>
    </row>
    <row r="794" spans="17:17" x14ac:dyDescent="0.25">
      <c r="Q794" s="8"/>
    </row>
    <row r="795" spans="17:17" x14ac:dyDescent="0.25">
      <c r="Q795" s="8"/>
    </row>
    <row r="796" spans="17:17" x14ac:dyDescent="0.25">
      <c r="Q796" s="8"/>
    </row>
    <row r="797" spans="17:17" x14ac:dyDescent="0.25">
      <c r="Q797" s="8"/>
    </row>
    <row r="798" spans="17:17" x14ac:dyDescent="0.25">
      <c r="Q798" s="8"/>
    </row>
    <row r="799" spans="17:17" x14ac:dyDescent="0.25">
      <c r="Q799" s="8"/>
    </row>
    <row r="800" spans="17:17" x14ac:dyDescent="0.25">
      <c r="Q800" s="8"/>
    </row>
    <row r="801" spans="17:17" x14ac:dyDescent="0.25">
      <c r="Q801" s="8"/>
    </row>
    <row r="802" spans="17:17" x14ac:dyDescent="0.25">
      <c r="Q802" s="8"/>
    </row>
    <row r="803" spans="17:17" x14ac:dyDescent="0.25">
      <c r="Q803" s="8"/>
    </row>
    <row r="804" spans="17:17" x14ac:dyDescent="0.25">
      <c r="Q804" s="8"/>
    </row>
    <row r="805" spans="17:17" x14ac:dyDescent="0.25">
      <c r="Q805" s="8"/>
    </row>
    <row r="806" spans="17:17" x14ac:dyDescent="0.25">
      <c r="Q806" s="8"/>
    </row>
    <row r="807" spans="17:17" x14ac:dyDescent="0.25">
      <c r="Q807" s="8"/>
    </row>
    <row r="808" spans="17:17" x14ac:dyDescent="0.25">
      <c r="Q808" s="8"/>
    </row>
    <row r="809" spans="17:17" x14ac:dyDescent="0.25">
      <c r="Q809" s="8"/>
    </row>
    <row r="810" spans="17:17" x14ac:dyDescent="0.25">
      <c r="Q810" s="8"/>
    </row>
    <row r="811" spans="17:17" x14ac:dyDescent="0.25">
      <c r="Q811" s="8"/>
    </row>
    <row r="812" spans="17:17" x14ac:dyDescent="0.25">
      <c r="Q812" s="8"/>
    </row>
    <row r="813" spans="17:17" x14ac:dyDescent="0.25">
      <c r="Q813" s="8"/>
    </row>
    <row r="814" spans="17:17" x14ac:dyDescent="0.25">
      <c r="Q814" s="8"/>
    </row>
    <row r="815" spans="17:17" x14ac:dyDescent="0.25">
      <c r="Q815" s="8"/>
    </row>
    <row r="816" spans="17:17" x14ac:dyDescent="0.25">
      <c r="Q816" s="8"/>
    </row>
    <row r="817" spans="17:17" x14ac:dyDescent="0.25">
      <c r="Q817" s="8"/>
    </row>
    <row r="818" spans="17:17" x14ac:dyDescent="0.25">
      <c r="Q818" s="8"/>
    </row>
    <row r="819" spans="17:17" x14ac:dyDescent="0.25">
      <c r="Q819" s="8"/>
    </row>
    <row r="820" spans="17:17" x14ac:dyDescent="0.25">
      <c r="Q820" s="8"/>
    </row>
    <row r="821" spans="17:17" x14ac:dyDescent="0.25">
      <c r="Q821" s="8"/>
    </row>
    <row r="822" spans="17:17" x14ac:dyDescent="0.25">
      <c r="Q822" s="8"/>
    </row>
    <row r="823" spans="17:17" x14ac:dyDescent="0.25">
      <c r="Q823" s="8"/>
    </row>
    <row r="824" spans="17:17" x14ac:dyDescent="0.25">
      <c r="Q824" s="8"/>
    </row>
    <row r="825" spans="17:17" x14ac:dyDescent="0.25">
      <c r="Q825" s="8"/>
    </row>
    <row r="826" spans="17:17" x14ac:dyDescent="0.25">
      <c r="Q826" s="8"/>
    </row>
    <row r="827" spans="17:17" x14ac:dyDescent="0.25">
      <c r="Q827" s="8"/>
    </row>
    <row r="828" spans="17:17" x14ac:dyDescent="0.25">
      <c r="Q828" s="8"/>
    </row>
    <row r="829" spans="17:17" x14ac:dyDescent="0.25">
      <c r="Q829" s="8"/>
    </row>
    <row r="830" spans="17:17" x14ac:dyDescent="0.25">
      <c r="Q830" s="8"/>
    </row>
    <row r="831" spans="17:17" x14ac:dyDescent="0.25">
      <c r="Q831" s="8"/>
    </row>
    <row r="832" spans="17:17" x14ac:dyDescent="0.25">
      <c r="Q832" s="8"/>
    </row>
    <row r="833" spans="17:17" x14ac:dyDescent="0.25">
      <c r="Q833" s="8"/>
    </row>
    <row r="834" spans="17:17" x14ac:dyDescent="0.25">
      <c r="Q834" s="8"/>
    </row>
    <row r="835" spans="17:17" x14ac:dyDescent="0.25">
      <c r="Q835" s="8"/>
    </row>
    <row r="836" spans="17:17" x14ac:dyDescent="0.25">
      <c r="Q836" s="8"/>
    </row>
    <row r="837" spans="17:17" x14ac:dyDescent="0.25">
      <c r="Q837" s="8"/>
    </row>
    <row r="838" spans="17:17" x14ac:dyDescent="0.25">
      <c r="Q838" s="8"/>
    </row>
    <row r="839" spans="17:17" x14ac:dyDescent="0.25">
      <c r="Q839" s="8"/>
    </row>
    <row r="840" spans="17:17" x14ac:dyDescent="0.25">
      <c r="Q840" s="8"/>
    </row>
    <row r="841" spans="17:17" x14ac:dyDescent="0.25">
      <c r="Q841" s="8"/>
    </row>
    <row r="842" spans="17:17" x14ac:dyDescent="0.25">
      <c r="Q842" s="8"/>
    </row>
    <row r="843" spans="17:17" x14ac:dyDescent="0.25">
      <c r="Q843" s="8"/>
    </row>
    <row r="844" spans="17:17" x14ac:dyDescent="0.25">
      <c r="Q844" s="8"/>
    </row>
    <row r="845" spans="17:17" x14ac:dyDescent="0.25">
      <c r="Q845" s="8"/>
    </row>
    <row r="846" spans="17:17" x14ac:dyDescent="0.25">
      <c r="Q846" s="8"/>
    </row>
    <row r="847" spans="17:17" x14ac:dyDescent="0.25">
      <c r="Q847" s="8"/>
    </row>
    <row r="848" spans="17:17" x14ac:dyDescent="0.25">
      <c r="Q848" s="8"/>
    </row>
    <row r="849" spans="17:17" x14ac:dyDescent="0.25">
      <c r="Q849" s="8"/>
    </row>
    <row r="850" spans="17:17" x14ac:dyDescent="0.25">
      <c r="Q850" s="8"/>
    </row>
    <row r="851" spans="17:17" x14ac:dyDescent="0.25">
      <c r="Q851" s="8"/>
    </row>
    <row r="852" spans="17:17" x14ac:dyDescent="0.25">
      <c r="Q852" s="8"/>
    </row>
    <row r="853" spans="17:17" x14ac:dyDescent="0.25">
      <c r="Q853" s="8"/>
    </row>
    <row r="854" spans="17:17" x14ac:dyDescent="0.25">
      <c r="Q854" s="8"/>
    </row>
    <row r="855" spans="17:17" x14ac:dyDescent="0.25">
      <c r="Q855" s="8"/>
    </row>
    <row r="856" spans="17:17" x14ac:dyDescent="0.25">
      <c r="Q856" s="8"/>
    </row>
    <row r="857" spans="17:17" x14ac:dyDescent="0.25">
      <c r="Q857" s="8"/>
    </row>
    <row r="858" spans="17:17" x14ac:dyDescent="0.25">
      <c r="Q858" s="8"/>
    </row>
    <row r="859" spans="17:17" x14ac:dyDescent="0.25">
      <c r="Q859" s="8"/>
    </row>
    <row r="860" spans="17:17" x14ac:dyDescent="0.25">
      <c r="Q860" s="8"/>
    </row>
    <row r="861" spans="17:17" x14ac:dyDescent="0.25">
      <c r="Q861" s="8"/>
    </row>
    <row r="862" spans="17:17" x14ac:dyDescent="0.25">
      <c r="Q862" s="8"/>
    </row>
    <row r="863" spans="17:17" x14ac:dyDescent="0.25">
      <c r="Q863" s="8"/>
    </row>
    <row r="864" spans="17:17" x14ac:dyDescent="0.25">
      <c r="Q864" s="8"/>
    </row>
    <row r="865" spans="17:17" x14ac:dyDescent="0.25">
      <c r="Q865" s="8"/>
    </row>
    <row r="866" spans="17:17" x14ac:dyDescent="0.25">
      <c r="Q866" s="8"/>
    </row>
    <row r="867" spans="17:17" x14ac:dyDescent="0.25">
      <c r="Q867" s="8"/>
    </row>
    <row r="868" spans="17:17" x14ac:dyDescent="0.25">
      <c r="Q868" s="8"/>
    </row>
    <row r="869" spans="17:17" x14ac:dyDescent="0.25">
      <c r="Q869" s="8"/>
    </row>
    <row r="870" spans="17:17" x14ac:dyDescent="0.25">
      <c r="Q870" s="8"/>
    </row>
    <row r="871" spans="17:17" x14ac:dyDescent="0.25">
      <c r="Q871" s="8"/>
    </row>
    <row r="872" spans="17:17" x14ac:dyDescent="0.25">
      <c r="Q872" s="8"/>
    </row>
    <row r="873" spans="17:17" x14ac:dyDescent="0.25">
      <c r="Q873" s="8"/>
    </row>
    <row r="874" spans="17:17" x14ac:dyDescent="0.25">
      <c r="Q874" s="8"/>
    </row>
    <row r="875" spans="17:17" x14ac:dyDescent="0.25">
      <c r="Q875" s="8"/>
    </row>
    <row r="876" spans="17:17" x14ac:dyDescent="0.25">
      <c r="Q876" s="8"/>
    </row>
    <row r="877" spans="17:17" x14ac:dyDescent="0.25">
      <c r="Q877" s="8"/>
    </row>
    <row r="878" spans="17:17" x14ac:dyDescent="0.25">
      <c r="Q878" s="8"/>
    </row>
    <row r="879" spans="17:17" x14ac:dyDescent="0.25">
      <c r="Q879" s="8"/>
    </row>
    <row r="880" spans="17:17" x14ac:dyDescent="0.25">
      <c r="Q880" s="8"/>
    </row>
    <row r="881" spans="17:17" x14ac:dyDescent="0.25">
      <c r="Q881" s="8"/>
    </row>
    <row r="882" spans="17:17" x14ac:dyDescent="0.25">
      <c r="Q882" s="8"/>
    </row>
    <row r="883" spans="17:17" x14ac:dyDescent="0.25">
      <c r="Q883" s="8"/>
    </row>
    <row r="884" spans="17:17" x14ac:dyDescent="0.25">
      <c r="Q884" s="8"/>
    </row>
    <row r="885" spans="17:17" x14ac:dyDescent="0.25">
      <c r="Q885" s="8"/>
    </row>
    <row r="886" spans="17:17" x14ac:dyDescent="0.25">
      <c r="Q886" s="8"/>
    </row>
    <row r="887" spans="17:17" x14ac:dyDescent="0.25">
      <c r="Q887" s="8"/>
    </row>
    <row r="888" spans="17:17" x14ac:dyDescent="0.25">
      <c r="Q888" s="8"/>
    </row>
    <row r="889" spans="17:17" x14ac:dyDescent="0.25">
      <c r="Q889" s="8"/>
    </row>
    <row r="890" spans="17:17" x14ac:dyDescent="0.25">
      <c r="Q890" s="8"/>
    </row>
    <row r="891" spans="17:17" x14ac:dyDescent="0.25">
      <c r="Q891" s="8"/>
    </row>
    <row r="892" spans="17:17" x14ac:dyDescent="0.25">
      <c r="Q892" s="8"/>
    </row>
    <row r="893" spans="17:17" x14ac:dyDescent="0.25">
      <c r="Q893" s="8"/>
    </row>
    <row r="894" spans="17:17" x14ac:dyDescent="0.25">
      <c r="Q894" s="8"/>
    </row>
    <row r="895" spans="17:17" x14ac:dyDescent="0.25">
      <c r="Q895" s="8"/>
    </row>
    <row r="896" spans="17:17" x14ac:dyDescent="0.25">
      <c r="Q896" s="8"/>
    </row>
    <row r="897" spans="17:17" x14ac:dyDescent="0.25">
      <c r="Q897" s="8"/>
    </row>
    <row r="898" spans="17:17" x14ac:dyDescent="0.25">
      <c r="Q898" s="8"/>
    </row>
    <row r="899" spans="17:17" x14ac:dyDescent="0.25">
      <c r="Q899" s="8"/>
    </row>
    <row r="900" spans="17:17" x14ac:dyDescent="0.25">
      <c r="Q900" s="8"/>
    </row>
    <row r="901" spans="17:17" x14ac:dyDescent="0.25">
      <c r="Q901" s="8"/>
    </row>
    <row r="902" spans="17:17" x14ac:dyDescent="0.25">
      <c r="Q902" s="8"/>
    </row>
    <row r="903" spans="17:17" x14ac:dyDescent="0.25">
      <c r="Q903" s="8"/>
    </row>
    <row r="904" spans="17:17" x14ac:dyDescent="0.25">
      <c r="Q904" s="8"/>
    </row>
    <row r="905" spans="17:17" x14ac:dyDescent="0.25">
      <c r="Q905" s="8"/>
    </row>
    <row r="906" spans="17:17" x14ac:dyDescent="0.25">
      <c r="Q906" s="8"/>
    </row>
    <row r="907" spans="17:17" x14ac:dyDescent="0.25">
      <c r="Q907" s="8"/>
    </row>
    <row r="908" spans="17:17" x14ac:dyDescent="0.25">
      <c r="Q908" s="8"/>
    </row>
    <row r="909" spans="17:17" x14ac:dyDescent="0.25">
      <c r="Q909" s="8"/>
    </row>
    <row r="910" spans="17:17" x14ac:dyDescent="0.25">
      <c r="Q910" s="8"/>
    </row>
    <row r="911" spans="17:17" x14ac:dyDescent="0.25">
      <c r="Q911" s="8"/>
    </row>
    <row r="912" spans="17:17" x14ac:dyDescent="0.25">
      <c r="Q912" s="8"/>
    </row>
    <row r="913" spans="17:17" x14ac:dyDescent="0.25">
      <c r="Q913" s="8"/>
    </row>
    <row r="914" spans="17:17" x14ac:dyDescent="0.25">
      <c r="Q914" s="8"/>
    </row>
    <row r="915" spans="17:17" x14ac:dyDescent="0.25">
      <c r="Q915" s="8"/>
    </row>
    <row r="916" spans="17:17" x14ac:dyDescent="0.25">
      <c r="Q916" s="8"/>
    </row>
    <row r="917" spans="17:17" x14ac:dyDescent="0.25">
      <c r="Q917" s="8"/>
    </row>
    <row r="918" spans="17:17" x14ac:dyDescent="0.25">
      <c r="Q918" s="8"/>
    </row>
    <row r="919" spans="17:17" x14ac:dyDescent="0.25">
      <c r="Q919" s="8"/>
    </row>
    <row r="920" spans="17:17" x14ac:dyDescent="0.25">
      <c r="Q920" s="8"/>
    </row>
    <row r="921" spans="17:17" x14ac:dyDescent="0.25">
      <c r="Q921" s="8"/>
    </row>
    <row r="922" spans="17:17" x14ac:dyDescent="0.25">
      <c r="Q922" s="8"/>
    </row>
    <row r="923" spans="17:17" x14ac:dyDescent="0.25">
      <c r="Q923" s="8"/>
    </row>
    <row r="924" spans="17:17" x14ac:dyDescent="0.25">
      <c r="Q924" s="8"/>
    </row>
    <row r="925" spans="17:17" x14ac:dyDescent="0.25">
      <c r="Q925" s="8"/>
    </row>
    <row r="926" spans="17:17" x14ac:dyDescent="0.25">
      <c r="Q926" s="8"/>
    </row>
    <row r="927" spans="17:17" x14ac:dyDescent="0.25">
      <c r="Q927" s="8"/>
    </row>
    <row r="928" spans="17:17" x14ac:dyDescent="0.25">
      <c r="Q928" s="8"/>
    </row>
    <row r="929" spans="17:17" x14ac:dyDescent="0.25">
      <c r="Q929" s="8"/>
    </row>
    <row r="930" spans="17:17" x14ac:dyDescent="0.25">
      <c r="Q930" s="8"/>
    </row>
    <row r="931" spans="17:17" x14ac:dyDescent="0.25">
      <c r="Q931" s="8"/>
    </row>
    <row r="932" spans="17:17" x14ac:dyDescent="0.25">
      <c r="Q932" s="8"/>
    </row>
    <row r="933" spans="17:17" x14ac:dyDescent="0.25">
      <c r="Q933" s="8"/>
    </row>
    <row r="934" spans="17:17" x14ac:dyDescent="0.25">
      <c r="Q934" s="8"/>
    </row>
    <row r="935" spans="17:17" x14ac:dyDescent="0.25">
      <c r="Q935" s="8"/>
    </row>
    <row r="936" spans="17:17" x14ac:dyDescent="0.25">
      <c r="Q936" s="8"/>
    </row>
    <row r="937" spans="17:17" x14ac:dyDescent="0.25">
      <c r="Q937" s="8"/>
    </row>
    <row r="938" spans="17:17" x14ac:dyDescent="0.25">
      <c r="Q938" s="8"/>
    </row>
    <row r="939" spans="17:17" x14ac:dyDescent="0.25">
      <c r="Q939" s="8"/>
    </row>
    <row r="940" spans="17:17" x14ac:dyDescent="0.25">
      <c r="Q940" s="8"/>
    </row>
    <row r="941" spans="17:17" x14ac:dyDescent="0.25">
      <c r="Q941" s="8"/>
    </row>
    <row r="942" spans="17:17" x14ac:dyDescent="0.25">
      <c r="Q942" s="8"/>
    </row>
    <row r="943" spans="17:17" x14ac:dyDescent="0.25">
      <c r="Q943" s="8"/>
    </row>
    <row r="944" spans="17:17" x14ac:dyDescent="0.25">
      <c r="Q944" s="8"/>
    </row>
    <row r="945" spans="17:17" x14ac:dyDescent="0.25">
      <c r="Q945" s="8"/>
    </row>
    <row r="946" spans="17:17" x14ac:dyDescent="0.25">
      <c r="Q946" s="8"/>
    </row>
    <row r="947" spans="17:17" x14ac:dyDescent="0.25">
      <c r="Q947" s="8"/>
    </row>
    <row r="948" spans="17:17" x14ac:dyDescent="0.25">
      <c r="Q948" s="8"/>
    </row>
    <row r="949" spans="17:17" x14ac:dyDescent="0.25">
      <c r="Q949" s="8"/>
    </row>
    <row r="950" spans="17:17" x14ac:dyDescent="0.25">
      <c r="Q950" s="8"/>
    </row>
    <row r="951" spans="17:17" x14ac:dyDescent="0.25">
      <c r="Q951" s="8"/>
    </row>
    <row r="952" spans="17:17" x14ac:dyDescent="0.25">
      <c r="Q952" s="8"/>
    </row>
    <row r="953" spans="17:17" x14ac:dyDescent="0.25">
      <c r="Q953" s="8"/>
    </row>
    <row r="954" spans="17:17" x14ac:dyDescent="0.25">
      <c r="Q954" s="8"/>
    </row>
    <row r="955" spans="17:17" x14ac:dyDescent="0.25">
      <c r="Q955" s="8"/>
    </row>
    <row r="956" spans="17:17" x14ac:dyDescent="0.25">
      <c r="Q956" s="8"/>
    </row>
    <row r="957" spans="17:17" x14ac:dyDescent="0.25">
      <c r="Q957" s="8"/>
    </row>
    <row r="958" spans="17:17" x14ac:dyDescent="0.25">
      <c r="Q958" s="8"/>
    </row>
    <row r="959" spans="17:17" x14ac:dyDescent="0.25">
      <c r="Q959" s="8"/>
    </row>
    <row r="960" spans="17:17" x14ac:dyDescent="0.25">
      <c r="Q960" s="8"/>
    </row>
    <row r="961" spans="17:17" x14ac:dyDescent="0.25">
      <c r="Q961" s="8"/>
    </row>
    <row r="962" spans="17:17" x14ac:dyDescent="0.25">
      <c r="Q962" s="8"/>
    </row>
    <row r="963" spans="17:17" x14ac:dyDescent="0.25">
      <c r="Q963" s="8"/>
    </row>
    <row r="964" spans="17:17" x14ac:dyDescent="0.25">
      <c r="Q964" s="8"/>
    </row>
    <row r="965" spans="17:17" x14ac:dyDescent="0.25">
      <c r="Q965" s="8"/>
    </row>
    <row r="966" spans="17:17" x14ac:dyDescent="0.25">
      <c r="Q966" s="8"/>
    </row>
    <row r="967" spans="17:17" x14ac:dyDescent="0.25">
      <c r="Q967" s="8"/>
    </row>
    <row r="968" spans="17:17" x14ac:dyDescent="0.25">
      <c r="Q968" s="8"/>
    </row>
    <row r="969" spans="17:17" x14ac:dyDescent="0.25">
      <c r="Q969" s="8"/>
    </row>
    <row r="970" spans="17:17" x14ac:dyDescent="0.25">
      <c r="Q970" s="8"/>
    </row>
    <row r="971" spans="17:17" x14ac:dyDescent="0.25">
      <c r="Q971" s="8"/>
    </row>
    <row r="972" spans="17:17" x14ac:dyDescent="0.25">
      <c r="Q972" s="8"/>
    </row>
    <row r="973" spans="17:17" x14ac:dyDescent="0.25">
      <c r="Q973" s="8"/>
    </row>
    <row r="974" spans="17:17" x14ac:dyDescent="0.25">
      <c r="Q974" s="8"/>
    </row>
    <row r="975" spans="17:17" x14ac:dyDescent="0.25">
      <c r="Q975" s="8"/>
    </row>
    <row r="976" spans="17:17" x14ac:dyDescent="0.25">
      <c r="Q976" s="8"/>
    </row>
    <row r="977" spans="17:17" x14ac:dyDescent="0.25">
      <c r="Q977" s="8"/>
    </row>
    <row r="978" spans="17:17" x14ac:dyDescent="0.25">
      <c r="Q978" s="8"/>
    </row>
    <row r="979" spans="17:17" x14ac:dyDescent="0.25">
      <c r="Q979" s="8"/>
    </row>
    <row r="980" spans="17:17" x14ac:dyDescent="0.25">
      <c r="Q980" s="8"/>
    </row>
    <row r="981" spans="17:17" x14ac:dyDescent="0.25">
      <c r="Q981" s="8"/>
    </row>
    <row r="982" spans="17:17" x14ac:dyDescent="0.25">
      <c r="Q982" s="8"/>
    </row>
    <row r="983" spans="17:17" x14ac:dyDescent="0.25">
      <c r="Q983" s="8"/>
    </row>
    <row r="984" spans="17:17" x14ac:dyDescent="0.25">
      <c r="Q984" s="8"/>
    </row>
    <row r="985" spans="17:17" x14ac:dyDescent="0.25">
      <c r="Q985" s="8"/>
    </row>
    <row r="986" spans="17:17" x14ac:dyDescent="0.25">
      <c r="Q986" s="8"/>
    </row>
    <row r="987" spans="17:17" x14ac:dyDescent="0.25">
      <c r="Q987" s="8"/>
    </row>
    <row r="988" spans="17:17" x14ac:dyDescent="0.25">
      <c r="Q988" s="8"/>
    </row>
    <row r="989" spans="17:17" x14ac:dyDescent="0.25">
      <c r="Q989" s="8"/>
    </row>
    <row r="990" spans="17:17" x14ac:dyDescent="0.25">
      <c r="Q990" s="8"/>
    </row>
    <row r="991" spans="17:17" x14ac:dyDescent="0.25">
      <c r="Q991" s="8"/>
    </row>
    <row r="992" spans="17:17" x14ac:dyDescent="0.25">
      <c r="Q992" s="8"/>
    </row>
    <row r="993" spans="17:17" x14ac:dyDescent="0.25">
      <c r="Q993" s="8"/>
    </row>
    <row r="994" spans="17:17" x14ac:dyDescent="0.25">
      <c r="Q994" s="8"/>
    </row>
    <row r="995" spans="17:17" x14ac:dyDescent="0.25">
      <c r="Q995" s="8"/>
    </row>
    <row r="996" spans="17:17" x14ac:dyDescent="0.25">
      <c r="Q996" s="8"/>
    </row>
    <row r="997" spans="17:17" x14ac:dyDescent="0.25">
      <c r="Q997" s="8"/>
    </row>
    <row r="998" spans="17:17" x14ac:dyDescent="0.25">
      <c r="Q998" s="8"/>
    </row>
    <row r="999" spans="17:17" x14ac:dyDescent="0.25">
      <c r="Q999" s="8"/>
    </row>
    <row r="1000" spans="17:17" x14ac:dyDescent="0.25">
      <c r="Q1000" s="8"/>
    </row>
    <row r="1001" spans="17:17" x14ac:dyDescent="0.25">
      <c r="Q1001" s="8"/>
    </row>
    <row r="1002" spans="17:17" x14ac:dyDescent="0.25">
      <c r="Q1002" s="8"/>
    </row>
    <row r="1003" spans="17:17" x14ac:dyDescent="0.25">
      <c r="Q1003" s="8"/>
    </row>
    <row r="1004" spans="17:17" x14ac:dyDescent="0.25">
      <c r="Q1004" s="8"/>
    </row>
    <row r="1005" spans="17:17" x14ac:dyDescent="0.25">
      <c r="Q1005" s="8"/>
    </row>
    <row r="1006" spans="17:17" x14ac:dyDescent="0.25">
      <c r="Q1006" s="8"/>
    </row>
    <row r="1007" spans="17:17" x14ac:dyDescent="0.25">
      <c r="Q1007" s="8"/>
    </row>
    <row r="1008" spans="17:17" x14ac:dyDescent="0.25">
      <c r="Q1008" s="8"/>
    </row>
    <row r="1009" spans="17:17" x14ac:dyDescent="0.25">
      <c r="Q1009" s="8"/>
    </row>
    <row r="1010" spans="17:17" x14ac:dyDescent="0.25">
      <c r="Q1010" s="8"/>
    </row>
    <row r="1011" spans="17:17" x14ac:dyDescent="0.25">
      <c r="Q1011" s="8"/>
    </row>
    <row r="1012" spans="17:17" x14ac:dyDescent="0.25">
      <c r="Q1012" s="8"/>
    </row>
    <row r="1013" spans="17:17" x14ac:dyDescent="0.25">
      <c r="Q1013" s="8"/>
    </row>
    <row r="1014" spans="17:17" x14ac:dyDescent="0.25">
      <c r="Q1014" s="8"/>
    </row>
    <row r="1015" spans="17:17" x14ac:dyDescent="0.25">
      <c r="Q1015" s="8"/>
    </row>
    <row r="1016" spans="17:17" x14ac:dyDescent="0.25">
      <c r="Q1016" s="8"/>
    </row>
    <row r="1017" spans="17:17" x14ac:dyDescent="0.25">
      <c r="Q1017" s="8"/>
    </row>
    <row r="1018" spans="17:17" x14ac:dyDescent="0.25">
      <c r="Q1018" s="8"/>
    </row>
    <row r="1019" spans="17:17" x14ac:dyDescent="0.25">
      <c r="Q1019" s="8"/>
    </row>
    <row r="1020" spans="17:17" x14ac:dyDescent="0.25">
      <c r="Q1020" s="8"/>
    </row>
    <row r="1021" spans="17:17" x14ac:dyDescent="0.25">
      <c r="Q1021" s="8"/>
    </row>
    <row r="1022" spans="17:17" x14ac:dyDescent="0.25">
      <c r="Q1022" s="8"/>
    </row>
    <row r="1023" spans="17:17" x14ac:dyDescent="0.25">
      <c r="Q1023" s="8"/>
    </row>
    <row r="1024" spans="17:17" x14ac:dyDescent="0.25">
      <c r="Q1024" s="8"/>
    </row>
    <row r="1025" spans="17:17" x14ac:dyDescent="0.25">
      <c r="Q1025" s="8"/>
    </row>
    <row r="1026" spans="17:17" x14ac:dyDescent="0.25">
      <c r="Q1026" s="8"/>
    </row>
    <row r="1027" spans="17:17" x14ac:dyDescent="0.25">
      <c r="Q1027" s="8"/>
    </row>
    <row r="1028" spans="17:17" x14ac:dyDescent="0.25">
      <c r="Q1028" s="8"/>
    </row>
    <row r="1029" spans="17:17" x14ac:dyDescent="0.25">
      <c r="Q1029" s="8"/>
    </row>
    <row r="1030" spans="17:17" x14ac:dyDescent="0.25">
      <c r="Q1030" s="8"/>
    </row>
    <row r="1031" spans="17:17" x14ac:dyDescent="0.25">
      <c r="Q1031" s="8"/>
    </row>
    <row r="1032" spans="17:17" x14ac:dyDescent="0.25">
      <c r="Q1032" s="8"/>
    </row>
    <row r="1033" spans="17:17" x14ac:dyDescent="0.25">
      <c r="Q1033" s="8"/>
    </row>
    <row r="1034" spans="17:17" x14ac:dyDescent="0.25">
      <c r="Q1034" s="8"/>
    </row>
    <row r="1035" spans="17:17" x14ac:dyDescent="0.25">
      <c r="Q1035" s="8"/>
    </row>
    <row r="1036" spans="17:17" x14ac:dyDescent="0.25">
      <c r="Q1036" s="8"/>
    </row>
    <row r="1037" spans="17:17" x14ac:dyDescent="0.25">
      <c r="Q1037" s="8"/>
    </row>
    <row r="1038" spans="17:17" x14ac:dyDescent="0.25">
      <c r="Q1038" s="8"/>
    </row>
    <row r="1039" spans="17:17" x14ac:dyDescent="0.25">
      <c r="Q1039" s="8"/>
    </row>
    <row r="1040" spans="17:17" x14ac:dyDescent="0.25">
      <c r="Q1040" s="8"/>
    </row>
    <row r="1041" spans="17:17" x14ac:dyDescent="0.25">
      <c r="Q1041" s="8"/>
    </row>
    <row r="1042" spans="17:17" x14ac:dyDescent="0.25">
      <c r="Q1042" s="8"/>
    </row>
    <row r="1043" spans="17:17" x14ac:dyDescent="0.25">
      <c r="Q1043" s="8"/>
    </row>
    <row r="1044" spans="17:17" x14ac:dyDescent="0.25">
      <c r="Q1044" s="8"/>
    </row>
    <row r="1045" spans="17:17" x14ac:dyDescent="0.25">
      <c r="Q1045" s="8"/>
    </row>
    <row r="1046" spans="17:17" x14ac:dyDescent="0.25">
      <c r="Q1046" s="8"/>
    </row>
    <row r="1047" spans="17:17" x14ac:dyDescent="0.25">
      <c r="Q1047" s="8"/>
    </row>
    <row r="1048" spans="17:17" x14ac:dyDescent="0.25">
      <c r="Q1048" s="8"/>
    </row>
    <row r="1049" spans="17:17" x14ac:dyDescent="0.25">
      <c r="Q1049" s="8"/>
    </row>
    <row r="1050" spans="17:17" x14ac:dyDescent="0.25">
      <c r="Q1050" s="8"/>
    </row>
    <row r="1051" spans="17:17" x14ac:dyDescent="0.25">
      <c r="Q1051" s="8"/>
    </row>
    <row r="1052" spans="17:17" x14ac:dyDescent="0.25">
      <c r="Q1052" s="8"/>
    </row>
    <row r="1053" spans="17:17" x14ac:dyDescent="0.25">
      <c r="Q1053" s="8"/>
    </row>
    <row r="1054" spans="17:17" x14ac:dyDescent="0.25">
      <c r="Q1054" s="8"/>
    </row>
    <row r="1055" spans="17:17" x14ac:dyDescent="0.25">
      <c r="Q1055" s="8"/>
    </row>
    <row r="1056" spans="17:17" x14ac:dyDescent="0.25">
      <c r="Q1056" s="8"/>
    </row>
    <row r="1057" spans="17:17" x14ac:dyDescent="0.25">
      <c r="Q1057" s="8"/>
    </row>
    <row r="1058" spans="17:17" x14ac:dyDescent="0.25">
      <c r="Q1058" s="8"/>
    </row>
    <row r="1059" spans="17:17" x14ac:dyDescent="0.25">
      <c r="Q1059" s="8"/>
    </row>
    <row r="1060" spans="17:17" x14ac:dyDescent="0.25">
      <c r="Q1060" s="8"/>
    </row>
    <row r="1061" spans="17:17" x14ac:dyDescent="0.25">
      <c r="Q1061" s="8"/>
    </row>
    <row r="1062" spans="17:17" x14ac:dyDescent="0.25">
      <c r="Q1062" s="8"/>
    </row>
    <row r="1063" spans="17:17" x14ac:dyDescent="0.25">
      <c r="Q1063" s="8"/>
    </row>
    <row r="1064" spans="17:17" x14ac:dyDescent="0.25">
      <c r="Q1064" s="8"/>
    </row>
    <row r="1065" spans="17:17" x14ac:dyDescent="0.25">
      <c r="Q1065" s="8"/>
    </row>
    <row r="1066" spans="17:17" x14ac:dyDescent="0.25">
      <c r="Q1066" s="8"/>
    </row>
    <row r="1067" spans="17:17" x14ac:dyDescent="0.25">
      <c r="Q1067" s="8"/>
    </row>
    <row r="1068" spans="17:17" x14ac:dyDescent="0.25">
      <c r="Q1068" s="8"/>
    </row>
    <row r="1069" spans="17:17" x14ac:dyDescent="0.25">
      <c r="Q1069" s="8"/>
    </row>
    <row r="1070" spans="17:17" x14ac:dyDescent="0.25">
      <c r="Q1070" s="8"/>
    </row>
    <row r="1071" spans="17:17" x14ac:dyDescent="0.25">
      <c r="Q1071" s="8"/>
    </row>
    <row r="1072" spans="17:17" x14ac:dyDescent="0.25">
      <c r="Q1072" s="8"/>
    </row>
    <row r="1073" spans="17:17" x14ac:dyDescent="0.25">
      <c r="Q1073" s="8"/>
    </row>
    <row r="1074" spans="17:17" x14ac:dyDescent="0.25">
      <c r="Q1074" s="8"/>
    </row>
    <row r="1075" spans="17:17" x14ac:dyDescent="0.25">
      <c r="Q1075" s="8"/>
    </row>
    <row r="1076" spans="17:17" x14ac:dyDescent="0.25">
      <c r="Q1076" s="8"/>
    </row>
    <row r="1077" spans="17:17" x14ac:dyDescent="0.25">
      <c r="Q1077" s="8"/>
    </row>
    <row r="1078" spans="17:17" x14ac:dyDescent="0.25">
      <c r="Q1078" s="8"/>
    </row>
    <row r="1079" spans="17:17" x14ac:dyDescent="0.25">
      <c r="Q1079" s="8"/>
    </row>
    <row r="1080" spans="17:17" x14ac:dyDescent="0.25">
      <c r="Q1080" s="8"/>
    </row>
    <row r="1081" spans="17:17" x14ac:dyDescent="0.25">
      <c r="Q1081" s="8"/>
    </row>
    <row r="1082" spans="17:17" x14ac:dyDescent="0.25">
      <c r="Q1082" s="8"/>
    </row>
    <row r="1083" spans="17:17" x14ac:dyDescent="0.25">
      <c r="Q1083" s="8"/>
    </row>
    <row r="1084" spans="17:17" x14ac:dyDescent="0.25">
      <c r="Q1084" s="8"/>
    </row>
    <row r="1085" spans="17:17" x14ac:dyDescent="0.25">
      <c r="Q1085" s="8"/>
    </row>
    <row r="1086" spans="17:17" x14ac:dyDescent="0.25">
      <c r="Q1086" s="8"/>
    </row>
    <row r="1087" spans="17:17" x14ac:dyDescent="0.25">
      <c r="Q1087" s="8"/>
    </row>
    <row r="1088" spans="17:17" x14ac:dyDescent="0.25">
      <c r="Q1088" s="8"/>
    </row>
    <row r="1089" spans="17:17" x14ac:dyDescent="0.25">
      <c r="Q1089" s="8"/>
    </row>
    <row r="1090" spans="17:17" x14ac:dyDescent="0.25">
      <c r="Q1090" s="8"/>
    </row>
    <row r="1091" spans="17:17" x14ac:dyDescent="0.25">
      <c r="Q1091" s="8"/>
    </row>
    <row r="1092" spans="17:17" x14ac:dyDescent="0.25">
      <c r="Q1092" s="8"/>
    </row>
    <row r="1093" spans="17:17" x14ac:dyDescent="0.25">
      <c r="Q1093" s="8"/>
    </row>
    <row r="1094" spans="17:17" x14ac:dyDescent="0.25">
      <c r="Q1094" s="8"/>
    </row>
    <row r="1095" spans="17:17" x14ac:dyDescent="0.25">
      <c r="Q1095" s="8"/>
    </row>
    <row r="1096" spans="17:17" x14ac:dyDescent="0.25">
      <c r="Q1096" s="8"/>
    </row>
    <row r="1097" spans="17:17" x14ac:dyDescent="0.25">
      <c r="Q1097" s="8"/>
    </row>
    <row r="1098" spans="17:17" x14ac:dyDescent="0.25">
      <c r="Q1098" s="8"/>
    </row>
    <row r="1099" spans="17:17" x14ac:dyDescent="0.25">
      <c r="Q1099" s="8"/>
    </row>
    <row r="1100" spans="17:17" x14ac:dyDescent="0.25">
      <c r="Q1100" s="8"/>
    </row>
    <row r="1101" spans="17:17" x14ac:dyDescent="0.25">
      <c r="Q1101" s="8"/>
    </row>
    <row r="1102" spans="17:17" x14ac:dyDescent="0.25">
      <c r="Q1102" s="8"/>
    </row>
    <row r="1103" spans="17:17" x14ac:dyDescent="0.25">
      <c r="Q1103" s="8"/>
    </row>
    <row r="1104" spans="17:17" x14ac:dyDescent="0.25">
      <c r="Q1104" s="8"/>
    </row>
    <row r="1105" spans="17:17" x14ac:dyDescent="0.25">
      <c r="Q1105" s="8"/>
    </row>
    <row r="1106" spans="17:17" x14ac:dyDescent="0.25">
      <c r="Q1106" s="8"/>
    </row>
    <row r="1107" spans="17:17" x14ac:dyDescent="0.25">
      <c r="Q1107" s="8"/>
    </row>
    <row r="1108" spans="17:17" x14ac:dyDescent="0.25">
      <c r="Q1108" s="8"/>
    </row>
    <row r="1109" spans="17:17" x14ac:dyDescent="0.25">
      <c r="Q1109" s="8"/>
    </row>
    <row r="1110" spans="17:17" x14ac:dyDescent="0.25">
      <c r="Q1110" s="8"/>
    </row>
    <row r="1111" spans="17:17" x14ac:dyDescent="0.25">
      <c r="Q1111" s="8"/>
    </row>
    <row r="1112" spans="17:17" x14ac:dyDescent="0.25">
      <c r="Q1112" s="8"/>
    </row>
    <row r="1113" spans="17:17" x14ac:dyDescent="0.25">
      <c r="Q1113" s="8"/>
    </row>
    <row r="1114" spans="17:17" x14ac:dyDescent="0.25">
      <c r="Q1114" s="8"/>
    </row>
    <row r="1115" spans="17:17" x14ac:dyDescent="0.25">
      <c r="Q1115" s="8"/>
    </row>
    <row r="1116" spans="17:17" x14ac:dyDescent="0.25">
      <c r="Q1116" s="8"/>
    </row>
    <row r="1117" spans="17:17" x14ac:dyDescent="0.25">
      <c r="Q1117" s="8"/>
    </row>
    <row r="1118" spans="17:17" x14ac:dyDescent="0.25">
      <c r="Q1118" s="8"/>
    </row>
    <row r="1119" spans="17:17" x14ac:dyDescent="0.25">
      <c r="Q1119" s="8"/>
    </row>
    <row r="1120" spans="17:17" x14ac:dyDescent="0.25">
      <c r="Q1120" s="8"/>
    </row>
    <row r="1121" spans="17:17" x14ac:dyDescent="0.25">
      <c r="Q1121" s="8"/>
    </row>
    <row r="1122" spans="17:17" x14ac:dyDescent="0.25">
      <c r="Q1122" s="8"/>
    </row>
    <row r="1123" spans="17:17" x14ac:dyDescent="0.25">
      <c r="Q1123" s="8"/>
    </row>
    <row r="1124" spans="17:17" x14ac:dyDescent="0.25">
      <c r="Q1124" s="8"/>
    </row>
    <row r="1125" spans="17:17" x14ac:dyDescent="0.25">
      <c r="Q1125" s="8"/>
    </row>
    <row r="1126" spans="17:17" x14ac:dyDescent="0.25">
      <c r="Q1126" s="8"/>
    </row>
    <row r="1127" spans="17:17" x14ac:dyDescent="0.25">
      <c r="Q1127" s="8"/>
    </row>
    <row r="1128" spans="17:17" x14ac:dyDescent="0.25">
      <c r="Q1128" s="8"/>
    </row>
    <row r="1129" spans="17:17" x14ac:dyDescent="0.25">
      <c r="Q1129" s="8"/>
    </row>
    <row r="1130" spans="17:17" x14ac:dyDescent="0.25">
      <c r="Q1130" s="8"/>
    </row>
    <row r="1131" spans="17:17" x14ac:dyDescent="0.25">
      <c r="Q1131" s="8"/>
    </row>
    <row r="1132" spans="17:17" x14ac:dyDescent="0.25">
      <c r="Q1132" s="8"/>
    </row>
    <row r="1133" spans="17:17" x14ac:dyDescent="0.25">
      <c r="Q1133" s="8"/>
    </row>
    <row r="1134" spans="17:17" x14ac:dyDescent="0.25">
      <c r="Q1134" s="8"/>
    </row>
    <row r="1135" spans="17:17" x14ac:dyDescent="0.25">
      <c r="Q1135" s="8"/>
    </row>
    <row r="1136" spans="17:17" x14ac:dyDescent="0.25">
      <c r="Q1136" s="8"/>
    </row>
    <row r="1137" spans="17:17" x14ac:dyDescent="0.25">
      <c r="Q1137" s="8"/>
    </row>
    <row r="1138" spans="17:17" x14ac:dyDescent="0.25">
      <c r="Q1138" s="8"/>
    </row>
    <row r="1139" spans="17:17" x14ac:dyDescent="0.25">
      <c r="Q1139" s="8"/>
    </row>
    <row r="1140" spans="17:17" x14ac:dyDescent="0.25">
      <c r="Q1140" s="8"/>
    </row>
    <row r="1141" spans="17:17" x14ac:dyDescent="0.25">
      <c r="Q1141" s="8"/>
    </row>
    <row r="1142" spans="17:17" x14ac:dyDescent="0.25">
      <c r="Q1142" s="8"/>
    </row>
    <row r="1143" spans="17:17" x14ac:dyDescent="0.25">
      <c r="Q1143" s="8"/>
    </row>
    <row r="1144" spans="17:17" x14ac:dyDescent="0.25">
      <c r="Q1144" s="8"/>
    </row>
    <row r="1145" spans="17:17" x14ac:dyDescent="0.25">
      <c r="Q1145" s="8"/>
    </row>
    <row r="1146" spans="17:17" x14ac:dyDescent="0.25">
      <c r="Q1146" s="8"/>
    </row>
    <row r="1147" spans="17:17" x14ac:dyDescent="0.25">
      <c r="Q1147" s="8"/>
    </row>
    <row r="1148" spans="17:17" x14ac:dyDescent="0.25">
      <c r="Q1148" s="8"/>
    </row>
    <row r="1149" spans="17:17" x14ac:dyDescent="0.25">
      <c r="Q1149" s="8"/>
    </row>
    <row r="1150" spans="17:17" x14ac:dyDescent="0.25">
      <c r="Q1150" s="8"/>
    </row>
    <row r="1151" spans="17:17" x14ac:dyDescent="0.25">
      <c r="Q1151" s="8"/>
    </row>
    <row r="1152" spans="17:17" x14ac:dyDescent="0.25">
      <c r="Q1152" s="8"/>
    </row>
    <row r="1153" spans="17:17" x14ac:dyDescent="0.25">
      <c r="Q1153" s="8"/>
    </row>
    <row r="1154" spans="17:17" x14ac:dyDescent="0.25">
      <c r="Q1154" s="8"/>
    </row>
    <row r="1155" spans="17:17" x14ac:dyDescent="0.25">
      <c r="Q1155" s="8"/>
    </row>
    <row r="1156" spans="17:17" x14ac:dyDescent="0.25">
      <c r="Q1156" s="8"/>
    </row>
    <row r="1157" spans="17:17" x14ac:dyDescent="0.25">
      <c r="Q1157" s="8"/>
    </row>
    <row r="1158" spans="17:17" x14ac:dyDescent="0.25">
      <c r="Q1158" s="8"/>
    </row>
    <row r="1159" spans="17:17" x14ac:dyDescent="0.25">
      <c r="Q1159" s="8"/>
    </row>
    <row r="1160" spans="17:17" x14ac:dyDescent="0.25">
      <c r="Q1160" s="8"/>
    </row>
    <row r="1161" spans="17:17" x14ac:dyDescent="0.25">
      <c r="Q1161" s="8"/>
    </row>
    <row r="1162" spans="17:17" x14ac:dyDescent="0.25">
      <c r="Q1162" s="8"/>
    </row>
    <row r="1163" spans="17:17" x14ac:dyDescent="0.25">
      <c r="Q1163" s="8"/>
    </row>
    <row r="1164" spans="17:17" x14ac:dyDescent="0.25">
      <c r="Q1164" s="8"/>
    </row>
    <row r="1165" spans="17:17" x14ac:dyDescent="0.25">
      <c r="Q1165" s="8"/>
    </row>
    <row r="1166" spans="17:17" x14ac:dyDescent="0.25">
      <c r="Q1166" s="8"/>
    </row>
    <row r="1167" spans="17:17" x14ac:dyDescent="0.25">
      <c r="Q1167" s="8"/>
    </row>
    <row r="1168" spans="17:17" x14ac:dyDescent="0.25">
      <c r="Q1168" s="8"/>
    </row>
    <row r="1169" spans="17:17" x14ac:dyDescent="0.25">
      <c r="Q1169" s="8"/>
    </row>
    <row r="1170" spans="17:17" x14ac:dyDescent="0.25">
      <c r="Q1170" s="8"/>
    </row>
    <row r="1171" spans="17:17" x14ac:dyDescent="0.25">
      <c r="Q1171" s="8"/>
    </row>
    <row r="1172" spans="17:17" x14ac:dyDescent="0.25">
      <c r="Q1172" s="8"/>
    </row>
    <row r="1173" spans="17:17" x14ac:dyDescent="0.25">
      <c r="Q1173" s="8"/>
    </row>
    <row r="1174" spans="17:17" x14ac:dyDescent="0.25">
      <c r="Q1174" s="8"/>
    </row>
    <row r="1175" spans="17:17" x14ac:dyDescent="0.25">
      <c r="Q1175" s="8"/>
    </row>
    <row r="1176" spans="17:17" x14ac:dyDescent="0.25">
      <c r="Q1176" s="8"/>
    </row>
    <row r="1177" spans="17:17" x14ac:dyDescent="0.25">
      <c r="Q1177" s="8"/>
    </row>
    <row r="1178" spans="17:17" x14ac:dyDescent="0.25">
      <c r="Q1178" s="8"/>
    </row>
    <row r="1179" spans="17:17" x14ac:dyDescent="0.25">
      <c r="Q1179" s="8"/>
    </row>
    <row r="1180" spans="17:17" x14ac:dyDescent="0.25">
      <c r="Q1180" s="8"/>
    </row>
    <row r="1181" spans="17:17" x14ac:dyDescent="0.25">
      <c r="Q1181" s="8"/>
    </row>
    <row r="1182" spans="17:17" x14ac:dyDescent="0.25">
      <c r="Q1182" s="8"/>
    </row>
    <row r="1183" spans="17:17" x14ac:dyDescent="0.25">
      <c r="Q1183" s="8"/>
    </row>
    <row r="1184" spans="17:17" x14ac:dyDescent="0.25">
      <c r="Q1184" s="8"/>
    </row>
    <row r="1185" spans="17:17" x14ac:dyDescent="0.25">
      <c r="Q1185" s="8"/>
    </row>
    <row r="1186" spans="17:17" x14ac:dyDescent="0.25">
      <c r="Q1186" s="8"/>
    </row>
    <row r="1187" spans="17:17" x14ac:dyDescent="0.25">
      <c r="Q1187" s="8"/>
    </row>
    <row r="1188" spans="17:17" x14ac:dyDescent="0.25">
      <c r="Q1188" s="8"/>
    </row>
    <row r="1189" spans="17:17" x14ac:dyDescent="0.25">
      <c r="Q1189" s="8"/>
    </row>
    <row r="1190" spans="17:17" x14ac:dyDescent="0.25">
      <c r="Q1190" s="8"/>
    </row>
    <row r="1191" spans="17:17" x14ac:dyDescent="0.25">
      <c r="Q1191" s="8"/>
    </row>
    <row r="1192" spans="17:17" x14ac:dyDescent="0.25">
      <c r="Q1192" s="8"/>
    </row>
    <row r="1193" spans="17:17" x14ac:dyDescent="0.25">
      <c r="Q1193" s="8"/>
    </row>
    <row r="1194" spans="17:17" x14ac:dyDescent="0.25">
      <c r="Q1194" s="8"/>
    </row>
    <row r="1195" spans="17:17" x14ac:dyDescent="0.25">
      <c r="Q1195" s="8"/>
    </row>
    <row r="1196" spans="17:17" x14ac:dyDescent="0.25">
      <c r="Q1196" s="8"/>
    </row>
    <row r="1197" spans="17:17" x14ac:dyDescent="0.25">
      <c r="Q1197" s="8"/>
    </row>
    <row r="1198" spans="17:17" x14ac:dyDescent="0.25">
      <c r="Q1198" s="8"/>
    </row>
    <row r="1199" spans="17:17" x14ac:dyDescent="0.25">
      <c r="Q1199" s="8"/>
    </row>
    <row r="1200" spans="17:17" x14ac:dyDescent="0.25">
      <c r="Q1200" s="8"/>
    </row>
    <row r="1201" spans="17:17" x14ac:dyDescent="0.25">
      <c r="Q1201" s="8"/>
    </row>
    <row r="1202" spans="17:17" x14ac:dyDescent="0.25">
      <c r="Q1202" s="8"/>
    </row>
    <row r="1203" spans="17:17" x14ac:dyDescent="0.25">
      <c r="Q1203" s="8"/>
    </row>
    <row r="1204" spans="17:17" x14ac:dyDescent="0.25">
      <c r="Q1204" s="8"/>
    </row>
    <row r="1205" spans="17:17" x14ac:dyDescent="0.25">
      <c r="Q1205" s="8"/>
    </row>
    <row r="1206" spans="17:17" x14ac:dyDescent="0.25">
      <c r="Q1206" s="8"/>
    </row>
    <row r="1207" spans="17:17" x14ac:dyDescent="0.25">
      <c r="Q1207" s="8"/>
    </row>
    <row r="1208" spans="17:17" x14ac:dyDescent="0.25">
      <c r="Q1208" s="8"/>
    </row>
    <row r="1209" spans="17:17" x14ac:dyDescent="0.25">
      <c r="Q1209" s="8"/>
    </row>
    <row r="1210" spans="17:17" x14ac:dyDescent="0.25">
      <c r="Q1210" s="8"/>
    </row>
    <row r="1211" spans="17:17" x14ac:dyDescent="0.25">
      <c r="Q1211" s="8"/>
    </row>
    <row r="1212" spans="17:17" x14ac:dyDescent="0.25">
      <c r="Q1212" s="8"/>
    </row>
    <row r="1213" spans="17:17" x14ac:dyDescent="0.25">
      <c r="Q1213" s="8"/>
    </row>
    <row r="1214" spans="17:17" x14ac:dyDescent="0.25">
      <c r="Q1214" s="8"/>
    </row>
    <row r="1215" spans="17:17" x14ac:dyDescent="0.25">
      <c r="Q1215" s="8"/>
    </row>
    <row r="1216" spans="17:17" x14ac:dyDescent="0.25">
      <c r="Q1216" s="8"/>
    </row>
    <row r="1217" spans="17:17" x14ac:dyDescent="0.25">
      <c r="Q1217" s="8"/>
    </row>
    <row r="1218" spans="17:17" x14ac:dyDescent="0.25">
      <c r="Q1218" s="8"/>
    </row>
    <row r="1219" spans="17:17" x14ac:dyDescent="0.25">
      <c r="Q1219" s="8"/>
    </row>
    <row r="1220" spans="17:17" x14ac:dyDescent="0.25">
      <c r="Q1220" s="8"/>
    </row>
    <row r="1221" spans="17:17" x14ac:dyDescent="0.25">
      <c r="Q1221" s="8"/>
    </row>
    <row r="1222" spans="17:17" x14ac:dyDescent="0.25">
      <c r="Q1222" s="8"/>
    </row>
    <row r="1223" spans="17:17" x14ac:dyDescent="0.25">
      <c r="Q1223" s="8"/>
    </row>
    <row r="1224" spans="17:17" x14ac:dyDescent="0.25">
      <c r="Q1224" s="8"/>
    </row>
    <row r="1225" spans="17:17" x14ac:dyDescent="0.25">
      <c r="Q1225" s="8"/>
    </row>
    <row r="1226" spans="17:17" x14ac:dyDescent="0.25">
      <c r="Q1226" s="8"/>
    </row>
    <row r="1227" spans="17:17" x14ac:dyDescent="0.25">
      <c r="Q1227" s="8"/>
    </row>
    <row r="1228" spans="17:17" x14ac:dyDescent="0.25">
      <c r="Q1228" s="8"/>
    </row>
    <row r="1229" spans="17:17" x14ac:dyDescent="0.25">
      <c r="Q1229" s="8"/>
    </row>
    <row r="1230" spans="17:17" x14ac:dyDescent="0.25">
      <c r="Q1230" s="8"/>
    </row>
    <row r="1231" spans="17:17" x14ac:dyDescent="0.25">
      <c r="Q1231" s="8"/>
    </row>
    <row r="1232" spans="17:17" x14ac:dyDescent="0.25">
      <c r="Q1232" s="8"/>
    </row>
    <row r="1233" spans="17:17" x14ac:dyDescent="0.25">
      <c r="Q1233" s="8"/>
    </row>
    <row r="1234" spans="17:17" x14ac:dyDescent="0.25">
      <c r="Q1234" s="8"/>
    </row>
    <row r="1235" spans="17:17" x14ac:dyDescent="0.25">
      <c r="Q1235" s="8"/>
    </row>
    <row r="1236" spans="17:17" x14ac:dyDescent="0.25">
      <c r="Q1236" s="8"/>
    </row>
    <row r="1237" spans="17:17" x14ac:dyDescent="0.25">
      <c r="Q1237" s="8"/>
    </row>
    <row r="1238" spans="17:17" x14ac:dyDescent="0.25">
      <c r="Q1238" s="8"/>
    </row>
    <row r="1239" spans="17:17" x14ac:dyDescent="0.25">
      <c r="Q1239" s="8"/>
    </row>
    <row r="1240" spans="17:17" x14ac:dyDescent="0.25">
      <c r="Q1240" s="8"/>
    </row>
    <row r="1241" spans="17:17" x14ac:dyDescent="0.25">
      <c r="Q1241" s="8"/>
    </row>
    <row r="1242" spans="17:17" x14ac:dyDescent="0.25">
      <c r="Q1242" s="8"/>
    </row>
    <row r="1243" spans="17:17" x14ac:dyDescent="0.25">
      <c r="Q1243" s="8"/>
    </row>
    <row r="1244" spans="17:17" x14ac:dyDescent="0.25">
      <c r="Q1244" s="8"/>
    </row>
    <row r="1245" spans="17:17" x14ac:dyDescent="0.25">
      <c r="Q1245" s="8"/>
    </row>
    <row r="1246" spans="17:17" x14ac:dyDescent="0.25">
      <c r="Q1246" s="8"/>
    </row>
    <row r="1247" spans="17:17" x14ac:dyDescent="0.25">
      <c r="Q1247" s="8"/>
    </row>
    <row r="1248" spans="17:17" x14ac:dyDescent="0.25">
      <c r="Q1248" s="8"/>
    </row>
    <row r="1249" spans="17:17" x14ac:dyDescent="0.25">
      <c r="Q1249" s="8"/>
    </row>
    <row r="1250" spans="17:17" x14ac:dyDescent="0.25">
      <c r="Q1250" s="8"/>
    </row>
    <row r="1251" spans="17:17" x14ac:dyDescent="0.25">
      <c r="Q1251" s="8"/>
    </row>
    <row r="1252" spans="17:17" x14ac:dyDescent="0.25">
      <c r="Q1252" s="8"/>
    </row>
    <row r="1253" spans="17:17" x14ac:dyDescent="0.25">
      <c r="Q1253" s="8"/>
    </row>
    <row r="1254" spans="17:17" x14ac:dyDescent="0.25">
      <c r="Q1254" s="8"/>
    </row>
    <row r="1255" spans="17:17" x14ac:dyDescent="0.25">
      <c r="Q1255" s="8"/>
    </row>
    <row r="1256" spans="17:17" x14ac:dyDescent="0.25">
      <c r="Q1256" s="8"/>
    </row>
    <row r="1257" spans="17:17" x14ac:dyDescent="0.25">
      <c r="Q1257" s="8"/>
    </row>
    <row r="1258" spans="17:17" x14ac:dyDescent="0.25">
      <c r="Q1258" s="8"/>
    </row>
    <row r="1259" spans="17:17" x14ac:dyDescent="0.25">
      <c r="Q1259" s="8"/>
    </row>
    <row r="1260" spans="17:17" x14ac:dyDescent="0.25">
      <c r="Q1260" s="8"/>
    </row>
    <row r="1261" spans="17:17" x14ac:dyDescent="0.25">
      <c r="Q1261" s="8"/>
    </row>
    <row r="1262" spans="17:17" x14ac:dyDescent="0.25">
      <c r="Q1262" s="8"/>
    </row>
    <row r="1263" spans="17:17" x14ac:dyDescent="0.25">
      <c r="Q1263" s="8"/>
    </row>
    <row r="1264" spans="17:17" x14ac:dyDescent="0.25">
      <c r="Q1264" s="8"/>
    </row>
    <row r="1265" spans="17:17" x14ac:dyDescent="0.25">
      <c r="Q1265" s="8"/>
    </row>
    <row r="1266" spans="17:17" x14ac:dyDescent="0.25">
      <c r="Q1266" s="8"/>
    </row>
    <row r="1267" spans="17:17" x14ac:dyDescent="0.25">
      <c r="Q1267" s="8"/>
    </row>
    <row r="1268" spans="17:17" x14ac:dyDescent="0.25">
      <c r="Q1268" s="8"/>
    </row>
    <row r="1269" spans="17:17" x14ac:dyDescent="0.25">
      <c r="Q1269" s="8"/>
    </row>
    <row r="1270" spans="17:17" x14ac:dyDescent="0.25">
      <c r="Q1270" s="8"/>
    </row>
    <row r="1271" spans="17:17" x14ac:dyDescent="0.25">
      <c r="Q1271" s="8"/>
    </row>
    <row r="1272" spans="17:17" x14ac:dyDescent="0.25">
      <c r="Q1272" s="8"/>
    </row>
    <row r="1273" spans="17:17" x14ac:dyDescent="0.25">
      <c r="Q1273" s="8"/>
    </row>
    <row r="1274" spans="17:17" x14ac:dyDescent="0.25">
      <c r="Q1274" s="8"/>
    </row>
    <row r="1275" spans="17:17" x14ac:dyDescent="0.25">
      <c r="Q1275" s="8"/>
    </row>
    <row r="1276" spans="17:17" x14ac:dyDescent="0.25">
      <c r="Q1276" s="8"/>
    </row>
    <row r="1277" spans="17:17" x14ac:dyDescent="0.25">
      <c r="Q1277" s="8"/>
    </row>
    <row r="1278" spans="17:17" x14ac:dyDescent="0.25">
      <c r="Q1278" s="8"/>
    </row>
    <row r="1279" spans="17:17" x14ac:dyDescent="0.25">
      <c r="Q1279" s="8"/>
    </row>
    <row r="1280" spans="17:17" x14ac:dyDescent="0.25">
      <c r="Q1280" s="8"/>
    </row>
    <row r="1281" spans="17:17" x14ac:dyDescent="0.25">
      <c r="Q1281" s="8"/>
    </row>
    <row r="1282" spans="17:17" x14ac:dyDescent="0.25">
      <c r="Q1282" s="8"/>
    </row>
    <row r="1283" spans="17:17" x14ac:dyDescent="0.25">
      <c r="Q1283" s="8"/>
    </row>
    <row r="1284" spans="17:17" x14ac:dyDescent="0.25">
      <c r="Q1284" s="8"/>
    </row>
    <row r="1285" spans="17:17" x14ac:dyDescent="0.25">
      <c r="Q1285" s="8"/>
    </row>
    <row r="1286" spans="17:17" x14ac:dyDescent="0.25">
      <c r="Q1286" s="8"/>
    </row>
    <row r="1287" spans="17:17" x14ac:dyDescent="0.25">
      <c r="Q1287" s="8"/>
    </row>
    <row r="1288" spans="17:17" x14ac:dyDescent="0.25">
      <c r="Q1288" s="8"/>
    </row>
    <row r="1289" spans="17:17" x14ac:dyDescent="0.25">
      <c r="Q1289" s="8"/>
    </row>
    <row r="1290" spans="17:17" x14ac:dyDescent="0.25">
      <c r="Q1290" s="8"/>
    </row>
    <row r="1291" spans="17:17" x14ac:dyDescent="0.25">
      <c r="Q1291" s="8"/>
    </row>
    <row r="1292" spans="17:17" x14ac:dyDescent="0.25">
      <c r="Q1292" s="8"/>
    </row>
    <row r="1293" spans="17:17" x14ac:dyDescent="0.25">
      <c r="Q1293" s="8"/>
    </row>
    <row r="1294" spans="17:17" x14ac:dyDescent="0.25">
      <c r="Q1294" s="8"/>
    </row>
    <row r="1295" spans="17:17" x14ac:dyDescent="0.25">
      <c r="Q1295" s="8"/>
    </row>
    <row r="1296" spans="17:17" x14ac:dyDescent="0.25">
      <c r="Q1296" s="8"/>
    </row>
    <row r="1297" spans="17:17" x14ac:dyDescent="0.25">
      <c r="Q1297" s="8"/>
    </row>
    <row r="1298" spans="17:17" x14ac:dyDescent="0.25">
      <c r="Q1298" s="8"/>
    </row>
    <row r="1299" spans="17:17" x14ac:dyDescent="0.25">
      <c r="Q1299" s="8"/>
    </row>
    <row r="1300" spans="17:17" x14ac:dyDescent="0.25">
      <c r="Q1300" s="8"/>
    </row>
    <row r="1301" spans="17:17" x14ac:dyDescent="0.25">
      <c r="Q1301" s="8"/>
    </row>
    <row r="1302" spans="17:17" x14ac:dyDescent="0.25">
      <c r="Q1302" s="8"/>
    </row>
    <row r="1303" spans="17:17" x14ac:dyDescent="0.25">
      <c r="Q1303" s="8"/>
    </row>
    <row r="1304" spans="17:17" x14ac:dyDescent="0.25">
      <c r="Q1304" s="8"/>
    </row>
    <row r="1305" spans="17:17" x14ac:dyDescent="0.25">
      <c r="Q1305" s="8"/>
    </row>
    <row r="1306" spans="17:17" x14ac:dyDescent="0.25">
      <c r="Q1306" s="8"/>
    </row>
    <row r="1307" spans="17:17" x14ac:dyDescent="0.25">
      <c r="Q1307" s="8"/>
    </row>
    <row r="1308" spans="17:17" x14ac:dyDescent="0.25">
      <c r="Q1308" s="8"/>
    </row>
    <row r="1309" spans="17:17" x14ac:dyDescent="0.25">
      <c r="Q1309" s="8"/>
    </row>
    <row r="1310" spans="17:17" x14ac:dyDescent="0.25">
      <c r="Q1310" s="8"/>
    </row>
    <row r="1311" spans="17:17" x14ac:dyDescent="0.25">
      <c r="Q1311" s="8"/>
    </row>
    <row r="1312" spans="17:17" x14ac:dyDescent="0.25">
      <c r="Q1312" s="8"/>
    </row>
    <row r="1313" spans="17:17" x14ac:dyDescent="0.25">
      <c r="Q1313" s="8"/>
    </row>
    <row r="1314" spans="17:17" x14ac:dyDescent="0.25">
      <c r="Q1314" s="8"/>
    </row>
    <row r="1315" spans="17:17" x14ac:dyDescent="0.25">
      <c r="Q1315" s="8"/>
    </row>
    <row r="1316" spans="17:17" x14ac:dyDescent="0.25">
      <c r="Q1316" s="8"/>
    </row>
    <row r="1317" spans="17:17" x14ac:dyDescent="0.25">
      <c r="Q1317" s="8"/>
    </row>
    <row r="1318" spans="17:17" x14ac:dyDescent="0.25">
      <c r="Q1318" s="8"/>
    </row>
    <row r="1319" spans="17:17" x14ac:dyDescent="0.25">
      <c r="Q1319" s="8"/>
    </row>
    <row r="1320" spans="17:17" x14ac:dyDescent="0.25">
      <c r="Q1320" s="8"/>
    </row>
    <row r="1321" spans="17:17" x14ac:dyDescent="0.25">
      <c r="Q1321" s="8"/>
    </row>
    <row r="1322" spans="17:17" x14ac:dyDescent="0.25">
      <c r="Q1322" s="8"/>
    </row>
    <row r="1323" spans="17:17" x14ac:dyDescent="0.25">
      <c r="Q1323" s="8"/>
    </row>
    <row r="1324" spans="17:17" x14ac:dyDescent="0.25">
      <c r="Q1324" s="8"/>
    </row>
    <row r="1325" spans="17:17" x14ac:dyDescent="0.25">
      <c r="Q1325" s="8"/>
    </row>
    <row r="1326" spans="17:17" x14ac:dyDescent="0.25">
      <c r="Q1326" s="8"/>
    </row>
    <row r="1327" spans="17:17" x14ac:dyDescent="0.25">
      <c r="Q1327" s="8"/>
    </row>
    <row r="1328" spans="17:17" x14ac:dyDescent="0.25">
      <c r="Q1328" s="8"/>
    </row>
    <row r="1329" spans="17:17" x14ac:dyDescent="0.25">
      <c r="Q1329" s="8"/>
    </row>
    <row r="1330" spans="17:17" x14ac:dyDescent="0.25">
      <c r="Q1330" s="8"/>
    </row>
    <row r="1331" spans="17:17" x14ac:dyDescent="0.25">
      <c r="Q1331" s="8"/>
    </row>
    <row r="1332" spans="17:17" x14ac:dyDescent="0.25">
      <c r="Q1332" s="8"/>
    </row>
    <row r="1333" spans="17:17" x14ac:dyDescent="0.25">
      <c r="Q1333" s="8"/>
    </row>
    <row r="1334" spans="17:17" x14ac:dyDescent="0.25">
      <c r="Q1334" s="8"/>
    </row>
    <row r="1335" spans="17:17" x14ac:dyDescent="0.25">
      <c r="Q1335" s="8"/>
    </row>
    <row r="1336" spans="17:17" x14ac:dyDescent="0.25">
      <c r="Q1336" s="8"/>
    </row>
    <row r="1337" spans="17:17" x14ac:dyDescent="0.25">
      <c r="Q1337" s="8"/>
    </row>
    <row r="1338" spans="17:17" x14ac:dyDescent="0.25">
      <c r="Q1338" s="8"/>
    </row>
    <row r="1339" spans="17:17" x14ac:dyDescent="0.25">
      <c r="Q1339" s="8"/>
    </row>
    <row r="1340" spans="17:17" x14ac:dyDescent="0.25">
      <c r="Q1340" s="8"/>
    </row>
    <row r="1341" spans="17:17" x14ac:dyDescent="0.25">
      <c r="Q1341" s="8"/>
    </row>
    <row r="1342" spans="17:17" x14ac:dyDescent="0.25">
      <c r="Q1342" s="8"/>
    </row>
    <row r="1343" spans="17:17" x14ac:dyDescent="0.25">
      <c r="Q1343" s="8"/>
    </row>
    <row r="1344" spans="17:17" x14ac:dyDescent="0.25">
      <c r="Q1344" s="8"/>
    </row>
    <row r="1345" spans="17:17" x14ac:dyDescent="0.25">
      <c r="Q1345" s="8"/>
    </row>
    <row r="1346" spans="17:17" x14ac:dyDescent="0.25">
      <c r="Q1346" s="8"/>
    </row>
    <row r="1347" spans="17:17" x14ac:dyDescent="0.25">
      <c r="Q1347" s="8"/>
    </row>
    <row r="1348" spans="17:17" x14ac:dyDescent="0.25">
      <c r="Q1348" s="8"/>
    </row>
    <row r="1349" spans="17:17" x14ac:dyDescent="0.25">
      <c r="Q1349" s="8"/>
    </row>
    <row r="1350" spans="17:17" x14ac:dyDescent="0.25">
      <c r="Q1350" s="8"/>
    </row>
    <row r="1351" spans="17:17" x14ac:dyDescent="0.25">
      <c r="Q1351" s="8"/>
    </row>
    <row r="1352" spans="17:17" x14ac:dyDescent="0.25">
      <c r="Q1352" s="8"/>
    </row>
    <row r="1353" spans="17:17" x14ac:dyDescent="0.25">
      <c r="Q1353" s="8"/>
    </row>
    <row r="1354" spans="17:17" x14ac:dyDescent="0.25">
      <c r="Q1354" s="8"/>
    </row>
    <row r="1355" spans="17:17" x14ac:dyDescent="0.25">
      <c r="Q1355" s="8"/>
    </row>
    <row r="1356" spans="17:17" x14ac:dyDescent="0.25">
      <c r="Q1356" s="8"/>
    </row>
    <row r="1357" spans="17:17" x14ac:dyDescent="0.25">
      <c r="Q1357" s="8"/>
    </row>
    <row r="1358" spans="17:17" x14ac:dyDescent="0.25">
      <c r="Q1358" s="8"/>
    </row>
    <row r="1359" spans="17:17" x14ac:dyDescent="0.25">
      <c r="Q1359" s="8"/>
    </row>
    <row r="1360" spans="17:17" x14ac:dyDescent="0.25">
      <c r="Q1360" s="8"/>
    </row>
    <row r="1361" spans="17:17" x14ac:dyDescent="0.25">
      <c r="Q1361" s="8"/>
    </row>
    <row r="1362" spans="17:17" x14ac:dyDescent="0.25">
      <c r="Q1362" s="8"/>
    </row>
    <row r="1363" spans="17:17" x14ac:dyDescent="0.25">
      <c r="Q1363" s="8"/>
    </row>
    <row r="1364" spans="17:17" x14ac:dyDescent="0.25">
      <c r="Q1364" s="8"/>
    </row>
    <row r="1365" spans="17:17" x14ac:dyDescent="0.25">
      <c r="Q1365" s="8"/>
    </row>
    <row r="1366" spans="17:17" x14ac:dyDescent="0.25">
      <c r="Q1366" s="8"/>
    </row>
    <row r="1367" spans="17:17" x14ac:dyDescent="0.25">
      <c r="Q1367" s="8"/>
    </row>
    <row r="1368" spans="17:17" x14ac:dyDescent="0.25">
      <c r="Q1368" s="8"/>
    </row>
    <row r="1369" spans="17:17" x14ac:dyDescent="0.25">
      <c r="Q1369" s="8"/>
    </row>
    <row r="1370" spans="17:17" x14ac:dyDescent="0.25">
      <c r="Q1370" s="8"/>
    </row>
    <row r="1371" spans="17:17" x14ac:dyDescent="0.25">
      <c r="Q1371" s="8"/>
    </row>
    <row r="1372" spans="17:17" x14ac:dyDescent="0.25">
      <c r="Q1372" s="8"/>
    </row>
    <row r="1373" spans="17:17" x14ac:dyDescent="0.25">
      <c r="Q1373" s="8"/>
    </row>
    <row r="1374" spans="17:17" x14ac:dyDescent="0.25">
      <c r="Q1374" s="8"/>
    </row>
    <row r="1375" spans="17:17" x14ac:dyDescent="0.25">
      <c r="Q1375" s="8"/>
    </row>
    <row r="1376" spans="17:17" x14ac:dyDescent="0.25">
      <c r="Q1376" s="8"/>
    </row>
    <row r="1377" spans="17:17" x14ac:dyDescent="0.25">
      <c r="Q1377" s="8"/>
    </row>
    <row r="1378" spans="17:17" x14ac:dyDescent="0.25">
      <c r="Q1378" s="8"/>
    </row>
    <row r="1379" spans="17:17" x14ac:dyDescent="0.25">
      <c r="Q1379" s="8"/>
    </row>
    <row r="1380" spans="17:17" x14ac:dyDescent="0.25">
      <c r="Q1380" s="8"/>
    </row>
    <row r="1381" spans="17:17" x14ac:dyDescent="0.25">
      <c r="Q1381" s="8"/>
    </row>
    <row r="1382" spans="17:17" x14ac:dyDescent="0.25">
      <c r="Q1382" s="8"/>
    </row>
    <row r="1383" spans="17:17" x14ac:dyDescent="0.25">
      <c r="Q1383" s="8"/>
    </row>
    <row r="1384" spans="17:17" x14ac:dyDescent="0.25">
      <c r="Q1384" s="8"/>
    </row>
    <row r="1385" spans="17:17" x14ac:dyDescent="0.25">
      <c r="Q1385" s="8"/>
    </row>
    <row r="1386" spans="17:17" x14ac:dyDescent="0.25">
      <c r="Q1386" s="8"/>
    </row>
    <row r="1387" spans="17:17" x14ac:dyDescent="0.25">
      <c r="Q1387" s="8"/>
    </row>
    <row r="1388" spans="17:17" x14ac:dyDescent="0.25">
      <c r="Q1388" s="8"/>
    </row>
    <row r="1389" spans="17:17" x14ac:dyDescent="0.25">
      <c r="Q1389" s="8"/>
    </row>
    <row r="1390" spans="17:17" x14ac:dyDescent="0.25">
      <c r="Q1390" s="8"/>
    </row>
    <row r="1391" spans="17:17" x14ac:dyDescent="0.25">
      <c r="Q1391" s="8"/>
    </row>
    <row r="1392" spans="17:17" x14ac:dyDescent="0.25">
      <c r="Q1392" s="8"/>
    </row>
    <row r="1393" spans="17:17" x14ac:dyDescent="0.25">
      <c r="Q1393" s="8"/>
    </row>
    <row r="1394" spans="17:17" x14ac:dyDescent="0.25">
      <c r="Q1394" s="8"/>
    </row>
    <row r="1395" spans="17:17" x14ac:dyDescent="0.25">
      <c r="Q1395" s="8"/>
    </row>
    <row r="1396" spans="17:17" x14ac:dyDescent="0.25">
      <c r="Q1396" s="8"/>
    </row>
    <row r="1397" spans="17:17" x14ac:dyDescent="0.25">
      <c r="Q1397" s="8"/>
    </row>
    <row r="1398" spans="17:17" x14ac:dyDescent="0.25">
      <c r="Q1398" s="8"/>
    </row>
    <row r="1399" spans="17:17" x14ac:dyDescent="0.25">
      <c r="Q1399" s="8"/>
    </row>
    <row r="1400" spans="17:17" x14ac:dyDescent="0.25">
      <c r="Q1400" s="8"/>
    </row>
    <row r="1401" spans="17:17" x14ac:dyDescent="0.25">
      <c r="Q1401" s="8"/>
    </row>
    <row r="1402" spans="17:17" x14ac:dyDescent="0.25">
      <c r="Q1402" s="8"/>
    </row>
    <row r="1403" spans="17:17" x14ac:dyDescent="0.25">
      <c r="Q1403" s="8"/>
    </row>
    <row r="1404" spans="17:17" x14ac:dyDescent="0.25">
      <c r="Q1404" s="8"/>
    </row>
    <row r="1405" spans="17:17" x14ac:dyDescent="0.25">
      <c r="Q1405" s="8"/>
    </row>
    <row r="1406" spans="17:17" x14ac:dyDescent="0.25">
      <c r="Q1406" s="8"/>
    </row>
    <row r="1407" spans="17:17" x14ac:dyDescent="0.25">
      <c r="Q1407" s="8"/>
    </row>
    <row r="1408" spans="17:17" x14ac:dyDescent="0.25">
      <c r="Q1408" s="8"/>
    </row>
    <row r="1409" spans="17:17" x14ac:dyDescent="0.25">
      <c r="Q1409" s="8"/>
    </row>
    <row r="1410" spans="17:17" x14ac:dyDescent="0.25">
      <c r="Q1410" s="8"/>
    </row>
    <row r="1411" spans="17:17" x14ac:dyDescent="0.25">
      <c r="Q1411" s="8"/>
    </row>
    <row r="1412" spans="17:17" x14ac:dyDescent="0.25">
      <c r="Q1412" s="8"/>
    </row>
    <row r="1413" spans="17:17" x14ac:dyDescent="0.25">
      <c r="Q1413" s="8"/>
    </row>
    <row r="1414" spans="17:17" x14ac:dyDescent="0.25">
      <c r="Q1414" s="8"/>
    </row>
    <row r="1415" spans="17:17" x14ac:dyDescent="0.25">
      <c r="Q1415" s="8"/>
    </row>
    <row r="1416" spans="17:17" x14ac:dyDescent="0.25">
      <c r="Q1416" s="8"/>
    </row>
    <row r="1417" spans="17:17" x14ac:dyDescent="0.25">
      <c r="Q1417" s="8"/>
    </row>
    <row r="1418" spans="17:17" x14ac:dyDescent="0.25">
      <c r="Q1418" s="8"/>
    </row>
    <row r="1419" spans="17:17" x14ac:dyDescent="0.25">
      <c r="Q1419" s="8"/>
    </row>
    <row r="1420" spans="17:17" x14ac:dyDescent="0.25">
      <c r="Q1420" s="8"/>
    </row>
    <row r="1421" spans="17:17" x14ac:dyDescent="0.25">
      <c r="Q1421" s="8"/>
    </row>
    <row r="1422" spans="17:17" x14ac:dyDescent="0.25">
      <c r="Q1422" s="8"/>
    </row>
    <row r="1423" spans="17:17" x14ac:dyDescent="0.25">
      <c r="Q1423" s="8"/>
    </row>
    <row r="1424" spans="17:17" x14ac:dyDescent="0.25">
      <c r="Q1424" s="8"/>
    </row>
    <row r="1425" spans="17:17" x14ac:dyDescent="0.25">
      <c r="Q1425" s="8"/>
    </row>
    <row r="1426" spans="17:17" x14ac:dyDescent="0.25">
      <c r="Q1426" s="8"/>
    </row>
    <row r="1427" spans="17:17" x14ac:dyDescent="0.25">
      <c r="Q1427" s="8"/>
    </row>
    <row r="1428" spans="17:17" x14ac:dyDescent="0.25">
      <c r="Q1428" s="8"/>
    </row>
    <row r="1429" spans="17:17" x14ac:dyDescent="0.25">
      <c r="Q1429" s="8"/>
    </row>
    <row r="1430" spans="17:17" x14ac:dyDescent="0.25">
      <c r="Q1430" s="8"/>
    </row>
    <row r="1431" spans="17:17" x14ac:dyDescent="0.25">
      <c r="Q1431" s="8"/>
    </row>
    <row r="1432" spans="17:17" x14ac:dyDescent="0.25">
      <c r="Q1432" s="8"/>
    </row>
    <row r="1433" spans="17:17" x14ac:dyDescent="0.25">
      <c r="Q1433" s="8"/>
    </row>
    <row r="1434" spans="17:17" x14ac:dyDescent="0.25">
      <c r="Q1434" s="8"/>
    </row>
    <row r="1435" spans="17:17" x14ac:dyDescent="0.25">
      <c r="Q1435" s="8"/>
    </row>
    <row r="1436" spans="17:17" x14ac:dyDescent="0.25">
      <c r="Q1436" s="8"/>
    </row>
    <row r="1437" spans="17:17" x14ac:dyDescent="0.25">
      <c r="Q1437" s="8"/>
    </row>
    <row r="1438" spans="17:17" x14ac:dyDescent="0.25">
      <c r="Q1438" s="8"/>
    </row>
    <row r="1439" spans="17:17" x14ac:dyDescent="0.25">
      <c r="Q1439" s="8"/>
    </row>
    <row r="1440" spans="17:17" x14ac:dyDescent="0.25">
      <c r="Q1440" s="8"/>
    </row>
    <row r="1441" spans="17:17" x14ac:dyDescent="0.25">
      <c r="Q1441" s="8"/>
    </row>
    <row r="1442" spans="17:17" x14ac:dyDescent="0.25">
      <c r="Q1442" s="8"/>
    </row>
    <row r="1443" spans="17:17" x14ac:dyDescent="0.25">
      <c r="Q1443" s="8"/>
    </row>
    <row r="1444" spans="17:17" x14ac:dyDescent="0.25">
      <c r="Q1444" s="8"/>
    </row>
    <row r="1445" spans="17:17" x14ac:dyDescent="0.25">
      <c r="Q1445" s="8"/>
    </row>
    <row r="1446" spans="17:17" x14ac:dyDescent="0.25">
      <c r="Q1446" s="8"/>
    </row>
    <row r="1447" spans="17:17" x14ac:dyDescent="0.25">
      <c r="Q1447" s="8"/>
    </row>
    <row r="1448" spans="17:17" x14ac:dyDescent="0.25">
      <c r="Q1448" s="8"/>
    </row>
    <row r="1449" spans="17:17" x14ac:dyDescent="0.25">
      <c r="Q1449" s="8"/>
    </row>
    <row r="1450" spans="17:17" x14ac:dyDescent="0.25">
      <c r="Q1450" s="8"/>
    </row>
    <row r="1451" spans="17:17" x14ac:dyDescent="0.25">
      <c r="Q1451" s="8"/>
    </row>
    <row r="1452" spans="17:17" x14ac:dyDescent="0.25">
      <c r="Q1452" s="8"/>
    </row>
    <row r="1453" spans="17:17" x14ac:dyDescent="0.25">
      <c r="Q1453" s="8"/>
    </row>
    <row r="1454" spans="17:17" x14ac:dyDescent="0.25">
      <c r="Q1454" s="8"/>
    </row>
    <row r="1455" spans="17:17" x14ac:dyDescent="0.25">
      <c r="Q1455" s="8"/>
    </row>
    <row r="1456" spans="17:17" x14ac:dyDescent="0.25">
      <c r="Q1456" s="8"/>
    </row>
    <row r="1457" spans="17:17" x14ac:dyDescent="0.25">
      <c r="Q1457" s="8"/>
    </row>
    <row r="1458" spans="17:17" x14ac:dyDescent="0.25">
      <c r="Q1458" s="8"/>
    </row>
    <row r="1459" spans="17:17" x14ac:dyDescent="0.25">
      <c r="Q1459" s="8"/>
    </row>
    <row r="1460" spans="17:17" x14ac:dyDescent="0.25">
      <c r="Q1460" s="8"/>
    </row>
    <row r="1461" spans="17:17" x14ac:dyDescent="0.25">
      <c r="Q1461" s="8"/>
    </row>
    <row r="1462" spans="17:17" x14ac:dyDescent="0.25">
      <c r="Q1462" s="8"/>
    </row>
    <row r="1463" spans="17:17" x14ac:dyDescent="0.25">
      <c r="Q1463" s="8"/>
    </row>
    <row r="1464" spans="17:17" x14ac:dyDescent="0.25">
      <c r="Q1464" s="8"/>
    </row>
    <row r="1465" spans="17:17" x14ac:dyDescent="0.25">
      <c r="Q1465" s="8"/>
    </row>
    <row r="1466" spans="17:17" x14ac:dyDescent="0.25">
      <c r="Q1466" s="8"/>
    </row>
    <row r="1467" spans="17:17" x14ac:dyDescent="0.25">
      <c r="Q1467" s="8"/>
    </row>
    <row r="1468" spans="17:17" x14ac:dyDescent="0.25">
      <c r="Q1468" s="8"/>
    </row>
    <row r="1469" spans="17:17" x14ac:dyDescent="0.25">
      <c r="Q1469" s="8"/>
    </row>
    <row r="1470" spans="17:17" x14ac:dyDescent="0.25">
      <c r="Q1470" s="8"/>
    </row>
    <row r="1471" spans="17:17" x14ac:dyDescent="0.25">
      <c r="Q1471" s="8"/>
    </row>
    <row r="1472" spans="17:17" x14ac:dyDescent="0.25">
      <c r="Q1472" s="8"/>
    </row>
    <row r="1473" spans="17:17" x14ac:dyDescent="0.25">
      <c r="Q1473" s="8"/>
    </row>
    <row r="1474" spans="17:17" x14ac:dyDescent="0.25">
      <c r="Q1474" s="8"/>
    </row>
    <row r="1475" spans="17:17" x14ac:dyDescent="0.25">
      <c r="Q1475" s="8"/>
    </row>
    <row r="1476" spans="17:17" x14ac:dyDescent="0.25">
      <c r="Q1476" s="8"/>
    </row>
    <row r="1477" spans="17:17" x14ac:dyDescent="0.25">
      <c r="Q1477" s="8"/>
    </row>
    <row r="1478" spans="17:17" x14ac:dyDescent="0.25">
      <c r="Q1478" s="8"/>
    </row>
    <row r="1479" spans="17:17" x14ac:dyDescent="0.25">
      <c r="Q1479" s="8"/>
    </row>
    <row r="1480" spans="17:17" x14ac:dyDescent="0.25">
      <c r="Q1480" s="8"/>
    </row>
    <row r="1481" spans="17:17" x14ac:dyDescent="0.25">
      <c r="Q1481" s="8"/>
    </row>
    <row r="1482" spans="17:17" x14ac:dyDescent="0.25">
      <c r="Q1482" s="8"/>
    </row>
    <row r="1483" spans="17:17" x14ac:dyDescent="0.25">
      <c r="Q1483" s="8"/>
    </row>
    <row r="1484" spans="17:17" x14ac:dyDescent="0.25">
      <c r="Q1484" s="8"/>
    </row>
    <row r="1485" spans="17:17" x14ac:dyDescent="0.25">
      <c r="Q1485" s="8"/>
    </row>
    <row r="1486" spans="17:17" x14ac:dyDescent="0.25">
      <c r="Q1486" s="8"/>
    </row>
    <row r="1487" spans="17:17" x14ac:dyDescent="0.25">
      <c r="Q1487" s="8"/>
    </row>
    <row r="1488" spans="17:17" x14ac:dyDescent="0.25">
      <c r="Q1488" s="8"/>
    </row>
    <row r="1489" spans="17:17" x14ac:dyDescent="0.25">
      <c r="Q1489" s="8"/>
    </row>
    <row r="1490" spans="17:17" x14ac:dyDescent="0.25">
      <c r="Q1490" s="8"/>
    </row>
    <row r="1491" spans="17:17" x14ac:dyDescent="0.25">
      <c r="Q1491" s="8"/>
    </row>
    <row r="1492" spans="17:17" x14ac:dyDescent="0.25">
      <c r="Q1492" s="8"/>
    </row>
    <row r="1493" spans="17:17" x14ac:dyDescent="0.25">
      <c r="Q1493" s="8"/>
    </row>
    <row r="1494" spans="17:17" x14ac:dyDescent="0.25">
      <c r="Q1494" s="8"/>
    </row>
    <row r="1495" spans="17:17" x14ac:dyDescent="0.25">
      <c r="Q1495" s="8"/>
    </row>
    <row r="1496" spans="17:17" x14ac:dyDescent="0.25">
      <c r="Q1496" s="8"/>
    </row>
    <row r="1497" spans="17:17" x14ac:dyDescent="0.25">
      <c r="Q1497" s="8"/>
    </row>
    <row r="1498" spans="17:17" x14ac:dyDescent="0.25">
      <c r="Q1498" s="8"/>
    </row>
    <row r="1499" spans="17:17" x14ac:dyDescent="0.25">
      <c r="Q1499" s="8"/>
    </row>
    <row r="1500" spans="17:17" x14ac:dyDescent="0.25">
      <c r="Q1500" s="8"/>
    </row>
    <row r="1501" spans="17:17" x14ac:dyDescent="0.25">
      <c r="Q1501" s="8"/>
    </row>
    <row r="1502" spans="17:17" x14ac:dyDescent="0.25">
      <c r="Q1502" s="8"/>
    </row>
    <row r="1503" spans="17:17" x14ac:dyDescent="0.25">
      <c r="Q1503" s="8"/>
    </row>
    <row r="1504" spans="17:17" x14ac:dyDescent="0.25">
      <c r="Q1504" s="8"/>
    </row>
    <row r="1505" spans="17:17" x14ac:dyDescent="0.25">
      <c r="Q1505" s="8"/>
    </row>
    <row r="1506" spans="17:17" x14ac:dyDescent="0.25">
      <c r="Q1506" s="8"/>
    </row>
    <row r="1507" spans="17:17" x14ac:dyDescent="0.25">
      <c r="Q1507" s="8"/>
    </row>
    <row r="1508" spans="17:17" x14ac:dyDescent="0.25">
      <c r="Q1508" s="8"/>
    </row>
    <row r="1509" spans="17:17" x14ac:dyDescent="0.25">
      <c r="Q1509" s="8"/>
    </row>
    <row r="1510" spans="17:17" x14ac:dyDescent="0.25">
      <c r="Q1510" s="8"/>
    </row>
    <row r="1511" spans="17:17" x14ac:dyDescent="0.25">
      <c r="Q1511" s="8"/>
    </row>
    <row r="1512" spans="17:17" x14ac:dyDescent="0.25">
      <c r="Q1512" s="8"/>
    </row>
    <row r="1513" spans="17:17" x14ac:dyDescent="0.25">
      <c r="Q1513" s="8"/>
    </row>
    <row r="1514" spans="17:17" x14ac:dyDescent="0.25">
      <c r="Q1514" s="8"/>
    </row>
    <row r="1515" spans="17:17" x14ac:dyDescent="0.25">
      <c r="Q1515" s="8"/>
    </row>
    <row r="1516" spans="17:17" x14ac:dyDescent="0.25">
      <c r="Q1516" s="8"/>
    </row>
    <row r="1517" spans="17:17" x14ac:dyDescent="0.25">
      <c r="Q1517" s="8"/>
    </row>
    <row r="1518" spans="17:17" x14ac:dyDescent="0.25">
      <c r="Q1518" s="8"/>
    </row>
    <row r="1519" spans="17:17" x14ac:dyDescent="0.25">
      <c r="Q1519" s="8"/>
    </row>
    <row r="1520" spans="17:17" x14ac:dyDescent="0.25">
      <c r="Q1520" s="8"/>
    </row>
    <row r="1521" spans="17:17" x14ac:dyDescent="0.25">
      <c r="Q1521" s="8"/>
    </row>
    <row r="1522" spans="17:17" x14ac:dyDescent="0.25">
      <c r="Q1522" s="8"/>
    </row>
    <row r="1523" spans="17:17" x14ac:dyDescent="0.25">
      <c r="Q1523" s="8"/>
    </row>
    <row r="1524" spans="17:17" x14ac:dyDescent="0.25">
      <c r="Q1524" s="8"/>
    </row>
    <row r="1525" spans="17:17" x14ac:dyDescent="0.25">
      <c r="Q1525" s="8"/>
    </row>
    <row r="1526" spans="17:17" x14ac:dyDescent="0.25">
      <c r="Q1526" s="8"/>
    </row>
    <row r="1527" spans="17:17" x14ac:dyDescent="0.25">
      <c r="Q1527" s="8"/>
    </row>
    <row r="1528" spans="17:17" x14ac:dyDescent="0.25">
      <c r="Q1528" s="8"/>
    </row>
    <row r="1529" spans="17:17" x14ac:dyDescent="0.25">
      <c r="Q1529" s="8"/>
    </row>
    <row r="1530" spans="17:17" x14ac:dyDescent="0.25">
      <c r="Q1530" s="8"/>
    </row>
    <row r="1531" spans="17:17" x14ac:dyDescent="0.25">
      <c r="Q1531" s="8"/>
    </row>
    <row r="1532" spans="17:17" x14ac:dyDescent="0.25">
      <c r="Q1532" s="8"/>
    </row>
    <row r="1533" spans="17:17" x14ac:dyDescent="0.25">
      <c r="Q1533" s="8"/>
    </row>
    <row r="1534" spans="17:17" x14ac:dyDescent="0.25">
      <c r="Q1534" s="8"/>
    </row>
    <row r="1535" spans="17:17" x14ac:dyDescent="0.25">
      <c r="Q1535" s="8"/>
    </row>
    <row r="1536" spans="17:17" x14ac:dyDescent="0.25">
      <c r="Q1536" s="8"/>
    </row>
    <row r="1537" spans="17:17" x14ac:dyDescent="0.25">
      <c r="Q1537" s="8"/>
    </row>
    <row r="1538" spans="17:17" x14ac:dyDescent="0.25">
      <c r="Q1538" s="8"/>
    </row>
    <row r="1539" spans="17:17" x14ac:dyDescent="0.25">
      <c r="Q1539" s="8"/>
    </row>
    <row r="1540" spans="17:17" x14ac:dyDescent="0.25">
      <c r="Q1540" s="8"/>
    </row>
    <row r="1541" spans="17:17" x14ac:dyDescent="0.25">
      <c r="Q1541" s="8"/>
    </row>
    <row r="1542" spans="17:17" x14ac:dyDescent="0.25">
      <c r="Q1542" s="8"/>
    </row>
    <row r="1543" spans="17:17" x14ac:dyDescent="0.25">
      <c r="Q1543" s="8"/>
    </row>
    <row r="1544" spans="17:17" x14ac:dyDescent="0.25">
      <c r="Q1544" s="8"/>
    </row>
    <row r="1545" spans="17:17" x14ac:dyDescent="0.25">
      <c r="Q1545" s="8"/>
    </row>
    <row r="1546" spans="17:17" x14ac:dyDescent="0.25">
      <c r="Q1546" s="8"/>
    </row>
    <row r="1547" spans="17:17" x14ac:dyDescent="0.25">
      <c r="Q1547" s="8"/>
    </row>
    <row r="1548" spans="17:17" x14ac:dyDescent="0.25">
      <c r="Q1548" s="8"/>
    </row>
    <row r="1549" spans="17:17" x14ac:dyDescent="0.25">
      <c r="Q1549" s="8"/>
    </row>
    <row r="1550" spans="17:17" x14ac:dyDescent="0.25">
      <c r="Q1550" s="8"/>
    </row>
    <row r="1551" spans="17:17" x14ac:dyDescent="0.25">
      <c r="Q1551" s="8"/>
    </row>
    <row r="1552" spans="17:17" x14ac:dyDescent="0.25">
      <c r="Q1552" s="8"/>
    </row>
    <row r="1553" spans="17:17" x14ac:dyDescent="0.25">
      <c r="Q1553" s="8"/>
    </row>
    <row r="1554" spans="17:17" x14ac:dyDescent="0.25">
      <c r="Q1554" s="8"/>
    </row>
    <row r="1555" spans="17:17" x14ac:dyDescent="0.25">
      <c r="Q1555" s="8"/>
    </row>
    <row r="1556" spans="17:17" x14ac:dyDescent="0.25">
      <c r="Q1556" s="8"/>
    </row>
    <row r="1557" spans="17:17" x14ac:dyDescent="0.25">
      <c r="Q1557" s="8"/>
    </row>
    <row r="1558" spans="17:17" x14ac:dyDescent="0.25">
      <c r="Q1558" s="8"/>
    </row>
    <row r="1559" spans="17:17" x14ac:dyDescent="0.25">
      <c r="Q1559" s="8"/>
    </row>
    <row r="1560" spans="17:17" x14ac:dyDescent="0.25">
      <c r="Q1560" s="8"/>
    </row>
    <row r="1561" spans="17:17" x14ac:dyDescent="0.25">
      <c r="Q1561" s="8"/>
    </row>
    <row r="1562" spans="17:17" x14ac:dyDescent="0.25">
      <c r="Q1562" s="8"/>
    </row>
    <row r="1563" spans="17:17" x14ac:dyDescent="0.25">
      <c r="Q1563" s="8"/>
    </row>
    <row r="1564" spans="17:17" x14ac:dyDescent="0.25">
      <c r="Q1564" s="8"/>
    </row>
    <row r="1565" spans="17:17" x14ac:dyDescent="0.25">
      <c r="Q1565" s="8"/>
    </row>
    <row r="1566" spans="17:17" x14ac:dyDescent="0.25">
      <c r="Q1566" s="8"/>
    </row>
    <row r="1567" spans="17:17" x14ac:dyDescent="0.25">
      <c r="Q1567" s="8"/>
    </row>
    <row r="1568" spans="17:17" x14ac:dyDescent="0.25">
      <c r="Q1568" s="8"/>
    </row>
    <row r="1569" spans="17:17" x14ac:dyDescent="0.25">
      <c r="Q1569" s="8"/>
    </row>
    <row r="1570" spans="17:17" x14ac:dyDescent="0.25">
      <c r="Q1570" s="8"/>
    </row>
    <row r="1571" spans="17:17" x14ac:dyDescent="0.25">
      <c r="Q1571" s="8"/>
    </row>
    <row r="1572" spans="17:17" x14ac:dyDescent="0.25">
      <c r="Q1572" s="8"/>
    </row>
    <row r="1573" spans="17:17" x14ac:dyDescent="0.25">
      <c r="Q1573" s="8"/>
    </row>
    <row r="1574" spans="17:17" x14ac:dyDescent="0.25">
      <c r="Q1574" s="8"/>
    </row>
    <row r="1575" spans="17:17" x14ac:dyDescent="0.25">
      <c r="Q1575" s="8"/>
    </row>
    <row r="1576" spans="17:17" x14ac:dyDescent="0.25">
      <c r="Q1576" s="8"/>
    </row>
    <row r="1577" spans="17:17" x14ac:dyDescent="0.25">
      <c r="Q1577" s="8"/>
    </row>
    <row r="1578" spans="17:17" x14ac:dyDescent="0.25">
      <c r="Q1578" s="8"/>
    </row>
    <row r="1579" spans="17:17" x14ac:dyDescent="0.25">
      <c r="Q1579" s="8"/>
    </row>
    <row r="1580" spans="17:17" x14ac:dyDescent="0.25">
      <c r="Q1580" s="8"/>
    </row>
    <row r="1581" spans="17:17" x14ac:dyDescent="0.25">
      <c r="Q1581" s="8"/>
    </row>
    <row r="1582" spans="17:17" x14ac:dyDescent="0.25">
      <c r="Q1582" s="8"/>
    </row>
    <row r="1583" spans="17:17" x14ac:dyDescent="0.25">
      <c r="Q1583" s="8"/>
    </row>
    <row r="1584" spans="17:17" x14ac:dyDescent="0.25">
      <c r="Q1584" s="8"/>
    </row>
    <row r="1585" spans="17:17" x14ac:dyDescent="0.25">
      <c r="Q1585" s="8"/>
    </row>
    <row r="1586" spans="17:17" x14ac:dyDescent="0.25">
      <c r="Q1586" s="8"/>
    </row>
    <row r="1587" spans="17:17" x14ac:dyDescent="0.25">
      <c r="Q1587" s="8"/>
    </row>
    <row r="1588" spans="17:17" x14ac:dyDescent="0.25">
      <c r="Q1588" s="8"/>
    </row>
    <row r="1589" spans="17:17" x14ac:dyDescent="0.25">
      <c r="Q1589" s="8"/>
    </row>
    <row r="1590" spans="17:17" x14ac:dyDescent="0.25">
      <c r="Q1590" s="8"/>
    </row>
    <row r="1591" spans="17:17" x14ac:dyDescent="0.25">
      <c r="Q1591" s="8"/>
    </row>
    <row r="1592" spans="17:17" x14ac:dyDescent="0.25">
      <c r="Q1592" s="8"/>
    </row>
    <row r="1593" spans="17:17" x14ac:dyDescent="0.25">
      <c r="Q1593" s="8"/>
    </row>
    <row r="1594" spans="17:17" x14ac:dyDescent="0.25">
      <c r="Q1594" s="8"/>
    </row>
    <row r="1595" spans="17:17" x14ac:dyDescent="0.25">
      <c r="Q1595" s="8"/>
    </row>
    <row r="1596" spans="17:17" x14ac:dyDescent="0.25">
      <c r="Q1596" s="8"/>
    </row>
    <row r="1597" spans="17:17" x14ac:dyDescent="0.25">
      <c r="Q1597" s="8"/>
    </row>
    <row r="1598" spans="17:17" x14ac:dyDescent="0.25">
      <c r="Q1598" s="8"/>
    </row>
    <row r="1599" spans="17:17" x14ac:dyDescent="0.25">
      <c r="Q1599" s="8"/>
    </row>
    <row r="1600" spans="17:17" x14ac:dyDescent="0.25">
      <c r="Q1600" s="8"/>
    </row>
    <row r="1601" spans="17:17" x14ac:dyDescent="0.25">
      <c r="Q1601" s="8"/>
    </row>
    <row r="1602" spans="17:17" x14ac:dyDescent="0.25">
      <c r="Q1602" s="8"/>
    </row>
    <row r="1603" spans="17:17" x14ac:dyDescent="0.25">
      <c r="Q1603" s="8"/>
    </row>
    <row r="1604" spans="17:17" x14ac:dyDescent="0.25">
      <c r="Q1604" s="8"/>
    </row>
    <row r="1605" spans="17:17" x14ac:dyDescent="0.25">
      <c r="Q1605" s="8"/>
    </row>
    <row r="1606" spans="17:17" x14ac:dyDescent="0.25">
      <c r="Q1606" s="8"/>
    </row>
    <row r="1607" spans="17:17" x14ac:dyDescent="0.25">
      <c r="Q1607" s="8"/>
    </row>
    <row r="1608" spans="17:17" x14ac:dyDescent="0.25">
      <c r="Q1608" s="8"/>
    </row>
    <row r="1609" spans="17:17" x14ac:dyDescent="0.25">
      <c r="Q1609" s="8"/>
    </row>
    <row r="1610" spans="17:17" x14ac:dyDescent="0.25">
      <c r="Q1610" s="8"/>
    </row>
    <row r="1611" spans="17:17" x14ac:dyDescent="0.25">
      <c r="Q1611" s="8"/>
    </row>
    <row r="1612" spans="17:17" x14ac:dyDescent="0.25">
      <c r="Q1612" s="8"/>
    </row>
    <row r="1613" spans="17:17" x14ac:dyDescent="0.25">
      <c r="Q1613" s="8"/>
    </row>
    <row r="1614" spans="17:17" x14ac:dyDescent="0.25">
      <c r="Q1614" s="8"/>
    </row>
    <row r="1615" spans="17:17" x14ac:dyDescent="0.25">
      <c r="Q1615" s="8"/>
    </row>
    <row r="1616" spans="17:17" x14ac:dyDescent="0.25">
      <c r="Q1616" s="8"/>
    </row>
    <row r="1617" spans="17:17" x14ac:dyDescent="0.25">
      <c r="Q1617" s="8"/>
    </row>
    <row r="1618" spans="17:17" x14ac:dyDescent="0.25">
      <c r="Q1618" s="8"/>
    </row>
    <row r="1619" spans="17:17" x14ac:dyDescent="0.25">
      <c r="Q1619" s="8"/>
    </row>
    <row r="1620" spans="17:17" x14ac:dyDescent="0.25">
      <c r="Q1620" s="8"/>
    </row>
    <row r="1621" spans="17:17" x14ac:dyDescent="0.25">
      <c r="Q1621" s="8"/>
    </row>
    <row r="1622" spans="17:17" x14ac:dyDescent="0.25">
      <c r="Q1622" s="8"/>
    </row>
    <row r="1623" spans="17:17" x14ac:dyDescent="0.25">
      <c r="Q1623" s="8"/>
    </row>
    <row r="1624" spans="17:17" x14ac:dyDescent="0.25">
      <c r="Q1624" s="8"/>
    </row>
    <row r="1625" spans="17:17" x14ac:dyDescent="0.25">
      <c r="Q1625" s="8"/>
    </row>
    <row r="1626" spans="17:17" x14ac:dyDescent="0.25">
      <c r="Q1626" s="8"/>
    </row>
    <row r="1627" spans="17:17" x14ac:dyDescent="0.25">
      <c r="Q1627" s="8"/>
    </row>
    <row r="1628" spans="17:17" x14ac:dyDescent="0.25">
      <c r="Q1628" s="8"/>
    </row>
    <row r="1629" spans="17:17" x14ac:dyDescent="0.25">
      <c r="Q1629" s="8"/>
    </row>
    <row r="1630" spans="17:17" x14ac:dyDescent="0.25">
      <c r="Q1630" s="8"/>
    </row>
    <row r="1631" spans="17:17" x14ac:dyDescent="0.25">
      <c r="Q1631" s="8"/>
    </row>
    <row r="1632" spans="17:17" x14ac:dyDescent="0.25">
      <c r="Q1632" s="8"/>
    </row>
    <row r="1633" spans="17:17" x14ac:dyDescent="0.25">
      <c r="Q1633" s="8"/>
    </row>
    <row r="1634" spans="17:17" x14ac:dyDescent="0.25">
      <c r="Q1634" s="8"/>
    </row>
    <row r="1635" spans="17:17" x14ac:dyDescent="0.25">
      <c r="Q1635" s="8"/>
    </row>
    <row r="1636" spans="17:17" x14ac:dyDescent="0.25">
      <c r="Q1636" s="8"/>
    </row>
    <row r="1637" spans="17:17" x14ac:dyDescent="0.25">
      <c r="Q1637" s="8"/>
    </row>
    <row r="1638" spans="17:17" x14ac:dyDescent="0.25">
      <c r="Q1638" s="8"/>
    </row>
    <row r="1639" spans="17:17" x14ac:dyDescent="0.25">
      <c r="Q1639" s="8"/>
    </row>
    <row r="1640" spans="17:17" x14ac:dyDescent="0.25">
      <c r="Q1640" s="8"/>
    </row>
    <row r="1641" spans="17:17" x14ac:dyDescent="0.25">
      <c r="Q1641" s="8"/>
    </row>
    <row r="1642" spans="17:17" x14ac:dyDescent="0.25">
      <c r="Q1642" s="8"/>
    </row>
    <row r="1643" spans="17:17" x14ac:dyDescent="0.25">
      <c r="Q1643" s="8"/>
    </row>
    <row r="1644" spans="17:17" x14ac:dyDescent="0.25">
      <c r="Q1644" s="8"/>
    </row>
    <row r="1645" spans="17:17" x14ac:dyDescent="0.25">
      <c r="Q1645" s="8"/>
    </row>
    <row r="1646" spans="17:17" x14ac:dyDescent="0.25">
      <c r="Q1646" s="8"/>
    </row>
    <row r="1647" spans="17:17" x14ac:dyDescent="0.25">
      <c r="Q1647" s="8"/>
    </row>
    <row r="1648" spans="17:17" x14ac:dyDescent="0.25">
      <c r="Q1648" s="8"/>
    </row>
    <row r="1649" spans="17:17" x14ac:dyDescent="0.25">
      <c r="Q1649" s="8"/>
    </row>
    <row r="1650" spans="17:17" x14ac:dyDescent="0.25">
      <c r="Q1650" s="8"/>
    </row>
    <row r="1651" spans="17:17" x14ac:dyDescent="0.25">
      <c r="Q1651" s="8"/>
    </row>
    <row r="1652" spans="17:17" x14ac:dyDescent="0.25">
      <c r="Q1652" s="8"/>
    </row>
    <row r="1653" spans="17:17" x14ac:dyDescent="0.25">
      <c r="Q1653" s="8"/>
    </row>
    <row r="1654" spans="17:17" x14ac:dyDescent="0.25">
      <c r="Q1654" s="8"/>
    </row>
    <row r="1655" spans="17:17" x14ac:dyDescent="0.25">
      <c r="Q1655" s="8"/>
    </row>
    <row r="1656" spans="17:17" x14ac:dyDescent="0.25">
      <c r="Q1656" s="8"/>
    </row>
    <row r="1657" spans="17:17" x14ac:dyDescent="0.25">
      <c r="Q1657" s="8"/>
    </row>
    <row r="1658" spans="17:17" x14ac:dyDescent="0.25">
      <c r="Q1658" s="8"/>
    </row>
    <row r="1659" spans="17:17" x14ac:dyDescent="0.25">
      <c r="Q1659" s="8"/>
    </row>
    <row r="1660" spans="17:17" x14ac:dyDescent="0.25">
      <c r="Q1660" s="8"/>
    </row>
    <row r="1661" spans="17:17" x14ac:dyDescent="0.25">
      <c r="Q1661" s="8"/>
    </row>
    <row r="1662" spans="17:17" x14ac:dyDescent="0.25">
      <c r="Q1662" s="8"/>
    </row>
    <row r="1663" spans="17:17" x14ac:dyDescent="0.25">
      <c r="Q1663" s="8"/>
    </row>
    <row r="1664" spans="17:17" x14ac:dyDescent="0.25">
      <c r="Q1664" s="8"/>
    </row>
    <row r="1665" spans="17:17" x14ac:dyDescent="0.25">
      <c r="Q1665" s="8"/>
    </row>
    <row r="1666" spans="17:17" x14ac:dyDescent="0.25">
      <c r="Q1666" s="8"/>
    </row>
    <row r="1667" spans="17:17" x14ac:dyDescent="0.25">
      <c r="Q1667" s="8"/>
    </row>
    <row r="1668" spans="17:17" x14ac:dyDescent="0.25">
      <c r="Q1668" s="8"/>
    </row>
    <row r="1669" spans="17:17" x14ac:dyDescent="0.25">
      <c r="Q1669" s="8"/>
    </row>
    <row r="1670" spans="17:17" x14ac:dyDescent="0.25">
      <c r="Q1670" s="8"/>
    </row>
    <row r="1671" spans="17:17" x14ac:dyDescent="0.25">
      <c r="Q1671" s="8"/>
    </row>
    <row r="1672" spans="17:17" x14ac:dyDescent="0.25">
      <c r="Q1672" s="8"/>
    </row>
    <row r="1673" spans="17:17" x14ac:dyDescent="0.25">
      <c r="Q1673" s="8"/>
    </row>
    <row r="1674" spans="17:17" x14ac:dyDescent="0.25">
      <c r="Q1674" s="8"/>
    </row>
    <row r="1675" spans="17:17" x14ac:dyDescent="0.25">
      <c r="Q1675" s="8"/>
    </row>
    <row r="1676" spans="17:17" x14ac:dyDescent="0.25">
      <c r="Q1676" s="8"/>
    </row>
    <row r="1677" spans="17:17" x14ac:dyDescent="0.25">
      <c r="Q1677" s="8"/>
    </row>
    <row r="1678" spans="17:17" x14ac:dyDescent="0.25">
      <c r="Q1678" s="8"/>
    </row>
    <row r="1679" spans="17:17" x14ac:dyDescent="0.25">
      <c r="Q1679" s="8"/>
    </row>
    <row r="1680" spans="17:17" x14ac:dyDescent="0.25">
      <c r="Q1680" s="8"/>
    </row>
    <row r="1681" spans="17:17" x14ac:dyDescent="0.25">
      <c r="Q1681" s="8"/>
    </row>
    <row r="1682" spans="17:17" x14ac:dyDescent="0.25">
      <c r="Q1682" s="8"/>
    </row>
    <row r="1683" spans="17:17" x14ac:dyDescent="0.25">
      <c r="Q1683" s="8"/>
    </row>
    <row r="1684" spans="17:17" x14ac:dyDescent="0.25">
      <c r="Q1684" s="8"/>
    </row>
    <row r="1685" spans="17:17" x14ac:dyDescent="0.25">
      <c r="Q1685" s="8"/>
    </row>
    <row r="1686" spans="17:17" x14ac:dyDescent="0.25">
      <c r="Q1686" s="8"/>
    </row>
    <row r="1687" spans="17:17" x14ac:dyDescent="0.25">
      <c r="Q1687" s="8"/>
    </row>
    <row r="1688" spans="17:17" x14ac:dyDescent="0.25">
      <c r="Q1688" s="8"/>
    </row>
    <row r="1689" spans="17:17" x14ac:dyDescent="0.25">
      <c r="Q1689" s="8"/>
    </row>
    <row r="1690" spans="17:17" x14ac:dyDescent="0.25">
      <c r="Q1690" s="8"/>
    </row>
    <row r="1691" spans="17:17" x14ac:dyDescent="0.25">
      <c r="Q1691" s="8"/>
    </row>
    <row r="1692" spans="17:17" x14ac:dyDescent="0.25">
      <c r="Q1692" s="8"/>
    </row>
    <row r="1693" spans="17:17" x14ac:dyDescent="0.25">
      <c r="Q1693" s="8"/>
    </row>
    <row r="1694" spans="17:17" x14ac:dyDescent="0.25">
      <c r="Q1694" s="8"/>
    </row>
    <row r="1695" spans="17:17" x14ac:dyDescent="0.25">
      <c r="Q1695" s="8"/>
    </row>
    <row r="1696" spans="17:17" x14ac:dyDescent="0.25">
      <c r="Q1696" s="8"/>
    </row>
    <row r="1697" spans="17:17" x14ac:dyDescent="0.25">
      <c r="Q1697" s="8"/>
    </row>
    <row r="1698" spans="17:17" x14ac:dyDescent="0.25">
      <c r="Q1698" s="8"/>
    </row>
    <row r="1699" spans="17:17" x14ac:dyDescent="0.25">
      <c r="Q1699" s="8"/>
    </row>
    <row r="1700" spans="17:17" x14ac:dyDescent="0.25">
      <c r="Q1700" s="8"/>
    </row>
    <row r="1701" spans="17:17" x14ac:dyDescent="0.25">
      <c r="Q1701" s="8"/>
    </row>
    <row r="1702" spans="17:17" x14ac:dyDescent="0.25">
      <c r="Q1702" s="8"/>
    </row>
    <row r="1703" spans="17:17" x14ac:dyDescent="0.25">
      <c r="Q1703" s="8"/>
    </row>
    <row r="1704" spans="17:17" x14ac:dyDescent="0.25">
      <c r="Q1704" s="8"/>
    </row>
    <row r="1705" spans="17:17" x14ac:dyDescent="0.25">
      <c r="Q1705" s="8"/>
    </row>
    <row r="1706" spans="17:17" x14ac:dyDescent="0.25">
      <c r="Q1706" s="8"/>
    </row>
    <row r="1707" spans="17:17" x14ac:dyDescent="0.25">
      <c r="Q1707" s="8"/>
    </row>
    <row r="1708" spans="17:17" x14ac:dyDescent="0.25">
      <c r="Q1708" s="8"/>
    </row>
    <row r="1709" spans="17:17" x14ac:dyDescent="0.25">
      <c r="Q1709" s="8"/>
    </row>
    <row r="1710" spans="17:17" x14ac:dyDescent="0.25">
      <c r="Q1710" s="8"/>
    </row>
    <row r="1711" spans="17:17" x14ac:dyDescent="0.25">
      <c r="Q1711" s="8"/>
    </row>
    <row r="1712" spans="17:17" x14ac:dyDescent="0.25">
      <c r="Q1712" s="8"/>
    </row>
    <row r="1713" spans="17:17" x14ac:dyDescent="0.25">
      <c r="Q1713" s="8"/>
    </row>
    <row r="1714" spans="17:17" x14ac:dyDescent="0.25">
      <c r="Q1714" s="8"/>
    </row>
    <row r="1715" spans="17:17" x14ac:dyDescent="0.25">
      <c r="Q1715" s="8"/>
    </row>
    <row r="1716" spans="17:17" x14ac:dyDescent="0.25">
      <c r="Q1716" s="8"/>
    </row>
    <row r="1717" spans="17:17" x14ac:dyDescent="0.25">
      <c r="Q1717" s="8"/>
    </row>
    <row r="1718" spans="17:17" x14ac:dyDescent="0.25">
      <c r="Q1718" s="8"/>
    </row>
    <row r="1719" spans="17:17" x14ac:dyDescent="0.25">
      <c r="Q1719" s="8"/>
    </row>
    <row r="1720" spans="17:17" x14ac:dyDescent="0.25">
      <c r="Q1720" s="8"/>
    </row>
    <row r="1721" spans="17:17" x14ac:dyDescent="0.25">
      <c r="Q1721" s="8"/>
    </row>
    <row r="1722" spans="17:17" x14ac:dyDescent="0.25">
      <c r="Q1722" s="8"/>
    </row>
    <row r="1723" spans="17:17" x14ac:dyDescent="0.25">
      <c r="Q1723" s="8"/>
    </row>
    <row r="1724" spans="17:17" x14ac:dyDescent="0.25">
      <c r="Q1724" s="8"/>
    </row>
    <row r="1725" spans="17:17" x14ac:dyDescent="0.25">
      <c r="Q1725" s="8"/>
    </row>
    <row r="1726" spans="17:17" x14ac:dyDescent="0.25">
      <c r="Q1726" s="8"/>
    </row>
    <row r="1727" spans="17:17" x14ac:dyDescent="0.25">
      <c r="Q1727" s="8"/>
    </row>
    <row r="1728" spans="17:17" x14ac:dyDescent="0.25">
      <c r="Q1728" s="8"/>
    </row>
    <row r="1729" spans="17:17" x14ac:dyDescent="0.25">
      <c r="Q1729" s="8"/>
    </row>
    <row r="1730" spans="17:17" x14ac:dyDescent="0.25">
      <c r="Q1730" s="8"/>
    </row>
    <row r="1731" spans="17:17" x14ac:dyDescent="0.25">
      <c r="Q1731" s="8"/>
    </row>
    <row r="1732" spans="17:17" x14ac:dyDescent="0.25">
      <c r="Q1732" s="8"/>
    </row>
    <row r="1733" spans="17:17" x14ac:dyDescent="0.25">
      <c r="Q1733" s="8"/>
    </row>
    <row r="1734" spans="17:17" x14ac:dyDescent="0.25">
      <c r="Q1734" s="8"/>
    </row>
    <row r="1735" spans="17:17" x14ac:dyDescent="0.25">
      <c r="Q1735" s="8"/>
    </row>
    <row r="1736" spans="17:17" x14ac:dyDescent="0.25">
      <c r="Q1736" s="8"/>
    </row>
    <row r="1737" spans="17:17" x14ac:dyDescent="0.25">
      <c r="Q1737" s="8"/>
    </row>
    <row r="1738" spans="17:17" x14ac:dyDescent="0.25">
      <c r="Q1738" s="8"/>
    </row>
    <row r="1739" spans="17:17" x14ac:dyDescent="0.25">
      <c r="Q1739" s="8"/>
    </row>
    <row r="1740" spans="17:17" x14ac:dyDescent="0.25">
      <c r="Q1740" s="8"/>
    </row>
    <row r="1741" spans="17:17" x14ac:dyDescent="0.25">
      <c r="Q1741" s="8"/>
    </row>
    <row r="1742" spans="17:17" x14ac:dyDescent="0.25">
      <c r="Q1742" s="8"/>
    </row>
    <row r="1743" spans="17:17" x14ac:dyDescent="0.25">
      <c r="Q1743" s="8"/>
    </row>
    <row r="1744" spans="17:17" x14ac:dyDescent="0.25">
      <c r="Q1744" s="8"/>
    </row>
    <row r="1745" spans="17:17" x14ac:dyDescent="0.25">
      <c r="Q1745" s="8"/>
    </row>
    <row r="1746" spans="17:17" x14ac:dyDescent="0.25">
      <c r="Q1746" s="8"/>
    </row>
    <row r="1747" spans="17:17" x14ac:dyDescent="0.25">
      <c r="Q1747" s="8"/>
    </row>
    <row r="1748" spans="17:17" x14ac:dyDescent="0.25">
      <c r="Q1748" s="8"/>
    </row>
    <row r="1749" spans="17:17" x14ac:dyDescent="0.25">
      <c r="Q1749" s="8"/>
    </row>
    <row r="1750" spans="17:17" x14ac:dyDescent="0.25">
      <c r="Q1750" s="8"/>
    </row>
    <row r="1751" spans="17:17" x14ac:dyDescent="0.25">
      <c r="Q1751" s="8"/>
    </row>
    <row r="1752" spans="17:17" x14ac:dyDescent="0.25">
      <c r="Q1752" s="8"/>
    </row>
    <row r="1753" spans="17:17" x14ac:dyDescent="0.25">
      <c r="Q1753" s="8"/>
    </row>
    <row r="1754" spans="17:17" x14ac:dyDescent="0.25">
      <c r="Q1754" s="8"/>
    </row>
    <row r="1755" spans="17:17" x14ac:dyDescent="0.25">
      <c r="Q1755" s="8"/>
    </row>
    <row r="1756" spans="17:17" x14ac:dyDescent="0.25">
      <c r="Q1756" s="8"/>
    </row>
    <row r="1757" spans="17:17" x14ac:dyDescent="0.25">
      <c r="Q1757" s="8"/>
    </row>
    <row r="1758" spans="17:17" x14ac:dyDescent="0.25">
      <c r="Q1758" s="8"/>
    </row>
    <row r="1759" spans="17:17" x14ac:dyDescent="0.25">
      <c r="Q1759" s="8"/>
    </row>
    <row r="1760" spans="17:17" x14ac:dyDescent="0.25">
      <c r="Q1760" s="8"/>
    </row>
    <row r="1761" spans="17:17" x14ac:dyDescent="0.25">
      <c r="Q1761" s="8"/>
    </row>
    <row r="1762" spans="17:17" x14ac:dyDescent="0.25">
      <c r="Q1762" s="8"/>
    </row>
    <row r="1763" spans="17:17" x14ac:dyDescent="0.25">
      <c r="Q1763" s="8"/>
    </row>
    <row r="1764" spans="17:17" x14ac:dyDescent="0.25">
      <c r="Q1764" s="8"/>
    </row>
    <row r="1765" spans="17:17" x14ac:dyDescent="0.25">
      <c r="Q1765" s="8"/>
    </row>
    <row r="1766" spans="17:17" x14ac:dyDescent="0.25">
      <c r="Q1766" s="8"/>
    </row>
    <row r="1767" spans="17:17" x14ac:dyDescent="0.25">
      <c r="Q1767" s="8"/>
    </row>
    <row r="1768" spans="17:17" x14ac:dyDescent="0.25">
      <c r="Q1768" s="8"/>
    </row>
    <row r="1769" spans="17:17" x14ac:dyDescent="0.25">
      <c r="Q1769" s="8"/>
    </row>
    <row r="1770" spans="17:17" x14ac:dyDescent="0.25">
      <c r="Q1770" s="8"/>
    </row>
    <row r="1771" spans="17:17" x14ac:dyDescent="0.25">
      <c r="Q1771" s="8"/>
    </row>
    <row r="1772" spans="17:17" x14ac:dyDescent="0.25">
      <c r="Q1772" s="8"/>
    </row>
    <row r="1773" spans="17:17" x14ac:dyDescent="0.25">
      <c r="Q1773" s="8"/>
    </row>
    <row r="1774" spans="17:17" x14ac:dyDescent="0.25">
      <c r="Q1774" s="8"/>
    </row>
    <row r="1775" spans="17:17" x14ac:dyDescent="0.25">
      <c r="Q1775" s="8"/>
    </row>
    <row r="1776" spans="17:17" x14ac:dyDescent="0.25">
      <c r="Q1776" s="8"/>
    </row>
    <row r="1777" spans="17:17" x14ac:dyDescent="0.25">
      <c r="Q1777" s="8"/>
    </row>
    <row r="1778" spans="17:17" x14ac:dyDescent="0.25">
      <c r="Q1778" s="8"/>
    </row>
    <row r="1779" spans="17:17" x14ac:dyDescent="0.25">
      <c r="Q1779" s="8"/>
    </row>
    <row r="1780" spans="17:17" x14ac:dyDescent="0.25">
      <c r="Q1780" s="8"/>
    </row>
    <row r="1781" spans="17:17" x14ac:dyDescent="0.25">
      <c r="Q1781" s="8"/>
    </row>
    <row r="1782" spans="17:17" x14ac:dyDescent="0.25">
      <c r="Q1782" s="8"/>
    </row>
    <row r="1783" spans="17:17" x14ac:dyDescent="0.25">
      <c r="Q1783" s="8"/>
    </row>
    <row r="1784" spans="17:17" x14ac:dyDescent="0.25">
      <c r="Q1784" s="8"/>
    </row>
    <row r="1785" spans="17:17" x14ac:dyDescent="0.25">
      <c r="Q1785" s="8"/>
    </row>
    <row r="1786" spans="17:17" x14ac:dyDescent="0.25">
      <c r="Q1786" s="8"/>
    </row>
    <row r="1787" spans="17:17" x14ac:dyDescent="0.25">
      <c r="Q1787" s="8"/>
    </row>
    <row r="1788" spans="17:17" x14ac:dyDescent="0.25">
      <c r="Q1788" s="8"/>
    </row>
    <row r="1789" spans="17:17" x14ac:dyDescent="0.25">
      <c r="Q1789" s="8"/>
    </row>
    <row r="1790" spans="17:17" x14ac:dyDescent="0.25">
      <c r="Q1790" s="8"/>
    </row>
    <row r="1791" spans="17:17" x14ac:dyDescent="0.25">
      <c r="Q1791" s="8"/>
    </row>
    <row r="1792" spans="17:17" x14ac:dyDescent="0.25">
      <c r="Q1792" s="8"/>
    </row>
    <row r="1793" spans="17:17" x14ac:dyDescent="0.25">
      <c r="Q1793" s="8"/>
    </row>
    <row r="1794" spans="17:17" x14ac:dyDescent="0.25">
      <c r="Q1794" s="8"/>
    </row>
    <row r="1795" spans="17:17" x14ac:dyDescent="0.25">
      <c r="Q1795" s="8"/>
    </row>
    <row r="1796" spans="17:17" x14ac:dyDescent="0.25">
      <c r="Q1796" s="8"/>
    </row>
    <row r="1797" spans="17:17" x14ac:dyDescent="0.25">
      <c r="Q1797" s="8"/>
    </row>
    <row r="1798" spans="17:17" x14ac:dyDescent="0.25">
      <c r="Q1798" s="8"/>
    </row>
    <row r="1799" spans="17:17" x14ac:dyDescent="0.25">
      <c r="Q1799" s="8"/>
    </row>
    <row r="1800" spans="17:17" x14ac:dyDescent="0.25">
      <c r="Q1800" s="8"/>
    </row>
    <row r="1801" spans="17:17" x14ac:dyDescent="0.25">
      <c r="Q1801" s="8"/>
    </row>
    <row r="1802" spans="17:17" x14ac:dyDescent="0.25">
      <c r="Q1802" s="8"/>
    </row>
    <row r="1803" spans="17:17" x14ac:dyDescent="0.25">
      <c r="Q1803" s="8"/>
    </row>
    <row r="1804" spans="17:17" x14ac:dyDescent="0.25">
      <c r="Q1804" s="8"/>
    </row>
    <row r="1805" spans="17:17" x14ac:dyDescent="0.25">
      <c r="Q1805" s="8"/>
    </row>
    <row r="1806" spans="17:17" x14ac:dyDescent="0.25">
      <c r="Q1806" s="8"/>
    </row>
    <row r="1807" spans="17:17" x14ac:dyDescent="0.25">
      <c r="Q1807" s="8"/>
    </row>
    <row r="1808" spans="17:17" x14ac:dyDescent="0.25">
      <c r="Q1808" s="8"/>
    </row>
    <row r="1809" spans="17:17" x14ac:dyDescent="0.25">
      <c r="Q1809" s="8"/>
    </row>
    <row r="1810" spans="17:17" x14ac:dyDescent="0.25">
      <c r="Q1810" s="8"/>
    </row>
    <row r="1811" spans="17:17" x14ac:dyDescent="0.25">
      <c r="Q1811" s="8"/>
    </row>
    <row r="1812" spans="17:17" x14ac:dyDescent="0.25">
      <c r="Q1812" s="8"/>
    </row>
    <row r="1813" spans="17:17" x14ac:dyDescent="0.25">
      <c r="Q1813" s="8"/>
    </row>
    <row r="1814" spans="17:17" x14ac:dyDescent="0.25">
      <c r="Q1814" s="8"/>
    </row>
    <row r="1815" spans="17:17" x14ac:dyDescent="0.25">
      <c r="Q1815" s="8"/>
    </row>
    <row r="1816" spans="17:17" x14ac:dyDescent="0.25">
      <c r="Q1816" s="8"/>
    </row>
    <row r="1817" spans="17:17" x14ac:dyDescent="0.25">
      <c r="Q1817" s="8"/>
    </row>
    <row r="1818" spans="17:17" x14ac:dyDescent="0.25">
      <c r="Q1818" s="8"/>
    </row>
    <row r="1819" spans="17:17" x14ac:dyDescent="0.25">
      <c r="Q1819" s="8"/>
    </row>
    <row r="1820" spans="17:17" x14ac:dyDescent="0.25">
      <c r="Q1820" s="8"/>
    </row>
    <row r="1821" spans="17:17" x14ac:dyDescent="0.25">
      <c r="Q1821" s="8"/>
    </row>
    <row r="1822" spans="17:17" x14ac:dyDescent="0.25">
      <c r="Q1822" s="8"/>
    </row>
    <row r="1823" spans="17:17" x14ac:dyDescent="0.25">
      <c r="Q1823" s="8"/>
    </row>
    <row r="1824" spans="17:17" x14ac:dyDescent="0.25">
      <c r="Q1824" s="8"/>
    </row>
    <row r="1825" spans="17:17" x14ac:dyDescent="0.25">
      <c r="Q1825" s="8"/>
    </row>
    <row r="1826" spans="17:17" x14ac:dyDescent="0.25">
      <c r="Q1826" s="8"/>
    </row>
    <row r="1827" spans="17:17" x14ac:dyDescent="0.25">
      <c r="Q1827" s="8"/>
    </row>
    <row r="1828" spans="17:17" x14ac:dyDescent="0.25">
      <c r="Q1828" s="8"/>
    </row>
    <row r="1829" spans="17:17" x14ac:dyDescent="0.25">
      <c r="Q1829" s="8"/>
    </row>
    <row r="1830" spans="17:17" x14ac:dyDescent="0.25">
      <c r="Q1830" s="8"/>
    </row>
    <row r="1831" spans="17:17" x14ac:dyDescent="0.25">
      <c r="Q1831" s="8"/>
    </row>
    <row r="1832" spans="17:17" x14ac:dyDescent="0.25">
      <c r="Q1832" s="8"/>
    </row>
    <row r="1833" spans="17:17" x14ac:dyDescent="0.25">
      <c r="Q1833" s="8"/>
    </row>
    <row r="1834" spans="17:17" x14ac:dyDescent="0.25">
      <c r="Q1834" s="8"/>
    </row>
    <row r="1835" spans="17:17" x14ac:dyDescent="0.25">
      <c r="Q1835" s="8"/>
    </row>
    <row r="1836" spans="17:17" x14ac:dyDescent="0.25">
      <c r="Q1836" s="8"/>
    </row>
    <row r="1837" spans="17:17" x14ac:dyDescent="0.25">
      <c r="Q1837" s="8"/>
    </row>
    <row r="1838" spans="17:17" x14ac:dyDescent="0.25">
      <c r="Q1838" s="8"/>
    </row>
    <row r="1839" spans="17:17" x14ac:dyDescent="0.25">
      <c r="Q1839" s="8"/>
    </row>
    <row r="1840" spans="17:17" x14ac:dyDescent="0.25">
      <c r="Q1840" s="8"/>
    </row>
    <row r="1841" spans="17:17" x14ac:dyDescent="0.25">
      <c r="Q1841" s="8"/>
    </row>
    <row r="1842" spans="17:17" x14ac:dyDescent="0.25">
      <c r="Q1842" s="8"/>
    </row>
    <row r="1843" spans="17:17" x14ac:dyDescent="0.25">
      <c r="Q1843" s="8"/>
    </row>
    <row r="1844" spans="17:17" x14ac:dyDescent="0.25">
      <c r="Q1844" s="8"/>
    </row>
    <row r="1845" spans="17:17" x14ac:dyDescent="0.25">
      <c r="Q1845" s="8"/>
    </row>
    <row r="1846" spans="17:17" x14ac:dyDescent="0.25">
      <c r="Q1846" s="8"/>
    </row>
    <row r="1847" spans="17:17" x14ac:dyDescent="0.25">
      <c r="Q1847" s="8"/>
    </row>
    <row r="1848" spans="17:17" x14ac:dyDescent="0.25">
      <c r="Q1848" s="8"/>
    </row>
    <row r="1849" spans="17:17" x14ac:dyDescent="0.25">
      <c r="Q1849" s="8"/>
    </row>
    <row r="1850" spans="17:17" x14ac:dyDescent="0.25">
      <c r="Q1850" s="8"/>
    </row>
    <row r="1851" spans="17:17" x14ac:dyDescent="0.25">
      <c r="Q1851" s="8"/>
    </row>
    <row r="1852" spans="17:17" x14ac:dyDescent="0.25">
      <c r="Q1852" s="8"/>
    </row>
    <row r="1853" spans="17:17" x14ac:dyDescent="0.25">
      <c r="Q1853" s="8"/>
    </row>
    <row r="1854" spans="17:17" x14ac:dyDescent="0.25">
      <c r="Q1854" s="8"/>
    </row>
    <row r="1855" spans="17:17" x14ac:dyDescent="0.25">
      <c r="Q1855" s="8"/>
    </row>
    <row r="1856" spans="17:17" x14ac:dyDescent="0.25">
      <c r="Q1856" s="8"/>
    </row>
    <row r="1857" spans="17:17" x14ac:dyDescent="0.25">
      <c r="Q1857" s="8"/>
    </row>
    <row r="1858" spans="17:17" x14ac:dyDescent="0.25">
      <c r="Q1858" s="8"/>
    </row>
    <row r="1859" spans="17:17" x14ac:dyDescent="0.25">
      <c r="Q1859" s="8"/>
    </row>
    <row r="1860" spans="17:17" x14ac:dyDescent="0.25">
      <c r="Q1860" s="8"/>
    </row>
    <row r="1861" spans="17:17" x14ac:dyDescent="0.25">
      <c r="Q1861" s="8"/>
    </row>
    <row r="1862" spans="17:17" x14ac:dyDescent="0.25">
      <c r="Q1862" s="8"/>
    </row>
    <row r="1863" spans="17:17" x14ac:dyDescent="0.25">
      <c r="Q1863" s="8"/>
    </row>
    <row r="1864" spans="17:17" x14ac:dyDescent="0.25">
      <c r="Q1864" s="8"/>
    </row>
    <row r="1865" spans="17:17" x14ac:dyDescent="0.25">
      <c r="Q1865" s="8"/>
    </row>
    <row r="1866" spans="17:17" x14ac:dyDescent="0.25">
      <c r="Q1866" s="8"/>
    </row>
    <row r="1867" spans="17:17" x14ac:dyDescent="0.25">
      <c r="Q1867" s="8"/>
    </row>
    <row r="1868" spans="17:17" x14ac:dyDescent="0.25">
      <c r="Q1868" s="8"/>
    </row>
    <row r="1869" spans="17:17" x14ac:dyDescent="0.25">
      <c r="Q1869" s="8"/>
    </row>
    <row r="1870" spans="17:17" x14ac:dyDescent="0.25">
      <c r="Q1870" s="8"/>
    </row>
    <row r="1871" spans="17:17" x14ac:dyDescent="0.25">
      <c r="Q1871" s="8"/>
    </row>
    <row r="1872" spans="17:17" x14ac:dyDescent="0.25">
      <c r="Q1872" s="8"/>
    </row>
    <row r="1873" spans="17:17" x14ac:dyDescent="0.25">
      <c r="Q1873" s="8"/>
    </row>
    <row r="1874" spans="17:17" x14ac:dyDescent="0.25">
      <c r="Q1874" s="8"/>
    </row>
    <row r="1875" spans="17:17" x14ac:dyDescent="0.25">
      <c r="Q1875" s="8"/>
    </row>
    <row r="1876" spans="17:17" x14ac:dyDescent="0.25">
      <c r="Q1876" s="8"/>
    </row>
    <row r="1877" spans="17:17" x14ac:dyDescent="0.25">
      <c r="Q1877" s="8"/>
    </row>
    <row r="1878" spans="17:17" x14ac:dyDescent="0.25">
      <c r="Q1878" s="8"/>
    </row>
    <row r="1879" spans="17:17" x14ac:dyDescent="0.25">
      <c r="Q1879" s="8"/>
    </row>
    <row r="1880" spans="17:17" x14ac:dyDescent="0.25">
      <c r="Q1880" s="8"/>
    </row>
    <row r="1881" spans="17:17" x14ac:dyDescent="0.25">
      <c r="Q1881" s="8"/>
    </row>
    <row r="1882" spans="17:17" x14ac:dyDescent="0.25">
      <c r="Q1882" s="8"/>
    </row>
    <row r="1883" spans="17:17" x14ac:dyDescent="0.25">
      <c r="Q1883" s="8"/>
    </row>
    <row r="1884" spans="17:17" x14ac:dyDescent="0.25">
      <c r="Q1884" s="8"/>
    </row>
    <row r="1885" spans="17:17" x14ac:dyDescent="0.25">
      <c r="Q1885" s="8"/>
    </row>
    <row r="1886" spans="17:17" x14ac:dyDescent="0.25">
      <c r="Q1886" s="8"/>
    </row>
    <row r="1887" spans="17:17" x14ac:dyDescent="0.25">
      <c r="Q1887" s="8"/>
    </row>
    <row r="1888" spans="17:17" x14ac:dyDescent="0.25">
      <c r="Q1888" s="8"/>
    </row>
    <row r="1889" spans="17:17" x14ac:dyDescent="0.25">
      <c r="Q1889" s="8"/>
    </row>
    <row r="1890" spans="17:17" x14ac:dyDescent="0.25">
      <c r="Q1890" s="8"/>
    </row>
    <row r="1891" spans="17:17" x14ac:dyDescent="0.25">
      <c r="Q1891" s="8"/>
    </row>
    <row r="1892" spans="17:17" x14ac:dyDescent="0.25">
      <c r="Q1892" s="8"/>
    </row>
    <row r="1893" spans="17:17" x14ac:dyDescent="0.25">
      <c r="Q1893" s="8"/>
    </row>
    <row r="1894" spans="17:17" x14ac:dyDescent="0.25">
      <c r="Q1894" s="8"/>
    </row>
    <row r="1895" spans="17:17" x14ac:dyDescent="0.25">
      <c r="Q1895" s="8"/>
    </row>
    <row r="1896" spans="17:17" x14ac:dyDescent="0.25">
      <c r="Q1896" s="8"/>
    </row>
    <row r="1897" spans="17:17" x14ac:dyDescent="0.25">
      <c r="Q1897" s="8"/>
    </row>
    <row r="1898" spans="17:17" x14ac:dyDescent="0.25">
      <c r="Q1898" s="8"/>
    </row>
    <row r="1899" spans="17:17" x14ac:dyDescent="0.25">
      <c r="Q1899" s="8"/>
    </row>
    <row r="1900" spans="17:17" x14ac:dyDescent="0.25">
      <c r="Q1900" s="8"/>
    </row>
    <row r="1901" spans="17:17" x14ac:dyDescent="0.25">
      <c r="Q1901" s="8"/>
    </row>
    <row r="1902" spans="17:17" x14ac:dyDescent="0.25">
      <c r="Q1902" s="8"/>
    </row>
    <row r="1903" spans="17:17" x14ac:dyDescent="0.25">
      <c r="Q1903" s="8"/>
    </row>
    <row r="1904" spans="17:17" x14ac:dyDescent="0.25">
      <c r="Q1904" s="8"/>
    </row>
    <row r="1905" spans="17:17" x14ac:dyDescent="0.25">
      <c r="Q1905" s="8"/>
    </row>
    <row r="1906" spans="17:17" x14ac:dyDescent="0.25">
      <c r="Q1906" s="8"/>
    </row>
    <row r="1907" spans="17:17" x14ac:dyDescent="0.25">
      <c r="Q1907" s="8"/>
    </row>
    <row r="1908" spans="17:17" x14ac:dyDescent="0.25">
      <c r="Q1908" s="8"/>
    </row>
    <row r="1909" spans="17:17" x14ac:dyDescent="0.25">
      <c r="Q1909" s="8"/>
    </row>
    <row r="1910" spans="17:17" x14ac:dyDescent="0.25">
      <c r="Q1910" s="8"/>
    </row>
    <row r="1911" spans="17:17" x14ac:dyDescent="0.25">
      <c r="Q1911" s="8"/>
    </row>
    <row r="1912" spans="17:17" x14ac:dyDescent="0.25">
      <c r="Q1912" s="8"/>
    </row>
    <row r="1913" spans="17:17" x14ac:dyDescent="0.25">
      <c r="Q1913" s="8"/>
    </row>
    <row r="1914" spans="17:17" x14ac:dyDescent="0.25">
      <c r="Q1914" s="8"/>
    </row>
    <row r="1915" spans="17:17" x14ac:dyDescent="0.25">
      <c r="Q1915" s="8"/>
    </row>
    <row r="1916" spans="17:17" x14ac:dyDescent="0.25">
      <c r="Q1916" s="8"/>
    </row>
    <row r="1917" spans="17:17" x14ac:dyDescent="0.25">
      <c r="Q1917" s="8"/>
    </row>
    <row r="1918" spans="17:17" x14ac:dyDescent="0.25">
      <c r="Q1918" s="8"/>
    </row>
    <row r="1919" spans="17:17" x14ac:dyDescent="0.25">
      <c r="Q1919" s="8"/>
    </row>
    <row r="1920" spans="17:17" x14ac:dyDescent="0.25">
      <c r="Q1920" s="8"/>
    </row>
    <row r="1921" spans="17:17" x14ac:dyDescent="0.25">
      <c r="Q1921" s="8"/>
    </row>
    <row r="1922" spans="17:17" x14ac:dyDescent="0.25">
      <c r="Q1922" s="8"/>
    </row>
    <row r="1923" spans="17:17" x14ac:dyDescent="0.25">
      <c r="Q1923" s="8"/>
    </row>
    <row r="1924" spans="17:17" x14ac:dyDescent="0.25">
      <c r="Q1924" s="8"/>
    </row>
    <row r="1925" spans="17:17" x14ac:dyDescent="0.25">
      <c r="Q1925" s="8"/>
    </row>
    <row r="1926" spans="17:17" x14ac:dyDescent="0.25">
      <c r="Q1926" s="8"/>
    </row>
    <row r="1927" spans="17:17" x14ac:dyDescent="0.25">
      <c r="Q1927" s="8"/>
    </row>
    <row r="1928" spans="17:17" x14ac:dyDescent="0.25">
      <c r="Q1928" s="8"/>
    </row>
    <row r="1929" spans="17:17" x14ac:dyDescent="0.25">
      <c r="Q1929" s="8"/>
    </row>
    <row r="1930" spans="17:17" x14ac:dyDescent="0.25">
      <c r="Q1930" s="8"/>
    </row>
    <row r="1931" spans="17:17" x14ac:dyDescent="0.25">
      <c r="Q1931" s="8"/>
    </row>
    <row r="1932" spans="17:17" x14ac:dyDescent="0.25">
      <c r="Q1932" s="8"/>
    </row>
    <row r="1933" spans="17:17" x14ac:dyDescent="0.25">
      <c r="Q1933" s="8"/>
    </row>
    <row r="1934" spans="17:17" x14ac:dyDescent="0.25">
      <c r="Q1934" s="8"/>
    </row>
    <row r="1935" spans="17:17" x14ac:dyDescent="0.25">
      <c r="Q1935" s="8"/>
    </row>
    <row r="1936" spans="17:17" x14ac:dyDescent="0.25">
      <c r="Q1936" s="8"/>
    </row>
    <row r="1937" spans="17:17" x14ac:dyDescent="0.25">
      <c r="Q1937" s="8"/>
    </row>
    <row r="1938" spans="17:17" x14ac:dyDescent="0.25">
      <c r="Q1938" s="8"/>
    </row>
    <row r="1939" spans="17:17" x14ac:dyDescent="0.25">
      <c r="Q1939" s="8"/>
    </row>
    <row r="1940" spans="17:17" x14ac:dyDescent="0.25">
      <c r="Q1940" s="8"/>
    </row>
    <row r="1941" spans="17:17" x14ac:dyDescent="0.25">
      <c r="Q1941" s="8"/>
    </row>
    <row r="1942" spans="17:17" x14ac:dyDescent="0.25">
      <c r="Q1942" s="8"/>
    </row>
    <row r="1943" spans="17:17" x14ac:dyDescent="0.25">
      <c r="Q1943" s="8"/>
    </row>
    <row r="1944" spans="17:17" x14ac:dyDescent="0.25">
      <c r="Q1944" s="8"/>
    </row>
    <row r="1945" spans="17:17" x14ac:dyDescent="0.25">
      <c r="Q1945" s="8"/>
    </row>
    <row r="1946" spans="17:17" x14ac:dyDescent="0.25">
      <c r="Q1946" s="8"/>
    </row>
    <row r="1947" spans="17:17" x14ac:dyDescent="0.25">
      <c r="Q1947" s="8"/>
    </row>
    <row r="1948" spans="17:17" x14ac:dyDescent="0.25">
      <c r="Q1948" s="8"/>
    </row>
    <row r="1949" spans="17:17" x14ac:dyDescent="0.25">
      <c r="Q1949" s="8"/>
    </row>
    <row r="1950" spans="17:17" x14ac:dyDescent="0.25">
      <c r="Q1950" s="8"/>
    </row>
    <row r="1951" spans="17:17" x14ac:dyDescent="0.25">
      <c r="Q1951" s="8"/>
    </row>
    <row r="1952" spans="17:17" x14ac:dyDescent="0.25">
      <c r="Q1952" s="8"/>
    </row>
    <row r="1953" spans="17:17" x14ac:dyDescent="0.25">
      <c r="Q1953" s="8"/>
    </row>
    <row r="1954" spans="17:17" x14ac:dyDescent="0.25">
      <c r="Q1954" s="8"/>
    </row>
    <row r="1955" spans="17:17" x14ac:dyDescent="0.25">
      <c r="Q1955" s="8"/>
    </row>
    <row r="1956" spans="17:17" x14ac:dyDescent="0.25">
      <c r="Q1956" s="8"/>
    </row>
    <row r="1957" spans="17:17" x14ac:dyDescent="0.25">
      <c r="Q1957" s="8"/>
    </row>
    <row r="1958" spans="17:17" x14ac:dyDescent="0.25">
      <c r="Q1958" s="8"/>
    </row>
    <row r="1959" spans="17:17" x14ac:dyDescent="0.25">
      <c r="Q1959" s="8"/>
    </row>
    <row r="1960" spans="17:17" x14ac:dyDescent="0.25">
      <c r="Q1960" s="8"/>
    </row>
    <row r="1961" spans="17:17" x14ac:dyDescent="0.25">
      <c r="Q1961" s="8"/>
    </row>
    <row r="1962" spans="17:17" x14ac:dyDescent="0.25">
      <c r="Q1962" s="8"/>
    </row>
    <row r="1963" spans="17:17" x14ac:dyDescent="0.25">
      <c r="Q1963" s="8"/>
    </row>
    <row r="1964" spans="17:17" x14ac:dyDescent="0.25">
      <c r="Q1964" s="8"/>
    </row>
    <row r="1965" spans="17:17" x14ac:dyDescent="0.25">
      <c r="Q1965" s="8"/>
    </row>
    <row r="1966" spans="17:17" x14ac:dyDescent="0.25">
      <c r="Q1966" s="8"/>
    </row>
    <row r="1967" spans="17:17" x14ac:dyDescent="0.25">
      <c r="Q1967" s="8"/>
    </row>
    <row r="1968" spans="17:17" x14ac:dyDescent="0.25">
      <c r="Q1968" s="8"/>
    </row>
    <row r="1969" spans="17:17" x14ac:dyDescent="0.25">
      <c r="Q1969" s="8"/>
    </row>
    <row r="1970" spans="17:17" x14ac:dyDescent="0.25">
      <c r="Q1970" s="8"/>
    </row>
    <row r="1971" spans="17:17" x14ac:dyDescent="0.25">
      <c r="Q1971" s="8"/>
    </row>
    <row r="1972" spans="17:17" x14ac:dyDescent="0.25">
      <c r="Q1972" s="8"/>
    </row>
    <row r="1973" spans="17:17" x14ac:dyDescent="0.25">
      <c r="Q1973" s="8"/>
    </row>
    <row r="1974" spans="17:17" x14ac:dyDescent="0.25">
      <c r="Q1974" s="8"/>
    </row>
    <row r="1975" spans="17:17" x14ac:dyDescent="0.25">
      <c r="Q1975" s="8"/>
    </row>
    <row r="1976" spans="17:17" x14ac:dyDescent="0.25">
      <c r="Q1976" s="8"/>
    </row>
    <row r="1977" spans="17:17" x14ac:dyDescent="0.25">
      <c r="Q1977" s="8"/>
    </row>
    <row r="1978" spans="17:17" x14ac:dyDescent="0.25">
      <c r="Q1978" s="8"/>
    </row>
    <row r="1979" spans="17:17" x14ac:dyDescent="0.25">
      <c r="Q1979" s="8"/>
    </row>
    <row r="1980" spans="17:17" x14ac:dyDescent="0.25">
      <c r="Q1980" s="8"/>
    </row>
    <row r="1981" spans="17:17" x14ac:dyDescent="0.25">
      <c r="Q1981" s="8"/>
    </row>
    <row r="1982" spans="17:17" x14ac:dyDescent="0.25">
      <c r="Q1982" s="8"/>
    </row>
    <row r="1983" spans="17:17" x14ac:dyDescent="0.25">
      <c r="Q1983" s="8"/>
    </row>
    <row r="1984" spans="17:17" x14ac:dyDescent="0.25">
      <c r="Q1984" s="8"/>
    </row>
    <row r="1985" spans="17:17" x14ac:dyDescent="0.25">
      <c r="Q1985" s="8"/>
    </row>
    <row r="1986" spans="17:17" x14ac:dyDescent="0.25">
      <c r="Q1986" s="8"/>
    </row>
    <row r="1987" spans="17:17" x14ac:dyDescent="0.25">
      <c r="Q1987" s="8"/>
    </row>
    <row r="1988" spans="17:17" x14ac:dyDescent="0.25">
      <c r="Q1988" s="8"/>
    </row>
    <row r="1989" spans="17:17" x14ac:dyDescent="0.25">
      <c r="Q1989" s="8"/>
    </row>
    <row r="1990" spans="17:17" x14ac:dyDescent="0.25">
      <c r="Q1990" s="8"/>
    </row>
    <row r="1991" spans="17:17" x14ac:dyDescent="0.25">
      <c r="Q1991" s="8"/>
    </row>
    <row r="1992" spans="17:17" x14ac:dyDescent="0.25">
      <c r="Q1992" s="8"/>
    </row>
    <row r="1993" spans="17:17" x14ac:dyDescent="0.25">
      <c r="Q1993" s="8"/>
    </row>
    <row r="1994" spans="17:17" x14ac:dyDescent="0.25">
      <c r="Q1994" s="8"/>
    </row>
    <row r="1995" spans="17:17" x14ac:dyDescent="0.25">
      <c r="Q1995" s="8"/>
    </row>
    <row r="1996" spans="17:17" x14ac:dyDescent="0.25">
      <c r="Q1996" s="8"/>
    </row>
    <row r="1997" spans="17:17" x14ac:dyDescent="0.25">
      <c r="Q1997" s="8"/>
    </row>
    <row r="1998" spans="17:17" x14ac:dyDescent="0.25">
      <c r="Q1998" s="8"/>
    </row>
    <row r="1999" spans="17:17" x14ac:dyDescent="0.25">
      <c r="Q1999" s="8"/>
    </row>
    <row r="2000" spans="17:17" x14ac:dyDescent="0.25">
      <c r="Q2000" s="8"/>
    </row>
    <row r="2001" spans="17:17" x14ac:dyDescent="0.25">
      <c r="Q2001" s="8"/>
    </row>
    <row r="2002" spans="17:17" x14ac:dyDescent="0.25">
      <c r="Q2002" s="8"/>
    </row>
    <row r="2003" spans="17:17" x14ac:dyDescent="0.25">
      <c r="Q2003" s="8"/>
    </row>
    <row r="2004" spans="17:17" x14ac:dyDescent="0.25">
      <c r="Q2004" s="8"/>
    </row>
    <row r="2005" spans="17:17" x14ac:dyDescent="0.25">
      <c r="Q2005" s="8"/>
    </row>
    <row r="2006" spans="17:17" x14ac:dyDescent="0.25">
      <c r="Q2006" s="8"/>
    </row>
    <row r="2007" spans="17:17" x14ac:dyDescent="0.25">
      <c r="Q2007" s="8"/>
    </row>
    <row r="2008" spans="17:17" x14ac:dyDescent="0.25">
      <c r="Q2008" s="8"/>
    </row>
    <row r="2009" spans="17:17" x14ac:dyDescent="0.25">
      <c r="Q2009" s="8"/>
    </row>
    <row r="2010" spans="17:17" x14ac:dyDescent="0.25">
      <c r="Q2010" s="8"/>
    </row>
    <row r="2011" spans="17:17" x14ac:dyDescent="0.25">
      <c r="Q2011" s="8"/>
    </row>
    <row r="2012" spans="17:17" x14ac:dyDescent="0.25">
      <c r="Q2012" s="8"/>
    </row>
    <row r="2013" spans="17:17" x14ac:dyDescent="0.25">
      <c r="Q2013" s="8"/>
    </row>
    <row r="2014" spans="17:17" x14ac:dyDescent="0.25">
      <c r="Q2014" s="8"/>
    </row>
    <row r="2015" spans="17:17" x14ac:dyDescent="0.25">
      <c r="Q2015" s="8"/>
    </row>
    <row r="2016" spans="17:17" x14ac:dyDescent="0.25">
      <c r="Q2016" s="8"/>
    </row>
    <row r="2017" spans="17:17" x14ac:dyDescent="0.25">
      <c r="Q2017" s="8"/>
    </row>
    <row r="2018" spans="17:17" x14ac:dyDescent="0.25">
      <c r="Q2018" s="8"/>
    </row>
    <row r="2019" spans="17:17" x14ac:dyDescent="0.25">
      <c r="Q2019" s="8"/>
    </row>
    <row r="2020" spans="17:17" x14ac:dyDescent="0.25">
      <c r="Q2020" s="8"/>
    </row>
    <row r="2021" spans="17:17" x14ac:dyDescent="0.25">
      <c r="Q2021" s="8"/>
    </row>
    <row r="2022" spans="17:17" x14ac:dyDescent="0.25">
      <c r="Q2022" s="8"/>
    </row>
    <row r="2023" spans="17:17" x14ac:dyDescent="0.25">
      <c r="Q2023" s="8"/>
    </row>
    <row r="2024" spans="17:17" x14ac:dyDescent="0.25">
      <c r="Q2024" s="8"/>
    </row>
    <row r="2025" spans="17:17" x14ac:dyDescent="0.25">
      <c r="Q2025" s="8"/>
    </row>
    <row r="2026" spans="17:17" x14ac:dyDescent="0.25">
      <c r="Q2026" s="8"/>
    </row>
    <row r="2027" spans="17:17" x14ac:dyDescent="0.25">
      <c r="Q2027" s="8"/>
    </row>
    <row r="2028" spans="17:17" x14ac:dyDescent="0.25">
      <c r="Q2028" s="8"/>
    </row>
    <row r="2029" spans="17:17" x14ac:dyDescent="0.25">
      <c r="Q2029" s="8"/>
    </row>
    <row r="2030" spans="17:17" x14ac:dyDescent="0.25">
      <c r="Q2030" s="8"/>
    </row>
    <row r="2031" spans="17:17" x14ac:dyDescent="0.25">
      <c r="Q2031" s="8"/>
    </row>
    <row r="2032" spans="17:17" x14ac:dyDescent="0.25">
      <c r="Q2032" s="8"/>
    </row>
    <row r="2033" spans="17:17" x14ac:dyDescent="0.25">
      <c r="Q2033" s="8"/>
    </row>
    <row r="2034" spans="17:17" x14ac:dyDescent="0.25">
      <c r="Q2034" s="8"/>
    </row>
    <row r="2035" spans="17:17" x14ac:dyDescent="0.25">
      <c r="Q2035" s="8"/>
    </row>
    <row r="2036" spans="17:17" x14ac:dyDescent="0.25">
      <c r="Q2036" s="8"/>
    </row>
    <row r="2037" spans="17:17" x14ac:dyDescent="0.25">
      <c r="Q2037" s="8"/>
    </row>
    <row r="2038" spans="17:17" x14ac:dyDescent="0.25">
      <c r="Q2038" s="8"/>
    </row>
    <row r="2039" spans="17:17" x14ac:dyDescent="0.25">
      <c r="Q2039" s="8"/>
    </row>
    <row r="2040" spans="17:17" x14ac:dyDescent="0.25">
      <c r="Q2040" s="8"/>
    </row>
    <row r="2041" spans="17:17" x14ac:dyDescent="0.25">
      <c r="Q2041" s="8"/>
    </row>
    <row r="2042" spans="17:17" x14ac:dyDescent="0.25">
      <c r="Q2042" s="8"/>
    </row>
    <row r="2043" spans="17:17" x14ac:dyDescent="0.25">
      <c r="Q2043" s="8"/>
    </row>
    <row r="2044" spans="17:17" x14ac:dyDescent="0.25">
      <c r="Q2044" s="8"/>
    </row>
    <row r="2045" spans="17:17" x14ac:dyDescent="0.25">
      <c r="Q2045" s="8"/>
    </row>
    <row r="2046" spans="17:17" x14ac:dyDescent="0.25">
      <c r="Q2046" s="8"/>
    </row>
    <row r="2047" spans="17:17" x14ac:dyDescent="0.25">
      <c r="Q2047" s="8"/>
    </row>
    <row r="2048" spans="17:17" x14ac:dyDescent="0.25">
      <c r="Q2048" s="8"/>
    </row>
    <row r="2049" spans="17:17" x14ac:dyDescent="0.25">
      <c r="Q2049" s="8"/>
    </row>
    <row r="2050" spans="17:17" x14ac:dyDescent="0.25">
      <c r="Q2050" s="8"/>
    </row>
    <row r="2051" spans="17:17" x14ac:dyDescent="0.25">
      <c r="Q2051" s="8"/>
    </row>
    <row r="2052" spans="17:17" x14ac:dyDescent="0.25">
      <c r="Q2052" s="8"/>
    </row>
    <row r="2053" spans="17:17" x14ac:dyDescent="0.25">
      <c r="Q2053" s="8"/>
    </row>
    <row r="2054" spans="17:17" x14ac:dyDescent="0.25">
      <c r="Q2054" s="8"/>
    </row>
    <row r="2055" spans="17:17" x14ac:dyDescent="0.25">
      <c r="Q2055" s="8"/>
    </row>
    <row r="2056" spans="17:17" x14ac:dyDescent="0.25">
      <c r="Q2056" s="8"/>
    </row>
    <row r="2057" spans="17:17" x14ac:dyDescent="0.25">
      <c r="Q2057" s="8"/>
    </row>
    <row r="2058" spans="17:17" x14ac:dyDescent="0.25">
      <c r="Q2058" s="8"/>
    </row>
    <row r="2059" spans="17:17" x14ac:dyDescent="0.25">
      <c r="Q2059" s="8"/>
    </row>
    <row r="2060" spans="17:17" x14ac:dyDescent="0.25">
      <c r="Q2060" s="8"/>
    </row>
    <row r="2061" spans="17:17" x14ac:dyDescent="0.25">
      <c r="Q2061" s="8"/>
    </row>
    <row r="2062" spans="17:17" x14ac:dyDescent="0.25">
      <c r="Q2062" s="8"/>
    </row>
    <row r="2063" spans="17:17" x14ac:dyDescent="0.25">
      <c r="Q2063" s="8"/>
    </row>
    <row r="2064" spans="17:17" x14ac:dyDescent="0.25">
      <c r="Q2064" s="8"/>
    </row>
    <row r="2065" spans="17:17" x14ac:dyDescent="0.25">
      <c r="Q2065" s="8"/>
    </row>
    <row r="2066" spans="17:17" x14ac:dyDescent="0.25">
      <c r="Q2066" s="8"/>
    </row>
    <row r="2067" spans="17:17" x14ac:dyDescent="0.25">
      <c r="Q2067" s="8"/>
    </row>
    <row r="2068" spans="17:17" x14ac:dyDescent="0.25">
      <c r="Q2068" s="8"/>
    </row>
    <row r="2069" spans="17:17" x14ac:dyDescent="0.25">
      <c r="Q2069" s="8"/>
    </row>
    <row r="2070" spans="17:17" x14ac:dyDescent="0.25">
      <c r="Q2070" s="8"/>
    </row>
    <row r="2071" spans="17:17" x14ac:dyDescent="0.25">
      <c r="Q2071" s="8"/>
    </row>
    <row r="2072" spans="17:17" x14ac:dyDescent="0.25">
      <c r="Q2072" s="8"/>
    </row>
    <row r="2073" spans="17:17" x14ac:dyDescent="0.25">
      <c r="Q2073" s="8"/>
    </row>
    <row r="2074" spans="17:17" x14ac:dyDescent="0.25">
      <c r="Q2074" s="8"/>
    </row>
    <row r="2075" spans="17:17" x14ac:dyDescent="0.25">
      <c r="Q2075" s="8"/>
    </row>
    <row r="2076" spans="17:17" x14ac:dyDescent="0.25">
      <c r="Q2076" s="8"/>
    </row>
    <row r="2077" spans="17:17" x14ac:dyDescent="0.25">
      <c r="Q2077" s="8"/>
    </row>
    <row r="2078" spans="17:17" x14ac:dyDescent="0.25">
      <c r="Q2078" s="8"/>
    </row>
    <row r="2079" spans="17:17" x14ac:dyDescent="0.25">
      <c r="Q2079" s="8"/>
    </row>
    <row r="2080" spans="17:17" x14ac:dyDescent="0.25">
      <c r="Q2080" s="8"/>
    </row>
    <row r="2081" spans="17:17" x14ac:dyDescent="0.25">
      <c r="Q2081" s="8"/>
    </row>
    <row r="2082" spans="17:17" x14ac:dyDescent="0.25">
      <c r="Q2082" s="8"/>
    </row>
    <row r="2083" spans="17:17" x14ac:dyDescent="0.25">
      <c r="Q2083" s="8"/>
    </row>
    <row r="2084" spans="17:17" x14ac:dyDescent="0.25">
      <c r="Q2084" s="8"/>
    </row>
    <row r="2085" spans="17:17" x14ac:dyDescent="0.25">
      <c r="Q2085" s="8"/>
    </row>
    <row r="2086" spans="17:17" x14ac:dyDescent="0.25">
      <c r="Q2086" s="8"/>
    </row>
    <row r="2087" spans="17:17" x14ac:dyDescent="0.25">
      <c r="Q2087" s="8"/>
    </row>
    <row r="2088" spans="17:17" x14ac:dyDescent="0.25">
      <c r="Q2088" s="8"/>
    </row>
    <row r="2089" spans="17:17" x14ac:dyDescent="0.25">
      <c r="Q2089" s="8"/>
    </row>
    <row r="2090" spans="17:17" x14ac:dyDescent="0.25">
      <c r="Q2090" s="8"/>
    </row>
    <row r="2091" spans="17:17" x14ac:dyDescent="0.25">
      <c r="Q2091" s="8"/>
    </row>
    <row r="2092" spans="17:17" x14ac:dyDescent="0.25">
      <c r="Q2092" s="8"/>
    </row>
    <row r="2093" spans="17:17" x14ac:dyDescent="0.25">
      <c r="Q2093" s="8"/>
    </row>
    <row r="2094" spans="17:17" x14ac:dyDescent="0.25">
      <c r="Q2094" s="8"/>
    </row>
    <row r="2095" spans="17:17" x14ac:dyDescent="0.25">
      <c r="Q2095" s="8"/>
    </row>
    <row r="2096" spans="17:17" x14ac:dyDescent="0.25">
      <c r="Q2096" s="8"/>
    </row>
    <row r="2097" spans="17:17" x14ac:dyDescent="0.25">
      <c r="Q2097" s="8"/>
    </row>
    <row r="2098" spans="17:17" x14ac:dyDescent="0.25">
      <c r="Q2098" s="8"/>
    </row>
    <row r="2099" spans="17:17" x14ac:dyDescent="0.25">
      <c r="Q2099" s="8"/>
    </row>
    <row r="2100" spans="17:17" x14ac:dyDescent="0.25">
      <c r="Q2100" s="8"/>
    </row>
    <row r="2101" spans="17:17" x14ac:dyDescent="0.25">
      <c r="Q2101" s="8"/>
    </row>
    <row r="2102" spans="17:17" x14ac:dyDescent="0.25">
      <c r="Q2102" s="8"/>
    </row>
    <row r="2103" spans="17:17" x14ac:dyDescent="0.25">
      <c r="Q2103" s="8"/>
    </row>
    <row r="2104" spans="17:17" x14ac:dyDescent="0.25">
      <c r="Q2104" s="8"/>
    </row>
    <row r="2105" spans="17:17" x14ac:dyDescent="0.25">
      <c r="Q2105" s="8"/>
    </row>
    <row r="2106" spans="17:17" x14ac:dyDescent="0.25">
      <c r="Q2106" s="8"/>
    </row>
    <row r="2107" spans="17:17" x14ac:dyDescent="0.25">
      <c r="Q2107" s="8"/>
    </row>
    <row r="2108" spans="17:17" x14ac:dyDescent="0.25">
      <c r="Q2108" s="8"/>
    </row>
    <row r="2109" spans="17:17" x14ac:dyDescent="0.25">
      <c r="Q2109" s="8"/>
    </row>
    <row r="2110" spans="17:17" x14ac:dyDescent="0.25">
      <c r="Q2110" s="8"/>
    </row>
    <row r="2111" spans="17:17" x14ac:dyDescent="0.25">
      <c r="Q2111" s="8"/>
    </row>
    <row r="2112" spans="17:17" x14ac:dyDescent="0.25">
      <c r="Q2112" s="8"/>
    </row>
    <row r="2113" spans="17:17" x14ac:dyDescent="0.25">
      <c r="Q2113" s="8"/>
    </row>
    <row r="2114" spans="17:17" x14ac:dyDescent="0.25">
      <c r="Q2114" s="8"/>
    </row>
    <row r="2115" spans="17:17" x14ac:dyDescent="0.25">
      <c r="Q2115" s="8"/>
    </row>
    <row r="2116" spans="17:17" x14ac:dyDescent="0.25">
      <c r="Q2116" s="8"/>
    </row>
    <row r="2117" spans="17:17" x14ac:dyDescent="0.25">
      <c r="Q2117" s="8"/>
    </row>
    <row r="2118" spans="17:17" x14ac:dyDescent="0.25">
      <c r="Q2118" s="8"/>
    </row>
    <row r="2119" spans="17:17" x14ac:dyDescent="0.25">
      <c r="Q2119" s="8"/>
    </row>
    <row r="2120" spans="17:17" x14ac:dyDescent="0.25">
      <c r="Q2120" s="8"/>
    </row>
    <row r="2121" spans="17:17" x14ac:dyDescent="0.25">
      <c r="Q2121" s="8"/>
    </row>
    <row r="2122" spans="17:17" x14ac:dyDescent="0.25">
      <c r="Q2122" s="8"/>
    </row>
    <row r="2123" spans="17:17" x14ac:dyDescent="0.25">
      <c r="Q2123" s="8"/>
    </row>
    <row r="2124" spans="17:17" x14ac:dyDescent="0.25">
      <c r="Q2124" s="8"/>
    </row>
    <row r="2125" spans="17:17" x14ac:dyDescent="0.25">
      <c r="Q2125" s="8"/>
    </row>
    <row r="2126" spans="17:17" x14ac:dyDescent="0.25">
      <c r="Q2126" s="8"/>
    </row>
    <row r="2127" spans="17:17" x14ac:dyDescent="0.25">
      <c r="Q2127" s="8"/>
    </row>
    <row r="2128" spans="17:17" x14ac:dyDescent="0.25">
      <c r="Q2128" s="8"/>
    </row>
    <row r="2129" spans="17:17" x14ac:dyDescent="0.25">
      <c r="Q2129" s="8"/>
    </row>
    <row r="2130" spans="17:17" x14ac:dyDescent="0.25">
      <c r="Q2130" s="8"/>
    </row>
    <row r="2131" spans="17:17" x14ac:dyDescent="0.25">
      <c r="Q2131" s="8"/>
    </row>
    <row r="2132" spans="17:17" x14ac:dyDescent="0.25">
      <c r="Q2132" s="8"/>
    </row>
    <row r="2133" spans="17:17" x14ac:dyDescent="0.25">
      <c r="Q2133" s="8"/>
    </row>
    <row r="2134" spans="17:17" x14ac:dyDescent="0.25">
      <c r="Q2134" s="8"/>
    </row>
    <row r="2135" spans="17:17" x14ac:dyDescent="0.25">
      <c r="Q2135" s="8"/>
    </row>
    <row r="2136" spans="17:17" x14ac:dyDescent="0.25">
      <c r="Q2136" s="8"/>
    </row>
    <row r="2137" spans="17:17" x14ac:dyDescent="0.25">
      <c r="Q2137" s="8"/>
    </row>
    <row r="2138" spans="17:17" x14ac:dyDescent="0.25">
      <c r="Q2138" s="8"/>
    </row>
    <row r="2139" spans="17:17" x14ac:dyDescent="0.25">
      <c r="Q2139" s="8"/>
    </row>
    <row r="2140" spans="17:17" x14ac:dyDescent="0.25">
      <c r="Q2140" s="8"/>
    </row>
    <row r="2141" spans="17:17" x14ac:dyDescent="0.25">
      <c r="Q2141" s="8"/>
    </row>
    <row r="2142" spans="17:17" x14ac:dyDescent="0.25">
      <c r="Q2142" s="8"/>
    </row>
    <row r="2143" spans="17:17" x14ac:dyDescent="0.25">
      <c r="Q2143" s="8"/>
    </row>
    <row r="2144" spans="17:17" x14ac:dyDescent="0.25">
      <c r="Q2144" s="8"/>
    </row>
    <row r="2145" spans="17:17" x14ac:dyDescent="0.25">
      <c r="Q2145" s="8"/>
    </row>
    <row r="2146" spans="17:17" x14ac:dyDescent="0.25">
      <c r="Q2146" s="8"/>
    </row>
    <row r="2147" spans="17:17" x14ac:dyDescent="0.25">
      <c r="Q2147" s="8"/>
    </row>
    <row r="2148" spans="17:17" x14ac:dyDescent="0.25">
      <c r="Q2148" s="8"/>
    </row>
    <row r="2149" spans="17:17" x14ac:dyDescent="0.25">
      <c r="Q2149" s="8"/>
    </row>
    <row r="2150" spans="17:17" x14ac:dyDescent="0.25">
      <c r="Q2150" s="8"/>
    </row>
    <row r="2151" spans="17:17" x14ac:dyDescent="0.25">
      <c r="Q2151" s="8"/>
    </row>
    <row r="2152" spans="17:17" x14ac:dyDescent="0.25">
      <c r="Q2152" s="8"/>
    </row>
    <row r="2153" spans="17:17" x14ac:dyDescent="0.25">
      <c r="Q2153" s="8"/>
    </row>
    <row r="2154" spans="17:17" x14ac:dyDescent="0.25">
      <c r="Q2154" s="8"/>
    </row>
    <row r="2155" spans="17:17" x14ac:dyDescent="0.25">
      <c r="Q2155" s="8"/>
    </row>
    <row r="2156" spans="17:17" x14ac:dyDescent="0.25">
      <c r="Q2156" s="8"/>
    </row>
    <row r="2157" spans="17:17" x14ac:dyDescent="0.25">
      <c r="Q2157" s="8"/>
    </row>
    <row r="2158" spans="17:17" x14ac:dyDescent="0.25">
      <c r="Q2158" s="8"/>
    </row>
    <row r="2159" spans="17:17" x14ac:dyDescent="0.25">
      <c r="Q2159" s="8"/>
    </row>
    <row r="2160" spans="17:17" x14ac:dyDescent="0.25">
      <c r="Q2160" s="8"/>
    </row>
    <row r="2161" spans="17:17" x14ac:dyDescent="0.25">
      <c r="Q2161" s="8"/>
    </row>
    <row r="2162" spans="17:17" x14ac:dyDescent="0.25">
      <c r="Q2162" s="8"/>
    </row>
    <row r="2163" spans="17:17" x14ac:dyDescent="0.25">
      <c r="Q2163" s="8"/>
    </row>
    <row r="2164" spans="17:17" x14ac:dyDescent="0.25">
      <c r="Q2164" s="8"/>
    </row>
    <row r="2165" spans="17:17" x14ac:dyDescent="0.25">
      <c r="Q2165" s="8"/>
    </row>
    <row r="2166" spans="17:17" x14ac:dyDescent="0.25">
      <c r="Q2166" s="8"/>
    </row>
    <row r="2167" spans="17:17" x14ac:dyDescent="0.25">
      <c r="Q2167" s="8"/>
    </row>
    <row r="2168" spans="17:17" x14ac:dyDescent="0.25">
      <c r="Q2168" s="8"/>
    </row>
    <row r="2169" spans="17:17" x14ac:dyDescent="0.25">
      <c r="Q2169" s="8"/>
    </row>
    <row r="2170" spans="17:17" x14ac:dyDescent="0.25">
      <c r="Q2170" s="8"/>
    </row>
    <row r="2171" spans="17:17" x14ac:dyDescent="0.25">
      <c r="Q2171" s="8"/>
    </row>
    <row r="2172" spans="17:17" x14ac:dyDescent="0.25">
      <c r="Q2172" s="8"/>
    </row>
    <row r="2173" spans="17:17" x14ac:dyDescent="0.25">
      <c r="Q2173" s="8"/>
    </row>
    <row r="2174" spans="17:17" x14ac:dyDescent="0.25">
      <c r="Q2174" s="8"/>
    </row>
    <row r="2175" spans="17:17" x14ac:dyDescent="0.25">
      <c r="Q2175" s="8"/>
    </row>
    <row r="2176" spans="17:17" x14ac:dyDescent="0.25">
      <c r="Q2176" s="8"/>
    </row>
    <row r="2177" spans="17:17" x14ac:dyDescent="0.25">
      <c r="Q2177" s="8"/>
    </row>
    <row r="2178" spans="17:17" x14ac:dyDescent="0.25">
      <c r="Q2178" s="8"/>
    </row>
    <row r="2179" spans="17:17" x14ac:dyDescent="0.25">
      <c r="Q2179" s="8"/>
    </row>
    <row r="2180" spans="17:17" x14ac:dyDescent="0.25">
      <c r="Q2180" s="8"/>
    </row>
    <row r="2181" spans="17:17" x14ac:dyDescent="0.25">
      <c r="Q2181" s="8"/>
    </row>
    <row r="2182" spans="17:17" x14ac:dyDescent="0.25">
      <c r="Q2182" s="8"/>
    </row>
    <row r="2183" spans="17:17" x14ac:dyDescent="0.25">
      <c r="Q2183" s="8"/>
    </row>
    <row r="2184" spans="17:17" x14ac:dyDescent="0.25">
      <c r="Q2184" s="8"/>
    </row>
    <row r="2185" spans="17:17" x14ac:dyDescent="0.25">
      <c r="Q2185" s="8"/>
    </row>
    <row r="2186" spans="17:17" x14ac:dyDescent="0.25">
      <c r="Q2186" s="8"/>
    </row>
    <row r="2187" spans="17:17" x14ac:dyDescent="0.25">
      <c r="Q2187" s="8"/>
    </row>
    <row r="2188" spans="17:17" x14ac:dyDescent="0.25">
      <c r="Q2188" s="8"/>
    </row>
    <row r="2189" spans="17:17" x14ac:dyDescent="0.25">
      <c r="Q2189" s="8"/>
    </row>
    <row r="2190" spans="17:17" x14ac:dyDescent="0.25">
      <c r="Q2190" s="8"/>
    </row>
    <row r="2191" spans="17:17" x14ac:dyDescent="0.25">
      <c r="Q2191" s="8"/>
    </row>
    <row r="2192" spans="17:17" x14ac:dyDescent="0.25">
      <c r="Q2192" s="8"/>
    </row>
    <row r="2193" spans="17:17" x14ac:dyDescent="0.25">
      <c r="Q2193" s="8"/>
    </row>
    <row r="2194" spans="17:17" x14ac:dyDescent="0.25">
      <c r="Q2194" s="8"/>
    </row>
    <row r="2195" spans="17:17" x14ac:dyDescent="0.25">
      <c r="Q2195" s="8"/>
    </row>
    <row r="2196" spans="17:17" x14ac:dyDescent="0.25">
      <c r="Q2196" s="8"/>
    </row>
    <row r="2197" spans="17:17" x14ac:dyDescent="0.25">
      <c r="Q2197" s="8"/>
    </row>
    <row r="2198" spans="17:17" x14ac:dyDescent="0.25">
      <c r="Q2198" s="8"/>
    </row>
    <row r="2199" spans="17:17" x14ac:dyDescent="0.25">
      <c r="Q2199" s="8"/>
    </row>
    <row r="2200" spans="17:17" x14ac:dyDescent="0.25">
      <c r="Q2200" s="8"/>
    </row>
    <row r="2201" spans="17:17" x14ac:dyDescent="0.25">
      <c r="Q2201" s="8"/>
    </row>
    <row r="2202" spans="17:17" x14ac:dyDescent="0.25">
      <c r="Q2202" s="8"/>
    </row>
    <row r="2203" spans="17:17" x14ac:dyDescent="0.25">
      <c r="Q2203" s="8"/>
    </row>
    <row r="2204" spans="17:17" x14ac:dyDescent="0.25">
      <c r="Q2204" s="8"/>
    </row>
    <row r="2205" spans="17:17" x14ac:dyDescent="0.25">
      <c r="Q2205" s="8"/>
    </row>
    <row r="2206" spans="17:17" x14ac:dyDescent="0.25">
      <c r="Q2206" s="8"/>
    </row>
    <row r="2207" spans="17:17" x14ac:dyDescent="0.25">
      <c r="Q2207" s="8"/>
    </row>
    <row r="2208" spans="17:17" x14ac:dyDescent="0.25">
      <c r="Q2208" s="8"/>
    </row>
    <row r="2209" spans="17:17" x14ac:dyDescent="0.25">
      <c r="Q2209" s="8"/>
    </row>
    <row r="2210" spans="17:17" x14ac:dyDescent="0.25">
      <c r="Q2210" s="8"/>
    </row>
    <row r="2211" spans="17:17" x14ac:dyDescent="0.25">
      <c r="Q2211" s="8"/>
    </row>
    <row r="2212" spans="17:17" x14ac:dyDescent="0.25">
      <c r="Q2212" s="8"/>
    </row>
    <row r="2213" spans="17:17" x14ac:dyDescent="0.25">
      <c r="Q2213" s="8"/>
    </row>
    <row r="2214" spans="17:17" x14ac:dyDescent="0.25">
      <c r="Q2214" s="8"/>
    </row>
    <row r="2215" spans="17:17" x14ac:dyDescent="0.25">
      <c r="Q2215" s="8"/>
    </row>
    <row r="2216" spans="17:17" x14ac:dyDescent="0.25">
      <c r="Q2216" s="8"/>
    </row>
    <row r="2217" spans="17:17" x14ac:dyDescent="0.25">
      <c r="Q2217" s="8"/>
    </row>
    <row r="2218" spans="17:17" x14ac:dyDescent="0.25">
      <c r="Q2218" s="8"/>
    </row>
    <row r="2219" spans="17:17" x14ac:dyDescent="0.25">
      <c r="Q2219" s="8"/>
    </row>
    <row r="2220" spans="17:17" x14ac:dyDescent="0.25">
      <c r="Q2220" s="8"/>
    </row>
    <row r="2221" spans="17:17" x14ac:dyDescent="0.25">
      <c r="Q2221" s="8"/>
    </row>
    <row r="2222" spans="17:17" x14ac:dyDescent="0.25">
      <c r="Q2222" s="8"/>
    </row>
    <row r="2223" spans="17:17" x14ac:dyDescent="0.25">
      <c r="Q2223" s="8"/>
    </row>
    <row r="2224" spans="17:17" x14ac:dyDescent="0.25">
      <c r="Q2224" s="8"/>
    </row>
    <row r="2225" spans="17:17" x14ac:dyDescent="0.25">
      <c r="Q2225" s="8"/>
    </row>
    <row r="2226" spans="17:17" x14ac:dyDescent="0.25">
      <c r="Q2226" s="8"/>
    </row>
    <row r="2227" spans="17:17" x14ac:dyDescent="0.25">
      <c r="Q2227" s="8"/>
    </row>
    <row r="2228" spans="17:17" x14ac:dyDescent="0.25">
      <c r="Q2228" s="8"/>
    </row>
    <row r="2229" spans="17:17" x14ac:dyDescent="0.25">
      <c r="Q2229" s="8"/>
    </row>
    <row r="2230" spans="17:17" x14ac:dyDescent="0.25">
      <c r="Q2230" s="8"/>
    </row>
    <row r="2231" spans="17:17" x14ac:dyDescent="0.25">
      <c r="Q2231" s="8"/>
    </row>
    <row r="2232" spans="17:17" x14ac:dyDescent="0.25">
      <c r="Q2232" s="8"/>
    </row>
    <row r="2233" spans="17:17" x14ac:dyDescent="0.25">
      <c r="Q2233" s="8"/>
    </row>
    <row r="2234" spans="17:17" x14ac:dyDescent="0.25">
      <c r="Q2234" s="8"/>
    </row>
    <row r="2235" spans="17:17" x14ac:dyDescent="0.25">
      <c r="Q2235" s="8"/>
    </row>
    <row r="2236" spans="17:17" x14ac:dyDescent="0.25">
      <c r="Q2236" s="8"/>
    </row>
    <row r="2237" spans="17:17" x14ac:dyDescent="0.25">
      <c r="Q2237" s="8"/>
    </row>
    <row r="2238" spans="17:17" x14ac:dyDescent="0.25">
      <c r="Q2238" s="8"/>
    </row>
    <row r="2239" spans="17:17" x14ac:dyDescent="0.25">
      <c r="Q2239" s="8"/>
    </row>
    <row r="2240" spans="17:17" x14ac:dyDescent="0.25">
      <c r="Q2240" s="8"/>
    </row>
    <row r="2241" spans="17:17" x14ac:dyDescent="0.25">
      <c r="Q2241" s="8"/>
    </row>
    <row r="2242" spans="17:17" x14ac:dyDescent="0.25">
      <c r="Q2242" s="8"/>
    </row>
    <row r="2243" spans="17:17" x14ac:dyDescent="0.25">
      <c r="Q2243" s="8"/>
    </row>
    <row r="2244" spans="17:17" x14ac:dyDescent="0.25">
      <c r="Q2244" s="8"/>
    </row>
    <row r="2245" spans="17:17" x14ac:dyDescent="0.25">
      <c r="Q2245" s="8"/>
    </row>
    <row r="2246" spans="17:17" x14ac:dyDescent="0.25">
      <c r="Q2246" s="8"/>
    </row>
    <row r="2247" spans="17:17" x14ac:dyDescent="0.25">
      <c r="Q2247" s="8"/>
    </row>
    <row r="2248" spans="17:17" x14ac:dyDescent="0.25">
      <c r="Q2248" s="8"/>
    </row>
    <row r="2249" spans="17:17" x14ac:dyDescent="0.25">
      <c r="Q2249" s="8"/>
    </row>
    <row r="2250" spans="17:17" x14ac:dyDescent="0.25">
      <c r="Q2250" s="8"/>
    </row>
    <row r="2251" spans="17:17" x14ac:dyDescent="0.25">
      <c r="Q2251" s="8"/>
    </row>
    <row r="2252" spans="17:17" x14ac:dyDescent="0.25">
      <c r="Q2252" s="8"/>
    </row>
    <row r="2253" spans="17:17" x14ac:dyDescent="0.25">
      <c r="Q2253" s="8"/>
    </row>
    <row r="2254" spans="17:17" x14ac:dyDescent="0.25">
      <c r="Q2254" s="8"/>
    </row>
    <row r="2255" spans="17:17" x14ac:dyDescent="0.25">
      <c r="Q2255" s="8"/>
    </row>
    <row r="2256" spans="17:17" x14ac:dyDescent="0.25">
      <c r="Q2256" s="8"/>
    </row>
    <row r="2257" spans="17:17" x14ac:dyDescent="0.25">
      <c r="Q2257" s="8"/>
    </row>
    <row r="2258" spans="17:17" x14ac:dyDescent="0.25">
      <c r="Q2258" s="8"/>
    </row>
    <row r="2259" spans="17:17" x14ac:dyDescent="0.25">
      <c r="Q2259" s="8"/>
    </row>
    <row r="2260" spans="17:17" x14ac:dyDescent="0.25">
      <c r="Q2260" s="8"/>
    </row>
    <row r="2261" spans="17:17" x14ac:dyDescent="0.25">
      <c r="Q2261" s="8"/>
    </row>
    <row r="2262" spans="17:17" x14ac:dyDescent="0.25">
      <c r="Q2262" s="8"/>
    </row>
    <row r="2263" spans="17:17" x14ac:dyDescent="0.25">
      <c r="Q2263" s="8"/>
    </row>
    <row r="2264" spans="17:17" x14ac:dyDescent="0.25">
      <c r="Q2264" s="8"/>
    </row>
    <row r="2265" spans="17:17" x14ac:dyDescent="0.25">
      <c r="Q2265" s="8"/>
    </row>
    <row r="2266" spans="17:17" x14ac:dyDescent="0.25">
      <c r="Q2266" s="8"/>
    </row>
    <row r="2267" spans="17:17" x14ac:dyDescent="0.25">
      <c r="Q2267" s="8"/>
    </row>
    <row r="2268" spans="17:17" x14ac:dyDescent="0.25">
      <c r="Q2268" s="8"/>
    </row>
    <row r="2269" spans="17:17" x14ac:dyDescent="0.25">
      <c r="Q2269" s="8"/>
    </row>
    <row r="2270" spans="17:17" x14ac:dyDescent="0.25">
      <c r="Q2270" s="8"/>
    </row>
    <row r="2271" spans="17:17" x14ac:dyDescent="0.25">
      <c r="Q2271" s="8"/>
    </row>
    <row r="2272" spans="17:17" x14ac:dyDescent="0.25">
      <c r="Q2272" s="8"/>
    </row>
    <row r="2273" spans="17:17" x14ac:dyDescent="0.25">
      <c r="Q2273" s="8"/>
    </row>
    <row r="2274" spans="17:17" x14ac:dyDescent="0.25">
      <c r="Q2274" s="8"/>
    </row>
    <row r="2275" spans="17:17" x14ac:dyDescent="0.25">
      <c r="Q2275" s="8"/>
    </row>
    <row r="2276" spans="17:17" x14ac:dyDescent="0.25">
      <c r="Q2276" s="8"/>
    </row>
    <row r="2277" spans="17:17" x14ac:dyDescent="0.25">
      <c r="Q2277" s="8"/>
    </row>
    <row r="2278" spans="17:17" x14ac:dyDescent="0.25">
      <c r="Q2278" s="8"/>
    </row>
    <row r="2279" spans="17:17" x14ac:dyDescent="0.25">
      <c r="Q2279" s="8"/>
    </row>
    <row r="2280" spans="17:17" x14ac:dyDescent="0.25">
      <c r="Q2280" s="8"/>
    </row>
    <row r="2281" spans="17:17" x14ac:dyDescent="0.25">
      <c r="Q2281" s="8"/>
    </row>
    <row r="2282" spans="17:17" x14ac:dyDescent="0.25">
      <c r="Q2282" s="8"/>
    </row>
    <row r="2283" spans="17:17" x14ac:dyDescent="0.25">
      <c r="Q2283" s="8"/>
    </row>
    <row r="2284" spans="17:17" x14ac:dyDescent="0.25">
      <c r="Q2284" s="8"/>
    </row>
    <row r="2285" spans="17:17" x14ac:dyDescent="0.25">
      <c r="Q2285" s="8"/>
    </row>
    <row r="2286" spans="17:17" x14ac:dyDescent="0.25">
      <c r="Q2286" s="8"/>
    </row>
    <row r="2287" spans="17:17" x14ac:dyDescent="0.25">
      <c r="Q2287" s="8"/>
    </row>
    <row r="2288" spans="17:17" x14ac:dyDescent="0.25">
      <c r="Q2288" s="8"/>
    </row>
    <row r="2289" spans="17:17" x14ac:dyDescent="0.25">
      <c r="Q2289" s="8"/>
    </row>
    <row r="2290" spans="17:17" x14ac:dyDescent="0.25">
      <c r="Q2290" s="8"/>
    </row>
    <row r="2291" spans="17:17" x14ac:dyDescent="0.25">
      <c r="Q2291" s="8"/>
    </row>
    <row r="2292" spans="17:17" x14ac:dyDescent="0.25">
      <c r="Q2292" s="8"/>
    </row>
    <row r="2293" spans="17:17" x14ac:dyDescent="0.25">
      <c r="Q2293" s="8"/>
    </row>
    <row r="2294" spans="17:17" x14ac:dyDescent="0.25">
      <c r="Q2294" s="8"/>
    </row>
    <row r="2295" spans="17:17" x14ac:dyDescent="0.25">
      <c r="Q2295" s="8"/>
    </row>
    <row r="2296" spans="17:17" x14ac:dyDescent="0.25">
      <c r="Q2296" s="8"/>
    </row>
    <row r="2297" spans="17:17" x14ac:dyDescent="0.25">
      <c r="Q2297" s="8"/>
    </row>
    <row r="2298" spans="17:17" x14ac:dyDescent="0.25">
      <c r="Q2298" s="8"/>
    </row>
    <row r="2299" spans="17:17" x14ac:dyDescent="0.25">
      <c r="Q2299" s="8"/>
    </row>
    <row r="2300" spans="17:17" x14ac:dyDescent="0.25">
      <c r="Q2300" s="8"/>
    </row>
    <row r="2301" spans="17:17" x14ac:dyDescent="0.25">
      <c r="Q2301" s="8"/>
    </row>
    <row r="2302" spans="17:17" x14ac:dyDescent="0.25">
      <c r="Q2302" s="8"/>
    </row>
    <row r="2303" spans="17:17" x14ac:dyDescent="0.25">
      <c r="Q2303" s="8"/>
    </row>
    <row r="2304" spans="17:17" x14ac:dyDescent="0.25">
      <c r="Q2304" s="8"/>
    </row>
    <row r="2305" spans="17:17" x14ac:dyDescent="0.25">
      <c r="Q2305" s="8"/>
    </row>
    <row r="2306" spans="17:17" x14ac:dyDescent="0.25">
      <c r="Q2306" s="8"/>
    </row>
    <row r="2307" spans="17:17" x14ac:dyDescent="0.25">
      <c r="Q2307" s="8"/>
    </row>
    <row r="2308" spans="17:17" x14ac:dyDescent="0.25">
      <c r="Q2308" s="8"/>
    </row>
    <row r="2309" spans="17:17" x14ac:dyDescent="0.25">
      <c r="Q2309" s="8"/>
    </row>
    <row r="2310" spans="17:17" x14ac:dyDescent="0.25">
      <c r="Q2310" s="8"/>
    </row>
    <row r="2311" spans="17:17" x14ac:dyDescent="0.25">
      <c r="Q2311" s="8"/>
    </row>
    <row r="2312" spans="17:17" x14ac:dyDescent="0.25">
      <c r="Q2312" s="8"/>
    </row>
    <row r="2313" spans="17:17" x14ac:dyDescent="0.25">
      <c r="Q2313" s="8"/>
    </row>
    <row r="2314" spans="17:17" x14ac:dyDescent="0.25">
      <c r="Q2314" s="8"/>
    </row>
    <row r="2315" spans="17:17" x14ac:dyDescent="0.25">
      <c r="Q2315" s="8"/>
    </row>
    <row r="2316" spans="17:17" x14ac:dyDescent="0.25">
      <c r="Q2316" s="8"/>
    </row>
    <row r="2317" spans="17:17" x14ac:dyDescent="0.25">
      <c r="Q2317" s="8"/>
    </row>
    <row r="2318" spans="17:17" x14ac:dyDescent="0.25">
      <c r="Q2318" s="8"/>
    </row>
    <row r="2319" spans="17:17" x14ac:dyDescent="0.25">
      <c r="Q2319" s="8"/>
    </row>
    <row r="2320" spans="17:17" x14ac:dyDescent="0.25">
      <c r="Q2320" s="8"/>
    </row>
    <row r="2321" spans="17:17" x14ac:dyDescent="0.25">
      <c r="Q2321" s="8"/>
    </row>
    <row r="2322" spans="17:17" x14ac:dyDescent="0.25">
      <c r="Q2322" s="8"/>
    </row>
    <row r="2323" spans="17:17" x14ac:dyDescent="0.25">
      <c r="Q2323" s="8"/>
    </row>
    <row r="2324" spans="17:17" x14ac:dyDescent="0.25">
      <c r="Q2324" s="8"/>
    </row>
    <row r="2325" spans="17:17" x14ac:dyDescent="0.25">
      <c r="Q2325" s="8"/>
    </row>
    <row r="2326" spans="17:17" x14ac:dyDescent="0.25">
      <c r="Q2326" s="8"/>
    </row>
    <row r="2327" spans="17:17" x14ac:dyDescent="0.25">
      <c r="Q2327" s="8"/>
    </row>
    <row r="2328" spans="17:17" x14ac:dyDescent="0.25">
      <c r="Q2328" s="8"/>
    </row>
    <row r="2329" spans="17:17" x14ac:dyDescent="0.25">
      <c r="Q2329" s="8"/>
    </row>
    <row r="2330" spans="17:17" x14ac:dyDescent="0.25">
      <c r="Q2330" s="8"/>
    </row>
    <row r="2331" spans="17:17" x14ac:dyDescent="0.25">
      <c r="Q2331" s="8"/>
    </row>
    <row r="2332" spans="17:17" x14ac:dyDescent="0.25">
      <c r="Q2332" s="8"/>
    </row>
    <row r="2333" spans="17:17" x14ac:dyDescent="0.25">
      <c r="Q2333" s="8"/>
    </row>
    <row r="2334" spans="17:17" x14ac:dyDescent="0.25">
      <c r="Q2334" s="8"/>
    </row>
    <row r="2335" spans="17:17" x14ac:dyDescent="0.25">
      <c r="Q2335" s="8"/>
    </row>
    <row r="2336" spans="17:17" x14ac:dyDescent="0.25">
      <c r="Q2336" s="8"/>
    </row>
    <row r="2337" spans="17:17" x14ac:dyDescent="0.25">
      <c r="Q2337" s="8"/>
    </row>
    <row r="2338" spans="17:17" x14ac:dyDescent="0.25">
      <c r="Q2338" s="8"/>
    </row>
    <row r="2339" spans="17:17" x14ac:dyDescent="0.25">
      <c r="Q2339" s="8"/>
    </row>
    <row r="2340" spans="17:17" x14ac:dyDescent="0.25">
      <c r="Q2340" s="8"/>
    </row>
    <row r="2341" spans="17:17" x14ac:dyDescent="0.25">
      <c r="Q2341" s="8"/>
    </row>
    <row r="2342" spans="17:17" x14ac:dyDescent="0.25">
      <c r="Q2342" s="8"/>
    </row>
    <row r="2343" spans="17:17" x14ac:dyDescent="0.25">
      <c r="Q2343" s="8"/>
    </row>
    <row r="2344" spans="17:17" x14ac:dyDescent="0.25">
      <c r="Q2344" s="8"/>
    </row>
    <row r="2345" spans="17:17" x14ac:dyDescent="0.25">
      <c r="Q2345" s="8"/>
    </row>
    <row r="2346" spans="17:17" x14ac:dyDescent="0.25">
      <c r="Q2346" s="8"/>
    </row>
    <row r="2347" spans="17:17" x14ac:dyDescent="0.25">
      <c r="Q2347" s="8"/>
    </row>
    <row r="2348" spans="17:17" x14ac:dyDescent="0.25">
      <c r="Q2348" s="8"/>
    </row>
    <row r="2349" spans="17:17" x14ac:dyDescent="0.25">
      <c r="Q2349" s="8"/>
    </row>
    <row r="2350" spans="17:17" x14ac:dyDescent="0.25">
      <c r="Q2350" s="8"/>
    </row>
    <row r="2351" spans="17:17" x14ac:dyDescent="0.25">
      <c r="Q2351" s="8"/>
    </row>
    <row r="2352" spans="17:17" x14ac:dyDescent="0.25">
      <c r="Q2352" s="8"/>
    </row>
    <row r="2353" spans="17:17" x14ac:dyDescent="0.25">
      <c r="Q2353" s="8"/>
    </row>
    <row r="2354" spans="17:17" x14ac:dyDescent="0.25">
      <c r="Q2354" s="8"/>
    </row>
    <row r="2355" spans="17:17" x14ac:dyDescent="0.25">
      <c r="Q2355" s="8"/>
    </row>
    <row r="2356" spans="17:17" x14ac:dyDescent="0.25">
      <c r="Q2356" s="8"/>
    </row>
    <row r="2357" spans="17:17" x14ac:dyDescent="0.25">
      <c r="Q2357" s="8"/>
    </row>
    <row r="2358" spans="17:17" x14ac:dyDescent="0.25">
      <c r="Q2358" s="8"/>
    </row>
    <row r="2359" spans="17:17" x14ac:dyDescent="0.25">
      <c r="Q2359" s="8"/>
    </row>
    <row r="2360" spans="17:17" x14ac:dyDescent="0.25">
      <c r="Q2360" s="8"/>
    </row>
    <row r="2361" spans="17:17" x14ac:dyDescent="0.25">
      <c r="Q2361" s="8"/>
    </row>
    <row r="2362" spans="17:17" x14ac:dyDescent="0.25">
      <c r="Q2362" s="8"/>
    </row>
    <row r="2363" spans="17:17" x14ac:dyDescent="0.25">
      <c r="Q2363" s="8"/>
    </row>
    <row r="2364" spans="17:17" x14ac:dyDescent="0.25">
      <c r="Q2364" s="8"/>
    </row>
    <row r="2365" spans="17:17" x14ac:dyDescent="0.25">
      <c r="Q2365" s="8"/>
    </row>
    <row r="2366" spans="17:17" x14ac:dyDescent="0.25">
      <c r="Q2366" s="8"/>
    </row>
    <row r="2367" spans="17:17" x14ac:dyDescent="0.25">
      <c r="Q2367" s="8"/>
    </row>
    <row r="2368" spans="17:17" x14ac:dyDescent="0.25">
      <c r="Q2368" s="8"/>
    </row>
    <row r="2369" spans="17:17" x14ac:dyDescent="0.25">
      <c r="Q2369" s="8"/>
    </row>
    <row r="2370" spans="17:17" x14ac:dyDescent="0.25">
      <c r="Q2370" s="8"/>
    </row>
    <row r="2371" spans="17:17" x14ac:dyDescent="0.25">
      <c r="Q2371" s="8"/>
    </row>
    <row r="2372" spans="17:17" x14ac:dyDescent="0.25">
      <c r="Q2372" s="8"/>
    </row>
    <row r="2373" spans="17:17" x14ac:dyDescent="0.25">
      <c r="Q2373" s="8"/>
    </row>
    <row r="2374" spans="17:17" x14ac:dyDescent="0.25">
      <c r="Q2374" s="8"/>
    </row>
    <row r="2375" spans="17:17" x14ac:dyDescent="0.25">
      <c r="Q2375" s="8"/>
    </row>
    <row r="2376" spans="17:17" x14ac:dyDescent="0.25">
      <c r="Q2376" s="8"/>
    </row>
    <row r="2377" spans="17:17" x14ac:dyDescent="0.25">
      <c r="Q2377" s="8"/>
    </row>
    <row r="2378" spans="17:17" x14ac:dyDescent="0.25">
      <c r="Q2378" s="8"/>
    </row>
    <row r="2379" spans="17:17" x14ac:dyDescent="0.25">
      <c r="Q2379" s="8"/>
    </row>
    <row r="2380" spans="17:17" x14ac:dyDescent="0.25">
      <c r="Q2380" s="8"/>
    </row>
    <row r="2381" spans="17:17" x14ac:dyDescent="0.25">
      <c r="Q2381" s="8"/>
    </row>
    <row r="2382" spans="17:17" x14ac:dyDescent="0.25">
      <c r="Q2382" s="8"/>
    </row>
    <row r="2383" spans="17:17" x14ac:dyDescent="0.25">
      <c r="Q2383" s="8"/>
    </row>
    <row r="2384" spans="17:17" x14ac:dyDescent="0.25">
      <c r="Q2384" s="8"/>
    </row>
    <row r="2385" spans="17:17" x14ac:dyDescent="0.25">
      <c r="Q2385" s="8"/>
    </row>
    <row r="2386" spans="17:17" x14ac:dyDescent="0.25">
      <c r="Q2386" s="8"/>
    </row>
    <row r="2387" spans="17:17" x14ac:dyDescent="0.25">
      <c r="Q2387" s="8"/>
    </row>
    <row r="2388" spans="17:17" x14ac:dyDescent="0.25">
      <c r="Q2388" s="8"/>
    </row>
    <row r="2389" spans="17:17" x14ac:dyDescent="0.25">
      <c r="Q2389" s="8"/>
    </row>
    <row r="2390" spans="17:17" x14ac:dyDescent="0.25">
      <c r="Q2390" s="8"/>
    </row>
    <row r="2391" spans="17:17" x14ac:dyDescent="0.25">
      <c r="Q2391" s="8"/>
    </row>
    <row r="2392" spans="17:17" x14ac:dyDescent="0.25">
      <c r="Q2392" s="8"/>
    </row>
    <row r="2393" spans="17:17" x14ac:dyDescent="0.25">
      <c r="Q2393" s="8"/>
    </row>
    <row r="2394" spans="17:17" x14ac:dyDescent="0.25">
      <c r="Q2394" s="8"/>
    </row>
    <row r="2395" spans="17:17" x14ac:dyDescent="0.25">
      <c r="Q2395" s="8"/>
    </row>
    <row r="2396" spans="17:17" x14ac:dyDescent="0.25">
      <c r="Q2396" s="8"/>
    </row>
    <row r="2397" spans="17:17" x14ac:dyDescent="0.25">
      <c r="Q2397" s="8"/>
    </row>
    <row r="2398" spans="17:17" x14ac:dyDescent="0.25">
      <c r="Q2398" s="8"/>
    </row>
    <row r="2399" spans="17:17" x14ac:dyDescent="0.25">
      <c r="Q2399" s="8"/>
    </row>
    <row r="2400" spans="17:17" x14ac:dyDescent="0.25">
      <c r="Q2400" s="8"/>
    </row>
    <row r="2401" spans="17:17" x14ac:dyDescent="0.25">
      <c r="Q2401" s="8"/>
    </row>
    <row r="2402" spans="17:17" x14ac:dyDescent="0.25">
      <c r="Q2402" s="8"/>
    </row>
    <row r="2403" spans="17:17" x14ac:dyDescent="0.25">
      <c r="Q2403" s="8"/>
    </row>
    <row r="2404" spans="17:17" x14ac:dyDescent="0.25">
      <c r="Q2404" s="8"/>
    </row>
    <row r="2405" spans="17:17" x14ac:dyDescent="0.25">
      <c r="Q2405" s="8"/>
    </row>
    <row r="2406" spans="17:17" x14ac:dyDescent="0.25">
      <c r="Q2406" s="8"/>
    </row>
    <row r="2407" spans="17:17" x14ac:dyDescent="0.25">
      <c r="Q2407" s="8"/>
    </row>
    <row r="2408" spans="17:17" x14ac:dyDescent="0.25">
      <c r="Q2408" s="8"/>
    </row>
    <row r="2409" spans="17:17" x14ac:dyDescent="0.25">
      <c r="Q2409" s="8"/>
    </row>
    <row r="2410" spans="17:17" x14ac:dyDescent="0.25">
      <c r="Q2410" s="8"/>
    </row>
    <row r="2411" spans="17:17" x14ac:dyDescent="0.25">
      <c r="Q2411" s="8"/>
    </row>
    <row r="2412" spans="17:17" x14ac:dyDescent="0.25">
      <c r="Q2412" s="8"/>
    </row>
    <row r="2413" spans="17:17" x14ac:dyDescent="0.25">
      <c r="Q2413" s="8"/>
    </row>
    <row r="2414" spans="17:17" x14ac:dyDescent="0.25">
      <c r="Q2414" s="8"/>
    </row>
    <row r="2415" spans="17:17" x14ac:dyDescent="0.25">
      <c r="Q2415" s="8"/>
    </row>
    <row r="2416" spans="17:17" x14ac:dyDescent="0.25">
      <c r="Q2416" s="8"/>
    </row>
    <row r="2417" spans="17:17" x14ac:dyDescent="0.25">
      <c r="Q2417" s="8"/>
    </row>
    <row r="2418" spans="17:17" x14ac:dyDescent="0.25">
      <c r="Q2418" s="8"/>
    </row>
    <row r="2419" spans="17:17" x14ac:dyDescent="0.25">
      <c r="Q2419" s="8"/>
    </row>
    <row r="2420" spans="17:17" x14ac:dyDescent="0.25">
      <c r="Q2420" s="8"/>
    </row>
    <row r="2421" spans="17:17" x14ac:dyDescent="0.25">
      <c r="Q2421" s="8"/>
    </row>
    <row r="2422" spans="17:17" x14ac:dyDescent="0.25">
      <c r="Q2422" s="8"/>
    </row>
    <row r="2423" spans="17:17" x14ac:dyDescent="0.25">
      <c r="Q2423" s="8"/>
    </row>
    <row r="2424" spans="17:17" x14ac:dyDescent="0.25">
      <c r="Q2424" s="8"/>
    </row>
    <row r="2425" spans="17:17" x14ac:dyDescent="0.25">
      <c r="Q2425" s="8"/>
    </row>
    <row r="2426" spans="17:17" x14ac:dyDescent="0.25">
      <c r="Q2426" s="8"/>
    </row>
    <row r="2427" spans="17:17" x14ac:dyDescent="0.25">
      <c r="Q2427" s="8"/>
    </row>
    <row r="2428" spans="17:17" x14ac:dyDescent="0.25">
      <c r="Q2428" s="8"/>
    </row>
    <row r="2429" spans="17:17" x14ac:dyDescent="0.25">
      <c r="Q2429" s="8"/>
    </row>
    <row r="2430" spans="17:17" x14ac:dyDescent="0.25">
      <c r="Q2430" s="8"/>
    </row>
    <row r="2431" spans="17:17" x14ac:dyDescent="0.25">
      <c r="Q2431" s="8"/>
    </row>
    <row r="2432" spans="17:17" x14ac:dyDescent="0.25">
      <c r="Q2432" s="8"/>
    </row>
    <row r="2433" spans="17:17" x14ac:dyDescent="0.25">
      <c r="Q2433" s="8"/>
    </row>
    <row r="2434" spans="17:17" x14ac:dyDescent="0.25">
      <c r="Q2434" s="8"/>
    </row>
    <row r="2435" spans="17:17" x14ac:dyDescent="0.25">
      <c r="Q2435" s="8"/>
    </row>
    <row r="2436" spans="17:17" x14ac:dyDescent="0.25">
      <c r="Q2436" s="8"/>
    </row>
    <row r="2437" spans="17:17" x14ac:dyDescent="0.25">
      <c r="Q2437" s="8"/>
    </row>
    <row r="2438" spans="17:17" x14ac:dyDescent="0.25">
      <c r="Q2438" s="8"/>
    </row>
    <row r="2439" spans="17:17" x14ac:dyDescent="0.25">
      <c r="Q2439" s="8"/>
    </row>
    <row r="2440" spans="17:17" x14ac:dyDescent="0.25">
      <c r="Q2440" s="8"/>
    </row>
    <row r="2441" spans="17:17" x14ac:dyDescent="0.25">
      <c r="Q2441" s="8"/>
    </row>
    <row r="2442" spans="17:17" x14ac:dyDescent="0.25">
      <c r="Q2442" s="8"/>
    </row>
    <row r="2443" spans="17:17" x14ac:dyDescent="0.25">
      <c r="Q2443" s="8"/>
    </row>
    <row r="2444" spans="17:17" x14ac:dyDescent="0.25">
      <c r="Q2444" s="8"/>
    </row>
    <row r="2445" spans="17:17" x14ac:dyDescent="0.25">
      <c r="Q2445" s="8"/>
    </row>
    <row r="2446" spans="17:17" x14ac:dyDescent="0.25">
      <c r="Q2446" s="8"/>
    </row>
    <row r="2447" spans="17:17" x14ac:dyDescent="0.25">
      <c r="Q2447" s="8"/>
    </row>
    <row r="2448" spans="17:17" x14ac:dyDescent="0.25">
      <c r="Q2448" s="8"/>
    </row>
    <row r="2449" spans="17:17" x14ac:dyDescent="0.25">
      <c r="Q2449" s="8"/>
    </row>
    <row r="2450" spans="17:17" x14ac:dyDescent="0.25">
      <c r="Q2450" s="8"/>
    </row>
    <row r="2451" spans="17:17" x14ac:dyDescent="0.25">
      <c r="Q2451" s="8"/>
    </row>
    <row r="2452" spans="17:17" x14ac:dyDescent="0.25">
      <c r="Q2452" s="8"/>
    </row>
    <row r="2453" spans="17:17" x14ac:dyDescent="0.25">
      <c r="Q2453" s="8"/>
    </row>
    <row r="2454" spans="17:17" x14ac:dyDescent="0.25">
      <c r="Q2454" s="8"/>
    </row>
    <row r="2455" spans="17:17" x14ac:dyDescent="0.25">
      <c r="Q2455" s="8"/>
    </row>
    <row r="2456" spans="17:17" x14ac:dyDescent="0.25">
      <c r="Q2456" s="8"/>
    </row>
    <row r="2457" spans="17:17" x14ac:dyDescent="0.25">
      <c r="Q2457" s="8"/>
    </row>
    <row r="2458" spans="17:17" x14ac:dyDescent="0.25">
      <c r="Q2458" s="8"/>
    </row>
    <row r="2459" spans="17:17" x14ac:dyDescent="0.25">
      <c r="Q2459" s="8"/>
    </row>
    <row r="2460" spans="17:17" x14ac:dyDescent="0.25">
      <c r="Q2460" s="8"/>
    </row>
    <row r="2461" spans="17:17" x14ac:dyDescent="0.25">
      <c r="Q2461" s="8"/>
    </row>
    <row r="2462" spans="17:17" x14ac:dyDescent="0.25">
      <c r="Q2462" s="8"/>
    </row>
    <row r="2463" spans="17:17" x14ac:dyDescent="0.25">
      <c r="Q2463" s="8"/>
    </row>
    <row r="2464" spans="17:17" x14ac:dyDescent="0.25">
      <c r="Q2464" s="8"/>
    </row>
    <row r="2465" spans="17:17" x14ac:dyDescent="0.25">
      <c r="Q2465" s="8"/>
    </row>
    <row r="2466" spans="17:17" x14ac:dyDescent="0.25">
      <c r="Q2466" s="8"/>
    </row>
    <row r="2467" spans="17:17" x14ac:dyDescent="0.25">
      <c r="Q2467" s="8"/>
    </row>
    <row r="2468" spans="17:17" x14ac:dyDescent="0.25">
      <c r="Q2468" s="8"/>
    </row>
    <row r="2469" spans="17:17" x14ac:dyDescent="0.25">
      <c r="Q2469" s="8"/>
    </row>
    <row r="2470" spans="17:17" x14ac:dyDescent="0.25">
      <c r="Q2470" s="8"/>
    </row>
    <row r="2471" spans="17:17" x14ac:dyDescent="0.25">
      <c r="Q2471" s="8"/>
    </row>
    <row r="2472" spans="17:17" x14ac:dyDescent="0.25">
      <c r="Q2472" s="8"/>
    </row>
    <row r="2473" spans="17:17" x14ac:dyDescent="0.25">
      <c r="Q2473" s="8"/>
    </row>
    <row r="2474" spans="17:17" x14ac:dyDescent="0.25">
      <c r="Q2474" s="8"/>
    </row>
    <row r="2475" spans="17:17" x14ac:dyDescent="0.25">
      <c r="Q2475" s="8"/>
    </row>
    <row r="2476" spans="17:17" x14ac:dyDescent="0.25">
      <c r="Q2476" s="8"/>
    </row>
    <row r="2477" spans="17:17" x14ac:dyDescent="0.25">
      <c r="Q2477" s="8"/>
    </row>
    <row r="2478" spans="17:17" x14ac:dyDescent="0.25">
      <c r="Q2478" s="8"/>
    </row>
    <row r="2479" spans="17:17" x14ac:dyDescent="0.25">
      <c r="Q2479" s="8"/>
    </row>
    <row r="2480" spans="17:17" x14ac:dyDescent="0.25">
      <c r="Q2480" s="8"/>
    </row>
    <row r="2481" spans="17:17" x14ac:dyDescent="0.25">
      <c r="Q2481" s="8"/>
    </row>
    <row r="2482" spans="17:17" x14ac:dyDescent="0.25">
      <c r="Q2482" s="8"/>
    </row>
    <row r="2483" spans="17:17" x14ac:dyDescent="0.25">
      <c r="Q2483" s="8"/>
    </row>
    <row r="2484" spans="17:17" x14ac:dyDescent="0.25">
      <c r="Q2484" s="8"/>
    </row>
    <row r="2485" spans="17:17" x14ac:dyDescent="0.25">
      <c r="Q2485" s="8"/>
    </row>
    <row r="2486" spans="17:17" x14ac:dyDescent="0.25">
      <c r="Q2486" s="8"/>
    </row>
    <row r="2487" spans="17:17" x14ac:dyDescent="0.25">
      <c r="Q2487" s="8"/>
    </row>
    <row r="2488" spans="17:17" x14ac:dyDescent="0.25">
      <c r="Q2488" s="8"/>
    </row>
    <row r="2489" spans="17:17" x14ac:dyDescent="0.25">
      <c r="Q2489" s="8"/>
    </row>
    <row r="2490" spans="17:17" x14ac:dyDescent="0.25">
      <c r="Q2490" s="8"/>
    </row>
    <row r="2491" spans="17:17" x14ac:dyDescent="0.25">
      <c r="Q2491" s="8"/>
    </row>
    <row r="2492" spans="17:17" x14ac:dyDescent="0.25">
      <c r="Q2492" s="8"/>
    </row>
    <row r="2493" spans="17:17" x14ac:dyDescent="0.25">
      <c r="Q2493" s="8"/>
    </row>
    <row r="2494" spans="17:17" x14ac:dyDescent="0.25">
      <c r="Q2494" s="8"/>
    </row>
    <row r="2495" spans="17:17" x14ac:dyDescent="0.25">
      <c r="Q2495" s="8"/>
    </row>
    <row r="2496" spans="17:17" x14ac:dyDescent="0.25">
      <c r="Q2496" s="8"/>
    </row>
    <row r="2497" spans="17:17" x14ac:dyDescent="0.25">
      <c r="Q2497" s="8"/>
    </row>
    <row r="2498" spans="17:17" x14ac:dyDescent="0.25">
      <c r="Q2498" s="8"/>
    </row>
    <row r="2499" spans="17:17" x14ac:dyDescent="0.25">
      <c r="Q2499" s="8"/>
    </row>
    <row r="2500" spans="17:17" x14ac:dyDescent="0.25">
      <c r="Q2500" s="8"/>
    </row>
    <row r="2501" spans="17:17" x14ac:dyDescent="0.25">
      <c r="Q2501" s="8"/>
    </row>
    <row r="2502" spans="17:17" x14ac:dyDescent="0.25">
      <c r="Q2502" s="8"/>
    </row>
    <row r="2503" spans="17:17" x14ac:dyDescent="0.25">
      <c r="Q2503" s="8"/>
    </row>
    <row r="2504" spans="17:17" x14ac:dyDescent="0.25">
      <c r="Q2504" s="8"/>
    </row>
    <row r="2505" spans="17:17" x14ac:dyDescent="0.25">
      <c r="Q2505" s="8"/>
    </row>
    <row r="2506" spans="17:17" x14ac:dyDescent="0.25">
      <c r="Q2506" s="8"/>
    </row>
    <row r="2507" spans="17:17" x14ac:dyDescent="0.25">
      <c r="Q2507" s="8"/>
    </row>
    <row r="2508" spans="17:17" x14ac:dyDescent="0.25">
      <c r="Q2508" s="8"/>
    </row>
    <row r="2509" spans="17:17" x14ac:dyDescent="0.25">
      <c r="Q2509" s="8"/>
    </row>
    <row r="2510" spans="17:17" x14ac:dyDescent="0.25">
      <c r="Q2510" s="8"/>
    </row>
    <row r="2511" spans="17:17" x14ac:dyDescent="0.25">
      <c r="Q2511" s="8"/>
    </row>
    <row r="2512" spans="17:17" x14ac:dyDescent="0.25">
      <c r="Q2512" s="8"/>
    </row>
    <row r="2513" spans="17:17" x14ac:dyDescent="0.25">
      <c r="Q2513" s="8"/>
    </row>
    <row r="2514" spans="17:17" x14ac:dyDescent="0.25">
      <c r="Q2514" s="8"/>
    </row>
    <row r="2515" spans="17:17" x14ac:dyDescent="0.25">
      <c r="Q2515" s="8"/>
    </row>
    <row r="2516" spans="17:17" x14ac:dyDescent="0.25">
      <c r="Q2516" s="8"/>
    </row>
    <row r="2517" spans="17:17" x14ac:dyDescent="0.25">
      <c r="Q2517" s="8"/>
    </row>
    <row r="2518" spans="17:17" x14ac:dyDescent="0.25">
      <c r="Q2518" s="8"/>
    </row>
    <row r="2519" spans="17:17" x14ac:dyDescent="0.25">
      <c r="Q2519" s="8"/>
    </row>
    <row r="2520" spans="17:17" x14ac:dyDescent="0.25">
      <c r="Q2520" s="8"/>
    </row>
    <row r="2521" spans="17:17" x14ac:dyDescent="0.25">
      <c r="Q2521" s="8"/>
    </row>
    <row r="2522" spans="17:17" x14ac:dyDescent="0.25">
      <c r="Q2522" s="8"/>
    </row>
    <row r="2523" spans="17:17" x14ac:dyDescent="0.25">
      <c r="Q2523" s="8"/>
    </row>
    <row r="2524" spans="17:17" x14ac:dyDescent="0.25">
      <c r="Q2524" s="8"/>
    </row>
    <row r="2525" spans="17:17" x14ac:dyDescent="0.25">
      <c r="Q2525" s="8"/>
    </row>
    <row r="2526" spans="17:17" x14ac:dyDescent="0.25">
      <c r="Q2526" s="8"/>
    </row>
    <row r="2527" spans="17:17" x14ac:dyDescent="0.25">
      <c r="Q2527" s="8"/>
    </row>
    <row r="2528" spans="17:17" x14ac:dyDescent="0.25">
      <c r="Q2528" s="8"/>
    </row>
    <row r="2529" spans="17:17" x14ac:dyDescent="0.25">
      <c r="Q2529" s="8"/>
    </row>
    <row r="2530" spans="17:17" x14ac:dyDescent="0.25">
      <c r="Q2530" s="8"/>
    </row>
    <row r="2531" spans="17:17" x14ac:dyDescent="0.25">
      <c r="Q2531" s="8"/>
    </row>
    <row r="2532" spans="17:17" x14ac:dyDescent="0.25">
      <c r="Q2532" s="8"/>
    </row>
    <row r="2533" spans="17:17" x14ac:dyDescent="0.25">
      <c r="Q2533" s="8"/>
    </row>
    <row r="2534" spans="17:17" x14ac:dyDescent="0.25">
      <c r="Q2534" s="8"/>
    </row>
    <row r="2535" spans="17:17" x14ac:dyDescent="0.25">
      <c r="Q2535" s="8"/>
    </row>
    <row r="2536" spans="17:17" x14ac:dyDescent="0.25">
      <c r="Q2536" s="8"/>
    </row>
    <row r="2537" spans="17:17" x14ac:dyDescent="0.25">
      <c r="Q2537" s="8"/>
    </row>
    <row r="2538" spans="17:17" x14ac:dyDescent="0.25">
      <c r="Q2538" s="8"/>
    </row>
    <row r="2539" spans="17:17" x14ac:dyDescent="0.25">
      <c r="Q2539" s="8"/>
    </row>
    <row r="2540" spans="17:17" x14ac:dyDescent="0.25">
      <c r="Q2540" s="8"/>
    </row>
    <row r="2541" spans="17:17" x14ac:dyDescent="0.25">
      <c r="Q2541" s="8"/>
    </row>
    <row r="2542" spans="17:17" x14ac:dyDescent="0.25">
      <c r="Q2542" s="8"/>
    </row>
    <row r="2543" spans="17:17" x14ac:dyDescent="0.25">
      <c r="Q2543" s="8"/>
    </row>
    <row r="2544" spans="17:17" x14ac:dyDescent="0.25">
      <c r="Q2544" s="8"/>
    </row>
    <row r="2545" spans="17:17" x14ac:dyDescent="0.25">
      <c r="Q2545" s="8"/>
    </row>
    <row r="2546" spans="17:17" x14ac:dyDescent="0.25">
      <c r="Q2546" s="8"/>
    </row>
    <row r="2547" spans="17:17" x14ac:dyDescent="0.25">
      <c r="Q2547" s="8"/>
    </row>
    <row r="2548" spans="17:17" x14ac:dyDescent="0.25">
      <c r="Q2548" s="8"/>
    </row>
    <row r="2549" spans="17:17" x14ac:dyDescent="0.25">
      <c r="Q2549" s="8"/>
    </row>
    <row r="2550" spans="17:17" x14ac:dyDescent="0.25">
      <c r="Q2550" s="8"/>
    </row>
    <row r="2551" spans="17:17" x14ac:dyDescent="0.25">
      <c r="Q2551" s="8"/>
    </row>
    <row r="2552" spans="17:17" x14ac:dyDescent="0.25">
      <c r="Q2552" s="8"/>
    </row>
    <row r="2553" spans="17:17" x14ac:dyDescent="0.25">
      <c r="Q2553" s="8"/>
    </row>
    <row r="2554" spans="17:17" x14ac:dyDescent="0.25">
      <c r="Q2554" s="8"/>
    </row>
    <row r="2555" spans="17:17" x14ac:dyDescent="0.25">
      <c r="Q2555" s="8"/>
    </row>
    <row r="2556" spans="17:17" x14ac:dyDescent="0.25">
      <c r="Q2556" s="8"/>
    </row>
    <row r="2557" spans="17:17" x14ac:dyDescent="0.25">
      <c r="Q2557" s="8"/>
    </row>
    <row r="2558" spans="17:17" x14ac:dyDescent="0.25">
      <c r="Q2558" s="8"/>
    </row>
    <row r="2559" spans="17:17" x14ac:dyDescent="0.25">
      <c r="Q2559" s="8"/>
    </row>
    <row r="2560" spans="17:17" x14ac:dyDescent="0.25">
      <c r="Q2560" s="8"/>
    </row>
    <row r="2561" spans="17:17" x14ac:dyDescent="0.25">
      <c r="Q2561" s="8"/>
    </row>
    <row r="2562" spans="17:17" x14ac:dyDescent="0.25">
      <c r="Q2562" s="8"/>
    </row>
    <row r="2563" spans="17:17" x14ac:dyDescent="0.25">
      <c r="Q2563" s="8"/>
    </row>
    <row r="2564" spans="17:17" x14ac:dyDescent="0.25">
      <c r="Q2564" s="8"/>
    </row>
    <row r="2565" spans="17:17" x14ac:dyDescent="0.25">
      <c r="Q2565" s="8"/>
    </row>
    <row r="2566" spans="17:17" x14ac:dyDescent="0.25">
      <c r="Q2566" s="8"/>
    </row>
    <row r="2567" spans="17:17" x14ac:dyDescent="0.25">
      <c r="Q2567" s="8"/>
    </row>
    <row r="2568" spans="17:17" x14ac:dyDescent="0.25">
      <c r="Q2568" s="8"/>
    </row>
    <row r="2569" spans="17:17" x14ac:dyDescent="0.25">
      <c r="Q2569" s="8"/>
    </row>
    <row r="2570" spans="17:17" x14ac:dyDescent="0.25">
      <c r="Q2570" s="8"/>
    </row>
    <row r="2571" spans="17:17" x14ac:dyDescent="0.25">
      <c r="Q2571" s="8"/>
    </row>
    <row r="2572" spans="17:17" x14ac:dyDescent="0.25">
      <c r="Q2572" s="8"/>
    </row>
    <row r="2573" spans="17:17" x14ac:dyDescent="0.25">
      <c r="Q2573" s="8"/>
    </row>
    <row r="2574" spans="17:17" x14ac:dyDescent="0.25">
      <c r="Q2574" s="8"/>
    </row>
    <row r="2575" spans="17:17" x14ac:dyDescent="0.25">
      <c r="Q2575" s="8"/>
    </row>
    <row r="2576" spans="17:17" x14ac:dyDescent="0.25">
      <c r="Q2576" s="8"/>
    </row>
    <row r="2577" spans="17:17" x14ac:dyDescent="0.25">
      <c r="Q2577" s="8"/>
    </row>
    <row r="2578" spans="17:17" x14ac:dyDescent="0.25">
      <c r="Q2578" s="8"/>
    </row>
    <row r="2579" spans="17:17" x14ac:dyDescent="0.25">
      <c r="Q2579" s="8"/>
    </row>
    <row r="2580" spans="17:17" x14ac:dyDescent="0.25">
      <c r="Q2580" s="8"/>
    </row>
    <row r="2581" spans="17:17" x14ac:dyDescent="0.25">
      <c r="Q2581" s="8"/>
    </row>
    <row r="2582" spans="17:17" x14ac:dyDescent="0.25">
      <c r="Q2582" s="8"/>
    </row>
    <row r="2583" spans="17:17" x14ac:dyDescent="0.25">
      <c r="Q2583" s="8"/>
    </row>
    <row r="2584" spans="17:17" x14ac:dyDescent="0.25">
      <c r="Q2584" s="8"/>
    </row>
    <row r="2585" spans="17:17" x14ac:dyDescent="0.25">
      <c r="Q2585" s="8"/>
    </row>
    <row r="2586" spans="17:17" x14ac:dyDescent="0.25">
      <c r="Q2586" s="8"/>
    </row>
    <row r="2587" spans="17:17" x14ac:dyDescent="0.25">
      <c r="Q2587" s="8"/>
    </row>
    <row r="2588" spans="17:17" x14ac:dyDescent="0.25">
      <c r="Q2588" s="8"/>
    </row>
    <row r="2589" spans="17:17" x14ac:dyDescent="0.25">
      <c r="Q2589" s="8"/>
    </row>
    <row r="2590" spans="17:17" x14ac:dyDescent="0.25">
      <c r="Q2590" s="8"/>
    </row>
    <row r="2591" spans="17:17" x14ac:dyDescent="0.25">
      <c r="Q2591" s="8"/>
    </row>
    <row r="2592" spans="17:17" x14ac:dyDescent="0.25">
      <c r="Q2592" s="8"/>
    </row>
    <row r="2593" spans="17:17" x14ac:dyDescent="0.25">
      <c r="Q2593" s="8"/>
    </row>
    <row r="2594" spans="17:17" x14ac:dyDescent="0.25">
      <c r="Q2594" s="8"/>
    </row>
    <row r="2595" spans="17:17" x14ac:dyDescent="0.25">
      <c r="Q2595" s="8"/>
    </row>
    <row r="2596" spans="17:17" x14ac:dyDescent="0.25">
      <c r="Q2596" s="8"/>
    </row>
    <row r="2597" spans="17:17" x14ac:dyDescent="0.25">
      <c r="Q2597" s="8"/>
    </row>
    <row r="2598" spans="17:17" x14ac:dyDescent="0.25">
      <c r="Q2598" s="8"/>
    </row>
    <row r="2599" spans="17:17" x14ac:dyDescent="0.25">
      <c r="Q2599" s="8"/>
    </row>
    <row r="2600" spans="17:17" x14ac:dyDescent="0.25">
      <c r="Q2600" s="8"/>
    </row>
    <row r="2601" spans="17:17" x14ac:dyDescent="0.25">
      <c r="Q2601" s="8"/>
    </row>
    <row r="2602" spans="17:17" x14ac:dyDescent="0.25">
      <c r="Q2602" s="8"/>
    </row>
    <row r="2603" spans="17:17" x14ac:dyDescent="0.25">
      <c r="Q2603" s="8"/>
    </row>
    <row r="2604" spans="17:17" x14ac:dyDescent="0.25">
      <c r="Q2604" s="8"/>
    </row>
    <row r="2605" spans="17:17" x14ac:dyDescent="0.25">
      <c r="Q2605" s="8"/>
    </row>
    <row r="2606" spans="17:17" x14ac:dyDescent="0.25">
      <c r="Q2606" s="8"/>
    </row>
    <row r="2607" spans="17:17" x14ac:dyDescent="0.25">
      <c r="Q2607" s="8"/>
    </row>
    <row r="2608" spans="17:17" x14ac:dyDescent="0.25">
      <c r="Q2608" s="8"/>
    </row>
    <row r="2609" spans="17:17" x14ac:dyDescent="0.25">
      <c r="Q2609" s="8"/>
    </row>
    <row r="2610" spans="17:17" x14ac:dyDescent="0.25">
      <c r="Q2610" s="8"/>
    </row>
    <row r="2611" spans="17:17" x14ac:dyDescent="0.25">
      <c r="Q2611" s="8"/>
    </row>
    <row r="2612" spans="17:17" x14ac:dyDescent="0.25">
      <c r="Q2612" s="8"/>
    </row>
    <row r="2613" spans="17:17" x14ac:dyDescent="0.25">
      <c r="Q2613" s="8"/>
    </row>
    <row r="2614" spans="17:17" x14ac:dyDescent="0.25">
      <c r="Q2614" s="8"/>
    </row>
    <row r="2615" spans="17:17" x14ac:dyDescent="0.25">
      <c r="Q2615" s="8"/>
    </row>
    <row r="2616" spans="17:17" x14ac:dyDescent="0.25">
      <c r="Q2616" s="8"/>
    </row>
    <row r="2617" spans="17:17" x14ac:dyDescent="0.25">
      <c r="Q2617" s="8"/>
    </row>
    <row r="2618" spans="17:17" x14ac:dyDescent="0.25">
      <c r="Q2618" s="8"/>
    </row>
    <row r="2619" spans="17:17" x14ac:dyDescent="0.25">
      <c r="Q2619" s="8"/>
    </row>
    <row r="2620" spans="17:17" x14ac:dyDescent="0.25">
      <c r="Q2620" s="8"/>
    </row>
    <row r="2621" spans="17:17" x14ac:dyDescent="0.25">
      <c r="Q2621" s="8"/>
    </row>
    <row r="2622" spans="17:17" x14ac:dyDescent="0.25">
      <c r="Q2622" s="8"/>
    </row>
    <row r="2623" spans="17:17" x14ac:dyDescent="0.25">
      <c r="Q2623" s="8"/>
    </row>
    <row r="2624" spans="17:17" x14ac:dyDescent="0.25">
      <c r="Q2624" s="8"/>
    </row>
    <row r="2625" spans="17:17" x14ac:dyDescent="0.25">
      <c r="Q2625" s="8"/>
    </row>
    <row r="2626" spans="17:17" x14ac:dyDescent="0.25">
      <c r="Q2626" s="8"/>
    </row>
    <row r="2627" spans="17:17" x14ac:dyDescent="0.25">
      <c r="Q2627" s="8"/>
    </row>
    <row r="2628" spans="17:17" x14ac:dyDescent="0.25">
      <c r="Q2628" s="8"/>
    </row>
    <row r="2629" spans="17:17" x14ac:dyDescent="0.25">
      <c r="Q2629" s="8"/>
    </row>
    <row r="2630" spans="17:17" x14ac:dyDescent="0.25">
      <c r="Q2630" s="8"/>
    </row>
    <row r="2631" spans="17:17" x14ac:dyDescent="0.25">
      <c r="Q2631" s="8"/>
    </row>
    <row r="2632" spans="17:17" x14ac:dyDescent="0.25">
      <c r="Q2632" s="8"/>
    </row>
    <row r="2633" spans="17:17" x14ac:dyDescent="0.25">
      <c r="Q2633" s="8"/>
    </row>
    <row r="2634" spans="17:17" x14ac:dyDescent="0.25">
      <c r="Q2634" s="8"/>
    </row>
    <row r="2635" spans="17:17" x14ac:dyDescent="0.25">
      <c r="Q2635" s="8"/>
    </row>
    <row r="2636" spans="17:17" x14ac:dyDescent="0.25">
      <c r="Q2636" s="8"/>
    </row>
    <row r="2637" spans="17:17" x14ac:dyDescent="0.25">
      <c r="Q2637" s="8"/>
    </row>
    <row r="2638" spans="17:17" x14ac:dyDescent="0.25">
      <c r="Q2638" s="8"/>
    </row>
    <row r="2639" spans="17:17" x14ac:dyDescent="0.25">
      <c r="Q2639" s="8"/>
    </row>
    <row r="2640" spans="17:17" x14ac:dyDescent="0.25">
      <c r="Q2640" s="8"/>
    </row>
    <row r="2641" spans="17:17" x14ac:dyDescent="0.25">
      <c r="Q2641" s="8"/>
    </row>
    <row r="2642" spans="17:17" x14ac:dyDescent="0.25">
      <c r="Q2642" s="8"/>
    </row>
    <row r="2643" spans="17:17" x14ac:dyDescent="0.25">
      <c r="Q2643" s="8"/>
    </row>
    <row r="2644" spans="17:17" x14ac:dyDescent="0.25">
      <c r="Q2644" s="8"/>
    </row>
    <row r="2645" spans="17:17" x14ac:dyDescent="0.25">
      <c r="Q2645" s="8"/>
    </row>
    <row r="2646" spans="17:17" x14ac:dyDescent="0.25">
      <c r="Q2646" s="8"/>
    </row>
    <row r="2647" spans="17:17" x14ac:dyDescent="0.25">
      <c r="Q2647" s="8"/>
    </row>
    <row r="2648" spans="17:17" x14ac:dyDescent="0.25">
      <c r="Q2648" s="8"/>
    </row>
    <row r="2649" spans="17:17" x14ac:dyDescent="0.25">
      <c r="Q2649" s="8"/>
    </row>
    <row r="2650" spans="17:17" x14ac:dyDescent="0.25">
      <c r="Q2650" s="8"/>
    </row>
    <row r="2651" spans="17:17" x14ac:dyDescent="0.25">
      <c r="Q2651" s="8"/>
    </row>
    <row r="2652" spans="17:17" x14ac:dyDescent="0.25">
      <c r="Q2652" s="8"/>
    </row>
    <row r="2653" spans="17:17" x14ac:dyDescent="0.25">
      <c r="Q2653" s="8"/>
    </row>
    <row r="2654" spans="17:17" x14ac:dyDescent="0.25">
      <c r="Q2654" s="8"/>
    </row>
    <row r="2655" spans="17:17" x14ac:dyDescent="0.25">
      <c r="Q2655" s="8"/>
    </row>
    <row r="2656" spans="17:17" x14ac:dyDescent="0.25">
      <c r="Q2656" s="8"/>
    </row>
    <row r="2657" spans="17:17" x14ac:dyDescent="0.25">
      <c r="Q2657" s="8"/>
    </row>
    <row r="2658" spans="17:17" x14ac:dyDescent="0.25">
      <c r="Q2658" s="8"/>
    </row>
    <row r="2659" spans="17:17" x14ac:dyDescent="0.25">
      <c r="Q2659" s="8"/>
    </row>
    <row r="2660" spans="17:17" x14ac:dyDescent="0.25">
      <c r="Q2660" s="8"/>
    </row>
    <row r="2661" spans="17:17" x14ac:dyDescent="0.25">
      <c r="Q2661" s="8"/>
    </row>
    <row r="2662" spans="17:17" x14ac:dyDescent="0.25">
      <c r="Q2662" s="8"/>
    </row>
    <row r="2663" spans="17:17" x14ac:dyDescent="0.25">
      <c r="Q2663" s="8"/>
    </row>
    <row r="2664" spans="17:17" x14ac:dyDescent="0.25">
      <c r="Q2664" s="8"/>
    </row>
    <row r="2665" spans="17:17" x14ac:dyDescent="0.25">
      <c r="Q2665" s="8"/>
    </row>
    <row r="2666" spans="17:17" x14ac:dyDescent="0.25">
      <c r="Q2666" s="8"/>
    </row>
    <row r="2667" spans="17:17" x14ac:dyDescent="0.25">
      <c r="Q2667" s="8"/>
    </row>
    <row r="2668" spans="17:17" x14ac:dyDescent="0.25">
      <c r="Q2668" s="8"/>
    </row>
    <row r="2669" spans="17:17" x14ac:dyDescent="0.25">
      <c r="Q2669" s="8"/>
    </row>
    <row r="2670" spans="17:17" x14ac:dyDescent="0.25">
      <c r="Q2670" s="8"/>
    </row>
    <row r="2671" spans="17:17" x14ac:dyDescent="0.25">
      <c r="Q2671" s="8"/>
    </row>
    <row r="2672" spans="17:17" x14ac:dyDescent="0.25">
      <c r="Q2672" s="8"/>
    </row>
    <row r="2673" spans="17:17" x14ac:dyDescent="0.25">
      <c r="Q2673" s="8"/>
    </row>
    <row r="2674" spans="17:17" x14ac:dyDescent="0.25">
      <c r="Q2674" s="8"/>
    </row>
    <row r="2675" spans="17:17" x14ac:dyDescent="0.25">
      <c r="Q2675" s="8"/>
    </row>
    <row r="2676" spans="17:17" x14ac:dyDescent="0.25">
      <c r="Q2676" s="8"/>
    </row>
    <row r="2677" spans="17:17" x14ac:dyDescent="0.25">
      <c r="Q2677" s="8"/>
    </row>
    <row r="2678" spans="17:17" x14ac:dyDescent="0.25">
      <c r="Q2678" s="8"/>
    </row>
    <row r="2679" spans="17:17" x14ac:dyDescent="0.25">
      <c r="Q2679" s="8"/>
    </row>
    <row r="2680" spans="17:17" x14ac:dyDescent="0.25">
      <c r="Q2680" s="8"/>
    </row>
    <row r="2681" spans="17:17" x14ac:dyDescent="0.25">
      <c r="Q2681" s="8"/>
    </row>
    <row r="2682" spans="17:17" x14ac:dyDescent="0.25">
      <c r="Q2682" s="8"/>
    </row>
    <row r="2683" spans="17:17" x14ac:dyDescent="0.25">
      <c r="Q2683" s="8"/>
    </row>
    <row r="2684" spans="17:17" x14ac:dyDescent="0.25">
      <c r="Q2684" s="8"/>
    </row>
    <row r="2685" spans="17:17" x14ac:dyDescent="0.25">
      <c r="Q2685" s="8"/>
    </row>
    <row r="2686" spans="17:17" x14ac:dyDescent="0.25">
      <c r="Q2686" s="8"/>
    </row>
    <row r="2687" spans="17:17" x14ac:dyDescent="0.25">
      <c r="Q2687" s="8"/>
    </row>
    <row r="2688" spans="17:17" x14ac:dyDescent="0.25">
      <c r="Q2688" s="8"/>
    </row>
    <row r="2689" spans="17:17" x14ac:dyDescent="0.25">
      <c r="Q2689" s="8"/>
    </row>
    <row r="2690" spans="17:17" x14ac:dyDescent="0.25">
      <c r="Q2690" s="8"/>
    </row>
    <row r="2691" spans="17:17" x14ac:dyDescent="0.25">
      <c r="Q2691" s="8"/>
    </row>
    <row r="2692" spans="17:17" x14ac:dyDescent="0.25">
      <c r="Q2692" s="8"/>
    </row>
    <row r="2693" spans="17:17" x14ac:dyDescent="0.25">
      <c r="Q2693" s="8"/>
    </row>
    <row r="2694" spans="17:17" x14ac:dyDescent="0.25">
      <c r="Q2694" s="8"/>
    </row>
    <row r="2695" spans="17:17" x14ac:dyDescent="0.25">
      <c r="Q2695" s="8"/>
    </row>
    <row r="2696" spans="17:17" x14ac:dyDescent="0.25">
      <c r="Q2696" s="8"/>
    </row>
    <row r="2697" spans="17:17" x14ac:dyDescent="0.25">
      <c r="Q2697" s="8"/>
    </row>
    <row r="2698" spans="17:17" x14ac:dyDescent="0.25">
      <c r="Q2698" s="8"/>
    </row>
    <row r="2699" spans="17:17" x14ac:dyDescent="0.25">
      <c r="Q2699" s="8"/>
    </row>
    <row r="2700" spans="17:17" x14ac:dyDescent="0.25">
      <c r="Q2700" s="8"/>
    </row>
    <row r="2701" spans="17:17" x14ac:dyDescent="0.25">
      <c r="Q2701" s="8"/>
    </row>
    <row r="2702" spans="17:17" x14ac:dyDescent="0.25">
      <c r="Q2702" s="8"/>
    </row>
    <row r="2703" spans="17:17" x14ac:dyDescent="0.25">
      <c r="Q2703" s="8"/>
    </row>
    <row r="2704" spans="17:17" x14ac:dyDescent="0.25">
      <c r="Q2704" s="8"/>
    </row>
    <row r="2705" spans="17:17" x14ac:dyDescent="0.25">
      <c r="Q2705" s="8"/>
    </row>
    <row r="2706" spans="17:17" x14ac:dyDescent="0.25">
      <c r="Q2706" s="8"/>
    </row>
    <row r="2707" spans="17:17" x14ac:dyDescent="0.25">
      <c r="Q2707" s="8"/>
    </row>
    <row r="2708" spans="17:17" x14ac:dyDescent="0.25">
      <c r="Q2708" s="8"/>
    </row>
    <row r="2709" spans="17:17" x14ac:dyDescent="0.25">
      <c r="Q2709" s="8"/>
    </row>
    <row r="2710" spans="17:17" x14ac:dyDescent="0.25">
      <c r="Q2710" s="8"/>
    </row>
    <row r="2711" spans="17:17" x14ac:dyDescent="0.25">
      <c r="Q2711" s="8"/>
    </row>
    <row r="2712" spans="17:17" x14ac:dyDescent="0.25">
      <c r="Q2712" s="8"/>
    </row>
    <row r="2713" spans="17:17" x14ac:dyDescent="0.25">
      <c r="Q2713" s="8"/>
    </row>
    <row r="2714" spans="17:17" x14ac:dyDescent="0.25">
      <c r="Q2714" s="8"/>
    </row>
    <row r="2715" spans="17:17" x14ac:dyDescent="0.25">
      <c r="Q2715" s="8"/>
    </row>
    <row r="2716" spans="17:17" x14ac:dyDescent="0.25">
      <c r="Q2716" s="8"/>
    </row>
    <row r="2717" spans="17:17" x14ac:dyDescent="0.25">
      <c r="Q2717" s="8"/>
    </row>
    <row r="2718" spans="17:17" x14ac:dyDescent="0.25">
      <c r="Q2718" s="8"/>
    </row>
    <row r="2719" spans="17:17" x14ac:dyDescent="0.25">
      <c r="Q2719" s="8"/>
    </row>
    <row r="2720" spans="17:17" x14ac:dyDescent="0.25">
      <c r="Q2720" s="8"/>
    </row>
    <row r="2721" spans="17:17" x14ac:dyDescent="0.25">
      <c r="Q2721" s="8"/>
    </row>
    <row r="2722" spans="17:17" x14ac:dyDescent="0.25">
      <c r="Q2722" s="8"/>
    </row>
    <row r="2723" spans="17:17" x14ac:dyDescent="0.25">
      <c r="Q2723" s="8"/>
    </row>
    <row r="2724" spans="17:17" x14ac:dyDescent="0.25">
      <c r="Q2724" s="8"/>
    </row>
    <row r="2725" spans="17:17" x14ac:dyDescent="0.25">
      <c r="Q2725" s="8"/>
    </row>
    <row r="2726" spans="17:17" x14ac:dyDescent="0.25">
      <c r="Q2726" s="8"/>
    </row>
    <row r="2727" spans="17:17" x14ac:dyDescent="0.25">
      <c r="Q2727" s="8"/>
    </row>
    <row r="2728" spans="17:17" x14ac:dyDescent="0.25">
      <c r="Q2728" s="8"/>
    </row>
    <row r="2729" spans="17:17" x14ac:dyDescent="0.25">
      <c r="Q2729" s="8"/>
    </row>
    <row r="2730" spans="17:17" x14ac:dyDescent="0.25">
      <c r="Q2730" s="8"/>
    </row>
    <row r="2731" spans="17:17" x14ac:dyDescent="0.25">
      <c r="Q2731" s="8"/>
    </row>
    <row r="2732" spans="17:17" x14ac:dyDescent="0.25">
      <c r="Q2732" s="8"/>
    </row>
    <row r="2733" spans="17:17" x14ac:dyDescent="0.25">
      <c r="Q2733" s="8"/>
    </row>
    <row r="2734" spans="17:17" x14ac:dyDescent="0.25">
      <c r="Q2734" s="8"/>
    </row>
    <row r="2735" spans="17:17" x14ac:dyDescent="0.25">
      <c r="Q2735" s="8"/>
    </row>
    <row r="2736" spans="17:17" x14ac:dyDescent="0.25">
      <c r="Q2736" s="8"/>
    </row>
    <row r="2737" spans="17:17" x14ac:dyDescent="0.25">
      <c r="Q2737" s="8"/>
    </row>
    <row r="2738" spans="17:17" x14ac:dyDescent="0.25">
      <c r="Q2738" s="8"/>
    </row>
    <row r="2739" spans="17:17" x14ac:dyDescent="0.25">
      <c r="Q2739" s="8"/>
    </row>
    <row r="2740" spans="17:17" x14ac:dyDescent="0.25">
      <c r="Q2740" s="8"/>
    </row>
    <row r="2741" spans="17:17" x14ac:dyDescent="0.25">
      <c r="Q2741" s="8"/>
    </row>
    <row r="2742" spans="17:17" x14ac:dyDescent="0.25">
      <c r="Q2742" s="8"/>
    </row>
    <row r="2743" spans="17:17" x14ac:dyDescent="0.25">
      <c r="Q2743" s="8"/>
    </row>
    <row r="2744" spans="17:17" x14ac:dyDescent="0.25">
      <c r="Q2744" s="8"/>
    </row>
    <row r="2745" spans="17:17" x14ac:dyDescent="0.25">
      <c r="Q2745" s="8"/>
    </row>
    <row r="2746" spans="17:17" x14ac:dyDescent="0.25">
      <c r="Q2746" s="8"/>
    </row>
    <row r="2747" spans="17:17" x14ac:dyDescent="0.25">
      <c r="Q2747" s="8"/>
    </row>
    <row r="2748" spans="17:17" x14ac:dyDescent="0.25">
      <c r="Q2748" s="8"/>
    </row>
    <row r="2749" spans="17:17" x14ac:dyDescent="0.25">
      <c r="Q2749" s="8"/>
    </row>
    <row r="2750" spans="17:17" x14ac:dyDescent="0.25">
      <c r="Q2750" s="8"/>
    </row>
    <row r="2751" spans="17:17" x14ac:dyDescent="0.25">
      <c r="Q2751" s="8"/>
    </row>
    <row r="2752" spans="17:17" x14ac:dyDescent="0.25">
      <c r="Q2752" s="8"/>
    </row>
    <row r="2753" spans="17:17" x14ac:dyDescent="0.25">
      <c r="Q2753" s="8"/>
    </row>
    <row r="2754" spans="17:17" x14ac:dyDescent="0.25">
      <c r="Q2754" s="8"/>
    </row>
    <row r="2755" spans="17:17" x14ac:dyDescent="0.25">
      <c r="Q2755" s="8"/>
    </row>
    <row r="2756" spans="17:17" x14ac:dyDescent="0.25">
      <c r="Q2756" s="8"/>
    </row>
    <row r="2757" spans="17:17" x14ac:dyDescent="0.25">
      <c r="Q2757" s="8"/>
    </row>
    <row r="2758" spans="17:17" x14ac:dyDescent="0.25">
      <c r="Q2758" s="8"/>
    </row>
    <row r="2759" spans="17:17" x14ac:dyDescent="0.25">
      <c r="Q2759" s="8"/>
    </row>
    <row r="2760" spans="17:17" x14ac:dyDescent="0.25">
      <c r="Q2760" s="8"/>
    </row>
    <row r="2761" spans="17:17" x14ac:dyDescent="0.25">
      <c r="Q2761" s="8"/>
    </row>
    <row r="2762" spans="17:17" x14ac:dyDescent="0.25">
      <c r="Q2762" s="8"/>
    </row>
    <row r="2763" spans="17:17" x14ac:dyDescent="0.25">
      <c r="Q2763" s="8"/>
    </row>
    <row r="2764" spans="17:17" x14ac:dyDescent="0.25">
      <c r="Q2764" s="8"/>
    </row>
    <row r="2765" spans="17:17" x14ac:dyDescent="0.25">
      <c r="Q2765" s="8"/>
    </row>
    <row r="2766" spans="17:17" x14ac:dyDescent="0.25">
      <c r="Q2766" s="8"/>
    </row>
    <row r="2767" spans="17:17" x14ac:dyDescent="0.25">
      <c r="Q2767" s="8"/>
    </row>
    <row r="2768" spans="17:17" x14ac:dyDescent="0.25">
      <c r="Q2768" s="8"/>
    </row>
    <row r="2769" spans="17:17" x14ac:dyDescent="0.25">
      <c r="Q2769" s="8"/>
    </row>
    <row r="2770" spans="17:17" x14ac:dyDescent="0.25">
      <c r="Q2770" s="8"/>
    </row>
    <row r="2771" spans="17:17" x14ac:dyDescent="0.25">
      <c r="Q2771" s="8"/>
    </row>
    <row r="2772" spans="17:17" x14ac:dyDescent="0.25">
      <c r="Q2772" s="8"/>
    </row>
    <row r="2773" spans="17:17" x14ac:dyDescent="0.25">
      <c r="Q2773" s="8"/>
    </row>
    <row r="2774" spans="17:17" x14ac:dyDescent="0.25">
      <c r="Q2774" s="8"/>
    </row>
    <row r="2775" spans="17:17" x14ac:dyDescent="0.25">
      <c r="Q2775" s="8"/>
    </row>
    <row r="2776" spans="17:17" x14ac:dyDescent="0.25">
      <c r="Q2776" s="8"/>
    </row>
    <row r="2777" spans="17:17" x14ac:dyDescent="0.25">
      <c r="Q2777" s="8"/>
    </row>
    <row r="2778" spans="17:17" x14ac:dyDescent="0.25">
      <c r="Q2778" s="8"/>
    </row>
    <row r="2779" spans="17:17" x14ac:dyDescent="0.25">
      <c r="Q2779" s="8"/>
    </row>
    <row r="2780" spans="17:17" x14ac:dyDescent="0.25">
      <c r="Q2780" s="8"/>
    </row>
    <row r="2781" spans="17:17" x14ac:dyDescent="0.25">
      <c r="Q2781" s="8"/>
    </row>
    <row r="2782" spans="17:17" x14ac:dyDescent="0.25">
      <c r="Q2782" s="8"/>
    </row>
    <row r="2783" spans="17:17" x14ac:dyDescent="0.25">
      <c r="Q2783" s="8"/>
    </row>
    <row r="2784" spans="17:17" x14ac:dyDescent="0.25">
      <c r="Q2784" s="8"/>
    </row>
    <row r="2785" spans="17:17" x14ac:dyDescent="0.25">
      <c r="Q2785" s="8"/>
    </row>
    <row r="2786" spans="17:17" x14ac:dyDescent="0.25">
      <c r="Q2786" s="8"/>
    </row>
    <row r="2787" spans="17:17" x14ac:dyDescent="0.25">
      <c r="Q2787" s="8"/>
    </row>
    <row r="2788" spans="17:17" x14ac:dyDescent="0.25">
      <c r="Q2788" s="8"/>
    </row>
    <row r="2789" spans="17:17" x14ac:dyDescent="0.25">
      <c r="Q2789" s="8"/>
    </row>
    <row r="2790" spans="17:17" x14ac:dyDescent="0.25">
      <c r="Q2790" s="8"/>
    </row>
    <row r="2791" spans="17:17" x14ac:dyDescent="0.25">
      <c r="Q2791" s="8"/>
    </row>
    <row r="2792" spans="17:17" x14ac:dyDescent="0.25">
      <c r="Q2792" s="8"/>
    </row>
    <row r="2793" spans="17:17" x14ac:dyDescent="0.25">
      <c r="Q2793" s="8"/>
    </row>
    <row r="2794" spans="17:17" x14ac:dyDescent="0.25">
      <c r="Q2794" s="8"/>
    </row>
    <row r="2795" spans="17:17" x14ac:dyDescent="0.25">
      <c r="Q2795" s="8"/>
    </row>
    <row r="2796" spans="17:17" x14ac:dyDescent="0.25">
      <c r="Q2796" s="8"/>
    </row>
    <row r="2797" spans="17:17" x14ac:dyDescent="0.25">
      <c r="Q2797" s="8"/>
    </row>
    <row r="2798" spans="17:17" x14ac:dyDescent="0.25">
      <c r="Q2798" s="8"/>
    </row>
    <row r="2799" spans="17:17" x14ac:dyDescent="0.25">
      <c r="Q2799" s="8"/>
    </row>
    <row r="2800" spans="17:17" x14ac:dyDescent="0.25">
      <c r="Q2800" s="8"/>
    </row>
    <row r="2801" spans="17:17" x14ac:dyDescent="0.25">
      <c r="Q2801" s="8"/>
    </row>
    <row r="2802" spans="17:17" x14ac:dyDescent="0.25">
      <c r="Q2802" s="8"/>
    </row>
    <row r="2803" spans="17:17" x14ac:dyDescent="0.25">
      <c r="Q2803" s="8"/>
    </row>
    <row r="2804" spans="17:17" x14ac:dyDescent="0.25">
      <c r="Q2804" s="8"/>
    </row>
    <row r="2805" spans="17:17" x14ac:dyDescent="0.25">
      <c r="Q2805" s="8"/>
    </row>
    <row r="2806" spans="17:17" x14ac:dyDescent="0.25">
      <c r="Q2806" s="8"/>
    </row>
    <row r="2807" spans="17:17" x14ac:dyDescent="0.25">
      <c r="Q2807" s="8"/>
    </row>
    <row r="2808" spans="17:17" x14ac:dyDescent="0.25">
      <c r="Q2808" s="8"/>
    </row>
    <row r="2809" spans="17:17" x14ac:dyDescent="0.25">
      <c r="Q2809" s="8"/>
    </row>
    <row r="2810" spans="17:17" x14ac:dyDescent="0.25">
      <c r="Q2810" s="8"/>
    </row>
    <row r="2811" spans="17:17" x14ac:dyDescent="0.25">
      <c r="Q2811" s="8"/>
    </row>
    <row r="2812" spans="17:17" x14ac:dyDescent="0.25">
      <c r="Q2812" s="8"/>
    </row>
    <row r="2813" spans="17:17" x14ac:dyDescent="0.25">
      <c r="Q2813" s="8"/>
    </row>
    <row r="2814" spans="17:17" x14ac:dyDescent="0.25">
      <c r="Q2814" s="8"/>
    </row>
    <row r="2815" spans="17:17" x14ac:dyDescent="0.25">
      <c r="Q2815" s="8"/>
    </row>
    <row r="2816" spans="17:17" x14ac:dyDescent="0.25">
      <c r="Q2816" s="8"/>
    </row>
    <row r="2817" spans="17:17" x14ac:dyDescent="0.25">
      <c r="Q2817" s="8"/>
    </row>
    <row r="2818" spans="17:17" x14ac:dyDescent="0.25">
      <c r="Q2818" s="8"/>
    </row>
    <row r="2819" spans="17:17" x14ac:dyDescent="0.25">
      <c r="Q2819" s="8"/>
    </row>
    <row r="2820" spans="17:17" x14ac:dyDescent="0.25">
      <c r="Q2820" s="8"/>
    </row>
    <row r="2821" spans="17:17" x14ac:dyDescent="0.25">
      <c r="Q2821" s="8"/>
    </row>
    <row r="2822" spans="17:17" x14ac:dyDescent="0.25">
      <c r="Q2822" s="8"/>
    </row>
    <row r="2823" spans="17:17" x14ac:dyDescent="0.25">
      <c r="Q2823" s="8"/>
    </row>
    <row r="2824" spans="17:17" x14ac:dyDescent="0.25">
      <c r="Q2824" s="8"/>
    </row>
    <row r="2825" spans="17:17" x14ac:dyDescent="0.25">
      <c r="Q2825" s="8"/>
    </row>
    <row r="2826" spans="17:17" x14ac:dyDescent="0.25">
      <c r="Q2826" s="8"/>
    </row>
    <row r="2827" spans="17:17" x14ac:dyDescent="0.25">
      <c r="Q2827" s="8"/>
    </row>
    <row r="2828" spans="17:17" x14ac:dyDescent="0.25">
      <c r="Q2828" s="8"/>
    </row>
    <row r="2829" spans="17:17" x14ac:dyDescent="0.25">
      <c r="Q2829" s="8"/>
    </row>
    <row r="2830" spans="17:17" x14ac:dyDescent="0.25">
      <c r="Q2830" s="8"/>
    </row>
    <row r="2831" spans="17:17" x14ac:dyDescent="0.25">
      <c r="Q2831" s="8"/>
    </row>
    <row r="2832" spans="17:17" x14ac:dyDescent="0.25">
      <c r="Q2832" s="8"/>
    </row>
    <row r="2833" spans="17:17" x14ac:dyDescent="0.25">
      <c r="Q2833" s="8"/>
    </row>
    <row r="2834" spans="17:17" x14ac:dyDescent="0.25">
      <c r="Q2834" s="8"/>
    </row>
    <row r="2835" spans="17:17" x14ac:dyDescent="0.25">
      <c r="Q2835" s="8"/>
    </row>
    <row r="2836" spans="17:17" x14ac:dyDescent="0.25">
      <c r="Q2836" s="8"/>
    </row>
    <row r="2837" spans="17:17" x14ac:dyDescent="0.25">
      <c r="Q2837" s="8"/>
    </row>
    <row r="2838" spans="17:17" x14ac:dyDescent="0.25">
      <c r="Q2838" s="8"/>
    </row>
    <row r="2839" spans="17:17" x14ac:dyDescent="0.25">
      <c r="Q2839" s="8"/>
    </row>
    <row r="2840" spans="17:17" x14ac:dyDescent="0.25">
      <c r="Q2840" s="8"/>
    </row>
    <row r="2841" spans="17:17" x14ac:dyDescent="0.25">
      <c r="Q2841" s="8"/>
    </row>
    <row r="2842" spans="17:17" x14ac:dyDescent="0.25">
      <c r="Q2842" s="8"/>
    </row>
    <row r="2843" spans="17:17" x14ac:dyDescent="0.25">
      <c r="Q2843" s="8"/>
    </row>
    <row r="2844" spans="17:17" x14ac:dyDescent="0.25">
      <c r="Q2844" s="8"/>
    </row>
    <row r="2845" spans="17:17" x14ac:dyDescent="0.25">
      <c r="Q2845" s="8"/>
    </row>
    <row r="2846" spans="17:17" x14ac:dyDescent="0.25">
      <c r="Q2846" s="8"/>
    </row>
    <row r="2847" spans="17:17" x14ac:dyDescent="0.25">
      <c r="Q2847" s="8"/>
    </row>
    <row r="2848" spans="17:17" x14ac:dyDescent="0.25">
      <c r="Q2848" s="8"/>
    </row>
    <row r="2849" spans="17:17" x14ac:dyDescent="0.25">
      <c r="Q2849" s="8"/>
    </row>
    <row r="2850" spans="17:17" x14ac:dyDescent="0.25">
      <c r="Q2850" s="8"/>
    </row>
    <row r="2851" spans="17:17" x14ac:dyDescent="0.25">
      <c r="Q2851" s="8"/>
    </row>
    <row r="2852" spans="17:17" x14ac:dyDescent="0.25">
      <c r="Q2852" s="8"/>
    </row>
    <row r="2853" spans="17:17" x14ac:dyDescent="0.25">
      <c r="Q2853" s="8"/>
    </row>
    <row r="2854" spans="17:17" x14ac:dyDescent="0.25">
      <c r="Q2854" s="8"/>
    </row>
    <row r="2855" spans="17:17" x14ac:dyDescent="0.25">
      <c r="Q2855" s="8"/>
    </row>
    <row r="2856" spans="17:17" x14ac:dyDescent="0.25">
      <c r="Q2856" s="8"/>
    </row>
    <row r="2857" spans="17:17" x14ac:dyDescent="0.25">
      <c r="Q2857" s="8"/>
    </row>
    <row r="2858" spans="17:17" x14ac:dyDescent="0.25">
      <c r="Q2858" s="8"/>
    </row>
    <row r="2859" spans="17:17" x14ac:dyDescent="0.25">
      <c r="Q2859" s="8"/>
    </row>
    <row r="2860" spans="17:17" x14ac:dyDescent="0.25">
      <c r="Q2860" s="8"/>
    </row>
    <row r="2861" spans="17:17" x14ac:dyDescent="0.25">
      <c r="Q2861" s="8"/>
    </row>
    <row r="2862" spans="17:17" x14ac:dyDescent="0.25">
      <c r="Q2862" s="8"/>
    </row>
    <row r="2863" spans="17:17" x14ac:dyDescent="0.25">
      <c r="Q2863" s="8"/>
    </row>
    <row r="2864" spans="17:17" x14ac:dyDescent="0.25">
      <c r="Q2864" s="8"/>
    </row>
    <row r="2865" spans="17:17" x14ac:dyDescent="0.25">
      <c r="Q2865" s="8"/>
    </row>
    <row r="2866" spans="17:17" x14ac:dyDescent="0.25">
      <c r="Q2866" s="8"/>
    </row>
    <row r="2867" spans="17:17" x14ac:dyDescent="0.25">
      <c r="Q2867" s="8"/>
    </row>
    <row r="2868" spans="17:17" x14ac:dyDescent="0.25">
      <c r="Q2868" s="8"/>
    </row>
    <row r="2869" spans="17:17" x14ac:dyDescent="0.25">
      <c r="Q2869" s="8"/>
    </row>
    <row r="2870" spans="17:17" x14ac:dyDescent="0.25">
      <c r="Q2870" s="8"/>
    </row>
    <row r="2871" spans="17:17" x14ac:dyDescent="0.25">
      <c r="Q2871" s="8"/>
    </row>
    <row r="2872" spans="17:17" x14ac:dyDescent="0.25">
      <c r="Q2872" s="8"/>
    </row>
    <row r="2873" spans="17:17" x14ac:dyDescent="0.25">
      <c r="Q2873" s="8"/>
    </row>
    <row r="2874" spans="17:17" x14ac:dyDescent="0.25">
      <c r="Q2874" s="8"/>
    </row>
    <row r="2875" spans="17:17" x14ac:dyDescent="0.25">
      <c r="Q2875" s="8"/>
    </row>
    <row r="2876" spans="17:17" x14ac:dyDescent="0.25">
      <c r="Q2876" s="8"/>
    </row>
    <row r="2877" spans="17:17" x14ac:dyDescent="0.25">
      <c r="Q2877" s="8"/>
    </row>
    <row r="2878" spans="17:17" x14ac:dyDescent="0.25">
      <c r="Q2878" s="8"/>
    </row>
    <row r="2879" spans="17:17" x14ac:dyDescent="0.25">
      <c r="Q2879" s="8"/>
    </row>
    <row r="2880" spans="17:17" x14ac:dyDescent="0.25">
      <c r="Q2880" s="8"/>
    </row>
    <row r="2881" spans="17:17" x14ac:dyDescent="0.25">
      <c r="Q2881" s="8"/>
    </row>
    <row r="2882" spans="17:17" x14ac:dyDescent="0.25">
      <c r="Q2882" s="8"/>
    </row>
    <row r="2883" spans="17:17" x14ac:dyDescent="0.25">
      <c r="Q2883" s="8"/>
    </row>
    <row r="2884" spans="17:17" x14ac:dyDescent="0.25">
      <c r="Q2884" s="8"/>
    </row>
    <row r="2885" spans="17:17" x14ac:dyDescent="0.25">
      <c r="Q2885" s="8"/>
    </row>
    <row r="2886" spans="17:17" x14ac:dyDescent="0.25">
      <c r="Q2886" s="8"/>
    </row>
    <row r="2887" spans="17:17" x14ac:dyDescent="0.25">
      <c r="Q2887" s="8"/>
    </row>
    <row r="2888" spans="17:17" x14ac:dyDescent="0.25">
      <c r="Q2888" s="8"/>
    </row>
    <row r="2889" spans="17:17" x14ac:dyDescent="0.25">
      <c r="Q2889" s="8"/>
    </row>
    <row r="2890" spans="17:17" x14ac:dyDescent="0.25">
      <c r="Q2890" s="8"/>
    </row>
    <row r="2891" spans="17:17" x14ac:dyDescent="0.25">
      <c r="Q2891" s="8"/>
    </row>
    <row r="2892" spans="17:17" x14ac:dyDescent="0.25">
      <c r="Q2892" s="8"/>
    </row>
    <row r="2893" spans="17:17" x14ac:dyDescent="0.25">
      <c r="Q2893" s="8"/>
    </row>
    <row r="2894" spans="17:17" x14ac:dyDescent="0.25">
      <c r="Q2894" s="8"/>
    </row>
    <row r="2895" spans="17:17" x14ac:dyDescent="0.25">
      <c r="Q2895" s="8"/>
    </row>
    <row r="2896" spans="17:17" x14ac:dyDescent="0.25">
      <c r="Q2896" s="8"/>
    </row>
    <row r="2897" spans="17:17" x14ac:dyDescent="0.25">
      <c r="Q2897" s="8"/>
    </row>
    <row r="2898" spans="17:17" x14ac:dyDescent="0.25">
      <c r="Q2898" s="8"/>
    </row>
    <row r="2899" spans="17:17" x14ac:dyDescent="0.25">
      <c r="Q2899" s="8"/>
    </row>
    <row r="2900" spans="17:17" x14ac:dyDescent="0.25">
      <c r="Q2900" s="8"/>
    </row>
    <row r="2901" spans="17:17" x14ac:dyDescent="0.25">
      <c r="Q2901" s="8"/>
    </row>
    <row r="2902" spans="17:17" x14ac:dyDescent="0.25">
      <c r="Q2902" s="8"/>
    </row>
    <row r="2903" spans="17:17" x14ac:dyDescent="0.25">
      <c r="Q2903" s="8"/>
    </row>
    <row r="2904" spans="17:17" x14ac:dyDescent="0.25">
      <c r="Q2904" s="8"/>
    </row>
    <row r="2905" spans="17:17" x14ac:dyDescent="0.25">
      <c r="Q2905" s="8"/>
    </row>
    <row r="2906" spans="17:17" x14ac:dyDescent="0.25">
      <c r="Q2906" s="8"/>
    </row>
    <row r="2907" spans="17:17" x14ac:dyDescent="0.25">
      <c r="Q2907" s="8"/>
    </row>
    <row r="2908" spans="17:17" x14ac:dyDescent="0.25">
      <c r="Q2908" s="8"/>
    </row>
    <row r="2909" spans="17:17" x14ac:dyDescent="0.25">
      <c r="Q2909" s="8"/>
    </row>
    <row r="2910" spans="17:17" x14ac:dyDescent="0.25">
      <c r="Q2910" s="8"/>
    </row>
    <row r="2911" spans="17:17" x14ac:dyDescent="0.25">
      <c r="Q2911" s="8"/>
    </row>
    <row r="2912" spans="17:17" x14ac:dyDescent="0.25">
      <c r="Q2912" s="8"/>
    </row>
    <row r="2913" spans="17:17" x14ac:dyDescent="0.25">
      <c r="Q2913" s="8"/>
    </row>
    <row r="2914" spans="17:17" x14ac:dyDescent="0.25">
      <c r="Q2914" s="8"/>
    </row>
    <row r="2915" spans="17:17" x14ac:dyDescent="0.25">
      <c r="Q2915" s="8"/>
    </row>
    <row r="2916" spans="17:17" x14ac:dyDescent="0.25">
      <c r="Q2916" s="8"/>
    </row>
    <row r="2917" spans="17:17" x14ac:dyDescent="0.25">
      <c r="Q2917" s="8"/>
    </row>
    <row r="2918" spans="17:17" x14ac:dyDescent="0.25">
      <c r="Q2918" s="8"/>
    </row>
    <row r="2919" spans="17:17" x14ac:dyDescent="0.25">
      <c r="Q2919" s="8"/>
    </row>
    <row r="2920" spans="17:17" x14ac:dyDescent="0.25">
      <c r="Q2920" s="8"/>
    </row>
    <row r="2921" spans="17:17" x14ac:dyDescent="0.25">
      <c r="Q2921" s="8"/>
    </row>
    <row r="2922" spans="17:17" x14ac:dyDescent="0.25">
      <c r="Q2922" s="8"/>
    </row>
    <row r="2923" spans="17:17" x14ac:dyDescent="0.25">
      <c r="Q2923" s="8"/>
    </row>
    <row r="2924" spans="17:17" x14ac:dyDescent="0.25">
      <c r="Q2924" s="8"/>
    </row>
    <row r="2925" spans="17:17" x14ac:dyDescent="0.25">
      <c r="Q2925" s="8"/>
    </row>
    <row r="2926" spans="17:17" x14ac:dyDescent="0.25">
      <c r="Q2926" s="8"/>
    </row>
    <row r="2927" spans="17:17" x14ac:dyDescent="0.25">
      <c r="Q2927" s="8"/>
    </row>
    <row r="2928" spans="17:17" x14ac:dyDescent="0.25">
      <c r="Q2928" s="8"/>
    </row>
    <row r="2929" spans="17:17" x14ac:dyDescent="0.25">
      <c r="Q2929" s="8"/>
    </row>
    <row r="2930" spans="17:17" x14ac:dyDescent="0.25">
      <c r="Q2930" s="8"/>
    </row>
    <row r="2931" spans="17:17" x14ac:dyDescent="0.25">
      <c r="Q2931" s="8"/>
    </row>
    <row r="2932" spans="17:17" x14ac:dyDescent="0.25">
      <c r="Q2932" s="8"/>
    </row>
    <row r="2933" spans="17:17" x14ac:dyDescent="0.25">
      <c r="Q2933" s="8"/>
    </row>
    <row r="2934" spans="17:17" x14ac:dyDescent="0.25">
      <c r="Q2934" s="8"/>
    </row>
    <row r="2935" spans="17:17" x14ac:dyDescent="0.25">
      <c r="Q2935" s="8"/>
    </row>
    <row r="2936" spans="17:17" x14ac:dyDescent="0.25">
      <c r="Q2936" s="8"/>
    </row>
    <row r="2937" spans="17:17" x14ac:dyDescent="0.25">
      <c r="Q2937" s="8"/>
    </row>
    <row r="2938" spans="17:17" x14ac:dyDescent="0.25">
      <c r="Q2938" s="8"/>
    </row>
    <row r="2939" spans="17:17" x14ac:dyDescent="0.25">
      <c r="Q2939" s="8"/>
    </row>
    <row r="2940" spans="17:17" x14ac:dyDescent="0.25">
      <c r="Q2940" s="8"/>
    </row>
    <row r="2941" spans="17:17" x14ac:dyDescent="0.25">
      <c r="Q2941" s="8"/>
    </row>
    <row r="2942" spans="17:17" x14ac:dyDescent="0.25">
      <c r="Q2942" s="8"/>
    </row>
    <row r="2943" spans="17:17" x14ac:dyDescent="0.25">
      <c r="Q2943" s="8"/>
    </row>
    <row r="2944" spans="17:17" x14ac:dyDescent="0.25">
      <c r="Q2944" s="8"/>
    </row>
    <row r="2945" spans="17:17" x14ac:dyDescent="0.25">
      <c r="Q2945" s="8"/>
    </row>
    <row r="2946" spans="17:17" x14ac:dyDescent="0.25">
      <c r="Q2946" s="8"/>
    </row>
    <row r="2947" spans="17:17" x14ac:dyDescent="0.25">
      <c r="Q2947" s="8"/>
    </row>
    <row r="2948" spans="17:17" x14ac:dyDescent="0.25">
      <c r="Q2948" s="8"/>
    </row>
    <row r="2949" spans="17:17" x14ac:dyDescent="0.25">
      <c r="Q2949" s="8"/>
    </row>
    <row r="2950" spans="17:17" x14ac:dyDescent="0.25">
      <c r="Q2950" s="8"/>
    </row>
    <row r="2951" spans="17:17" x14ac:dyDescent="0.25">
      <c r="Q2951" s="8"/>
    </row>
    <row r="2952" spans="17:17" x14ac:dyDescent="0.25">
      <c r="Q2952" s="8"/>
    </row>
    <row r="2953" spans="17:17" x14ac:dyDescent="0.25">
      <c r="Q2953" s="8"/>
    </row>
    <row r="2954" spans="17:17" x14ac:dyDescent="0.25">
      <c r="Q2954" s="8"/>
    </row>
    <row r="2955" spans="17:17" x14ac:dyDescent="0.25">
      <c r="Q2955" s="8"/>
    </row>
    <row r="2956" spans="17:17" x14ac:dyDescent="0.25">
      <c r="Q2956" s="8"/>
    </row>
    <row r="2957" spans="17:17" x14ac:dyDescent="0.25">
      <c r="Q2957" s="8"/>
    </row>
    <row r="2958" spans="17:17" x14ac:dyDescent="0.25">
      <c r="Q2958" s="8"/>
    </row>
    <row r="2959" spans="17:17" x14ac:dyDescent="0.25">
      <c r="Q2959" s="8"/>
    </row>
    <row r="2960" spans="17:17" x14ac:dyDescent="0.25">
      <c r="Q2960" s="8"/>
    </row>
    <row r="2961" spans="17:17" x14ac:dyDescent="0.25">
      <c r="Q2961" s="8"/>
    </row>
    <row r="2962" spans="17:17" x14ac:dyDescent="0.25">
      <c r="Q2962" s="8"/>
    </row>
    <row r="2963" spans="17:17" x14ac:dyDescent="0.25">
      <c r="Q2963" s="8"/>
    </row>
    <row r="2964" spans="17:17" x14ac:dyDescent="0.25">
      <c r="Q2964" s="8"/>
    </row>
    <row r="2965" spans="17:17" x14ac:dyDescent="0.25">
      <c r="Q2965" s="8"/>
    </row>
    <row r="2966" spans="17:17" x14ac:dyDescent="0.25">
      <c r="Q2966" s="8"/>
    </row>
    <row r="2967" spans="17:17" x14ac:dyDescent="0.25">
      <c r="Q2967" s="8"/>
    </row>
    <row r="2968" spans="17:17" x14ac:dyDescent="0.25">
      <c r="Q2968" s="8"/>
    </row>
    <row r="2969" spans="17:17" x14ac:dyDescent="0.25">
      <c r="Q2969" s="8"/>
    </row>
    <row r="2970" spans="17:17" x14ac:dyDescent="0.25">
      <c r="Q2970" s="8"/>
    </row>
    <row r="2971" spans="17:17" x14ac:dyDescent="0.25">
      <c r="Q2971" s="8"/>
    </row>
    <row r="2972" spans="17:17" x14ac:dyDescent="0.25">
      <c r="Q2972" s="8"/>
    </row>
    <row r="2973" spans="17:17" x14ac:dyDescent="0.25">
      <c r="Q2973" s="8"/>
    </row>
    <row r="2974" spans="17:17" x14ac:dyDescent="0.25">
      <c r="Q2974" s="8"/>
    </row>
    <row r="2975" spans="17:17" x14ac:dyDescent="0.25">
      <c r="Q2975" s="8"/>
    </row>
    <row r="2976" spans="17:17" x14ac:dyDescent="0.25">
      <c r="Q2976" s="8"/>
    </row>
    <row r="2977" spans="17:17" x14ac:dyDescent="0.25">
      <c r="Q2977" s="8"/>
    </row>
    <row r="2978" spans="17:17" x14ac:dyDescent="0.25">
      <c r="Q2978" s="8"/>
    </row>
    <row r="2979" spans="17:17" x14ac:dyDescent="0.25">
      <c r="Q2979" s="8"/>
    </row>
    <row r="2980" spans="17:17" x14ac:dyDescent="0.25">
      <c r="Q2980" s="8"/>
    </row>
    <row r="2981" spans="17:17" x14ac:dyDescent="0.25">
      <c r="Q2981" s="8"/>
    </row>
    <row r="2982" spans="17:17" x14ac:dyDescent="0.25">
      <c r="Q2982" s="8"/>
    </row>
    <row r="2983" spans="17:17" x14ac:dyDescent="0.25">
      <c r="Q2983" s="8"/>
    </row>
    <row r="2984" spans="17:17" x14ac:dyDescent="0.25">
      <c r="Q2984" s="8"/>
    </row>
    <row r="2985" spans="17:17" x14ac:dyDescent="0.25">
      <c r="Q2985" s="8"/>
    </row>
    <row r="2986" spans="17:17" x14ac:dyDescent="0.25">
      <c r="Q2986" s="8"/>
    </row>
    <row r="2987" spans="17:17" x14ac:dyDescent="0.25">
      <c r="Q2987" s="8"/>
    </row>
    <row r="2988" spans="17:17" x14ac:dyDescent="0.25">
      <c r="Q2988" s="8"/>
    </row>
    <row r="2989" spans="17:17" x14ac:dyDescent="0.25">
      <c r="Q2989" s="8"/>
    </row>
    <row r="2990" spans="17:17" x14ac:dyDescent="0.25">
      <c r="Q2990" s="8"/>
    </row>
    <row r="2991" spans="17:17" x14ac:dyDescent="0.25">
      <c r="Q2991" s="8"/>
    </row>
    <row r="2992" spans="17:17" x14ac:dyDescent="0.25">
      <c r="Q2992" s="8"/>
    </row>
    <row r="2993" spans="17:17" x14ac:dyDescent="0.25">
      <c r="Q2993" s="8"/>
    </row>
    <row r="2994" spans="17:17" x14ac:dyDescent="0.25">
      <c r="Q2994" s="8"/>
    </row>
    <row r="2995" spans="17:17" x14ac:dyDescent="0.25">
      <c r="Q2995" s="8"/>
    </row>
    <row r="2996" spans="17:17" x14ac:dyDescent="0.25">
      <c r="Q2996" s="8"/>
    </row>
    <row r="2997" spans="17:17" x14ac:dyDescent="0.25">
      <c r="Q2997" s="8"/>
    </row>
    <row r="2998" spans="17:17" x14ac:dyDescent="0.25">
      <c r="Q2998" s="8"/>
    </row>
    <row r="2999" spans="17:17" x14ac:dyDescent="0.25">
      <c r="Q2999" s="8"/>
    </row>
    <row r="3000" spans="17:17" x14ac:dyDescent="0.25">
      <c r="Q3000" s="8"/>
    </row>
    <row r="3001" spans="17:17" x14ac:dyDescent="0.25">
      <c r="Q3001" s="8"/>
    </row>
    <row r="3002" spans="17:17" x14ac:dyDescent="0.25">
      <c r="Q3002" s="8"/>
    </row>
    <row r="3003" spans="17:17" x14ac:dyDescent="0.25">
      <c r="Q3003" s="8"/>
    </row>
    <row r="3004" spans="17:17" x14ac:dyDescent="0.25">
      <c r="Q3004" s="8"/>
    </row>
    <row r="3005" spans="17:17" x14ac:dyDescent="0.25">
      <c r="Q3005" s="8"/>
    </row>
    <row r="3006" spans="17:17" x14ac:dyDescent="0.25">
      <c r="Q3006" s="8"/>
    </row>
    <row r="3007" spans="17:17" x14ac:dyDescent="0.25">
      <c r="Q3007" s="8"/>
    </row>
    <row r="3008" spans="17:17" x14ac:dyDescent="0.25">
      <c r="Q3008" s="8"/>
    </row>
    <row r="3009" spans="17:17" x14ac:dyDescent="0.25">
      <c r="Q3009" s="8"/>
    </row>
    <row r="3010" spans="17:17" x14ac:dyDescent="0.25">
      <c r="Q3010" s="8"/>
    </row>
    <row r="3011" spans="17:17" x14ac:dyDescent="0.25">
      <c r="Q3011" s="8"/>
    </row>
    <row r="3012" spans="17:17" x14ac:dyDescent="0.25">
      <c r="Q3012" s="8"/>
    </row>
    <row r="3013" spans="17:17" x14ac:dyDescent="0.25">
      <c r="Q3013" s="8"/>
    </row>
    <row r="3014" spans="17:17" x14ac:dyDescent="0.25">
      <c r="Q3014" s="8"/>
    </row>
    <row r="3015" spans="17:17" x14ac:dyDescent="0.25">
      <c r="Q3015" s="8"/>
    </row>
    <row r="3016" spans="17:17" x14ac:dyDescent="0.25">
      <c r="Q3016" s="8"/>
    </row>
    <row r="3017" spans="17:17" x14ac:dyDescent="0.25">
      <c r="Q3017" s="8"/>
    </row>
    <row r="3018" spans="17:17" x14ac:dyDescent="0.25">
      <c r="Q3018" s="8"/>
    </row>
    <row r="3019" spans="17:17" x14ac:dyDescent="0.25">
      <c r="Q3019" s="8"/>
    </row>
    <row r="3020" spans="17:17" x14ac:dyDescent="0.25">
      <c r="Q3020" s="8"/>
    </row>
    <row r="3021" spans="17:17" x14ac:dyDescent="0.25">
      <c r="Q3021" s="8"/>
    </row>
    <row r="3022" spans="17:17" x14ac:dyDescent="0.25">
      <c r="Q3022" s="8"/>
    </row>
    <row r="3023" spans="17:17" x14ac:dyDescent="0.25">
      <c r="Q3023" s="8"/>
    </row>
    <row r="3024" spans="17:17" x14ac:dyDescent="0.25">
      <c r="Q3024" s="8"/>
    </row>
    <row r="3025" spans="17:17" x14ac:dyDescent="0.25">
      <c r="Q3025" s="8"/>
    </row>
    <row r="3026" spans="17:17" x14ac:dyDescent="0.25">
      <c r="Q3026" s="8"/>
    </row>
    <row r="3027" spans="17:17" x14ac:dyDescent="0.25">
      <c r="Q3027" s="8"/>
    </row>
    <row r="3028" spans="17:17" x14ac:dyDescent="0.25">
      <c r="Q3028" s="8"/>
    </row>
    <row r="3029" spans="17:17" x14ac:dyDescent="0.25">
      <c r="Q3029" s="8"/>
    </row>
    <row r="3030" spans="17:17" x14ac:dyDescent="0.25">
      <c r="Q3030" s="8"/>
    </row>
    <row r="3031" spans="17:17" x14ac:dyDescent="0.25">
      <c r="Q3031" s="8"/>
    </row>
    <row r="3032" spans="17:17" x14ac:dyDescent="0.25">
      <c r="Q3032" s="8"/>
    </row>
    <row r="3033" spans="17:17" x14ac:dyDescent="0.25">
      <c r="Q3033" s="8"/>
    </row>
    <row r="3034" spans="17:17" x14ac:dyDescent="0.25">
      <c r="Q3034" s="8"/>
    </row>
    <row r="3035" spans="17:17" x14ac:dyDescent="0.25">
      <c r="Q3035" s="8"/>
    </row>
    <row r="3036" spans="17:17" x14ac:dyDescent="0.25">
      <c r="Q3036" s="8"/>
    </row>
    <row r="3037" spans="17:17" x14ac:dyDescent="0.25">
      <c r="Q3037" s="8"/>
    </row>
    <row r="3038" spans="17:17" x14ac:dyDescent="0.25">
      <c r="Q3038" s="8"/>
    </row>
    <row r="3039" spans="17:17" x14ac:dyDescent="0.25">
      <c r="Q3039" s="8"/>
    </row>
    <row r="3040" spans="17:17" x14ac:dyDescent="0.25">
      <c r="Q3040" s="8"/>
    </row>
    <row r="3041" spans="17:17" x14ac:dyDescent="0.25">
      <c r="Q3041" s="8"/>
    </row>
    <row r="3042" spans="17:17" x14ac:dyDescent="0.25">
      <c r="Q3042" s="8"/>
    </row>
    <row r="3043" spans="17:17" x14ac:dyDescent="0.25">
      <c r="Q3043" s="8"/>
    </row>
    <row r="3044" spans="17:17" x14ac:dyDescent="0.25">
      <c r="Q3044" s="8"/>
    </row>
    <row r="3045" spans="17:17" x14ac:dyDescent="0.25">
      <c r="Q3045" s="8"/>
    </row>
    <row r="3046" spans="17:17" x14ac:dyDescent="0.25">
      <c r="Q3046" s="8"/>
    </row>
    <row r="3047" spans="17:17" x14ac:dyDescent="0.25">
      <c r="Q3047" s="8"/>
    </row>
    <row r="3048" spans="17:17" x14ac:dyDescent="0.25">
      <c r="Q3048" s="8"/>
    </row>
    <row r="3049" spans="17:17" x14ac:dyDescent="0.25">
      <c r="Q3049" s="8"/>
    </row>
    <row r="3050" spans="17:17" x14ac:dyDescent="0.25">
      <c r="Q3050" s="8"/>
    </row>
    <row r="3051" spans="17:17" x14ac:dyDescent="0.25">
      <c r="Q3051" s="8"/>
    </row>
    <row r="3052" spans="17:17" x14ac:dyDescent="0.25">
      <c r="Q3052" s="8"/>
    </row>
    <row r="3053" spans="17:17" x14ac:dyDescent="0.25">
      <c r="Q3053" s="8"/>
    </row>
    <row r="3054" spans="17:17" x14ac:dyDescent="0.25">
      <c r="Q3054" s="8"/>
    </row>
    <row r="3055" spans="17:17" x14ac:dyDescent="0.25">
      <c r="Q3055" s="8"/>
    </row>
    <row r="3056" spans="17:17" x14ac:dyDescent="0.25">
      <c r="Q3056" s="8"/>
    </row>
    <row r="3057" spans="17:17" x14ac:dyDescent="0.25">
      <c r="Q3057" s="8"/>
    </row>
    <row r="3058" spans="17:17" x14ac:dyDescent="0.25">
      <c r="Q3058" s="8"/>
    </row>
    <row r="3059" spans="17:17" x14ac:dyDescent="0.25">
      <c r="Q3059" s="8"/>
    </row>
    <row r="3060" spans="17:17" x14ac:dyDescent="0.25">
      <c r="Q3060" s="8"/>
    </row>
    <row r="3061" spans="17:17" x14ac:dyDescent="0.25">
      <c r="Q3061" s="8"/>
    </row>
    <row r="3062" spans="17:17" x14ac:dyDescent="0.25">
      <c r="Q3062" s="8"/>
    </row>
    <row r="3063" spans="17:17" x14ac:dyDescent="0.25">
      <c r="Q3063" s="8"/>
    </row>
    <row r="3064" spans="17:17" x14ac:dyDescent="0.25">
      <c r="Q3064" s="8"/>
    </row>
    <row r="3065" spans="17:17" x14ac:dyDescent="0.25">
      <c r="Q3065" s="8"/>
    </row>
    <row r="3066" spans="17:17" x14ac:dyDescent="0.25">
      <c r="Q3066" s="8"/>
    </row>
    <row r="3067" spans="17:17" x14ac:dyDescent="0.25">
      <c r="Q3067" s="8"/>
    </row>
    <row r="3068" spans="17:17" x14ac:dyDescent="0.25">
      <c r="Q3068" s="8"/>
    </row>
    <row r="3069" spans="17:17" x14ac:dyDescent="0.25">
      <c r="Q3069" s="8"/>
    </row>
    <row r="3070" spans="17:17" x14ac:dyDescent="0.25">
      <c r="Q3070" s="8"/>
    </row>
    <row r="3071" spans="17:17" x14ac:dyDescent="0.25">
      <c r="Q3071" s="8"/>
    </row>
    <row r="3072" spans="17:17" x14ac:dyDescent="0.25">
      <c r="Q3072" s="8"/>
    </row>
    <row r="3073" spans="17:17" x14ac:dyDescent="0.25">
      <c r="Q3073" s="8"/>
    </row>
    <row r="3074" spans="17:17" x14ac:dyDescent="0.25">
      <c r="Q3074" s="8"/>
    </row>
    <row r="3075" spans="17:17" x14ac:dyDescent="0.25">
      <c r="Q3075" s="8"/>
    </row>
    <row r="3076" spans="17:17" x14ac:dyDescent="0.25">
      <c r="Q3076" s="8"/>
    </row>
    <row r="3077" spans="17:17" x14ac:dyDescent="0.25">
      <c r="Q3077" s="8"/>
    </row>
    <row r="3078" spans="17:17" x14ac:dyDescent="0.25">
      <c r="Q3078" s="8"/>
    </row>
    <row r="3079" spans="17:17" x14ac:dyDescent="0.25">
      <c r="Q3079" s="8"/>
    </row>
    <row r="3080" spans="17:17" x14ac:dyDescent="0.25">
      <c r="Q3080" s="8"/>
    </row>
    <row r="3081" spans="17:17" x14ac:dyDescent="0.25">
      <c r="Q3081" s="8"/>
    </row>
    <row r="3082" spans="17:17" x14ac:dyDescent="0.25">
      <c r="Q3082" s="8"/>
    </row>
    <row r="3083" spans="17:17" x14ac:dyDescent="0.25">
      <c r="Q3083" s="8"/>
    </row>
    <row r="3084" spans="17:17" x14ac:dyDescent="0.25">
      <c r="Q3084" s="8"/>
    </row>
    <row r="3085" spans="17:17" x14ac:dyDescent="0.25">
      <c r="Q3085" s="8"/>
    </row>
    <row r="3086" spans="17:17" x14ac:dyDescent="0.25">
      <c r="Q3086" s="8"/>
    </row>
    <row r="3087" spans="17:17" x14ac:dyDescent="0.25">
      <c r="Q3087" s="8"/>
    </row>
    <row r="3088" spans="17:17" x14ac:dyDescent="0.25">
      <c r="Q3088" s="8"/>
    </row>
    <row r="3089" spans="17:17" x14ac:dyDescent="0.25">
      <c r="Q3089" s="8"/>
    </row>
    <row r="3090" spans="17:17" x14ac:dyDescent="0.25">
      <c r="Q3090" s="8"/>
    </row>
    <row r="3091" spans="17:17" x14ac:dyDescent="0.25">
      <c r="Q3091" s="8"/>
    </row>
    <row r="3092" spans="17:17" x14ac:dyDescent="0.25">
      <c r="Q3092" s="8"/>
    </row>
    <row r="3093" spans="17:17" x14ac:dyDescent="0.25">
      <c r="Q3093" s="8"/>
    </row>
    <row r="3094" spans="17:17" x14ac:dyDescent="0.25">
      <c r="Q3094" s="8"/>
    </row>
    <row r="3095" spans="17:17" x14ac:dyDescent="0.25">
      <c r="Q3095" s="8"/>
    </row>
    <row r="3096" spans="17:17" x14ac:dyDescent="0.25">
      <c r="Q3096" s="8"/>
    </row>
    <row r="3097" spans="17:17" x14ac:dyDescent="0.25">
      <c r="Q3097" s="8"/>
    </row>
    <row r="3098" spans="17:17" x14ac:dyDescent="0.25">
      <c r="Q3098" s="8"/>
    </row>
    <row r="3099" spans="17:17" x14ac:dyDescent="0.25">
      <c r="Q3099" s="8"/>
    </row>
    <row r="3100" spans="17:17" x14ac:dyDescent="0.25">
      <c r="Q3100" s="8"/>
    </row>
    <row r="3101" spans="17:17" x14ac:dyDescent="0.25">
      <c r="Q3101" s="8"/>
    </row>
    <row r="3102" spans="17:17" x14ac:dyDescent="0.25">
      <c r="Q3102" s="8"/>
    </row>
    <row r="3103" spans="17:17" x14ac:dyDescent="0.25">
      <c r="Q3103" s="8"/>
    </row>
    <row r="3104" spans="17:17" x14ac:dyDescent="0.25">
      <c r="Q3104" s="8"/>
    </row>
    <row r="3105" spans="17:17" x14ac:dyDescent="0.25">
      <c r="Q3105" s="8"/>
    </row>
    <row r="3106" spans="17:17" x14ac:dyDescent="0.25">
      <c r="Q3106" s="8"/>
    </row>
    <row r="3107" spans="17:17" x14ac:dyDescent="0.25">
      <c r="Q3107" s="8"/>
    </row>
    <row r="3108" spans="17:17" x14ac:dyDescent="0.25">
      <c r="Q3108" s="8"/>
    </row>
    <row r="3109" spans="17:17" x14ac:dyDescent="0.25">
      <c r="Q3109" s="8"/>
    </row>
    <row r="3110" spans="17:17" x14ac:dyDescent="0.25">
      <c r="Q3110" s="8"/>
    </row>
    <row r="3111" spans="17:17" x14ac:dyDescent="0.25">
      <c r="Q3111" s="8"/>
    </row>
    <row r="3112" spans="17:17" x14ac:dyDescent="0.25">
      <c r="Q3112" s="8"/>
    </row>
    <row r="3113" spans="17:17" x14ac:dyDescent="0.25">
      <c r="Q3113" s="8"/>
    </row>
    <row r="3114" spans="17:17" x14ac:dyDescent="0.25">
      <c r="Q3114" s="8"/>
    </row>
    <row r="3115" spans="17:17" x14ac:dyDescent="0.25">
      <c r="Q3115" s="8"/>
    </row>
    <row r="3116" spans="17:17" x14ac:dyDescent="0.25">
      <c r="Q3116" s="8"/>
    </row>
    <row r="3117" spans="17:17" x14ac:dyDescent="0.25">
      <c r="Q3117" s="8"/>
    </row>
    <row r="3118" spans="17:17" x14ac:dyDescent="0.25">
      <c r="Q3118" s="8"/>
    </row>
    <row r="3119" spans="17:17" x14ac:dyDescent="0.25">
      <c r="Q3119" s="8"/>
    </row>
    <row r="3120" spans="17:17" x14ac:dyDescent="0.25">
      <c r="Q3120" s="8"/>
    </row>
    <row r="3121" spans="17:17" x14ac:dyDescent="0.25">
      <c r="Q3121" s="8"/>
    </row>
    <row r="3122" spans="17:17" x14ac:dyDescent="0.25">
      <c r="Q3122" s="8"/>
    </row>
    <row r="3123" spans="17:17" x14ac:dyDescent="0.25">
      <c r="Q3123" s="8"/>
    </row>
    <row r="3124" spans="17:17" x14ac:dyDescent="0.25">
      <c r="Q3124" s="8"/>
    </row>
    <row r="3125" spans="17:17" x14ac:dyDescent="0.25">
      <c r="Q3125" s="8"/>
    </row>
    <row r="3126" spans="17:17" x14ac:dyDescent="0.25">
      <c r="Q3126" s="8"/>
    </row>
    <row r="3127" spans="17:17" x14ac:dyDescent="0.25">
      <c r="Q3127" s="8"/>
    </row>
    <row r="3128" spans="17:17" x14ac:dyDescent="0.25">
      <c r="Q3128" s="8"/>
    </row>
    <row r="3129" spans="17:17" x14ac:dyDescent="0.25">
      <c r="Q3129" s="8"/>
    </row>
    <row r="3130" spans="17:17" x14ac:dyDescent="0.25">
      <c r="Q3130" s="8"/>
    </row>
    <row r="3131" spans="17:17" x14ac:dyDescent="0.25">
      <c r="Q3131" s="8"/>
    </row>
    <row r="3132" spans="17:17" x14ac:dyDescent="0.25">
      <c r="Q3132" s="8"/>
    </row>
    <row r="3133" spans="17:17" x14ac:dyDescent="0.25">
      <c r="Q3133" s="8"/>
    </row>
    <row r="3134" spans="17:17" x14ac:dyDescent="0.25">
      <c r="Q3134" s="8"/>
    </row>
    <row r="3135" spans="17:17" x14ac:dyDescent="0.25">
      <c r="Q3135" s="8"/>
    </row>
    <row r="3136" spans="17:17" x14ac:dyDescent="0.25">
      <c r="Q3136" s="8"/>
    </row>
    <row r="3137" spans="17:17" x14ac:dyDescent="0.25">
      <c r="Q3137" s="8"/>
    </row>
    <row r="3138" spans="17:17" x14ac:dyDescent="0.25">
      <c r="Q3138" s="8"/>
    </row>
    <row r="3139" spans="17:17" x14ac:dyDescent="0.25">
      <c r="Q3139" s="8"/>
    </row>
    <row r="3140" spans="17:17" x14ac:dyDescent="0.25">
      <c r="Q3140" s="8"/>
    </row>
    <row r="3141" spans="17:17" x14ac:dyDescent="0.25">
      <c r="Q3141" s="8"/>
    </row>
    <row r="3142" spans="17:17" x14ac:dyDescent="0.25">
      <c r="Q3142" s="8"/>
    </row>
    <row r="3143" spans="17:17" x14ac:dyDescent="0.25">
      <c r="Q3143" s="8"/>
    </row>
    <row r="3144" spans="17:17" x14ac:dyDescent="0.25">
      <c r="Q3144" s="8"/>
    </row>
    <row r="3145" spans="17:17" x14ac:dyDescent="0.25">
      <c r="Q3145" s="8"/>
    </row>
    <row r="3146" spans="17:17" x14ac:dyDescent="0.25">
      <c r="Q3146" s="8"/>
    </row>
    <row r="3147" spans="17:17" x14ac:dyDescent="0.25">
      <c r="Q3147" s="8"/>
    </row>
    <row r="3148" spans="17:17" x14ac:dyDescent="0.25">
      <c r="Q3148" s="8"/>
    </row>
    <row r="3149" spans="17:17" x14ac:dyDescent="0.25">
      <c r="Q3149" s="8"/>
    </row>
    <row r="3150" spans="17:17" x14ac:dyDescent="0.25">
      <c r="Q3150" s="8"/>
    </row>
    <row r="3151" spans="17:17" x14ac:dyDescent="0.25">
      <c r="Q3151" s="8"/>
    </row>
    <row r="3152" spans="17:17" x14ac:dyDescent="0.25">
      <c r="Q3152" s="8"/>
    </row>
    <row r="3153" spans="17:17" x14ac:dyDescent="0.25">
      <c r="Q3153" s="8"/>
    </row>
    <row r="3154" spans="17:17" x14ac:dyDescent="0.25">
      <c r="Q3154" s="8"/>
    </row>
    <row r="3155" spans="17:17" x14ac:dyDescent="0.25">
      <c r="Q3155" s="8"/>
    </row>
    <row r="3156" spans="17:17" x14ac:dyDescent="0.25">
      <c r="Q3156" s="8"/>
    </row>
    <row r="3157" spans="17:17" x14ac:dyDescent="0.25">
      <c r="Q3157" s="8"/>
    </row>
    <row r="3158" spans="17:17" x14ac:dyDescent="0.25">
      <c r="Q3158" s="8"/>
    </row>
    <row r="3159" spans="17:17" x14ac:dyDescent="0.25">
      <c r="Q3159" s="8"/>
    </row>
    <row r="3160" spans="17:17" x14ac:dyDescent="0.25">
      <c r="Q3160" s="8"/>
    </row>
    <row r="3161" spans="17:17" x14ac:dyDescent="0.25">
      <c r="Q3161" s="8"/>
    </row>
    <row r="3162" spans="17:17" x14ac:dyDescent="0.25">
      <c r="Q3162" s="8"/>
    </row>
    <row r="3163" spans="17:17" x14ac:dyDescent="0.25">
      <c r="Q3163" s="8"/>
    </row>
    <row r="3164" spans="17:17" x14ac:dyDescent="0.25">
      <c r="Q3164" s="8"/>
    </row>
    <row r="3165" spans="17:17" x14ac:dyDescent="0.25">
      <c r="Q3165" s="8"/>
    </row>
    <row r="3166" spans="17:17" x14ac:dyDescent="0.25">
      <c r="Q3166" s="8"/>
    </row>
    <row r="3167" spans="17:17" x14ac:dyDescent="0.25">
      <c r="Q3167" s="8"/>
    </row>
    <row r="3168" spans="17:17" x14ac:dyDescent="0.25">
      <c r="Q3168" s="8"/>
    </row>
    <row r="3169" spans="17:17" x14ac:dyDescent="0.25">
      <c r="Q3169" s="8"/>
    </row>
    <row r="3170" spans="17:17" x14ac:dyDescent="0.25">
      <c r="Q3170" s="8"/>
    </row>
    <row r="3171" spans="17:17" x14ac:dyDescent="0.25">
      <c r="Q3171" s="8"/>
    </row>
    <row r="3172" spans="17:17" x14ac:dyDescent="0.25">
      <c r="Q3172" s="8"/>
    </row>
    <row r="3173" spans="17:17" x14ac:dyDescent="0.25">
      <c r="Q3173" s="8"/>
    </row>
    <row r="3174" spans="17:17" x14ac:dyDescent="0.25">
      <c r="Q3174" s="8"/>
    </row>
    <row r="3175" spans="17:17" x14ac:dyDescent="0.25">
      <c r="Q3175" s="8"/>
    </row>
    <row r="3176" spans="17:17" x14ac:dyDescent="0.25">
      <c r="Q3176" s="8"/>
    </row>
    <row r="3177" spans="17:17" x14ac:dyDescent="0.25">
      <c r="Q3177" s="8"/>
    </row>
    <row r="3178" spans="17:17" x14ac:dyDescent="0.25">
      <c r="Q3178" s="8"/>
    </row>
    <row r="3179" spans="17:17" x14ac:dyDescent="0.25">
      <c r="Q3179" s="8"/>
    </row>
    <row r="3180" spans="17:17" x14ac:dyDescent="0.25">
      <c r="Q3180" s="8"/>
    </row>
    <row r="3181" spans="17:17" x14ac:dyDescent="0.25">
      <c r="Q3181" s="8"/>
    </row>
    <row r="3182" spans="17:17" x14ac:dyDescent="0.25">
      <c r="Q3182" s="8"/>
    </row>
    <row r="3183" spans="17:17" x14ac:dyDescent="0.25">
      <c r="Q3183" s="8"/>
    </row>
    <row r="3184" spans="17:17" x14ac:dyDescent="0.25">
      <c r="Q3184" s="8"/>
    </row>
    <row r="3185" spans="17:17" x14ac:dyDescent="0.25">
      <c r="Q3185" s="8"/>
    </row>
    <row r="3186" spans="17:17" x14ac:dyDescent="0.25">
      <c r="Q3186" s="8"/>
    </row>
    <row r="3187" spans="17:17" x14ac:dyDescent="0.25">
      <c r="Q3187" s="8"/>
    </row>
    <row r="3188" spans="17:17" x14ac:dyDescent="0.25">
      <c r="Q3188" s="8"/>
    </row>
    <row r="3189" spans="17:17" x14ac:dyDescent="0.25">
      <c r="Q3189" s="8"/>
    </row>
    <row r="3190" spans="17:17" x14ac:dyDescent="0.25">
      <c r="Q3190" s="8"/>
    </row>
    <row r="3191" spans="17:17" x14ac:dyDescent="0.25">
      <c r="Q3191" s="8"/>
    </row>
    <row r="3192" spans="17:17" x14ac:dyDescent="0.25">
      <c r="Q3192" s="8"/>
    </row>
    <row r="3193" spans="17:17" x14ac:dyDescent="0.25">
      <c r="Q3193" s="8"/>
    </row>
    <row r="3194" spans="17:17" x14ac:dyDescent="0.25">
      <c r="Q3194" s="8"/>
    </row>
    <row r="3195" spans="17:17" x14ac:dyDescent="0.25">
      <c r="Q3195" s="8"/>
    </row>
    <row r="3196" spans="17:17" x14ac:dyDescent="0.25">
      <c r="Q3196" s="8"/>
    </row>
    <row r="3197" spans="17:17" x14ac:dyDescent="0.25">
      <c r="Q3197" s="8"/>
    </row>
    <row r="3198" spans="17:17" x14ac:dyDescent="0.25">
      <c r="Q3198" s="8"/>
    </row>
    <row r="3199" spans="17:17" x14ac:dyDescent="0.25">
      <c r="Q3199" s="8"/>
    </row>
    <row r="3200" spans="17:17" x14ac:dyDescent="0.25">
      <c r="Q3200" s="8"/>
    </row>
    <row r="3201" spans="17:17" x14ac:dyDescent="0.25">
      <c r="Q3201" s="8"/>
    </row>
    <row r="3202" spans="17:17" x14ac:dyDescent="0.25">
      <c r="Q3202" s="8"/>
    </row>
    <row r="3203" spans="17:17" x14ac:dyDescent="0.25">
      <c r="Q3203" s="8"/>
    </row>
    <row r="3204" spans="17:17" x14ac:dyDescent="0.25">
      <c r="Q3204" s="8"/>
    </row>
    <row r="3205" spans="17:17" x14ac:dyDescent="0.25">
      <c r="Q3205" s="8"/>
    </row>
    <row r="3206" spans="17:17" x14ac:dyDescent="0.25">
      <c r="Q3206" s="8"/>
    </row>
    <row r="3207" spans="17:17" x14ac:dyDescent="0.25">
      <c r="Q3207" s="8"/>
    </row>
    <row r="3208" spans="17:17" x14ac:dyDescent="0.25">
      <c r="Q3208" s="8"/>
    </row>
    <row r="3209" spans="17:17" x14ac:dyDescent="0.25">
      <c r="Q3209" s="8"/>
    </row>
    <row r="3210" spans="17:17" x14ac:dyDescent="0.25">
      <c r="Q3210" s="8"/>
    </row>
    <row r="3211" spans="17:17" x14ac:dyDescent="0.25">
      <c r="Q3211" s="8"/>
    </row>
    <row r="3212" spans="17:17" x14ac:dyDescent="0.25">
      <c r="Q3212" s="8"/>
    </row>
    <row r="3213" spans="17:17" x14ac:dyDescent="0.25">
      <c r="Q3213" s="8"/>
    </row>
    <row r="3214" spans="17:17" x14ac:dyDescent="0.25">
      <c r="Q3214" s="8"/>
    </row>
    <row r="3215" spans="17:17" x14ac:dyDescent="0.25">
      <c r="Q3215" s="8"/>
    </row>
    <row r="3216" spans="17:17" x14ac:dyDescent="0.25">
      <c r="Q3216" s="8"/>
    </row>
    <row r="3217" spans="17:17" x14ac:dyDescent="0.25">
      <c r="Q3217" s="8"/>
    </row>
    <row r="3218" spans="17:17" x14ac:dyDescent="0.25">
      <c r="Q3218" s="8"/>
    </row>
    <row r="3219" spans="17:17" x14ac:dyDescent="0.25">
      <c r="Q3219" s="8"/>
    </row>
    <row r="3220" spans="17:17" x14ac:dyDescent="0.25">
      <c r="Q3220" s="8"/>
    </row>
    <row r="3221" spans="17:17" x14ac:dyDescent="0.25">
      <c r="Q3221" s="8"/>
    </row>
    <row r="3222" spans="17:17" x14ac:dyDescent="0.25">
      <c r="Q3222" s="8"/>
    </row>
    <row r="3223" spans="17:17" x14ac:dyDescent="0.25">
      <c r="Q3223" s="8"/>
    </row>
    <row r="3224" spans="17:17" x14ac:dyDescent="0.25">
      <c r="Q3224" s="8"/>
    </row>
    <row r="3225" spans="17:17" x14ac:dyDescent="0.25">
      <c r="Q3225" s="8"/>
    </row>
    <row r="3226" spans="17:17" x14ac:dyDescent="0.25">
      <c r="Q3226" s="8"/>
    </row>
    <row r="3227" spans="17:17" x14ac:dyDescent="0.25">
      <c r="Q3227" s="8"/>
    </row>
    <row r="3228" spans="17:17" x14ac:dyDescent="0.25">
      <c r="Q3228" s="8"/>
    </row>
    <row r="3229" spans="17:17" x14ac:dyDescent="0.25">
      <c r="Q3229" s="8"/>
    </row>
    <row r="3230" spans="17:17" x14ac:dyDescent="0.25">
      <c r="Q3230" s="8"/>
    </row>
    <row r="3231" spans="17:17" x14ac:dyDescent="0.25">
      <c r="Q3231" s="8"/>
    </row>
    <row r="3232" spans="17:17" x14ac:dyDescent="0.25">
      <c r="Q3232" s="8"/>
    </row>
    <row r="3233" spans="17:17" x14ac:dyDescent="0.25">
      <c r="Q3233" s="8"/>
    </row>
    <row r="3234" spans="17:17" x14ac:dyDescent="0.25">
      <c r="Q3234" s="8"/>
    </row>
    <row r="3235" spans="17:17" x14ac:dyDescent="0.25">
      <c r="Q3235" s="8"/>
    </row>
    <row r="3236" spans="17:17" x14ac:dyDescent="0.25">
      <c r="Q3236" s="8"/>
    </row>
    <row r="3237" spans="17:17" x14ac:dyDescent="0.25">
      <c r="Q3237" s="8"/>
    </row>
    <row r="3238" spans="17:17" x14ac:dyDescent="0.25">
      <c r="Q3238" s="8"/>
    </row>
    <row r="3239" spans="17:17" x14ac:dyDescent="0.25">
      <c r="Q3239" s="8"/>
    </row>
    <row r="3240" spans="17:17" x14ac:dyDescent="0.25">
      <c r="Q3240" s="8"/>
    </row>
    <row r="3241" spans="17:17" x14ac:dyDescent="0.25">
      <c r="Q3241" s="8"/>
    </row>
    <row r="3242" spans="17:17" x14ac:dyDescent="0.25">
      <c r="Q3242" s="8"/>
    </row>
    <row r="3243" spans="17:17" x14ac:dyDescent="0.25">
      <c r="Q3243" s="8"/>
    </row>
    <row r="3244" spans="17:17" x14ac:dyDescent="0.25">
      <c r="Q3244" s="8"/>
    </row>
    <row r="3245" spans="17:17" x14ac:dyDescent="0.25">
      <c r="Q3245" s="8"/>
    </row>
    <row r="3246" spans="17:17" x14ac:dyDescent="0.25">
      <c r="Q3246" s="8"/>
    </row>
    <row r="3247" spans="17:17" x14ac:dyDescent="0.25">
      <c r="Q3247" s="8"/>
    </row>
    <row r="3248" spans="17:17" x14ac:dyDescent="0.25">
      <c r="Q3248" s="8"/>
    </row>
    <row r="3249" spans="17:17" x14ac:dyDescent="0.25">
      <c r="Q3249" s="8"/>
    </row>
    <row r="3250" spans="17:17" x14ac:dyDescent="0.25">
      <c r="Q3250" s="8"/>
    </row>
    <row r="3251" spans="17:17" x14ac:dyDescent="0.25">
      <c r="Q3251" s="8"/>
    </row>
    <row r="3252" spans="17:17" x14ac:dyDescent="0.25">
      <c r="Q3252" s="8"/>
    </row>
    <row r="3253" spans="17:17" x14ac:dyDescent="0.25">
      <c r="Q3253" s="8"/>
    </row>
    <row r="3254" spans="17:17" x14ac:dyDescent="0.25">
      <c r="Q3254" s="8"/>
    </row>
    <row r="3255" spans="17:17" x14ac:dyDescent="0.25">
      <c r="Q3255" s="8"/>
    </row>
    <row r="3256" spans="17:17" x14ac:dyDescent="0.25">
      <c r="Q3256" s="8"/>
    </row>
    <row r="3257" spans="17:17" x14ac:dyDescent="0.25">
      <c r="Q3257" s="8"/>
    </row>
    <row r="3258" spans="17:17" x14ac:dyDescent="0.25">
      <c r="Q3258" s="8"/>
    </row>
    <row r="3259" spans="17:17" x14ac:dyDescent="0.25">
      <c r="Q3259" s="8"/>
    </row>
    <row r="3260" spans="17:17" x14ac:dyDescent="0.25">
      <c r="Q3260" s="8"/>
    </row>
    <row r="3261" spans="17:17" x14ac:dyDescent="0.25">
      <c r="Q3261" s="8"/>
    </row>
    <row r="3262" spans="17:17" x14ac:dyDescent="0.25">
      <c r="Q3262" s="8"/>
    </row>
    <row r="3263" spans="17:17" x14ac:dyDescent="0.25">
      <c r="Q3263" s="8"/>
    </row>
    <row r="3264" spans="17:17" x14ac:dyDescent="0.25">
      <c r="Q3264" s="8"/>
    </row>
    <row r="3265" spans="17:17" x14ac:dyDescent="0.25">
      <c r="Q3265" s="8"/>
    </row>
    <row r="3266" spans="17:17" x14ac:dyDescent="0.25">
      <c r="Q3266" s="8"/>
    </row>
    <row r="3267" spans="17:17" x14ac:dyDescent="0.25">
      <c r="Q3267" s="8"/>
    </row>
    <row r="3268" spans="17:17" x14ac:dyDescent="0.25">
      <c r="Q3268" s="8"/>
    </row>
    <row r="3269" spans="17:17" x14ac:dyDescent="0.25">
      <c r="Q3269" s="8"/>
    </row>
    <row r="3270" spans="17:17" x14ac:dyDescent="0.25">
      <c r="Q3270" s="8"/>
    </row>
    <row r="3271" spans="17:17" x14ac:dyDescent="0.25">
      <c r="Q3271" s="8"/>
    </row>
    <row r="3272" spans="17:17" x14ac:dyDescent="0.25">
      <c r="Q3272" s="8"/>
    </row>
    <row r="3273" spans="17:17" x14ac:dyDescent="0.25">
      <c r="Q3273" s="8"/>
    </row>
    <row r="3274" spans="17:17" x14ac:dyDescent="0.25">
      <c r="Q3274" s="8"/>
    </row>
    <row r="3275" spans="17:17" x14ac:dyDescent="0.25">
      <c r="Q3275" s="8"/>
    </row>
    <row r="3276" spans="17:17" x14ac:dyDescent="0.25">
      <c r="Q3276" s="8"/>
    </row>
    <row r="3277" spans="17:17" x14ac:dyDescent="0.25">
      <c r="Q3277" s="8"/>
    </row>
    <row r="3278" spans="17:17" x14ac:dyDescent="0.25">
      <c r="Q3278" s="8"/>
    </row>
    <row r="3279" spans="17:17" x14ac:dyDescent="0.25">
      <c r="Q3279" s="8"/>
    </row>
    <row r="3280" spans="17:17" x14ac:dyDescent="0.25">
      <c r="Q3280" s="8"/>
    </row>
    <row r="3281" spans="17:17" x14ac:dyDescent="0.25">
      <c r="Q3281" s="8"/>
    </row>
    <row r="3282" spans="17:17" x14ac:dyDescent="0.25">
      <c r="Q3282" s="8"/>
    </row>
    <row r="3283" spans="17:17" x14ac:dyDescent="0.25">
      <c r="Q3283" s="8"/>
    </row>
    <row r="3284" spans="17:17" x14ac:dyDescent="0.25">
      <c r="Q3284" s="8"/>
    </row>
    <row r="3285" spans="17:17" x14ac:dyDescent="0.25">
      <c r="Q3285" s="8"/>
    </row>
    <row r="3286" spans="17:17" x14ac:dyDescent="0.25">
      <c r="Q3286" s="8"/>
    </row>
    <row r="3287" spans="17:17" x14ac:dyDescent="0.25">
      <c r="Q3287" s="8"/>
    </row>
    <row r="3288" spans="17:17" x14ac:dyDescent="0.25">
      <c r="Q3288" s="8"/>
    </row>
    <row r="3289" spans="17:17" x14ac:dyDescent="0.25">
      <c r="Q3289" s="8"/>
    </row>
    <row r="3290" spans="17:17" x14ac:dyDescent="0.25">
      <c r="Q3290" s="8"/>
    </row>
    <row r="3291" spans="17:17" x14ac:dyDescent="0.25">
      <c r="Q3291" s="8"/>
    </row>
    <row r="3292" spans="17:17" x14ac:dyDescent="0.25">
      <c r="Q3292" s="8"/>
    </row>
    <row r="3293" spans="17:17" x14ac:dyDescent="0.25">
      <c r="Q3293" s="8"/>
    </row>
    <row r="3294" spans="17:17" x14ac:dyDescent="0.25">
      <c r="Q3294" s="8"/>
    </row>
    <row r="3295" spans="17:17" x14ac:dyDescent="0.25">
      <c r="Q3295" s="8"/>
    </row>
    <row r="3296" spans="17:17" x14ac:dyDescent="0.25">
      <c r="Q3296" s="8"/>
    </row>
    <row r="3297" spans="17:17" x14ac:dyDescent="0.25">
      <c r="Q3297" s="8"/>
    </row>
    <row r="3298" spans="17:17" x14ac:dyDescent="0.25">
      <c r="Q3298" s="8"/>
    </row>
    <row r="3299" spans="17:17" x14ac:dyDescent="0.25">
      <c r="Q3299" s="8"/>
    </row>
    <row r="3300" spans="17:17" x14ac:dyDescent="0.25">
      <c r="Q3300" s="8"/>
    </row>
    <row r="3301" spans="17:17" x14ac:dyDescent="0.25">
      <c r="Q3301" s="8"/>
    </row>
    <row r="3302" spans="17:17" x14ac:dyDescent="0.25">
      <c r="Q3302" s="8"/>
    </row>
    <row r="3303" spans="17:17" x14ac:dyDescent="0.25">
      <c r="Q3303" s="8"/>
    </row>
    <row r="3304" spans="17:17" x14ac:dyDescent="0.25">
      <c r="Q3304" s="8"/>
    </row>
    <row r="3305" spans="17:17" x14ac:dyDescent="0.25">
      <c r="Q3305" s="8"/>
    </row>
    <row r="3306" spans="17:17" x14ac:dyDescent="0.25">
      <c r="Q3306" s="8"/>
    </row>
    <row r="3307" spans="17:17" x14ac:dyDescent="0.25">
      <c r="Q3307" s="8"/>
    </row>
    <row r="3308" spans="17:17" x14ac:dyDescent="0.25">
      <c r="Q3308" s="8"/>
    </row>
    <row r="3309" spans="17:17" x14ac:dyDescent="0.25">
      <c r="Q3309" s="8"/>
    </row>
    <row r="3310" spans="17:17" x14ac:dyDescent="0.25">
      <c r="Q3310" s="8"/>
    </row>
    <row r="3311" spans="17:17" x14ac:dyDescent="0.25">
      <c r="Q3311" s="8"/>
    </row>
    <row r="3312" spans="17:17" x14ac:dyDescent="0.25">
      <c r="Q3312" s="8"/>
    </row>
    <row r="3313" spans="17:17" x14ac:dyDescent="0.25">
      <c r="Q3313" s="8"/>
    </row>
    <row r="3314" spans="17:17" x14ac:dyDescent="0.25">
      <c r="Q3314" s="8"/>
    </row>
    <row r="3315" spans="17:17" x14ac:dyDescent="0.25">
      <c r="Q3315" s="8"/>
    </row>
    <row r="3316" spans="17:17" x14ac:dyDescent="0.25">
      <c r="Q3316" s="8"/>
    </row>
    <row r="3317" spans="17:17" x14ac:dyDescent="0.25">
      <c r="Q3317" s="8"/>
    </row>
    <row r="3318" spans="17:17" x14ac:dyDescent="0.25">
      <c r="Q3318" s="8"/>
    </row>
    <row r="3319" spans="17:17" x14ac:dyDescent="0.25">
      <c r="Q3319" s="8"/>
    </row>
    <row r="3320" spans="17:17" x14ac:dyDescent="0.25">
      <c r="Q3320" s="8"/>
    </row>
    <row r="3321" spans="17:17" x14ac:dyDescent="0.25">
      <c r="Q3321" s="8"/>
    </row>
    <row r="3322" spans="17:17" x14ac:dyDescent="0.25">
      <c r="Q3322" s="8"/>
    </row>
    <row r="3323" spans="17:17" x14ac:dyDescent="0.25">
      <c r="Q3323" s="8"/>
    </row>
    <row r="3324" spans="17:17" x14ac:dyDescent="0.25">
      <c r="Q3324" s="8"/>
    </row>
    <row r="3325" spans="17:17" x14ac:dyDescent="0.25">
      <c r="Q3325" s="8"/>
    </row>
    <row r="3326" spans="17:17" x14ac:dyDescent="0.25">
      <c r="Q3326" s="8"/>
    </row>
    <row r="3327" spans="17:17" x14ac:dyDescent="0.25">
      <c r="Q3327" s="8"/>
    </row>
    <row r="3328" spans="17:17" x14ac:dyDescent="0.25">
      <c r="Q3328" s="8"/>
    </row>
    <row r="3329" spans="17:17" x14ac:dyDescent="0.25">
      <c r="Q3329" s="8"/>
    </row>
    <row r="3330" spans="17:17" x14ac:dyDescent="0.25">
      <c r="Q3330" s="8"/>
    </row>
    <row r="3331" spans="17:17" x14ac:dyDescent="0.25">
      <c r="Q3331" s="8"/>
    </row>
    <row r="3332" spans="17:17" x14ac:dyDescent="0.25">
      <c r="Q3332" s="8"/>
    </row>
    <row r="3333" spans="17:17" x14ac:dyDescent="0.25">
      <c r="Q3333" s="8"/>
    </row>
    <row r="3334" spans="17:17" x14ac:dyDescent="0.25">
      <c r="Q3334" s="8"/>
    </row>
    <row r="3335" spans="17:17" x14ac:dyDescent="0.25">
      <c r="Q3335" s="8"/>
    </row>
    <row r="3336" spans="17:17" x14ac:dyDescent="0.25">
      <c r="Q3336" s="8"/>
    </row>
    <row r="3337" spans="17:17" x14ac:dyDescent="0.25">
      <c r="Q3337" s="8"/>
    </row>
    <row r="3338" spans="17:17" x14ac:dyDescent="0.25">
      <c r="Q3338" s="8"/>
    </row>
    <row r="3339" spans="17:17" x14ac:dyDescent="0.25">
      <c r="Q3339" s="8"/>
    </row>
    <row r="3340" spans="17:17" x14ac:dyDescent="0.25">
      <c r="Q3340" s="8"/>
    </row>
    <row r="3341" spans="17:17" x14ac:dyDescent="0.25">
      <c r="Q3341" s="8"/>
    </row>
    <row r="3342" spans="17:17" x14ac:dyDescent="0.25">
      <c r="Q3342" s="8"/>
    </row>
    <row r="3343" spans="17:17" x14ac:dyDescent="0.25">
      <c r="Q3343" s="8"/>
    </row>
    <row r="3344" spans="17:17" x14ac:dyDescent="0.25">
      <c r="Q3344" s="8"/>
    </row>
    <row r="3345" spans="17:17" x14ac:dyDescent="0.25">
      <c r="Q3345" s="8"/>
    </row>
    <row r="3346" spans="17:17" x14ac:dyDescent="0.25">
      <c r="Q3346" s="8"/>
    </row>
    <row r="3347" spans="17:17" x14ac:dyDescent="0.25">
      <c r="Q3347" s="8"/>
    </row>
    <row r="3348" spans="17:17" x14ac:dyDescent="0.25">
      <c r="Q3348" s="8"/>
    </row>
    <row r="3349" spans="17:17" x14ac:dyDescent="0.25">
      <c r="Q3349" s="8"/>
    </row>
    <row r="3350" spans="17:17" x14ac:dyDescent="0.25">
      <c r="Q3350" s="8"/>
    </row>
    <row r="3351" spans="17:17" x14ac:dyDescent="0.25">
      <c r="Q3351" s="8"/>
    </row>
    <row r="3352" spans="17:17" x14ac:dyDescent="0.25">
      <c r="Q3352" s="8"/>
    </row>
    <row r="3353" spans="17:17" x14ac:dyDescent="0.25">
      <c r="Q3353" s="8"/>
    </row>
    <row r="3354" spans="17:17" x14ac:dyDescent="0.25">
      <c r="Q3354" s="8"/>
    </row>
    <row r="3355" spans="17:17" x14ac:dyDescent="0.25">
      <c r="Q3355" s="8"/>
    </row>
    <row r="3356" spans="17:17" x14ac:dyDescent="0.25">
      <c r="Q3356" s="8"/>
    </row>
    <row r="3357" spans="17:17" x14ac:dyDescent="0.25">
      <c r="Q3357" s="8"/>
    </row>
    <row r="3358" spans="17:17" x14ac:dyDescent="0.25">
      <c r="Q3358" s="8"/>
    </row>
    <row r="3359" spans="17:17" x14ac:dyDescent="0.25">
      <c r="Q3359" s="8"/>
    </row>
    <row r="3360" spans="17:17" x14ac:dyDescent="0.25">
      <c r="Q3360" s="8"/>
    </row>
    <row r="3361" spans="17:17" x14ac:dyDescent="0.25">
      <c r="Q3361" s="8"/>
    </row>
    <row r="3362" spans="17:17" x14ac:dyDescent="0.25">
      <c r="Q3362" s="8"/>
    </row>
    <row r="3363" spans="17:17" x14ac:dyDescent="0.25">
      <c r="Q3363" s="8"/>
    </row>
    <row r="3364" spans="17:17" x14ac:dyDescent="0.25">
      <c r="Q3364" s="8"/>
    </row>
    <row r="3365" spans="17:17" x14ac:dyDescent="0.25">
      <c r="Q3365" s="8"/>
    </row>
    <row r="3366" spans="17:17" x14ac:dyDescent="0.25">
      <c r="Q3366" s="8"/>
    </row>
    <row r="3367" spans="17:17" x14ac:dyDescent="0.25">
      <c r="Q3367" s="8"/>
    </row>
    <row r="3368" spans="17:17" x14ac:dyDescent="0.25">
      <c r="Q3368" s="8"/>
    </row>
    <row r="3369" spans="17:17" x14ac:dyDescent="0.25">
      <c r="Q3369" s="8"/>
    </row>
    <row r="3370" spans="17:17" x14ac:dyDescent="0.25">
      <c r="Q3370" s="8"/>
    </row>
    <row r="3371" spans="17:17" x14ac:dyDescent="0.25">
      <c r="Q3371" s="8"/>
    </row>
    <row r="3372" spans="17:17" x14ac:dyDescent="0.25">
      <c r="Q3372" s="8"/>
    </row>
    <row r="3373" spans="17:17" x14ac:dyDescent="0.25">
      <c r="Q3373" s="8"/>
    </row>
    <row r="3374" spans="17:17" x14ac:dyDescent="0.25">
      <c r="Q3374" s="8"/>
    </row>
    <row r="3375" spans="17:17" x14ac:dyDescent="0.25">
      <c r="Q3375" s="8"/>
    </row>
    <row r="3376" spans="17:17" x14ac:dyDescent="0.25">
      <c r="Q3376" s="8"/>
    </row>
    <row r="3377" spans="17:17" x14ac:dyDescent="0.25">
      <c r="Q3377" s="8"/>
    </row>
    <row r="3378" spans="17:17" x14ac:dyDescent="0.25">
      <c r="Q3378" s="8"/>
    </row>
    <row r="3379" spans="17:17" x14ac:dyDescent="0.25">
      <c r="Q3379" s="8"/>
    </row>
    <row r="3380" spans="17:17" x14ac:dyDescent="0.25">
      <c r="Q3380" s="8"/>
    </row>
    <row r="3381" spans="17:17" x14ac:dyDescent="0.25">
      <c r="Q3381" s="8"/>
    </row>
    <row r="3382" spans="17:17" x14ac:dyDescent="0.25">
      <c r="Q3382" s="8"/>
    </row>
    <row r="3383" spans="17:17" x14ac:dyDescent="0.25">
      <c r="Q3383" s="8"/>
    </row>
    <row r="3384" spans="17:17" x14ac:dyDescent="0.25">
      <c r="Q3384" s="8"/>
    </row>
    <row r="3385" spans="17:17" x14ac:dyDescent="0.25">
      <c r="Q3385" s="8"/>
    </row>
    <row r="3386" spans="17:17" x14ac:dyDescent="0.25">
      <c r="Q3386" s="8"/>
    </row>
    <row r="3387" spans="17:17" x14ac:dyDescent="0.25">
      <c r="Q3387" s="8"/>
    </row>
    <row r="3388" spans="17:17" x14ac:dyDescent="0.25">
      <c r="Q3388" s="8"/>
    </row>
    <row r="3389" spans="17:17" x14ac:dyDescent="0.25">
      <c r="Q3389" s="8"/>
    </row>
    <row r="3390" spans="17:17" x14ac:dyDescent="0.25">
      <c r="Q3390" s="8"/>
    </row>
    <row r="3391" spans="17:17" x14ac:dyDescent="0.25">
      <c r="Q3391" s="8"/>
    </row>
    <row r="3392" spans="17:17" x14ac:dyDescent="0.25">
      <c r="Q3392" s="8"/>
    </row>
    <row r="3393" spans="17:17" x14ac:dyDescent="0.25">
      <c r="Q3393" s="8"/>
    </row>
    <row r="3394" spans="17:17" x14ac:dyDescent="0.25">
      <c r="Q3394" s="8"/>
    </row>
    <row r="3395" spans="17:17" x14ac:dyDescent="0.25">
      <c r="Q3395" s="8"/>
    </row>
    <row r="3396" spans="17:17" x14ac:dyDescent="0.25">
      <c r="Q3396" s="8"/>
    </row>
    <row r="3397" spans="17:17" x14ac:dyDescent="0.25">
      <c r="Q3397" s="8"/>
    </row>
    <row r="3398" spans="17:17" x14ac:dyDescent="0.25">
      <c r="Q3398" s="8"/>
    </row>
    <row r="3399" spans="17:17" x14ac:dyDescent="0.25">
      <c r="Q3399" s="8"/>
    </row>
    <row r="3400" spans="17:17" x14ac:dyDescent="0.25">
      <c r="Q3400" s="8"/>
    </row>
    <row r="3401" spans="17:17" x14ac:dyDescent="0.25">
      <c r="Q3401" s="8"/>
    </row>
    <row r="3402" spans="17:17" x14ac:dyDescent="0.25">
      <c r="Q3402" s="8"/>
    </row>
    <row r="3403" spans="17:17" x14ac:dyDescent="0.25">
      <c r="Q3403" s="8"/>
    </row>
    <row r="3404" spans="17:17" x14ac:dyDescent="0.25">
      <c r="Q3404" s="8"/>
    </row>
    <row r="3405" spans="17:17" x14ac:dyDescent="0.25">
      <c r="Q3405" s="8"/>
    </row>
    <row r="3406" spans="17:17" x14ac:dyDescent="0.25">
      <c r="Q3406" s="8"/>
    </row>
    <row r="3407" spans="17:17" x14ac:dyDescent="0.25">
      <c r="Q3407" s="8"/>
    </row>
    <row r="3408" spans="17:17" x14ac:dyDescent="0.25">
      <c r="Q3408" s="8"/>
    </row>
    <row r="3409" spans="17:17" x14ac:dyDescent="0.25">
      <c r="Q3409" s="8"/>
    </row>
    <row r="3410" spans="17:17" x14ac:dyDescent="0.25">
      <c r="Q3410" s="8"/>
    </row>
    <row r="3411" spans="17:17" x14ac:dyDescent="0.25">
      <c r="Q3411" s="8"/>
    </row>
    <row r="3412" spans="17:17" x14ac:dyDescent="0.25">
      <c r="Q3412" s="8"/>
    </row>
    <row r="3413" spans="17:17" x14ac:dyDescent="0.25">
      <c r="Q3413" s="8"/>
    </row>
    <row r="3414" spans="17:17" x14ac:dyDescent="0.25">
      <c r="Q3414" s="8"/>
    </row>
    <row r="3415" spans="17:17" x14ac:dyDescent="0.25">
      <c r="Q3415" s="8"/>
    </row>
    <row r="3416" spans="17:17" x14ac:dyDescent="0.25">
      <c r="Q3416" s="8"/>
    </row>
    <row r="3417" spans="17:17" x14ac:dyDescent="0.25">
      <c r="Q3417" s="8"/>
    </row>
    <row r="3418" spans="17:17" x14ac:dyDescent="0.25">
      <c r="Q3418" s="8"/>
    </row>
    <row r="3419" spans="17:17" x14ac:dyDescent="0.25">
      <c r="Q3419" s="8"/>
    </row>
    <row r="3420" spans="17:17" x14ac:dyDescent="0.25">
      <c r="Q3420" s="8"/>
    </row>
    <row r="3421" spans="17:17" x14ac:dyDescent="0.25">
      <c r="Q3421" s="8"/>
    </row>
    <row r="3422" spans="17:17" x14ac:dyDescent="0.25">
      <c r="Q3422" s="8"/>
    </row>
    <row r="3423" spans="17:17" x14ac:dyDescent="0.25">
      <c r="Q3423" s="8"/>
    </row>
    <row r="3424" spans="17:17" x14ac:dyDescent="0.25">
      <c r="Q3424" s="8"/>
    </row>
    <row r="3425" spans="17:17" x14ac:dyDescent="0.25">
      <c r="Q3425" s="8"/>
    </row>
    <row r="3426" spans="17:17" x14ac:dyDescent="0.25">
      <c r="Q3426" s="8"/>
    </row>
    <row r="3427" spans="17:17" x14ac:dyDescent="0.25">
      <c r="Q3427" s="8"/>
    </row>
    <row r="3428" spans="17:17" x14ac:dyDescent="0.25">
      <c r="Q3428" s="8"/>
    </row>
    <row r="3429" spans="17:17" x14ac:dyDescent="0.25">
      <c r="Q3429" s="8"/>
    </row>
    <row r="3430" spans="17:17" x14ac:dyDescent="0.25">
      <c r="Q3430" s="8"/>
    </row>
    <row r="3431" spans="17:17" x14ac:dyDescent="0.25">
      <c r="Q3431" s="8"/>
    </row>
    <row r="3432" spans="17:17" x14ac:dyDescent="0.25">
      <c r="Q3432" s="8"/>
    </row>
    <row r="3433" spans="17:17" x14ac:dyDescent="0.25">
      <c r="Q3433" s="8"/>
    </row>
    <row r="3434" spans="17:17" x14ac:dyDescent="0.25">
      <c r="Q3434" s="8"/>
    </row>
    <row r="3435" spans="17:17" x14ac:dyDescent="0.25">
      <c r="Q3435" s="8"/>
    </row>
    <row r="3436" spans="17:17" x14ac:dyDescent="0.25">
      <c r="Q3436" s="8"/>
    </row>
    <row r="3437" spans="17:17" x14ac:dyDescent="0.25">
      <c r="Q3437" s="8"/>
    </row>
    <row r="3438" spans="17:17" x14ac:dyDescent="0.25">
      <c r="Q3438" s="8"/>
    </row>
    <row r="3439" spans="17:17" x14ac:dyDescent="0.25">
      <c r="Q3439" s="8"/>
    </row>
    <row r="3440" spans="17:17" x14ac:dyDescent="0.25">
      <c r="Q3440" s="8"/>
    </row>
    <row r="3441" spans="17:17" x14ac:dyDescent="0.25">
      <c r="Q3441" s="8"/>
    </row>
    <row r="3442" spans="17:17" x14ac:dyDescent="0.25">
      <c r="Q3442" s="8"/>
    </row>
    <row r="3443" spans="17:17" x14ac:dyDescent="0.25">
      <c r="Q3443" s="8"/>
    </row>
    <row r="3444" spans="17:17" x14ac:dyDescent="0.25">
      <c r="Q3444" s="8"/>
    </row>
    <row r="3445" spans="17:17" x14ac:dyDescent="0.25">
      <c r="Q3445" s="8"/>
    </row>
    <row r="3446" spans="17:17" x14ac:dyDescent="0.25">
      <c r="Q3446" s="8"/>
    </row>
    <row r="3447" spans="17:17" x14ac:dyDescent="0.25">
      <c r="Q3447" s="8"/>
    </row>
    <row r="3448" spans="17:17" x14ac:dyDescent="0.25">
      <c r="Q3448" s="8"/>
    </row>
    <row r="3449" spans="17:17" x14ac:dyDescent="0.25">
      <c r="Q3449" s="8"/>
    </row>
    <row r="3450" spans="17:17" x14ac:dyDescent="0.25">
      <c r="Q3450" s="8"/>
    </row>
    <row r="3451" spans="17:17" x14ac:dyDescent="0.25">
      <c r="Q3451" s="8"/>
    </row>
    <row r="3452" spans="17:17" x14ac:dyDescent="0.25">
      <c r="Q3452" s="8"/>
    </row>
    <row r="3453" spans="17:17" x14ac:dyDescent="0.25">
      <c r="Q3453" s="8"/>
    </row>
    <row r="3454" spans="17:17" x14ac:dyDescent="0.25">
      <c r="Q3454" s="8"/>
    </row>
    <row r="3455" spans="17:17" x14ac:dyDescent="0.25">
      <c r="Q3455" s="8"/>
    </row>
    <row r="3456" spans="17:17" x14ac:dyDescent="0.25">
      <c r="Q3456" s="8"/>
    </row>
    <row r="3457" spans="17:17" x14ac:dyDescent="0.25">
      <c r="Q3457" s="8"/>
    </row>
    <row r="3458" spans="17:17" x14ac:dyDescent="0.25">
      <c r="Q3458" s="8"/>
    </row>
    <row r="3459" spans="17:17" x14ac:dyDescent="0.25">
      <c r="Q3459" s="8"/>
    </row>
    <row r="3460" spans="17:17" x14ac:dyDescent="0.25">
      <c r="Q3460" s="8"/>
    </row>
    <row r="3461" spans="17:17" x14ac:dyDescent="0.25">
      <c r="Q3461" s="8"/>
    </row>
    <row r="3462" spans="17:17" x14ac:dyDescent="0.25">
      <c r="Q3462" s="8"/>
    </row>
    <row r="3463" spans="17:17" x14ac:dyDescent="0.25">
      <c r="Q3463" s="8"/>
    </row>
    <row r="3464" spans="17:17" x14ac:dyDescent="0.25">
      <c r="Q3464" s="8"/>
    </row>
    <row r="3465" spans="17:17" x14ac:dyDescent="0.25">
      <c r="Q3465" s="8"/>
    </row>
    <row r="3466" spans="17:17" x14ac:dyDescent="0.25">
      <c r="Q3466" s="8"/>
    </row>
    <row r="3467" spans="17:17" x14ac:dyDescent="0.25">
      <c r="Q3467" s="8"/>
    </row>
    <row r="3468" spans="17:17" x14ac:dyDescent="0.25">
      <c r="Q3468" s="8"/>
    </row>
    <row r="3469" spans="17:17" x14ac:dyDescent="0.25">
      <c r="Q3469" s="8"/>
    </row>
    <row r="3470" spans="17:17" x14ac:dyDescent="0.25">
      <c r="Q3470" s="8"/>
    </row>
    <row r="3471" spans="17:17" x14ac:dyDescent="0.25">
      <c r="Q3471" s="8"/>
    </row>
    <row r="3472" spans="17:17" x14ac:dyDescent="0.25">
      <c r="Q3472" s="8"/>
    </row>
    <row r="3473" spans="17:17" x14ac:dyDescent="0.25">
      <c r="Q3473" s="8"/>
    </row>
    <row r="3474" spans="17:17" x14ac:dyDescent="0.25">
      <c r="Q3474" s="8"/>
    </row>
    <row r="3475" spans="17:17" x14ac:dyDescent="0.25">
      <c r="Q3475" s="8"/>
    </row>
    <row r="3476" spans="17:17" x14ac:dyDescent="0.25">
      <c r="Q3476" s="8"/>
    </row>
    <row r="3477" spans="17:17" x14ac:dyDescent="0.25">
      <c r="Q3477" s="8"/>
    </row>
    <row r="3478" spans="17:17" x14ac:dyDescent="0.25">
      <c r="Q3478" s="8"/>
    </row>
    <row r="3479" spans="17:17" x14ac:dyDescent="0.25">
      <c r="Q3479" s="8"/>
    </row>
    <row r="3480" spans="17:17" x14ac:dyDescent="0.25">
      <c r="Q3480" s="8"/>
    </row>
    <row r="3481" spans="17:17" x14ac:dyDescent="0.25">
      <c r="Q3481" s="8"/>
    </row>
    <row r="3482" spans="17:17" x14ac:dyDescent="0.25">
      <c r="Q3482" s="8"/>
    </row>
    <row r="3483" spans="17:17" x14ac:dyDescent="0.25">
      <c r="Q3483" s="8"/>
    </row>
    <row r="3484" spans="17:17" x14ac:dyDescent="0.25">
      <c r="Q3484" s="8"/>
    </row>
    <row r="3485" spans="17:17" x14ac:dyDescent="0.25">
      <c r="Q3485" s="8"/>
    </row>
    <row r="3486" spans="17:17" x14ac:dyDescent="0.25">
      <c r="Q3486" s="8"/>
    </row>
    <row r="3487" spans="17:17" x14ac:dyDescent="0.25">
      <c r="Q3487" s="8"/>
    </row>
    <row r="3488" spans="17:17" x14ac:dyDescent="0.25">
      <c r="Q3488" s="8"/>
    </row>
    <row r="3489" spans="17:17" x14ac:dyDescent="0.25">
      <c r="Q3489" s="8"/>
    </row>
    <row r="3490" spans="17:17" x14ac:dyDescent="0.25">
      <c r="Q3490" s="8"/>
    </row>
    <row r="3491" spans="17:17" x14ac:dyDescent="0.25">
      <c r="Q3491" s="8"/>
    </row>
    <row r="3492" spans="17:17" x14ac:dyDescent="0.25">
      <c r="Q3492" s="8"/>
    </row>
    <row r="3493" spans="17:17" x14ac:dyDescent="0.25">
      <c r="Q3493" s="8"/>
    </row>
    <row r="3494" spans="17:17" x14ac:dyDescent="0.25">
      <c r="Q3494" s="8"/>
    </row>
    <row r="3495" spans="17:17" x14ac:dyDescent="0.25">
      <c r="Q3495" s="8"/>
    </row>
    <row r="3496" spans="17:17" x14ac:dyDescent="0.25">
      <c r="Q3496" s="8"/>
    </row>
    <row r="3497" spans="17:17" x14ac:dyDescent="0.25">
      <c r="Q3497" s="8"/>
    </row>
    <row r="3498" spans="17:17" x14ac:dyDescent="0.25">
      <c r="Q3498" s="8"/>
    </row>
    <row r="3499" spans="17:17" x14ac:dyDescent="0.25">
      <c r="Q3499" s="8"/>
    </row>
    <row r="3500" spans="17:17" x14ac:dyDescent="0.25">
      <c r="Q3500" s="8"/>
    </row>
    <row r="3501" spans="17:17" x14ac:dyDescent="0.25">
      <c r="Q3501" s="8"/>
    </row>
    <row r="3502" spans="17:17" x14ac:dyDescent="0.25">
      <c r="Q3502" s="8"/>
    </row>
    <row r="3503" spans="17:17" x14ac:dyDescent="0.25">
      <c r="Q3503" s="8"/>
    </row>
    <row r="3504" spans="17:17" x14ac:dyDescent="0.25">
      <c r="Q3504" s="8"/>
    </row>
    <row r="3505" spans="17:17" x14ac:dyDescent="0.25">
      <c r="Q3505" s="8"/>
    </row>
    <row r="3506" spans="17:17" x14ac:dyDescent="0.25">
      <c r="Q3506" s="8"/>
    </row>
    <row r="3507" spans="17:17" x14ac:dyDescent="0.25">
      <c r="Q3507" s="8"/>
    </row>
    <row r="3508" spans="17:17" x14ac:dyDescent="0.25">
      <c r="Q3508" s="8"/>
    </row>
    <row r="3509" spans="17:17" x14ac:dyDescent="0.25">
      <c r="Q3509" s="8"/>
    </row>
    <row r="3510" spans="17:17" x14ac:dyDescent="0.25">
      <c r="Q3510" s="8"/>
    </row>
    <row r="3511" spans="17:17" x14ac:dyDescent="0.25">
      <c r="Q3511" s="8"/>
    </row>
    <row r="3512" spans="17:17" x14ac:dyDescent="0.25">
      <c r="Q3512" s="8"/>
    </row>
    <row r="3513" spans="17:17" x14ac:dyDescent="0.25">
      <c r="Q3513" s="8"/>
    </row>
    <row r="3514" spans="17:17" x14ac:dyDescent="0.25">
      <c r="Q3514" s="8"/>
    </row>
    <row r="3515" spans="17:17" x14ac:dyDescent="0.25">
      <c r="Q3515" s="8"/>
    </row>
    <row r="3516" spans="17:17" x14ac:dyDescent="0.25">
      <c r="Q3516" s="8"/>
    </row>
    <row r="3517" spans="17:17" x14ac:dyDescent="0.25">
      <c r="Q3517" s="8"/>
    </row>
    <row r="3518" spans="17:17" x14ac:dyDescent="0.25">
      <c r="Q3518" s="8"/>
    </row>
    <row r="3519" spans="17:17" x14ac:dyDescent="0.25">
      <c r="Q3519" s="8"/>
    </row>
    <row r="3520" spans="17:17" x14ac:dyDescent="0.25">
      <c r="Q3520" s="8"/>
    </row>
    <row r="3521" spans="17:17" x14ac:dyDescent="0.25">
      <c r="Q3521" s="8"/>
    </row>
    <row r="3522" spans="17:17" x14ac:dyDescent="0.25">
      <c r="Q3522" s="8"/>
    </row>
    <row r="3523" spans="17:17" x14ac:dyDescent="0.25">
      <c r="Q3523" s="8"/>
    </row>
    <row r="3524" spans="17:17" x14ac:dyDescent="0.25">
      <c r="Q3524" s="8"/>
    </row>
    <row r="3525" spans="17:17" x14ac:dyDescent="0.25">
      <c r="Q3525" s="8"/>
    </row>
    <row r="3526" spans="17:17" x14ac:dyDescent="0.25">
      <c r="Q3526" s="8"/>
    </row>
    <row r="3527" spans="17:17" x14ac:dyDescent="0.25">
      <c r="Q3527" s="8"/>
    </row>
    <row r="3528" spans="17:17" x14ac:dyDescent="0.25">
      <c r="Q3528" s="8"/>
    </row>
    <row r="3529" spans="17:17" x14ac:dyDescent="0.25">
      <c r="Q3529" s="8"/>
    </row>
    <row r="3530" spans="17:17" x14ac:dyDescent="0.25">
      <c r="Q3530" s="8"/>
    </row>
    <row r="3531" spans="17:17" x14ac:dyDescent="0.25">
      <c r="Q3531" s="8"/>
    </row>
    <row r="3532" spans="17:17" x14ac:dyDescent="0.25">
      <c r="Q3532" s="8"/>
    </row>
    <row r="3533" spans="17:17" x14ac:dyDescent="0.25">
      <c r="Q3533" s="8"/>
    </row>
    <row r="3534" spans="17:17" x14ac:dyDescent="0.25">
      <c r="Q3534" s="8"/>
    </row>
    <row r="3535" spans="17:17" x14ac:dyDescent="0.25">
      <c r="Q3535" s="8"/>
    </row>
    <row r="3536" spans="17:17" x14ac:dyDescent="0.25">
      <c r="Q3536" s="8"/>
    </row>
    <row r="3537" spans="17:17" x14ac:dyDescent="0.25">
      <c r="Q3537" s="8"/>
    </row>
    <row r="3538" spans="17:17" x14ac:dyDescent="0.25">
      <c r="Q3538" s="8"/>
    </row>
    <row r="3539" spans="17:17" x14ac:dyDescent="0.25">
      <c r="Q3539" s="8"/>
    </row>
    <row r="3540" spans="17:17" x14ac:dyDescent="0.25">
      <c r="Q3540" s="8"/>
    </row>
    <row r="3541" spans="17:17" x14ac:dyDescent="0.25">
      <c r="Q3541" s="8"/>
    </row>
    <row r="3542" spans="17:17" x14ac:dyDescent="0.25">
      <c r="Q3542" s="8"/>
    </row>
    <row r="3543" spans="17:17" x14ac:dyDescent="0.25">
      <c r="Q3543" s="8"/>
    </row>
    <row r="3544" spans="17:17" x14ac:dyDescent="0.25">
      <c r="Q3544" s="8"/>
    </row>
    <row r="3545" spans="17:17" x14ac:dyDescent="0.25">
      <c r="Q3545" s="8"/>
    </row>
    <row r="3546" spans="17:17" x14ac:dyDescent="0.25">
      <c r="Q3546" s="8"/>
    </row>
    <row r="3547" spans="17:17" x14ac:dyDescent="0.25">
      <c r="Q3547" s="8"/>
    </row>
    <row r="3548" spans="17:17" x14ac:dyDescent="0.25">
      <c r="Q3548" s="8"/>
    </row>
    <row r="3549" spans="17:17" x14ac:dyDescent="0.25">
      <c r="Q3549" s="8"/>
    </row>
    <row r="3550" spans="17:17" x14ac:dyDescent="0.25">
      <c r="Q3550" s="8"/>
    </row>
    <row r="3551" spans="17:17" x14ac:dyDescent="0.25">
      <c r="Q3551" s="8"/>
    </row>
    <row r="3552" spans="17:17" x14ac:dyDescent="0.25">
      <c r="Q3552" s="8"/>
    </row>
    <row r="3553" spans="17:17" x14ac:dyDescent="0.25">
      <c r="Q3553" s="8"/>
    </row>
    <row r="3554" spans="17:17" x14ac:dyDescent="0.25">
      <c r="Q3554" s="8"/>
    </row>
    <row r="3555" spans="17:17" x14ac:dyDescent="0.25">
      <c r="Q3555" s="8"/>
    </row>
    <row r="3556" spans="17:17" x14ac:dyDescent="0.25">
      <c r="Q3556" s="8"/>
    </row>
    <row r="3557" spans="17:17" x14ac:dyDescent="0.25">
      <c r="Q3557" s="8"/>
    </row>
    <row r="3558" spans="17:17" x14ac:dyDescent="0.25">
      <c r="Q3558" s="8"/>
    </row>
    <row r="3559" spans="17:17" x14ac:dyDescent="0.25">
      <c r="Q3559" s="8"/>
    </row>
    <row r="3560" spans="17:17" x14ac:dyDescent="0.25">
      <c r="Q3560" s="8"/>
    </row>
    <row r="3561" spans="17:17" x14ac:dyDescent="0.25">
      <c r="Q3561" s="8"/>
    </row>
    <row r="3562" spans="17:17" x14ac:dyDescent="0.25">
      <c r="Q3562" s="8"/>
    </row>
    <row r="3563" spans="17:17" x14ac:dyDescent="0.25">
      <c r="Q3563" s="8"/>
    </row>
    <row r="3564" spans="17:17" x14ac:dyDescent="0.25">
      <c r="Q3564" s="8"/>
    </row>
    <row r="3565" spans="17:17" x14ac:dyDescent="0.25">
      <c r="Q3565" s="8"/>
    </row>
    <row r="3566" spans="17:17" x14ac:dyDescent="0.25">
      <c r="Q3566" s="8"/>
    </row>
    <row r="3567" spans="17:17" x14ac:dyDescent="0.25">
      <c r="Q3567" s="8"/>
    </row>
    <row r="3568" spans="17:17" x14ac:dyDescent="0.25">
      <c r="Q3568" s="8"/>
    </row>
    <row r="3569" spans="17:17" x14ac:dyDescent="0.25">
      <c r="Q3569" s="8"/>
    </row>
    <row r="3570" spans="17:17" x14ac:dyDescent="0.25">
      <c r="Q3570" s="8"/>
    </row>
    <row r="3571" spans="17:17" x14ac:dyDescent="0.25">
      <c r="Q3571" s="8"/>
    </row>
    <row r="3572" spans="17:17" x14ac:dyDescent="0.25">
      <c r="Q3572" s="8"/>
    </row>
    <row r="3573" spans="17:17" x14ac:dyDescent="0.25">
      <c r="Q3573" s="8"/>
    </row>
    <row r="3574" spans="17:17" x14ac:dyDescent="0.25">
      <c r="Q3574" s="8"/>
    </row>
    <row r="3575" spans="17:17" x14ac:dyDescent="0.25">
      <c r="Q3575" s="8"/>
    </row>
    <row r="3576" spans="17:17" x14ac:dyDescent="0.25">
      <c r="Q3576" s="8"/>
    </row>
    <row r="3577" spans="17:17" x14ac:dyDescent="0.25">
      <c r="Q3577" s="8"/>
    </row>
    <row r="3578" spans="17:17" x14ac:dyDescent="0.25">
      <c r="Q3578" s="8"/>
    </row>
    <row r="3579" spans="17:17" x14ac:dyDescent="0.25">
      <c r="Q3579" s="8"/>
    </row>
    <row r="3580" spans="17:17" x14ac:dyDescent="0.25">
      <c r="Q3580" s="8"/>
    </row>
    <row r="3581" spans="17:17" x14ac:dyDescent="0.25">
      <c r="Q3581" s="8"/>
    </row>
    <row r="3582" spans="17:17" x14ac:dyDescent="0.25">
      <c r="Q3582" s="8"/>
    </row>
    <row r="3583" spans="17:17" x14ac:dyDescent="0.25">
      <c r="Q3583" s="8"/>
    </row>
    <row r="3584" spans="17:17" x14ac:dyDescent="0.25">
      <c r="Q3584" s="8"/>
    </row>
    <row r="3585" spans="17:17" x14ac:dyDescent="0.25">
      <c r="Q3585" s="8"/>
    </row>
    <row r="3586" spans="17:17" x14ac:dyDescent="0.25">
      <c r="Q3586" s="8"/>
    </row>
    <row r="3587" spans="17:17" x14ac:dyDescent="0.25">
      <c r="Q3587" s="8"/>
    </row>
    <row r="3588" spans="17:17" x14ac:dyDescent="0.25">
      <c r="Q3588" s="8"/>
    </row>
    <row r="3589" spans="17:17" x14ac:dyDescent="0.25">
      <c r="Q3589" s="8"/>
    </row>
    <row r="3590" spans="17:17" x14ac:dyDescent="0.25">
      <c r="Q3590" s="8"/>
    </row>
    <row r="3591" spans="17:17" x14ac:dyDescent="0.25">
      <c r="Q3591" s="8"/>
    </row>
    <row r="3592" spans="17:17" x14ac:dyDescent="0.25">
      <c r="Q3592" s="8"/>
    </row>
    <row r="3593" spans="17:17" x14ac:dyDescent="0.25">
      <c r="Q3593" s="8"/>
    </row>
    <row r="3594" spans="17:17" x14ac:dyDescent="0.25">
      <c r="Q3594" s="8"/>
    </row>
    <row r="3595" spans="17:17" x14ac:dyDescent="0.25">
      <c r="Q3595" s="8"/>
    </row>
    <row r="3596" spans="17:17" x14ac:dyDescent="0.25">
      <c r="Q3596" s="8"/>
    </row>
    <row r="3597" spans="17:17" x14ac:dyDescent="0.25">
      <c r="Q3597" s="8"/>
    </row>
    <row r="3598" spans="17:17" x14ac:dyDescent="0.25">
      <c r="Q3598" s="8"/>
    </row>
    <row r="3599" spans="17:17" x14ac:dyDescent="0.25">
      <c r="Q3599" s="8"/>
    </row>
    <row r="3600" spans="17:17" x14ac:dyDescent="0.25">
      <c r="Q3600" s="8"/>
    </row>
    <row r="3601" spans="17:17" x14ac:dyDescent="0.25">
      <c r="Q3601" s="8"/>
    </row>
    <row r="3602" spans="17:17" x14ac:dyDescent="0.25">
      <c r="Q3602" s="8"/>
    </row>
    <row r="3603" spans="17:17" x14ac:dyDescent="0.25">
      <c r="Q3603" s="8"/>
    </row>
    <row r="3604" spans="17:17" x14ac:dyDescent="0.25">
      <c r="Q3604" s="8"/>
    </row>
    <row r="3605" spans="17:17" x14ac:dyDescent="0.25">
      <c r="Q3605" s="8"/>
    </row>
    <row r="3606" spans="17:17" x14ac:dyDescent="0.25">
      <c r="Q3606" s="8"/>
    </row>
    <row r="3607" spans="17:17" x14ac:dyDescent="0.25">
      <c r="Q3607" s="8"/>
    </row>
    <row r="3608" spans="17:17" x14ac:dyDescent="0.25">
      <c r="Q3608" s="8"/>
    </row>
    <row r="3609" spans="17:17" x14ac:dyDescent="0.25">
      <c r="Q3609" s="8"/>
    </row>
    <row r="3610" spans="17:17" x14ac:dyDescent="0.25">
      <c r="Q3610" s="8"/>
    </row>
    <row r="3611" spans="17:17" x14ac:dyDescent="0.25">
      <c r="Q3611" s="8"/>
    </row>
    <row r="3612" spans="17:17" x14ac:dyDescent="0.25">
      <c r="Q3612" s="8"/>
    </row>
    <row r="3613" spans="17:17" x14ac:dyDescent="0.25">
      <c r="Q3613" s="8"/>
    </row>
    <row r="3614" spans="17:17" x14ac:dyDescent="0.25">
      <c r="Q3614" s="8"/>
    </row>
    <row r="3615" spans="17:17" x14ac:dyDescent="0.25">
      <c r="Q3615" s="8"/>
    </row>
    <row r="3616" spans="17:17" x14ac:dyDescent="0.25">
      <c r="Q3616" s="8"/>
    </row>
    <row r="3617" spans="17:17" x14ac:dyDescent="0.25">
      <c r="Q3617" s="8"/>
    </row>
    <row r="3618" spans="17:17" x14ac:dyDescent="0.25">
      <c r="Q3618" s="8"/>
    </row>
    <row r="3619" spans="17:17" x14ac:dyDescent="0.25">
      <c r="Q3619" s="8"/>
    </row>
    <row r="3620" spans="17:17" x14ac:dyDescent="0.25">
      <c r="Q3620" s="8"/>
    </row>
    <row r="3621" spans="17:17" x14ac:dyDescent="0.25">
      <c r="Q3621" s="8"/>
    </row>
    <row r="3622" spans="17:17" x14ac:dyDescent="0.25">
      <c r="Q3622" s="8"/>
    </row>
    <row r="3623" spans="17:17" x14ac:dyDescent="0.25">
      <c r="Q3623" s="8"/>
    </row>
    <row r="3624" spans="17:17" x14ac:dyDescent="0.25">
      <c r="Q3624" s="8"/>
    </row>
    <row r="3625" spans="17:17" x14ac:dyDescent="0.25">
      <c r="Q3625" s="8"/>
    </row>
    <row r="3626" spans="17:17" x14ac:dyDescent="0.25">
      <c r="Q3626" s="8"/>
    </row>
    <row r="3627" spans="17:17" x14ac:dyDescent="0.25">
      <c r="Q3627" s="8"/>
    </row>
    <row r="3628" spans="17:17" x14ac:dyDescent="0.25">
      <c r="Q3628" s="8"/>
    </row>
    <row r="3629" spans="17:17" x14ac:dyDescent="0.25">
      <c r="Q3629" s="8"/>
    </row>
    <row r="3630" spans="17:17" x14ac:dyDescent="0.25">
      <c r="Q3630" s="8"/>
    </row>
    <row r="3631" spans="17:17" x14ac:dyDescent="0.25">
      <c r="Q3631" s="8"/>
    </row>
    <row r="3632" spans="17:17" x14ac:dyDescent="0.25">
      <c r="Q3632" s="8"/>
    </row>
    <row r="3633" spans="17:17" x14ac:dyDescent="0.25">
      <c r="Q3633" s="8"/>
    </row>
    <row r="3634" spans="17:17" x14ac:dyDescent="0.25">
      <c r="Q3634" s="8"/>
    </row>
    <row r="3635" spans="17:17" x14ac:dyDescent="0.25">
      <c r="Q3635" s="8"/>
    </row>
    <row r="3636" spans="17:17" x14ac:dyDescent="0.25">
      <c r="Q3636" s="8"/>
    </row>
    <row r="3637" spans="17:17" x14ac:dyDescent="0.25">
      <c r="Q3637" s="8"/>
    </row>
    <row r="3638" spans="17:17" x14ac:dyDescent="0.25">
      <c r="Q3638" s="8"/>
    </row>
    <row r="3639" spans="17:17" x14ac:dyDescent="0.25">
      <c r="Q3639" s="8"/>
    </row>
    <row r="3640" spans="17:17" x14ac:dyDescent="0.25">
      <c r="Q3640" s="8"/>
    </row>
    <row r="3641" spans="17:17" x14ac:dyDescent="0.25">
      <c r="Q3641" s="8"/>
    </row>
    <row r="3642" spans="17:17" x14ac:dyDescent="0.25">
      <c r="Q3642" s="8"/>
    </row>
    <row r="3643" spans="17:17" x14ac:dyDescent="0.25">
      <c r="Q3643" s="8"/>
    </row>
    <row r="3644" spans="17:17" x14ac:dyDescent="0.25">
      <c r="Q3644" s="8"/>
    </row>
    <row r="3645" spans="17:17" x14ac:dyDescent="0.25">
      <c r="Q3645" s="8"/>
    </row>
    <row r="3646" spans="17:17" x14ac:dyDescent="0.25">
      <c r="Q3646" s="8"/>
    </row>
    <row r="3647" spans="17:17" x14ac:dyDescent="0.25">
      <c r="Q3647" s="8"/>
    </row>
    <row r="3648" spans="17:17" x14ac:dyDescent="0.25">
      <c r="Q3648" s="8"/>
    </row>
    <row r="3649" spans="17:17" x14ac:dyDescent="0.25">
      <c r="Q3649" s="8"/>
    </row>
    <row r="3650" spans="17:17" x14ac:dyDescent="0.25">
      <c r="Q3650" s="8"/>
    </row>
    <row r="3651" spans="17:17" x14ac:dyDescent="0.25">
      <c r="Q3651" s="8"/>
    </row>
    <row r="3652" spans="17:17" x14ac:dyDescent="0.25">
      <c r="Q3652" s="8"/>
    </row>
    <row r="3653" spans="17:17" x14ac:dyDescent="0.25">
      <c r="Q3653" s="8"/>
    </row>
    <row r="3654" spans="17:17" x14ac:dyDescent="0.25">
      <c r="Q3654" s="8"/>
    </row>
    <row r="3655" spans="17:17" x14ac:dyDescent="0.25">
      <c r="Q3655" s="8"/>
    </row>
    <row r="3656" spans="17:17" x14ac:dyDescent="0.25">
      <c r="Q3656" s="8"/>
    </row>
    <row r="3657" spans="17:17" x14ac:dyDescent="0.25">
      <c r="Q3657" s="8"/>
    </row>
    <row r="3658" spans="17:17" x14ac:dyDescent="0.25">
      <c r="Q3658" s="8"/>
    </row>
    <row r="3659" spans="17:17" x14ac:dyDescent="0.25">
      <c r="Q3659" s="8"/>
    </row>
    <row r="3660" spans="17:17" x14ac:dyDescent="0.25">
      <c r="Q3660" s="8"/>
    </row>
    <row r="3661" spans="17:17" x14ac:dyDescent="0.25">
      <c r="Q3661" s="8"/>
    </row>
    <row r="3662" spans="17:17" x14ac:dyDescent="0.25">
      <c r="Q3662" s="8"/>
    </row>
    <row r="3663" spans="17:17" x14ac:dyDescent="0.25">
      <c r="Q3663" s="8"/>
    </row>
    <row r="3664" spans="17:17" x14ac:dyDescent="0.25">
      <c r="Q3664" s="8"/>
    </row>
    <row r="3665" spans="17:17" x14ac:dyDescent="0.25">
      <c r="Q3665" s="8"/>
    </row>
    <row r="3666" spans="17:17" x14ac:dyDescent="0.25">
      <c r="Q3666" s="8"/>
    </row>
    <row r="3667" spans="17:17" x14ac:dyDescent="0.25">
      <c r="Q3667" s="8"/>
    </row>
    <row r="3668" spans="17:17" x14ac:dyDescent="0.25">
      <c r="Q3668" s="8"/>
    </row>
    <row r="3669" spans="17:17" x14ac:dyDescent="0.25">
      <c r="Q3669" s="8"/>
    </row>
    <row r="3670" spans="17:17" x14ac:dyDescent="0.25">
      <c r="Q3670" s="8"/>
    </row>
    <row r="3671" spans="17:17" x14ac:dyDescent="0.25">
      <c r="Q3671" s="8"/>
    </row>
    <row r="3672" spans="17:17" x14ac:dyDescent="0.25">
      <c r="Q3672" s="8"/>
    </row>
    <row r="3673" spans="17:17" x14ac:dyDescent="0.25">
      <c r="Q3673" s="8"/>
    </row>
    <row r="3674" spans="17:17" x14ac:dyDescent="0.25">
      <c r="Q3674" s="8"/>
    </row>
    <row r="3675" spans="17:17" x14ac:dyDescent="0.25">
      <c r="Q3675" s="8"/>
    </row>
    <row r="3676" spans="17:17" x14ac:dyDescent="0.25">
      <c r="Q3676" s="8"/>
    </row>
    <row r="3677" spans="17:17" x14ac:dyDescent="0.25">
      <c r="Q3677" s="8"/>
    </row>
    <row r="3678" spans="17:17" x14ac:dyDescent="0.25">
      <c r="Q3678" s="8"/>
    </row>
    <row r="3679" spans="17:17" x14ac:dyDescent="0.25">
      <c r="Q3679" s="8"/>
    </row>
    <row r="3680" spans="17:17" x14ac:dyDescent="0.25">
      <c r="Q3680" s="8"/>
    </row>
    <row r="3681" spans="17:17" x14ac:dyDescent="0.25">
      <c r="Q3681" s="8"/>
    </row>
    <row r="3682" spans="17:17" x14ac:dyDescent="0.25">
      <c r="Q3682" s="8"/>
    </row>
    <row r="3683" spans="17:17" x14ac:dyDescent="0.25">
      <c r="Q3683" s="8"/>
    </row>
    <row r="3684" spans="17:17" x14ac:dyDescent="0.25">
      <c r="Q3684" s="8"/>
    </row>
    <row r="3685" spans="17:17" x14ac:dyDescent="0.25">
      <c r="Q3685" s="8"/>
    </row>
    <row r="3686" spans="17:17" x14ac:dyDescent="0.25">
      <c r="Q3686" s="8"/>
    </row>
    <row r="3687" spans="17:17" x14ac:dyDescent="0.25">
      <c r="Q3687" s="8"/>
    </row>
    <row r="3688" spans="17:17" x14ac:dyDescent="0.25">
      <c r="Q3688" s="8"/>
    </row>
    <row r="3689" spans="17:17" x14ac:dyDescent="0.25">
      <c r="Q3689" s="8"/>
    </row>
    <row r="3690" spans="17:17" x14ac:dyDescent="0.25">
      <c r="Q3690" s="8"/>
    </row>
    <row r="3691" spans="17:17" x14ac:dyDescent="0.25">
      <c r="Q3691" s="8"/>
    </row>
    <row r="3692" spans="17:17" x14ac:dyDescent="0.25">
      <c r="Q3692" s="8"/>
    </row>
    <row r="3693" spans="17:17" x14ac:dyDescent="0.25">
      <c r="Q3693" s="8"/>
    </row>
    <row r="3694" spans="17:17" x14ac:dyDescent="0.25">
      <c r="Q3694" s="8"/>
    </row>
    <row r="3695" spans="17:17" x14ac:dyDescent="0.25">
      <c r="Q3695" s="8"/>
    </row>
    <row r="3696" spans="17:17" x14ac:dyDescent="0.25">
      <c r="Q3696" s="8"/>
    </row>
    <row r="3697" spans="17:17" x14ac:dyDescent="0.25">
      <c r="Q3697" s="8"/>
    </row>
    <row r="3698" spans="17:17" x14ac:dyDescent="0.25">
      <c r="Q3698" s="8"/>
    </row>
    <row r="3699" spans="17:17" x14ac:dyDescent="0.25">
      <c r="Q3699" s="8"/>
    </row>
    <row r="3700" spans="17:17" x14ac:dyDescent="0.25">
      <c r="Q3700" s="8"/>
    </row>
    <row r="3701" spans="17:17" x14ac:dyDescent="0.25">
      <c r="Q3701" s="8"/>
    </row>
    <row r="3702" spans="17:17" x14ac:dyDescent="0.25">
      <c r="Q3702" s="8"/>
    </row>
    <row r="3703" spans="17:17" x14ac:dyDescent="0.25">
      <c r="Q3703" s="8"/>
    </row>
    <row r="3704" spans="17:17" x14ac:dyDescent="0.25">
      <c r="Q3704" s="8"/>
    </row>
    <row r="3705" spans="17:17" x14ac:dyDescent="0.25">
      <c r="Q3705" s="8"/>
    </row>
    <row r="3706" spans="17:17" x14ac:dyDescent="0.25">
      <c r="Q3706" s="8"/>
    </row>
    <row r="3707" spans="17:17" x14ac:dyDescent="0.25">
      <c r="Q3707" s="8"/>
    </row>
    <row r="3708" spans="17:17" x14ac:dyDescent="0.25">
      <c r="Q3708" s="8"/>
    </row>
    <row r="3709" spans="17:17" x14ac:dyDescent="0.25">
      <c r="Q3709" s="8"/>
    </row>
    <row r="3710" spans="17:17" x14ac:dyDescent="0.25">
      <c r="Q3710" s="8"/>
    </row>
    <row r="3711" spans="17:17" x14ac:dyDescent="0.25">
      <c r="Q3711" s="8"/>
    </row>
    <row r="3712" spans="17:17" x14ac:dyDescent="0.25">
      <c r="Q3712" s="8"/>
    </row>
    <row r="3713" spans="17:17" x14ac:dyDescent="0.25">
      <c r="Q3713" s="8"/>
    </row>
    <row r="3714" spans="17:17" x14ac:dyDescent="0.25">
      <c r="Q3714" s="8"/>
    </row>
    <row r="3715" spans="17:17" x14ac:dyDescent="0.25">
      <c r="Q3715" s="8"/>
    </row>
    <row r="3716" spans="17:17" x14ac:dyDescent="0.25">
      <c r="Q3716" s="8"/>
    </row>
    <row r="3717" spans="17:17" x14ac:dyDescent="0.25">
      <c r="Q3717" s="8"/>
    </row>
    <row r="3718" spans="17:17" x14ac:dyDescent="0.25">
      <c r="Q3718" s="8"/>
    </row>
    <row r="3719" spans="17:17" x14ac:dyDescent="0.25">
      <c r="Q3719" s="8"/>
    </row>
    <row r="3720" spans="17:17" x14ac:dyDescent="0.25">
      <c r="Q3720" s="8"/>
    </row>
    <row r="3721" spans="17:17" x14ac:dyDescent="0.25">
      <c r="Q3721" s="8"/>
    </row>
    <row r="3722" spans="17:17" x14ac:dyDescent="0.25">
      <c r="Q3722" s="8"/>
    </row>
    <row r="3723" spans="17:17" x14ac:dyDescent="0.25">
      <c r="Q3723" s="8"/>
    </row>
    <row r="3724" spans="17:17" x14ac:dyDescent="0.25">
      <c r="Q3724" s="8"/>
    </row>
    <row r="3725" spans="17:17" x14ac:dyDescent="0.25">
      <c r="Q3725" s="8"/>
    </row>
    <row r="3726" spans="17:17" x14ac:dyDescent="0.25">
      <c r="Q3726" s="8"/>
    </row>
    <row r="3727" spans="17:17" x14ac:dyDescent="0.25">
      <c r="Q3727" s="8"/>
    </row>
    <row r="3728" spans="17:17" x14ac:dyDescent="0.25">
      <c r="Q3728" s="8"/>
    </row>
    <row r="3729" spans="17:17" x14ac:dyDescent="0.25">
      <c r="Q3729" s="8"/>
    </row>
    <row r="3730" spans="17:17" x14ac:dyDescent="0.25">
      <c r="Q3730" s="8"/>
    </row>
    <row r="3731" spans="17:17" x14ac:dyDescent="0.25">
      <c r="Q3731" s="8"/>
    </row>
    <row r="3732" spans="17:17" x14ac:dyDescent="0.25">
      <c r="Q3732" s="8"/>
    </row>
    <row r="3733" spans="17:17" x14ac:dyDescent="0.25">
      <c r="Q3733" s="8"/>
    </row>
    <row r="3734" spans="17:17" x14ac:dyDescent="0.25">
      <c r="Q3734" s="8"/>
    </row>
    <row r="3735" spans="17:17" x14ac:dyDescent="0.25">
      <c r="Q3735" s="8"/>
    </row>
    <row r="3736" spans="17:17" x14ac:dyDescent="0.25">
      <c r="Q3736" s="8"/>
    </row>
    <row r="3737" spans="17:17" x14ac:dyDescent="0.25">
      <c r="Q3737" s="8"/>
    </row>
    <row r="3738" spans="17:17" x14ac:dyDescent="0.25">
      <c r="Q3738" s="8"/>
    </row>
    <row r="3739" spans="17:17" x14ac:dyDescent="0.25">
      <c r="Q3739" s="8"/>
    </row>
    <row r="3740" spans="17:17" x14ac:dyDescent="0.25">
      <c r="Q3740" s="8"/>
    </row>
    <row r="3741" spans="17:17" x14ac:dyDescent="0.25">
      <c r="Q3741" s="8"/>
    </row>
    <row r="3742" spans="17:17" x14ac:dyDescent="0.25">
      <c r="Q3742" s="8"/>
    </row>
    <row r="3743" spans="17:17" x14ac:dyDescent="0.25">
      <c r="Q3743" s="8"/>
    </row>
    <row r="3744" spans="17:17" x14ac:dyDescent="0.25">
      <c r="Q3744" s="8"/>
    </row>
    <row r="3745" spans="17:17" x14ac:dyDescent="0.25">
      <c r="Q3745" s="8"/>
    </row>
    <row r="3746" spans="17:17" x14ac:dyDescent="0.25">
      <c r="Q3746" s="8"/>
    </row>
    <row r="3747" spans="17:17" x14ac:dyDescent="0.25">
      <c r="Q3747" s="8"/>
    </row>
    <row r="3748" spans="17:17" x14ac:dyDescent="0.25">
      <c r="Q3748" s="8"/>
    </row>
    <row r="3749" spans="17:17" x14ac:dyDescent="0.25">
      <c r="Q3749" s="8"/>
    </row>
    <row r="3750" spans="17:17" x14ac:dyDescent="0.25">
      <c r="Q3750" s="8"/>
    </row>
    <row r="3751" spans="17:17" x14ac:dyDescent="0.25">
      <c r="Q3751" s="8"/>
    </row>
    <row r="3752" spans="17:17" x14ac:dyDescent="0.25">
      <c r="Q3752" s="8"/>
    </row>
    <row r="3753" spans="17:17" x14ac:dyDescent="0.25">
      <c r="Q3753" s="8"/>
    </row>
    <row r="3754" spans="17:17" x14ac:dyDescent="0.25">
      <c r="Q3754" s="8"/>
    </row>
    <row r="3755" spans="17:17" x14ac:dyDescent="0.25">
      <c r="Q3755" s="8"/>
    </row>
    <row r="3756" spans="17:17" x14ac:dyDescent="0.25">
      <c r="Q3756" s="8"/>
    </row>
    <row r="3757" spans="17:17" x14ac:dyDescent="0.25">
      <c r="Q3757" s="8"/>
    </row>
    <row r="3758" spans="17:17" x14ac:dyDescent="0.25">
      <c r="Q3758" s="8"/>
    </row>
    <row r="3759" spans="17:17" x14ac:dyDescent="0.25">
      <c r="Q3759" s="8"/>
    </row>
    <row r="3760" spans="17:17" x14ac:dyDescent="0.25">
      <c r="Q3760" s="8"/>
    </row>
    <row r="3761" spans="17:17" x14ac:dyDescent="0.25">
      <c r="Q3761" s="8"/>
    </row>
    <row r="3762" spans="17:17" x14ac:dyDescent="0.25">
      <c r="Q3762" s="8"/>
    </row>
    <row r="3763" spans="17:17" x14ac:dyDescent="0.25">
      <c r="Q3763" s="8"/>
    </row>
    <row r="3764" spans="17:17" x14ac:dyDescent="0.25">
      <c r="Q3764" s="8"/>
    </row>
    <row r="3765" spans="17:17" x14ac:dyDescent="0.25">
      <c r="Q3765" s="8"/>
    </row>
    <row r="3766" spans="17:17" x14ac:dyDescent="0.25">
      <c r="Q3766" s="8"/>
    </row>
    <row r="3767" spans="17:17" x14ac:dyDescent="0.25">
      <c r="Q3767" s="8"/>
    </row>
    <row r="3768" spans="17:17" x14ac:dyDescent="0.25">
      <c r="Q3768" s="8"/>
    </row>
    <row r="3769" spans="17:17" x14ac:dyDescent="0.25">
      <c r="Q3769" s="8"/>
    </row>
    <row r="3770" spans="17:17" x14ac:dyDescent="0.25">
      <c r="Q3770" s="8"/>
    </row>
    <row r="3771" spans="17:17" x14ac:dyDescent="0.25">
      <c r="Q3771" s="8"/>
    </row>
    <row r="3772" spans="17:17" x14ac:dyDescent="0.25">
      <c r="Q3772" s="8"/>
    </row>
    <row r="3773" spans="17:17" x14ac:dyDescent="0.25">
      <c r="Q3773" s="8"/>
    </row>
    <row r="3774" spans="17:17" x14ac:dyDescent="0.25">
      <c r="Q3774" s="8"/>
    </row>
    <row r="3775" spans="17:17" x14ac:dyDescent="0.25">
      <c r="Q3775" s="8"/>
    </row>
    <row r="3776" spans="17:17" x14ac:dyDescent="0.25">
      <c r="Q3776" s="8"/>
    </row>
    <row r="3777" spans="17:17" x14ac:dyDescent="0.25">
      <c r="Q3777" s="8"/>
    </row>
    <row r="3778" spans="17:17" x14ac:dyDescent="0.25">
      <c r="Q3778" s="8"/>
    </row>
    <row r="3779" spans="17:17" x14ac:dyDescent="0.25">
      <c r="Q3779" s="8"/>
    </row>
    <row r="3780" spans="17:17" x14ac:dyDescent="0.25">
      <c r="Q3780" s="8"/>
    </row>
    <row r="3781" spans="17:17" x14ac:dyDescent="0.25">
      <c r="Q3781" s="8"/>
    </row>
    <row r="3782" spans="17:17" x14ac:dyDescent="0.25">
      <c r="Q3782" s="8"/>
    </row>
    <row r="3783" spans="17:17" x14ac:dyDescent="0.25">
      <c r="Q3783" s="8"/>
    </row>
    <row r="3784" spans="17:17" x14ac:dyDescent="0.25">
      <c r="Q3784" s="8"/>
    </row>
    <row r="3785" spans="17:17" x14ac:dyDescent="0.25">
      <c r="Q3785" s="8"/>
    </row>
    <row r="3786" spans="17:17" x14ac:dyDescent="0.25">
      <c r="Q3786" s="8"/>
    </row>
    <row r="3787" spans="17:17" x14ac:dyDescent="0.25">
      <c r="Q3787" s="8"/>
    </row>
    <row r="3788" spans="17:17" x14ac:dyDescent="0.25">
      <c r="Q3788" s="8"/>
    </row>
    <row r="3789" spans="17:17" x14ac:dyDescent="0.25">
      <c r="Q3789" s="8"/>
    </row>
    <row r="3790" spans="17:17" x14ac:dyDescent="0.25">
      <c r="Q3790" s="8"/>
    </row>
    <row r="3791" spans="17:17" x14ac:dyDescent="0.25">
      <c r="Q3791" s="8"/>
    </row>
    <row r="3792" spans="17:17" x14ac:dyDescent="0.25">
      <c r="Q3792" s="8"/>
    </row>
    <row r="3793" spans="17:17" x14ac:dyDescent="0.25">
      <c r="Q3793" s="8"/>
    </row>
    <row r="3794" spans="17:17" x14ac:dyDescent="0.25">
      <c r="Q3794" s="8"/>
    </row>
    <row r="3795" spans="17:17" x14ac:dyDescent="0.25">
      <c r="Q3795" s="8"/>
    </row>
    <row r="3796" spans="17:17" x14ac:dyDescent="0.25">
      <c r="Q3796" s="8"/>
    </row>
    <row r="3797" spans="17:17" x14ac:dyDescent="0.25">
      <c r="Q3797" s="8"/>
    </row>
    <row r="3798" spans="17:17" x14ac:dyDescent="0.25">
      <c r="Q3798" s="8"/>
    </row>
    <row r="3799" spans="17:17" x14ac:dyDescent="0.25">
      <c r="Q3799" s="8"/>
    </row>
    <row r="3800" spans="17:17" x14ac:dyDescent="0.25">
      <c r="Q3800" s="8"/>
    </row>
    <row r="3801" spans="17:17" x14ac:dyDescent="0.25">
      <c r="Q3801" s="8"/>
    </row>
    <row r="3802" spans="17:17" x14ac:dyDescent="0.25">
      <c r="Q3802" s="8"/>
    </row>
    <row r="3803" spans="17:17" x14ac:dyDescent="0.25">
      <c r="Q3803" s="8"/>
    </row>
    <row r="3804" spans="17:17" x14ac:dyDescent="0.25">
      <c r="Q3804" s="8"/>
    </row>
    <row r="3805" spans="17:17" x14ac:dyDescent="0.25">
      <c r="Q3805" s="8"/>
    </row>
    <row r="3806" spans="17:17" x14ac:dyDescent="0.25">
      <c r="Q3806" s="8"/>
    </row>
    <row r="3807" spans="17:17" x14ac:dyDescent="0.25">
      <c r="Q3807" s="8"/>
    </row>
    <row r="3808" spans="17:17" x14ac:dyDescent="0.25">
      <c r="Q3808" s="8"/>
    </row>
    <row r="3809" spans="17:17" x14ac:dyDescent="0.25">
      <c r="Q3809" s="8"/>
    </row>
    <row r="3810" spans="17:17" x14ac:dyDescent="0.25">
      <c r="Q3810" s="8"/>
    </row>
    <row r="3811" spans="17:17" x14ac:dyDescent="0.25">
      <c r="Q3811" s="8"/>
    </row>
    <row r="3812" spans="17:17" x14ac:dyDescent="0.25">
      <c r="Q3812" s="8"/>
    </row>
    <row r="3813" spans="17:17" x14ac:dyDescent="0.25">
      <c r="Q3813" s="8"/>
    </row>
    <row r="3814" spans="17:17" x14ac:dyDescent="0.25">
      <c r="Q3814" s="8"/>
    </row>
    <row r="3815" spans="17:17" x14ac:dyDescent="0.25">
      <c r="Q3815" s="8"/>
    </row>
    <row r="3816" spans="17:17" x14ac:dyDescent="0.25">
      <c r="Q3816" s="8"/>
    </row>
    <row r="3817" spans="17:17" x14ac:dyDescent="0.25">
      <c r="Q3817" s="8"/>
    </row>
    <row r="3818" spans="17:17" x14ac:dyDescent="0.25">
      <c r="Q3818" s="8"/>
    </row>
    <row r="3819" spans="17:17" x14ac:dyDescent="0.25">
      <c r="Q3819" s="8"/>
    </row>
    <row r="3820" spans="17:17" x14ac:dyDescent="0.25">
      <c r="Q3820" s="8"/>
    </row>
    <row r="3821" spans="17:17" x14ac:dyDescent="0.25">
      <c r="Q3821" s="8"/>
    </row>
    <row r="3822" spans="17:17" x14ac:dyDescent="0.25">
      <c r="Q3822" s="8"/>
    </row>
    <row r="3823" spans="17:17" x14ac:dyDescent="0.25">
      <c r="Q3823" s="8"/>
    </row>
    <row r="3824" spans="17:17" x14ac:dyDescent="0.25">
      <c r="Q3824" s="8"/>
    </row>
    <row r="3825" spans="17:17" x14ac:dyDescent="0.25">
      <c r="Q3825" s="8"/>
    </row>
    <row r="3826" spans="17:17" x14ac:dyDescent="0.25">
      <c r="Q3826" s="8"/>
    </row>
    <row r="3827" spans="17:17" x14ac:dyDescent="0.25">
      <c r="Q3827" s="8"/>
    </row>
    <row r="3828" spans="17:17" x14ac:dyDescent="0.25">
      <c r="Q3828" s="8"/>
    </row>
    <row r="3829" spans="17:17" x14ac:dyDescent="0.25">
      <c r="Q3829" s="8"/>
    </row>
    <row r="3830" spans="17:17" x14ac:dyDescent="0.25">
      <c r="Q3830" s="8"/>
    </row>
    <row r="3831" spans="17:17" x14ac:dyDescent="0.25">
      <c r="Q3831" s="8"/>
    </row>
    <row r="3832" spans="17:17" x14ac:dyDescent="0.25">
      <c r="Q3832" s="8"/>
    </row>
    <row r="3833" spans="17:17" x14ac:dyDescent="0.25">
      <c r="Q3833" s="8"/>
    </row>
    <row r="3834" spans="17:17" x14ac:dyDescent="0.25">
      <c r="Q3834" s="8"/>
    </row>
    <row r="3835" spans="17:17" x14ac:dyDescent="0.25">
      <c r="Q3835" s="8"/>
    </row>
    <row r="3836" spans="17:17" x14ac:dyDescent="0.25">
      <c r="Q3836" s="8"/>
    </row>
    <row r="3837" spans="17:17" x14ac:dyDescent="0.25">
      <c r="Q3837" s="8"/>
    </row>
    <row r="3838" spans="17:17" x14ac:dyDescent="0.25">
      <c r="Q3838" s="8"/>
    </row>
    <row r="3839" spans="17:17" x14ac:dyDescent="0.25">
      <c r="Q3839" s="8"/>
    </row>
    <row r="3840" spans="17:17" x14ac:dyDescent="0.25">
      <c r="Q3840" s="8"/>
    </row>
    <row r="3841" spans="17:17" x14ac:dyDescent="0.25">
      <c r="Q3841" s="8"/>
    </row>
    <row r="3842" spans="17:17" x14ac:dyDescent="0.25">
      <c r="Q3842" s="8"/>
    </row>
    <row r="3843" spans="17:17" x14ac:dyDescent="0.25">
      <c r="Q3843" s="8"/>
    </row>
    <row r="3844" spans="17:17" x14ac:dyDescent="0.25">
      <c r="Q3844" s="8"/>
    </row>
    <row r="3845" spans="17:17" x14ac:dyDescent="0.25">
      <c r="Q3845" s="8"/>
    </row>
    <row r="3846" spans="17:17" x14ac:dyDescent="0.25">
      <c r="Q3846" s="8"/>
    </row>
    <row r="3847" spans="17:17" x14ac:dyDescent="0.25">
      <c r="Q3847" s="8"/>
    </row>
    <row r="3848" spans="17:17" x14ac:dyDescent="0.25">
      <c r="Q3848" s="8"/>
    </row>
    <row r="3849" spans="17:17" x14ac:dyDescent="0.25">
      <c r="Q3849" s="8"/>
    </row>
    <row r="3850" spans="17:17" x14ac:dyDescent="0.25">
      <c r="Q3850" s="8"/>
    </row>
    <row r="3851" spans="17:17" x14ac:dyDescent="0.25">
      <c r="Q3851" s="8"/>
    </row>
    <row r="3852" spans="17:17" x14ac:dyDescent="0.25">
      <c r="Q3852" s="8"/>
    </row>
    <row r="3853" spans="17:17" x14ac:dyDescent="0.25">
      <c r="Q3853" s="8"/>
    </row>
    <row r="3854" spans="17:17" x14ac:dyDescent="0.25">
      <c r="Q3854" s="8"/>
    </row>
    <row r="3855" spans="17:17" x14ac:dyDescent="0.25">
      <c r="Q3855" s="8"/>
    </row>
    <row r="3856" spans="17:17" x14ac:dyDescent="0.25">
      <c r="Q3856" s="8"/>
    </row>
    <row r="3857" spans="17:17" x14ac:dyDescent="0.25">
      <c r="Q3857" s="8"/>
    </row>
    <row r="3858" spans="17:17" x14ac:dyDescent="0.25">
      <c r="Q3858" s="8"/>
    </row>
    <row r="3859" spans="17:17" x14ac:dyDescent="0.25">
      <c r="Q3859" s="8"/>
    </row>
    <row r="3860" spans="17:17" x14ac:dyDescent="0.25">
      <c r="Q3860" s="8"/>
    </row>
    <row r="3861" spans="17:17" x14ac:dyDescent="0.25">
      <c r="Q3861" s="8"/>
    </row>
    <row r="3862" spans="17:17" x14ac:dyDescent="0.25">
      <c r="Q3862" s="8"/>
    </row>
    <row r="3863" spans="17:17" x14ac:dyDescent="0.25">
      <c r="Q3863" s="8"/>
    </row>
    <row r="3864" spans="17:17" x14ac:dyDescent="0.25">
      <c r="Q3864" s="8"/>
    </row>
    <row r="3865" spans="17:17" x14ac:dyDescent="0.25">
      <c r="Q3865" s="8"/>
    </row>
    <row r="3866" spans="17:17" x14ac:dyDescent="0.25">
      <c r="Q3866" s="8"/>
    </row>
    <row r="3867" spans="17:17" x14ac:dyDescent="0.25">
      <c r="Q3867" s="8"/>
    </row>
    <row r="3868" spans="17:17" x14ac:dyDescent="0.25">
      <c r="Q3868" s="8"/>
    </row>
    <row r="3869" spans="17:17" x14ac:dyDescent="0.25">
      <c r="Q3869" s="8"/>
    </row>
    <row r="3870" spans="17:17" x14ac:dyDescent="0.25">
      <c r="Q3870" s="8"/>
    </row>
    <row r="3871" spans="17:17" x14ac:dyDescent="0.25">
      <c r="Q3871" s="8"/>
    </row>
    <row r="3872" spans="17:17" x14ac:dyDescent="0.25">
      <c r="Q3872" s="8"/>
    </row>
    <row r="3873" spans="17:17" x14ac:dyDescent="0.25">
      <c r="Q3873" s="8"/>
    </row>
    <row r="3874" spans="17:17" x14ac:dyDescent="0.25">
      <c r="Q3874" s="8"/>
    </row>
    <row r="3875" spans="17:17" x14ac:dyDescent="0.25">
      <c r="Q3875" s="8"/>
    </row>
    <row r="3876" spans="17:17" x14ac:dyDescent="0.25">
      <c r="Q3876" s="8"/>
    </row>
    <row r="3877" spans="17:17" x14ac:dyDescent="0.25">
      <c r="Q3877" s="8"/>
    </row>
    <row r="3878" spans="17:17" x14ac:dyDescent="0.25">
      <c r="Q3878" s="8"/>
    </row>
    <row r="3879" spans="17:17" x14ac:dyDescent="0.25">
      <c r="Q3879" s="8"/>
    </row>
    <row r="3880" spans="17:17" x14ac:dyDescent="0.25">
      <c r="Q3880" s="8"/>
    </row>
    <row r="3881" spans="17:17" x14ac:dyDescent="0.25">
      <c r="Q3881" s="8"/>
    </row>
    <row r="3882" spans="17:17" x14ac:dyDescent="0.25">
      <c r="Q3882" s="8"/>
    </row>
    <row r="3883" spans="17:17" x14ac:dyDescent="0.25">
      <c r="Q3883" s="8"/>
    </row>
    <row r="3884" spans="17:17" x14ac:dyDescent="0.25">
      <c r="Q3884" s="8"/>
    </row>
    <row r="3885" spans="17:17" x14ac:dyDescent="0.25">
      <c r="Q3885" s="8"/>
    </row>
    <row r="3886" spans="17:17" x14ac:dyDescent="0.25">
      <c r="Q3886" s="8"/>
    </row>
    <row r="3887" spans="17:17" x14ac:dyDescent="0.25">
      <c r="Q3887" s="8"/>
    </row>
    <row r="3888" spans="17:17" x14ac:dyDescent="0.25">
      <c r="Q3888" s="8"/>
    </row>
    <row r="3889" spans="17:17" x14ac:dyDescent="0.25">
      <c r="Q3889" s="8"/>
    </row>
    <row r="3890" spans="17:17" x14ac:dyDescent="0.25">
      <c r="Q3890" s="8"/>
    </row>
    <row r="3891" spans="17:17" x14ac:dyDescent="0.25">
      <c r="Q3891" s="8"/>
    </row>
    <row r="3892" spans="17:17" x14ac:dyDescent="0.25">
      <c r="Q3892" s="8"/>
    </row>
    <row r="3893" spans="17:17" x14ac:dyDescent="0.25">
      <c r="Q3893" s="8"/>
    </row>
    <row r="3894" spans="17:17" x14ac:dyDescent="0.25">
      <c r="Q3894" s="8"/>
    </row>
    <row r="3895" spans="17:17" x14ac:dyDescent="0.25">
      <c r="Q3895" s="8"/>
    </row>
    <row r="3896" spans="17:17" x14ac:dyDescent="0.25">
      <c r="Q3896" s="8"/>
    </row>
    <row r="3897" spans="17:17" x14ac:dyDescent="0.25">
      <c r="Q3897" s="8"/>
    </row>
    <row r="3898" spans="17:17" x14ac:dyDescent="0.25">
      <c r="Q3898" s="8"/>
    </row>
    <row r="3899" spans="17:17" x14ac:dyDescent="0.25">
      <c r="Q3899" s="8"/>
    </row>
    <row r="3900" spans="17:17" x14ac:dyDescent="0.25">
      <c r="Q3900" s="8"/>
    </row>
    <row r="3901" spans="17:17" x14ac:dyDescent="0.25">
      <c r="Q3901" s="8"/>
    </row>
    <row r="3902" spans="17:17" x14ac:dyDescent="0.25">
      <c r="Q3902" s="8"/>
    </row>
    <row r="3903" spans="17:17" x14ac:dyDescent="0.25">
      <c r="Q3903" s="8"/>
    </row>
    <row r="3904" spans="17:17" x14ac:dyDescent="0.25">
      <c r="Q3904" s="8"/>
    </row>
    <row r="3905" spans="17:17" x14ac:dyDescent="0.25">
      <c r="Q3905" s="8"/>
    </row>
    <row r="3906" spans="17:17" x14ac:dyDescent="0.25">
      <c r="Q3906" s="8"/>
    </row>
    <row r="3907" spans="17:17" x14ac:dyDescent="0.25">
      <c r="Q3907" s="8"/>
    </row>
    <row r="3908" spans="17:17" x14ac:dyDescent="0.25">
      <c r="Q3908" s="8"/>
    </row>
    <row r="3909" spans="17:17" x14ac:dyDescent="0.25">
      <c r="Q3909" s="8"/>
    </row>
    <row r="3910" spans="17:17" x14ac:dyDescent="0.25">
      <c r="Q3910" s="8"/>
    </row>
    <row r="3911" spans="17:17" x14ac:dyDescent="0.25">
      <c r="Q3911" s="8"/>
    </row>
    <row r="3912" spans="17:17" x14ac:dyDescent="0.25">
      <c r="Q3912" s="8"/>
    </row>
    <row r="3913" spans="17:17" x14ac:dyDescent="0.25">
      <c r="Q3913" s="8"/>
    </row>
    <row r="3914" spans="17:17" x14ac:dyDescent="0.25">
      <c r="Q3914" s="8"/>
    </row>
    <row r="3915" spans="17:17" x14ac:dyDescent="0.25">
      <c r="Q3915" s="8"/>
    </row>
    <row r="3916" spans="17:17" x14ac:dyDescent="0.25">
      <c r="Q3916" s="8"/>
    </row>
    <row r="3917" spans="17:17" x14ac:dyDescent="0.25">
      <c r="Q3917" s="8"/>
    </row>
    <row r="3918" spans="17:17" x14ac:dyDescent="0.25">
      <c r="Q3918" s="8"/>
    </row>
    <row r="3919" spans="17:17" x14ac:dyDescent="0.25">
      <c r="Q3919" s="8"/>
    </row>
    <row r="3920" spans="17:17" x14ac:dyDescent="0.25">
      <c r="Q3920" s="8"/>
    </row>
    <row r="3921" spans="17:17" x14ac:dyDescent="0.25">
      <c r="Q3921" s="8"/>
    </row>
    <row r="3922" spans="17:17" x14ac:dyDescent="0.25">
      <c r="Q3922" s="8"/>
    </row>
    <row r="3923" spans="17:17" x14ac:dyDescent="0.25">
      <c r="Q3923" s="8"/>
    </row>
    <row r="3924" spans="17:17" x14ac:dyDescent="0.25">
      <c r="Q3924" s="8"/>
    </row>
    <row r="3925" spans="17:17" x14ac:dyDescent="0.25">
      <c r="Q3925" s="8"/>
    </row>
    <row r="3926" spans="17:17" x14ac:dyDescent="0.25">
      <c r="Q3926" s="8"/>
    </row>
    <row r="3927" spans="17:17" x14ac:dyDescent="0.25">
      <c r="Q3927" s="8"/>
    </row>
    <row r="3928" spans="17:17" x14ac:dyDescent="0.25">
      <c r="Q3928" s="8"/>
    </row>
    <row r="3929" spans="17:17" x14ac:dyDescent="0.25">
      <c r="Q3929" s="8"/>
    </row>
    <row r="3930" spans="17:17" x14ac:dyDescent="0.25">
      <c r="Q3930" s="8"/>
    </row>
    <row r="3931" spans="17:17" x14ac:dyDescent="0.25">
      <c r="Q3931" s="8"/>
    </row>
    <row r="3932" spans="17:17" x14ac:dyDescent="0.25">
      <c r="Q3932" s="8"/>
    </row>
    <row r="3933" spans="17:17" x14ac:dyDescent="0.25">
      <c r="Q3933" s="8"/>
    </row>
    <row r="3934" spans="17:17" x14ac:dyDescent="0.25">
      <c r="Q3934" s="8"/>
    </row>
    <row r="3935" spans="17:17" x14ac:dyDescent="0.25">
      <c r="Q3935" s="8"/>
    </row>
    <row r="3936" spans="17:17" x14ac:dyDescent="0.25">
      <c r="Q3936" s="8"/>
    </row>
    <row r="3937" spans="17:17" x14ac:dyDescent="0.25">
      <c r="Q3937" s="8"/>
    </row>
    <row r="3938" spans="17:17" x14ac:dyDescent="0.25">
      <c r="Q3938" s="8"/>
    </row>
    <row r="3939" spans="17:17" x14ac:dyDescent="0.25">
      <c r="Q3939" s="8"/>
    </row>
    <row r="3940" spans="17:17" x14ac:dyDescent="0.25">
      <c r="Q3940" s="8"/>
    </row>
    <row r="3941" spans="17:17" x14ac:dyDescent="0.25">
      <c r="Q3941" s="8"/>
    </row>
    <row r="3942" spans="17:17" x14ac:dyDescent="0.25">
      <c r="Q3942" s="8"/>
    </row>
    <row r="3943" spans="17:17" x14ac:dyDescent="0.25">
      <c r="Q3943" s="8"/>
    </row>
    <row r="3944" spans="17:17" x14ac:dyDescent="0.25">
      <c r="Q3944" s="8"/>
    </row>
    <row r="3945" spans="17:17" x14ac:dyDescent="0.25">
      <c r="Q3945" s="8"/>
    </row>
    <row r="3946" spans="17:17" x14ac:dyDescent="0.25">
      <c r="Q3946" s="8"/>
    </row>
    <row r="3947" spans="17:17" x14ac:dyDescent="0.25">
      <c r="Q3947" s="8"/>
    </row>
    <row r="3948" spans="17:17" x14ac:dyDescent="0.25">
      <c r="Q3948" s="8"/>
    </row>
    <row r="3949" spans="17:17" x14ac:dyDescent="0.25">
      <c r="Q3949" s="8"/>
    </row>
    <row r="3950" spans="17:17" x14ac:dyDescent="0.25">
      <c r="Q3950" s="8"/>
    </row>
    <row r="3951" spans="17:17" x14ac:dyDescent="0.25">
      <c r="Q3951" s="8"/>
    </row>
    <row r="3952" spans="17:17" x14ac:dyDescent="0.25">
      <c r="Q3952" s="8"/>
    </row>
    <row r="3953" spans="17:17" x14ac:dyDescent="0.25">
      <c r="Q3953" s="8"/>
    </row>
    <row r="3954" spans="17:17" x14ac:dyDescent="0.25">
      <c r="Q3954" s="8"/>
    </row>
    <row r="3955" spans="17:17" x14ac:dyDescent="0.25">
      <c r="Q3955" s="8"/>
    </row>
    <row r="3956" spans="17:17" x14ac:dyDescent="0.25">
      <c r="Q3956" s="8"/>
    </row>
    <row r="3957" spans="17:17" x14ac:dyDescent="0.25">
      <c r="Q3957" s="8"/>
    </row>
    <row r="3958" spans="17:17" x14ac:dyDescent="0.25">
      <c r="Q3958" s="8"/>
    </row>
    <row r="3959" spans="17:17" x14ac:dyDescent="0.25">
      <c r="Q3959" s="8"/>
    </row>
    <row r="3960" spans="17:17" x14ac:dyDescent="0.25">
      <c r="Q3960" s="8"/>
    </row>
    <row r="3961" spans="17:17" x14ac:dyDescent="0.25">
      <c r="Q3961" s="8"/>
    </row>
    <row r="3962" spans="17:17" x14ac:dyDescent="0.25">
      <c r="Q3962" s="8"/>
    </row>
    <row r="3963" spans="17:17" x14ac:dyDescent="0.25">
      <c r="Q3963" s="8"/>
    </row>
    <row r="3964" spans="17:17" x14ac:dyDescent="0.25">
      <c r="Q3964" s="8"/>
    </row>
    <row r="3965" spans="17:17" x14ac:dyDescent="0.25">
      <c r="Q3965" s="8"/>
    </row>
    <row r="3966" spans="17:17" x14ac:dyDescent="0.25">
      <c r="Q3966" s="8"/>
    </row>
    <row r="3967" spans="17:17" x14ac:dyDescent="0.25">
      <c r="Q3967" s="8"/>
    </row>
    <row r="3968" spans="17:17" x14ac:dyDescent="0.25">
      <c r="Q3968" s="8"/>
    </row>
    <row r="3969" spans="17:17" x14ac:dyDescent="0.25">
      <c r="Q3969" s="8"/>
    </row>
    <row r="3970" spans="17:17" x14ac:dyDescent="0.25">
      <c r="Q3970" s="8"/>
    </row>
    <row r="3971" spans="17:17" x14ac:dyDescent="0.25">
      <c r="Q3971" s="8"/>
    </row>
    <row r="3972" spans="17:17" x14ac:dyDescent="0.25">
      <c r="Q3972" s="8"/>
    </row>
    <row r="3973" spans="17:17" x14ac:dyDescent="0.25">
      <c r="Q3973" s="8"/>
    </row>
    <row r="3974" spans="17:17" x14ac:dyDescent="0.25">
      <c r="Q3974" s="8"/>
    </row>
    <row r="3975" spans="17:17" x14ac:dyDescent="0.25">
      <c r="Q3975" s="8"/>
    </row>
    <row r="3976" spans="17:17" x14ac:dyDescent="0.25">
      <c r="Q3976" s="8"/>
    </row>
    <row r="3977" spans="17:17" x14ac:dyDescent="0.25">
      <c r="Q3977" s="8"/>
    </row>
    <row r="3978" spans="17:17" x14ac:dyDescent="0.25">
      <c r="Q3978" s="8"/>
    </row>
    <row r="3979" spans="17:17" x14ac:dyDescent="0.25">
      <c r="Q3979" s="8"/>
    </row>
    <row r="3980" spans="17:17" x14ac:dyDescent="0.25">
      <c r="Q3980" s="8"/>
    </row>
    <row r="3981" spans="17:17" x14ac:dyDescent="0.25">
      <c r="Q3981" s="8"/>
    </row>
    <row r="3982" spans="17:17" x14ac:dyDescent="0.25">
      <c r="Q3982" s="8"/>
    </row>
    <row r="3983" spans="17:17" x14ac:dyDescent="0.25">
      <c r="Q3983" s="8"/>
    </row>
    <row r="3984" spans="17:17" x14ac:dyDescent="0.25">
      <c r="Q3984" s="8"/>
    </row>
    <row r="3985" spans="17:17" x14ac:dyDescent="0.25">
      <c r="Q3985" s="8"/>
    </row>
    <row r="3986" spans="17:17" x14ac:dyDescent="0.25">
      <c r="Q3986" s="8"/>
    </row>
    <row r="3987" spans="17:17" x14ac:dyDescent="0.25">
      <c r="Q3987" s="8"/>
    </row>
    <row r="3988" spans="17:17" x14ac:dyDescent="0.25">
      <c r="Q3988" s="8"/>
    </row>
    <row r="3989" spans="17:17" x14ac:dyDescent="0.25">
      <c r="Q3989" s="8"/>
    </row>
    <row r="3990" spans="17:17" x14ac:dyDescent="0.25">
      <c r="Q3990" s="8"/>
    </row>
    <row r="3991" spans="17:17" x14ac:dyDescent="0.25">
      <c r="Q3991" s="8"/>
    </row>
    <row r="3992" spans="17:17" x14ac:dyDescent="0.25">
      <c r="Q3992" s="8"/>
    </row>
    <row r="3993" spans="17:17" x14ac:dyDescent="0.25">
      <c r="Q3993" s="8"/>
    </row>
    <row r="3994" spans="17:17" x14ac:dyDescent="0.25">
      <c r="Q3994" s="8"/>
    </row>
    <row r="3995" spans="17:17" x14ac:dyDescent="0.25">
      <c r="Q3995" s="8"/>
    </row>
    <row r="3996" spans="17:17" x14ac:dyDescent="0.25">
      <c r="Q3996" s="8"/>
    </row>
    <row r="3997" spans="17:17" x14ac:dyDescent="0.25">
      <c r="Q3997" s="8"/>
    </row>
    <row r="3998" spans="17:17" x14ac:dyDescent="0.25">
      <c r="Q3998" s="8"/>
    </row>
    <row r="3999" spans="17:17" x14ac:dyDescent="0.25">
      <c r="Q3999" s="8"/>
    </row>
    <row r="4000" spans="17:17" x14ac:dyDescent="0.25">
      <c r="Q4000" s="8"/>
    </row>
    <row r="4001" spans="17:17" x14ac:dyDescent="0.25">
      <c r="Q4001" s="8"/>
    </row>
    <row r="4002" spans="17:17" x14ac:dyDescent="0.25">
      <c r="Q4002" s="8"/>
    </row>
    <row r="4003" spans="17:17" x14ac:dyDescent="0.25">
      <c r="Q4003" s="8"/>
    </row>
    <row r="4004" spans="17:17" x14ac:dyDescent="0.25">
      <c r="Q4004" s="8"/>
    </row>
    <row r="4005" spans="17:17" x14ac:dyDescent="0.25">
      <c r="Q4005" s="8"/>
    </row>
    <row r="4006" spans="17:17" x14ac:dyDescent="0.25">
      <c r="Q4006" s="8"/>
    </row>
    <row r="4007" spans="17:17" x14ac:dyDescent="0.25">
      <c r="Q4007" s="8"/>
    </row>
    <row r="4008" spans="17:17" x14ac:dyDescent="0.25">
      <c r="Q4008" s="8"/>
    </row>
    <row r="4009" spans="17:17" x14ac:dyDescent="0.25">
      <c r="Q4009" s="8"/>
    </row>
    <row r="4010" spans="17:17" x14ac:dyDescent="0.25">
      <c r="Q4010" s="8"/>
    </row>
    <row r="4011" spans="17:17" x14ac:dyDescent="0.25">
      <c r="Q4011" s="8"/>
    </row>
    <row r="4012" spans="17:17" x14ac:dyDescent="0.25">
      <c r="Q4012" s="8"/>
    </row>
    <row r="4013" spans="17:17" x14ac:dyDescent="0.25">
      <c r="Q4013" s="8"/>
    </row>
    <row r="4014" spans="17:17" x14ac:dyDescent="0.25">
      <c r="Q4014" s="8"/>
    </row>
    <row r="4015" spans="17:17" x14ac:dyDescent="0.25">
      <c r="Q4015" s="8"/>
    </row>
    <row r="4016" spans="17:17" x14ac:dyDescent="0.25">
      <c r="Q4016" s="8"/>
    </row>
    <row r="4017" spans="17:17" x14ac:dyDescent="0.25">
      <c r="Q4017" s="8"/>
    </row>
    <row r="4018" spans="17:17" x14ac:dyDescent="0.25">
      <c r="Q4018" s="8"/>
    </row>
    <row r="4019" spans="17:17" x14ac:dyDescent="0.25">
      <c r="Q4019" s="8"/>
    </row>
    <row r="4020" spans="17:17" x14ac:dyDescent="0.25">
      <c r="Q4020" s="8"/>
    </row>
    <row r="4021" spans="17:17" x14ac:dyDescent="0.25">
      <c r="Q4021" s="8"/>
    </row>
    <row r="4022" spans="17:17" x14ac:dyDescent="0.25">
      <c r="Q4022" s="8"/>
    </row>
    <row r="4023" spans="17:17" x14ac:dyDescent="0.25">
      <c r="Q4023" s="8"/>
    </row>
    <row r="4024" spans="17:17" x14ac:dyDescent="0.25">
      <c r="Q4024" s="8"/>
    </row>
    <row r="4025" spans="17:17" x14ac:dyDescent="0.25">
      <c r="Q4025" s="8"/>
    </row>
    <row r="4026" spans="17:17" x14ac:dyDescent="0.25">
      <c r="Q4026" s="8"/>
    </row>
    <row r="4027" spans="17:17" x14ac:dyDescent="0.25">
      <c r="Q4027" s="8"/>
    </row>
    <row r="4028" spans="17:17" x14ac:dyDescent="0.25">
      <c r="Q4028" s="8"/>
    </row>
    <row r="4029" spans="17:17" x14ac:dyDescent="0.25">
      <c r="Q4029" s="8"/>
    </row>
    <row r="4030" spans="17:17" x14ac:dyDescent="0.25">
      <c r="Q4030" s="8"/>
    </row>
    <row r="4031" spans="17:17" x14ac:dyDescent="0.25">
      <c r="Q4031" s="8"/>
    </row>
    <row r="4032" spans="17:17" x14ac:dyDescent="0.25">
      <c r="Q4032" s="8"/>
    </row>
    <row r="4033" spans="17:17" x14ac:dyDescent="0.25">
      <c r="Q4033" s="8"/>
    </row>
    <row r="4034" spans="17:17" x14ac:dyDescent="0.25">
      <c r="Q4034" s="8"/>
    </row>
    <row r="4035" spans="17:17" x14ac:dyDescent="0.25">
      <c r="Q4035" s="8"/>
    </row>
    <row r="4036" spans="17:17" x14ac:dyDescent="0.25">
      <c r="Q4036" s="8"/>
    </row>
    <row r="4037" spans="17:17" x14ac:dyDescent="0.25">
      <c r="Q4037" s="8"/>
    </row>
    <row r="4038" spans="17:17" x14ac:dyDescent="0.25">
      <c r="Q4038" s="8"/>
    </row>
    <row r="4039" spans="17:17" x14ac:dyDescent="0.25">
      <c r="Q4039" s="8"/>
    </row>
    <row r="4040" spans="17:17" x14ac:dyDescent="0.25">
      <c r="Q4040" s="8"/>
    </row>
    <row r="4041" spans="17:17" x14ac:dyDescent="0.25">
      <c r="Q4041" s="8"/>
    </row>
    <row r="4042" spans="17:17" x14ac:dyDescent="0.25">
      <c r="Q4042" s="8"/>
    </row>
    <row r="4043" spans="17:17" x14ac:dyDescent="0.25">
      <c r="Q4043" s="8"/>
    </row>
    <row r="4044" spans="17:17" x14ac:dyDescent="0.25">
      <c r="Q4044" s="8"/>
    </row>
    <row r="4045" spans="17:17" x14ac:dyDescent="0.25">
      <c r="Q4045" s="8"/>
    </row>
    <row r="4046" spans="17:17" x14ac:dyDescent="0.25">
      <c r="Q4046" s="8"/>
    </row>
    <row r="4047" spans="17:17" x14ac:dyDescent="0.25">
      <c r="Q4047" s="8"/>
    </row>
    <row r="4048" spans="17:17" x14ac:dyDescent="0.25">
      <c r="Q4048" s="8"/>
    </row>
    <row r="4049" spans="17:17" x14ac:dyDescent="0.25">
      <c r="Q4049" s="8"/>
    </row>
    <row r="4050" spans="17:17" x14ac:dyDescent="0.25">
      <c r="Q4050" s="8"/>
    </row>
    <row r="4051" spans="17:17" x14ac:dyDescent="0.25">
      <c r="Q4051" s="8"/>
    </row>
    <row r="4052" spans="17:17" x14ac:dyDescent="0.25">
      <c r="Q4052" s="8"/>
    </row>
    <row r="4053" spans="17:17" x14ac:dyDescent="0.25">
      <c r="Q4053" s="8"/>
    </row>
    <row r="4054" spans="17:17" x14ac:dyDescent="0.25">
      <c r="Q4054" s="8"/>
    </row>
    <row r="4055" spans="17:17" x14ac:dyDescent="0.25">
      <c r="Q4055" s="8"/>
    </row>
    <row r="4056" spans="17:17" x14ac:dyDescent="0.25">
      <c r="Q4056" s="8"/>
    </row>
    <row r="4057" spans="17:17" x14ac:dyDescent="0.25">
      <c r="Q4057" s="8"/>
    </row>
    <row r="4058" spans="17:17" x14ac:dyDescent="0.25">
      <c r="Q4058" s="8"/>
    </row>
    <row r="4059" spans="17:17" x14ac:dyDescent="0.25">
      <c r="Q4059" s="8"/>
    </row>
    <row r="4060" spans="17:17" x14ac:dyDescent="0.25">
      <c r="Q4060" s="8"/>
    </row>
    <row r="4061" spans="17:17" x14ac:dyDescent="0.25">
      <c r="Q4061" s="8"/>
    </row>
    <row r="4062" spans="17:17" x14ac:dyDescent="0.25">
      <c r="Q4062" s="8"/>
    </row>
    <row r="4063" spans="17:17" x14ac:dyDescent="0.25">
      <c r="Q4063" s="8"/>
    </row>
    <row r="4064" spans="17:17" x14ac:dyDescent="0.25">
      <c r="Q4064" s="8"/>
    </row>
    <row r="4065" spans="17:17" x14ac:dyDescent="0.25">
      <c r="Q4065" s="8"/>
    </row>
    <row r="4066" spans="17:17" x14ac:dyDescent="0.25">
      <c r="Q4066" s="8"/>
    </row>
    <row r="4067" spans="17:17" x14ac:dyDescent="0.25">
      <c r="Q4067" s="8"/>
    </row>
    <row r="4068" spans="17:17" x14ac:dyDescent="0.25">
      <c r="Q4068" s="8"/>
    </row>
    <row r="4069" spans="17:17" x14ac:dyDescent="0.25">
      <c r="Q4069" s="8"/>
    </row>
    <row r="4070" spans="17:17" x14ac:dyDescent="0.25">
      <c r="Q4070" s="8"/>
    </row>
    <row r="4071" spans="17:17" x14ac:dyDescent="0.25">
      <c r="Q4071" s="8"/>
    </row>
    <row r="4072" spans="17:17" x14ac:dyDescent="0.25">
      <c r="Q4072" s="8"/>
    </row>
    <row r="4073" spans="17:17" x14ac:dyDescent="0.25">
      <c r="Q4073" s="8"/>
    </row>
    <row r="4074" spans="17:17" x14ac:dyDescent="0.25">
      <c r="Q4074" s="8"/>
    </row>
    <row r="4075" spans="17:17" x14ac:dyDescent="0.25">
      <c r="Q4075" s="8"/>
    </row>
    <row r="4076" spans="17:17" x14ac:dyDescent="0.25">
      <c r="Q4076" s="8"/>
    </row>
    <row r="4077" spans="17:17" x14ac:dyDescent="0.25">
      <c r="Q4077" s="8"/>
    </row>
    <row r="4078" spans="17:17" x14ac:dyDescent="0.25">
      <c r="Q4078" s="8"/>
    </row>
    <row r="4079" spans="17:17" x14ac:dyDescent="0.25">
      <c r="Q4079" s="8"/>
    </row>
    <row r="4080" spans="17:17" x14ac:dyDescent="0.25">
      <c r="Q4080" s="8"/>
    </row>
    <row r="4081" spans="17:17" x14ac:dyDescent="0.25">
      <c r="Q4081" s="8"/>
    </row>
    <row r="4082" spans="17:17" x14ac:dyDescent="0.25">
      <c r="Q4082" s="8"/>
    </row>
    <row r="4083" spans="17:17" x14ac:dyDescent="0.25">
      <c r="Q4083" s="8"/>
    </row>
    <row r="4084" spans="17:17" x14ac:dyDescent="0.25">
      <c r="Q4084" s="8"/>
    </row>
    <row r="4085" spans="17:17" x14ac:dyDescent="0.25">
      <c r="Q4085" s="8"/>
    </row>
    <row r="4086" spans="17:17" x14ac:dyDescent="0.25">
      <c r="Q4086" s="8"/>
    </row>
    <row r="4087" spans="17:17" x14ac:dyDescent="0.25">
      <c r="Q4087" s="8"/>
    </row>
    <row r="4088" spans="17:17" x14ac:dyDescent="0.25">
      <c r="Q4088" s="8"/>
    </row>
    <row r="4089" spans="17:17" x14ac:dyDescent="0.25">
      <c r="Q4089" s="8"/>
    </row>
    <row r="4090" spans="17:17" x14ac:dyDescent="0.25">
      <c r="Q4090" s="8"/>
    </row>
    <row r="4091" spans="17:17" x14ac:dyDescent="0.25">
      <c r="Q4091" s="8"/>
    </row>
    <row r="4092" spans="17:17" x14ac:dyDescent="0.25">
      <c r="Q4092" s="8"/>
    </row>
    <row r="4093" spans="17:17" x14ac:dyDescent="0.25">
      <c r="Q4093" s="8"/>
    </row>
    <row r="4094" spans="17:17" x14ac:dyDescent="0.25">
      <c r="Q4094" s="8"/>
    </row>
    <row r="4095" spans="17:17" x14ac:dyDescent="0.25">
      <c r="Q4095" s="8"/>
    </row>
    <row r="4096" spans="17:17" x14ac:dyDescent="0.25">
      <c r="Q4096" s="8"/>
    </row>
    <row r="4097" spans="17:17" x14ac:dyDescent="0.25">
      <c r="Q4097" s="8"/>
    </row>
    <row r="4098" spans="17:17" x14ac:dyDescent="0.25">
      <c r="Q4098" s="8"/>
    </row>
    <row r="4099" spans="17:17" x14ac:dyDescent="0.25">
      <c r="Q4099" s="8"/>
    </row>
    <row r="4100" spans="17:17" x14ac:dyDescent="0.25">
      <c r="Q4100" s="8"/>
    </row>
    <row r="4101" spans="17:17" x14ac:dyDescent="0.25">
      <c r="Q4101" s="8"/>
    </row>
    <row r="4102" spans="17:17" x14ac:dyDescent="0.25">
      <c r="Q4102" s="8"/>
    </row>
    <row r="4103" spans="17:17" x14ac:dyDescent="0.25">
      <c r="Q4103" s="8"/>
    </row>
    <row r="4104" spans="17:17" x14ac:dyDescent="0.25">
      <c r="Q4104" s="8"/>
    </row>
    <row r="4105" spans="17:17" x14ac:dyDescent="0.25">
      <c r="Q4105" s="8"/>
    </row>
    <row r="4106" spans="17:17" x14ac:dyDescent="0.25">
      <c r="Q4106" s="8"/>
    </row>
    <row r="4107" spans="17:17" x14ac:dyDescent="0.25">
      <c r="Q4107" s="8"/>
    </row>
    <row r="4108" spans="17:17" x14ac:dyDescent="0.25">
      <c r="Q4108" s="8"/>
    </row>
    <row r="4109" spans="17:17" x14ac:dyDescent="0.25">
      <c r="Q4109" s="8"/>
    </row>
    <row r="4110" spans="17:17" x14ac:dyDescent="0.25">
      <c r="Q4110" s="8"/>
    </row>
    <row r="4111" spans="17:17" x14ac:dyDescent="0.25">
      <c r="Q4111" s="8"/>
    </row>
    <row r="4112" spans="17:17" x14ac:dyDescent="0.25">
      <c r="Q4112" s="8"/>
    </row>
    <row r="4113" spans="17:17" x14ac:dyDescent="0.25">
      <c r="Q4113" s="8"/>
    </row>
    <row r="4114" spans="17:17" x14ac:dyDescent="0.25">
      <c r="Q4114" s="8"/>
    </row>
    <row r="4115" spans="17:17" x14ac:dyDescent="0.25">
      <c r="Q4115" s="8"/>
    </row>
    <row r="4116" spans="17:17" x14ac:dyDescent="0.25">
      <c r="Q4116" s="8"/>
    </row>
    <row r="4117" spans="17:17" x14ac:dyDescent="0.25">
      <c r="Q4117" s="8"/>
    </row>
    <row r="4118" spans="17:17" x14ac:dyDescent="0.25">
      <c r="Q4118" s="8"/>
    </row>
    <row r="4119" spans="17:17" x14ac:dyDescent="0.25">
      <c r="Q4119" s="8"/>
    </row>
    <row r="4120" spans="17:17" x14ac:dyDescent="0.25">
      <c r="Q4120" s="8"/>
    </row>
    <row r="4121" spans="17:17" x14ac:dyDescent="0.25">
      <c r="Q4121" s="8"/>
    </row>
    <row r="4122" spans="17:17" x14ac:dyDescent="0.25">
      <c r="Q4122" s="8"/>
    </row>
    <row r="4123" spans="17:17" x14ac:dyDescent="0.25">
      <c r="Q4123" s="8"/>
    </row>
    <row r="4124" spans="17:17" x14ac:dyDescent="0.25">
      <c r="Q4124" s="8"/>
    </row>
    <row r="4125" spans="17:17" x14ac:dyDescent="0.25">
      <c r="Q4125" s="8"/>
    </row>
    <row r="4126" spans="17:17" x14ac:dyDescent="0.25">
      <c r="Q4126" s="8"/>
    </row>
    <row r="4127" spans="17:17" x14ac:dyDescent="0.25">
      <c r="Q4127" s="8"/>
    </row>
    <row r="4128" spans="17:17" x14ac:dyDescent="0.25">
      <c r="Q4128" s="8"/>
    </row>
    <row r="4129" spans="17:17" x14ac:dyDescent="0.25">
      <c r="Q4129" s="8"/>
    </row>
    <row r="4130" spans="17:17" x14ac:dyDescent="0.25">
      <c r="Q4130" s="8"/>
    </row>
    <row r="4131" spans="17:17" x14ac:dyDescent="0.25">
      <c r="Q4131" s="8"/>
    </row>
    <row r="4132" spans="17:17" x14ac:dyDescent="0.25">
      <c r="Q4132" s="8"/>
    </row>
    <row r="4133" spans="17:17" x14ac:dyDescent="0.25">
      <c r="Q4133" s="8"/>
    </row>
    <row r="4134" spans="17:17" x14ac:dyDescent="0.25">
      <c r="Q4134" s="8"/>
    </row>
    <row r="4135" spans="17:17" x14ac:dyDescent="0.25">
      <c r="Q4135" s="8"/>
    </row>
    <row r="4136" spans="17:17" x14ac:dyDescent="0.25">
      <c r="Q4136" s="8"/>
    </row>
    <row r="4137" spans="17:17" x14ac:dyDescent="0.25">
      <c r="Q4137" s="8"/>
    </row>
    <row r="4138" spans="17:17" x14ac:dyDescent="0.25">
      <c r="Q4138" s="8"/>
    </row>
    <row r="4139" spans="17:17" x14ac:dyDescent="0.25">
      <c r="Q4139" s="8"/>
    </row>
    <row r="4140" spans="17:17" x14ac:dyDescent="0.25">
      <c r="Q4140" s="8"/>
    </row>
    <row r="4141" spans="17:17" x14ac:dyDescent="0.25">
      <c r="Q4141" s="8"/>
    </row>
    <row r="4142" spans="17:17" x14ac:dyDescent="0.25">
      <c r="Q4142" s="8"/>
    </row>
    <row r="4143" spans="17:17" x14ac:dyDescent="0.25">
      <c r="Q4143" s="8"/>
    </row>
    <row r="4144" spans="17:17" x14ac:dyDescent="0.25">
      <c r="Q4144" s="8"/>
    </row>
    <row r="4145" spans="17:17" x14ac:dyDescent="0.25">
      <c r="Q4145" s="8"/>
    </row>
    <row r="4146" spans="17:17" x14ac:dyDescent="0.25">
      <c r="Q4146" s="8"/>
    </row>
    <row r="4147" spans="17:17" x14ac:dyDescent="0.25">
      <c r="Q4147" s="8"/>
    </row>
    <row r="4148" spans="17:17" x14ac:dyDescent="0.25">
      <c r="Q4148" s="8"/>
    </row>
    <row r="4149" spans="17:17" x14ac:dyDescent="0.25">
      <c r="Q4149" s="8"/>
    </row>
    <row r="4150" spans="17:17" x14ac:dyDescent="0.25">
      <c r="Q4150" s="8"/>
    </row>
    <row r="4151" spans="17:17" x14ac:dyDescent="0.25">
      <c r="Q4151" s="8"/>
    </row>
    <row r="4152" spans="17:17" x14ac:dyDescent="0.25">
      <c r="Q4152" s="8"/>
    </row>
    <row r="4153" spans="17:17" x14ac:dyDescent="0.25">
      <c r="Q4153" s="8"/>
    </row>
    <row r="4154" spans="17:17" x14ac:dyDescent="0.25">
      <c r="Q4154" s="8"/>
    </row>
    <row r="4155" spans="17:17" x14ac:dyDescent="0.25">
      <c r="Q4155" s="8"/>
    </row>
    <row r="4156" spans="17:17" x14ac:dyDescent="0.25">
      <c r="Q4156" s="8"/>
    </row>
    <row r="4157" spans="17:17" x14ac:dyDescent="0.25">
      <c r="Q4157" s="8"/>
    </row>
    <row r="4158" spans="17:17" x14ac:dyDescent="0.25">
      <c r="Q4158" s="8"/>
    </row>
    <row r="4159" spans="17:17" x14ac:dyDescent="0.25">
      <c r="Q4159" s="8"/>
    </row>
    <row r="4160" spans="17:17" x14ac:dyDescent="0.25">
      <c r="Q4160" s="8"/>
    </row>
    <row r="4161" spans="17:17" x14ac:dyDescent="0.25">
      <c r="Q4161" s="8"/>
    </row>
    <row r="4162" spans="17:17" x14ac:dyDescent="0.25">
      <c r="Q4162" s="8"/>
    </row>
    <row r="4163" spans="17:17" x14ac:dyDescent="0.25">
      <c r="Q4163" s="8"/>
    </row>
    <row r="4164" spans="17:17" x14ac:dyDescent="0.25">
      <c r="Q4164" s="8"/>
    </row>
    <row r="4165" spans="17:17" x14ac:dyDescent="0.25">
      <c r="Q4165" s="8"/>
    </row>
    <row r="4166" spans="17:17" x14ac:dyDescent="0.25">
      <c r="Q4166" s="8"/>
    </row>
    <row r="4167" spans="17:17" x14ac:dyDescent="0.25">
      <c r="Q4167" s="8"/>
    </row>
    <row r="4168" spans="17:17" x14ac:dyDescent="0.25">
      <c r="Q4168" s="8"/>
    </row>
    <row r="4169" spans="17:17" x14ac:dyDescent="0.25">
      <c r="Q4169" s="8"/>
    </row>
    <row r="4170" spans="17:17" x14ac:dyDescent="0.25">
      <c r="Q4170" s="8"/>
    </row>
    <row r="4171" spans="17:17" x14ac:dyDescent="0.25">
      <c r="Q4171" s="8"/>
    </row>
    <row r="4172" spans="17:17" x14ac:dyDescent="0.25">
      <c r="Q4172" s="8"/>
    </row>
    <row r="4173" spans="17:17" x14ac:dyDescent="0.25">
      <c r="Q4173" s="8"/>
    </row>
    <row r="4174" spans="17:17" x14ac:dyDescent="0.25">
      <c r="Q4174" s="8"/>
    </row>
    <row r="4175" spans="17:17" x14ac:dyDescent="0.25">
      <c r="Q4175" s="8"/>
    </row>
    <row r="4176" spans="17:17" x14ac:dyDescent="0.25">
      <c r="Q4176" s="8"/>
    </row>
    <row r="4177" spans="17:17" x14ac:dyDescent="0.25">
      <c r="Q4177" s="8"/>
    </row>
    <row r="4178" spans="17:17" x14ac:dyDescent="0.25">
      <c r="Q4178" s="8"/>
    </row>
    <row r="4179" spans="17:17" x14ac:dyDescent="0.25">
      <c r="Q4179" s="8"/>
    </row>
    <row r="4180" spans="17:17" x14ac:dyDescent="0.25">
      <c r="Q4180" s="8"/>
    </row>
    <row r="4181" spans="17:17" x14ac:dyDescent="0.25">
      <c r="Q4181" s="8"/>
    </row>
    <row r="4182" spans="17:17" x14ac:dyDescent="0.25">
      <c r="Q4182" s="8"/>
    </row>
    <row r="4183" spans="17:17" x14ac:dyDescent="0.25">
      <c r="Q4183" s="8"/>
    </row>
    <row r="4184" spans="17:17" x14ac:dyDescent="0.25">
      <c r="Q4184" s="8"/>
    </row>
    <row r="4185" spans="17:17" x14ac:dyDescent="0.25">
      <c r="Q4185" s="8"/>
    </row>
    <row r="4186" spans="17:17" x14ac:dyDescent="0.25">
      <c r="Q4186" s="8"/>
    </row>
    <row r="4187" spans="17:17" x14ac:dyDescent="0.25">
      <c r="Q4187" s="8"/>
    </row>
    <row r="4188" spans="17:17" x14ac:dyDescent="0.25">
      <c r="Q4188" s="8"/>
    </row>
    <row r="4189" spans="17:17" x14ac:dyDescent="0.25">
      <c r="Q4189" s="8"/>
    </row>
    <row r="4190" spans="17:17" x14ac:dyDescent="0.25">
      <c r="Q4190" s="8"/>
    </row>
    <row r="4191" spans="17:17" x14ac:dyDescent="0.25">
      <c r="Q4191" s="8"/>
    </row>
    <row r="4192" spans="17:17" x14ac:dyDescent="0.25">
      <c r="Q4192" s="8"/>
    </row>
    <row r="4193" spans="17:17" x14ac:dyDescent="0.25">
      <c r="Q4193" s="8"/>
    </row>
    <row r="4194" spans="17:17" x14ac:dyDescent="0.25">
      <c r="Q4194" s="8"/>
    </row>
    <row r="4195" spans="17:17" x14ac:dyDescent="0.25">
      <c r="Q4195" s="8"/>
    </row>
    <row r="4196" spans="17:17" x14ac:dyDescent="0.25">
      <c r="Q4196" s="8"/>
    </row>
    <row r="4197" spans="17:17" x14ac:dyDescent="0.25">
      <c r="Q4197" s="8"/>
    </row>
    <row r="4198" spans="17:17" x14ac:dyDescent="0.25">
      <c r="Q4198" s="8"/>
    </row>
    <row r="4199" spans="17:17" x14ac:dyDescent="0.25">
      <c r="Q4199" s="8"/>
    </row>
    <row r="4200" spans="17:17" x14ac:dyDescent="0.25">
      <c r="Q4200" s="8"/>
    </row>
    <row r="4201" spans="17:17" x14ac:dyDescent="0.25">
      <c r="Q4201" s="8"/>
    </row>
    <row r="4202" spans="17:17" x14ac:dyDescent="0.25">
      <c r="Q4202" s="8"/>
    </row>
    <row r="4203" spans="17:17" x14ac:dyDescent="0.25">
      <c r="Q4203" s="8"/>
    </row>
    <row r="4204" spans="17:17" x14ac:dyDescent="0.25">
      <c r="Q4204" s="8"/>
    </row>
    <row r="4205" spans="17:17" x14ac:dyDescent="0.25">
      <c r="Q4205" s="8"/>
    </row>
    <row r="4206" spans="17:17" x14ac:dyDescent="0.25">
      <c r="Q4206" s="8"/>
    </row>
    <row r="4207" spans="17:17" x14ac:dyDescent="0.25">
      <c r="Q4207" s="8"/>
    </row>
    <row r="4208" spans="17:17" x14ac:dyDescent="0.25">
      <c r="Q4208" s="8"/>
    </row>
    <row r="4209" spans="17:17" x14ac:dyDescent="0.25">
      <c r="Q4209" s="8"/>
    </row>
    <row r="4210" spans="17:17" x14ac:dyDescent="0.25">
      <c r="Q4210" s="8"/>
    </row>
    <row r="4211" spans="17:17" x14ac:dyDescent="0.25">
      <c r="Q4211" s="8"/>
    </row>
    <row r="4212" spans="17:17" x14ac:dyDescent="0.25">
      <c r="Q4212" s="8"/>
    </row>
    <row r="4213" spans="17:17" x14ac:dyDescent="0.25">
      <c r="Q4213" s="8"/>
    </row>
    <row r="4214" spans="17:17" x14ac:dyDescent="0.25">
      <c r="Q4214" s="8"/>
    </row>
    <row r="4215" spans="17:17" x14ac:dyDescent="0.25">
      <c r="Q4215" s="8"/>
    </row>
    <row r="4216" spans="17:17" x14ac:dyDescent="0.25">
      <c r="Q4216" s="8"/>
    </row>
    <row r="4217" spans="17:17" x14ac:dyDescent="0.25">
      <c r="Q4217" s="8"/>
    </row>
    <row r="4218" spans="17:17" x14ac:dyDescent="0.25">
      <c r="Q4218" s="8"/>
    </row>
    <row r="4219" spans="17:17" x14ac:dyDescent="0.25">
      <c r="Q4219" s="8"/>
    </row>
    <row r="4220" spans="17:17" x14ac:dyDescent="0.25">
      <c r="Q4220" s="8"/>
    </row>
    <row r="4221" spans="17:17" x14ac:dyDescent="0.25">
      <c r="Q4221" s="8"/>
    </row>
    <row r="4222" spans="17:17" x14ac:dyDescent="0.25">
      <c r="Q4222" s="8"/>
    </row>
    <row r="4223" spans="17:17" x14ac:dyDescent="0.25">
      <c r="Q4223" s="8"/>
    </row>
    <row r="4224" spans="17:17" x14ac:dyDescent="0.25">
      <c r="Q4224" s="8"/>
    </row>
    <row r="4225" spans="17:17" x14ac:dyDescent="0.25">
      <c r="Q4225" s="8"/>
    </row>
    <row r="4226" spans="17:17" x14ac:dyDescent="0.25">
      <c r="Q4226" s="8"/>
    </row>
    <row r="4227" spans="17:17" x14ac:dyDescent="0.25">
      <c r="Q4227" s="8"/>
    </row>
    <row r="4228" spans="17:17" x14ac:dyDescent="0.25">
      <c r="Q4228" s="8"/>
    </row>
    <row r="4229" spans="17:17" x14ac:dyDescent="0.25">
      <c r="Q4229" s="8"/>
    </row>
    <row r="4230" spans="17:17" x14ac:dyDescent="0.25">
      <c r="Q4230" s="8"/>
    </row>
    <row r="4231" spans="17:17" x14ac:dyDescent="0.25">
      <c r="Q4231" s="8"/>
    </row>
    <row r="4232" spans="17:17" x14ac:dyDescent="0.25">
      <c r="Q4232" s="8"/>
    </row>
    <row r="4233" spans="17:17" x14ac:dyDescent="0.25">
      <c r="Q4233" s="8"/>
    </row>
    <row r="4234" spans="17:17" x14ac:dyDescent="0.25">
      <c r="Q4234" s="8"/>
    </row>
    <row r="4235" spans="17:17" x14ac:dyDescent="0.25">
      <c r="Q4235" s="8"/>
    </row>
    <row r="4236" spans="17:17" x14ac:dyDescent="0.25">
      <c r="Q4236" s="8"/>
    </row>
    <row r="4237" spans="17:17" x14ac:dyDescent="0.25">
      <c r="Q4237" s="8"/>
    </row>
    <row r="4238" spans="17:17" x14ac:dyDescent="0.25">
      <c r="Q4238" s="8"/>
    </row>
    <row r="4239" spans="17:17" x14ac:dyDescent="0.25">
      <c r="Q4239" s="8"/>
    </row>
    <row r="4240" spans="17:17" x14ac:dyDescent="0.25">
      <c r="Q4240" s="8"/>
    </row>
    <row r="4241" spans="17:17" x14ac:dyDescent="0.25">
      <c r="Q4241" s="8"/>
    </row>
    <row r="4242" spans="17:17" x14ac:dyDescent="0.25">
      <c r="Q4242" s="8"/>
    </row>
    <row r="4243" spans="17:17" x14ac:dyDescent="0.25">
      <c r="Q4243" s="8"/>
    </row>
    <row r="4244" spans="17:17" x14ac:dyDescent="0.25">
      <c r="Q4244" s="8"/>
    </row>
    <row r="4245" spans="17:17" x14ac:dyDescent="0.25">
      <c r="Q4245" s="8"/>
    </row>
    <row r="4246" spans="17:17" x14ac:dyDescent="0.25">
      <c r="Q4246" s="8"/>
    </row>
    <row r="4247" spans="17:17" x14ac:dyDescent="0.25">
      <c r="Q4247" s="8"/>
    </row>
    <row r="4248" spans="17:17" x14ac:dyDescent="0.25">
      <c r="Q4248" s="8"/>
    </row>
    <row r="4249" spans="17:17" x14ac:dyDescent="0.25">
      <c r="Q4249" s="8"/>
    </row>
    <row r="4250" spans="17:17" x14ac:dyDescent="0.25">
      <c r="Q4250" s="8"/>
    </row>
    <row r="4251" spans="17:17" x14ac:dyDescent="0.25">
      <c r="Q4251" s="8"/>
    </row>
    <row r="4252" spans="17:17" x14ac:dyDescent="0.25">
      <c r="Q4252" s="8"/>
    </row>
    <row r="4253" spans="17:17" x14ac:dyDescent="0.25">
      <c r="Q4253" s="8"/>
    </row>
    <row r="4254" spans="17:17" x14ac:dyDescent="0.25">
      <c r="Q4254" s="8"/>
    </row>
    <row r="4255" spans="17:17" x14ac:dyDescent="0.25">
      <c r="Q4255" s="8"/>
    </row>
    <row r="4256" spans="17:17" x14ac:dyDescent="0.25">
      <c r="Q4256" s="8"/>
    </row>
    <row r="4257" spans="17:17" x14ac:dyDescent="0.25">
      <c r="Q4257" s="8"/>
    </row>
    <row r="4258" spans="17:17" x14ac:dyDescent="0.25">
      <c r="Q4258" s="8"/>
    </row>
    <row r="4259" spans="17:17" x14ac:dyDescent="0.25">
      <c r="Q4259" s="8"/>
    </row>
    <row r="4260" spans="17:17" x14ac:dyDescent="0.25">
      <c r="Q4260" s="8"/>
    </row>
    <row r="4261" spans="17:17" x14ac:dyDescent="0.25">
      <c r="Q4261" s="8"/>
    </row>
    <row r="4262" spans="17:17" x14ac:dyDescent="0.25">
      <c r="Q4262" s="8"/>
    </row>
    <row r="4263" spans="17:17" x14ac:dyDescent="0.25">
      <c r="Q4263" s="8"/>
    </row>
    <row r="4264" spans="17:17" x14ac:dyDescent="0.25">
      <c r="Q4264" s="8"/>
    </row>
    <row r="4265" spans="17:17" x14ac:dyDescent="0.25">
      <c r="Q4265" s="8"/>
    </row>
    <row r="4266" spans="17:17" x14ac:dyDescent="0.25">
      <c r="Q4266" s="8"/>
    </row>
    <row r="4267" spans="17:17" x14ac:dyDescent="0.25">
      <c r="Q4267" s="8"/>
    </row>
    <row r="4268" spans="17:17" x14ac:dyDescent="0.25">
      <c r="Q4268" s="8"/>
    </row>
    <row r="4269" spans="17:17" x14ac:dyDescent="0.25">
      <c r="Q4269" s="8"/>
    </row>
    <row r="4270" spans="17:17" x14ac:dyDescent="0.25">
      <c r="Q4270" s="8"/>
    </row>
    <row r="4271" spans="17:17" x14ac:dyDescent="0.25">
      <c r="Q4271" s="8"/>
    </row>
    <row r="4272" spans="17:17" x14ac:dyDescent="0.25">
      <c r="Q4272" s="8"/>
    </row>
    <row r="4273" spans="17:17" x14ac:dyDescent="0.25">
      <c r="Q4273" s="8"/>
    </row>
    <row r="4274" spans="17:17" x14ac:dyDescent="0.25">
      <c r="Q4274" s="8"/>
    </row>
    <row r="4275" spans="17:17" x14ac:dyDescent="0.25">
      <c r="Q4275" s="8"/>
    </row>
    <row r="4276" spans="17:17" x14ac:dyDescent="0.25">
      <c r="Q4276" s="8"/>
    </row>
    <row r="4277" spans="17:17" x14ac:dyDescent="0.25">
      <c r="Q4277" s="8"/>
    </row>
    <row r="4278" spans="17:17" x14ac:dyDescent="0.25">
      <c r="Q4278" s="8"/>
    </row>
    <row r="4279" spans="17:17" x14ac:dyDescent="0.25">
      <c r="Q4279" s="8"/>
    </row>
    <row r="4280" spans="17:17" x14ac:dyDescent="0.25">
      <c r="Q4280" s="8"/>
    </row>
    <row r="4281" spans="17:17" x14ac:dyDescent="0.25">
      <c r="Q4281" s="8"/>
    </row>
    <row r="4282" spans="17:17" x14ac:dyDescent="0.25">
      <c r="Q4282" s="8"/>
    </row>
    <row r="4283" spans="17:17" x14ac:dyDescent="0.25">
      <c r="Q4283" s="8"/>
    </row>
    <row r="4284" spans="17:17" x14ac:dyDescent="0.25">
      <c r="Q4284" s="8"/>
    </row>
    <row r="4285" spans="17:17" x14ac:dyDescent="0.25">
      <c r="Q4285" s="8"/>
    </row>
    <row r="4286" spans="17:17" x14ac:dyDescent="0.25">
      <c r="Q4286" s="8"/>
    </row>
    <row r="4287" spans="17:17" x14ac:dyDescent="0.25">
      <c r="Q4287" s="8"/>
    </row>
    <row r="4288" spans="17:17" x14ac:dyDescent="0.25">
      <c r="Q4288" s="8"/>
    </row>
    <row r="4289" spans="17:17" x14ac:dyDescent="0.25">
      <c r="Q4289" s="8"/>
    </row>
    <row r="4290" spans="17:17" x14ac:dyDescent="0.25">
      <c r="Q4290" s="8"/>
    </row>
    <row r="4291" spans="17:17" x14ac:dyDescent="0.25">
      <c r="Q4291" s="8"/>
    </row>
    <row r="4292" spans="17:17" x14ac:dyDescent="0.25">
      <c r="Q4292" s="8"/>
    </row>
    <row r="4293" spans="17:17" x14ac:dyDescent="0.25">
      <c r="Q4293" s="8"/>
    </row>
    <row r="4294" spans="17:17" x14ac:dyDescent="0.25">
      <c r="Q4294" s="8"/>
    </row>
    <row r="4295" spans="17:17" x14ac:dyDescent="0.25">
      <c r="Q4295" s="8"/>
    </row>
    <row r="4296" spans="17:17" x14ac:dyDescent="0.25">
      <c r="Q4296" s="8"/>
    </row>
    <row r="4297" spans="17:17" x14ac:dyDescent="0.25">
      <c r="Q4297" s="8"/>
    </row>
    <row r="4298" spans="17:17" x14ac:dyDescent="0.25">
      <c r="Q4298" s="8"/>
    </row>
    <row r="4299" spans="17:17" x14ac:dyDescent="0.25">
      <c r="Q4299" s="8"/>
    </row>
    <row r="4300" spans="17:17" x14ac:dyDescent="0.25">
      <c r="Q4300" s="8"/>
    </row>
    <row r="4301" spans="17:17" x14ac:dyDescent="0.25">
      <c r="Q4301" s="8"/>
    </row>
    <row r="4302" spans="17:17" x14ac:dyDescent="0.25">
      <c r="Q4302" s="8"/>
    </row>
    <row r="4303" spans="17:17" x14ac:dyDescent="0.25">
      <c r="Q4303" s="8"/>
    </row>
    <row r="4304" spans="17:17" x14ac:dyDescent="0.25">
      <c r="Q4304" s="8"/>
    </row>
    <row r="4305" spans="17:17" x14ac:dyDescent="0.25">
      <c r="Q4305" s="8"/>
    </row>
    <row r="4306" spans="17:17" x14ac:dyDescent="0.25">
      <c r="Q4306" s="8"/>
    </row>
    <row r="4307" spans="17:17" x14ac:dyDescent="0.25">
      <c r="Q4307" s="8"/>
    </row>
    <row r="4308" spans="17:17" x14ac:dyDescent="0.25">
      <c r="Q4308" s="8"/>
    </row>
    <row r="4309" spans="17:17" x14ac:dyDescent="0.25">
      <c r="Q4309" s="8"/>
    </row>
    <row r="4310" spans="17:17" x14ac:dyDescent="0.25">
      <c r="Q4310" s="8"/>
    </row>
    <row r="4311" spans="17:17" x14ac:dyDescent="0.25">
      <c r="Q4311" s="8"/>
    </row>
    <row r="4312" spans="17:17" x14ac:dyDescent="0.25">
      <c r="Q4312" s="8"/>
    </row>
    <row r="4313" spans="17:17" x14ac:dyDescent="0.25">
      <c r="Q4313" s="8"/>
    </row>
    <row r="4314" spans="17:17" x14ac:dyDescent="0.25">
      <c r="Q4314" s="8"/>
    </row>
    <row r="4315" spans="17:17" x14ac:dyDescent="0.25">
      <c r="Q4315" s="8"/>
    </row>
    <row r="4316" spans="17:17" x14ac:dyDescent="0.25">
      <c r="Q4316" s="8"/>
    </row>
    <row r="4317" spans="17:17" x14ac:dyDescent="0.25">
      <c r="Q4317" s="8"/>
    </row>
    <row r="4318" spans="17:17" x14ac:dyDescent="0.25">
      <c r="Q4318" s="8"/>
    </row>
    <row r="4319" spans="17:17" x14ac:dyDescent="0.25">
      <c r="Q4319" s="8"/>
    </row>
    <row r="4320" spans="17:17" x14ac:dyDescent="0.25">
      <c r="Q4320" s="8"/>
    </row>
    <row r="4321" spans="17:17" x14ac:dyDescent="0.25">
      <c r="Q4321" s="8"/>
    </row>
    <row r="4322" spans="17:17" x14ac:dyDescent="0.25">
      <c r="Q4322" s="8"/>
    </row>
    <row r="4323" spans="17:17" x14ac:dyDescent="0.25">
      <c r="Q4323" s="8"/>
    </row>
    <row r="4324" spans="17:17" x14ac:dyDescent="0.25">
      <c r="Q4324" s="8"/>
    </row>
    <row r="4325" spans="17:17" x14ac:dyDescent="0.25">
      <c r="Q4325" s="8"/>
    </row>
    <row r="4326" spans="17:17" x14ac:dyDescent="0.25">
      <c r="Q4326" s="8"/>
    </row>
    <row r="4327" spans="17:17" x14ac:dyDescent="0.25">
      <c r="Q4327" s="8"/>
    </row>
    <row r="4328" spans="17:17" x14ac:dyDescent="0.25">
      <c r="Q4328" s="8"/>
    </row>
    <row r="4329" spans="17:17" x14ac:dyDescent="0.25">
      <c r="Q4329" s="8"/>
    </row>
    <row r="4330" spans="17:17" x14ac:dyDescent="0.25">
      <c r="Q4330" s="8"/>
    </row>
    <row r="4331" spans="17:17" x14ac:dyDescent="0.25">
      <c r="Q4331" s="8"/>
    </row>
    <row r="4332" spans="17:17" x14ac:dyDescent="0.25">
      <c r="Q4332" s="8"/>
    </row>
    <row r="4333" spans="17:17" x14ac:dyDescent="0.25">
      <c r="Q4333" s="8"/>
    </row>
    <row r="4334" spans="17:17" x14ac:dyDescent="0.25">
      <c r="Q4334" s="8"/>
    </row>
    <row r="4335" spans="17:17" x14ac:dyDescent="0.25">
      <c r="Q4335" s="8"/>
    </row>
    <row r="4336" spans="17:17" x14ac:dyDescent="0.25">
      <c r="Q4336" s="8"/>
    </row>
    <row r="4337" spans="17:17" x14ac:dyDescent="0.25">
      <c r="Q4337" s="8"/>
    </row>
    <row r="4338" spans="17:17" x14ac:dyDescent="0.25">
      <c r="Q4338" s="8"/>
    </row>
    <row r="4339" spans="17:17" x14ac:dyDescent="0.25">
      <c r="Q4339" s="8"/>
    </row>
    <row r="4340" spans="17:17" x14ac:dyDescent="0.25">
      <c r="Q4340" s="8"/>
    </row>
    <row r="4341" spans="17:17" x14ac:dyDescent="0.25">
      <c r="Q4341" s="8"/>
    </row>
    <row r="4342" spans="17:17" x14ac:dyDescent="0.25">
      <c r="Q4342" s="8"/>
    </row>
    <row r="4343" spans="17:17" x14ac:dyDescent="0.25">
      <c r="Q4343" s="8"/>
    </row>
    <row r="4344" spans="17:17" x14ac:dyDescent="0.25">
      <c r="Q4344" s="8"/>
    </row>
    <row r="4345" spans="17:17" x14ac:dyDescent="0.25">
      <c r="Q4345" s="8"/>
    </row>
    <row r="4346" spans="17:17" x14ac:dyDescent="0.25">
      <c r="Q4346" s="8"/>
    </row>
    <row r="4347" spans="17:17" x14ac:dyDescent="0.25">
      <c r="Q4347" s="8"/>
    </row>
    <row r="4348" spans="17:17" x14ac:dyDescent="0.25">
      <c r="Q4348" s="8"/>
    </row>
    <row r="4349" spans="17:17" x14ac:dyDescent="0.25">
      <c r="Q4349" s="8"/>
    </row>
    <row r="4350" spans="17:17" x14ac:dyDescent="0.25">
      <c r="Q4350" s="8"/>
    </row>
    <row r="4351" spans="17:17" x14ac:dyDescent="0.25">
      <c r="Q4351" s="8"/>
    </row>
    <row r="4352" spans="17:17" x14ac:dyDescent="0.25">
      <c r="Q4352" s="8"/>
    </row>
    <row r="4353" spans="17:17" x14ac:dyDescent="0.25">
      <c r="Q4353" s="8"/>
    </row>
    <row r="4354" spans="17:17" x14ac:dyDescent="0.25">
      <c r="Q4354" s="8"/>
    </row>
    <row r="4355" spans="17:17" x14ac:dyDescent="0.25">
      <c r="Q4355" s="8"/>
    </row>
    <row r="4356" spans="17:17" x14ac:dyDescent="0.25">
      <c r="Q4356" s="8"/>
    </row>
    <row r="4357" spans="17:17" x14ac:dyDescent="0.25">
      <c r="Q4357" s="8"/>
    </row>
    <row r="4358" spans="17:17" x14ac:dyDescent="0.25">
      <c r="Q4358" s="8"/>
    </row>
    <row r="4359" spans="17:17" x14ac:dyDescent="0.25">
      <c r="Q4359" s="8"/>
    </row>
    <row r="4360" spans="17:17" x14ac:dyDescent="0.25">
      <c r="Q4360" s="8"/>
    </row>
    <row r="4361" spans="17:17" x14ac:dyDescent="0.25">
      <c r="Q4361" s="8"/>
    </row>
    <row r="4362" spans="17:17" x14ac:dyDescent="0.25">
      <c r="Q4362" s="8"/>
    </row>
    <row r="4363" spans="17:17" x14ac:dyDescent="0.25">
      <c r="Q4363" s="8"/>
    </row>
    <row r="4364" spans="17:17" x14ac:dyDescent="0.25">
      <c r="Q4364" s="8"/>
    </row>
    <row r="4365" spans="17:17" x14ac:dyDescent="0.25">
      <c r="Q4365" s="8"/>
    </row>
    <row r="4366" spans="17:17" x14ac:dyDescent="0.25">
      <c r="Q4366" s="8"/>
    </row>
    <row r="4367" spans="17:17" x14ac:dyDescent="0.25">
      <c r="Q4367" s="8"/>
    </row>
    <row r="4368" spans="17:17" x14ac:dyDescent="0.25">
      <c r="Q4368" s="8"/>
    </row>
    <row r="4369" spans="17:17" x14ac:dyDescent="0.25">
      <c r="Q4369" s="8"/>
    </row>
    <row r="4370" spans="17:17" x14ac:dyDescent="0.25">
      <c r="Q4370" s="8"/>
    </row>
    <row r="4371" spans="17:17" x14ac:dyDescent="0.25">
      <c r="Q4371" s="8"/>
    </row>
    <row r="4372" spans="17:17" x14ac:dyDescent="0.25">
      <c r="Q4372" s="8"/>
    </row>
    <row r="4373" spans="17:17" x14ac:dyDescent="0.25">
      <c r="Q4373" s="8"/>
    </row>
    <row r="4374" spans="17:17" x14ac:dyDescent="0.25">
      <c r="Q4374" s="8"/>
    </row>
    <row r="4375" spans="17:17" x14ac:dyDescent="0.25">
      <c r="Q4375" s="8"/>
    </row>
    <row r="4376" spans="17:17" x14ac:dyDescent="0.25">
      <c r="Q4376" s="8"/>
    </row>
    <row r="4377" spans="17:17" x14ac:dyDescent="0.25">
      <c r="Q4377" s="8"/>
    </row>
    <row r="4378" spans="17:17" x14ac:dyDescent="0.25">
      <c r="Q4378" s="8"/>
    </row>
    <row r="4379" spans="17:17" x14ac:dyDescent="0.25">
      <c r="Q4379" s="8"/>
    </row>
    <row r="4380" spans="17:17" x14ac:dyDescent="0.25">
      <c r="Q4380" s="8"/>
    </row>
    <row r="4381" spans="17:17" x14ac:dyDescent="0.25">
      <c r="Q4381" s="8"/>
    </row>
    <row r="4382" spans="17:17" x14ac:dyDescent="0.25">
      <c r="Q4382" s="8"/>
    </row>
    <row r="4383" spans="17:17" x14ac:dyDescent="0.25">
      <c r="Q4383" s="8"/>
    </row>
    <row r="4384" spans="17:17" x14ac:dyDescent="0.25">
      <c r="Q4384" s="8"/>
    </row>
    <row r="4385" spans="17:17" x14ac:dyDescent="0.25">
      <c r="Q4385" s="8"/>
    </row>
    <row r="4386" spans="17:17" x14ac:dyDescent="0.25">
      <c r="Q4386" s="8"/>
    </row>
    <row r="4387" spans="17:17" x14ac:dyDescent="0.25">
      <c r="Q4387" s="8"/>
    </row>
    <row r="4388" spans="17:17" x14ac:dyDescent="0.25">
      <c r="Q4388" s="8"/>
    </row>
    <row r="4389" spans="17:17" x14ac:dyDescent="0.25">
      <c r="Q4389" s="8"/>
    </row>
    <row r="4390" spans="17:17" x14ac:dyDescent="0.25">
      <c r="Q4390" s="8"/>
    </row>
    <row r="4391" spans="17:17" x14ac:dyDescent="0.25">
      <c r="Q4391" s="8"/>
    </row>
    <row r="4392" spans="17:17" x14ac:dyDescent="0.25">
      <c r="Q4392" s="8"/>
    </row>
    <row r="4393" spans="17:17" x14ac:dyDescent="0.25">
      <c r="Q4393" s="8"/>
    </row>
    <row r="4394" spans="17:17" x14ac:dyDescent="0.25">
      <c r="Q4394" s="8"/>
    </row>
    <row r="4395" spans="17:17" x14ac:dyDescent="0.25">
      <c r="Q4395" s="8"/>
    </row>
    <row r="4396" spans="17:17" x14ac:dyDescent="0.25">
      <c r="Q4396" s="8"/>
    </row>
    <row r="4397" spans="17:17" x14ac:dyDescent="0.25">
      <c r="Q4397" s="8"/>
    </row>
    <row r="4398" spans="17:17" x14ac:dyDescent="0.25">
      <c r="Q4398" s="8"/>
    </row>
    <row r="4399" spans="17:17" x14ac:dyDescent="0.25">
      <c r="Q4399" s="8"/>
    </row>
    <row r="4400" spans="17:17" x14ac:dyDescent="0.25">
      <c r="Q4400" s="8"/>
    </row>
    <row r="4401" spans="17:17" x14ac:dyDescent="0.25">
      <c r="Q4401" s="8"/>
    </row>
    <row r="4402" spans="17:17" x14ac:dyDescent="0.25">
      <c r="Q4402" s="8"/>
    </row>
    <row r="4403" spans="17:17" x14ac:dyDescent="0.25">
      <c r="Q4403" s="8"/>
    </row>
    <row r="4404" spans="17:17" x14ac:dyDescent="0.25">
      <c r="Q4404" s="8"/>
    </row>
    <row r="4405" spans="17:17" x14ac:dyDescent="0.25">
      <c r="Q4405" s="8"/>
    </row>
    <row r="4406" spans="17:17" x14ac:dyDescent="0.25">
      <c r="Q4406" s="8"/>
    </row>
    <row r="4407" spans="17:17" x14ac:dyDescent="0.25">
      <c r="Q4407" s="8"/>
    </row>
    <row r="4408" spans="17:17" x14ac:dyDescent="0.25">
      <c r="Q4408" s="8"/>
    </row>
    <row r="4409" spans="17:17" x14ac:dyDescent="0.25">
      <c r="Q4409" s="8"/>
    </row>
    <row r="4410" spans="17:17" x14ac:dyDescent="0.25">
      <c r="Q4410" s="8"/>
    </row>
    <row r="4411" spans="17:17" x14ac:dyDescent="0.25">
      <c r="Q4411" s="8"/>
    </row>
    <row r="4412" spans="17:17" x14ac:dyDescent="0.25">
      <c r="Q4412" s="8"/>
    </row>
    <row r="4413" spans="17:17" x14ac:dyDescent="0.25">
      <c r="Q4413" s="8"/>
    </row>
    <row r="4414" spans="17:17" x14ac:dyDescent="0.25">
      <c r="Q4414" s="8"/>
    </row>
    <row r="4415" spans="17:17" x14ac:dyDescent="0.25">
      <c r="Q4415" s="8"/>
    </row>
    <row r="4416" spans="17:17" x14ac:dyDescent="0.25">
      <c r="Q4416" s="8"/>
    </row>
    <row r="4417" spans="17:17" x14ac:dyDescent="0.25">
      <c r="Q4417" s="8"/>
    </row>
    <row r="4418" spans="17:17" x14ac:dyDescent="0.25">
      <c r="Q4418" s="8"/>
    </row>
    <row r="4419" spans="17:17" x14ac:dyDescent="0.25">
      <c r="Q4419" s="8"/>
    </row>
    <row r="4420" spans="17:17" x14ac:dyDescent="0.25">
      <c r="Q4420" s="8"/>
    </row>
    <row r="4421" spans="17:17" x14ac:dyDescent="0.25">
      <c r="Q4421" s="8"/>
    </row>
    <row r="4422" spans="17:17" x14ac:dyDescent="0.25">
      <c r="Q4422" s="8"/>
    </row>
    <row r="4423" spans="17:17" x14ac:dyDescent="0.25">
      <c r="Q4423" s="8"/>
    </row>
    <row r="4424" spans="17:17" x14ac:dyDescent="0.25">
      <c r="Q4424" s="8"/>
    </row>
    <row r="4425" spans="17:17" x14ac:dyDescent="0.25">
      <c r="Q4425" s="8"/>
    </row>
    <row r="4426" spans="17:17" x14ac:dyDescent="0.25">
      <c r="Q4426" s="8"/>
    </row>
    <row r="4427" spans="17:17" x14ac:dyDescent="0.25">
      <c r="Q4427" s="8"/>
    </row>
    <row r="4428" spans="17:17" x14ac:dyDescent="0.25">
      <c r="Q4428" s="8"/>
    </row>
    <row r="4429" spans="17:17" x14ac:dyDescent="0.25">
      <c r="Q4429" s="8"/>
    </row>
    <row r="4430" spans="17:17" x14ac:dyDescent="0.25">
      <c r="Q4430" s="8"/>
    </row>
    <row r="4431" spans="17:17" x14ac:dyDescent="0.25">
      <c r="Q4431" s="8"/>
    </row>
    <row r="4432" spans="17:17" x14ac:dyDescent="0.25">
      <c r="Q4432" s="8"/>
    </row>
    <row r="4433" spans="17:17" x14ac:dyDescent="0.25">
      <c r="Q4433" s="8"/>
    </row>
    <row r="4434" spans="17:17" x14ac:dyDescent="0.25">
      <c r="Q4434" s="8"/>
    </row>
    <row r="4435" spans="17:17" x14ac:dyDescent="0.25">
      <c r="Q4435" s="8"/>
    </row>
    <row r="4436" spans="17:17" x14ac:dyDescent="0.25">
      <c r="Q4436" s="8"/>
    </row>
    <row r="4437" spans="17:17" x14ac:dyDescent="0.25">
      <c r="Q4437" s="8"/>
    </row>
    <row r="4438" spans="17:17" x14ac:dyDescent="0.25">
      <c r="Q4438" s="8"/>
    </row>
    <row r="4439" spans="17:17" x14ac:dyDescent="0.25">
      <c r="Q4439" s="8"/>
    </row>
    <row r="4440" spans="17:17" x14ac:dyDescent="0.25">
      <c r="Q4440" s="8"/>
    </row>
    <row r="4441" spans="17:17" x14ac:dyDescent="0.25">
      <c r="Q4441" s="8"/>
    </row>
    <row r="4442" spans="17:17" x14ac:dyDescent="0.25">
      <c r="Q4442" s="8"/>
    </row>
    <row r="4443" spans="17:17" x14ac:dyDescent="0.25">
      <c r="Q4443" s="8"/>
    </row>
    <row r="4444" spans="17:17" x14ac:dyDescent="0.25">
      <c r="Q4444" s="8"/>
    </row>
    <row r="4445" spans="17:17" x14ac:dyDescent="0.25">
      <c r="Q4445" s="8"/>
    </row>
    <row r="4446" spans="17:17" x14ac:dyDescent="0.25">
      <c r="Q4446" s="8"/>
    </row>
    <row r="4447" spans="17:17" x14ac:dyDescent="0.25">
      <c r="Q4447" s="8"/>
    </row>
    <row r="4448" spans="17:17" x14ac:dyDescent="0.25">
      <c r="Q4448" s="8"/>
    </row>
    <row r="4449" spans="17:17" x14ac:dyDescent="0.25">
      <c r="Q4449" s="8"/>
    </row>
    <row r="4450" spans="17:17" x14ac:dyDescent="0.25">
      <c r="Q4450" s="8"/>
    </row>
    <row r="4451" spans="17:17" x14ac:dyDescent="0.25">
      <c r="Q4451" s="8"/>
    </row>
    <row r="4452" spans="17:17" x14ac:dyDescent="0.25">
      <c r="Q4452" s="8"/>
    </row>
    <row r="4453" spans="17:17" x14ac:dyDescent="0.25">
      <c r="Q4453" s="8"/>
    </row>
    <row r="4454" spans="17:17" x14ac:dyDescent="0.25">
      <c r="Q4454" s="8"/>
    </row>
    <row r="4455" spans="17:17" x14ac:dyDescent="0.25">
      <c r="Q4455" s="8"/>
    </row>
    <row r="4456" spans="17:17" x14ac:dyDescent="0.25">
      <c r="Q4456" s="8"/>
    </row>
    <row r="4457" spans="17:17" x14ac:dyDescent="0.25">
      <c r="Q4457" s="8"/>
    </row>
    <row r="4458" spans="17:17" x14ac:dyDescent="0.25">
      <c r="Q4458" s="8"/>
    </row>
    <row r="4459" spans="17:17" x14ac:dyDescent="0.25">
      <c r="Q4459" s="8"/>
    </row>
    <row r="4460" spans="17:17" x14ac:dyDescent="0.25">
      <c r="Q4460" s="8"/>
    </row>
    <row r="4461" spans="17:17" x14ac:dyDescent="0.25">
      <c r="Q4461" s="8"/>
    </row>
    <row r="4462" spans="17:17" x14ac:dyDescent="0.25">
      <c r="Q4462" s="8"/>
    </row>
    <row r="4463" spans="17:17" x14ac:dyDescent="0.25">
      <c r="Q4463" s="8"/>
    </row>
    <row r="4464" spans="17:17" x14ac:dyDescent="0.25">
      <c r="Q4464" s="8"/>
    </row>
    <row r="4465" spans="17:17" x14ac:dyDescent="0.25">
      <c r="Q4465" s="8"/>
    </row>
    <row r="4466" spans="17:17" x14ac:dyDescent="0.25">
      <c r="Q4466" s="8"/>
    </row>
    <row r="4467" spans="17:17" x14ac:dyDescent="0.25">
      <c r="Q4467" s="8"/>
    </row>
    <row r="4468" spans="17:17" x14ac:dyDescent="0.25">
      <c r="Q4468" s="8"/>
    </row>
    <row r="4469" spans="17:17" x14ac:dyDescent="0.25">
      <c r="Q4469" s="8"/>
    </row>
    <row r="4470" spans="17:17" x14ac:dyDescent="0.25">
      <c r="Q4470" s="8"/>
    </row>
    <row r="4471" spans="17:17" x14ac:dyDescent="0.25">
      <c r="Q4471" s="8"/>
    </row>
    <row r="4472" spans="17:17" x14ac:dyDescent="0.25">
      <c r="Q4472" s="8"/>
    </row>
    <row r="4473" spans="17:17" x14ac:dyDescent="0.25">
      <c r="Q4473" s="8"/>
    </row>
    <row r="4474" spans="17:17" x14ac:dyDescent="0.25">
      <c r="Q4474" s="8"/>
    </row>
    <row r="4475" spans="17:17" x14ac:dyDescent="0.25">
      <c r="Q4475" s="8"/>
    </row>
    <row r="4476" spans="17:17" x14ac:dyDescent="0.25">
      <c r="Q4476" s="8"/>
    </row>
    <row r="4477" spans="17:17" x14ac:dyDescent="0.25">
      <c r="Q4477" s="8"/>
    </row>
    <row r="4478" spans="17:17" x14ac:dyDescent="0.25">
      <c r="Q4478" s="8"/>
    </row>
    <row r="4479" spans="17:17" x14ac:dyDescent="0.25">
      <c r="Q4479" s="8"/>
    </row>
    <row r="4480" spans="17:17" x14ac:dyDescent="0.25">
      <c r="Q4480" s="8"/>
    </row>
    <row r="4481" spans="17:17" x14ac:dyDescent="0.25">
      <c r="Q4481" s="8"/>
    </row>
    <row r="4482" spans="17:17" x14ac:dyDescent="0.25">
      <c r="Q4482" s="8"/>
    </row>
    <row r="4483" spans="17:17" x14ac:dyDescent="0.25">
      <c r="Q4483" s="8"/>
    </row>
    <row r="4484" spans="17:17" x14ac:dyDescent="0.25">
      <c r="Q4484" s="8"/>
    </row>
    <row r="4485" spans="17:17" x14ac:dyDescent="0.25">
      <c r="Q4485" s="8"/>
    </row>
    <row r="4486" spans="17:17" x14ac:dyDescent="0.25">
      <c r="Q4486" s="8"/>
    </row>
    <row r="4487" spans="17:17" x14ac:dyDescent="0.25">
      <c r="Q4487" s="8"/>
    </row>
    <row r="4488" spans="17:17" x14ac:dyDescent="0.25">
      <c r="Q4488" s="8"/>
    </row>
    <row r="4489" spans="17:17" x14ac:dyDescent="0.25">
      <c r="Q4489" s="8"/>
    </row>
    <row r="4490" spans="17:17" x14ac:dyDescent="0.25">
      <c r="Q4490" s="8"/>
    </row>
    <row r="4491" spans="17:17" x14ac:dyDescent="0.25">
      <c r="Q4491" s="8"/>
    </row>
    <row r="4492" spans="17:17" x14ac:dyDescent="0.25">
      <c r="Q4492" s="8"/>
    </row>
    <row r="4493" spans="17:17" x14ac:dyDescent="0.25">
      <c r="Q4493" s="8"/>
    </row>
    <row r="4494" spans="17:17" x14ac:dyDescent="0.25">
      <c r="Q4494" s="8"/>
    </row>
    <row r="4495" spans="17:17" x14ac:dyDescent="0.25">
      <c r="Q4495" s="8"/>
    </row>
    <row r="4496" spans="17:17" x14ac:dyDescent="0.25">
      <c r="Q4496" s="8"/>
    </row>
    <row r="4497" spans="17:17" x14ac:dyDescent="0.25">
      <c r="Q4497" s="8"/>
    </row>
    <row r="4498" spans="17:17" x14ac:dyDescent="0.25">
      <c r="Q4498" s="8"/>
    </row>
    <row r="4499" spans="17:17" x14ac:dyDescent="0.25">
      <c r="Q4499" s="8"/>
    </row>
    <row r="4500" spans="17:17" x14ac:dyDescent="0.25">
      <c r="Q4500" s="8"/>
    </row>
    <row r="4501" spans="17:17" x14ac:dyDescent="0.25">
      <c r="Q4501" s="8"/>
    </row>
    <row r="4502" spans="17:17" x14ac:dyDescent="0.25">
      <c r="Q4502" s="8"/>
    </row>
    <row r="4503" spans="17:17" x14ac:dyDescent="0.25">
      <c r="Q4503" s="8"/>
    </row>
    <row r="4504" spans="17:17" x14ac:dyDescent="0.25">
      <c r="Q4504" s="8"/>
    </row>
    <row r="4505" spans="17:17" x14ac:dyDescent="0.25">
      <c r="Q4505" s="8"/>
    </row>
    <row r="4506" spans="17:17" x14ac:dyDescent="0.25">
      <c r="Q4506" s="8"/>
    </row>
    <row r="4507" spans="17:17" x14ac:dyDescent="0.25">
      <c r="Q4507" s="8"/>
    </row>
    <row r="4508" spans="17:17" x14ac:dyDescent="0.25">
      <c r="Q4508" s="8"/>
    </row>
    <row r="4509" spans="17:17" x14ac:dyDescent="0.25">
      <c r="Q4509" s="8"/>
    </row>
    <row r="4510" spans="17:17" x14ac:dyDescent="0.25">
      <c r="Q4510" s="8"/>
    </row>
    <row r="4511" spans="17:17" x14ac:dyDescent="0.25">
      <c r="Q4511" s="8"/>
    </row>
    <row r="4512" spans="17:17" x14ac:dyDescent="0.25">
      <c r="Q4512" s="8"/>
    </row>
    <row r="4513" spans="17:17" x14ac:dyDescent="0.25">
      <c r="Q4513" s="8"/>
    </row>
    <row r="4514" spans="17:17" x14ac:dyDescent="0.25">
      <c r="Q4514" s="8"/>
    </row>
    <row r="4515" spans="17:17" x14ac:dyDescent="0.25">
      <c r="Q4515" s="8"/>
    </row>
    <row r="4516" spans="17:17" x14ac:dyDescent="0.25">
      <c r="Q4516" s="8"/>
    </row>
    <row r="4517" spans="17:17" x14ac:dyDescent="0.25">
      <c r="Q4517" s="8"/>
    </row>
    <row r="4518" spans="17:17" x14ac:dyDescent="0.25">
      <c r="Q4518" s="8"/>
    </row>
    <row r="4519" spans="17:17" x14ac:dyDescent="0.25">
      <c r="Q4519" s="8"/>
    </row>
    <row r="4520" spans="17:17" x14ac:dyDescent="0.25">
      <c r="Q4520" s="8"/>
    </row>
    <row r="4521" spans="17:17" x14ac:dyDescent="0.25">
      <c r="Q4521" s="8"/>
    </row>
    <row r="4522" spans="17:17" x14ac:dyDescent="0.25">
      <c r="Q4522" s="8"/>
    </row>
    <row r="4523" spans="17:17" x14ac:dyDescent="0.25">
      <c r="Q4523" s="8"/>
    </row>
    <row r="4524" spans="17:17" x14ac:dyDescent="0.25">
      <c r="Q4524" s="8"/>
    </row>
    <row r="4525" spans="17:17" x14ac:dyDescent="0.25">
      <c r="Q4525" s="8"/>
    </row>
    <row r="4526" spans="17:17" x14ac:dyDescent="0.25">
      <c r="Q4526" s="8"/>
    </row>
    <row r="4527" spans="17:17" x14ac:dyDescent="0.25">
      <c r="Q4527" s="8"/>
    </row>
    <row r="4528" spans="17:17" x14ac:dyDescent="0.25">
      <c r="Q4528" s="8"/>
    </row>
    <row r="4529" spans="17:17" x14ac:dyDescent="0.25">
      <c r="Q4529" s="8"/>
    </row>
    <row r="4530" spans="17:17" x14ac:dyDescent="0.25">
      <c r="Q4530" s="8"/>
    </row>
    <row r="4531" spans="17:17" x14ac:dyDescent="0.25">
      <c r="Q4531" s="8"/>
    </row>
    <row r="4532" spans="17:17" x14ac:dyDescent="0.25">
      <c r="Q4532" s="8"/>
    </row>
    <row r="4533" spans="17:17" x14ac:dyDescent="0.25">
      <c r="Q4533" s="8"/>
    </row>
    <row r="4534" spans="17:17" x14ac:dyDescent="0.25">
      <c r="Q4534" s="8"/>
    </row>
    <row r="4535" spans="17:17" x14ac:dyDescent="0.25">
      <c r="Q4535" s="8"/>
    </row>
    <row r="4536" spans="17:17" x14ac:dyDescent="0.25">
      <c r="Q4536" s="8"/>
    </row>
    <row r="4537" spans="17:17" x14ac:dyDescent="0.25">
      <c r="Q4537" s="8"/>
    </row>
    <row r="4538" spans="17:17" x14ac:dyDescent="0.25">
      <c r="Q4538" s="8"/>
    </row>
    <row r="4539" spans="17:17" x14ac:dyDescent="0.25">
      <c r="Q4539" s="8"/>
    </row>
    <row r="4540" spans="17:17" x14ac:dyDescent="0.25">
      <c r="Q4540" s="8"/>
    </row>
    <row r="4541" spans="17:17" x14ac:dyDescent="0.25">
      <c r="Q4541" s="8"/>
    </row>
    <row r="4542" spans="17:17" x14ac:dyDescent="0.25">
      <c r="Q4542" s="8"/>
    </row>
    <row r="4543" spans="17:17" x14ac:dyDescent="0.25">
      <c r="Q4543" s="8"/>
    </row>
    <row r="4544" spans="17:17" x14ac:dyDescent="0.25">
      <c r="Q4544" s="8"/>
    </row>
    <row r="4545" spans="17:17" x14ac:dyDescent="0.25">
      <c r="Q4545" s="8"/>
    </row>
    <row r="4546" spans="17:17" x14ac:dyDescent="0.25">
      <c r="Q4546" s="8"/>
    </row>
    <row r="4547" spans="17:17" x14ac:dyDescent="0.25">
      <c r="Q4547" s="8"/>
    </row>
    <row r="4548" spans="17:17" x14ac:dyDescent="0.25">
      <c r="Q4548" s="8"/>
    </row>
    <row r="4549" spans="17:17" x14ac:dyDescent="0.25">
      <c r="Q4549" s="8"/>
    </row>
    <row r="4550" spans="17:17" x14ac:dyDescent="0.25">
      <c r="Q4550" s="8"/>
    </row>
    <row r="4551" spans="17:17" x14ac:dyDescent="0.25">
      <c r="Q4551" s="8"/>
    </row>
    <row r="4552" spans="17:17" x14ac:dyDescent="0.25">
      <c r="Q4552" s="8"/>
    </row>
    <row r="4553" spans="17:17" x14ac:dyDescent="0.25">
      <c r="Q4553" s="8"/>
    </row>
    <row r="4554" spans="17:17" x14ac:dyDescent="0.25">
      <c r="Q4554" s="8"/>
    </row>
    <row r="4555" spans="17:17" x14ac:dyDescent="0.25">
      <c r="Q4555" s="8"/>
    </row>
    <row r="4556" spans="17:17" x14ac:dyDescent="0.25">
      <c r="Q4556" s="8"/>
    </row>
    <row r="4557" spans="17:17" x14ac:dyDescent="0.25">
      <c r="Q4557" s="8"/>
    </row>
    <row r="4558" spans="17:17" x14ac:dyDescent="0.25">
      <c r="Q4558" s="8"/>
    </row>
    <row r="4559" spans="17:17" x14ac:dyDescent="0.25">
      <c r="Q4559" s="8"/>
    </row>
    <row r="4560" spans="17:17" x14ac:dyDescent="0.25">
      <c r="Q4560" s="8"/>
    </row>
    <row r="4561" spans="17:17" x14ac:dyDescent="0.25">
      <c r="Q4561" s="8"/>
    </row>
    <row r="4562" spans="17:17" x14ac:dyDescent="0.25">
      <c r="Q4562" s="8"/>
    </row>
    <row r="4563" spans="17:17" x14ac:dyDescent="0.25">
      <c r="Q4563" s="8"/>
    </row>
    <row r="4564" spans="17:17" x14ac:dyDescent="0.25">
      <c r="Q4564" s="8"/>
    </row>
    <row r="4565" spans="17:17" x14ac:dyDescent="0.25">
      <c r="Q4565" s="8"/>
    </row>
    <row r="4566" spans="17:17" x14ac:dyDescent="0.25">
      <c r="Q4566" s="8"/>
    </row>
    <row r="4567" spans="17:17" x14ac:dyDescent="0.25">
      <c r="Q4567" s="8"/>
    </row>
    <row r="4568" spans="17:17" x14ac:dyDescent="0.25">
      <c r="Q4568" s="8"/>
    </row>
    <row r="4569" spans="17:17" x14ac:dyDescent="0.25">
      <c r="Q4569" s="8"/>
    </row>
    <row r="4570" spans="17:17" x14ac:dyDescent="0.25">
      <c r="Q4570" s="8"/>
    </row>
    <row r="4571" spans="17:17" x14ac:dyDescent="0.25">
      <c r="Q4571" s="8"/>
    </row>
    <row r="4572" spans="17:17" x14ac:dyDescent="0.25">
      <c r="Q4572" s="8"/>
    </row>
    <row r="4573" spans="17:17" x14ac:dyDescent="0.25">
      <c r="Q4573" s="8"/>
    </row>
    <row r="4574" spans="17:17" x14ac:dyDescent="0.25">
      <c r="Q4574" s="8"/>
    </row>
    <row r="4575" spans="17:17" x14ac:dyDescent="0.25">
      <c r="Q4575" s="8"/>
    </row>
    <row r="4576" spans="17:17" x14ac:dyDescent="0.25">
      <c r="Q4576" s="8"/>
    </row>
    <row r="4577" spans="17:17" x14ac:dyDescent="0.25">
      <c r="Q4577" s="8"/>
    </row>
    <row r="4578" spans="17:17" x14ac:dyDescent="0.25">
      <c r="Q4578" s="8"/>
    </row>
    <row r="4579" spans="17:17" x14ac:dyDescent="0.25">
      <c r="Q4579" s="8"/>
    </row>
    <row r="4580" spans="17:17" x14ac:dyDescent="0.25">
      <c r="Q4580" s="8"/>
    </row>
    <row r="4581" spans="17:17" x14ac:dyDescent="0.25">
      <c r="Q4581" s="8"/>
    </row>
    <row r="4582" spans="17:17" x14ac:dyDescent="0.25">
      <c r="Q4582" s="8"/>
    </row>
    <row r="4583" spans="17:17" x14ac:dyDescent="0.25">
      <c r="Q4583" s="8"/>
    </row>
    <row r="4584" spans="17:17" x14ac:dyDescent="0.25">
      <c r="Q4584" s="8"/>
    </row>
    <row r="4585" spans="17:17" x14ac:dyDescent="0.25">
      <c r="Q4585" s="8"/>
    </row>
    <row r="4586" spans="17:17" x14ac:dyDescent="0.25">
      <c r="Q4586" s="8"/>
    </row>
    <row r="4587" spans="17:17" x14ac:dyDescent="0.25">
      <c r="Q4587" s="8"/>
    </row>
    <row r="4588" spans="17:17" x14ac:dyDescent="0.25">
      <c r="Q4588" s="8"/>
    </row>
    <row r="4589" spans="17:17" x14ac:dyDescent="0.25">
      <c r="Q4589" s="8"/>
    </row>
    <row r="4590" spans="17:17" x14ac:dyDescent="0.25">
      <c r="Q4590" s="8"/>
    </row>
    <row r="4591" spans="17:17" x14ac:dyDescent="0.25">
      <c r="Q4591" s="8"/>
    </row>
    <row r="4592" spans="17:17" x14ac:dyDescent="0.25">
      <c r="Q4592" s="8"/>
    </row>
    <row r="4593" spans="17:17" x14ac:dyDescent="0.25">
      <c r="Q4593" s="8"/>
    </row>
    <row r="4594" spans="17:17" x14ac:dyDescent="0.25">
      <c r="Q4594" s="8"/>
    </row>
    <row r="4595" spans="17:17" x14ac:dyDescent="0.25">
      <c r="Q4595" s="8"/>
    </row>
    <row r="4596" spans="17:17" x14ac:dyDescent="0.25">
      <c r="Q4596" s="8"/>
    </row>
    <row r="4597" spans="17:17" x14ac:dyDescent="0.25">
      <c r="Q4597" s="8"/>
    </row>
    <row r="4598" spans="17:17" x14ac:dyDescent="0.25">
      <c r="Q4598" s="8"/>
    </row>
    <row r="4599" spans="17:17" x14ac:dyDescent="0.25">
      <c r="Q4599" s="8"/>
    </row>
    <row r="4600" spans="17:17" x14ac:dyDescent="0.25">
      <c r="Q4600" s="8"/>
    </row>
    <row r="4601" spans="17:17" x14ac:dyDescent="0.25">
      <c r="Q4601" s="8"/>
    </row>
    <row r="4602" spans="17:17" x14ac:dyDescent="0.25">
      <c r="Q4602" s="8"/>
    </row>
    <row r="4603" spans="17:17" x14ac:dyDescent="0.25">
      <c r="Q4603" s="8"/>
    </row>
    <row r="4604" spans="17:17" x14ac:dyDescent="0.25">
      <c r="Q4604" s="8"/>
    </row>
    <row r="4605" spans="17:17" x14ac:dyDescent="0.25">
      <c r="Q4605" s="8"/>
    </row>
    <row r="4606" spans="17:17" x14ac:dyDescent="0.25">
      <c r="Q4606" s="8"/>
    </row>
    <row r="4607" spans="17:17" x14ac:dyDescent="0.25">
      <c r="Q4607" s="8"/>
    </row>
    <row r="4608" spans="17:17" x14ac:dyDescent="0.25">
      <c r="Q4608" s="8"/>
    </row>
    <row r="4609" spans="17:17" x14ac:dyDescent="0.25">
      <c r="Q4609" s="8"/>
    </row>
    <row r="4610" spans="17:17" x14ac:dyDescent="0.25">
      <c r="Q4610" s="8"/>
    </row>
    <row r="4611" spans="17:17" x14ac:dyDescent="0.25">
      <c r="Q4611" s="8"/>
    </row>
    <row r="4612" spans="17:17" x14ac:dyDescent="0.25">
      <c r="Q4612" s="8"/>
    </row>
    <row r="4613" spans="17:17" x14ac:dyDescent="0.25">
      <c r="Q4613" s="8"/>
    </row>
    <row r="4614" spans="17:17" x14ac:dyDescent="0.25">
      <c r="Q4614" s="8"/>
    </row>
    <row r="4615" spans="17:17" x14ac:dyDescent="0.25">
      <c r="Q4615" s="8"/>
    </row>
    <row r="4616" spans="17:17" x14ac:dyDescent="0.25">
      <c r="Q4616" s="8"/>
    </row>
    <row r="4617" spans="17:17" x14ac:dyDescent="0.25">
      <c r="Q4617" s="8"/>
    </row>
    <row r="4618" spans="17:17" x14ac:dyDescent="0.25">
      <c r="Q4618" s="8"/>
    </row>
    <row r="4619" spans="17:17" x14ac:dyDescent="0.25">
      <c r="Q4619" s="8"/>
    </row>
    <row r="4620" spans="17:17" x14ac:dyDescent="0.25">
      <c r="Q4620" s="8"/>
    </row>
    <row r="4621" spans="17:17" x14ac:dyDescent="0.25">
      <c r="Q4621" s="8"/>
    </row>
    <row r="4622" spans="17:17" x14ac:dyDescent="0.25">
      <c r="Q4622" s="8"/>
    </row>
    <row r="4623" spans="17:17" x14ac:dyDescent="0.25">
      <c r="Q4623" s="8"/>
    </row>
    <row r="4624" spans="17:17" x14ac:dyDescent="0.25">
      <c r="Q4624" s="8"/>
    </row>
    <row r="4625" spans="17:17" x14ac:dyDescent="0.25">
      <c r="Q4625" s="8"/>
    </row>
    <row r="4626" spans="17:17" x14ac:dyDescent="0.25">
      <c r="Q4626" s="8"/>
    </row>
    <row r="4627" spans="17:17" x14ac:dyDescent="0.25">
      <c r="Q4627" s="8"/>
    </row>
    <row r="4628" spans="17:17" x14ac:dyDescent="0.25">
      <c r="Q4628" s="8"/>
    </row>
    <row r="4629" spans="17:17" x14ac:dyDescent="0.25">
      <c r="Q4629" s="8"/>
    </row>
    <row r="4630" spans="17:17" x14ac:dyDescent="0.25">
      <c r="Q4630" s="8"/>
    </row>
    <row r="4631" spans="17:17" x14ac:dyDescent="0.25">
      <c r="Q4631" s="8"/>
    </row>
    <row r="4632" spans="17:17" x14ac:dyDescent="0.25">
      <c r="Q4632" s="8"/>
    </row>
    <row r="4633" spans="17:17" x14ac:dyDescent="0.25">
      <c r="Q4633" s="8"/>
    </row>
    <row r="4634" spans="17:17" x14ac:dyDescent="0.25">
      <c r="Q4634" s="8"/>
    </row>
    <row r="4635" spans="17:17" x14ac:dyDescent="0.25">
      <c r="Q4635" s="8"/>
    </row>
    <row r="4636" spans="17:17" x14ac:dyDescent="0.25">
      <c r="Q4636" s="8"/>
    </row>
    <row r="4637" spans="17:17" x14ac:dyDescent="0.25">
      <c r="Q4637" s="8"/>
    </row>
    <row r="4638" spans="17:17" x14ac:dyDescent="0.25">
      <c r="Q4638" s="8"/>
    </row>
    <row r="4639" spans="17:17" x14ac:dyDescent="0.25">
      <c r="Q4639" s="8"/>
    </row>
    <row r="4640" spans="17:17" x14ac:dyDescent="0.25">
      <c r="Q4640" s="8"/>
    </row>
    <row r="4641" spans="17:17" x14ac:dyDescent="0.25">
      <c r="Q4641" s="8"/>
    </row>
    <row r="4642" spans="17:17" x14ac:dyDescent="0.25">
      <c r="Q4642" s="8"/>
    </row>
    <row r="4643" spans="17:17" x14ac:dyDescent="0.25">
      <c r="Q4643" s="8"/>
    </row>
    <row r="4644" spans="17:17" x14ac:dyDescent="0.25">
      <c r="Q4644" s="8"/>
    </row>
    <row r="4645" spans="17:17" x14ac:dyDescent="0.25">
      <c r="Q4645" s="8"/>
    </row>
    <row r="4646" spans="17:17" x14ac:dyDescent="0.25">
      <c r="Q4646" s="8"/>
    </row>
    <row r="4647" spans="17:17" x14ac:dyDescent="0.25">
      <c r="Q4647" s="8"/>
    </row>
    <row r="4648" spans="17:17" x14ac:dyDescent="0.25">
      <c r="Q4648" s="8"/>
    </row>
    <row r="4649" spans="17:17" x14ac:dyDescent="0.25">
      <c r="Q4649" s="8"/>
    </row>
    <row r="4650" spans="17:17" x14ac:dyDescent="0.25">
      <c r="Q4650" s="8"/>
    </row>
    <row r="4651" spans="17:17" x14ac:dyDescent="0.25">
      <c r="Q4651" s="8"/>
    </row>
    <row r="4652" spans="17:17" x14ac:dyDescent="0.25">
      <c r="Q4652" s="8"/>
    </row>
    <row r="4653" spans="17:17" x14ac:dyDescent="0.25">
      <c r="Q4653" s="8"/>
    </row>
    <row r="4654" spans="17:17" x14ac:dyDescent="0.25">
      <c r="Q4654" s="8"/>
    </row>
    <row r="4655" spans="17:17" x14ac:dyDescent="0.25">
      <c r="Q4655" s="8"/>
    </row>
    <row r="4656" spans="17:17" x14ac:dyDescent="0.25">
      <c r="Q4656" s="8"/>
    </row>
    <row r="4657" spans="17:17" x14ac:dyDescent="0.25">
      <c r="Q4657" s="8"/>
    </row>
    <row r="4658" spans="17:17" x14ac:dyDescent="0.25">
      <c r="Q4658" s="8"/>
    </row>
    <row r="4659" spans="17:17" x14ac:dyDescent="0.25">
      <c r="Q4659" s="8"/>
    </row>
    <row r="4660" spans="17:17" x14ac:dyDescent="0.25">
      <c r="Q4660" s="8"/>
    </row>
    <row r="4661" spans="17:17" x14ac:dyDescent="0.25">
      <c r="Q4661" s="8"/>
    </row>
    <row r="4662" spans="17:17" x14ac:dyDescent="0.25">
      <c r="Q4662" s="8"/>
    </row>
    <row r="4663" spans="17:17" x14ac:dyDescent="0.25">
      <c r="Q4663" s="8"/>
    </row>
    <row r="4664" spans="17:17" x14ac:dyDescent="0.25">
      <c r="Q4664" s="8"/>
    </row>
    <row r="4665" spans="17:17" x14ac:dyDescent="0.25">
      <c r="Q4665" s="8"/>
    </row>
    <row r="4666" spans="17:17" x14ac:dyDescent="0.25">
      <c r="Q4666" s="8"/>
    </row>
    <row r="4667" spans="17:17" x14ac:dyDescent="0.25">
      <c r="Q4667" s="8"/>
    </row>
    <row r="4668" spans="17:17" x14ac:dyDescent="0.25">
      <c r="Q4668" s="8"/>
    </row>
    <row r="4669" spans="17:17" x14ac:dyDescent="0.25">
      <c r="Q4669" s="8"/>
    </row>
    <row r="4670" spans="17:17" x14ac:dyDescent="0.25">
      <c r="Q4670" s="8"/>
    </row>
    <row r="4671" spans="17:17" x14ac:dyDescent="0.25">
      <c r="Q4671" s="8"/>
    </row>
    <row r="4672" spans="17:17" x14ac:dyDescent="0.25">
      <c r="Q4672" s="8"/>
    </row>
    <row r="4673" spans="17:17" x14ac:dyDescent="0.25">
      <c r="Q4673" s="8"/>
    </row>
    <row r="4674" spans="17:17" x14ac:dyDescent="0.25">
      <c r="Q4674" s="8"/>
    </row>
    <row r="4675" spans="17:17" x14ac:dyDescent="0.25">
      <c r="Q4675" s="8"/>
    </row>
    <row r="4676" spans="17:17" x14ac:dyDescent="0.25">
      <c r="Q4676" s="8"/>
    </row>
    <row r="4677" spans="17:17" x14ac:dyDescent="0.25">
      <c r="Q4677" s="8"/>
    </row>
    <row r="4678" spans="17:17" x14ac:dyDescent="0.25">
      <c r="Q4678" s="8"/>
    </row>
    <row r="4679" spans="17:17" x14ac:dyDescent="0.25">
      <c r="Q4679" s="8"/>
    </row>
    <row r="4680" spans="17:17" x14ac:dyDescent="0.25">
      <c r="Q4680" s="8"/>
    </row>
    <row r="4681" spans="17:17" x14ac:dyDescent="0.25">
      <c r="Q4681" s="8"/>
    </row>
    <row r="4682" spans="17:17" x14ac:dyDescent="0.25">
      <c r="Q4682" s="8"/>
    </row>
    <row r="4683" spans="17:17" x14ac:dyDescent="0.25">
      <c r="Q4683" s="8"/>
    </row>
    <row r="4684" spans="17:17" x14ac:dyDescent="0.25">
      <c r="Q4684" s="8"/>
    </row>
    <row r="4685" spans="17:17" x14ac:dyDescent="0.25">
      <c r="Q4685" s="8"/>
    </row>
    <row r="4686" spans="17:17" x14ac:dyDescent="0.25">
      <c r="Q4686" s="8"/>
    </row>
    <row r="4687" spans="17:17" x14ac:dyDescent="0.25">
      <c r="Q4687" s="8"/>
    </row>
    <row r="4688" spans="17:17" x14ac:dyDescent="0.25">
      <c r="Q4688" s="8"/>
    </row>
    <row r="4689" spans="17:17" x14ac:dyDescent="0.25">
      <c r="Q4689" s="8"/>
    </row>
    <row r="4690" spans="17:17" x14ac:dyDescent="0.25">
      <c r="Q4690" s="8"/>
    </row>
    <row r="4691" spans="17:17" x14ac:dyDescent="0.25">
      <c r="Q4691" s="8"/>
    </row>
    <row r="4692" spans="17:17" x14ac:dyDescent="0.25">
      <c r="Q4692" s="8"/>
    </row>
    <row r="4693" spans="17:17" x14ac:dyDescent="0.25">
      <c r="Q4693" s="8"/>
    </row>
    <row r="4694" spans="17:17" x14ac:dyDescent="0.25">
      <c r="Q4694" s="8"/>
    </row>
    <row r="4695" spans="17:17" x14ac:dyDescent="0.25">
      <c r="Q4695" s="8"/>
    </row>
    <row r="4696" spans="17:17" x14ac:dyDescent="0.25">
      <c r="Q4696" s="8"/>
    </row>
    <row r="4697" spans="17:17" x14ac:dyDescent="0.25">
      <c r="Q4697" s="8"/>
    </row>
    <row r="4698" spans="17:17" x14ac:dyDescent="0.25">
      <c r="Q4698" s="8"/>
    </row>
    <row r="4699" spans="17:17" x14ac:dyDescent="0.25">
      <c r="Q4699" s="8"/>
    </row>
    <row r="4700" spans="17:17" x14ac:dyDescent="0.25">
      <c r="Q4700" s="8"/>
    </row>
    <row r="4701" spans="17:17" x14ac:dyDescent="0.25">
      <c r="Q4701" s="8"/>
    </row>
    <row r="4702" spans="17:17" x14ac:dyDescent="0.25">
      <c r="Q4702" s="8"/>
    </row>
    <row r="4703" spans="17:17" x14ac:dyDescent="0.25">
      <c r="Q4703" s="8"/>
    </row>
    <row r="4704" spans="17:17" x14ac:dyDescent="0.25">
      <c r="Q4704" s="8"/>
    </row>
    <row r="4705" spans="17:17" x14ac:dyDescent="0.25">
      <c r="Q4705" s="8"/>
    </row>
    <row r="4706" spans="17:17" x14ac:dyDescent="0.25">
      <c r="Q4706" s="8"/>
    </row>
    <row r="4707" spans="17:17" x14ac:dyDescent="0.25">
      <c r="Q4707" s="8"/>
    </row>
    <row r="4708" spans="17:17" x14ac:dyDescent="0.25">
      <c r="Q4708" s="8"/>
    </row>
    <row r="4709" spans="17:17" x14ac:dyDescent="0.25">
      <c r="Q4709" s="8"/>
    </row>
    <row r="4710" spans="17:17" x14ac:dyDescent="0.25">
      <c r="Q4710" s="8"/>
    </row>
    <row r="4711" spans="17:17" x14ac:dyDescent="0.25">
      <c r="Q4711" s="8"/>
    </row>
    <row r="4712" spans="17:17" x14ac:dyDescent="0.25">
      <c r="Q4712" s="8"/>
    </row>
    <row r="4713" spans="17:17" x14ac:dyDescent="0.25">
      <c r="Q4713" s="8"/>
    </row>
    <row r="4714" spans="17:17" x14ac:dyDescent="0.25">
      <c r="Q4714" s="8"/>
    </row>
    <row r="4715" spans="17:17" x14ac:dyDescent="0.25">
      <c r="Q4715" s="8"/>
    </row>
    <row r="4716" spans="17:17" x14ac:dyDescent="0.25">
      <c r="Q4716" s="8"/>
    </row>
    <row r="4717" spans="17:17" x14ac:dyDescent="0.25">
      <c r="Q4717" s="8"/>
    </row>
    <row r="4718" spans="17:17" x14ac:dyDescent="0.25">
      <c r="Q4718" s="8"/>
    </row>
    <row r="4719" spans="17:17" x14ac:dyDescent="0.25">
      <c r="Q4719" s="8"/>
    </row>
    <row r="4720" spans="17:17" x14ac:dyDescent="0.25">
      <c r="Q4720" s="8"/>
    </row>
    <row r="4721" spans="17:17" x14ac:dyDescent="0.25">
      <c r="Q4721" s="8"/>
    </row>
    <row r="4722" spans="17:17" x14ac:dyDescent="0.25">
      <c r="Q4722" s="8"/>
    </row>
    <row r="4723" spans="17:17" x14ac:dyDescent="0.25">
      <c r="Q4723" s="8"/>
    </row>
    <row r="4724" spans="17:17" x14ac:dyDescent="0.25">
      <c r="Q4724" s="8"/>
    </row>
    <row r="4725" spans="17:17" x14ac:dyDescent="0.25">
      <c r="Q4725" s="8"/>
    </row>
    <row r="4726" spans="17:17" x14ac:dyDescent="0.25">
      <c r="Q4726" s="8"/>
    </row>
    <row r="4727" spans="17:17" x14ac:dyDescent="0.25">
      <c r="Q4727" s="8"/>
    </row>
    <row r="4728" spans="17:17" x14ac:dyDescent="0.25">
      <c r="Q4728" s="8"/>
    </row>
    <row r="4729" spans="17:17" x14ac:dyDescent="0.25">
      <c r="Q4729" s="8"/>
    </row>
    <row r="4730" spans="17:17" x14ac:dyDescent="0.25">
      <c r="Q4730" s="8"/>
    </row>
    <row r="4731" spans="17:17" x14ac:dyDescent="0.25">
      <c r="Q4731" s="8"/>
    </row>
    <row r="4732" spans="17:17" x14ac:dyDescent="0.25">
      <c r="Q4732" s="8"/>
    </row>
    <row r="4733" spans="17:17" x14ac:dyDescent="0.25">
      <c r="Q4733" s="8"/>
    </row>
    <row r="4734" spans="17:17" x14ac:dyDescent="0.25">
      <c r="Q4734" s="8"/>
    </row>
    <row r="4735" spans="17:17" x14ac:dyDescent="0.25">
      <c r="Q4735" s="8"/>
    </row>
    <row r="4736" spans="17:17" x14ac:dyDescent="0.25">
      <c r="Q4736" s="8"/>
    </row>
    <row r="4737" spans="17:17" x14ac:dyDescent="0.25">
      <c r="Q4737" s="8"/>
    </row>
    <row r="4738" spans="17:17" x14ac:dyDescent="0.25">
      <c r="Q4738" s="8"/>
    </row>
    <row r="4739" spans="17:17" x14ac:dyDescent="0.25">
      <c r="Q4739" s="8"/>
    </row>
    <row r="4740" spans="17:17" x14ac:dyDescent="0.25">
      <c r="Q4740" s="8"/>
    </row>
    <row r="4741" spans="17:17" x14ac:dyDescent="0.25">
      <c r="Q4741" s="8"/>
    </row>
    <row r="4742" spans="17:17" x14ac:dyDescent="0.25">
      <c r="Q4742" s="8"/>
    </row>
    <row r="4743" spans="17:17" x14ac:dyDescent="0.25">
      <c r="Q4743" s="8"/>
    </row>
    <row r="4744" spans="17:17" x14ac:dyDescent="0.25">
      <c r="Q4744" s="8"/>
    </row>
    <row r="4745" spans="17:17" x14ac:dyDescent="0.25">
      <c r="Q4745" s="8"/>
    </row>
    <row r="4746" spans="17:17" x14ac:dyDescent="0.25">
      <c r="Q4746" s="8"/>
    </row>
    <row r="4747" spans="17:17" x14ac:dyDescent="0.25">
      <c r="Q4747" s="8"/>
    </row>
    <row r="4748" spans="17:17" x14ac:dyDescent="0.25">
      <c r="Q4748" s="8"/>
    </row>
    <row r="4749" spans="17:17" x14ac:dyDescent="0.25">
      <c r="Q4749" s="8"/>
    </row>
    <row r="4750" spans="17:17" x14ac:dyDescent="0.25">
      <c r="Q4750" s="8"/>
    </row>
    <row r="4751" spans="17:17" x14ac:dyDescent="0.25">
      <c r="Q4751" s="8"/>
    </row>
    <row r="4752" spans="17:17" x14ac:dyDescent="0.25">
      <c r="Q4752" s="8"/>
    </row>
    <row r="4753" spans="17:17" x14ac:dyDescent="0.25">
      <c r="Q4753" s="8"/>
    </row>
    <row r="4754" spans="17:17" x14ac:dyDescent="0.25">
      <c r="Q4754" s="8"/>
    </row>
    <row r="4755" spans="17:17" x14ac:dyDescent="0.25">
      <c r="Q4755" s="8"/>
    </row>
    <row r="4756" spans="17:17" x14ac:dyDescent="0.25">
      <c r="Q4756" s="8"/>
    </row>
    <row r="4757" spans="17:17" x14ac:dyDescent="0.25">
      <c r="Q4757" s="8"/>
    </row>
    <row r="4758" spans="17:17" x14ac:dyDescent="0.25">
      <c r="Q4758" s="8"/>
    </row>
    <row r="4759" spans="17:17" x14ac:dyDescent="0.25">
      <c r="Q4759" s="8"/>
    </row>
    <row r="4760" spans="17:17" x14ac:dyDescent="0.25">
      <c r="Q4760" s="8"/>
    </row>
    <row r="4761" spans="17:17" x14ac:dyDescent="0.25">
      <c r="Q4761" s="8"/>
    </row>
    <row r="4762" spans="17:17" x14ac:dyDescent="0.25">
      <c r="Q4762" s="8"/>
    </row>
    <row r="4763" spans="17:17" x14ac:dyDescent="0.25">
      <c r="Q4763" s="8"/>
    </row>
    <row r="4764" spans="17:17" x14ac:dyDescent="0.25">
      <c r="Q4764" s="8"/>
    </row>
    <row r="4765" spans="17:17" x14ac:dyDescent="0.25">
      <c r="Q4765" s="8"/>
    </row>
    <row r="4766" spans="17:17" x14ac:dyDescent="0.25">
      <c r="Q4766" s="8"/>
    </row>
    <row r="4767" spans="17:17" x14ac:dyDescent="0.25">
      <c r="Q4767" s="8"/>
    </row>
    <row r="4768" spans="17:17" x14ac:dyDescent="0.25">
      <c r="Q4768" s="8"/>
    </row>
    <row r="4769" spans="17:17" x14ac:dyDescent="0.25">
      <c r="Q4769" s="8"/>
    </row>
    <row r="4770" spans="17:17" x14ac:dyDescent="0.25">
      <c r="Q4770" s="8"/>
    </row>
    <row r="4771" spans="17:17" x14ac:dyDescent="0.25">
      <c r="Q4771" s="8"/>
    </row>
    <row r="4772" spans="17:17" x14ac:dyDescent="0.25">
      <c r="Q4772" s="8"/>
    </row>
    <row r="4773" spans="17:17" x14ac:dyDescent="0.25">
      <c r="Q4773" s="8"/>
    </row>
    <row r="4774" spans="17:17" x14ac:dyDescent="0.25">
      <c r="Q4774" s="8"/>
    </row>
    <row r="4775" spans="17:17" x14ac:dyDescent="0.25">
      <c r="Q4775" s="8"/>
    </row>
    <row r="4776" spans="17:17" x14ac:dyDescent="0.25">
      <c r="Q4776" s="8"/>
    </row>
    <row r="4777" spans="17:17" x14ac:dyDescent="0.25">
      <c r="Q4777" s="8"/>
    </row>
    <row r="4778" spans="17:17" x14ac:dyDescent="0.25">
      <c r="Q4778" s="8"/>
    </row>
    <row r="4779" spans="17:17" x14ac:dyDescent="0.25">
      <c r="Q4779" s="8"/>
    </row>
    <row r="4780" spans="17:17" x14ac:dyDescent="0.25">
      <c r="Q4780" s="8"/>
    </row>
    <row r="4781" spans="17:17" x14ac:dyDescent="0.25">
      <c r="Q4781" s="8"/>
    </row>
    <row r="4782" spans="17:17" x14ac:dyDescent="0.25">
      <c r="Q4782" s="8"/>
    </row>
    <row r="4783" spans="17:17" x14ac:dyDescent="0.25">
      <c r="Q4783" s="8"/>
    </row>
    <row r="4784" spans="17:17" x14ac:dyDescent="0.25">
      <c r="Q4784" s="8"/>
    </row>
    <row r="4785" spans="17:17" x14ac:dyDescent="0.25">
      <c r="Q4785" s="8"/>
    </row>
    <row r="4786" spans="17:17" x14ac:dyDescent="0.25">
      <c r="Q4786" s="8"/>
    </row>
    <row r="4787" spans="17:17" x14ac:dyDescent="0.25">
      <c r="Q4787" s="8"/>
    </row>
    <row r="4788" spans="17:17" x14ac:dyDescent="0.25">
      <c r="Q4788" s="8"/>
    </row>
    <row r="4789" spans="17:17" x14ac:dyDescent="0.25">
      <c r="Q4789" s="8"/>
    </row>
    <row r="4790" spans="17:17" x14ac:dyDescent="0.25">
      <c r="Q4790" s="8"/>
    </row>
    <row r="4791" spans="17:17" x14ac:dyDescent="0.25">
      <c r="Q4791" s="8"/>
    </row>
    <row r="4792" spans="17:17" x14ac:dyDescent="0.25">
      <c r="Q4792" s="8"/>
    </row>
    <row r="4793" spans="17:17" x14ac:dyDescent="0.25">
      <c r="Q4793" s="8"/>
    </row>
    <row r="4794" spans="17:17" x14ac:dyDescent="0.25">
      <c r="Q4794" s="8"/>
    </row>
    <row r="4795" spans="17:17" x14ac:dyDescent="0.25">
      <c r="Q4795" s="8"/>
    </row>
    <row r="4796" spans="17:17" x14ac:dyDescent="0.25">
      <c r="Q4796" s="8"/>
    </row>
    <row r="4797" spans="17:17" x14ac:dyDescent="0.25">
      <c r="Q4797" s="8"/>
    </row>
    <row r="4798" spans="17:17" x14ac:dyDescent="0.25">
      <c r="Q4798" s="8"/>
    </row>
    <row r="4799" spans="17:17" x14ac:dyDescent="0.25">
      <c r="Q4799" s="8"/>
    </row>
    <row r="4800" spans="17:17" x14ac:dyDescent="0.25">
      <c r="Q4800" s="8"/>
    </row>
    <row r="4801" spans="17:17" x14ac:dyDescent="0.25">
      <c r="Q4801" s="8"/>
    </row>
    <row r="4802" spans="17:17" x14ac:dyDescent="0.25">
      <c r="Q4802" s="8"/>
    </row>
    <row r="4803" spans="17:17" x14ac:dyDescent="0.25">
      <c r="Q4803" s="8"/>
    </row>
    <row r="4804" spans="17:17" x14ac:dyDescent="0.25">
      <c r="Q4804" s="8"/>
    </row>
    <row r="4805" spans="17:17" x14ac:dyDescent="0.25">
      <c r="Q4805" s="8"/>
    </row>
    <row r="4806" spans="17:17" x14ac:dyDescent="0.25">
      <c r="Q4806" s="8"/>
    </row>
    <row r="4807" spans="17:17" x14ac:dyDescent="0.25">
      <c r="Q4807" s="8"/>
    </row>
    <row r="4808" spans="17:17" x14ac:dyDescent="0.25">
      <c r="Q4808" s="8"/>
    </row>
    <row r="4809" spans="17:17" x14ac:dyDescent="0.25">
      <c r="Q4809" s="8"/>
    </row>
    <row r="4810" spans="17:17" x14ac:dyDescent="0.25">
      <c r="Q4810" s="8"/>
    </row>
    <row r="4811" spans="17:17" x14ac:dyDescent="0.25">
      <c r="Q4811" s="8"/>
    </row>
    <row r="4812" spans="17:17" x14ac:dyDescent="0.25">
      <c r="Q4812" s="8"/>
    </row>
    <row r="4813" spans="17:17" x14ac:dyDescent="0.25">
      <c r="Q4813" s="8"/>
    </row>
    <row r="4814" spans="17:17" x14ac:dyDescent="0.25">
      <c r="Q4814" s="8"/>
    </row>
    <row r="4815" spans="17:17" x14ac:dyDescent="0.25">
      <c r="Q4815" s="8"/>
    </row>
    <row r="4816" spans="17:17" x14ac:dyDescent="0.25">
      <c r="Q4816" s="8"/>
    </row>
    <row r="4817" spans="17:17" x14ac:dyDescent="0.25">
      <c r="Q4817" s="8"/>
    </row>
    <row r="4818" spans="17:17" x14ac:dyDescent="0.25">
      <c r="Q4818" s="8"/>
    </row>
    <row r="4819" spans="17:17" x14ac:dyDescent="0.25">
      <c r="Q4819" s="8"/>
    </row>
    <row r="4820" spans="17:17" x14ac:dyDescent="0.25">
      <c r="Q4820" s="8"/>
    </row>
    <row r="4821" spans="17:17" x14ac:dyDescent="0.25">
      <c r="Q4821" s="8"/>
    </row>
    <row r="4822" spans="17:17" x14ac:dyDescent="0.25">
      <c r="Q4822" s="8"/>
    </row>
    <row r="4823" spans="17:17" x14ac:dyDescent="0.25">
      <c r="Q4823" s="8"/>
    </row>
    <row r="4824" spans="17:17" x14ac:dyDescent="0.25">
      <c r="Q4824" s="8"/>
    </row>
    <row r="4825" spans="17:17" x14ac:dyDescent="0.25">
      <c r="Q4825" s="8"/>
    </row>
    <row r="4826" spans="17:17" x14ac:dyDescent="0.25">
      <c r="Q4826" s="8"/>
    </row>
    <row r="4827" spans="17:17" x14ac:dyDescent="0.25">
      <c r="Q4827" s="8"/>
    </row>
    <row r="4828" spans="17:17" x14ac:dyDescent="0.25">
      <c r="Q4828" s="8"/>
    </row>
    <row r="4829" spans="17:17" x14ac:dyDescent="0.25">
      <c r="Q4829" s="8"/>
    </row>
    <row r="4830" spans="17:17" x14ac:dyDescent="0.25">
      <c r="Q4830" s="8"/>
    </row>
    <row r="4831" spans="17:17" x14ac:dyDescent="0.25">
      <c r="Q4831" s="8"/>
    </row>
    <row r="4832" spans="17:17" x14ac:dyDescent="0.25">
      <c r="Q4832" s="8"/>
    </row>
    <row r="4833" spans="17:17" x14ac:dyDescent="0.25">
      <c r="Q4833" s="8"/>
    </row>
    <row r="4834" spans="17:17" x14ac:dyDescent="0.25">
      <c r="Q4834" s="8"/>
    </row>
    <row r="4835" spans="17:17" x14ac:dyDescent="0.25">
      <c r="Q4835" s="8"/>
    </row>
    <row r="4836" spans="17:17" x14ac:dyDescent="0.25">
      <c r="Q4836" s="8"/>
    </row>
    <row r="4837" spans="17:17" x14ac:dyDescent="0.25">
      <c r="Q4837" s="8"/>
    </row>
    <row r="4838" spans="17:17" x14ac:dyDescent="0.25">
      <c r="Q4838" s="8"/>
    </row>
    <row r="4839" spans="17:17" x14ac:dyDescent="0.25">
      <c r="Q4839" s="8"/>
    </row>
    <row r="4840" spans="17:17" x14ac:dyDescent="0.25">
      <c r="Q4840" s="8"/>
    </row>
    <row r="4841" spans="17:17" x14ac:dyDescent="0.25">
      <c r="Q4841" s="8"/>
    </row>
    <row r="4842" spans="17:17" x14ac:dyDescent="0.25">
      <c r="Q4842" s="8"/>
    </row>
    <row r="4843" spans="17:17" x14ac:dyDescent="0.25">
      <c r="Q4843" s="8"/>
    </row>
    <row r="4844" spans="17:17" x14ac:dyDescent="0.25">
      <c r="Q4844" s="8"/>
    </row>
    <row r="4845" spans="17:17" x14ac:dyDescent="0.25">
      <c r="Q4845" s="8"/>
    </row>
    <row r="4846" spans="17:17" x14ac:dyDescent="0.25">
      <c r="Q4846" s="8"/>
    </row>
    <row r="4847" spans="17:17" x14ac:dyDescent="0.25">
      <c r="Q4847" s="8"/>
    </row>
    <row r="4848" spans="17:17" x14ac:dyDescent="0.25">
      <c r="Q4848" s="8"/>
    </row>
    <row r="4849" spans="17:17" x14ac:dyDescent="0.25">
      <c r="Q4849" s="8"/>
    </row>
    <row r="4850" spans="17:17" x14ac:dyDescent="0.25">
      <c r="Q4850" s="8"/>
    </row>
    <row r="4851" spans="17:17" x14ac:dyDescent="0.25">
      <c r="Q4851" s="8"/>
    </row>
    <row r="4852" spans="17:17" x14ac:dyDescent="0.25">
      <c r="Q4852" s="8"/>
    </row>
    <row r="4853" spans="17:17" x14ac:dyDescent="0.25">
      <c r="Q4853" s="8"/>
    </row>
    <row r="4854" spans="17:17" x14ac:dyDescent="0.25">
      <c r="Q4854" s="8"/>
    </row>
    <row r="4855" spans="17:17" x14ac:dyDescent="0.25">
      <c r="Q4855" s="8"/>
    </row>
    <row r="4856" spans="17:17" x14ac:dyDescent="0.25">
      <c r="Q4856" s="8"/>
    </row>
    <row r="4857" spans="17:17" x14ac:dyDescent="0.25">
      <c r="Q4857" s="8"/>
    </row>
    <row r="4858" spans="17:17" x14ac:dyDescent="0.25">
      <c r="Q4858" s="8"/>
    </row>
    <row r="4859" spans="17:17" x14ac:dyDescent="0.25">
      <c r="Q4859" s="8"/>
    </row>
    <row r="4860" spans="17:17" x14ac:dyDescent="0.25">
      <c r="Q4860" s="8"/>
    </row>
    <row r="4861" spans="17:17" x14ac:dyDescent="0.25">
      <c r="Q4861" s="8"/>
    </row>
    <row r="4862" spans="17:17" x14ac:dyDescent="0.25">
      <c r="Q4862" s="8"/>
    </row>
    <row r="4863" spans="17:17" x14ac:dyDescent="0.25">
      <c r="Q4863" s="8"/>
    </row>
    <row r="4864" spans="17:17" x14ac:dyDescent="0.25">
      <c r="Q4864" s="8"/>
    </row>
    <row r="4865" spans="17:17" x14ac:dyDescent="0.25">
      <c r="Q4865" s="8"/>
    </row>
    <row r="4866" spans="17:17" x14ac:dyDescent="0.25">
      <c r="Q4866" s="8"/>
    </row>
    <row r="4867" spans="17:17" x14ac:dyDescent="0.25">
      <c r="Q4867" s="8"/>
    </row>
    <row r="4868" spans="17:17" x14ac:dyDescent="0.25">
      <c r="Q4868" s="8"/>
    </row>
    <row r="4869" spans="17:17" x14ac:dyDescent="0.25">
      <c r="Q4869" s="8"/>
    </row>
    <row r="4870" spans="17:17" x14ac:dyDescent="0.25">
      <c r="Q4870" s="8"/>
    </row>
    <row r="4871" spans="17:17" x14ac:dyDescent="0.25">
      <c r="Q4871" s="8"/>
    </row>
    <row r="4872" spans="17:17" x14ac:dyDescent="0.25">
      <c r="Q4872" s="8"/>
    </row>
    <row r="4873" spans="17:17" x14ac:dyDescent="0.25">
      <c r="Q4873" s="8"/>
    </row>
    <row r="4874" spans="17:17" x14ac:dyDescent="0.25">
      <c r="Q4874" s="8"/>
    </row>
    <row r="4875" spans="17:17" x14ac:dyDescent="0.25">
      <c r="Q4875" s="8"/>
    </row>
    <row r="4876" spans="17:17" x14ac:dyDescent="0.25">
      <c r="Q4876" s="8"/>
    </row>
    <row r="4877" spans="17:17" x14ac:dyDescent="0.25">
      <c r="Q4877" s="8"/>
    </row>
    <row r="4878" spans="17:17" x14ac:dyDescent="0.25">
      <c r="Q4878" s="8"/>
    </row>
    <row r="4879" spans="17:17" x14ac:dyDescent="0.25">
      <c r="Q4879" s="8"/>
    </row>
    <row r="4880" spans="17:17" x14ac:dyDescent="0.25">
      <c r="Q4880" s="8"/>
    </row>
    <row r="4881" spans="17:17" x14ac:dyDescent="0.25">
      <c r="Q4881" s="8"/>
    </row>
    <row r="4882" spans="17:17" x14ac:dyDescent="0.25">
      <c r="Q4882" s="8"/>
    </row>
    <row r="4883" spans="17:17" x14ac:dyDescent="0.25">
      <c r="Q4883" s="8"/>
    </row>
    <row r="4884" spans="17:17" x14ac:dyDescent="0.25">
      <c r="Q4884" s="8"/>
    </row>
    <row r="4885" spans="17:17" x14ac:dyDescent="0.25">
      <c r="Q4885" s="8"/>
    </row>
    <row r="4886" spans="17:17" x14ac:dyDescent="0.25">
      <c r="Q4886" s="8"/>
    </row>
    <row r="4887" spans="17:17" x14ac:dyDescent="0.25">
      <c r="Q4887" s="8"/>
    </row>
    <row r="4888" spans="17:17" x14ac:dyDescent="0.25">
      <c r="Q4888" s="8"/>
    </row>
    <row r="4889" spans="17:17" x14ac:dyDescent="0.25">
      <c r="Q4889" s="8"/>
    </row>
    <row r="4890" spans="17:17" x14ac:dyDescent="0.25">
      <c r="Q4890" s="8"/>
    </row>
    <row r="4891" spans="17:17" x14ac:dyDescent="0.25">
      <c r="Q4891" s="8"/>
    </row>
    <row r="4892" spans="17:17" x14ac:dyDescent="0.25">
      <c r="Q4892" s="8"/>
    </row>
    <row r="4893" spans="17:17" x14ac:dyDescent="0.25">
      <c r="Q4893" s="8"/>
    </row>
    <row r="4894" spans="17:17" x14ac:dyDescent="0.25">
      <c r="Q4894" s="8"/>
    </row>
    <row r="4895" spans="17:17" x14ac:dyDescent="0.25">
      <c r="Q4895" s="8"/>
    </row>
    <row r="4896" spans="17:17" x14ac:dyDescent="0.25">
      <c r="Q4896" s="8"/>
    </row>
    <row r="4897" spans="17:17" x14ac:dyDescent="0.25">
      <c r="Q4897" s="8"/>
    </row>
    <row r="4898" spans="17:17" x14ac:dyDescent="0.25">
      <c r="Q4898" s="8"/>
    </row>
    <row r="4899" spans="17:17" x14ac:dyDescent="0.25">
      <c r="Q4899" s="8"/>
    </row>
    <row r="4900" spans="17:17" x14ac:dyDescent="0.25">
      <c r="Q4900" s="8"/>
    </row>
    <row r="4901" spans="17:17" x14ac:dyDescent="0.25">
      <c r="Q4901" s="8"/>
    </row>
    <row r="4902" spans="17:17" x14ac:dyDescent="0.25">
      <c r="Q4902" s="8"/>
    </row>
    <row r="4903" spans="17:17" x14ac:dyDescent="0.25">
      <c r="Q4903" s="8"/>
    </row>
    <row r="4904" spans="17:17" x14ac:dyDescent="0.25">
      <c r="Q4904" s="8"/>
    </row>
    <row r="4905" spans="17:17" x14ac:dyDescent="0.25">
      <c r="Q4905" s="8"/>
    </row>
    <row r="4906" spans="17:17" x14ac:dyDescent="0.25">
      <c r="Q4906" s="8"/>
    </row>
    <row r="4907" spans="17:17" x14ac:dyDescent="0.25">
      <c r="Q4907" s="8"/>
    </row>
    <row r="4908" spans="17:17" x14ac:dyDescent="0.25">
      <c r="Q4908" s="8"/>
    </row>
    <row r="4909" spans="17:17" x14ac:dyDescent="0.25">
      <c r="Q4909" s="8"/>
    </row>
    <row r="4910" spans="17:17" x14ac:dyDescent="0.25">
      <c r="Q4910" s="8"/>
    </row>
    <row r="4911" spans="17:17" x14ac:dyDescent="0.25">
      <c r="Q4911" s="8"/>
    </row>
    <row r="4912" spans="17:17" x14ac:dyDescent="0.25">
      <c r="Q4912" s="8"/>
    </row>
    <row r="4913" spans="17:17" x14ac:dyDescent="0.25">
      <c r="Q4913" s="8"/>
    </row>
    <row r="4914" spans="17:17" x14ac:dyDescent="0.25">
      <c r="Q4914" s="8"/>
    </row>
    <row r="4915" spans="17:17" x14ac:dyDescent="0.25">
      <c r="Q4915" s="8"/>
    </row>
    <row r="4916" spans="17:17" x14ac:dyDescent="0.25">
      <c r="Q4916" s="8"/>
    </row>
    <row r="4917" spans="17:17" x14ac:dyDescent="0.25">
      <c r="Q4917" s="8"/>
    </row>
    <row r="4918" spans="17:17" x14ac:dyDescent="0.25">
      <c r="Q4918" s="8"/>
    </row>
    <row r="4919" spans="17:17" x14ac:dyDescent="0.25">
      <c r="Q4919" s="8"/>
    </row>
    <row r="4920" spans="17:17" x14ac:dyDescent="0.25">
      <c r="Q4920" s="8"/>
    </row>
    <row r="4921" spans="17:17" x14ac:dyDescent="0.25">
      <c r="Q4921" s="8"/>
    </row>
    <row r="4922" spans="17:17" x14ac:dyDescent="0.25">
      <c r="Q4922" s="8"/>
    </row>
    <row r="4923" spans="17:17" x14ac:dyDescent="0.25">
      <c r="Q4923" s="8"/>
    </row>
    <row r="4924" spans="17:17" x14ac:dyDescent="0.25">
      <c r="Q4924" s="8"/>
    </row>
    <row r="4925" spans="17:17" x14ac:dyDescent="0.25">
      <c r="Q4925" s="8"/>
    </row>
    <row r="4926" spans="17:17" x14ac:dyDescent="0.25">
      <c r="Q4926" s="8"/>
    </row>
    <row r="4927" spans="17:17" x14ac:dyDescent="0.25">
      <c r="Q4927" s="8"/>
    </row>
    <row r="4928" spans="17:17" x14ac:dyDescent="0.25">
      <c r="Q4928" s="8"/>
    </row>
    <row r="4929" spans="17:17" x14ac:dyDescent="0.25">
      <c r="Q4929" s="8"/>
    </row>
    <row r="4930" spans="17:17" x14ac:dyDescent="0.25">
      <c r="Q4930" s="8"/>
    </row>
    <row r="4931" spans="17:17" x14ac:dyDescent="0.25">
      <c r="Q4931" s="8"/>
    </row>
    <row r="4932" spans="17:17" x14ac:dyDescent="0.25">
      <c r="Q4932" s="8"/>
    </row>
    <row r="4933" spans="17:17" x14ac:dyDescent="0.25">
      <c r="Q4933" s="8"/>
    </row>
    <row r="4934" spans="17:17" x14ac:dyDescent="0.25">
      <c r="Q4934" s="8"/>
    </row>
    <row r="4935" spans="17:17" x14ac:dyDescent="0.25">
      <c r="Q4935" s="8"/>
    </row>
    <row r="4936" spans="17:17" x14ac:dyDescent="0.25">
      <c r="Q4936" s="8"/>
    </row>
    <row r="4937" spans="17:17" x14ac:dyDescent="0.25">
      <c r="Q4937" s="8"/>
    </row>
    <row r="4938" spans="17:17" x14ac:dyDescent="0.25">
      <c r="Q4938" s="8"/>
    </row>
    <row r="4939" spans="17:17" x14ac:dyDescent="0.25">
      <c r="Q4939" s="8"/>
    </row>
    <row r="4940" spans="17:17" x14ac:dyDescent="0.25">
      <c r="Q4940" s="8"/>
    </row>
    <row r="4941" spans="17:17" x14ac:dyDescent="0.25">
      <c r="Q4941" s="8"/>
    </row>
    <row r="4942" spans="17:17" x14ac:dyDescent="0.25">
      <c r="Q4942" s="8"/>
    </row>
    <row r="4943" spans="17:17" x14ac:dyDescent="0.25">
      <c r="Q4943" s="8"/>
    </row>
    <row r="4944" spans="17:17" x14ac:dyDescent="0.25">
      <c r="Q4944" s="8"/>
    </row>
    <row r="4945" spans="17:17" x14ac:dyDescent="0.25">
      <c r="Q4945" s="8"/>
    </row>
    <row r="4946" spans="17:17" x14ac:dyDescent="0.25">
      <c r="Q4946" s="8"/>
    </row>
    <row r="4947" spans="17:17" x14ac:dyDescent="0.25">
      <c r="Q4947" s="8"/>
    </row>
    <row r="4948" spans="17:17" x14ac:dyDescent="0.25">
      <c r="Q4948" s="8"/>
    </row>
    <row r="4949" spans="17:17" x14ac:dyDescent="0.25">
      <c r="Q4949" s="8"/>
    </row>
    <row r="4950" spans="17:17" x14ac:dyDescent="0.25">
      <c r="Q4950" s="8"/>
    </row>
    <row r="4951" spans="17:17" x14ac:dyDescent="0.25">
      <c r="Q4951" s="8"/>
    </row>
    <row r="4952" spans="17:17" x14ac:dyDescent="0.25">
      <c r="Q4952" s="8"/>
    </row>
    <row r="4953" spans="17:17" x14ac:dyDescent="0.25">
      <c r="Q4953" s="8"/>
    </row>
    <row r="4954" spans="17:17" x14ac:dyDescent="0.25">
      <c r="Q4954" s="8"/>
    </row>
    <row r="4955" spans="17:17" x14ac:dyDescent="0.25">
      <c r="Q4955" s="8"/>
    </row>
    <row r="4956" spans="17:17" x14ac:dyDescent="0.25">
      <c r="Q4956" s="8"/>
    </row>
    <row r="4957" spans="17:17" x14ac:dyDescent="0.25">
      <c r="Q4957" s="8"/>
    </row>
    <row r="4958" spans="17:17" x14ac:dyDescent="0.25">
      <c r="Q4958" s="8"/>
    </row>
    <row r="4959" spans="17:17" x14ac:dyDescent="0.25">
      <c r="Q4959" s="8"/>
    </row>
    <row r="4960" spans="17:17" x14ac:dyDescent="0.25">
      <c r="Q4960" s="8"/>
    </row>
    <row r="4961" spans="17:17" x14ac:dyDescent="0.25">
      <c r="Q4961" s="8"/>
    </row>
    <row r="4962" spans="17:17" x14ac:dyDescent="0.25">
      <c r="Q4962" s="8"/>
    </row>
    <row r="4963" spans="17:17" x14ac:dyDescent="0.25">
      <c r="Q4963" s="8"/>
    </row>
    <row r="4964" spans="17:17" x14ac:dyDescent="0.25">
      <c r="Q4964" s="8"/>
    </row>
    <row r="4965" spans="17:17" x14ac:dyDescent="0.25">
      <c r="Q4965" s="8"/>
    </row>
    <row r="4966" spans="17:17" x14ac:dyDescent="0.25">
      <c r="Q4966" s="8"/>
    </row>
    <row r="4967" spans="17:17" x14ac:dyDescent="0.25">
      <c r="Q4967" s="8"/>
    </row>
    <row r="4968" spans="17:17" x14ac:dyDescent="0.25">
      <c r="Q4968" s="8"/>
    </row>
    <row r="4969" spans="17:17" x14ac:dyDescent="0.25">
      <c r="Q4969" s="8"/>
    </row>
    <row r="4970" spans="17:17" x14ac:dyDescent="0.25">
      <c r="Q4970" s="8"/>
    </row>
    <row r="4971" spans="17:17" x14ac:dyDescent="0.25">
      <c r="Q4971" s="8"/>
    </row>
    <row r="4972" spans="17:17" x14ac:dyDescent="0.25">
      <c r="Q4972" s="8"/>
    </row>
    <row r="4973" spans="17:17" x14ac:dyDescent="0.25">
      <c r="Q4973" s="8"/>
    </row>
    <row r="4974" spans="17:17" x14ac:dyDescent="0.25">
      <c r="Q4974" s="8"/>
    </row>
    <row r="4975" spans="17:17" x14ac:dyDescent="0.25">
      <c r="Q4975" s="8"/>
    </row>
    <row r="4976" spans="17:17" x14ac:dyDescent="0.25">
      <c r="Q4976" s="8"/>
    </row>
    <row r="4977" spans="17:17" x14ac:dyDescent="0.25">
      <c r="Q4977" s="8"/>
    </row>
    <row r="4978" spans="17:17" x14ac:dyDescent="0.25">
      <c r="Q4978" s="8"/>
    </row>
    <row r="4979" spans="17:17" x14ac:dyDescent="0.25">
      <c r="Q4979" s="8"/>
    </row>
    <row r="4980" spans="17:17" x14ac:dyDescent="0.25">
      <c r="Q4980" s="8"/>
    </row>
    <row r="4981" spans="17:17" x14ac:dyDescent="0.25">
      <c r="Q4981" s="8"/>
    </row>
    <row r="4982" spans="17:17" x14ac:dyDescent="0.25">
      <c r="Q4982" s="8"/>
    </row>
    <row r="4983" spans="17:17" x14ac:dyDescent="0.25">
      <c r="Q4983" s="8"/>
    </row>
    <row r="4984" spans="17:17" x14ac:dyDescent="0.25">
      <c r="Q4984" s="8"/>
    </row>
    <row r="4985" spans="17:17" x14ac:dyDescent="0.25">
      <c r="Q4985" s="8"/>
    </row>
    <row r="4986" spans="17:17" x14ac:dyDescent="0.25">
      <c r="Q4986" s="8"/>
    </row>
    <row r="4987" spans="17:17" x14ac:dyDescent="0.25">
      <c r="Q4987" s="8"/>
    </row>
    <row r="4988" spans="17:17" x14ac:dyDescent="0.25">
      <c r="Q4988" s="8"/>
    </row>
    <row r="4989" spans="17:17" x14ac:dyDescent="0.25">
      <c r="Q4989" s="8"/>
    </row>
    <row r="4990" spans="17:17" x14ac:dyDescent="0.25">
      <c r="Q4990" s="8"/>
    </row>
    <row r="4991" spans="17:17" x14ac:dyDescent="0.25">
      <c r="Q4991" s="8"/>
    </row>
    <row r="4992" spans="17:17" x14ac:dyDescent="0.25">
      <c r="Q4992" s="8"/>
    </row>
    <row r="4993" spans="17:17" x14ac:dyDescent="0.25">
      <c r="Q4993" s="8"/>
    </row>
    <row r="4994" spans="17:17" x14ac:dyDescent="0.25">
      <c r="Q4994" s="8"/>
    </row>
    <row r="4995" spans="17:17" x14ac:dyDescent="0.25">
      <c r="Q4995" s="8"/>
    </row>
    <row r="4996" spans="17:17" x14ac:dyDescent="0.25">
      <c r="Q4996" s="8"/>
    </row>
    <row r="4997" spans="17:17" x14ac:dyDescent="0.25">
      <c r="Q4997" s="8"/>
    </row>
    <row r="4998" spans="17:17" x14ac:dyDescent="0.25">
      <c r="Q4998" s="8"/>
    </row>
    <row r="4999" spans="17:17" x14ac:dyDescent="0.25">
      <c r="Q4999" s="8"/>
    </row>
    <row r="5000" spans="17:17" x14ac:dyDescent="0.25">
      <c r="Q5000" s="8"/>
    </row>
    <row r="5001" spans="17:17" x14ac:dyDescent="0.25">
      <c r="Q5001" s="8"/>
    </row>
    <row r="5002" spans="17:17" x14ac:dyDescent="0.25">
      <c r="Q5002" s="8"/>
    </row>
    <row r="5003" spans="17:17" x14ac:dyDescent="0.25">
      <c r="Q5003" s="8"/>
    </row>
    <row r="5004" spans="17:17" x14ac:dyDescent="0.25">
      <c r="Q5004" s="8"/>
    </row>
    <row r="5005" spans="17:17" x14ac:dyDescent="0.25">
      <c r="Q5005" s="8"/>
    </row>
    <row r="5006" spans="17:17" x14ac:dyDescent="0.25">
      <c r="Q5006" s="8"/>
    </row>
    <row r="5007" spans="17:17" x14ac:dyDescent="0.25">
      <c r="Q5007" s="8"/>
    </row>
    <row r="5008" spans="17:17" x14ac:dyDescent="0.25">
      <c r="Q5008" s="8"/>
    </row>
    <row r="5009" spans="17:17" x14ac:dyDescent="0.25">
      <c r="Q5009" s="8"/>
    </row>
    <row r="5010" spans="17:17" x14ac:dyDescent="0.25">
      <c r="Q5010" s="8"/>
    </row>
    <row r="5011" spans="17:17" x14ac:dyDescent="0.25">
      <c r="Q5011" s="8"/>
    </row>
    <row r="5012" spans="17:17" x14ac:dyDescent="0.25">
      <c r="Q5012" s="8"/>
    </row>
    <row r="5013" spans="17:17" x14ac:dyDescent="0.25">
      <c r="Q5013" s="8"/>
    </row>
    <row r="5014" spans="17:17" x14ac:dyDescent="0.25">
      <c r="Q5014" s="8"/>
    </row>
    <row r="5015" spans="17:17" x14ac:dyDescent="0.25">
      <c r="Q5015" s="8"/>
    </row>
    <row r="5016" spans="17:17" x14ac:dyDescent="0.25">
      <c r="Q5016" s="8"/>
    </row>
    <row r="5017" spans="17:17" x14ac:dyDescent="0.25">
      <c r="Q5017" s="8"/>
    </row>
    <row r="5018" spans="17:17" x14ac:dyDescent="0.25">
      <c r="Q5018" s="8"/>
    </row>
    <row r="5019" spans="17:17" x14ac:dyDescent="0.25">
      <c r="Q5019" s="8"/>
    </row>
    <row r="5020" spans="17:17" x14ac:dyDescent="0.25">
      <c r="Q5020" s="8"/>
    </row>
    <row r="5021" spans="17:17" x14ac:dyDescent="0.25">
      <c r="Q5021" s="8"/>
    </row>
    <row r="5022" spans="17:17" x14ac:dyDescent="0.25">
      <c r="Q5022" s="8"/>
    </row>
    <row r="5023" spans="17:17" x14ac:dyDescent="0.25">
      <c r="Q5023" s="8"/>
    </row>
    <row r="5024" spans="17:17" x14ac:dyDescent="0.25">
      <c r="Q5024" s="8"/>
    </row>
    <row r="5025" spans="17:17" x14ac:dyDescent="0.25">
      <c r="Q5025" s="8"/>
    </row>
    <row r="5026" spans="17:17" x14ac:dyDescent="0.25">
      <c r="Q5026" s="8"/>
    </row>
    <row r="5027" spans="17:17" x14ac:dyDescent="0.25">
      <c r="Q5027" s="8"/>
    </row>
    <row r="5028" spans="17:17" x14ac:dyDescent="0.25">
      <c r="Q5028" s="8"/>
    </row>
    <row r="5029" spans="17:17" x14ac:dyDescent="0.25">
      <c r="Q5029" s="8"/>
    </row>
    <row r="5030" spans="17:17" x14ac:dyDescent="0.25">
      <c r="Q5030" s="8"/>
    </row>
    <row r="5031" spans="17:17" x14ac:dyDescent="0.25">
      <c r="Q5031" s="8"/>
    </row>
    <row r="5032" spans="17:17" x14ac:dyDescent="0.25">
      <c r="Q5032" s="8"/>
    </row>
    <row r="5033" spans="17:17" x14ac:dyDescent="0.25">
      <c r="Q5033" s="8"/>
    </row>
    <row r="5034" spans="17:17" x14ac:dyDescent="0.25">
      <c r="Q5034" s="8"/>
    </row>
    <row r="5035" spans="17:17" x14ac:dyDescent="0.25">
      <c r="Q5035" s="8"/>
    </row>
    <row r="5036" spans="17:17" x14ac:dyDescent="0.25">
      <c r="Q5036" s="8"/>
    </row>
    <row r="5037" spans="17:17" x14ac:dyDescent="0.25">
      <c r="Q5037" s="8"/>
    </row>
    <row r="5038" spans="17:17" x14ac:dyDescent="0.25">
      <c r="Q5038" s="8"/>
    </row>
    <row r="5039" spans="17:17" x14ac:dyDescent="0.25">
      <c r="Q5039" s="8"/>
    </row>
    <row r="5040" spans="17:17" x14ac:dyDescent="0.25">
      <c r="Q5040" s="8"/>
    </row>
    <row r="5041" spans="17:17" x14ac:dyDescent="0.25">
      <c r="Q5041" s="8"/>
    </row>
    <row r="5042" spans="17:17" x14ac:dyDescent="0.25">
      <c r="Q5042" s="8"/>
    </row>
    <row r="5043" spans="17:17" x14ac:dyDescent="0.25">
      <c r="Q5043" s="8"/>
    </row>
    <row r="5044" spans="17:17" x14ac:dyDescent="0.25">
      <c r="Q5044" s="8"/>
    </row>
    <row r="5045" spans="17:17" x14ac:dyDescent="0.25">
      <c r="Q5045" s="8"/>
    </row>
    <row r="5046" spans="17:17" x14ac:dyDescent="0.25">
      <c r="Q5046" s="8"/>
    </row>
    <row r="5047" spans="17:17" x14ac:dyDescent="0.25">
      <c r="Q5047" s="8"/>
    </row>
    <row r="5048" spans="17:17" x14ac:dyDescent="0.25">
      <c r="Q5048" s="8"/>
    </row>
    <row r="5049" spans="17:17" x14ac:dyDescent="0.25">
      <c r="Q5049" s="8"/>
    </row>
    <row r="5050" spans="17:17" x14ac:dyDescent="0.25">
      <c r="Q5050" s="8"/>
    </row>
    <row r="5051" spans="17:17" x14ac:dyDescent="0.25">
      <c r="Q5051" s="8"/>
    </row>
    <row r="5052" spans="17:17" x14ac:dyDescent="0.25">
      <c r="Q5052" s="8"/>
    </row>
    <row r="5053" spans="17:17" x14ac:dyDescent="0.25">
      <c r="Q5053" s="8"/>
    </row>
    <row r="5054" spans="17:17" x14ac:dyDescent="0.25">
      <c r="Q5054" s="8"/>
    </row>
    <row r="5055" spans="17:17" x14ac:dyDescent="0.25">
      <c r="Q5055" s="8"/>
    </row>
    <row r="5056" spans="17:17" x14ac:dyDescent="0.25">
      <c r="Q5056" s="8"/>
    </row>
    <row r="5057" spans="17:17" x14ac:dyDescent="0.25">
      <c r="Q5057" s="8"/>
    </row>
    <row r="5058" spans="17:17" x14ac:dyDescent="0.25">
      <c r="Q5058" s="8"/>
    </row>
    <row r="5059" spans="17:17" x14ac:dyDescent="0.25">
      <c r="Q5059" s="8"/>
    </row>
    <row r="5060" spans="17:17" x14ac:dyDescent="0.25">
      <c r="Q5060" s="8"/>
    </row>
    <row r="5061" spans="17:17" x14ac:dyDescent="0.25">
      <c r="Q5061" s="8"/>
    </row>
    <row r="5062" spans="17:17" x14ac:dyDescent="0.25">
      <c r="Q5062" s="8"/>
    </row>
    <row r="5063" spans="17:17" x14ac:dyDescent="0.25">
      <c r="Q5063" s="8"/>
    </row>
    <row r="5064" spans="17:17" x14ac:dyDescent="0.25">
      <c r="Q5064" s="8"/>
    </row>
    <row r="5065" spans="17:17" x14ac:dyDescent="0.25">
      <c r="Q5065" s="8"/>
    </row>
    <row r="5066" spans="17:17" x14ac:dyDescent="0.25">
      <c r="Q5066" s="8"/>
    </row>
    <row r="5067" spans="17:17" x14ac:dyDescent="0.25">
      <c r="Q5067" s="8"/>
    </row>
    <row r="5068" spans="17:17" x14ac:dyDescent="0.25">
      <c r="Q5068" s="8"/>
    </row>
    <row r="5069" spans="17:17" x14ac:dyDescent="0.25">
      <c r="Q5069" s="8"/>
    </row>
    <row r="5070" spans="17:17" x14ac:dyDescent="0.25">
      <c r="Q5070" s="8"/>
    </row>
    <row r="5071" spans="17:17" x14ac:dyDescent="0.25">
      <c r="Q5071" s="8"/>
    </row>
    <row r="5072" spans="17:17" x14ac:dyDescent="0.25">
      <c r="Q5072" s="8"/>
    </row>
    <row r="5073" spans="17:17" x14ac:dyDescent="0.25">
      <c r="Q5073" s="8"/>
    </row>
    <row r="5074" spans="17:17" x14ac:dyDescent="0.25">
      <c r="Q5074" s="8"/>
    </row>
    <row r="5075" spans="17:17" x14ac:dyDescent="0.25">
      <c r="Q5075" s="8"/>
    </row>
    <row r="5076" spans="17:17" x14ac:dyDescent="0.25">
      <c r="Q5076" s="8"/>
    </row>
    <row r="5077" spans="17:17" x14ac:dyDescent="0.25">
      <c r="Q5077" s="8"/>
    </row>
    <row r="5078" spans="17:17" x14ac:dyDescent="0.25">
      <c r="Q5078" s="8"/>
    </row>
    <row r="5079" spans="17:17" x14ac:dyDescent="0.25">
      <c r="Q5079" s="8"/>
    </row>
    <row r="5080" spans="17:17" x14ac:dyDescent="0.25">
      <c r="Q5080" s="8"/>
    </row>
    <row r="5081" spans="17:17" x14ac:dyDescent="0.25">
      <c r="Q5081" s="8"/>
    </row>
    <row r="5082" spans="17:17" x14ac:dyDescent="0.25">
      <c r="Q5082" s="8"/>
    </row>
    <row r="5083" spans="17:17" x14ac:dyDescent="0.25">
      <c r="Q5083" s="8"/>
    </row>
    <row r="5084" spans="17:17" x14ac:dyDescent="0.25">
      <c r="Q5084" s="8"/>
    </row>
    <row r="5085" spans="17:17" x14ac:dyDescent="0.25">
      <c r="Q5085" s="8"/>
    </row>
    <row r="5086" spans="17:17" x14ac:dyDescent="0.25">
      <c r="Q5086" s="8"/>
    </row>
    <row r="5087" spans="17:17" x14ac:dyDescent="0.25">
      <c r="Q5087" s="8"/>
    </row>
    <row r="5088" spans="17:17" x14ac:dyDescent="0.25">
      <c r="Q5088" s="8"/>
    </row>
    <row r="5089" spans="17:17" x14ac:dyDescent="0.25">
      <c r="Q5089" s="8"/>
    </row>
    <row r="5090" spans="17:17" x14ac:dyDescent="0.25">
      <c r="Q5090" s="8"/>
    </row>
    <row r="5091" spans="17:17" x14ac:dyDescent="0.25">
      <c r="Q5091" s="8"/>
    </row>
    <row r="5092" spans="17:17" x14ac:dyDescent="0.25">
      <c r="Q5092" s="8"/>
    </row>
    <row r="5093" spans="17:17" x14ac:dyDescent="0.25">
      <c r="Q5093" s="8"/>
    </row>
    <row r="5094" spans="17:17" x14ac:dyDescent="0.25">
      <c r="Q5094" s="8"/>
    </row>
    <row r="5095" spans="17:17" x14ac:dyDescent="0.25">
      <c r="Q5095" s="8"/>
    </row>
    <row r="5096" spans="17:17" x14ac:dyDescent="0.25">
      <c r="Q5096" s="8"/>
    </row>
    <row r="5097" spans="17:17" x14ac:dyDescent="0.25">
      <c r="Q5097" s="8"/>
    </row>
    <row r="5098" spans="17:17" x14ac:dyDescent="0.25">
      <c r="Q5098" s="8"/>
    </row>
    <row r="5099" spans="17:17" x14ac:dyDescent="0.25">
      <c r="Q5099" s="8"/>
    </row>
    <row r="5100" spans="17:17" x14ac:dyDescent="0.25">
      <c r="Q5100" s="8"/>
    </row>
    <row r="5101" spans="17:17" x14ac:dyDescent="0.25">
      <c r="Q5101" s="8"/>
    </row>
    <row r="5102" spans="17:17" x14ac:dyDescent="0.25">
      <c r="Q5102" s="8"/>
    </row>
    <row r="5103" spans="17:17" x14ac:dyDescent="0.25">
      <c r="Q5103" s="8"/>
    </row>
    <row r="5104" spans="17:17" x14ac:dyDescent="0.25">
      <c r="Q5104" s="8"/>
    </row>
    <row r="5105" spans="17:17" x14ac:dyDescent="0.25">
      <c r="Q5105" s="8"/>
    </row>
    <row r="5106" spans="17:17" x14ac:dyDescent="0.25">
      <c r="Q5106" s="8"/>
    </row>
    <row r="5107" spans="17:17" x14ac:dyDescent="0.25">
      <c r="Q5107" s="8"/>
    </row>
    <row r="5108" spans="17:17" x14ac:dyDescent="0.25">
      <c r="Q5108" s="8"/>
    </row>
    <row r="5109" spans="17:17" x14ac:dyDescent="0.25">
      <c r="Q5109" s="8"/>
    </row>
    <row r="5110" spans="17:17" x14ac:dyDescent="0.25">
      <c r="Q5110" s="8"/>
    </row>
    <row r="5111" spans="17:17" x14ac:dyDescent="0.25">
      <c r="Q5111" s="8"/>
    </row>
    <row r="5112" spans="17:17" x14ac:dyDescent="0.25">
      <c r="Q5112" s="8"/>
    </row>
    <row r="5113" spans="17:17" x14ac:dyDescent="0.25">
      <c r="Q5113" s="8"/>
    </row>
    <row r="5114" spans="17:17" x14ac:dyDescent="0.25">
      <c r="Q5114" s="8"/>
    </row>
    <row r="5115" spans="17:17" x14ac:dyDescent="0.25">
      <c r="Q5115" s="8"/>
    </row>
    <row r="5116" spans="17:17" x14ac:dyDescent="0.25">
      <c r="Q5116" s="8"/>
    </row>
    <row r="5117" spans="17:17" x14ac:dyDescent="0.25">
      <c r="Q5117" s="8"/>
    </row>
    <row r="5118" spans="17:17" x14ac:dyDescent="0.25">
      <c r="Q5118" s="8"/>
    </row>
    <row r="5119" spans="17:17" x14ac:dyDescent="0.25">
      <c r="Q5119" s="8"/>
    </row>
    <row r="5120" spans="17:17" x14ac:dyDescent="0.25">
      <c r="Q5120" s="8"/>
    </row>
    <row r="5121" spans="17:17" x14ac:dyDescent="0.25">
      <c r="Q5121" s="8"/>
    </row>
    <row r="5122" spans="17:17" x14ac:dyDescent="0.25">
      <c r="Q5122" s="8"/>
    </row>
    <row r="5123" spans="17:17" x14ac:dyDescent="0.25">
      <c r="Q5123" s="8"/>
    </row>
    <row r="5124" spans="17:17" x14ac:dyDescent="0.25">
      <c r="Q5124" s="8"/>
    </row>
    <row r="5125" spans="17:17" x14ac:dyDescent="0.25">
      <c r="Q5125" s="8"/>
    </row>
    <row r="5126" spans="17:17" x14ac:dyDescent="0.25">
      <c r="Q5126" s="8"/>
    </row>
    <row r="5127" spans="17:17" x14ac:dyDescent="0.25">
      <c r="Q5127" s="8"/>
    </row>
    <row r="5128" spans="17:17" x14ac:dyDescent="0.25">
      <c r="Q5128" s="8"/>
    </row>
    <row r="5129" spans="17:17" x14ac:dyDescent="0.25">
      <c r="Q5129" s="8"/>
    </row>
    <row r="5130" spans="17:17" x14ac:dyDescent="0.25">
      <c r="Q5130" s="8"/>
    </row>
    <row r="5131" spans="17:17" x14ac:dyDescent="0.25">
      <c r="Q5131" s="8"/>
    </row>
    <row r="5132" spans="17:17" x14ac:dyDescent="0.25">
      <c r="Q5132" s="8"/>
    </row>
    <row r="5133" spans="17:17" x14ac:dyDescent="0.25">
      <c r="Q5133" s="8"/>
    </row>
    <row r="5134" spans="17:17" x14ac:dyDescent="0.25">
      <c r="Q5134" s="8"/>
    </row>
    <row r="5135" spans="17:17" x14ac:dyDescent="0.25">
      <c r="Q5135" s="8"/>
    </row>
    <row r="5136" spans="17:17" x14ac:dyDescent="0.25">
      <c r="Q5136" s="8"/>
    </row>
    <row r="5137" spans="17:17" x14ac:dyDescent="0.25">
      <c r="Q5137" s="8"/>
    </row>
    <row r="5138" spans="17:17" x14ac:dyDescent="0.25">
      <c r="Q5138" s="8"/>
    </row>
    <row r="5139" spans="17:17" x14ac:dyDescent="0.25">
      <c r="Q5139" s="8"/>
    </row>
    <row r="5140" spans="17:17" x14ac:dyDescent="0.25">
      <c r="Q5140" s="8"/>
    </row>
    <row r="5141" spans="17:17" x14ac:dyDescent="0.25">
      <c r="Q5141" s="8"/>
    </row>
    <row r="5142" spans="17:17" x14ac:dyDescent="0.25">
      <c r="Q5142" s="8"/>
    </row>
    <row r="5143" spans="17:17" x14ac:dyDescent="0.25">
      <c r="Q5143" s="8"/>
    </row>
    <row r="5144" spans="17:17" x14ac:dyDescent="0.25">
      <c r="Q5144" s="8"/>
    </row>
    <row r="5145" spans="17:17" x14ac:dyDescent="0.25">
      <c r="Q5145" s="8"/>
    </row>
    <row r="5146" spans="17:17" x14ac:dyDescent="0.25">
      <c r="Q5146" s="8"/>
    </row>
    <row r="5147" spans="17:17" x14ac:dyDescent="0.25">
      <c r="Q5147" s="8"/>
    </row>
    <row r="5148" spans="17:17" x14ac:dyDescent="0.25">
      <c r="Q5148" s="8"/>
    </row>
    <row r="5149" spans="17:17" x14ac:dyDescent="0.25">
      <c r="Q5149" s="8"/>
    </row>
    <row r="5150" spans="17:17" x14ac:dyDescent="0.25">
      <c r="Q5150" s="8"/>
    </row>
    <row r="5151" spans="17:17" x14ac:dyDescent="0.25">
      <c r="Q5151" s="8"/>
    </row>
    <row r="5152" spans="17:17" x14ac:dyDescent="0.25">
      <c r="Q5152" s="8"/>
    </row>
    <row r="5153" spans="17:17" x14ac:dyDescent="0.25">
      <c r="Q5153" s="8"/>
    </row>
    <row r="5154" spans="17:17" x14ac:dyDescent="0.25">
      <c r="Q5154" s="8"/>
    </row>
    <row r="5155" spans="17:17" x14ac:dyDescent="0.25">
      <c r="Q5155" s="8"/>
    </row>
    <row r="5156" spans="17:17" x14ac:dyDescent="0.25">
      <c r="Q5156" s="8"/>
    </row>
    <row r="5157" spans="17:17" x14ac:dyDescent="0.25">
      <c r="Q5157" s="8"/>
    </row>
    <row r="5158" spans="17:17" x14ac:dyDescent="0.25">
      <c r="Q5158" s="8"/>
    </row>
    <row r="5159" spans="17:17" x14ac:dyDescent="0.25">
      <c r="Q5159" s="8"/>
    </row>
    <row r="5160" spans="17:17" x14ac:dyDescent="0.25">
      <c r="Q5160" s="8"/>
    </row>
    <row r="5161" spans="17:17" x14ac:dyDescent="0.25">
      <c r="Q5161" s="8"/>
    </row>
    <row r="5162" spans="17:17" x14ac:dyDescent="0.25">
      <c r="Q5162" s="8"/>
    </row>
    <row r="5163" spans="17:17" x14ac:dyDescent="0.25">
      <c r="Q5163" s="8"/>
    </row>
    <row r="5164" spans="17:17" x14ac:dyDescent="0.25">
      <c r="Q5164" s="8"/>
    </row>
    <row r="5165" spans="17:17" x14ac:dyDescent="0.25">
      <c r="Q5165" s="8"/>
    </row>
    <row r="5166" spans="17:17" x14ac:dyDescent="0.25">
      <c r="Q5166" s="8"/>
    </row>
    <row r="5167" spans="17:17" x14ac:dyDescent="0.25">
      <c r="Q5167" s="8"/>
    </row>
    <row r="5168" spans="17:17" x14ac:dyDescent="0.25">
      <c r="Q5168" s="8"/>
    </row>
    <row r="5169" spans="17:17" x14ac:dyDescent="0.25">
      <c r="Q5169" s="8"/>
    </row>
    <row r="5170" spans="17:17" x14ac:dyDescent="0.25">
      <c r="Q5170" s="8"/>
    </row>
    <row r="5171" spans="17:17" x14ac:dyDescent="0.25">
      <c r="Q5171" s="8"/>
    </row>
    <row r="5172" spans="17:17" x14ac:dyDescent="0.25">
      <c r="Q5172" s="8"/>
    </row>
    <row r="5173" spans="17:17" x14ac:dyDescent="0.25">
      <c r="Q5173" s="8"/>
    </row>
    <row r="5174" spans="17:17" x14ac:dyDescent="0.25">
      <c r="Q5174" s="8"/>
    </row>
    <row r="5175" spans="17:17" x14ac:dyDescent="0.25">
      <c r="Q5175" s="8"/>
    </row>
    <row r="5176" spans="17:17" x14ac:dyDescent="0.25">
      <c r="Q5176" s="8"/>
    </row>
    <row r="5177" spans="17:17" x14ac:dyDescent="0.25">
      <c r="Q5177" s="8"/>
    </row>
    <row r="5178" spans="17:17" x14ac:dyDescent="0.25">
      <c r="Q5178" s="8"/>
    </row>
    <row r="5179" spans="17:17" x14ac:dyDescent="0.25">
      <c r="Q5179" s="8"/>
    </row>
    <row r="5180" spans="17:17" x14ac:dyDescent="0.25">
      <c r="Q5180" s="8"/>
    </row>
    <row r="5181" spans="17:17" x14ac:dyDescent="0.25">
      <c r="Q5181" s="8"/>
    </row>
    <row r="5182" spans="17:17" x14ac:dyDescent="0.25">
      <c r="Q5182" s="8"/>
    </row>
    <row r="5183" spans="17:17" x14ac:dyDescent="0.25">
      <c r="Q5183" s="8"/>
    </row>
    <row r="5184" spans="17:17" x14ac:dyDescent="0.25">
      <c r="Q5184" s="8"/>
    </row>
    <row r="5185" spans="17:17" x14ac:dyDescent="0.25">
      <c r="Q5185" s="8"/>
    </row>
    <row r="5186" spans="17:17" x14ac:dyDescent="0.25">
      <c r="Q5186" s="8"/>
    </row>
    <row r="5187" spans="17:17" x14ac:dyDescent="0.25">
      <c r="Q5187" s="8"/>
    </row>
    <row r="5188" spans="17:17" x14ac:dyDescent="0.25">
      <c r="Q5188" s="8"/>
    </row>
    <row r="5189" spans="17:17" x14ac:dyDescent="0.25">
      <c r="Q5189" s="8"/>
    </row>
    <row r="5190" spans="17:17" x14ac:dyDescent="0.25">
      <c r="Q5190" s="8"/>
    </row>
    <row r="5191" spans="17:17" x14ac:dyDescent="0.25">
      <c r="Q5191" s="8"/>
    </row>
    <row r="5192" spans="17:17" x14ac:dyDescent="0.25">
      <c r="Q5192" s="8"/>
    </row>
    <row r="5193" spans="17:17" x14ac:dyDescent="0.25">
      <c r="Q5193" s="8"/>
    </row>
    <row r="5194" spans="17:17" x14ac:dyDescent="0.25">
      <c r="Q5194" s="8"/>
    </row>
    <row r="5195" spans="17:17" x14ac:dyDescent="0.25">
      <c r="Q5195" s="8"/>
    </row>
    <row r="5196" spans="17:17" x14ac:dyDescent="0.25">
      <c r="Q5196" s="8"/>
    </row>
    <row r="5197" spans="17:17" x14ac:dyDescent="0.25">
      <c r="Q5197" s="8"/>
    </row>
    <row r="5198" spans="17:17" x14ac:dyDescent="0.25">
      <c r="Q5198" s="8"/>
    </row>
    <row r="5199" spans="17:17" x14ac:dyDescent="0.25">
      <c r="Q5199" s="8"/>
    </row>
    <row r="5200" spans="17:17" x14ac:dyDescent="0.25">
      <c r="Q5200" s="8"/>
    </row>
    <row r="5201" spans="17:17" x14ac:dyDescent="0.25">
      <c r="Q5201" s="8"/>
    </row>
    <row r="5202" spans="17:17" x14ac:dyDescent="0.25">
      <c r="Q5202" s="8"/>
    </row>
    <row r="5203" spans="17:17" x14ac:dyDescent="0.25">
      <c r="Q5203" s="8"/>
    </row>
    <row r="5204" spans="17:17" x14ac:dyDescent="0.25">
      <c r="Q5204" s="8"/>
    </row>
    <row r="5205" spans="17:17" x14ac:dyDescent="0.25">
      <c r="Q5205" s="8"/>
    </row>
    <row r="5206" spans="17:17" x14ac:dyDescent="0.25">
      <c r="Q5206" s="8"/>
    </row>
    <row r="5207" spans="17:17" x14ac:dyDescent="0.25">
      <c r="Q5207" s="8"/>
    </row>
    <row r="5208" spans="17:17" x14ac:dyDescent="0.25">
      <c r="Q5208" s="8"/>
    </row>
    <row r="5209" spans="17:17" x14ac:dyDescent="0.25">
      <c r="Q5209" s="8"/>
    </row>
    <row r="5210" spans="17:17" x14ac:dyDescent="0.25">
      <c r="Q5210" s="8"/>
    </row>
    <row r="5211" spans="17:17" x14ac:dyDescent="0.25">
      <c r="Q5211" s="8"/>
    </row>
    <row r="5212" spans="17:17" x14ac:dyDescent="0.25">
      <c r="Q5212" s="8"/>
    </row>
    <row r="5213" spans="17:17" x14ac:dyDescent="0.25">
      <c r="Q5213" s="8"/>
    </row>
    <row r="5214" spans="17:17" x14ac:dyDescent="0.25">
      <c r="Q5214" s="8"/>
    </row>
    <row r="5215" spans="17:17" x14ac:dyDescent="0.25">
      <c r="Q5215" s="8"/>
    </row>
    <row r="5216" spans="17:17" x14ac:dyDescent="0.25">
      <c r="Q5216" s="8"/>
    </row>
    <row r="5217" spans="17:17" x14ac:dyDescent="0.25">
      <c r="Q5217" s="8"/>
    </row>
    <row r="5218" spans="17:17" x14ac:dyDescent="0.25">
      <c r="Q5218" s="8"/>
    </row>
    <row r="5219" spans="17:17" x14ac:dyDescent="0.25">
      <c r="Q5219" s="8"/>
    </row>
    <row r="5220" spans="17:17" x14ac:dyDescent="0.25">
      <c r="Q5220" s="8"/>
    </row>
    <row r="5221" spans="17:17" x14ac:dyDescent="0.25">
      <c r="Q5221" s="8"/>
    </row>
    <row r="5222" spans="17:17" x14ac:dyDescent="0.25">
      <c r="Q5222" s="8"/>
    </row>
    <row r="5223" spans="17:17" x14ac:dyDescent="0.25">
      <c r="Q5223" s="8"/>
    </row>
    <row r="5224" spans="17:17" x14ac:dyDescent="0.25">
      <c r="Q5224" s="8"/>
    </row>
    <row r="5225" spans="17:17" x14ac:dyDescent="0.25">
      <c r="Q5225" s="8"/>
    </row>
    <row r="5226" spans="17:17" x14ac:dyDescent="0.25">
      <c r="Q5226" s="8"/>
    </row>
    <row r="5227" spans="17:17" x14ac:dyDescent="0.25">
      <c r="Q5227" s="8"/>
    </row>
    <row r="5228" spans="17:17" x14ac:dyDescent="0.25">
      <c r="Q5228" s="8"/>
    </row>
    <row r="5229" spans="17:17" x14ac:dyDescent="0.25">
      <c r="Q5229" s="8"/>
    </row>
    <row r="5230" spans="17:17" x14ac:dyDescent="0.25">
      <c r="Q5230" s="8"/>
    </row>
    <row r="5231" spans="17:17" x14ac:dyDescent="0.25">
      <c r="Q5231" s="8"/>
    </row>
    <row r="5232" spans="17:17" x14ac:dyDescent="0.25">
      <c r="Q5232" s="8"/>
    </row>
    <row r="5233" spans="17:17" x14ac:dyDescent="0.25">
      <c r="Q5233" s="8"/>
    </row>
    <row r="5234" spans="17:17" x14ac:dyDescent="0.25">
      <c r="Q5234" s="8"/>
    </row>
    <row r="5235" spans="17:17" x14ac:dyDescent="0.25">
      <c r="Q5235" s="8"/>
    </row>
    <row r="5236" spans="17:17" x14ac:dyDescent="0.25">
      <c r="Q5236" s="8"/>
    </row>
    <row r="5237" spans="17:17" x14ac:dyDescent="0.25">
      <c r="Q5237" s="8"/>
    </row>
    <row r="5238" spans="17:17" x14ac:dyDescent="0.25">
      <c r="Q5238" s="8"/>
    </row>
    <row r="5239" spans="17:17" x14ac:dyDescent="0.25">
      <c r="Q5239" s="8"/>
    </row>
    <row r="5240" spans="17:17" x14ac:dyDescent="0.25">
      <c r="Q5240" s="8"/>
    </row>
    <row r="5241" spans="17:17" x14ac:dyDescent="0.25">
      <c r="Q5241" s="8"/>
    </row>
    <row r="5242" spans="17:17" x14ac:dyDescent="0.25">
      <c r="Q5242" s="8"/>
    </row>
    <row r="5243" spans="17:17" x14ac:dyDescent="0.25">
      <c r="Q5243" s="8"/>
    </row>
    <row r="5244" spans="17:17" x14ac:dyDescent="0.25">
      <c r="Q5244" s="8"/>
    </row>
    <row r="5245" spans="17:17" x14ac:dyDescent="0.25">
      <c r="Q5245" s="8"/>
    </row>
    <row r="5246" spans="17:17" x14ac:dyDescent="0.25">
      <c r="Q5246" s="8"/>
    </row>
    <row r="5247" spans="17:17" x14ac:dyDescent="0.25">
      <c r="Q5247" s="8"/>
    </row>
    <row r="5248" spans="17:17" x14ac:dyDescent="0.25">
      <c r="Q5248" s="8"/>
    </row>
    <row r="5249" spans="17:17" x14ac:dyDescent="0.25">
      <c r="Q5249" s="8"/>
    </row>
    <row r="5250" spans="17:17" x14ac:dyDescent="0.25">
      <c r="Q5250" s="8"/>
    </row>
    <row r="5251" spans="17:17" x14ac:dyDescent="0.25">
      <c r="Q5251" s="8"/>
    </row>
    <row r="5252" spans="17:17" x14ac:dyDescent="0.25">
      <c r="Q5252" s="8"/>
    </row>
    <row r="5253" spans="17:17" x14ac:dyDescent="0.25">
      <c r="Q5253" s="8"/>
    </row>
    <row r="5254" spans="17:17" x14ac:dyDescent="0.25">
      <c r="Q5254" s="8"/>
    </row>
    <row r="5255" spans="17:17" x14ac:dyDescent="0.25">
      <c r="Q5255" s="8"/>
    </row>
    <row r="5256" spans="17:17" x14ac:dyDescent="0.25">
      <c r="Q5256" s="8"/>
    </row>
    <row r="5257" spans="17:17" x14ac:dyDescent="0.25">
      <c r="Q5257" s="8"/>
    </row>
    <row r="5258" spans="17:17" x14ac:dyDescent="0.25">
      <c r="Q5258" s="8"/>
    </row>
    <row r="5259" spans="17:17" x14ac:dyDescent="0.25">
      <c r="Q5259" s="8"/>
    </row>
    <row r="5260" spans="17:17" x14ac:dyDescent="0.25">
      <c r="Q5260" s="8"/>
    </row>
    <row r="5261" spans="17:17" x14ac:dyDescent="0.25">
      <c r="Q5261" s="8"/>
    </row>
    <row r="5262" spans="17:17" x14ac:dyDescent="0.25">
      <c r="Q5262" s="8"/>
    </row>
    <row r="5263" spans="17:17" x14ac:dyDescent="0.25">
      <c r="Q5263" s="8"/>
    </row>
    <row r="5264" spans="17:17" x14ac:dyDescent="0.25">
      <c r="Q5264" s="8"/>
    </row>
    <row r="5265" spans="17:17" x14ac:dyDescent="0.25">
      <c r="Q5265" s="8"/>
    </row>
    <row r="5266" spans="17:17" x14ac:dyDescent="0.25">
      <c r="Q5266" s="8"/>
    </row>
    <row r="5267" spans="17:17" x14ac:dyDescent="0.25">
      <c r="Q5267" s="8"/>
    </row>
    <row r="5268" spans="17:17" x14ac:dyDescent="0.25">
      <c r="Q5268" s="8"/>
    </row>
    <row r="5269" spans="17:17" x14ac:dyDescent="0.25">
      <c r="Q5269" s="8"/>
    </row>
    <row r="5270" spans="17:17" x14ac:dyDescent="0.25">
      <c r="Q5270" s="8"/>
    </row>
    <row r="5271" spans="17:17" x14ac:dyDescent="0.25">
      <c r="Q5271" s="8"/>
    </row>
    <row r="5272" spans="17:17" x14ac:dyDescent="0.25">
      <c r="Q5272" s="8"/>
    </row>
    <row r="5273" spans="17:17" x14ac:dyDescent="0.25">
      <c r="Q5273" s="8"/>
    </row>
    <row r="5274" spans="17:17" x14ac:dyDescent="0.25">
      <c r="Q5274" s="8"/>
    </row>
    <row r="5275" spans="17:17" x14ac:dyDescent="0.25">
      <c r="Q5275" s="8"/>
    </row>
    <row r="5276" spans="17:17" x14ac:dyDescent="0.25">
      <c r="Q5276" s="8"/>
    </row>
    <row r="5277" spans="17:17" x14ac:dyDescent="0.25">
      <c r="Q5277" s="8"/>
    </row>
    <row r="5278" spans="17:17" x14ac:dyDescent="0.25">
      <c r="Q5278" s="8"/>
    </row>
    <row r="5279" spans="17:17" x14ac:dyDescent="0.25">
      <c r="Q5279" s="8"/>
    </row>
    <row r="5280" spans="17:17" x14ac:dyDescent="0.25">
      <c r="Q5280" s="8"/>
    </row>
    <row r="5281" spans="17:17" x14ac:dyDescent="0.25">
      <c r="Q5281" s="8"/>
    </row>
    <row r="5282" spans="17:17" x14ac:dyDescent="0.25">
      <c r="Q5282" s="8"/>
    </row>
    <row r="5283" spans="17:17" x14ac:dyDescent="0.25">
      <c r="Q5283" s="8"/>
    </row>
    <row r="5284" spans="17:17" x14ac:dyDescent="0.25">
      <c r="Q5284" s="8"/>
    </row>
    <row r="5285" spans="17:17" x14ac:dyDescent="0.25">
      <c r="Q5285" s="8"/>
    </row>
    <row r="5286" spans="17:17" x14ac:dyDescent="0.25">
      <c r="Q5286" s="8"/>
    </row>
    <row r="5287" spans="17:17" x14ac:dyDescent="0.25">
      <c r="Q5287" s="8"/>
    </row>
    <row r="5288" spans="17:17" x14ac:dyDescent="0.25">
      <c r="Q5288" s="8"/>
    </row>
    <row r="5289" spans="17:17" x14ac:dyDescent="0.25">
      <c r="Q5289" s="8"/>
    </row>
    <row r="5290" spans="17:17" x14ac:dyDescent="0.25">
      <c r="Q5290" s="8"/>
    </row>
    <row r="5291" spans="17:17" x14ac:dyDescent="0.25">
      <c r="Q5291" s="8"/>
    </row>
    <row r="5292" spans="17:17" x14ac:dyDescent="0.25">
      <c r="Q5292" s="8"/>
    </row>
    <row r="5293" spans="17:17" x14ac:dyDescent="0.25">
      <c r="Q5293" s="8"/>
    </row>
    <row r="5294" spans="17:17" x14ac:dyDescent="0.25">
      <c r="Q5294" s="8"/>
    </row>
    <row r="5295" spans="17:17" x14ac:dyDescent="0.25">
      <c r="Q5295" s="8"/>
    </row>
    <row r="5296" spans="17:17" x14ac:dyDescent="0.25">
      <c r="Q5296" s="8"/>
    </row>
    <row r="5297" spans="17:17" x14ac:dyDescent="0.25">
      <c r="Q5297" s="8"/>
    </row>
    <row r="5298" spans="17:17" x14ac:dyDescent="0.25">
      <c r="Q5298" s="8"/>
    </row>
    <row r="5299" spans="17:17" x14ac:dyDescent="0.25">
      <c r="Q5299" s="8"/>
    </row>
    <row r="5300" spans="17:17" x14ac:dyDescent="0.25">
      <c r="Q5300" s="8"/>
    </row>
    <row r="5301" spans="17:17" x14ac:dyDescent="0.25">
      <c r="Q5301" s="8"/>
    </row>
    <row r="5302" spans="17:17" x14ac:dyDescent="0.25">
      <c r="Q5302" s="8"/>
    </row>
    <row r="5303" spans="17:17" x14ac:dyDescent="0.25">
      <c r="Q5303" s="8"/>
    </row>
    <row r="5304" spans="17:17" x14ac:dyDescent="0.25">
      <c r="Q5304" s="8"/>
    </row>
    <row r="5305" spans="17:17" x14ac:dyDescent="0.25">
      <c r="Q5305" s="8"/>
    </row>
    <row r="5306" spans="17:17" x14ac:dyDescent="0.25">
      <c r="Q5306" s="8"/>
    </row>
    <row r="5307" spans="17:17" x14ac:dyDescent="0.25">
      <c r="Q5307" s="8"/>
    </row>
    <row r="5308" spans="17:17" x14ac:dyDescent="0.25">
      <c r="Q5308" s="8"/>
    </row>
    <row r="5309" spans="17:17" x14ac:dyDescent="0.25">
      <c r="Q5309" s="8"/>
    </row>
    <row r="5310" spans="17:17" x14ac:dyDescent="0.25">
      <c r="Q5310" s="8"/>
    </row>
    <row r="5311" spans="17:17" x14ac:dyDescent="0.25">
      <c r="Q5311" s="8"/>
    </row>
    <row r="5312" spans="17:17" x14ac:dyDescent="0.25">
      <c r="Q5312" s="8"/>
    </row>
    <row r="5313" spans="17:17" x14ac:dyDescent="0.25">
      <c r="Q5313" s="8"/>
    </row>
    <row r="5314" spans="17:17" x14ac:dyDescent="0.25">
      <c r="Q5314" s="8"/>
    </row>
    <row r="5315" spans="17:17" x14ac:dyDescent="0.25">
      <c r="Q5315" s="8"/>
    </row>
    <row r="5316" spans="17:17" x14ac:dyDescent="0.25">
      <c r="Q5316" s="8"/>
    </row>
    <row r="5317" spans="17:17" x14ac:dyDescent="0.25">
      <c r="Q5317" s="8"/>
    </row>
    <row r="5318" spans="17:17" x14ac:dyDescent="0.25">
      <c r="Q5318" s="8"/>
    </row>
    <row r="5319" spans="17:17" x14ac:dyDescent="0.25">
      <c r="Q5319" s="8"/>
    </row>
    <row r="5320" spans="17:17" x14ac:dyDescent="0.25">
      <c r="Q5320" s="8"/>
    </row>
    <row r="5321" spans="17:17" x14ac:dyDescent="0.25">
      <c r="Q5321" s="8"/>
    </row>
    <row r="5322" spans="17:17" x14ac:dyDescent="0.25">
      <c r="Q5322" s="8"/>
    </row>
    <row r="5323" spans="17:17" x14ac:dyDescent="0.25">
      <c r="Q5323" s="8"/>
    </row>
    <row r="5324" spans="17:17" x14ac:dyDescent="0.25">
      <c r="Q5324" s="8"/>
    </row>
    <row r="5325" spans="17:17" x14ac:dyDescent="0.25">
      <c r="Q5325" s="8"/>
    </row>
    <row r="5326" spans="17:17" x14ac:dyDescent="0.25">
      <c r="Q5326" s="8"/>
    </row>
    <row r="5327" spans="17:17" x14ac:dyDescent="0.25">
      <c r="Q5327" s="8"/>
    </row>
    <row r="5328" spans="17:17" x14ac:dyDescent="0.25">
      <c r="Q5328" s="8"/>
    </row>
    <row r="5329" spans="17:17" x14ac:dyDescent="0.25">
      <c r="Q5329" s="8"/>
    </row>
    <row r="5330" spans="17:17" x14ac:dyDescent="0.25">
      <c r="Q5330" s="8"/>
    </row>
    <row r="5331" spans="17:17" x14ac:dyDescent="0.25">
      <c r="Q5331" s="8"/>
    </row>
    <row r="5332" spans="17:17" x14ac:dyDescent="0.25">
      <c r="Q5332" s="8"/>
    </row>
    <row r="5333" spans="17:17" x14ac:dyDescent="0.25">
      <c r="Q5333" s="8"/>
    </row>
    <row r="5334" spans="17:17" x14ac:dyDescent="0.25">
      <c r="Q5334" s="8"/>
    </row>
    <row r="5335" spans="17:17" x14ac:dyDescent="0.25">
      <c r="Q5335" s="8"/>
    </row>
    <row r="5336" spans="17:17" x14ac:dyDescent="0.25">
      <c r="Q5336" s="8"/>
    </row>
    <row r="5337" spans="17:17" x14ac:dyDescent="0.25">
      <c r="Q5337" s="8"/>
    </row>
    <row r="5338" spans="17:17" x14ac:dyDescent="0.25">
      <c r="Q5338" s="8"/>
    </row>
    <row r="5339" spans="17:17" x14ac:dyDescent="0.25">
      <c r="Q5339" s="8"/>
    </row>
    <row r="5340" spans="17:17" x14ac:dyDescent="0.25">
      <c r="Q5340" s="8"/>
    </row>
    <row r="5341" spans="17:17" x14ac:dyDescent="0.25">
      <c r="Q5341" s="8"/>
    </row>
    <row r="5342" spans="17:17" x14ac:dyDescent="0.25">
      <c r="Q5342" s="8"/>
    </row>
    <row r="5343" spans="17:17" x14ac:dyDescent="0.25">
      <c r="Q5343" s="8"/>
    </row>
    <row r="5344" spans="17:17" x14ac:dyDescent="0.25">
      <c r="Q5344" s="8"/>
    </row>
    <row r="5345" spans="17:17" x14ac:dyDescent="0.25">
      <c r="Q5345" s="8"/>
    </row>
    <row r="5346" spans="17:17" x14ac:dyDescent="0.25">
      <c r="Q5346" s="8"/>
    </row>
    <row r="5347" spans="17:17" x14ac:dyDescent="0.25">
      <c r="Q5347" s="8"/>
    </row>
    <row r="5348" spans="17:17" x14ac:dyDescent="0.25">
      <c r="Q5348" s="8"/>
    </row>
    <row r="5349" spans="17:17" x14ac:dyDescent="0.25">
      <c r="Q5349" s="8"/>
    </row>
    <row r="5350" spans="17:17" x14ac:dyDescent="0.25">
      <c r="Q5350" s="8"/>
    </row>
    <row r="5351" spans="17:17" x14ac:dyDescent="0.25">
      <c r="Q5351" s="8"/>
    </row>
    <row r="5352" spans="17:17" x14ac:dyDescent="0.25">
      <c r="Q5352" s="8"/>
    </row>
    <row r="5353" spans="17:17" x14ac:dyDescent="0.25">
      <c r="Q5353" s="8"/>
    </row>
    <row r="5354" spans="17:17" x14ac:dyDescent="0.25">
      <c r="Q5354" s="8"/>
    </row>
    <row r="5355" spans="17:17" x14ac:dyDescent="0.25">
      <c r="Q5355" s="8"/>
    </row>
    <row r="5356" spans="17:17" x14ac:dyDescent="0.25">
      <c r="Q5356" s="8"/>
    </row>
    <row r="5357" spans="17:17" x14ac:dyDescent="0.25">
      <c r="Q5357" s="8"/>
    </row>
    <row r="5358" spans="17:17" x14ac:dyDescent="0.25">
      <c r="Q5358" s="8"/>
    </row>
    <row r="5359" spans="17:17" x14ac:dyDescent="0.25">
      <c r="Q5359" s="8"/>
    </row>
    <row r="5360" spans="17:17" x14ac:dyDescent="0.25">
      <c r="Q5360" s="8"/>
    </row>
    <row r="5361" spans="17:17" x14ac:dyDescent="0.25">
      <c r="Q5361" s="8"/>
    </row>
    <row r="5362" spans="17:17" x14ac:dyDescent="0.25">
      <c r="Q5362" s="8"/>
    </row>
    <row r="5363" spans="17:17" x14ac:dyDescent="0.25">
      <c r="Q5363" s="8"/>
    </row>
    <row r="5364" spans="17:17" x14ac:dyDescent="0.25">
      <c r="Q5364" s="8"/>
    </row>
    <row r="5365" spans="17:17" x14ac:dyDescent="0.25">
      <c r="Q5365" s="8"/>
    </row>
    <row r="5366" spans="17:17" x14ac:dyDescent="0.25">
      <c r="Q5366" s="8"/>
    </row>
    <row r="5367" spans="17:17" x14ac:dyDescent="0.25">
      <c r="Q5367" s="8"/>
    </row>
    <row r="5368" spans="17:17" x14ac:dyDescent="0.25">
      <c r="Q5368" s="8"/>
    </row>
    <row r="5369" spans="17:17" x14ac:dyDescent="0.25">
      <c r="Q5369" s="8"/>
    </row>
    <row r="5370" spans="17:17" x14ac:dyDescent="0.25">
      <c r="Q5370" s="8"/>
    </row>
    <row r="5371" spans="17:17" x14ac:dyDescent="0.25">
      <c r="Q5371" s="8"/>
    </row>
    <row r="5372" spans="17:17" x14ac:dyDescent="0.25">
      <c r="Q5372" s="8"/>
    </row>
    <row r="5373" spans="17:17" x14ac:dyDescent="0.25">
      <c r="Q5373" s="8"/>
    </row>
    <row r="5374" spans="17:17" x14ac:dyDescent="0.25">
      <c r="Q5374" s="8"/>
    </row>
    <row r="5375" spans="17:17" x14ac:dyDescent="0.25">
      <c r="Q5375" s="8"/>
    </row>
    <row r="5376" spans="17:17" x14ac:dyDescent="0.25">
      <c r="Q5376" s="8"/>
    </row>
    <row r="5377" spans="17:17" x14ac:dyDescent="0.25">
      <c r="Q5377" s="8"/>
    </row>
    <row r="5378" spans="17:17" x14ac:dyDescent="0.25">
      <c r="Q5378" s="8"/>
    </row>
    <row r="5379" spans="17:17" x14ac:dyDescent="0.25">
      <c r="Q5379" s="8"/>
    </row>
    <row r="5380" spans="17:17" x14ac:dyDescent="0.25">
      <c r="Q5380" s="8"/>
    </row>
    <row r="5381" spans="17:17" x14ac:dyDescent="0.25">
      <c r="Q5381" s="8"/>
    </row>
    <row r="5382" spans="17:17" x14ac:dyDescent="0.25">
      <c r="Q5382" s="8"/>
    </row>
    <row r="5383" spans="17:17" x14ac:dyDescent="0.25">
      <c r="Q5383" s="8"/>
    </row>
    <row r="5384" spans="17:17" x14ac:dyDescent="0.25">
      <c r="Q5384" s="8"/>
    </row>
    <row r="5385" spans="17:17" x14ac:dyDescent="0.25">
      <c r="Q5385" s="8"/>
    </row>
    <row r="5386" spans="17:17" x14ac:dyDescent="0.25">
      <c r="Q5386" s="8"/>
    </row>
    <row r="5387" spans="17:17" x14ac:dyDescent="0.25">
      <c r="Q5387" s="8"/>
    </row>
    <row r="5388" spans="17:17" x14ac:dyDescent="0.25">
      <c r="Q5388" s="8"/>
    </row>
    <row r="5389" spans="17:17" x14ac:dyDescent="0.25">
      <c r="Q5389" s="8"/>
    </row>
    <row r="5390" spans="17:17" x14ac:dyDescent="0.25">
      <c r="Q5390" s="8"/>
    </row>
    <row r="5391" spans="17:17" x14ac:dyDescent="0.25">
      <c r="Q5391" s="8"/>
    </row>
    <row r="5392" spans="17:17" x14ac:dyDescent="0.25">
      <c r="Q5392" s="8"/>
    </row>
    <row r="5393" spans="17:17" x14ac:dyDescent="0.25">
      <c r="Q5393" s="8"/>
    </row>
    <row r="5394" spans="17:17" x14ac:dyDescent="0.25">
      <c r="Q5394" s="8"/>
    </row>
    <row r="5395" spans="17:17" x14ac:dyDescent="0.25">
      <c r="Q5395" s="8"/>
    </row>
    <row r="5396" spans="17:17" x14ac:dyDescent="0.25">
      <c r="Q5396" s="8"/>
    </row>
    <row r="5397" spans="17:17" x14ac:dyDescent="0.25">
      <c r="Q5397" s="8"/>
    </row>
    <row r="5398" spans="17:17" x14ac:dyDescent="0.25">
      <c r="Q5398" s="8"/>
    </row>
    <row r="5399" spans="17:17" x14ac:dyDescent="0.25">
      <c r="Q5399" s="8"/>
    </row>
    <row r="5400" spans="17:17" x14ac:dyDescent="0.25">
      <c r="Q5400" s="8"/>
    </row>
    <row r="5401" spans="17:17" x14ac:dyDescent="0.25">
      <c r="Q5401" s="8"/>
    </row>
    <row r="5402" spans="17:17" x14ac:dyDescent="0.25">
      <c r="Q5402" s="8"/>
    </row>
    <row r="5403" spans="17:17" x14ac:dyDescent="0.25">
      <c r="Q5403" s="8"/>
    </row>
    <row r="5404" spans="17:17" x14ac:dyDescent="0.25">
      <c r="Q5404" s="8"/>
    </row>
    <row r="5405" spans="17:17" x14ac:dyDescent="0.25">
      <c r="Q5405" s="8"/>
    </row>
    <row r="5406" spans="17:17" x14ac:dyDescent="0.25">
      <c r="Q5406" s="8"/>
    </row>
    <row r="5407" spans="17:17" x14ac:dyDescent="0.25">
      <c r="Q5407" s="8"/>
    </row>
    <row r="5408" spans="17:17" x14ac:dyDescent="0.25">
      <c r="Q5408" s="8"/>
    </row>
    <row r="5409" spans="17:17" x14ac:dyDescent="0.25">
      <c r="Q5409" s="8"/>
    </row>
    <row r="5410" spans="17:17" x14ac:dyDescent="0.25">
      <c r="Q5410" s="8"/>
    </row>
    <row r="5411" spans="17:17" x14ac:dyDescent="0.25">
      <c r="Q5411" s="8"/>
    </row>
    <row r="5412" spans="17:17" x14ac:dyDescent="0.25">
      <c r="Q5412" s="8"/>
    </row>
    <row r="5413" spans="17:17" x14ac:dyDescent="0.25">
      <c r="Q5413" s="8"/>
    </row>
    <row r="5414" spans="17:17" x14ac:dyDescent="0.25">
      <c r="Q5414" s="8"/>
    </row>
    <row r="5415" spans="17:17" x14ac:dyDescent="0.25">
      <c r="Q5415" s="8"/>
    </row>
    <row r="5416" spans="17:17" x14ac:dyDescent="0.25">
      <c r="Q5416" s="8"/>
    </row>
    <row r="5417" spans="17:17" x14ac:dyDescent="0.25">
      <c r="Q5417" s="8"/>
    </row>
    <row r="5418" spans="17:17" x14ac:dyDescent="0.25">
      <c r="Q5418" s="8"/>
    </row>
    <row r="5419" spans="17:17" x14ac:dyDescent="0.25">
      <c r="Q5419" s="8"/>
    </row>
    <row r="5420" spans="17:17" x14ac:dyDescent="0.25">
      <c r="Q5420" s="8"/>
    </row>
    <row r="5421" spans="17:17" x14ac:dyDescent="0.25">
      <c r="Q5421" s="8"/>
    </row>
    <row r="5422" spans="17:17" x14ac:dyDescent="0.25">
      <c r="Q5422" s="8"/>
    </row>
    <row r="5423" spans="17:17" x14ac:dyDescent="0.25">
      <c r="Q5423" s="8"/>
    </row>
    <row r="5424" spans="17:17" x14ac:dyDescent="0.25">
      <c r="Q5424" s="8"/>
    </row>
    <row r="5425" spans="17:17" x14ac:dyDescent="0.25">
      <c r="Q5425" s="8"/>
    </row>
    <row r="5426" spans="17:17" x14ac:dyDescent="0.25">
      <c r="Q5426" s="8"/>
    </row>
    <row r="5427" spans="17:17" x14ac:dyDescent="0.25">
      <c r="Q5427" s="8"/>
    </row>
    <row r="5428" spans="17:17" x14ac:dyDescent="0.25">
      <c r="Q5428" s="8"/>
    </row>
    <row r="5429" spans="17:17" x14ac:dyDescent="0.25">
      <c r="Q5429" s="8"/>
    </row>
    <row r="5430" spans="17:17" x14ac:dyDescent="0.25">
      <c r="Q5430" s="8"/>
    </row>
    <row r="5431" spans="17:17" x14ac:dyDescent="0.25">
      <c r="Q5431" s="8"/>
    </row>
    <row r="5432" spans="17:17" x14ac:dyDescent="0.25">
      <c r="Q5432" s="8"/>
    </row>
    <row r="5433" spans="17:17" x14ac:dyDescent="0.25">
      <c r="Q5433" s="8"/>
    </row>
    <row r="5434" spans="17:17" x14ac:dyDescent="0.25">
      <c r="Q5434" s="8"/>
    </row>
    <row r="5435" spans="17:17" x14ac:dyDescent="0.25">
      <c r="Q5435" s="8"/>
    </row>
    <row r="5436" spans="17:17" x14ac:dyDescent="0.25">
      <c r="Q5436" s="8"/>
    </row>
    <row r="5437" spans="17:17" x14ac:dyDescent="0.25">
      <c r="Q5437" s="8"/>
    </row>
    <row r="5438" spans="17:17" x14ac:dyDescent="0.25">
      <c r="Q5438" s="8"/>
    </row>
    <row r="5439" spans="17:17" x14ac:dyDescent="0.25">
      <c r="Q5439" s="8"/>
    </row>
    <row r="5440" spans="17:17" x14ac:dyDescent="0.25">
      <c r="Q5440" s="8"/>
    </row>
    <row r="5441" spans="17:17" x14ac:dyDescent="0.25">
      <c r="Q5441" s="8"/>
    </row>
    <row r="5442" spans="17:17" x14ac:dyDescent="0.25">
      <c r="Q5442" s="8"/>
    </row>
    <row r="5443" spans="17:17" x14ac:dyDescent="0.25">
      <c r="Q5443" s="8"/>
    </row>
    <row r="5444" spans="17:17" x14ac:dyDescent="0.25">
      <c r="Q5444" s="8"/>
    </row>
    <row r="5445" spans="17:17" x14ac:dyDescent="0.25">
      <c r="Q5445" s="8"/>
    </row>
    <row r="5446" spans="17:17" x14ac:dyDescent="0.25">
      <c r="Q5446" s="8"/>
    </row>
    <row r="5447" spans="17:17" x14ac:dyDescent="0.25">
      <c r="Q5447" s="8"/>
    </row>
    <row r="5448" spans="17:17" x14ac:dyDescent="0.25">
      <c r="Q5448" s="8"/>
    </row>
    <row r="5449" spans="17:17" x14ac:dyDescent="0.25">
      <c r="Q5449" s="8"/>
    </row>
    <row r="5450" spans="17:17" x14ac:dyDescent="0.25">
      <c r="Q5450" s="8"/>
    </row>
    <row r="5451" spans="17:17" x14ac:dyDescent="0.25">
      <c r="Q5451" s="8"/>
    </row>
    <row r="5452" spans="17:17" x14ac:dyDescent="0.25">
      <c r="Q5452" s="8"/>
    </row>
    <row r="5453" spans="17:17" x14ac:dyDescent="0.25">
      <c r="Q5453" s="8"/>
    </row>
    <row r="5454" spans="17:17" x14ac:dyDescent="0.25">
      <c r="Q5454" s="8"/>
    </row>
    <row r="5455" spans="17:17" x14ac:dyDescent="0.25">
      <c r="Q5455" s="8"/>
    </row>
    <row r="5456" spans="17:17" x14ac:dyDescent="0.25">
      <c r="Q5456" s="8"/>
    </row>
    <row r="5457" spans="17:17" x14ac:dyDescent="0.25">
      <c r="Q5457" s="8"/>
    </row>
    <row r="5458" spans="17:17" x14ac:dyDescent="0.25">
      <c r="Q5458" s="8"/>
    </row>
    <row r="5459" spans="17:17" x14ac:dyDescent="0.25">
      <c r="Q5459" s="8"/>
    </row>
    <row r="5460" spans="17:17" x14ac:dyDescent="0.25">
      <c r="Q5460" s="8"/>
    </row>
    <row r="5461" spans="17:17" x14ac:dyDescent="0.25">
      <c r="Q5461" s="8"/>
    </row>
    <row r="5462" spans="17:17" x14ac:dyDescent="0.25">
      <c r="Q5462" s="8"/>
    </row>
    <row r="5463" spans="17:17" x14ac:dyDescent="0.25">
      <c r="Q5463" s="8"/>
    </row>
    <row r="5464" spans="17:17" x14ac:dyDescent="0.25">
      <c r="Q5464" s="8"/>
    </row>
    <row r="5465" spans="17:17" x14ac:dyDescent="0.25">
      <c r="Q5465" s="8"/>
    </row>
    <row r="5466" spans="17:17" x14ac:dyDescent="0.25">
      <c r="Q5466" s="8"/>
    </row>
    <row r="5467" spans="17:17" x14ac:dyDescent="0.25">
      <c r="Q5467" s="8"/>
    </row>
    <row r="5468" spans="17:17" x14ac:dyDescent="0.25">
      <c r="Q5468" s="8"/>
    </row>
    <row r="5469" spans="17:17" x14ac:dyDescent="0.25">
      <c r="Q5469" s="8"/>
    </row>
    <row r="5470" spans="17:17" x14ac:dyDescent="0.25">
      <c r="Q5470" s="8"/>
    </row>
    <row r="5471" spans="17:17" x14ac:dyDescent="0.25">
      <c r="Q5471" s="8"/>
    </row>
    <row r="5472" spans="17:17" x14ac:dyDescent="0.25">
      <c r="Q5472" s="8"/>
    </row>
    <row r="5473" spans="17:17" x14ac:dyDescent="0.25">
      <c r="Q5473" s="8"/>
    </row>
    <row r="5474" spans="17:17" x14ac:dyDescent="0.25">
      <c r="Q5474" s="8"/>
    </row>
    <row r="5475" spans="17:17" x14ac:dyDescent="0.25">
      <c r="Q5475" s="8"/>
    </row>
    <row r="5476" spans="17:17" x14ac:dyDescent="0.25">
      <c r="Q5476" s="8"/>
    </row>
    <row r="5477" spans="17:17" x14ac:dyDescent="0.25">
      <c r="Q5477" s="8"/>
    </row>
    <row r="5478" spans="17:17" x14ac:dyDescent="0.25">
      <c r="Q5478" s="8"/>
    </row>
    <row r="5479" spans="17:17" x14ac:dyDescent="0.25">
      <c r="Q5479" s="8"/>
    </row>
    <row r="5480" spans="17:17" x14ac:dyDescent="0.25">
      <c r="Q5480" s="8"/>
    </row>
    <row r="5481" spans="17:17" x14ac:dyDescent="0.25">
      <c r="Q5481" s="8"/>
    </row>
    <row r="5482" spans="17:17" x14ac:dyDescent="0.25">
      <c r="Q5482" s="8"/>
    </row>
    <row r="5483" spans="17:17" x14ac:dyDescent="0.25">
      <c r="Q5483" s="8"/>
    </row>
    <row r="5484" spans="17:17" x14ac:dyDescent="0.25">
      <c r="Q5484" s="8"/>
    </row>
    <row r="5485" spans="17:17" x14ac:dyDescent="0.25">
      <c r="Q5485" s="8"/>
    </row>
    <row r="5486" spans="17:17" x14ac:dyDescent="0.25">
      <c r="Q5486" s="8"/>
    </row>
    <row r="5487" spans="17:17" x14ac:dyDescent="0.25">
      <c r="Q5487" s="8"/>
    </row>
    <row r="5488" spans="17:17" x14ac:dyDescent="0.25">
      <c r="Q5488" s="8"/>
    </row>
    <row r="5489" spans="17:17" x14ac:dyDescent="0.25">
      <c r="Q5489" s="8"/>
    </row>
    <row r="5490" spans="17:17" x14ac:dyDescent="0.25">
      <c r="Q5490" s="8"/>
    </row>
    <row r="5491" spans="17:17" x14ac:dyDescent="0.25">
      <c r="Q5491" s="8"/>
    </row>
    <row r="5492" spans="17:17" x14ac:dyDescent="0.25">
      <c r="Q5492" s="8"/>
    </row>
    <row r="5493" spans="17:17" x14ac:dyDescent="0.25">
      <c r="Q5493" s="8"/>
    </row>
    <row r="5494" spans="17:17" x14ac:dyDescent="0.25">
      <c r="Q5494" s="8"/>
    </row>
    <row r="5495" spans="17:17" x14ac:dyDescent="0.25">
      <c r="Q5495" s="8"/>
    </row>
    <row r="5496" spans="17:17" x14ac:dyDescent="0.25">
      <c r="Q5496" s="8"/>
    </row>
    <row r="5497" spans="17:17" x14ac:dyDescent="0.25">
      <c r="Q5497" s="8"/>
    </row>
    <row r="5498" spans="17:17" x14ac:dyDescent="0.25">
      <c r="Q5498" s="8"/>
    </row>
    <row r="5499" spans="17:17" x14ac:dyDescent="0.25">
      <c r="Q5499" s="8"/>
    </row>
    <row r="5500" spans="17:17" x14ac:dyDescent="0.25">
      <c r="Q5500" s="8"/>
    </row>
    <row r="5501" spans="17:17" x14ac:dyDescent="0.25">
      <c r="Q5501" s="8"/>
    </row>
    <row r="5502" spans="17:17" x14ac:dyDescent="0.25">
      <c r="Q5502" s="8"/>
    </row>
    <row r="5503" spans="17:17" x14ac:dyDescent="0.25">
      <c r="Q5503" s="8"/>
    </row>
    <row r="5504" spans="17:17" x14ac:dyDescent="0.25">
      <c r="Q5504" s="8"/>
    </row>
    <row r="5505" spans="17:17" x14ac:dyDescent="0.25">
      <c r="Q5505" s="8"/>
    </row>
    <row r="5506" spans="17:17" x14ac:dyDescent="0.25">
      <c r="Q5506" s="8"/>
    </row>
    <row r="5507" spans="17:17" x14ac:dyDescent="0.25">
      <c r="Q5507" s="8"/>
    </row>
    <row r="5508" spans="17:17" x14ac:dyDescent="0.25">
      <c r="Q5508" s="8"/>
    </row>
    <row r="5509" spans="17:17" x14ac:dyDescent="0.25">
      <c r="Q5509" s="8"/>
    </row>
    <row r="5510" spans="17:17" x14ac:dyDescent="0.25">
      <c r="Q5510" s="8"/>
    </row>
    <row r="5511" spans="17:17" x14ac:dyDescent="0.25">
      <c r="Q5511" s="8"/>
    </row>
    <row r="5512" spans="17:17" x14ac:dyDescent="0.25">
      <c r="Q5512" s="8"/>
    </row>
    <row r="5513" spans="17:17" x14ac:dyDescent="0.25">
      <c r="Q5513" s="8"/>
    </row>
    <row r="5514" spans="17:17" x14ac:dyDescent="0.25">
      <c r="Q5514" s="8"/>
    </row>
    <row r="5515" spans="17:17" x14ac:dyDescent="0.25">
      <c r="Q5515" s="8"/>
    </row>
    <row r="5516" spans="17:17" x14ac:dyDescent="0.25">
      <c r="Q5516" s="8"/>
    </row>
    <row r="5517" spans="17:17" x14ac:dyDescent="0.25">
      <c r="Q5517" s="8"/>
    </row>
    <row r="5518" spans="17:17" x14ac:dyDescent="0.25">
      <c r="Q5518" s="8"/>
    </row>
    <row r="5519" spans="17:17" x14ac:dyDescent="0.25">
      <c r="Q5519" s="8"/>
    </row>
    <row r="5520" spans="17:17" x14ac:dyDescent="0.25">
      <c r="Q5520" s="8"/>
    </row>
    <row r="5521" spans="17:17" x14ac:dyDescent="0.25">
      <c r="Q5521" s="8"/>
    </row>
    <row r="5522" spans="17:17" x14ac:dyDescent="0.25">
      <c r="Q5522" s="8"/>
    </row>
    <row r="5523" spans="17:17" x14ac:dyDescent="0.25">
      <c r="Q5523" s="8"/>
    </row>
    <row r="5524" spans="17:17" x14ac:dyDescent="0.25">
      <c r="Q5524" s="8"/>
    </row>
    <row r="5525" spans="17:17" x14ac:dyDescent="0.25">
      <c r="Q5525" s="8"/>
    </row>
    <row r="5526" spans="17:17" x14ac:dyDescent="0.25">
      <c r="Q5526" s="8"/>
    </row>
    <row r="5527" spans="17:17" x14ac:dyDescent="0.25">
      <c r="Q5527" s="8"/>
    </row>
    <row r="5528" spans="17:17" x14ac:dyDescent="0.25">
      <c r="Q5528" s="8"/>
    </row>
    <row r="5529" spans="17:17" x14ac:dyDescent="0.25">
      <c r="Q5529" s="8"/>
    </row>
    <row r="5530" spans="17:17" x14ac:dyDescent="0.25">
      <c r="Q5530" s="8"/>
    </row>
    <row r="5531" spans="17:17" x14ac:dyDescent="0.25">
      <c r="Q5531" s="8"/>
    </row>
    <row r="5532" spans="17:17" x14ac:dyDescent="0.25">
      <c r="Q5532" s="8"/>
    </row>
    <row r="5533" spans="17:17" x14ac:dyDescent="0.25">
      <c r="Q5533" s="8"/>
    </row>
    <row r="5534" spans="17:17" x14ac:dyDescent="0.25">
      <c r="Q5534" s="8"/>
    </row>
    <row r="5535" spans="17:17" x14ac:dyDescent="0.25">
      <c r="Q5535" s="8"/>
    </row>
    <row r="5536" spans="17:17" x14ac:dyDescent="0.25">
      <c r="Q5536" s="8"/>
    </row>
    <row r="5537" spans="17:17" x14ac:dyDescent="0.25">
      <c r="Q5537" s="8"/>
    </row>
    <row r="5538" spans="17:17" x14ac:dyDescent="0.25">
      <c r="Q5538" s="8"/>
    </row>
    <row r="5539" spans="17:17" x14ac:dyDescent="0.25">
      <c r="Q5539" s="8"/>
    </row>
    <row r="5540" spans="17:17" x14ac:dyDescent="0.25">
      <c r="Q5540" s="8"/>
    </row>
    <row r="5541" spans="17:17" x14ac:dyDescent="0.25">
      <c r="Q5541" s="8"/>
    </row>
    <row r="5542" spans="17:17" x14ac:dyDescent="0.25">
      <c r="Q5542" s="8"/>
    </row>
    <row r="5543" spans="17:17" x14ac:dyDescent="0.25">
      <c r="Q5543" s="8"/>
    </row>
    <row r="5544" spans="17:17" x14ac:dyDescent="0.25">
      <c r="Q5544" s="8"/>
    </row>
    <row r="5545" spans="17:17" x14ac:dyDescent="0.25">
      <c r="Q5545" s="8"/>
    </row>
    <row r="5546" spans="17:17" x14ac:dyDescent="0.25">
      <c r="Q5546" s="8"/>
    </row>
    <row r="5547" spans="17:17" x14ac:dyDescent="0.25">
      <c r="Q5547" s="8"/>
    </row>
    <row r="5548" spans="17:17" x14ac:dyDescent="0.25">
      <c r="Q5548" s="8"/>
    </row>
    <row r="5549" spans="17:17" x14ac:dyDescent="0.25">
      <c r="Q5549" s="8"/>
    </row>
    <row r="5550" spans="17:17" x14ac:dyDescent="0.25">
      <c r="Q5550" s="8"/>
    </row>
    <row r="5551" spans="17:17" x14ac:dyDescent="0.25">
      <c r="Q5551" s="8"/>
    </row>
    <row r="5552" spans="17:17" x14ac:dyDescent="0.25">
      <c r="Q5552" s="8"/>
    </row>
    <row r="5553" spans="17:17" x14ac:dyDescent="0.25">
      <c r="Q5553" s="8"/>
    </row>
    <row r="5554" spans="17:17" x14ac:dyDescent="0.25">
      <c r="Q5554" s="8"/>
    </row>
    <row r="5555" spans="17:17" x14ac:dyDescent="0.25">
      <c r="Q5555" s="8"/>
    </row>
    <row r="5556" spans="17:17" x14ac:dyDescent="0.25">
      <c r="Q5556" s="8"/>
    </row>
    <row r="5557" spans="17:17" x14ac:dyDescent="0.25">
      <c r="Q5557" s="8"/>
    </row>
    <row r="5558" spans="17:17" x14ac:dyDescent="0.25">
      <c r="Q5558" s="8"/>
    </row>
    <row r="5559" spans="17:17" x14ac:dyDescent="0.25">
      <c r="Q5559" s="8"/>
    </row>
    <row r="5560" spans="17:17" x14ac:dyDescent="0.25">
      <c r="Q5560" s="8"/>
    </row>
    <row r="5561" spans="17:17" x14ac:dyDescent="0.25">
      <c r="Q5561" s="8"/>
    </row>
    <row r="5562" spans="17:17" x14ac:dyDescent="0.25">
      <c r="Q5562" s="8"/>
    </row>
    <row r="5563" spans="17:17" x14ac:dyDescent="0.25">
      <c r="Q5563" s="8"/>
    </row>
    <row r="5564" spans="17:17" x14ac:dyDescent="0.25">
      <c r="Q5564" s="8"/>
    </row>
    <row r="5565" spans="17:17" x14ac:dyDescent="0.25">
      <c r="Q5565" s="8"/>
    </row>
    <row r="5566" spans="17:17" x14ac:dyDescent="0.25">
      <c r="Q5566" s="8"/>
    </row>
    <row r="5567" spans="17:17" x14ac:dyDescent="0.25">
      <c r="Q5567" s="8"/>
    </row>
    <row r="5568" spans="17:17" x14ac:dyDescent="0.25">
      <c r="Q5568" s="8"/>
    </row>
    <row r="5569" spans="17:17" x14ac:dyDescent="0.25">
      <c r="Q5569" s="8"/>
    </row>
    <row r="5570" spans="17:17" x14ac:dyDescent="0.25">
      <c r="Q5570" s="8"/>
    </row>
    <row r="5571" spans="17:17" x14ac:dyDescent="0.25">
      <c r="Q5571" s="8"/>
    </row>
    <row r="5572" spans="17:17" x14ac:dyDescent="0.25">
      <c r="Q5572" s="8"/>
    </row>
    <row r="5573" spans="17:17" x14ac:dyDescent="0.25">
      <c r="Q5573" s="8"/>
    </row>
    <row r="5574" spans="17:17" x14ac:dyDescent="0.25">
      <c r="Q5574" s="8"/>
    </row>
    <row r="5575" spans="17:17" x14ac:dyDescent="0.25">
      <c r="Q5575" s="8"/>
    </row>
    <row r="5576" spans="17:17" x14ac:dyDescent="0.25">
      <c r="Q5576" s="8"/>
    </row>
    <row r="5577" spans="17:17" x14ac:dyDescent="0.25">
      <c r="Q5577" s="8"/>
    </row>
    <row r="5578" spans="17:17" x14ac:dyDescent="0.25">
      <c r="Q5578" s="8"/>
    </row>
    <row r="5579" spans="17:17" x14ac:dyDescent="0.25">
      <c r="Q5579" s="8"/>
    </row>
    <row r="5580" spans="17:17" x14ac:dyDescent="0.25">
      <c r="Q5580" s="8"/>
    </row>
    <row r="5581" spans="17:17" x14ac:dyDescent="0.25">
      <c r="Q5581" s="8"/>
    </row>
    <row r="5582" spans="17:17" x14ac:dyDescent="0.25">
      <c r="Q5582" s="8"/>
    </row>
    <row r="5583" spans="17:17" x14ac:dyDescent="0.25">
      <c r="Q5583" s="8"/>
    </row>
    <row r="5584" spans="17:17" x14ac:dyDescent="0.25">
      <c r="Q5584" s="8"/>
    </row>
    <row r="5585" spans="17:17" x14ac:dyDescent="0.25">
      <c r="Q5585" s="8"/>
    </row>
    <row r="5586" spans="17:17" x14ac:dyDescent="0.25">
      <c r="Q5586" s="8"/>
    </row>
    <row r="5587" spans="17:17" x14ac:dyDescent="0.25">
      <c r="Q5587" s="8"/>
    </row>
    <row r="5588" spans="17:17" x14ac:dyDescent="0.25">
      <c r="Q5588" s="8"/>
    </row>
    <row r="5589" spans="17:17" x14ac:dyDescent="0.25">
      <c r="Q5589" s="8"/>
    </row>
    <row r="5590" spans="17:17" x14ac:dyDescent="0.25">
      <c r="Q5590" s="8"/>
    </row>
    <row r="5591" spans="17:17" x14ac:dyDescent="0.25">
      <c r="Q5591" s="8"/>
    </row>
    <row r="5592" spans="17:17" x14ac:dyDescent="0.25">
      <c r="Q5592" s="8"/>
    </row>
    <row r="5593" spans="17:17" x14ac:dyDescent="0.25">
      <c r="Q5593" s="8"/>
    </row>
    <row r="5594" spans="17:17" x14ac:dyDescent="0.25">
      <c r="Q5594" s="8"/>
    </row>
    <row r="5595" spans="17:17" x14ac:dyDescent="0.25">
      <c r="Q5595" s="8"/>
    </row>
    <row r="5596" spans="17:17" x14ac:dyDescent="0.25">
      <c r="Q5596" s="8"/>
    </row>
    <row r="5597" spans="17:17" x14ac:dyDescent="0.25">
      <c r="Q5597" s="8"/>
    </row>
    <row r="5598" spans="17:17" x14ac:dyDescent="0.25">
      <c r="Q5598" s="8"/>
    </row>
    <row r="5599" spans="17:17" x14ac:dyDescent="0.25">
      <c r="Q5599" s="8"/>
    </row>
    <row r="5600" spans="17:17" x14ac:dyDescent="0.25">
      <c r="Q5600" s="8"/>
    </row>
    <row r="5601" spans="17:17" x14ac:dyDescent="0.25">
      <c r="Q5601" s="8"/>
    </row>
    <row r="5602" spans="17:17" x14ac:dyDescent="0.25">
      <c r="Q5602" s="8"/>
    </row>
    <row r="5603" spans="17:17" x14ac:dyDescent="0.25">
      <c r="Q5603" s="8"/>
    </row>
    <row r="5604" spans="17:17" x14ac:dyDescent="0.25">
      <c r="Q5604" s="8"/>
    </row>
    <row r="5605" spans="17:17" x14ac:dyDescent="0.25">
      <c r="Q5605" s="8"/>
    </row>
    <row r="5606" spans="17:17" x14ac:dyDescent="0.25">
      <c r="Q5606" s="8"/>
    </row>
    <row r="5607" spans="17:17" x14ac:dyDescent="0.25">
      <c r="Q5607" s="8"/>
    </row>
    <row r="5608" spans="17:17" x14ac:dyDescent="0.25">
      <c r="Q5608" s="8"/>
    </row>
    <row r="5609" spans="17:17" x14ac:dyDescent="0.25">
      <c r="Q5609" s="8"/>
    </row>
    <row r="5610" spans="17:17" x14ac:dyDescent="0.25">
      <c r="Q5610" s="8"/>
    </row>
    <row r="5611" spans="17:17" x14ac:dyDescent="0.25">
      <c r="Q5611" s="8"/>
    </row>
    <row r="5612" spans="17:17" x14ac:dyDescent="0.25">
      <c r="Q5612" s="8"/>
    </row>
    <row r="5613" spans="17:17" x14ac:dyDescent="0.25">
      <c r="Q5613" s="8"/>
    </row>
    <row r="5614" spans="17:17" x14ac:dyDescent="0.25">
      <c r="Q5614" s="8"/>
    </row>
    <row r="5615" spans="17:17" x14ac:dyDescent="0.25">
      <c r="Q5615" s="8"/>
    </row>
    <row r="5616" spans="17:17" x14ac:dyDescent="0.25">
      <c r="Q5616" s="8"/>
    </row>
    <row r="5617" spans="17:17" x14ac:dyDescent="0.25">
      <c r="Q5617" s="8"/>
    </row>
    <row r="5618" spans="17:17" x14ac:dyDescent="0.25">
      <c r="Q5618" s="8"/>
    </row>
    <row r="5619" spans="17:17" x14ac:dyDescent="0.25">
      <c r="Q5619" s="8"/>
    </row>
    <row r="5620" spans="17:17" x14ac:dyDescent="0.25">
      <c r="Q5620" s="8"/>
    </row>
    <row r="5621" spans="17:17" x14ac:dyDescent="0.25">
      <c r="Q5621" s="8"/>
    </row>
    <row r="5622" spans="17:17" x14ac:dyDescent="0.25">
      <c r="Q5622" s="8"/>
    </row>
    <row r="5623" spans="17:17" x14ac:dyDescent="0.25">
      <c r="Q5623" s="8"/>
    </row>
    <row r="5624" spans="17:17" x14ac:dyDescent="0.25">
      <c r="Q5624" s="8"/>
    </row>
    <row r="5625" spans="17:17" x14ac:dyDescent="0.25">
      <c r="Q5625" s="8"/>
    </row>
    <row r="5626" spans="17:17" x14ac:dyDescent="0.25">
      <c r="Q5626" s="8"/>
    </row>
    <row r="5627" spans="17:17" x14ac:dyDescent="0.25">
      <c r="Q5627" s="8"/>
    </row>
    <row r="5628" spans="17:17" x14ac:dyDescent="0.25">
      <c r="Q5628" s="8"/>
    </row>
    <row r="5629" spans="17:17" x14ac:dyDescent="0.25">
      <c r="Q5629" s="8"/>
    </row>
    <row r="5630" spans="17:17" x14ac:dyDescent="0.25">
      <c r="Q5630" s="8"/>
    </row>
    <row r="5631" spans="17:17" x14ac:dyDescent="0.25">
      <c r="Q5631" s="8"/>
    </row>
    <row r="5632" spans="17:17" x14ac:dyDescent="0.25">
      <c r="Q5632" s="8"/>
    </row>
    <row r="5633" spans="17:17" x14ac:dyDescent="0.25">
      <c r="Q5633" s="8"/>
    </row>
    <row r="5634" spans="17:17" x14ac:dyDescent="0.25">
      <c r="Q5634" s="8"/>
    </row>
    <row r="5635" spans="17:17" x14ac:dyDescent="0.25">
      <c r="Q5635" s="8"/>
    </row>
    <row r="5636" spans="17:17" x14ac:dyDescent="0.25">
      <c r="Q5636" s="8"/>
    </row>
    <row r="5637" spans="17:17" x14ac:dyDescent="0.25">
      <c r="Q5637" s="8"/>
    </row>
    <row r="5638" spans="17:17" x14ac:dyDescent="0.25">
      <c r="Q5638" s="8"/>
    </row>
    <row r="5639" spans="17:17" x14ac:dyDescent="0.25">
      <c r="Q5639" s="8"/>
    </row>
    <row r="5640" spans="17:17" x14ac:dyDescent="0.25">
      <c r="Q5640" s="8"/>
    </row>
    <row r="5641" spans="17:17" x14ac:dyDescent="0.25">
      <c r="Q5641" s="8"/>
    </row>
    <row r="5642" spans="17:17" x14ac:dyDescent="0.25">
      <c r="Q5642" s="8"/>
    </row>
    <row r="5643" spans="17:17" x14ac:dyDescent="0.25">
      <c r="Q5643" s="8"/>
    </row>
    <row r="5644" spans="17:17" x14ac:dyDescent="0.25">
      <c r="Q5644" s="8"/>
    </row>
    <row r="5645" spans="17:17" x14ac:dyDescent="0.25">
      <c r="Q5645" s="8"/>
    </row>
    <row r="5646" spans="17:17" x14ac:dyDescent="0.25">
      <c r="Q5646" s="8"/>
    </row>
    <row r="5647" spans="17:17" x14ac:dyDescent="0.25">
      <c r="Q5647" s="8"/>
    </row>
    <row r="5648" spans="17:17" x14ac:dyDescent="0.25">
      <c r="Q5648" s="8"/>
    </row>
    <row r="5649" spans="17:17" x14ac:dyDescent="0.25">
      <c r="Q5649" s="8"/>
    </row>
    <row r="5650" spans="17:17" x14ac:dyDescent="0.25">
      <c r="Q5650" s="8"/>
    </row>
    <row r="5651" spans="17:17" x14ac:dyDescent="0.25">
      <c r="Q5651" s="8"/>
    </row>
    <row r="5652" spans="17:17" x14ac:dyDescent="0.25">
      <c r="Q5652" s="8"/>
    </row>
    <row r="5653" spans="17:17" x14ac:dyDescent="0.25">
      <c r="Q5653" s="8"/>
    </row>
    <row r="5654" spans="17:17" x14ac:dyDescent="0.25">
      <c r="Q5654" s="8"/>
    </row>
    <row r="5655" spans="17:17" x14ac:dyDescent="0.25">
      <c r="Q5655" s="8"/>
    </row>
    <row r="5656" spans="17:17" x14ac:dyDescent="0.25">
      <c r="Q5656" s="8"/>
    </row>
    <row r="5657" spans="17:17" x14ac:dyDescent="0.25">
      <c r="Q5657" s="8"/>
    </row>
    <row r="5658" spans="17:17" x14ac:dyDescent="0.25">
      <c r="Q5658" s="8"/>
    </row>
    <row r="5659" spans="17:17" x14ac:dyDescent="0.25">
      <c r="Q5659" s="8"/>
    </row>
    <row r="5660" spans="17:17" x14ac:dyDescent="0.25">
      <c r="Q5660" s="8"/>
    </row>
    <row r="5661" spans="17:17" x14ac:dyDescent="0.25">
      <c r="Q5661" s="8"/>
    </row>
    <row r="5662" spans="17:17" x14ac:dyDescent="0.25">
      <c r="Q5662" s="8"/>
    </row>
    <row r="5663" spans="17:17" x14ac:dyDescent="0.25">
      <c r="Q5663" s="8"/>
    </row>
    <row r="5664" spans="17:17" x14ac:dyDescent="0.25">
      <c r="Q5664" s="8"/>
    </row>
    <row r="5665" spans="17:17" x14ac:dyDescent="0.25">
      <c r="Q5665" s="8"/>
    </row>
    <row r="5666" spans="17:17" x14ac:dyDescent="0.25">
      <c r="Q5666" s="8"/>
    </row>
    <row r="5667" spans="17:17" x14ac:dyDescent="0.25">
      <c r="Q5667" s="8"/>
    </row>
    <row r="5668" spans="17:17" x14ac:dyDescent="0.25">
      <c r="Q5668" s="8"/>
    </row>
    <row r="5669" spans="17:17" x14ac:dyDescent="0.25">
      <c r="Q5669" s="8"/>
    </row>
    <row r="5670" spans="17:17" x14ac:dyDescent="0.25">
      <c r="Q5670" s="8"/>
    </row>
    <row r="5671" spans="17:17" x14ac:dyDescent="0.25">
      <c r="Q5671" s="8"/>
    </row>
    <row r="5672" spans="17:17" x14ac:dyDescent="0.25">
      <c r="Q5672" s="8"/>
    </row>
    <row r="5673" spans="17:17" x14ac:dyDescent="0.25">
      <c r="Q5673" s="8"/>
    </row>
    <row r="5674" spans="17:17" x14ac:dyDescent="0.25">
      <c r="Q5674" s="8"/>
    </row>
    <row r="5675" spans="17:17" x14ac:dyDescent="0.25">
      <c r="Q5675" s="8"/>
    </row>
    <row r="5676" spans="17:17" x14ac:dyDescent="0.25">
      <c r="Q5676" s="8"/>
    </row>
    <row r="5677" spans="17:17" x14ac:dyDescent="0.25">
      <c r="Q5677" s="8"/>
    </row>
    <row r="5678" spans="17:17" x14ac:dyDescent="0.25">
      <c r="Q5678" s="8"/>
    </row>
    <row r="5679" spans="17:17" x14ac:dyDescent="0.25">
      <c r="Q5679" s="8"/>
    </row>
    <row r="5680" spans="17:17" x14ac:dyDescent="0.25">
      <c r="Q5680" s="8"/>
    </row>
    <row r="5681" spans="17:17" x14ac:dyDescent="0.25">
      <c r="Q5681" s="8"/>
    </row>
    <row r="5682" spans="17:17" x14ac:dyDescent="0.25">
      <c r="Q5682" s="8"/>
    </row>
    <row r="5683" spans="17:17" x14ac:dyDescent="0.25">
      <c r="Q5683" s="8"/>
    </row>
    <row r="5684" spans="17:17" x14ac:dyDescent="0.25">
      <c r="Q5684" s="8"/>
    </row>
    <row r="5685" spans="17:17" x14ac:dyDescent="0.25">
      <c r="Q5685" s="8"/>
    </row>
    <row r="5686" spans="17:17" x14ac:dyDescent="0.25">
      <c r="Q5686" s="8"/>
    </row>
    <row r="5687" spans="17:17" x14ac:dyDescent="0.25">
      <c r="Q5687" s="8"/>
    </row>
    <row r="5688" spans="17:17" x14ac:dyDescent="0.25">
      <c r="Q5688" s="8"/>
    </row>
    <row r="5689" spans="17:17" x14ac:dyDescent="0.25">
      <c r="Q5689" s="8"/>
    </row>
    <row r="5690" spans="17:17" x14ac:dyDescent="0.25">
      <c r="Q5690" s="8"/>
    </row>
    <row r="5691" spans="17:17" x14ac:dyDescent="0.25">
      <c r="Q5691" s="8"/>
    </row>
    <row r="5692" spans="17:17" x14ac:dyDescent="0.25">
      <c r="Q5692" s="8"/>
    </row>
    <row r="5693" spans="17:17" x14ac:dyDescent="0.25">
      <c r="Q5693" s="8"/>
    </row>
    <row r="5694" spans="17:17" x14ac:dyDescent="0.25">
      <c r="Q5694" s="8"/>
    </row>
    <row r="5695" spans="17:17" x14ac:dyDescent="0.25">
      <c r="Q5695" s="8"/>
    </row>
    <row r="5696" spans="17:17" x14ac:dyDescent="0.25">
      <c r="Q5696" s="8"/>
    </row>
    <row r="5697" spans="17:17" x14ac:dyDescent="0.25">
      <c r="Q5697" s="8"/>
    </row>
    <row r="5698" spans="17:17" x14ac:dyDescent="0.25">
      <c r="Q5698" s="8"/>
    </row>
    <row r="5699" spans="17:17" x14ac:dyDescent="0.25">
      <c r="Q5699" s="8"/>
    </row>
    <row r="5700" spans="17:17" x14ac:dyDescent="0.25">
      <c r="Q5700" s="8"/>
    </row>
    <row r="5701" spans="17:17" x14ac:dyDescent="0.25">
      <c r="Q5701" s="8"/>
    </row>
    <row r="5702" spans="17:17" x14ac:dyDescent="0.25">
      <c r="Q5702" s="8"/>
    </row>
    <row r="5703" spans="17:17" x14ac:dyDescent="0.25">
      <c r="Q5703" s="8"/>
    </row>
    <row r="5704" spans="17:17" x14ac:dyDescent="0.25">
      <c r="Q5704" s="8"/>
    </row>
    <row r="5705" spans="17:17" x14ac:dyDescent="0.25">
      <c r="Q5705" s="8"/>
    </row>
    <row r="5706" spans="17:17" x14ac:dyDescent="0.25">
      <c r="Q5706" s="8"/>
    </row>
    <row r="5707" spans="17:17" x14ac:dyDescent="0.25">
      <c r="Q5707" s="8"/>
    </row>
    <row r="5708" spans="17:17" x14ac:dyDescent="0.25">
      <c r="Q5708" s="8"/>
    </row>
    <row r="5709" spans="17:17" x14ac:dyDescent="0.25">
      <c r="Q5709" s="8"/>
    </row>
    <row r="5710" spans="17:17" x14ac:dyDescent="0.25">
      <c r="Q5710" s="8"/>
    </row>
    <row r="5711" spans="17:17" x14ac:dyDescent="0.25">
      <c r="Q5711" s="8"/>
    </row>
    <row r="5712" spans="17:17" x14ac:dyDescent="0.25">
      <c r="Q5712" s="8"/>
    </row>
    <row r="5713" spans="17:17" x14ac:dyDescent="0.25">
      <c r="Q5713" s="8"/>
    </row>
    <row r="5714" spans="17:17" x14ac:dyDescent="0.25">
      <c r="Q5714" s="8"/>
    </row>
    <row r="5715" spans="17:17" x14ac:dyDescent="0.25">
      <c r="Q5715" s="8"/>
    </row>
    <row r="5716" spans="17:17" x14ac:dyDescent="0.25">
      <c r="Q5716" s="8"/>
    </row>
    <row r="5717" spans="17:17" x14ac:dyDescent="0.25">
      <c r="Q5717" s="8"/>
    </row>
    <row r="5718" spans="17:17" x14ac:dyDescent="0.25">
      <c r="Q5718" s="8"/>
    </row>
    <row r="5719" spans="17:17" x14ac:dyDescent="0.25">
      <c r="Q5719" s="8"/>
    </row>
    <row r="5720" spans="17:17" x14ac:dyDescent="0.25">
      <c r="Q5720" s="8"/>
    </row>
    <row r="5721" spans="17:17" x14ac:dyDescent="0.25">
      <c r="Q5721" s="8"/>
    </row>
    <row r="5722" spans="17:17" x14ac:dyDescent="0.25">
      <c r="Q5722" s="8"/>
    </row>
    <row r="5723" spans="17:17" x14ac:dyDescent="0.25">
      <c r="Q5723" s="8"/>
    </row>
    <row r="5724" spans="17:17" x14ac:dyDescent="0.25">
      <c r="Q5724" s="8"/>
    </row>
    <row r="5725" spans="17:17" x14ac:dyDescent="0.25">
      <c r="Q5725" s="8"/>
    </row>
    <row r="5726" spans="17:17" x14ac:dyDescent="0.25">
      <c r="Q5726" s="8"/>
    </row>
    <row r="5727" spans="17:17" x14ac:dyDescent="0.25">
      <c r="Q5727" s="8"/>
    </row>
    <row r="5728" spans="17:17" x14ac:dyDescent="0.25">
      <c r="Q5728" s="8"/>
    </row>
    <row r="5729" spans="17:17" x14ac:dyDescent="0.25">
      <c r="Q5729" s="8"/>
    </row>
    <row r="5730" spans="17:17" x14ac:dyDescent="0.25">
      <c r="Q5730" s="8"/>
    </row>
    <row r="5731" spans="17:17" x14ac:dyDescent="0.25">
      <c r="Q5731" s="8"/>
    </row>
    <row r="5732" spans="17:17" x14ac:dyDescent="0.25">
      <c r="Q5732" s="8"/>
    </row>
    <row r="5733" spans="17:17" x14ac:dyDescent="0.25">
      <c r="Q5733" s="8"/>
    </row>
    <row r="5734" spans="17:17" x14ac:dyDescent="0.25">
      <c r="Q5734" s="8"/>
    </row>
    <row r="5735" spans="17:17" x14ac:dyDescent="0.25">
      <c r="Q5735" s="8"/>
    </row>
    <row r="5736" spans="17:17" x14ac:dyDescent="0.25">
      <c r="Q5736" s="8"/>
    </row>
    <row r="5737" spans="17:17" x14ac:dyDescent="0.25">
      <c r="Q5737" s="8"/>
    </row>
    <row r="5738" spans="17:17" x14ac:dyDescent="0.25">
      <c r="Q5738" s="8"/>
    </row>
    <row r="5739" spans="17:17" x14ac:dyDescent="0.25">
      <c r="Q5739" s="8"/>
    </row>
    <row r="5740" spans="17:17" x14ac:dyDescent="0.25">
      <c r="Q5740" s="8"/>
    </row>
    <row r="5741" spans="17:17" x14ac:dyDescent="0.25">
      <c r="Q5741" s="8"/>
    </row>
    <row r="5742" spans="17:17" x14ac:dyDescent="0.25">
      <c r="Q5742" s="8"/>
    </row>
    <row r="5743" spans="17:17" x14ac:dyDescent="0.25">
      <c r="Q5743" s="8"/>
    </row>
    <row r="5744" spans="17:17" x14ac:dyDescent="0.25">
      <c r="Q5744" s="8"/>
    </row>
    <row r="5745" spans="17:17" x14ac:dyDescent="0.25">
      <c r="Q5745" s="8"/>
    </row>
    <row r="5746" spans="17:17" x14ac:dyDescent="0.25">
      <c r="Q5746" s="8"/>
    </row>
    <row r="5747" spans="17:17" x14ac:dyDescent="0.25">
      <c r="Q5747" s="8"/>
    </row>
    <row r="5748" spans="17:17" x14ac:dyDescent="0.25">
      <c r="Q5748" s="8"/>
    </row>
    <row r="5749" spans="17:17" x14ac:dyDescent="0.25">
      <c r="Q5749" s="8"/>
    </row>
    <row r="5750" spans="17:17" x14ac:dyDescent="0.25">
      <c r="Q5750" s="8"/>
    </row>
    <row r="5751" spans="17:17" x14ac:dyDescent="0.25">
      <c r="Q5751" s="8"/>
    </row>
    <row r="5752" spans="17:17" x14ac:dyDescent="0.25">
      <c r="Q5752" s="8"/>
    </row>
    <row r="5753" spans="17:17" x14ac:dyDescent="0.25">
      <c r="Q5753" s="8"/>
    </row>
    <row r="5754" spans="17:17" x14ac:dyDescent="0.25">
      <c r="Q5754" s="8"/>
    </row>
    <row r="5755" spans="17:17" x14ac:dyDescent="0.25">
      <c r="Q5755" s="8"/>
    </row>
    <row r="5756" spans="17:17" x14ac:dyDescent="0.25">
      <c r="Q5756" s="8"/>
    </row>
    <row r="5757" spans="17:17" x14ac:dyDescent="0.25">
      <c r="Q5757" s="8"/>
    </row>
    <row r="5758" spans="17:17" x14ac:dyDescent="0.25">
      <c r="Q5758" s="8"/>
    </row>
    <row r="5759" spans="17:17" x14ac:dyDescent="0.25">
      <c r="Q5759" s="8"/>
    </row>
    <row r="5760" spans="17:17" x14ac:dyDescent="0.25">
      <c r="Q5760" s="8"/>
    </row>
    <row r="5761" spans="17:17" x14ac:dyDescent="0.25">
      <c r="Q5761" s="8"/>
    </row>
    <row r="5762" spans="17:17" x14ac:dyDescent="0.25">
      <c r="Q5762" s="8"/>
    </row>
    <row r="5763" spans="17:17" x14ac:dyDescent="0.25">
      <c r="Q5763" s="8"/>
    </row>
    <row r="5764" spans="17:17" x14ac:dyDescent="0.25">
      <c r="Q5764" s="8"/>
    </row>
    <row r="5765" spans="17:17" x14ac:dyDescent="0.25">
      <c r="Q5765" s="8"/>
    </row>
    <row r="5766" spans="17:17" x14ac:dyDescent="0.25">
      <c r="Q5766" s="8"/>
    </row>
    <row r="5767" spans="17:17" x14ac:dyDescent="0.25">
      <c r="Q5767" s="8"/>
    </row>
    <row r="5768" spans="17:17" x14ac:dyDescent="0.25">
      <c r="Q5768" s="8"/>
    </row>
    <row r="5769" spans="17:17" x14ac:dyDescent="0.25">
      <c r="Q5769" s="8"/>
    </row>
    <row r="5770" spans="17:17" x14ac:dyDescent="0.25">
      <c r="Q5770" s="8"/>
    </row>
    <row r="5771" spans="17:17" x14ac:dyDescent="0.25">
      <c r="Q5771" s="8"/>
    </row>
    <row r="5772" spans="17:17" x14ac:dyDescent="0.25">
      <c r="Q5772" s="8"/>
    </row>
    <row r="5773" spans="17:17" x14ac:dyDescent="0.25">
      <c r="Q5773" s="8"/>
    </row>
    <row r="5774" spans="17:17" x14ac:dyDescent="0.25">
      <c r="Q5774" s="8"/>
    </row>
    <row r="5775" spans="17:17" x14ac:dyDescent="0.25">
      <c r="Q5775" s="8"/>
    </row>
    <row r="5776" spans="17:17" x14ac:dyDescent="0.25">
      <c r="Q5776" s="8"/>
    </row>
    <row r="5777" spans="17:17" x14ac:dyDescent="0.25">
      <c r="Q5777" s="8"/>
    </row>
    <row r="5778" spans="17:17" x14ac:dyDescent="0.25">
      <c r="Q5778" s="8"/>
    </row>
    <row r="5779" spans="17:17" x14ac:dyDescent="0.25">
      <c r="Q5779" s="8"/>
    </row>
    <row r="5780" spans="17:17" x14ac:dyDescent="0.25">
      <c r="Q5780" s="8"/>
    </row>
    <row r="5781" spans="17:17" x14ac:dyDescent="0.25">
      <c r="Q5781" s="8"/>
    </row>
    <row r="5782" spans="17:17" x14ac:dyDescent="0.25">
      <c r="Q5782" s="8"/>
    </row>
    <row r="5783" spans="17:17" x14ac:dyDescent="0.25">
      <c r="Q5783" s="8"/>
    </row>
    <row r="5784" spans="17:17" x14ac:dyDescent="0.25">
      <c r="Q5784" s="8"/>
    </row>
    <row r="5785" spans="17:17" x14ac:dyDescent="0.25">
      <c r="Q5785" s="8"/>
    </row>
    <row r="5786" spans="17:17" x14ac:dyDescent="0.25">
      <c r="Q5786" s="8"/>
    </row>
    <row r="5787" spans="17:17" x14ac:dyDescent="0.25">
      <c r="Q5787" s="8"/>
    </row>
    <row r="5788" spans="17:17" x14ac:dyDescent="0.25">
      <c r="Q5788" s="8"/>
    </row>
    <row r="5789" spans="17:17" x14ac:dyDescent="0.25">
      <c r="Q5789" s="8"/>
    </row>
    <row r="5790" spans="17:17" x14ac:dyDescent="0.25">
      <c r="Q5790" s="8"/>
    </row>
    <row r="5791" spans="17:17" x14ac:dyDescent="0.25">
      <c r="Q5791" s="8"/>
    </row>
    <row r="5792" spans="17:17" x14ac:dyDescent="0.25">
      <c r="Q5792" s="8"/>
    </row>
    <row r="5793" spans="17:17" x14ac:dyDescent="0.25">
      <c r="Q5793" s="8"/>
    </row>
    <row r="5794" spans="17:17" x14ac:dyDescent="0.25">
      <c r="Q5794" s="8"/>
    </row>
    <row r="5795" spans="17:17" x14ac:dyDescent="0.25">
      <c r="Q5795" s="8"/>
    </row>
    <row r="5796" spans="17:17" x14ac:dyDescent="0.25">
      <c r="Q5796" s="8"/>
    </row>
    <row r="5797" spans="17:17" x14ac:dyDescent="0.25">
      <c r="Q5797" s="8"/>
    </row>
    <row r="5798" spans="17:17" x14ac:dyDescent="0.25">
      <c r="Q5798" s="8"/>
    </row>
    <row r="5799" spans="17:17" x14ac:dyDescent="0.25">
      <c r="Q5799" s="8"/>
    </row>
    <row r="5800" spans="17:17" x14ac:dyDescent="0.25">
      <c r="Q5800" s="8"/>
    </row>
    <row r="5801" spans="17:17" x14ac:dyDescent="0.25">
      <c r="Q5801" s="8"/>
    </row>
    <row r="5802" spans="17:17" x14ac:dyDescent="0.25">
      <c r="Q5802" s="8"/>
    </row>
    <row r="5803" spans="17:17" x14ac:dyDescent="0.25">
      <c r="Q5803" s="8"/>
    </row>
    <row r="5804" spans="17:17" x14ac:dyDescent="0.25">
      <c r="Q5804" s="8"/>
    </row>
    <row r="5805" spans="17:17" x14ac:dyDescent="0.25">
      <c r="Q5805" s="8"/>
    </row>
    <row r="5806" spans="17:17" x14ac:dyDescent="0.25">
      <c r="Q5806" s="8"/>
    </row>
    <row r="5807" spans="17:17" x14ac:dyDescent="0.25">
      <c r="Q5807" s="8"/>
    </row>
    <row r="5808" spans="17:17" x14ac:dyDescent="0.25">
      <c r="Q5808" s="8"/>
    </row>
    <row r="5809" spans="17:17" x14ac:dyDescent="0.25">
      <c r="Q5809" s="8"/>
    </row>
    <row r="5810" spans="17:17" x14ac:dyDescent="0.25">
      <c r="Q5810" s="8"/>
    </row>
    <row r="5811" spans="17:17" x14ac:dyDescent="0.25">
      <c r="Q5811" s="8"/>
    </row>
    <row r="5812" spans="17:17" x14ac:dyDescent="0.25">
      <c r="Q5812" s="8"/>
    </row>
    <row r="5813" spans="17:17" x14ac:dyDescent="0.25">
      <c r="Q5813" s="8"/>
    </row>
    <row r="5814" spans="17:17" x14ac:dyDescent="0.25">
      <c r="Q5814" s="8"/>
    </row>
    <row r="5815" spans="17:17" x14ac:dyDescent="0.25">
      <c r="Q5815" s="8"/>
    </row>
    <row r="5816" spans="17:17" x14ac:dyDescent="0.25">
      <c r="Q5816" s="8"/>
    </row>
    <row r="5817" spans="17:17" x14ac:dyDescent="0.25">
      <c r="Q5817" s="8"/>
    </row>
    <row r="5818" spans="17:17" x14ac:dyDescent="0.25">
      <c r="Q5818" s="8"/>
    </row>
    <row r="5819" spans="17:17" x14ac:dyDescent="0.25">
      <c r="Q5819" s="8"/>
    </row>
    <row r="5820" spans="17:17" x14ac:dyDescent="0.25">
      <c r="Q5820" s="8"/>
    </row>
    <row r="5821" spans="17:17" x14ac:dyDescent="0.25">
      <c r="Q5821" s="8"/>
    </row>
    <row r="5822" spans="17:17" x14ac:dyDescent="0.25">
      <c r="Q5822" s="8"/>
    </row>
    <row r="5823" spans="17:17" x14ac:dyDescent="0.25">
      <c r="Q5823" s="8"/>
    </row>
    <row r="5824" spans="17:17" x14ac:dyDescent="0.25">
      <c r="Q5824" s="8"/>
    </row>
    <row r="5825" spans="17:17" x14ac:dyDescent="0.25">
      <c r="Q5825" s="8"/>
    </row>
    <row r="5826" spans="17:17" x14ac:dyDescent="0.25">
      <c r="Q5826" s="8"/>
    </row>
    <row r="5827" spans="17:17" x14ac:dyDescent="0.25">
      <c r="Q5827" s="8"/>
    </row>
    <row r="5828" spans="17:17" x14ac:dyDescent="0.25">
      <c r="Q5828" s="8"/>
    </row>
    <row r="5829" spans="17:17" x14ac:dyDescent="0.25">
      <c r="Q5829" s="8"/>
    </row>
    <row r="5830" spans="17:17" x14ac:dyDescent="0.25">
      <c r="Q5830" s="8"/>
    </row>
    <row r="5831" spans="17:17" x14ac:dyDescent="0.25">
      <c r="Q5831" s="8"/>
    </row>
    <row r="5832" spans="17:17" x14ac:dyDescent="0.25">
      <c r="Q5832" s="8"/>
    </row>
    <row r="5833" spans="17:17" x14ac:dyDescent="0.25">
      <c r="Q5833" s="8"/>
    </row>
    <row r="5834" spans="17:17" x14ac:dyDescent="0.25">
      <c r="Q5834" s="8"/>
    </row>
    <row r="5835" spans="17:17" x14ac:dyDescent="0.25">
      <c r="Q5835" s="8"/>
    </row>
    <row r="5836" spans="17:17" x14ac:dyDescent="0.25">
      <c r="Q5836" s="8"/>
    </row>
    <row r="5837" spans="17:17" x14ac:dyDescent="0.25">
      <c r="Q5837" s="8"/>
    </row>
    <row r="5838" spans="17:17" x14ac:dyDescent="0.25">
      <c r="Q5838" s="8"/>
    </row>
    <row r="5839" spans="17:17" x14ac:dyDescent="0.25">
      <c r="Q5839" s="8"/>
    </row>
    <row r="5840" spans="17:17" x14ac:dyDescent="0.25">
      <c r="Q5840" s="8"/>
    </row>
    <row r="5841" spans="17:17" x14ac:dyDescent="0.25">
      <c r="Q5841" s="8"/>
    </row>
    <row r="5842" spans="17:17" x14ac:dyDescent="0.25">
      <c r="Q5842" s="8"/>
    </row>
    <row r="5843" spans="17:17" x14ac:dyDescent="0.25">
      <c r="Q5843" s="8"/>
    </row>
    <row r="5844" spans="17:17" x14ac:dyDescent="0.25">
      <c r="Q5844" s="8"/>
    </row>
    <row r="5845" spans="17:17" x14ac:dyDescent="0.25">
      <c r="Q5845" s="8"/>
    </row>
    <row r="5846" spans="17:17" x14ac:dyDescent="0.25">
      <c r="Q5846" s="8"/>
    </row>
    <row r="5847" spans="17:17" x14ac:dyDescent="0.25">
      <c r="Q5847" s="8"/>
    </row>
    <row r="5848" spans="17:17" x14ac:dyDescent="0.25">
      <c r="Q5848" s="8"/>
    </row>
    <row r="5849" spans="17:17" x14ac:dyDescent="0.25">
      <c r="Q5849" s="8"/>
    </row>
    <row r="5850" spans="17:17" x14ac:dyDescent="0.25">
      <c r="Q5850" s="8"/>
    </row>
    <row r="5851" spans="17:17" x14ac:dyDescent="0.25">
      <c r="Q5851" s="8"/>
    </row>
    <row r="5852" spans="17:17" x14ac:dyDescent="0.25">
      <c r="Q5852" s="8"/>
    </row>
    <row r="5853" spans="17:17" x14ac:dyDescent="0.25">
      <c r="Q5853" s="8"/>
    </row>
    <row r="5854" spans="17:17" x14ac:dyDescent="0.25">
      <c r="Q5854" s="8"/>
    </row>
    <row r="5855" spans="17:17" x14ac:dyDescent="0.25">
      <c r="Q5855" s="8"/>
    </row>
    <row r="5856" spans="17:17" x14ac:dyDescent="0.25">
      <c r="Q5856" s="8"/>
    </row>
    <row r="5857" spans="17:17" x14ac:dyDescent="0.25">
      <c r="Q5857" s="8"/>
    </row>
    <row r="5858" spans="17:17" x14ac:dyDescent="0.25">
      <c r="Q5858" s="8"/>
    </row>
    <row r="5859" spans="17:17" x14ac:dyDescent="0.25">
      <c r="Q5859" s="8"/>
    </row>
    <row r="5860" spans="17:17" x14ac:dyDescent="0.25">
      <c r="Q5860" s="8"/>
    </row>
    <row r="5861" spans="17:17" x14ac:dyDescent="0.25">
      <c r="Q5861" s="8"/>
    </row>
    <row r="5862" spans="17:17" x14ac:dyDescent="0.25">
      <c r="Q5862" s="8"/>
    </row>
    <row r="5863" spans="17:17" x14ac:dyDescent="0.25">
      <c r="Q5863" s="8"/>
    </row>
    <row r="5864" spans="17:17" x14ac:dyDescent="0.25">
      <c r="Q5864" s="8"/>
    </row>
    <row r="5865" spans="17:17" x14ac:dyDescent="0.25">
      <c r="Q5865" s="8"/>
    </row>
    <row r="5866" spans="17:17" x14ac:dyDescent="0.25">
      <c r="Q5866" s="8"/>
    </row>
    <row r="5867" spans="17:17" x14ac:dyDescent="0.25">
      <c r="Q5867" s="8"/>
    </row>
    <row r="5868" spans="17:17" x14ac:dyDescent="0.25">
      <c r="Q5868" s="8"/>
    </row>
    <row r="5869" spans="17:17" x14ac:dyDescent="0.25">
      <c r="Q5869" s="8"/>
    </row>
    <row r="5870" spans="17:17" x14ac:dyDescent="0.25">
      <c r="Q5870" s="8"/>
    </row>
    <row r="5871" spans="17:17" x14ac:dyDescent="0.25">
      <c r="Q5871" s="8"/>
    </row>
    <row r="5872" spans="17:17" x14ac:dyDescent="0.25">
      <c r="Q5872" s="8"/>
    </row>
    <row r="5873" spans="17:17" x14ac:dyDescent="0.25">
      <c r="Q5873" s="8"/>
    </row>
    <row r="5874" spans="17:17" x14ac:dyDescent="0.25">
      <c r="Q5874" s="8"/>
    </row>
    <row r="5875" spans="17:17" x14ac:dyDescent="0.25">
      <c r="Q5875" s="8"/>
    </row>
    <row r="5876" spans="17:17" x14ac:dyDescent="0.25">
      <c r="Q5876" s="8"/>
    </row>
    <row r="5877" spans="17:17" x14ac:dyDescent="0.25">
      <c r="Q5877" s="8"/>
    </row>
    <row r="5878" spans="17:17" x14ac:dyDescent="0.25">
      <c r="Q5878" s="8"/>
    </row>
    <row r="5879" spans="17:17" x14ac:dyDescent="0.25">
      <c r="Q5879" s="8"/>
    </row>
    <row r="5880" spans="17:17" x14ac:dyDescent="0.25">
      <c r="Q5880" s="8"/>
    </row>
    <row r="5881" spans="17:17" x14ac:dyDescent="0.25">
      <c r="Q5881" s="8"/>
    </row>
    <row r="5882" spans="17:17" x14ac:dyDescent="0.25">
      <c r="Q5882" s="8"/>
    </row>
    <row r="5883" spans="17:17" x14ac:dyDescent="0.25">
      <c r="Q5883" s="8"/>
    </row>
    <row r="5884" spans="17:17" x14ac:dyDescent="0.25">
      <c r="Q5884" s="8"/>
    </row>
    <row r="5885" spans="17:17" x14ac:dyDescent="0.25">
      <c r="Q5885" s="8"/>
    </row>
    <row r="5886" spans="17:17" x14ac:dyDescent="0.25">
      <c r="Q5886" s="8"/>
    </row>
    <row r="5887" spans="17:17" x14ac:dyDescent="0.25">
      <c r="Q5887" s="8"/>
    </row>
    <row r="5888" spans="17:17" x14ac:dyDescent="0.25">
      <c r="Q5888" s="8"/>
    </row>
    <row r="5889" spans="17:17" x14ac:dyDescent="0.25">
      <c r="Q5889" s="8"/>
    </row>
    <row r="5890" spans="17:17" x14ac:dyDescent="0.25">
      <c r="Q5890" s="8"/>
    </row>
    <row r="5891" spans="17:17" x14ac:dyDescent="0.25">
      <c r="Q5891" s="8"/>
    </row>
    <row r="5892" spans="17:17" x14ac:dyDescent="0.25">
      <c r="Q5892" s="8"/>
    </row>
    <row r="5893" spans="17:17" x14ac:dyDescent="0.25">
      <c r="Q5893" s="8"/>
    </row>
    <row r="5894" spans="17:17" x14ac:dyDescent="0.25">
      <c r="Q5894" s="8"/>
    </row>
    <row r="5895" spans="17:17" x14ac:dyDescent="0.25">
      <c r="Q5895" s="8"/>
    </row>
    <row r="5896" spans="17:17" x14ac:dyDescent="0.25">
      <c r="Q5896" s="8"/>
    </row>
    <row r="5897" spans="17:17" x14ac:dyDescent="0.25">
      <c r="Q5897" s="8"/>
    </row>
    <row r="5898" spans="17:17" x14ac:dyDescent="0.25">
      <c r="Q5898" s="8"/>
    </row>
    <row r="5899" spans="17:17" x14ac:dyDescent="0.25">
      <c r="Q5899" s="8"/>
    </row>
    <row r="5900" spans="17:17" x14ac:dyDescent="0.25">
      <c r="Q5900" s="8"/>
    </row>
    <row r="5901" spans="17:17" x14ac:dyDescent="0.25">
      <c r="Q5901" s="8"/>
    </row>
    <row r="5902" spans="17:17" x14ac:dyDescent="0.25">
      <c r="Q5902" s="8"/>
    </row>
    <row r="5903" spans="17:17" x14ac:dyDescent="0.25">
      <c r="Q5903" s="8"/>
    </row>
    <row r="5904" spans="17:17" x14ac:dyDescent="0.25">
      <c r="Q5904" s="8"/>
    </row>
    <row r="5905" spans="17:17" x14ac:dyDescent="0.25">
      <c r="Q5905" s="8"/>
    </row>
    <row r="5906" spans="17:17" x14ac:dyDescent="0.25">
      <c r="Q5906" s="8"/>
    </row>
    <row r="5907" spans="17:17" x14ac:dyDescent="0.25">
      <c r="Q5907" s="8"/>
    </row>
    <row r="5908" spans="17:17" x14ac:dyDescent="0.25">
      <c r="Q5908" s="8"/>
    </row>
    <row r="5909" spans="17:17" x14ac:dyDescent="0.25">
      <c r="Q5909" s="8"/>
    </row>
    <row r="5910" spans="17:17" x14ac:dyDescent="0.25">
      <c r="Q5910" s="8"/>
    </row>
    <row r="5911" spans="17:17" x14ac:dyDescent="0.25">
      <c r="Q5911" s="8"/>
    </row>
    <row r="5912" spans="17:17" x14ac:dyDescent="0.25">
      <c r="Q5912" s="8"/>
    </row>
    <row r="5913" spans="17:17" x14ac:dyDescent="0.25">
      <c r="Q5913" s="8"/>
    </row>
    <row r="5914" spans="17:17" x14ac:dyDescent="0.25">
      <c r="Q5914" s="8"/>
    </row>
    <row r="5915" spans="17:17" x14ac:dyDescent="0.25">
      <c r="Q5915" s="8"/>
    </row>
    <row r="5916" spans="17:17" x14ac:dyDescent="0.25">
      <c r="Q5916" s="8"/>
    </row>
    <row r="5917" spans="17:17" x14ac:dyDescent="0.25">
      <c r="Q5917" s="8"/>
    </row>
    <row r="5918" spans="17:17" x14ac:dyDescent="0.25">
      <c r="Q5918" s="8"/>
    </row>
    <row r="5919" spans="17:17" x14ac:dyDescent="0.25">
      <c r="Q5919" s="8"/>
    </row>
    <row r="5920" spans="17:17" x14ac:dyDescent="0.25">
      <c r="Q5920" s="8"/>
    </row>
    <row r="5921" spans="17:17" x14ac:dyDescent="0.25">
      <c r="Q5921" s="8"/>
    </row>
    <row r="5922" spans="17:17" x14ac:dyDescent="0.25">
      <c r="Q5922" s="8"/>
    </row>
    <row r="5923" spans="17:17" x14ac:dyDescent="0.25">
      <c r="Q5923" s="8"/>
    </row>
    <row r="5924" spans="17:17" x14ac:dyDescent="0.25">
      <c r="Q5924" s="8"/>
    </row>
    <row r="5925" spans="17:17" x14ac:dyDescent="0.25">
      <c r="Q5925" s="8"/>
    </row>
    <row r="5926" spans="17:17" x14ac:dyDescent="0.25">
      <c r="Q5926" s="8"/>
    </row>
    <row r="5927" spans="17:17" x14ac:dyDescent="0.25">
      <c r="Q5927" s="8"/>
    </row>
    <row r="5928" spans="17:17" x14ac:dyDescent="0.25">
      <c r="Q5928" s="8"/>
    </row>
    <row r="5929" spans="17:17" x14ac:dyDescent="0.25">
      <c r="Q5929" s="8"/>
    </row>
    <row r="5930" spans="17:17" x14ac:dyDescent="0.25">
      <c r="Q5930" s="8"/>
    </row>
    <row r="5931" spans="17:17" x14ac:dyDescent="0.25">
      <c r="Q5931" s="8"/>
    </row>
    <row r="5932" spans="17:17" x14ac:dyDescent="0.25">
      <c r="Q5932" s="8"/>
    </row>
    <row r="5933" spans="17:17" x14ac:dyDescent="0.25">
      <c r="Q5933" s="8"/>
    </row>
    <row r="5934" spans="17:17" x14ac:dyDescent="0.25">
      <c r="Q5934" s="8"/>
    </row>
    <row r="5935" spans="17:17" x14ac:dyDescent="0.25">
      <c r="Q5935" s="8"/>
    </row>
    <row r="5936" spans="17:17" x14ac:dyDescent="0.25">
      <c r="Q5936" s="8"/>
    </row>
    <row r="5937" spans="17:17" x14ac:dyDescent="0.25">
      <c r="Q5937" s="8"/>
    </row>
    <row r="5938" spans="17:17" x14ac:dyDescent="0.25">
      <c r="Q5938" s="8"/>
    </row>
    <row r="5939" spans="17:17" x14ac:dyDescent="0.25">
      <c r="Q5939" s="8"/>
    </row>
    <row r="5940" spans="17:17" x14ac:dyDescent="0.25">
      <c r="Q5940" s="8"/>
    </row>
    <row r="5941" spans="17:17" x14ac:dyDescent="0.25">
      <c r="Q5941" s="8"/>
    </row>
    <row r="5942" spans="17:17" x14ac:dyDescent="0.25">
      <c r="Q5942" s="8"/>
    </row>
    <row r="5943" spans="17:17" x14ac:dyDescent="0.25">
      <c r="Q5943" s="8"/>
    </row>
    <row r="5944" spans="17:17" x14ac:dyDescent="0.25">
      <c r="Q5944" s="8"/>
    </row>
    <row r="5945" spans="17:17" x14ac:dyDescent="0.25">
      <c r="Q5945" s="8"/>
    </row>
    <row r="5946" spans="17:17" x14ac:dyDescent="0.25">
      <c r="Q5946" s="8"/>
    </row>
    <row r="5947" spans="17:17" x14ac:dyDescent="0.25">
      <c r="Q5947" s="8"/>
    </row>
    <row r="5948" spans="17:17" x14ac:dyDescent="0.25">
      <c r="Q5948" s="8"/>
    </row>
    <row r="5949" spans="17:17" x14ac:dyDescent="0.25">
      <c r="Q5949" s="8"/>
    </row>
    <row r="5950" spans="17:17" x14ac:dyDescent="0.25">
      <c r="Q5950" s="8"/>
    </row>
    <row r="5951" spans="17:17" x14ac:dyDescent="0.25">
      <c r="Q5951" s="8"/>
    </row>
    <row r="5952" spans="17:17" x14ac:dyDescent="0.25">
      <c r="Q5952" s="8"/>
    </row>
    <row r="5953" spans="17:17" x14ac:dyDescent="0.25">
      <c r="Q5953" s="8"/>
    </row>
    <row r="5954" spans="17:17" x14ac:dyDescent="0.25">
      <c r="Q5954" s="8"/>
    </row>
    <row r="5955" spans="17:17" x14ac:dyDescent="0.25">
      <c r="Q5955" s="8"/>
    </row>
    <row r="5956" spans="17:17" x14ac:dyDescent="0.25">
      <c r="Q5956" s="8"/>
    </row>
    <row r="5957" spans="17:17" x14ac:dyDescent="0.25">
      <c r="Q5957" s="8"/>
    </row>
    <row r="5958" spans="17:17" x14ac:dyDescent="0.25">
      <c r="Q5958" s="8"/>
    </row>
    <row r="5959" spans="17:17" x14ac:dyDescent="0.25">
      <c r="Q5959" s="8"/>
    </row>
    <row r="5960" spans="17:17" x14ac:dyDescent="0.25">
      <c r="Q5960" s="8"/>
    </row>
    <row r="5961" spans="17:17" x14ac:dyDescent="0.25">
      <c r="Q5961" s="8"/>
    </row>
    <row r="5962" spans="17:17" x14ac:dyDescent="0.25">
      <c r="Q5962" s="8"/>
    </row>
    <row r="5963" spans="17:17" x14ac:dyDescent="0.25">
      <c r="Q5963" s="8"/>
    </row>
    <row r="5964" spans="17:17" x14ac:dyDescent="0.25">
      <c r="Q5964" s="8"/>
    </row>
    <row r="5965" spans="17:17" x14ac:dyDescent="0.25">
      <c r="Q5965" s="8"/>
    </row>
    <row r="5966" spans="17:17" x14ac:dyDescent="0.25">
      <c r="Q5966" s="8"/>
    </row>
    <row r="5967" spans="17:17" x14ac:dyDescent="0.25">
      <c r="Q5967" s="8"/>
    </row>
    <row r="5968" spans="17:17" x14ac:dyDescent="0.25">
      <c r="Q5968" s="8"/>
    </row>
    <row r="5969" spans="17:17" x14ac:dyDescent="0.25">
      <c r="Q5969" s="8"/>
    </row>
    <row r="5970" spans="17:17" x14ac:dyDescent="0.25">
      <c r="Q5970" s="8"/>
    </row>
    <row r="5971" spans="17:17" x14ac:dyDescent="0.25">
      <c r="Q5971" s="8"/>
    </row>
    <row r="5972" spans="17:17" x14ac:dyDescent="0.25">
      <c r="Q5972" s="8"/>
    </row>
    <row r="5973" spans="17:17" x14ac:dyDescent="0.25">
      <c r="Q5973" s="8"/>
    </row>
    <row r="5974" spans="17:17" x14ac:dyDescent="0.25">
      <c r="Q5974" s="8"/>
    </row>
    <row r="5975" spans="17:17" x14ac:dyDescent="0.25">
      <c r="Q5975" s="8"/>
    </row>
    <row r="5976" spans="17:17" x14ac:dyDescent="0.25">
      <c r="Q5976" s="8"/>
    </row>
    <row r="5977" spans="17:17" x14ac:dyDescent="0.25">
      <c r="Q5977" s="8"/>
    </row>
    <row r="5978" spans="17:17" x14ac:dyDescent="0.25">
      <c r="Q5978" s="8"/>
    </row>
    <row r="5979" spans="17:17" x14ac:dyDescent="0.25">
      <c r="Q5979" s="8"/>
    </row>
    <row r="5980" spans="17:17" x14ac:dyDescent="0.25">
      <c r="Q5980" s="8"/>
    </row>
    <row r="5981" spans="17:17" x14ac:dyDescent="0.25">
      <c r="Q5981" s="8"/>
    </row>
    <row r="5982" spans="17:17" x14ac:dyDescent="0.25">
      <c r="Q5982" s="8"/>
    </row>
    <row r="5983" spans="17:17" x14ac:dyDescent="0.25">
      <c r="Q5983" s="8"/>
    </row>
    <row r="5984" spans="17:17" x14ac:dyDescent="0.25">
      <c r="Q5984" s="8"/>
    </row>
    <row r="5985" spans="17:17" x14ac:dyDescent="0.25">
      <c r="Q5985" s="8"/>
    </row>
    <row r="5986" spans="17:17" x14ac:dyDescent="0.25">
      <c r="Q5986" s="8"/>
    </row>
    <row r="5987" spans="17:17" x14ac:dyDescent="0.25">
      <c r="Q5987" s="8"/>
    </row>
    <row r="5988" spans="17:17" x14ac:dyDescent="0.25">
      <c r="Q5988" s="8"/>
    </row>
    <row r="5989" spans="17:17" x14ac:dyDescent="0.25">
      <c r="Q5989" s="8"/>
    </row>
    <row r="5990" spans="17:17" x14ac:dyDescent="0.25">
      <c r="Q5990" s="8"/>
    </row>
    <row r="5991" spans="17:17" x14ac:dyDescent="0.25">
      <c r="Q5991" s="8"/>
    </row>
    <row r="5992" spans="17:17" x14ac:dyDescent="0.25">
      <c r="Q5992" s="8"/>
    </row>
    <row r="5993" spans="17:17" x14ac:dyDescent="0.25">
      <c r="Q5993" s="8"/>
    </row>
    <row r="5994" spans="17:17" x14ac:dyDescent="0.25">
      <c r="Q5994" s="8"/>
    </row>
    <row r="5995" spans="17:17" x14ac:dyDescent="0.25">
      <c r="Q5995" s="8"/>
    </row>
    <row r="5996" spans="17:17" x14ac:dyDescent="0.25">
      <c r="Q5996" s="8"/>
    </row>
    <row r="5997" spans="17:17" x14ac:dyDescent="0.25">
      <c r="Q5997" s="8"/>
    </row>
    <row r="5998" spans="17:17" x14ac:dyDescent="0.25">
      <c r="Q5998" s="8"/>
    </row>
    <row r="5999" spans="17:17" x14ac:dyDescent="0.25">
      <c r="Q5999" s="8"/>
    </row>
    <row r="6000" spans="17:17" x14ac:dyDescent="0.25">
      <c r="Q6000" s="8"/>
    </row>
    <row r="6001" spans="17:17" x14ac:dyDescent="0.25">
      <c r="Q6001" s="8"/>
    </row>
    <row r="6002" spans="17:17" x14ac:dyDescent="0.25">
      <c r="Q6002" s="8"/>
    </row>
    <row r="6003" spans="17:17" x14ac:dyDescent="0.25">
      <c r="Q6003" s="8"/>
    </row>
    <row r="6004" spans="17:17" x14ac:dyDescent="0.25">
      <c r="Q6004" s="8"/>
    </row>
    <row r="6005" spans="17:17" x14ac:dyDescent="0.25">
      <c r="Q6005" s="8"/>
    </row>
    <row r="6006" spans="17:17" x14ac:dyDescent="0.25">
      <c r="Q6006" s="8"/>
    </row>
    <row r="6007" spans="17:17" x14ac:dyDescent="0.25">
      <c r="Q6007" s="8"/>
    </row>
    <row r="6008" spans="17:17" x14ac:dyDescent="0.25">
      <c r="Q6008" s="8"/>
    </row>
    <row r="6009" spans="17:17" x14ac:dyDescent="0.25">
      <c r="Q6009" s="8"/>
    </row>
    <row r="6010" spans="17:17" x14ac:dyDescent="0.25">
      <c r="Q6010" s="8"/>
    </row>
    <row r="6011" spans="17:17" x14ac:dyDescent="0.25">
      <c r="Q6011" s="8"/>
    </row>
    <row r="6012" spans="17:17" x14ac:dyDescent="0.25">
      <c r="Q6012" s="8"/>
    </row>
    <row r="6013" spans="17:17" x14ac:dyDescent="0.25">
      <c r="Q6013" s="8"/>
    </row>
    <row r="6014" spans="17:17" x14ac:dyDescent="0.25">
      <c r="Q6014" s="8"/>
    </row>
    <row r="6015" spans="17:17" x14ac:dyDescent="0.25">
      <c r="Q6015" s="8"/>
    </row>
    <row r="6016" spans="17:17" x14ac:dyDescent="0.25">
      <c r="Q6016" s="8"/>
    </row>
    <row r="6017" spans="17:17" x14ac:dyDescent="0.25">
      <c r="Q6017" s="8"/>
    </row>
    <row r="6018" spans="17:17" x14ac:dyDescent="0.25">
      <c r="Q6018" s="8"/>
    </row>
    <row r="6019" spans="17:17" x14ac:dyDescent="0.25">
      <c r="Q6019" s="8"/>
    </row>
    <row r="6020" spans="17:17" x14ac:dyDescent="0.25">
      <c r="Q6020" s="8"/>
    </row>
    <row r="6021" spans="17:17" x14ac:dyDescent="0.25">
      <c r="Q6021" s="8"/>
    </row>
    <row r="6022" spans="17:17" x14ac:dyDescent="0.25">
      <c r="Q6022" s="8"/>
    </row>
    <row r="6023" spans="17:17" x14ac:dyDescent="0.25">
      <c r="Q6023" s="8"/>
    </row>
    <row r="6024" spans="17:17" x14ac:dyDescent="0.25">
      <c r="Q6024" s="8"/>
    </row>
    <row r="6025" spans="17:17" x14ac:dyDescent="0.25">
      <c r="Q6025" s="8"/>
    </row>
    <row r="6026" spans="17:17" x14ac:dyDescent="0.25">
      <c r="Q6026" s="8"/>
    </row>
    <row r="6027" spans="17:17" x14ac:dyDescent="0.25">
      <c r="Q6027" s="8"/>
    </row>
    <row r="6028" spans="17:17" x14ac:dyDescent="0.25">
      <c r="Q6028" s="8"/>
    </row>
    <row r="6029" spans="17:17" x14ac:dyDescent="0.25">
      <c r="Q6029" s="8"/>
    </row>
    <row r="6030" spans="17:17" x14ac:dyDescent="0.25">
      <c r="Q6030" s="8"/>
    </row>
    <row r="6031" spans="17:17" x14ac:dyDescent="0.25">
      <c r="Q6031" s="8"/>
    </row>
    <row r="6032" spans="17:17" x14ac:dyDescent="0.25">
      <c r="Q6032" s="8"/>
    </row>
    <row r="6033" spans="17:17" x14ac:dyDescent="0.25">
      <c r="Q6033" s="8"/>
    </row>
    <row r="6034" spans="17:17" x14ac:dyDescent="0.25">
      <c r="Q6034" s="8"/>
    </row>
    <row r="6035" spans="17:17" x14ac:dyDescent="0.25">
      <c r="Q6035" s="8"/>
    </row>
    <row r="6036" spans="17:17" x14ac:dyDescent="0.25">
      <c r="Q6036" s="8"/>
    </row>
    <row r="6037" spans="17:17" x14ac:dyDescent="0.25">
      <c r="Q6037" s="8"/>
    </row>
    <row r="6038" spans="17:17" x14ac:dyDescent="0.25">
      <c r="Q6038" s="8"/>
    </row>
    <row r="6039" spans="17:17" x14ac:dyDescent="0.25">
      <c r="Q6039" s="8"/>
    </row>
    <row r="6040" spans="17:17" x14ac:dyDescent="0.25">
      <c r="Q6040" s="8"/>
    </row>
    <row r="6041" spans="17:17" x14ac:dyDescent="0.25">
      <c r="Q6041" s="8"/>
    </row>
    <row r="6042" spans="17:17" x14ac:dyDescent="0.25">
      <c r="Q6042" s="8"/>
    </row>
    <row r="6043" spans="17:17" x14ac:dyDescent="0.25">
      <c r="Q6043" s="8"/>
    </row>
    <row r="6044" spans="17:17" x14ac:dyDescent="0.25">
      <c r="Q6044" s="8"/>
    </row>
    <row r="6045" spans="17:17" x14ac:dyDescent="0.25">
      <c r="Q6045" s="8"/>
    </row>
    <row r="6046" spans="17:17" x14ac:dyDescent="0.25">
      <c r="Q6046" s="8"/>
    </row>
    <row r="6047" spans="17:17" x14ac:dyDescent="0.25">
      <c r="Q6047" s="8"/>
    </row>
    <row r="6048" spans="17:17" x14ac:dyDescent="0.25">
      <c r="Q6048" s="8"/>
    </row>
    <row r="6049" spans="17:17" x14ac:dyDescent="0.25">
      <c r="Q6049" s="8"/>
    </row>
    <row r="6050" spans="17:17" x14ac:dyDescent="0.25">
      <c r="Q6050" s="8"/>
    </row>
    <row r="6051" spans="17:17" x14ac:dyDescent="0.25">
      <c r="Q6051" s="8"/>
    </row>
    <row r="6052" spans="17:17" x14ac:dyDescent="0.25">
      <c r="Q6052" s="8"/>
    </row>
    <row r="6053" spans="17:17" x14ac:dyDescent="0.25">
      <c r="Q6053" s="8"/>
    </row>
    <row r="6054" spans="17:17" x14ac:dyDescent="0.25">
      <c r="Q6054" s="8"/>
    </row>
    <row r="6055" spans="17:17" x14ac:dyDescent="0.25">
      <c r="Q6055" s="8"/>
    </row>
    <row r="6056" spans="17:17" x14ac:dyDescent="0.25">
      <c r="Q6056" s="8"/>
    </row>
    <row r="6057" spans="17:17" x14ac:dyDescent="0.25">
      <c r="Q6057" s="8"/>
    </row>
    <row r="6058" spans="17:17" x14ac:dyDescent="0.25">
      <c r="Q6058" s="8"/>
    </row>
    <row r="6059" spans="17:17" x14ac:dyDescent="0.25">
      <c r="Q6059" s="8"/>
    </row>
    <row r="6060" spans="17:17" x14ac:dyDescent="0.25">
      <c r="Q6060" s="8"/>
    </row>
    <row r="6061" spans="17:17" x14ac:dyDescent="0.25">
      <c r="Q6061" s="8"/>
    </row>
    <row r="6062" spans="17:17" x14ac:dyDescent="0.25">
      <c r="Q6062" s="8"/>
    </row>
    <row r="6063" spans="17:17" x14ac:dyDescent="0.25">
      <c r="Q6063" s="8"/>
    </row>
    <row r="6064" spans="17:17" x14ac:dyDescent="0.25">
      <c r="Q6064" s="8"/>
    </row>
    <row r="6065" spans="17:17" x14ac:dyDescent="0.25">
      <c r="Q6065" s="8"/>
    </row>
    <row r="6066" spans="17:17" x14ac:dyDescent="0.25">
      <c r="Q6066" s="8"/>
    </row>
    <row r="6067" spans="17:17" x14ac:dyDescent="0.25">
      <c r="Q6067" s="8"/>
    </row>
    <row r="6068" spans="17:17" x14ac:dyDescent="0.25">
      <c r="Q6068" s="8"/>
    </row>
    <row r="6069" spans="17:17" x14ac:dyDescent="0.25">
      <c r="Q6069" s="8"/>
    </row>
    <row r="6070" spans="17:17" x14ac:dyDescent="0.25">
      <c r="Q6070" s="8"/>
    </row>
    <row r="6071" spans="17:17" x14ac:dyDescent="0.25">
      <c r="Q6071" s="8"/>
    </row>
    <row r="6072" spans="17:17" x14ac:dyDescent="0.25">
      <c r="Q6072" s="8"/>
    </row>
    <row r="6073" spans="17:17" x14ac:dyDescent="0.25">
      <c r="Q6073" s="8"/>
    </row>
    <row r="6074" spans="17:17" x14ac:dyDescent="0.25">
      <c r="Q6074" s="8"/>
    </row>
    <row r="6075" spans="17:17" x14ac:dyDescent="0.25">
      <c r="Q6075" s="8"/>
    </row>
    <row r="6076" spans="17:17" x14ac:dyDescent="0.25">
      <c r="Q6076" s="8"/>
    </row>
    <row r="6077" spans="17:17" x14ac:dyDescent="0.25">
      <c r="Q6077" s="8"/>
    </row>
    <row r="6078" spans="17:17" x14ac:dyDescent="0.25">
      <c r="Q6078" s="8"/>
    </row>
    <row r="6079" spans="17:17" x14ac:dyDescent="0.25">
      <c r="Q6079" s="8"/>
    </row>
    <row r="6080" spans="17:17" x14ac:dyDescent="0.25">
      <c r="Q6080" s="8"/>
    </row>
    <row r="6081" spans="17:17" x14ac:dyDescent="0.25">
      <c r="Q6081" s="8"/>
    </row>
    <row r="6082" spans="17:17" x14ac:dyDescent="0.25">
      <c r="Q6082" s="8"/>
    </row>
    <row r="6083" spans="17:17" x14ac:dyDescent="0.25">
      <c r="Q6083" s="8"/>
    </row>
    <row r="6084" spans="17:17" x14ac:dyDescent="0.25">
      <c r="Q6084" s="8"/>
    </row>
    <row r="6085" spans="17:17" x14ac:dyDescent="0.25">
      <c r="Q6085" s="8"/>
    </row>
    <row r="6086" spans="17:17" x14ac:dyDescent="0.25">
      <c r="Q6086" s="8"/>
    </row>
    <row r="6087" spans="17:17" x14ac:dyDescent="0.25">
      <c r="Q6087" s="8"/>
    </row>
    <row r="6088" spans="17:17" x14ac:dyDescent="0.25">
      <c r="Q6088" s="8"/>
    </row>
    <row r="6089" spans="17:17" x14ac:dyDescent="0.25">
      <c r="Q6089" s="8"/>
    </row>
    <row r="6090" spans="17:17" x14ac:dyDescent="0.25">
      <c r="Q6090" s="8"/>
    </row>
    <row r="6091" spans="17:17" x14ac:dyDescent="0.25">
      <c r="Q6091" s="8"/>
    </row>
    <row r="6092" spans="17:17" x14ac:dyDescent="0.25">
      <c r="Q6092" s="8"/>
    </row>
    <row r="6093" spans="17:17" x14ac:dyDescent="0.25">
      <c r="Q6093" s="8"/>
    </row>
    <row r="6094" spans="17:17" x14ac:dyDescent="0.25">
      <c r="Q6094" s="8"/>
    </row>
    <row r="6095" spans="17:17" x14ac:dyDescent="0.25">
      <c r="Q6095" s="8"/>
    </row>
    <row r="6096" spans="17:17" x14ac:dyDescent="0.25">
      <c r="Q6096" s="8"/>
    </row>
    <row r="6097" spans="17:17" x14ac:dyDescent="0.25">
      <c r="Q6097" s="8"/>
    </row>
    <row r="6098" spans="17:17" x14ac:dyDescent="0.25">
      <c r="Q6098" s="8"/>
    </row>
    <row r="6099" spans="17:17" x14ac:dyDescent="0.25">
      <c r="Q6099" s="8"/>
    </row>
    <row r="6100" spans="17:17" x14ac:dyDescent="0.25">
      <c r="Q6100" s="8"/>
    </row>
    <row r="6101" spans="17:17" x14ac:dyDescent="0.25">
      <c r="Q6101" s="8"/>
    </row>
    <row r="6102" spans="17:17" x14ac:dyDescent="0.25">
      <c r="Q6102" s="8"/>
    </row>
    <row r="6103" spans="17:17" x14ac:dyDescent="0.25">
      <c r="Q6103" s="8"/>
    </row>
    <row r="6104" spans="17:17" x14ac:dyDescent="0.25">
      <c r="Q6104" s="8"/>
    </row>
    <row r="6105" spans="17:17" x14ac:dyDescent="0.25">
      <c r="Q6105" s="8"/>
    </row>
    <row r="6106" spans="17:17" x14ac:dyDescent="0.25">
      <c r="Q6106" s="8"/>
    </row>
    <row r="6107" spans="17:17" x14ac:dyDescent="0.25">
      <c r="Q6107" s="8"/>
    </row>
    <row r="6108" spans="17:17" x14ac:dyDescent="0.25">
      <c r="Q6108" s="8"/>
    </row>
    <row r="6109" spans="17:17" x14ac:dyDescent="0.25">
      <c r="Q6109" s="8"/>
    </row>
    <row r="6110" spans="17:17" x14ac:dyDescent="0.25">
      <c r="Q6110" s="8"/>
    </row>
    <row r="6111" spans="17:17" x14ac:dyDescent="0.25">
      <c r="Q6111" s="8"/>
    </row>
    <row r="6112" spans="17:17" x14ac:dyDescent="0.25">
      <c r="Q6112" s="8"/>
    </row>
    <row r="6113" spans="17:17" x14ac:dyDescent="0.25">
      <c r="Q6113" s="8"/>
    </row>
    <row r="6114" spans="17:17" x14ac:dyDescent="0.25">
      <c r="Q6114" s="8"/>
    </row>
    <row r="6115" spans="17:17" x14ac:dyDescent="0.25">
      <c r="Q6115" s="8"/>
    </row>
    <row r="6116" spans="17:17" x14ac:dyDescent="0.25">
      <c r="Q6116" s="8"/>
    </row>
    <row r="6117" spans="17:17" x14ac:dyDescent="0.25">
      <c r="Q6117" s="8"/>
    </row>
    <row r="6118" spans="17:17" x14ac:dyDescent="0.25">
      <c r="Q6118" s="8"/>
    </row>
    <row r="6119" spans="17:17" x14ac:dyDescent="0.25">
      <c r="Q6119" s="8"/>
    </row>
    <row r="6120" spans="17:17" x14ac:dyDescent="0.25">
      <c r="Q6120" s="8"/>
    </row>
    <row r="6121" spans="17:17" x14ac:dyDescent="0.25">
      <c r="Q6121" s="8"/>
    </row>
    <row r="6122" spans="17:17" x14ac:dyDescent="0.25">
      <c r="Q6122" s="8"/>
    </row>
    <row r="6123" spans="17:17" x14ac:dyDescent="0.25">
      <c r="Q6123" s="8"/>
    </row>
    <row r="6124" spans="17:17" x14ac:dyDescent="0.25">
      <c r="Q6124" s="8"/>
    </row>
    <row r="6125" spans="17:17" x14ac:dyDescent="0.25">
      <c r="Q6125" s="8"/>
    </row>
    <row r="6126" spans="17:17" x14ac:dyDescent="0.25">
      <c r="Q6126" s="8"/>
    </row>
    <row r="6127" spans="17:17" x14ac:dyDescent="0.25">
      <c r="Q6127" s="8"/>
    </row>
    <row r="6128" spans="17:17" x14ac:dyDescent="0.25">
      <c r="Q6128" s="8"/>
    </row>
    <row r="6129" spans="17:17" x14ac:dyDescent="0.25">
      <c r="Q6129" s="8"/>
    </row>
    <row r="6130" spans="17:17" x14ac:dyDescent="0.25">
      <c r="Q6130" s="8"/>
    </row>
    <row r="6131" spans="17:17" x14ac:dyDescent="0.25">
      <c r="Q6131" s="8"/>
    </row>
    <row r="6132" spans="17:17" x14ac:dyDescent="0.25">
      <c r="Q6132" s="8"/>
    </row>
    <row r="6133" spans="17:17" x14ac:dyDescent="0.25">
      <c r="Q6133" s="8"/>
    </row>
    <row r="6134" spans="17:17" x14ac:dyDescent="0.25">
      <c r="Q6134" s="8"/>
    </row>
    <row r="6135" spans="17:17" x14ac:dyDescent="0.25">
      <c r="Q6135" s="8"/>
    </row>
    <row r="6136" spans="17:17" x14ac:dyDescent="0.25">
      <c r="Q6136" s="8"/>
    </row>
    <row r="6137" spans="17:17" x14ac:dyDescent="0.25">
      <c r="Q6137" s="8"/>
    </row>
    <row r="6138" spans="17:17" x14ac:dyDescent="0.25">
      <c r="Q6138" s="8"/>
    </row>
    <row r="6139" spans="17:17" x14ac:dyDescent="0.25">
      <c r="Q6139" s="8"/>
    </row>
    <row r="6140" spans="17:17" x14ac:dyDescent="0.25">
      <c r="Q6140" s="8"/>
    </row>
    <row r="6141" spans="17:17" x14ac:dyDescent="0.25">
      <c r="Q6141" s="8"/>
    </row>
    <row r="6142" spans="17:17" x14ac:dyDescent="0.25">
      <c r="Q6142" s="8"/>
    </row>
    <row r="6143" spans="17:17" x14ac:dyDescent="0.25">
      <c r="Q6143" s="8"/>
    </row>
    <row r="6144" spans="17:17" x14ac:dyDescent="0.25">
      <c r="Q6144" s="8"/>
    </row>
    <row r="6145" spans="17:17" x14ac:dyDescent="0.25">
      <c r="Q6145" s="8"/>
    </row>
    <row r="6146" spans="17:17" x14ac:dyDescent="0.25">
      <c r="Q6146" s="8"/>
    </row>
    <row r="6147" spans="17:17" x14ac:dyDescent="0.25">
      <c r="Q6147" s="8"/>
    </row>
    <row r="6148" spans="17:17" x14ac:dyDescent="0.25">
      <c r="Q6148" s="8"/>
    </row>
    <row r="6149" spans="17:17" x14ac:dyDescent="0.25">
      <c r="Q6149" s="8"/>
    </row>
    <row r="6150" spans="17:17" x14ac:dyDescent="0.25">
      <c r="Q6150" s="8"/>
    </row>
    <row r="6151" spans="17:17" x14ac:dyDescent="0.25">
      <c r="Q6151" s="8"/>
    </row>
    <row r="6152" spans="17:17" x14ac:dyDescent="0.25">
      <c r="Q6152" s="8"/>
    </row>
    <row r="6153" spans="17:17" x14ac:dyDescent="0.25">
      <c r="Q6153" s="8"/>
    </row>
    <row r="6154" spans="17:17" x14ac:dyDescent="0.25">
      <c r="Q6154" s="8"/>
    </row>
    <row r="6155" spans="17:17" x14ac:dyDescent="0.25">
      <c r="Q6155" s="8"/>
    </row>
    <row r="6156" spans="17:17" x14ac:dyDescent="0.25">
      <c r="Q6156" s="8"/>
    </row>
    <row r="6157" spans="17:17" x14ac:dyDescent="0.25">
      <c r="Q6157" s="8"/>
    </row>
    <row r="6158" spans="17:17" x14ac:dyDescent="0.25">
      <c r="Q6158" s="8"/>
    </row>
    <row r="6159" spans="17:17" x14ac:dyDescent="0.25">
      <c r="Q6159" s="8"/>
    </row>
    <row r="6160" spans="17:17" x14ac:dyDescent="0.25">
      <c r="Q6160" s="8"/>
    </row>
    <row r="6161" spans="17:17" x14ac:dyDescent="0.25">
      <c r="Q6161" s="8"/>
    </row>
    <row r="6162" spans="17:17" x14ac:dyDescent="0.25">
      <c r="Q6162" s="8"/>
    </row>
    <row r="6163" spans="17:17" x14ac:dyDescent="0.25">
      <c r="Q6163" s="8"/>
    </row>
    <row r="6164" spans="17:17" x14ac:dyDescent="0.25">
      <c r="Q6164" s="8"/>
    </row>
    <row r="6165" spans="17:17" x14ac:dyDescent="0.25">
      <c r="Q6165" s="8"/>
    </row>
    <row r="6166" spans="17:17" x14ac:dyDescent="0.25">
      <c r="Q6166" s="8"/>
    </row>
    <row r="6167" spans="17:17" x14ac:dyDescent="0.25">
      <c r="Q6167" s="8"/>
    </row>
    <row r="6168" spans="17:17" x14ac:dyDescent="0.25">
      <c r="Q6168" s="8"/>
    </row>
    <row r="6169" spans="17:17" x14ac:dyDescent="0.25">
      <c r="Q6169" s="8"/>
    </row>
    <row r="6170" spans="17:17" x14ac:dyDescent="0.25">
      <c r="Q6170" s="8"/>
    </row>
    <row r="6171" spans="17:17" x14ac:dyDescent="0.25">
      <c r="Q6171" s="8"/>
    </row>
    <row r="6172" spans="17:17" x14ac:dyDescent="0.25">
      <c r="Q6172" s="8"/>
    </row>
    <row r="6173" spans="17:17" x14ac:dyDescent="0.25">
      <c r="Q6173" s="8"/>
    </row>
    <row r="6174" spans="17:17" x14ac:dyDescent="0.25">
      <c r="Q6174" s="8"/>
    </row>
    <row r="6175" spans="17:17" x14ac:dyDescent="0.25">
      <c r="Q6175" s="8"/>
    </row>
    <row r="6176" spans="17:17" x14ac:dyDescent="0.25">
      <c r="Q6176" s="8"/>
    </row>
    <row r="6177" spans="17:17" x14ac:dyDescent="0.25">
      <c r="Q6177" s="8"/>
    </row>
    <row r="6178" spans="17:17" x14ac:dyDescent="0.25">
      <c r="Q6178" s="8"/>
    </row>
    <row r="6179" spans="17:17" x14ac:dyDescent="0.25">
      <c r="Q6179" s="8"/>
    </row>
    <row r="6180" spans="17:17" x14ac:dyDescent="0.25">
      <c r="Q6180" s="8"/>
    </row>
    <row r="6181" spans="17:17" x14ac:dyDescent="0.25">
      <c r="Q6181" s="8"/>
    </row>
    <row r="6182" spans="17:17" x14ac:dyDescent="0.25">
      <c r="Q6182" s="8"/>
    </row>
    <row r="6183" spans="17:17" x14ac:dyDescent="0.25">
      <c r="Q6183" s="8"/>
    </row>
    <row r="6184" spans="17:17" x14ac:dyDescent="0.25">
      <c r="Q6184" s="8"/>
    </row>
    <row r="6185" spans="17:17" x14ac:dyDescent="0.25">
      <c r="Q6185" s="8"/>
    </row>
    <row r="6186" spans="17:17" x14ac:dyDescent="0.25">
      <c r="Q6186" s="8"/>
    </row>
    <row r="6187" spans="17:17" x14ac:dyDescent="0.25">
      <c r="Q6187" s="8"/>
    </row>
    <row r="6188" spans="17:17" x14ac:dyDescent="0.25">
      <c r="Q6188" s="8"/>
    </row>
    <row r="6189" spans="17:17" x14ac:dyDescent="0.25">
      <c r="Q6189" s="8"/>
    </row>
    <row r="6190" spans="17:17" x14ac:dyDescent="0.25">
      <c r="Q6190" s="8"/>
    </row>
    <row r="6191" spans="17:17" x14ac:dyDescent="0.25">
      <c r="Q6191" s="8"/>
    </row>
    <row r="6192" spans="17:17" x14ac:dyDescent="0.25">
      <c r="Q6192" s="8"/>
    </row>
    <row r="6193" spans="17:17" x14ac:dyDescent="0.25">
      <c r="Q6193" s="8"/>
    </row>
    <row r="6194" spans="17:17" x14ac:dyDescent="0.25">
      <c r="Q6194" s="8"/>
    </row>
    <row r="6195" spans="17:17" x14ac:dyDescent="0.25">
      <c r="Q6195" s="8"/>
    </row>
    <row r="6196" spans="17:17" x14ac:dyDescent="0.25">
      <c r="Q6196" s="8"/>
    </row>
    <row r="6197" spans="17:17" x14ac:dyDescent="0.25">
      <c r="Q6197" s="8"/>
    </row>
    <row r="6198" spans="17:17" x14ac:dyDescent="0.25">
      <c r="Q6198" s="8"/>
    </row>
    <row r="6199" spans="17:17" x14ac:dyDescent="0.25">
      <c r="Q6199" s="8"/>
    </row>
    <row r="6200" spans="17:17" x14ac:dyDescent="0.25">
      <c r="Q6200" s="8"/>
    </row>
    <row r="6201" spans="17:17" x14ac:dyDescent="0.25">
      <c r="Q6201" s="8"/>
    </row>
    <row r="6202" spans="17:17" x14ac:dyDescent="0.25">
      <c r="Q6202" s="8"/>
    </row>
    <row r="6203" spans="17:17" x14ac:dyDescent="0.25">
      <c r="Q6203" s="8"/>
    </row>
    <row r="6204" spans="17:17" x14ac:dyDescent="0.25">
      <c r="Q6204" s="8"/>
    </row>
    <row r="6205" spans="17:17" x14ac:dyDescent="0.25">
      <c r="Q6205" s="8"/>
    </row>
    <row r="6206" spans="17:17" x14ac:dyDescent="0.25">
      <c r="Q6206" s="8"/>
    </row>
    <row r="6207" spans="17:17" x14ac:dyDescent="0.25">
      <c r="Q6207" s="8"/>
    </row>
    <row r="6208" spans="17:17" x14ac:dyDescent="0.25">
      <c r="Q6208" s="8"/>
    </row>
    <row r="6209" spans="17:17" x14ac:dyDescent="0.25">
      <c r="Q6209" s="8"/>
    </row>
    <row r="6210" spans="17:17" x14ac:dyDescent="0.25">
      <c r="Q6210" s="8"/>
    </row>
    <row r="6211" spans="17:17" x14ac:dyDescent="0.25">
      <c r="Q6211" s="8"/>
    </row>
    <row r="6212" spans="17:17" x14ac:dyDescent="0.25">
      <c r="Q6212" s="8"/>
    </row>
    <row r="6213" spans="17:17" x14ac:dyDescent="0.25">
      <c r="Q6213" s="8"/>
    </row>
    <row r="6214" spans="17:17" x14ac:dyDescent="0.25">
      <c r="Q6214" s="8"/>
    </row>
    <row r="6215" spans="17:17" x14ac:dyDescent="0.25">
      <c r="Q6215" s="8"/>
    </row>
    <row r="6216" spans="17:17" x14ac:dyDescent="0.25">
      <c r="Q6216" s="8"/>
    </row>
    <row r="6217" spans="17:17" x14ac:dyDescent="0.25">
      <c r="Q6217" s="8"/>
    </row>
    <row r="6218" spans="17:17" x14ac:dyDescent="0.25">
      <c r="Q6218" s="8"/>
    </row>
    <row r="6219" spans="17:17" x14ac:dyDescent="0.25">
      <c r="Q6219" s="8"/>
    </row>
    <row r="6220" spans="17:17" x14ac:dyDescent="0.25">
      <c r="Q6220" s="8"/>
    </row>
    <row r="6221" spans="17:17" x14ac:dyDescent="0.25">
      <c r="Q6221" s="8"/>
    </row>
    <row r="6222" spans="17:17" x14ac:dyDescent="0.25">
      <c r="Q6222" s="8"/>
    </row>
    <row r="6223" spans="17:17" x14ac:dyDescent="0.25">
      <c r="Q6223" s="8"/>
    </row>
    <row r="6224" spans="17:17" x14ac:dyDescent="0.25">
      <c r="Q6224" s="8"/>
    </row>
    <row r="6225" spans="17:17" x14ac:dyDescent="0.25">
      <c r="Q6225" s="8"/>
    </row>
    <row r="6226" spans="17:17" x14ac:dyDescent="0.25">
      <c r="Q6226" s="8"/>
    </row>
    <row r="6227" spans="17:17" x14ac:dyDescent="0.25">
      <c r="Q6227" s="8"/>
    </row>
    <row r="6228" spans="17:17" x14ac:dyDescent="0.25">
      <c r="Q6228" s="8"/>
    </row>
    <row r="6229" spans="17:17" x14ac:dyDescent="0.25">
      <c r="Q6229" s="8"/>
    </row>
    <row r="6230" spans="17:17" x14ac:dyDescent="0.25">
      <c r="Q6230" s="8"/>
    </row>
    <row r="6231" spans="17:17" x14ac:dyDescent="0.25">
      <c r="Q6231" s="8"/>
    </row>
    <row r="6232" spans="17:17" x14ac:dyDescent="0.25">
      <c r="Q6232" s="8"/>
    </row>
    <row r="6233" spans="17:17" x14ac:dyDescent="0.25">
      <c r="Q6233" s="8"/>
    </row>
    <row r="6234" spans="17:17" x14ac:dyDescent="0.25">
      <c r="Q6234" s="8"/>
    </row>
    <row r="6235" spans="17:17" x14ac:dyDescent="0.25">
      <c r="Q6235" s="8"/>
    </row>
    <row r="6236" spans="17:17" x14ac:dyDescent="0.25">
      <c r="Q6236" s="8"/>
    </row>
    <row r="6237" spans="17:17" x14ac:dyDescent="0.25">
      <c r="Q6237" s="8"/>
    </row>
    <row r="6238" spans="17:17" x14ac:dyDescent="0.25">
      <c r="Q6238" s="8"/>
    </row>
    <row r="6239" spans="17:17" x14ac:dyDescent="0.25">
      <c r="Q6239" s="8"/>
    </row>
    <row r="6240" spans="17:17" x14ac:dyDescent="0.25">
      <c r="Q6240" s="8"/>
    </row>
    <row r="6241" spans="17:17" x14ac:dyDescent="0.25">
      <c r="Q6241" s="8"/>
    </row>
    <row r="6242" spans="17:17" x14ac:dyDescent="0.25">
      <c r="Q6242" s="8"/>
    </row>
    <row r="6243" spans="17:17" x14ac:dyDescent="0.25">
      <c r="Q6243" s="8"/>
    </row>
    <row r="6244" spans="17:17" x14ac:dyDescent="0.25">
      <c r="Q6244" s="8"/>
    </row>
    <row r="6245" spans="17:17" x14ac:dyDescent="0.25">
      <c r="Q6245" s="8"/>
    </row>
    <row r="6246" spans="17:17" x14ac:dyDescent="0.25">
      <c r="Q6246" s="8"/>
    </row>
    <row r="6247" spans="17:17" x14ac:dyDescent="0.25">
      <c r="Q6247" s="8"/>
    </row>
    <row r="6248" spans="17:17" x14ac:dyDescent="0.25">
      <c r="Q6248" s="8"/>
    </row>
    <row r="6249" spans="17:17" x14ac:dyDescent="0.25">
      <c r="Q6249" s="8"/>
    </row>
    <row r="6250" spans="17:17" x14ac:dyDescent="0.25">
      <c r="Q6250" s="8"/>
    </row>
    <row r="6251" spans="17:17" x14ac:dyDescent="0.25">
      <c r="Q6251" s="8"/>
    </row>
    <row r="6252" spans="17:17" x14ac:dyDescent="0.25">
      <c r="Q6252" s="8"/>
    </row>
    <row r="6253" spans="17:17" x14ac:dyDescent="0.25">
      <c r="Q6253" s="8"/>
    </row>
    <row r="6254" spans="17:17" x14ac:dyDescent="0.25">
      <c r="Q6254" s="8"/>
    </row>
    <row r="6255" spans="17:17" x14ac:dyDescent="0.25">
      <c r="Q6255" s="8"/>
    </row>
    <row r="6256" spans="17:17" x14ac:dyDescent="0.25">
      <c r="Q6256" s="8"/>
    </row>
    <row r="6257" spans="17:17" x14ac:dyDescent="0.25">
      <c r="Q6257" s="8"/>
    </row>
    <row r="6258" spans="17:17" x14ac:dyDescent="0.25">
      <c r="Q6258" s="8"/>
    </row>
    <row r="6259" spans="17:17" x14ac:dyDescent="0.25">
      <c r="Q6259" s="8"/>
    </row>
    <row r="6260" spans="17:17" x14ac:dyDescent="0.25">
      <c r="Q6260" s="8"/>
    </row>
    <row r="6261" spans="17:17" x14ac:dyDescent="0.25">
      <c r="Q6261" s="8"/>
    </row>
    <row r="6262" spans="17:17" x14ac:dyDescent="0.25">
      <c r="Q6262" s="8"/>
    </row>
    <row r="6263" spans="17:17" x14ac:dyDescent="0.25">
      <c r="Q6263" s="8"/>
    </row>
    <row r="6264" spans="17:17" x14ac:dyDescent="0.25">
      <c r="Q6264" s="8"/>
    </row>
    <row r="6265" spans="17:17" x14ac:dyDescent="0.25">
      <c r="Q6265" s="8"/>
    </row>
    <row r="6266" spans="17:17" x14ac:dyDescent="0.25">
      <c r="Q6266" s="8"/>
    </row>
    <row r="6267" spans="17:17" x14ac:dyDescent="0.25">
      <c r="Q6267" s="8"/>
    </row>
    <row r="6268" spans="17:17" x14ac:dyDescent="0.25">
      <c r="Q6268" s="8"/>
    </row>
    <row r="6269" spans="17:17" x14ac:dyDescent="0.25">
      <c r="Q6269" s="8"/>
    </row>
    <row r="6270" spans="17:17" x14ac:dyDescent="0.25">
      <c r="Q6270" s="8"/>
    </row>
    <row r="6271" spans="17:17" x14ac:dyDescent="0.25">
      <c r="Q6271" s="8"/>
    </row>
    <row r="6272" spans="17:17" x14ac:dyDescent="0.25">
      <c r="Q6272" s="8"/>
    </row>
    <row r="6273" spans="17:17" x14ac:dyDescent="0.25">
      <c r="Q6273" s="8"/>
    </row>
    <row r="6274" spans="17:17" x14ac:dyDescent="0.25">
      <c r="Q6274" s="8"/>
    </row>
    <row r="6275" spans="17:17" x14ac:dyDescent="0.25">
      <c r="Q6275" s="8"/>
    </row>
    <row r="6276" spans="17:17" x14ac:dyDescent="0.25">
      <c r="Q6276" s="8"/>
    </row>
    <row r="6277" spans="17:17" x14ac:dyDescent="0.25">
      <c r="Q6277" s="8"/>
    </row>
    <row r="6278" spans="17:17" x14ac:dyDescent="0.25">
      <c r="Q6278" s="8"/>
    </row>
    <row r="6279" spans="17:17" x14ac:dyDescent="0.25">
      <c r="Q6279" s="8"/>
    </row>
    <row r="6280" spans="17:17" x14ac:dyDescent="0.25">
      <c r="Q6280" s="8"/>
    </row>
    <row r="6281" spans="17:17" x14ac:dyDescent="0.25">
      <c r="Q6281" s="8"/>
    </row>
    <row r="6282" spans="17:17" x14ac:dyDescent="0.25">
      <c r="Q6282" s="8"/>
    </row>
    <row r="6283" spans="17:17" x14ac:dyDescent="0.25">
      <c r="Q6283" s="8"/>
    </row>
    <row r="6284" spans="17:17" x14ac:dyDescent="0.25">
      <c r="Q6284" s="8"/>
    </row>
    <row r="6285" spans="17:17" x14ac:dyDescent="0.25">
      <c r="Q6285" s="8"/>
    </row>
    <row r="6286" spans="17:17" x14ac:dyDescent="0.25">
      <c r="Q6286" s="8"/>
    </row>
    <row r="6287" spans="17:17" x14ac:dyDescent="0.25">
      <c r="Q6287" s="8"/>
    </row>
    <row r="6288" spans="17:17" x14ac:dyDescent="0.25">
      <c r="Q6288" s="8"/>
    </row>
    <row r="6289" spans="17:17" x14ac:dyDescent="0.25">
      <c r="Q6289" s="8"/>
    </row>
    <row r="6290" spans="17:17" x14ac:dyDescent="0.25">
      <c r="Q6290" s="8"/>
    </row>
    <row r="6291" spans="17:17" x14ac:dyDescent="0.25">
      <c r="Q6291" s="8"/>
    </row>
    <row r="6292" spans="17:17" x14ac:dyDescent="0.25">
      <c r="Q6292" s="8"/>
    </row>
    <row r="6293" spans="17:17" x14ac:dyDescent="0.25">
      <c r="Q6293" s="8"/>
    </row>
    <row r="6294" spans="17:17" x14ac:dyDescent="0.25">
      <c r="Q6294" s="8"/>
    </row>
    <row r="6295" spans="17:17" x14ac:dyDescent="0.25">
      <c r="Q6295" s="8"/>
    </row>
    <row r="6296" spans="17:17" x14ac:dyDescent="0.25">
      <c r="Q6296" s="8"/>
    </row>
    <row r="6297" spans="17:17" x14ac:dyDescent="0.25">
      <c r="Q6297" s="8"/>
    </row>
    <row r="6298" spans="17:17" x14ac:dyDescent="0.25">
      <c r="Q6298" s="8"/>
    </row>
    <row r="6299" spans="17:17" x14ac:dyDescent="0.25">
      <c r="Q6299" s="8"/>
    </row>
    <row r="6300" spans="17:17" x14ac:dyDescent="0.25">
      <c r="Q6300" s="8"/>
    </row>
    <row r="6301" spans="17:17" x14ac:dyDescent="0.25">
      <c r="Q6301" s="8"/>
    </row>
    <row r="6302" spans="17:17" x14ac:dyDescent="0.25">
      <c r="Q6302" s="8"/>
    </row>
    <row r="6303" spans="17:17" x14ac:dyDescent="0.25">
      <c r="Q6303" s="8"/>
    </row>
    <row r="6304" spans="17:17" x14ac:dyDescent="0.25">
      <c r="Q6304" s="8"/>
    </row>
    <row r="6305" spans="17:17" x14ac:dyDescent="0.25">
      <c r="Q6305" s="8"/>
    </row>
    <row r="6306" spans="17:17" x14ac:dyDescent="0.25">
      <c r="Q6306" s="8"/>
    </row>
    <row r="6307" spans="17:17" x14ac:dyDescent="0.25">
      <c r="Q6307" s="8"/>
    </row>
    <row r="6308" spans="17:17" x14ac:dyDescent="0.25">
      <c r="Q6308" s="8"/>
    </row>
    <row r="6309" spans="17:17" x14ac:dyDescent="0.25">
      <c r="Q6309" s="8"/>
    </row>
    <row r="6310" spans="17:17" x14ac:dyDescent="0.25">
      <c r="Q6310" s="8"/>
    </row>
    <row r="6311" spans="17:17" x14ac:dyDescent="0.25">
      <c r="Q6311" s="8"/>
    </row>
    <row r="6312" spans="17:17" x14ac:dyDescent="0.25">
      <c r="Q6312" s="8"/>
    </row>
    <row r="6313" spans="17:17" x14ac:dyDescent="0.25">
      <c r="Q6313" s="8"/>
    </row>
    <row r="6314" spans="17:17" x14ac:dyDescent="0.25">
      <c r="Q6314" s="8"/>
    </row>
    <row r="6315" spans="17:17" x14ac:dyDescent="0.25">
      <c r="Q6315" s="8"/>
    </row>
    <row r="6316" spans="17:17" x14ac:dyDescent="0.25">
      <c r="Q6316" s="8"/>
    </row>
    <row r="6317" spans="17:17" x14ac:dyDescent="0.25">
      <c r="Q6317" s="8"/>
    </row>
    <row r="6318" spans="17:17" x14ac:dyDescent="0.25">
      <c r="Q6318" s="8"/>
    </row>
    <row r="6319" spans="17:17" x14ac:dyDescent="0.25">
      <c r="Q6319" s="8"/>
    </row>
    <row r="6320" spans="17:17" x14ac:dyDescent="0.25">
      <c r="Q6320" s="8"/>
    </row>
    <row r="6321" spans="17:17" x14ac:dyDescent="0.25">
      <c r="Q6321" s="8"/>
    </row>
    <row r="6322" spans="17:17" x14ac:dyDescent="0.25">
      <c r="Q6322" s="8"/>
    </row>
    <row r="6323" spans="17:17" x14ac:dyDescent="0.25">
      <c r="Q6323" s="8"/>
    </row>
    <row r="6324" spans="17:17" x14ac:dyDescent="0.25">
      <c r="Q6324" s="8"/>
    </row>
    <row r="6325" spans="17:17" x14ac:dyDescent="0.25">
      <c r="Q6325" s="8"/>
    </row>
    <row r="6326" spans="17:17" x14ac:dyDescent="0.25">
      <c r="Q6326" s="8"/>
    </row>
    <row r="6327" spans="17:17" x14ac:dyDescent="0.25">
      <c r="Q6327" s="8"/>
    </row>
    <row r="6328" spans="17:17" x14ac:dyDescent="0.25">
      <c r="Q6328" s="8"/>
    </row>
    <row r="6329" spans="17:17" x14ac:dyDescent="0.25">
      <c r="Q6329" s="8"/>
    </row>
    <row r="6330" spans="17:17" x14ac:dyDescent="0.25">
      <c r="Q6330" s="8"/>
    </row>
    <row r="6331" spans="17:17" x14ac:dyDescent="0.25">
      <c r="Q6331" s="8"/>
    </row>
    <row r="6332" spans="17:17" x14ac:dyDescent="0.25">
      <c r="Q6332" s="8"/>
    </row>
    <row r="6333" spans="17:17" x14ac:dyDescent="0.25">
      <c r="Q6333" s="8"/>
    </row>
    <row r="6334" spans="17:17" x14ac:dyDescent="0.25">
      <c r="Q6334" s="8"/>
    </row>
    <row r="6335" spans="17:17" x14ac:dyDescent="0.25">
      <c r="Q6335" s="8"/>
    </row>
    <row r="6336" spans="17:17" x14ac:dyDescent="0.25">
      <c r="Q6336" s="8"/>
    </row>
    <row r="6337" spans="17:17" x14ac:dyDescent="0.25">
      <c r="Q6337" s="8"/>
    </row>
    <row r="6338" spans="17:17" x14ac:dyDescent="0.25">
      <c r="Q6338" s="8"/>
    </row>
    <row r="6339" spans="17:17" x14ac:dyDescent="0.25">
      <c r="Q6339" s="8"/>
    </row>
    <row r="6340" spans="17:17" x14ac:dyDescent="0.25">
      <c r="Q6340" s="8"/>
    </row>
    <row r="6341" spans="17:17" x14ac:dyDescent="0.25">
      <c r="Q6341" s="8"/>
    </row>
    <row r="6342" spans="17:17" x14ac:dyDescent="0.25">
      <c r="Q6342" s="8"/>
    </row>
    <row r="6343" spans="17:17" x14ac:dyDescent="0.25">
      <c r="Q6343" s="8"/>
    </row>
    <row r="6344" spans="17:17" x14ac:dyDescent="0.25">
      <c r="Q6344" s="8"/>
    </row>
    <row r="6345" spans="17:17" x14ac:dyDescent="0.25">
      <c r="Q6345" s="8"/>
    </row>
    <row r="6346" spans="17:17" x14ac:dyDescent="0.25">
      <c r="Q6346" s="8"/>
    </row>
    <row r="6347" spans="17:17" x14ac:dyDescent="0.25">
      <c r="Q6347" s="8"/>
    </row>
    <row r="6348" spans="17:17" x14ac:dyDescent="0.25">
      <c r="Q6348" s="8"/>
    </row>
    <row r="6349" spans="17:17" x14ac:dyDescent="0.25">
      <c r="Q6349" s="8"/>
    </row>
    <row r="6350" spans="17:17" x14ac:dyDescent="0.25">
      <c r="Q6350" s="8"/>
    </row>
    <row r="6351" spans="17:17" x14ac:dyDescent="0.25">
      <c r="Q6351" s="8"/>
    </row>
    <row r="6352" spans="17:17" x14ac:dyDescent="0.25">
      <c r="Q6352" s="8"/>
    </row>
    <row r="6353" spans="17:17" x14ac:dyDescent="0.25">
      <c r="Q6353" s="8"/>
    </row>
    <row r="6354" spans="17:17" x14ac:dyDescent="0.25">
      <c r="Q6354" s="8"/>
    </row>
    <row r="6355" spans="17:17" x14ac:dyDescent="0.25">
      <c r="Q6355" s="8"/>
    </row>
    <row r="6356" spans="17:17" x14ac:dyDescent="0.25">
      <c r="Q6356" s="8"/>
    </row>
    <row r="6357" spans="17:17" x14ac:dyDescent="0.25">
      <c r="Q6357" s="8"/>
    </row>
    <row r="6358" spans="17:17" x14ac:dyDescent="0.25">
      <c r="Q6358" s="8"/>
    </row>
    <row r="6359" spans="17:17" x14ac:dyDescent="0.25">
      <c r="Q6359" s="8"/>
    </row>
    <row r="6360" spans="17:17" x14ac:dyDescent="0.25">
      <c r="Q6360" s="8"/>
    </row>
    <row r="6361" spans="17:17" x14ac:dyDescent="0.25">
      <c r="Q6361" s="8"/>
    </row>
    <row r="6362" spans="17:17" x14ac:dyDescent="0.25">
      <c r="Q6362" s="8"/>
    </row>
    <row r="6363" spans="17:17" x14ac:dyDescent="0.25">
      <c r="Q6363" s="8"/>
    </row>
    <row r="6364" spans="17:17" x14ac:dyDescent="0.25">
      <c r="Q6364" s="8"/>
    </row>
    <row r="6365" spans="17:17" x14ac:dyDescent="0.25">
      <c r="Q6365" s="8"/>
    </row>
    <row r="6366" spans="17:17" x14ac:dyDescent="0.25">
      <c r="Q6366" s="8"/>
    </row>
    <row r="6367" spans="17:17" x14ac:dyDescent="0.25">
      <c r="Q6367" s="8"/>
    </row>
    <row r="6368" spans="17:17" x14ac:dyDescent="0.25">
      <c r="Q6368" s="8"/>
    </row>
    <row r="6369" spans="17:17" x14ac:dyDescent="0.25">
      <c r="Q6369" s="8"/>
    </row>
    <row r="6370" spans="17:17" x14ac:dyDescent="0.25">
      <c r="Q6370" s="8"/>
    </row>
    <row r="6371" spans="17:17" x14ac:dyDescent="0.25">
      <c r="Q6371" s="8"/>
    </row>
    <row r="6372" spans="17:17" x14ac:dyDescent="0.25">
      <c r="Q6372" s="8"/>
    </row>
    <row r="6373" spans="17:17" x14ac:dyDescent="0.25">
      <c r="Q6373" s="8"/>
    </row>
    <row r="6374" spans="17:17" x14ac:dyDescent="0.25">
      <c r="Q6374" s="8"/>
    </row>
    <row r="6375" spans="17:17" x14ac:dyDescent="0.25">
      <c r="Q6375" s="8"/>
    </row>
    <row r="6376" spans="17:17" x14ac:dyDescent="0.25">
      <c r="Q6376" s="8"/>
    </row>
    <row r="6377" spans="17:17" x14ac:dyDescent="0.25">
      <c r="Q6377" s="8"/>
    </row>
    <row r="6378" spans="17:17" x14ac:dyDescent="0.25">
      <c r="Q6378" s="8"/>
    </row>
    <row r="6379" spans="17:17" x14ac:dyDescent="0.25">
      <c r="Q6379" s="8"/>
    </row>
    <row r="6380" spans="17:17" x14ac:dyDescent="0.25">
      <c r="Q6380" s="8"/>
    </row>
    <row r="6381" spans="17:17" x14ac:dyDescent="0.25">
      <c r="Q6381" s="8"/>
    </row>
    <row r="6382" spans="17:17" x14ac:dyDescent="0.25">
      <c r="Q6382" s="8"/>
    </row>
    <row r="6383" spans="17:17" x14ac:dyDescent="0.25">
      <c r="Q6383" s="8"/>
    </row>
    <row r="6384" spans="17:17" x14ac:dyDescent="0.25">
      <c r="Q6384" s="8"/>
    </row>
    <row r="6385" spans="17:17" x14ac:dyDescent="0.25">
      <c r="Q6385" s="8"/>
    </row>
    <row r="6386" spans="17:17" x14ac:dyDescent="0.25">
      <c r="Q6386" s="8"/>
    </row>
    <row r="6387" spans="17:17" x14ac:dyDescent="0.25">
      <c r="Q6387" s="8"/>
    </row>
    <row r="6388" spans="17:17" x14ac:dyDescent="0.25">
      <c r="Q6388" s="8"/>
    </row>
    <row r="6389" spans="17:17" x14ac:dyDescent="0.25">
      <c r="Q6389" s="8"/>
    </row>
    <row r="6390" spans="17:17" x14ac:dyDescent="0.25">
      <c r="Q6390" s="8"/>
    </row>
    <row r="6391" spans="17:17" x14ac:dyDescent="0.25">
      <c r="Q6391" s="8"/>
    </row>
    <row r="6392" spans="17:17" x14ac:dyDescent="0.25">
      <c r="Q6392" s="8"/>
    </row>
    <row r="6393" spans="17:17" x14ac:dyDescent="0.25">
      <c r="Q6393" s="8"/>
    </row>
    <row r="6394" spans="17:17" x14ac:dyDescent="0.25">
      <c r="Q6394" s="8"/>
    </row>
    <row r="6395" spans="17:17" x14ac:dyDescent="0.25">
      <c r="Q6395" s="8"/>
    </row>
    <row r="6396" spans="17:17" x14ac:dyDescent="0.25">
      <c r="Q6396" s="8"/>
    </row>
    <row r="6397" spans="17:17" x14ac:dyDescent="0.25">
      <c r="Q6397" s="8"/>
    </row>
    <row r="6398" spans="17:17" x14ac:dyDescent="0.25">
      <c r="Q6398" s="8"/>
    </row>
    <row r="6399" spans="17:17" x14ac:dyDescent="0.25">
      <c r="Q6399" s="8"/>
    </row>
    <row r="6400" spans="17:17" x14ac:dyDescent="0.25">
      <c r="Q6400" s="8"/>
    </row>
    <row r="6401" spans="17:17" x14ac:dyDescent="0.25">
      <c r="Q6401" s="8"/>
    </row>
    <row r="6402" spans="17:17" x14ac:dyDescent="0.25">
      <c r="Q6402" s="8"/>
    </row>
    <row r="6403" spans="17:17" x14ac:dyDescent="0.25">
      <c r="Q6403" s="8"/>
    </row>
    <row r="6404" spans="17:17" x14ac:dyDescent="0.25">
      <c r="Q6404" s="8"/>
    </row>
    <row r="6405" spans="17:17" x14ac:dyDescent="0.25">
      <c r="Q6405" s="8"/>
    </row>
    <row r="6406" spans="17:17" x14ac:dyDescent="0.25">
      <c r="Q6406" s="8"/>
    </row>
    <row r="6407" spans="17:17" x14ac:dyDescent="0.25">
      <c r="Q6407" s="8"/>
    </row>
    <row r="6408" spans="17:17" x14ac:dyDescent="0.25">
      <c r="Q6408" s="8"/>
    </row>
    <row r="6409" spans="17:17" x14ac:dyDescent="0.25">
      <c r="Q6409" s="8"/>
    </row>
    <row r="6410" spans="17:17" x14ac:dyDescent="0.25">
      <c r="Q6410" s="8"/>
    </row>
    <row r="6411" spans="17:17" x14ac:dyDescent="0.25">
      <c r="Q6411" s="8"/>
    </row>
    <row r="6412" spans="17:17" x14ac:dyDescent="0.25">
      <c r="Q6412" s="8"/>
    </row>
    <row r="6413" spans="17:17" x14ac:dyDescent="0.25">
      <c r="Q6413" s="8"/>
    </row>
    <row r="6414" spans="17:17" x14ac:dyDescent="0.25">
      <c r="Q6414" s="8"/>
    </row>
    <row r="6415" spans="17:17" x14ac:dyDescent="0.25">
      <c r="Q6415" s="8"/>
    </row>
    <row r="6416" spans="17:17" x14ac:dyDescent="0.25">
      <c r="Q6416" s="8"/>
    </row>
    <row r="6417" spans="17:17" x14ac:dyDescent="0.25">
      <c r="Q6417" s="8"/>
    </row>
    <row r="6418" spans="17:17" x14ac:dyDescent="0.25">
      <c r="Q6418" s="8"/>
    </row>
    <row r="6419" spans="17:17" x14ac:dyDescent="0.25">
      <c r="Q6419" s="8"/>
    </row>
    <row r="6420" spans="17:17" x14ac:dyDescent="0.25">
      <c r="Q6420" s="8"/>
    </row>
    <row r="6421" spans="17:17" x14ac:dyDescent="0.25">
      <c r="Q6421" s="8"/>
    </row>
    <row r="6422" spans="17:17" x14ac:dyDescent="0.25">
      <c r="Q6422" s="8"/>
    </row>
    <row r="6423" spans="17:17" x14ac:dyDescent="0.25">
      <c r="Q6423" s="8"/>
    </row>
    <row r="6424" spans="17:17" x14ac:dyDescent="0.25">
      <c r="Q6424" s="8"/>
    </row>
    <row r="6425" spans="17:17" x14ac:dyDescent="0.25">
      <c r="Q6425" s="8"/>
    </row>
    <row r="6426" spans="17:17" x14ac:dyDescent="0.25">
      <c r="Q6426" s="8"/>
    </row>
    <row r="6427" spans="17:17" x14ac:dyDescent="0.25">
      <c r="Q6427" s="8"/>
    </row>
    <row r="6428" spans="17:17" x14ac:dyDescent="0.25">
      <c r="Q6428" s="8"/>
    </row>
    <row r="6429" spans="17:17" x14ac:dyDescent="0.25">
      <c r="Q6429" s="8"/>
    </row>
    <row r="6430" spans="17:17" x14ac:dyDescent="0.25">
      <c r="Q6430" s="8"/>
    </row>
    <row r="6431" spans="17:17" x14ac:dyDescent="0.25">
      <c r="Q6431" s="8"/>
    </row>
    <row r="6432" spans="17:17" x14ac:dyDescent="0.25">
      <c r="Q6432" s="8"/>
    </row>
    <row r="6433" spans="17:17" x14ac:dyDescent="0.25">
      <c r="Q6433" s="8"/>
    </row>
    <row r="6434" spans="17:17" x14ac:dyDescent="0.25">
      <c r="Q6434" s="8"/>
    </row>
    <row r="6435" spans="17:17" x14ac:dyDescent="0.25">
      <c r="Q6435" s="8"/>
    </row>
    <row r="6436" spans="17:17" x14ac:dyDescent="0.25">
      <c r="Q6436" s="8"/>
    </row>
    <row r="6437" spans="17:17" x14ac:dyDescent="0.25">
      <c r="Q6437" s="8"/>
    </row>
    <row r="6438" spans="17:17" x14ac:dyDescent="0.25">
      <c r="Q6438" s="8"/>
    </row>
    <row r="6439" spans="17:17" x14ac:dyDescent="0.25">
      <c r="Q6439" s="8"/>
    </row>
    <row r="6440" spans="17:17" x14ac:dyDescent="0.25">
      <c r="Q6440" s="8"/>
    </row>
    <row r="6441" spans="17:17" x14ac:dyDescent="0.25">
      <c r="Q6441" s="8"/>
    </row>
    <row r="6442" spans="17:17" x14ac:dyDescent="0.25">
      <c r="Q6442" s="8"/>
    </row>
    <row r="6443" spans="17:17" x14ac:dyDescent="0.25">
      <c r="Q6443" s="8"/>
    </row>
    <row r="6444" spans="17:17" x14ac:dyDescent="0.25">
      <c r="Q6444" s="8"/>
    </row>
    <row r="6445" spans="17:17" x14ac:dyDescent="0.25">
      <c r="Q6445" s="8"/>
    </row>
    <row r="6446" spans="17:17" x14ac:dyDescent="0.25">
      <c r="Q6446" s="8"/>
    </row>
    <row r="6447" spans="17:17" x14ac:dyDescent="0.25">
      <c r="Q6447" s="8"/>
    </row>
    <row r="6448" spans="17:17" x14ac:dyDescent="0.25">
      <c r="Q6448" s="8"/>
    </row>
    <row r="6449" spans="17:17" x14ac:dyDescent="0.25">
      <c r="Q6449" s="8"/>
    </row>
    <row r="6450" spans="17:17" x14ac:dyDescent="0.25">
      <c r="Q6450" s="8"/>
    </row>
    <row r="6451" spans="17:17" x14ac:dyDescent="0.25">
      <c r="Q6451" s="8"/>
    </row>
    <row r="6452" spans="17:17" x14ac:dyDescent="0.25">
      <c r="Q6452" s="8"/>
    </row>
    <row r="6453" spans="17:17" x14ac:dyDescent="0.25">
      <c r="Q6453" s="8"/>
    </row>
    <row r="6454" spans="17:17" x14ac:dyDescent="0.25">
      <c r="Q6454" s="8"/>
    </row>
    <row r="6455" spans="17:17" x14ac:dyDescent="0.25">
      <c r="Q6455" s="8"/>
    </row>
    <row r="6456" spans="17:17" x14ac:dyDescent="0.25">
      <c r="Q6456" s="8"/>
    </row>
    <row r="6457" spans="17:17" x14ac:dyDescent="0.25">
      <c r="Q6457" s="8"/>
    </row>
    <row r="6458" spans="17:17" x14ac:dyDescent="0.25">
      <c r="Q6458" s="8"/>
    </row>
    <row r="6459" spans="17:17" x14ac:dyDescent="0.25">
      <c r="Q6459" s="8"/>
    </row>
    <row r="6460" spans="17:17" x14ac:dyDescent="0.25">
      <c r="Q6460" s="8"/>
    </row>
    <row r="6461" spans="17:17" x14ac:dyDescent="0.25">
      <c r="Q6461" s="8"/>
    </row>
    <row r="6462" spans="17:17" x14ac:dyDescent="0.25">
      <c r="Q6462" s="8"/>
    </row>
    <row r="6463" spans="17:17" x14ac:dyDescent="0.25">
      <c r="Q6463" s="8"/>
    </row>
    <row r="6464" spans="17:17" x14ac:dyDescent="0.25">
      <c r="Q6464" s="8"/>
    </row>
    <row r="6465" spans="17:17" x14ac:dyDescent="0.25">
      <c r="Q6465" s="8"/>
    </row>
    <row r="6466" spans="17:17" x14ac:dyDescent="0.25">
      <c r="Q6466" s="8"/>
    </row>
    <row r="6467" spans="17:17" x14ac:dyDescent="0.25">
      <c r="Q6467" s="8"/>
    </row>
    <row r="6468" spans="17:17" x14ac:dyDescent="0.25">
      <c r="Q6468" s="8"/>
    </row>
    <row r="6469" spans="17:17" x14ac:dyDescent="0.25">
      <c r="Q6469" s="8"/>
    </row>
    <row r="6470" spans="17:17" x14ac:dyDescent="0.25">
      <c r="Q6470" s="8"/>
    </row>
    <row r="6471" spans="17:17" x14ac:dyDescent="0.25">
      <c r="Q6471" s="8"/>
    </row>
    <row r="6472" spans="17:17" x14ac:dyDescent="0.25">
      <c r="Q6472" s="8"/>
    </row>
    <row r="6473" spans="17:17" x14ac:dyDescent="0.25">
      <c r="Q6473" s="8"/>
    </row>
    <row r="6474" spans="17:17" x14ac:dyDescent="0.25">
      <c r="Q6474" s="8"/>
    </row>
    <row r="6475" spans="17:17" x14ac:dyDescent="0.25">
      <c r="Q6475" s="8"/>
    </row>
    <row r="6476" spans="17:17" x14ac:dyDescent="0.25">
      <c r="Q6476" s="8"/>
    </row>
    <row r="6477" spans="17:17" x14ac:dyDescent="0.25">
      <c r="Q6477" s="8"/>
    </row>
    <row r="6478" spans="17:17" x14ac:dyDescent="0.25">
      <c r="Q6478" s="8"/>
    </row>
    <row r="6479" spans="17:17" x14ac:dyDescent="0.25">
      <c r="Q6479" s="8"/>
    </row>
    <row r="6480" spans="17:17" x14ac:dyDescent="0.25">
      <c r="Q6480" s="8"/>
    </row>
    <row r="6481" spans="17:17" x14ac:dyDescent="0.25">
      <c r="Q6481" s="8"/>
    </row>
    <row r="6482" spans="17:17" x14ac:dyDescent="0.25">
      <c r="Q6482" s="8"/>
    </row>
    <row r="6483" spans="17:17" x14ac:dyDescent="0.25">
      <c r="Q6483" s="8"/>
    </row>
    <row r="6484" spans="17:17" x14ac:dyDescent="0.25">
      <c r="Q6484" s="8"/>
    </row>
    <row r="6485" spans="17:17" x14ac:dyDescent="0.25">
      <c r="Q6485" s="8"/>
    </row>
    <row r="6486" spans="17:17" x14ac:dyDescent="0.25">
      <c r="Q6486" s="8"/>
    </row>
    <row r="6487" spans="17:17" x14ac:dyDescent="0.25">
      <c r="Q6487" s="8"/>
    </row>
    <row r="6488" spans="17:17" x14ac:dyDescent="0.25">
      <c r="Q6488" s="8"/>
    </row>
    <row r="6489" spans="17:17" x14ac:dyDescent="0.25">
      <c r="Q6489" s="8"/>
    </row>
    <row r="6490" spans="17:17" x14ac:dyDescent="0.25">
      <c r="Q6490" s="8"/>
    </row>
    <row r="6491" spans="17:17" x14ac:dyDescent="0.25">
      <c r="Q6491" s="8"/>
    </row>
    <row r="6492" spans="17:17" x14ac:dyDescent="0.25">
      <c r="Q6492" s="8"/>
    </row>
    <row r="6493" spans="17:17" x14ac:dyDescent="0.25">
      <c r="Q6493" s="8"/>
    </row>
    <row r="6494" spans="17:17" x14ac:dyDescent="0.25">
      <c r="Q6494" s="8"/>
    </row>
    <row r="6495" spans="17:17" x14ac:dyDescent="0.25">
      <c r="Q6495" s="8"/>
    </row>
    <row r="6496" spans="17:17" x14ac:dyDescent="0.25">
      <c r="Q6496" s="8"/>
    </row>
    <row r="6497" spans="17:17" x14ac:dyDescent="0.25">
      <c r="Q6497" s="8"/>
    </row>
    <row r="6498" spans="17:17" x14ac:dyDescent="0.25">
      <c r="Q6498" s="8"/>
    </row>
    <row r="6499" spans="17:17" x14ac:dyDescent="0.25">
      <c r="Q6499" s="8"/>
    </row>
    <row r="6500" spans="17:17" x14ac:dyDescent="0.25">
      <c r="Q6500" s="8"/>
    </row>
    <row r="6501" spans="17:17" x14ac:dyDescent="0.25">
      <c r="Q6501" s="8"/>
    </row>
    <row r="6502" spans="17:17" x14ac:dyDescent="0.25">
      <c r="Q6502" s="8"/>
    </row>
    <row r="6503" spans="17:17" x14ac:dyDescent="0.25">
      <c r="Q6503" s="8"/>
    </row>
    <row r="6504" spans="17:17" x14ac:dyDescent="0.25">
      <c r="Q6504" s="8"/>
    </row>
    <row r="6505" spans="17:17" x14ac:dyDescent="0.25">
      <c r="Q6505" s="8"/>
    </row>
    <row r="6506" spans="17:17" x14ac:dyDescent="0.25">
      <c r="Q6506" s="8"/>
    </row>
    <row r="6507" spans="17:17" x14ac:dyDescent="0.25">
      <c r="Q6507" s="8"/>
    </row>
    <row r="6508" spans="17:17" x14ac:dyDescent="0.25">
      <c r="Q6508" s="8"/>
    </row>
    <row r="6509" spans="17:17" x14ac:dyDescent="0.25">
      <c r="Q6509" s="8"/>
    </row>
    <row r="6510" spans="17:17" x14ac:dyDescent="0.25">
      <c r="Q6510" s="8"/>
    </row>
    <row r="6511" spans="17:17" x14ac:dyDescent="0.25">
      <c r="Q6511" s="8"/>
    </row>
    <row r="6512" spans="17:17" x14ac:dyDescent="0.25">
      <c r="Q6512" s="8"/>
    </row>
    <row r="6513" spans="17:17" x14ac:dyDescent="0.25">
      <c r="Q6513" s="8"/>
    </row>
    <row r="6514" spans="17:17" x14ac:dyDescent="0.25">
      <c r="Q6514" s="8"/>
    </row>
    <row r="6515" spans="17:17" x14ac:dyDescent="0.25">
      <c r="Q6515" s="8"/>
    </row>
    <row r="6516" spans="17:17" x14ac:dyDescent="0.25">
      <c r="Q6516" s="8"/>
    </row>
    <row r="6517" spans="17:17" x14ac:dyDescent="0.25">
      <c r="Q6517" s="8"/>
    </row>
    <row r="6518" spans="17:17" x14ac:dyDescent="0.25">
      <c r="Q6518" s="8"/>
    </row>
    <row r="6519" spans="17:17" x14ac:dyDescent="0.25">
      <c r="Q6519" s="8"/>
    </row>
    <row r="6520" spans="17:17" x14ac:dyDescent="0.25">
      <c r="Q6520" s="8"/>
    </row>
    <row r="6521" spans="17:17" x14ac:dyDescent="0.25">
      <c r="Q6521" s="8"/>
    </row>
    <row r="6522" spans="17:17" x14ac:dyDescent="0.25">
      <c r="Q6522" s="8"/>
    </row>
    <row r="6523" spans="17:17" x14ac:dyDescent="0.25">
      <c r="Q6523" s="8"/>
    </row>
    <row r="6524" spans="17:17" x14ac:dyDescent="0.25">
      <c r="Q6524" s="8"/>
    </row>
    <row r="6525" spans="17:17" x14ac:dyDescent="0.25">
      <c r="Q6525" s="8"/>
    </row>
    <row r="6526" spans="17:17" x14ac:dyDescent="0.25">
      <c r="Q6526" s="8"/>
    </row>
    <row r="6527" spans="17:17" x14ac:dyDescent="0.25">
      <c r="Q6527" s="8"/>
    </row>
    <row r="6528" spans="17:17" x14ac:dyDescent="0.25">
      <c r="Q6528" s="8"/>
    </row>
    <row r="6529" spans="17:17" x14ac:dyDescent="0.25">
      <c r="Q6529" s="8"/>
    </row>
    <row r="6530" spans="17:17" x14ac:dyDescent="0.25">
      <c r="Q6530" s="8"/>
    </row>
    <row r="6531" spans="17:17" x14ac:dyDescent="0.25">
      <c r="Q6531" s="8"/>
    </row>
    <row r="6532" spans="17:17" x14ac:dyDescent="0.25">
      <c r="Q6532" s="8"/>
    </row>
    <row r="6533" spans="17:17" x14ac:dyDescent="0.25">
      <c r="Q6533" s="8"/>
    </row>
    <row r="6534" spans="17:17" x14ac:dyDescent="0.25">
      <c r="Q6534" s="8"/>
    </row>
    <row r="6535" spans="17:17" x14ac:dyDescent="0.25">
      <c r="Q6535" s="8"/>
    </row>
    <row r="6536" spans="17:17" x14ac:dyDescent="0.25">
      <c r="Q6536" s="8"/>
    </row>
    <row r="6537" spans="17:17" x14ac:dyDescent="0.25">
      <c r="Q6537" s="8"/>
    </row>
    <row r="6538" spans="17:17" x14ac:dyDescent="0.25">
      <c r="Q6538" s="8"/>
    </row>
    <row r="6539" spans="17:17" x14ac:dyDescent="0.25">
      <c r="Q6539" s="8"/>
    </row>
    <row r="6540" spans="17:17" x14ac:dyDescent="0.25">
      <c r="Q6540" s="8"/>
    </row>
    <row r="6541" spans="17:17" x14ac:dyDescent="0.25">
      <c r="Q6541" s="8"/>
    </row>
    <row r="6542" spans="17:17" x14ac:dyDescent="0.25">
      <c r="Q6542" s="8"/>
    </row>
    <row r="6543" spans="17:17" x14ac:dyDescent="0.25">
      <c r="Q6543" s="8"/>
    </row>
    <row r="6544" spans="17:17" x14ac:dyDescent="0.25">
      <c r="Q6544" s="8"/>
    </row>
    <row r="6545" spans="17:17" x14ac:dyDescent="0.25">
      <c r="Q6545" s="8"/>
    </row>
    <row r="6546" spans="17:17" x14ac:dyDescent="0.25">
      <c r="Q6546" s="8"/>
    </row>
    <row r="6547" spans="17:17" x14ac:dyDescent="0.25">
      <c r="Q6547" s="8"/>
    </row>
    <row r="6548" spans="17:17" x14ac:dyDescent="0.25">
      <c r="Q6548" s="8"/>
    </row>
    <row r="6549" spans="17:17" x14ac:dyDescent="0.25">
      <c r="Q6549" s="8"/>
    </row>
    <row r="6550" spans="17:17" x14ac:dyDescent="0.25">
      <c r="Q6550" s="8"/>
    </row>
    <row r="6551" spans="17:17" x14ac:dyDescent="0.25">
      <c r="Q6551" s="8"/>
    </row>
    <row r="6552" spans="17:17" x14ac:dyDescent="0.25">
      <c r="Q6552" s="8"/>
    </row>
    <row r="6553" spans="17:17" x14ac:dyDescent="0.25">
      <c r="Q6553" s="8"/>
    </row>
    <row r="6554" spans="17:17" x14ac:dyDescent="0.25">
      <c r="Q6554" s="8"/>
    </row>
    <row r="6555" spans="17:17" x14ac:dyDescent="0.25">
      <c r="Q6555" s="8"/>
    </row>
    <row r="6556" spans="17:17" x14ac:dyDescent="0.25">
      <c r="Q6556" s="8"/>
    </row>
    <row r="6557" spans="17:17" x14ac:dyDescent="0.25">
      <c r="Q6557" s="8"/>
    </row>
    <row r="6558" spans="17:17" x14ac:dyDescent="0.25">
      <c r="Q6558" s="8"/>
    </row>
    <row r="6559" spans="17:17" x14ac:dyDescent="0.25">
      <c r="Q6559" s="8"/>
    </row>
    <row r="6560" spans="17:17" x14ac:dyDescent="0.25">
      <c r="Q6560" s="8"/>
    </row>
    <row r="6561" spans="17:17" x14ac:dyDescent="0.25">
      <c r="Q6561" s="8"/>
    </row>
    <row r="6562" spans="17:17" x14ac:dyDescent="0.25">
      <c r="Q6562" s="8"/>
    </row>
    <row r="6563" spans="17:17" x14ac:dyDescent="0.25">
      <c r="Q6563" s="8"/>
    </row>
    <row r="6564" spans="17:17" x14ac:dyDescent="0.25">
      <c r="Q6564" s="8"/>
    </row>
    <row r="6565" spans="17:17" x14ac:dyDescent="0.25">
      <c r="Q6565" s="8"/>
    </row>
    <row r="6566" spans="17:17" x14ac:dyDescent="0.25">
      <c r="Q6566" s="8"/>
    </row>
    <row r="6567" spans="17:17" x14ac:dyDescent="0.25">
      <c r="Q6567" s="8"/>
    </row>
    <row r="6568" spans="17:17" x14ac:dyDescent="0.25">
      <c r="Q6568" s="8"/>
    </row>
    <row r="6569" spans="17:17" x14ac:dyDescent="0.25">
      <c r="Q6569" s="8"/>
    </row>
    <row r="6570" spans="17:17" x14ac:dyDescent="0.25">
      <c r="Q6570" s="8"/>
    </row>
    <row r="6571" spans="17:17" x14ac:dyDescent="0.25">
      <c r="Q6571" s="8"/>
    </row>
    <row r="6572" spans="17:17" x14ac:dyDescent="0.25">
      <c r="Q6572" s="8"/>
    </row>
    <row r="6573" spans="17:17" x14ac:dyDescent="0.25">
      <c r="Q6573" s="8"/>
    </row>
    <row r="6574" spans="17:17" x14ac:dyDescent="0.25">
      <c r="Q6574" s="8"/>
    </row>
    <row r="6575" spans="17:17" x14ac:dyDescent="0.25">
      <c r="Q6575" s="8"/>
    </row>
    <row r="6576" spans="17:17" x14ac:dyDescent="0.25">
      <c r="Q6576" s="8"/>
    </row>
    <row r="6577" spans="17:17" x14ac:dyDescent="0.25">
      <c r="Q6577" s="8"/>
    </row>
    <row r="6578" spans="17:17" x14ac:dyDescent="0.25">
      <c r="Q6578" s="8"/>
    </row>
    <row r="6579" spans="17:17" x14ac:dyDescent="0.25">
      <c r="Q6579" s="8"/>
    </row>
    <row r="6580" spans="17:17" x14ac:dyDescent="0.25">
      <c r="Q6580" s="8"/>
    </row>
    <row r="6581" spans="17:17" x14ac:dyDescent="0.25">
      <c r="Q6581" s="8"/>
    </row>
    <row r="6582" spans="17:17" x14ac:dyDescent="0.25">
      <c r="Q6582" s="8"/>
    </row>
    <row r="6583" spans="17:17" x14ac:dyDescent="0.25">
      <c r="Q6583" s="8"/>
    </row>
    <row r="6584" spans="17:17" x14ac:dyDescent="0.25">
      <c r="Q6584" s="8"/>
    </row>
    <row r="6585" spans="17:17" x14ac:dyDescent="0.25">
      <c r="Q6585" s="8"/>
    </row>
    <row r="6586" spans="17:17" x14ac:dyDescent="0.25">
      <c r="Q6586" s="8"/>
    </row>
    <row r="6587" spans="17:17" x14ac:dyDescent="0.25">
      <c r="Q6587" s="8"/>
    </row>
    <row r="6588" spans="17:17" x14ac:dyDescent="0.25">
      <c r="Q6588" s="8"/>
    </row>
    <row r="6589" spans="17:17" x14ac:dyDescent="0.25">
      <c r="Q6589" s="8"/>
    </row>
    <row r="6590" spans="17:17" x14ac:dyDescent="0.25">
      <c r="Q6590" s="8"/>
    </row>
    <row r="6591" spans="17:17" x14ac:dyDescent="0.25">
      <c r="Q6591" s="8"/>
    </row>
    <row r="6592" spans="17:17" x14ac:dyDescent="0.25">
      <c r="Q6592" s="8"/>
    </row>
    <row r="6593" spans="17:17" x14ac:dyDescent="0.25">
      <c r="Q6593" s="8"/>
    </row>
    <row r="6594" spans="17:17" x14ac:dyDescent="0.25">
      <c r="Q6594" s="8"/>
    </row>
    <row r="6595" spans="17:17" x14ac:dyDescent="0.25">
      <c r="Q6595" s="8"/>
    </row>
    <row r="6596" spans="17:17" x14ac:dyDescent="0.25">
      <c r="Q6596" s="8"/>
    </row>
    <row r="6597" spans="17:17" x14ac:dyDescent="0.25">
      <c r="Q6597" s="8"/>
    </row>
    <row r="6598" spans="17:17" x14ac:dyDescent="0.25">
      <c r="Q6598" s="8"/>
    </row>
    <row r="6599" spans="17:17" x14ac:dyDescent="0.25">
      <c r="Q6599" s="8"/>
    </row>
    <row r="6600" spans="17:17" x14ac:dyDescent="0.25">
      <c r="Q6600" s="8"/>
    </row>
    <row r="6601" spans="17:17" x14ac:dyDescent="0.25">
      <c r="Q6601" s="8"/>
    </row>
    <row r="6602" spans="17:17" x14ac:dyDescent="0.25">
      <c r="Q6602" s="8"/>
    </row>
    <row r="6603" spans="17:17" x14ac:dyDescent="0.25">
      <c r="Q6603" s="8"/>
    </row>
    <row r="6604" spans="17:17" x14ac:dyDescent="0.25">
      <c r="Q6604" s="8"/>
    </row>
    <row r="6605" spans="17:17" x14ac:dyDescent="0.25">
      <c r="Q6605" s="8"/>
    </row>
    <row r="6606" spans="17:17" x14ac:dyDescent="0.25">
      <c r="Q6606" s="8"/>
    </row>
    <row r="6607" spans="17:17" x14ac:dyDescent="0.25">
      <c r="Q6607" s="8"/>
    </row>
    <row r="6608" spans="17:17" x14ac:dyDescent="0.25">
      <c r="Q6608" s="8"/>
    </row>
    <row r="6609" spans="17:17" x14ac:dyDescent="0.25">
      <c r="Q6609" s="8"/>
    </row>
    <row r="6610" spans="17:17" x14ac:dyDescent="0.25">
      <c r="Q6610" s="8"/>
    </row>
    <row r="6611" spans="17:17" x14ac:dyDescent="0.25">
      <c r="Q6611" s="8"/>
    </row>
    <row r="6612" spans="17:17" x14ac:dyDescent="0.25">
      <c r="Q6612" s="8"/>
    </row>
    <row r="6613" spans="17:17" x14ac:dyDescent="0.25">
      <c r="Q6613" s="8"/>
    </row>
    <row r="6614" spans="17:17" x14ac:dyDescent="0.25">
      <c r="Q6614" s="8"/>
    </row>
    <row r="6615" spans="17:17" x14ac:dyDescent="0.25">
      <c r="Q6615" s="8"/>
    </row>
    <row r="6616" spans="17:17" x14ac:dyDescent="0.25">
      <c r="Q6616" s="8"/>
    </row>
    <row r="6617" spans="17:17" x14ac:dyDescent="0.25">
      <c r="Q6617" s="8"/>
    </row>
    <row r="6618" spans="17:17" x14ac:dyDescent="0.25">
      <c r="Q6618" s="8"/>
    </row>
    <row r="6619" spans="17:17" x14ac:dyDescent="0.25">
      <c r="Q6619" s="8"/>
    </row>
    <row r="6620" spans="17:17" x14ac:dyDescent="0.25">
      <c r="Q6620" s="8"/>
    </row>
    <row r="6621" spans="17:17" x14ac:dyDescent="0.25">
      <c r="Q6621" s="8"/>
    </row>
    <row r="6622" spans="17:17" x14ac:dyDescent="0.25">
      <c r="Q6622" s="8"/>
    </row>
    <row r="6623" spans="17:17" x14ac:dyDescent="0.25">
      <c r="Q6623" s="8"/>
    </row>
    <row r="6624" spans="17:17" x14ac:dyDescent="0.25">
      <c r="Q6624" s="8"/>
    </row>
    <row r="6625" spans="17:17" x14ac:dyDescent="0.25">
      <c r="Q6625" s="8"/>
    </row>
    <row r="6626" spans="17:17" x14ac:dyDescent="0.25">
      <c r="Q6626" s="8"/>
    </row>
    <row r="6627" spans="17:17" x14ac:dyDescent="0.25">
      <c r="Q6627" s="8"/>
    </row>
    <row r="6628" spans="17:17" x14ac:dyDescent="0.25">
      <c r="Q6628" s="8"/>
    </row>
    <row r="6629" spans="17:17" x14ac:dyDescent="0.25">
      <c r="Q6629" s="8"/>
    </row>
    <row r="6630" spans="17:17" x14ac:dyDescent="0.25">
      <c r="Q6630" s="8"/>
    </row>
    <row r="6631" spans="17:17" x14ac:dyDescent="0.25">
      <c r="Q6631" s="8"/>
    </row>
    <row r="6632" spans="17:17" x14ac:dyDescent="0.25">
      <c r="Q6632" s="8"/>
    </row>
    <row r="6633" spans="17:17" x14ac:dyDescent="0.25">
      <c r="Q6633" s="8"/>
    </row>
    <row r="6634" spans="17:17" x14ac:dyDescent="0.25">
      <c r="Q6634" s="8"/>
    </row>
    <row r="6635" spans="17:17" x14ac:dyDescent="0.25">
      <c r="Q6635" s="8"/>
    </row>
    <row r="6636" spans="17:17" x14ac:dyDescent="0.25">
      <c r="Q6636" s="8"/>
    </row>
    <row r="6637" spans="17:17" x14ac:dyDescent="0.25">
      <c r="Q6637" s="8"/>
    </row>
    <row r="6638" spans="17:17" x14ac:dyDescent="0.25">
      <c r="Q6638" s="8"/>
    </row>
    <row r="6639" spans="17:17" x14ac:dyDescent="0.25">
      <c r="Q6639" s="8"/>
    </row>
    <row r="6640" spans="17:17" x14ac:dyDescent="0.25">
      <c r="Q6640" s="8"/>
    </row>
    <row r="6641" spans="17:17" x14ac:dyDescent="0.25">
      <c r="Q6641" s="8"/>
    </row>
    <row r="6642" spans="17:17" x14ac:dyDescent="0.25">
      <c r="Q6642" s="8"/>
    </row>
    <row r="6643" spans="17:17" x14ac:dyDescent="0.25">
      <c r="Q6643" s="8"/>
    </row>
    <row r="6644" spans="17:17" x14ac:dyDescent="0.25">
      <c r="Q6644" s="8"/>
    </row>
    <row r="6645" spans="17:17" x14ac:dyDescent="0.25">
      <c r="Q6645" s="8"/>
    </row>
    <row r="6646" spans="17:17" x14ac:dyDescent="0.25">
      <c r="Q6646" s="8"/>
    </row>
    <row r="6647" spans="17:17" x14ac:dyDescent="0.25">
      <c r="Q6647" s="8"/>
    </row>
    <row r="6648" spans="17:17" x14ac:dyDescent="0.25">
      <c r="Q6648" s="8"/>
    </row>
    <row r="6649" spans="17:17" x14ac:dyDescent="0.25">
      <c r="Q6649" s="8"/>
    </row>
    <row r="6650" spans="17:17" x14ac:dyDescent="0.25">
      <c r="Q6650" s="8"/>
    </row>
    <row r="6651" spans="17:17" x14ac:dyDescent="0.25">
      <c r="Q6651" s="8"/>
    </row>
    <row r="6652" spans="17:17" x14ac:dyDescent="0.25">
      <c r="Q6652" s="8"/>
    </row>
    <row r="6653" spans="17:17" x14ac:dyDescent="0.25">
      <c r="Q6653" s="8"/>
    </row>
    <row r="6654" spans="17:17" x14ac:dyDescent="0.25">
      <c r="Q6654" s="8"/>
    </row>
    <row r="6655" spans="17:17" x14ac:dyDescent="0.25">
      <c r="Q6655" s="8"/>
    </row>
    <row r="6656" spans="17:17" x14ac:dyDescent="0.25">
      <c r="Q6656" s="8"/>
    </row>
    <row r="6657" spans="17:17" x14ac:dyDescent="0.25">
      <c r="Q6657" s="8"/>
    </row>
    <row r="6658" spans="17:17" x14ac:dyDescent="0.25">
      <c r="Q6658" s="8"/>
    </row>
    <row r="6659" spans="17:17" x14ac:dyDescent="0.25">
      <c r="Q6659" s="8"/>
    </row>
    <row r="6660" spans="17:17" x14ac:dyDescent="0.25">
      <c r="Q6660" s="8"/>
    </row>
    <row r="6661" spans="17:17" x14ac:dyDescent="0.25">
      <c r="Q6661" s="8"/>
    </row>
    <row r="6662" spans="17:17" x14ac:dyDescent="0.25">
      <c r="Q6662" s="8"/>
    </row>
    <row r="6663" spans="17:17" x14ac:dyDescent="0.25">
      <c r="Q6663" s="8"/>
    </row>
    <row r="6664" spans="17:17" x14ac:dyDescent="0.25">
      <c r="Q6664" s="8"/>
    </row>
    <row r="6665" spans="17:17" x14ac:dyDescent="0.25">
      <c r="Q6665" s="8"/>
    </row>
    <row r="6666" spans="17:17" x14ac:dyDescent="0.25">
      <c r="Q6666" s="8"/>
    </row>
    <row r="6667" spans="17:17" x14ac:dyDescent="0.25">
      <c r="Q6667" s="8"/>
    </row>
    <row r="6668" spans="17:17" x14ac:dyDescent="0.25">
      <c r="Q6668" s="8"/>
    </row>
    <row r="6669" spans="17:17" x14ac:dyDescent="0.25">
      <c r="Q6669" s="8"/>
    </row>
    <row r="6670" spans="17:17" x14ac:dyDescent="0.25">
      <c r="Q6670" s="8"/>
    </row>
    <row r="6671" spans="17:17" x14ac:dyDescent="0.25">
      <c r="Q6671" s="8"/>
    </row>
    <row r="6672" spans="17:17" x14ac:dyDescent="0.25">
      <c r="Q6672" s="8"/>
    </row>
    <row r="6673" spans="17:17" x14ac:dyDescent="0.25">
      <c r="Q6673" s="8"/>
    </row>
    <row r="6674" spans="17:17" x14ac:dyDescent="0.25">
      <c r="Q6674" s="8"/>
    </row>
    <row r="6675" spans="17:17" x14ac:dyDescent="0.25">
      <c r="Q6675" s="8"/>
    </row>
    <row r="6676" spans="17:17" x14ac:dyDescent="0.25">
      <c r="Q6676" s="8"/>
    </row>
    <row r="6677" spans="17:17" x14ac:dyDescent="0.25">
      <c r="Q6677" s="8"/>
    </row>
    <row r="6678" spans="17:17" x14ac:dyDescent="0.25">
      <c r="Q6678" s="8"/>
    </row>
    <row r="6679" spans="17:17" x14ac:dyDescent="0.25">
      <c r="Q6679" s="8"/>
    </row>
    <row r="6680" spans="17:17" x14ac:dyDescent="0.25">
      <c r="Q6680" s="8"/>
    </row>
    <row r="6681" spans="17:17" x14ac:dyDescent="0.25">
      <c r="Q6681" s="8"/>
    </row>
    <row r="6682" spans="17:17" x14ac:dyDescent="0.25">
      <c r="Q6682" s="8"/>
    </row>
    <row r="6683" spans="17:17" x14ac:dyDescent="0.25">
      <c r="Q6683" s="8"/>
    </row>
    <row r="6684" spans="17:17" x14ac:dyDescent="0.25">
      <c r="Q6684" s="8"/>
    </row>
    <row r="6685" spans="17:17" x14ac:dyDescent="0.25">
      <c r="Q6685" s="8"/>
    </row>
    <row r="6686" spans="17:17" x14ac:dyDescent="0.25">
      <c r="Q6686" s="8"/>
    </row>
    <row r="6687" spans="17:17" x14ac:dyDescent="0.25">
      <c r="Q6687" s="8"/>
    </row>
    <row r="6688" spans="17:17" x14ac:dyDescent="0.25">
      <c r="Q6688" s="8"/>
    </row>
    <row r="6689" spans="17:17" x14ac:dyDescent="0.25">
      <c r="Q6689" s="8"/>
    </row>
    <row r="6690" spans="17:17" x14ac:dyDescent="0.25">
      <c r="Q6690" s="8"/>
    </row>
    <row r="6691" spans="17:17" x14ac:dyDescent="0.25">
      <c r="Q6691" s="8"/>
    </row>
    <row r="6692" spans="17:17" x14ac:dyDescent="0.25">
      <c r="Q6692" s="8"/>
    </row>
    <row r="6693" spans="17:17" x14ac:dyDescent="0.25">
      <c r="Q6693" s="8"/>
    </row>
    <row r="6694" spans="17:17" x14ac:dyDescent="0.25">
      <c r="Q6694" s="8"/>
    </row>
    <row r="6695" spans="17:17" x14ac:dyDescent="0.25">
      <c r="Q6695" s="8"/>
    </row>
    <row r="6696" spans="17:17" x14ac:dyDescent="0.25">
      <c r="Q6696" s="8"/>
    </row>
    <row r="6697" spans="17:17" x14ac:dyDescent="0.25">
      <c r="Q6697" s="8"/>
    </row>
    <row r="6698" spans="17:17" x14ac:dyDescent="0.25">
      <c r="Q6698" s="8"/>
    </row>
    <row r="6699" spans="17:17" x14ac:dyDescent="0.25">
      <c r="Q6699" s="8"/>
    </row>
    <row r="6700" spans="17:17" x14ac:dyDescent="0.25">
      <c r="Q6700" s="8"/>
    </row>
    <row r="6701" spans="17:17" x14ac:dyDescent="0.25">
      <c r="Q6701" s="8"/>
    </row>
    <row r="6702" spans="17:17" x14ac:dyDescent="0.25">
      <c r="Q6702" s="8"/>
    </row>
    <row r="6703" spans="17:17" x14ac:dyDescent="0.25">
      <c r="Q6703" s="8"/>
    </row>
    <row r="6704" spans="17:17" x14ac:dyDescent="0.25">
      <c r="Q6704" s="8"/>
    </row>
    <row r="6705" spans="17:17" x14ac:dyDescent="0.25">
      <c r="Q6705" s="8"/>
    </row>
    <row r="6706" spans="17:17" x14ac:dyDescent="0.25">
      <c r="Q6706" s="8"/>
    </row>
    <row r="6707" spans="17:17" x14ac:dyDescent="0.25">
      <c r="Q6707" s="8"/>
    </row>
    <row r="6708" spans="17:17" x14ac:dyDescent="0.25">
      <c r="Q6708" s="8"/>
    </row>
    <row r="6709" spans="17:17" x14ac:dyDescent="0.25">
      <c r="Q6709" s="8"/>
    </row>
    <row r="6710" spans="17:17" x14ac:dyDescent="0.25">
      <c r="Q6710" s="8"/>
    </row>
    <row r="6711" spans="17:17" x14ac:dyDescent="0.25">
      <c r="Q6711" s="8"/>
    </row>
    <row r="6712" spans="17:17" x14ac:dyDescent="0.25">
      <c r="Q6712" s="8"/>
    </row>
    <row r="6713" spans="17:17" x14ac:dyDescent="0.25">
      <c r="Q6713" s="8"/>
    </row>
    <row r="6714" spans="17:17" x14ac:dyDescent="0.25">
      <c r="Q6714" s="8"/>
    </row>
    <row r="6715" spans="17:17" x14ac:dyDescent="0.25">
      <c r="Q6715" s="8"/>
    </row>
    <row r="6716" spans="17:17" x14ac:dyDescent="0.25">
      <c r="Q6716" s="8"/>
    </row>
    <row r="6717" spans="17:17" x14ac:dyDescent="0.25">
      <c r="Q6717" s="8"/>
    </row>
    <row r="6718" spans="17:17" x14ac:dyDescent="0.25">
      <c r="Q6718" s="8"/>
    </row>
    <row r="6719" spans="17:17" x14ac:dyDescent="0.25">
      <c r="Q6719" s="8"/>
    </row>
    <row r="6720" spans="17:17" x14ac:dyDescent="0.25">
      <c r="Q6720" s="8"/>
    </row>
    <row r="6721" spans="17:17" x14ac:dyDescent="0.25">
      <c r="Q6721" s="8"/>
    </row>
    <row r="6722" spans="17:17" x14ac:dyDescent="0.25">
      <c r="Q6722" s="8"/>
    </row>
    <row r="6723" spans="17:17" x14ac:dyDescent="0.25">
      <c r="Q6723" s="8"/>
    </row>
    <row r="6724" spans="17:17" x14ac:dyDescent="0.25">
      <c r="Q6724" s="8"/>
    </row>
    <row r="6725" spans="17:17" x14ac:dyDescent="0.25">
      <c r="Q6725" s="8"/>
    </row>
    <row r="6726" spans="17:17" x14ac:dyDescent="0.25">
      <c r="Q6726" s="8"/>
    </row>
    <row r="6727" spans="17:17" x14ac:dyDescent="0.25">
      <c r="Q6727" s="8"/>
    </row>
    <row r="6728" spans="17:17" x14ac:dyDescent="0.25">
      <c r="Q6728" s="8"/>
    </row>
    <row r="6729" spans="17:17" x14ac:dyDescent="0.25">
      <c r="Q6729" s="8"/>
    </row>
    <row r="6730" spans="17:17" x14ac:dyDescent="0.25">
      <c r="Q6730" s="8"/>
    </row>
    <row r="6731" spans="17:17" x14ac:dyDescent="0.25">
      <c r="Q6731" s="8"/>
    </row>
    <row r="6732" spans="17:17" x14ac:dyDescent="0.25">
      <c r="Q6732" s="8"/>
    </row>
    <row r="6733" spans="17:17" x14ac:dyDescent="0.25">
      <c r="Q6733" s="8"/>
    </row>
    <row r="6734" spans="17:17" x14ac:dyDescent="0.25">
      <c r="Q6734" s="8"/>
    </row>
    <row r="6735" spans="17:17" x14ac:dyDescent="0.25">
      <c r="Q6735" s="8"/>
    </row>
    <row r="6736" spans="17:17" x14ac:dyDescent="0.25">
      <c r="Q6736" s="8"/>
    </row>
    <row r="6737" spans="17:17" x14ac:dyDescent="0.25">
      <c r="Q6737" s="8"/>
    </row>
    <row r="6738" spans="17:17" x14ac:dyDescent="0.25">
      <c r="Q6738" s="8"/>
    </row>
    <row r="6739" spans="17:17" x14ac:dyDescent="0.25">
      <c r="Q6739" s="8"/>
    </row>
    <row r="6740" spans="17:17" x14ac:dyDescent="0.25">
      <c r="Q6740" s="8"/>
    </row>
    <row r="6741" spans="17:17" x14ac:dyDescent="0.25">
      <c r="Q6741" s="8"/>
    </row>
    <row r="6742" spans="17:17" x14ac:dyDescent="0.25">
      <c r="Q6742" s="8"/>
    </row>
    <row r="6743" spans="17:17" x14ac:dyDescent="0.25">
      <c r="Q6743" s="8"/>
    </row>
    <row r="6744" spans="17:17" x14ac:dyDescent="0.25">
      <c r="Q6744" s="8"/>
    </row>
    <row r="6745" spans="17:17" x14ac:dyDescent="0.25">
      <c r="Q6745" s="8"/>
    </row>
    <row r="6746" spans="17:17" x14ac:dyDescent="0.25">
      <c r="Q6746" s="8"/>
    </row>
    <row r="6747" spans="17:17" x14ac:dyDescent="0.25">
      <c r="Q6747" s="8"/>
    </row>
    <row r="6748" spans="17:17" x14ac:dyDescent="0.25">
      <c r="Q6748" s="8"/>
    </row>
    <row r="6749" spans="17:17" x14ac:dyDescent="0.25">
      <c r="Q6749" s="8"/>
    </row>
    <row r="6750" spans="17:17" x14ac:dyDescent="0.25">
      <c r="Q6750" s="8"/>
    </row>
    <row r="6751" spans="17:17" x14ac:dyDescent="0.25">
      <c r="Q6751" s="8"/>
    </row>
    <row r="6752" spans="17:17" x14ac:dyDescent="0.25">
      <c r="Q6752" s="8"/>
    </row>
    <row r="6753" spans="17:17" x14ac:dyDescent="0.25">
      <c r="Q6753" s="8"/>
    </row>
    <row r="6754" spans="17:17" x14ac:dyDescent="0.25">
      <c r="Q6754" s="8"/>
    </row>
    <row r="6755" spans="17:17" x14ac:dyDescent="0.25">
      <c r="Q6755" s="8"/>
    </row>
    <row r="6756" spans="17:17" x14ac:dyDescent="0.25">
      <c r="Q6756" s="8"/>
    </row>
    <row r="6757" spans="17:17" x14ac:dyDescent="0.25">
      <c r="Q6757" s="8"/>
    </row>
    <row r="6758" spans="17:17" x14ac:dyDescent="0.25">
      <c r="Q6758" s="8"/>
    </row>
    <row r="6759" spans="17:17" x14ac:dyDescent="0.25">
      <c r="Q6759" s="8"/>
    </row>
    <row r="6760" spans="17:17" x14ac:dyDescent="0.25">
      <c r="Q6760" s="8"/>
    </row>
    <row r="6761" spans="17:17" x14ac:dyDescent="0.25">
      <c r="Q6761" s="8"/>
    </row>
    <row r="6762" spans="17:17" x14ac:dyDescent="0.25">
      <c r="Q6762" s="8"/>
    </row>
    <row r="6763" spans="17:17" x14ac:dyDescent="0.25">
      <c r="Q6763" s="8"/>
    </row>
    <row r="6764" spans="17:17" x14ac:dyDescent="0.25">
      <c r="Q6764" s="8"/>
    </row>
    <row r="6765" spans="17:17" x14ac:dyDescent="0.25">
      <c r="Q6765" s="8"/>
    </row>
    <row r="6766" spans="17:17" x14ac:dyDescent="0.25">
      <c r="Q6766" s="8"/>
    </row>
    <row r="6767" spans="17:17" x14ac:dyDescent="0.25">
      <c r="Q6767" s="8"/>
    </row>
    <row r="6768" spans="17:17" x14ac:dyDescent="0.25">
      <c r="Q6768" s="8"/>
    </row>
    <row r="6769" spans="17:17" x14ac:dyDescent="0.25">
      <c r="Q6769" s="8"/>
    </row>
    <row r="6770" spans="17:17" x14ac:dyDescent="0.25">
      <c r="Q6770" s="8"/>
    </row>
    <row r="6771" spans="17:17" x14ac:dyDescent="0.25">
      <c r="Q6771" s="8"/>
    </row>
    <row r="6772" spans="17:17" x14ac:dyDescent="0.25">
      <c r="Q6772" s="8"/>
    </row>
    <row r="6773" spans="17:17" x14ac:dyDescent="0.25">
      <c r="Q6773" s="8"/>
    </row>
    <row r="6774" spans="17:17" x14ac:dyDescent="0.25">
      <c r="Q6774" s="8"/>
    </row>
    <row r="6775" spans="17:17" x14ac:dyDescent="0.25">
      <c r="Q6775" s="8"/>
    </row>
    <row r="6776" spans="17:17" x14ac:dyDescent="0.25">
      <c r="Q6776" s="8"/>
    </row>
    <row r="6777" spans="17:17" x14ac:dyDescent="0.25">
      <c r="Q6777" s="8"/>
    </row>
    <row r="6778" spans="17:17" x14ac:dyDescent="0.25">
      <c r="Q6778" s="8"/>
    </row>
    <row r="6779" spans="17:17" x14ac:dyDescent="0.25">
      <c r="Q6779" s="8"/>
    </row>
    <row r="6780" spans="17:17" x14ac:dyDescent="0.25">
      <c r="Q6780" s="8"/>
    </row>
    <row r="6781" spans="17:17" x14ac:dyDescent="0.25">
      <c r="Q6781" s="8"/>
    </row>
    <row r="6782" spans="17:17" x14ac:dyDescent="0.25">
      <c r="Q6782" s="8"/>
    </row>
    <row r="6783" spans="17:17" x14ac:dyDescent="0.25">
      <c r="Q6783" s="8"/>
    </row>
    <row r="6784" spans="17:17" x14ac:dyDescent="0.25">
      <c r="Q6784" s="8"/>
    </row>
    <row r="6785" spans="17:17" x14ac:dyDescent="0.25">
      <c r="Q6785" s="8"/>
    </row>
    <row r="6786" spans="17:17" x14ac:dyDescent="0.25">
      <c r="Q6786" s="8"/>
    </row>
    <row r="6787" spans="17:17" x14ac:dyDescent="0.25">
      <c r="Q6787" s="8"/>
    </row>
    <row r="6788" spans="17:17" x14ac:dyDescent="0.25">
      <c r="Q6788" s="8"/>
    </row>
    <row r="6789" spans="17:17" x14ac:dyDescent="0.25">
      <c r="Q6789" s="8"/>
    </row>
    <row r="6790" spans="17:17" x14ac:dyDescent="0.25">
      <c r="Q6790" s="8"/>
    </row>
    <row r="6791" spans="17:17" x14ac:dyDescent="0.25">
      <c r="Q6791" s="8"/>
    </row>
    <row r="6792" spans="17:17" x14ac:dyDescent="0.25">
      <c r="Q6792" s="8"/>
    </row>
    <row r="6793" spans="17:17" x14ac:dyDescent="0.25">
      <c r="Q6793" s="8"/>
    </row>
    <row r="6794" spans="17:17" x14ac:dyDescent="0.25">
      <c r="Q6794" s="8"/>
    </row>
    <row r="6795" spans="17:17" x14ac:dyDescent="0.25">
      <c r="Q6795" s="8"/>
    </row>
    <row r="6796" spans="17:17" x14ac:dyDescent="0.25">
      <c r="Q6796" s="8"/>
    </row>
    <row r="6797" spans="17:17" x14ac:dyDescent="0.25">
      <c r="Q6797" s="8"/>
    </row>
    <row r="6798" spans="17:17" x14ac:dyDescent="0.25">
      <c r="Q6798" s="8"/>
    </row>
    <row r="6799" spans="17:17" x14ac:dyDescent="0.25">
      <c r="Q6799" s="8"/>
    </row>
    <row r="6800" spans="17:17" x14ac:dyDescent="0.25">
      <c r="Q6800" s="8"/>
    </row>
    <row r="6801" spans="17:17" x14ac:dyDescent="0.25">
      <c r="Q6801" s="8"/>
    </row>
    <row r="6802" spans="17:17" x14ac:dyDescent="0.25">
      <c r="Q6802" s="8"/>
    </row>
    <row r="6803" spans="17:17" x14ac:dyDescent="0.25">
      <c r="Q6803" s="8"/>
    </row>
    <row r="6804" spans="17:17" x14ac:dyDescent="0.25">
      <c r="Q6804" s="8"/>
    </row>
    <row r="6805" spans="17:17" x14ac:dyDescent="0.25">
      <c r="Q6805" s="8"/>
    </row>
    <row r="6806" spans="17:17" x14ac:dyDescent="0.25">
      <c r="Q6806" s="8"/>
    </row>
    <row r="6807" spans="17:17" x14ac:dyDescent="0.25">
      <c r="Q6807" s="8"/>
    </row>
    <row r="6808" spans="17:17" x14ac:dyDescent="0.25">
      <c r="Q6808" s="8"/>
    </row>
    <row r="6809" spans="17:17" x14ac:dyDescent="0.25">
      <c r="Q6809" s="8"/>
    </row>
    <row r="6810" spans="17:17" x14ac:dyDescent="0.25">
      <c r="Q6810" s="8"/>
    </row>
    <row r="6811" spans="17:17" x14ac:dyDescent="0.25">
      <c r="Q6811" s="8"/>
    </row>
    <row r="6812" spans="17:17" x14ac:dyDescent="0.25">
      <c r="Q6812" s="8"/>
    </row>
    <row r="6813" spans="17:17" x14ac:dyDescent="0.25">
      <c r="Q6813" s="8"/>
    </row>
    <row r="6814" spans="17:17" x14ac:dyDescent="0.25">
      <c r="Q6814" s="8"/>
    </row>
    <row r="6815" spans="17:17" x14ac:dyDescent="0.25">
      <c r="Q6815" s="8"/>
    </row>
    <row r="6816" spans="17:17" x14ac:dyDescent="0.25">
      <c r="Q6816" s="8"/>
    </row>
    <row r="6817" spans="17:17" x14ac:dyDescent="0.25">
      <c r="Q6817" s="8"/>
    </row>
    <row r="6818" spans="17:17" x14ac:dyDescent="0.25">
      <c r="Q6818" s="8"/>
    </row>
    <row r="6819" spans="17:17" x14ac:dyDescent="0.25">
      <c r="Q6819" s="8"/>
    </row>
    <row r="6820" spans="17:17" x14ac:dyDescent="0.25">
      <c r="Q6820" s="8"/>
    </row>
    <row r="6821" spans="17:17" x14ac:dyDescent="0.25">
      <c r="Q6821" s="8"/>
    </row>
    <row r="6822" spans="17:17" x14ac:dyDescent="0.25">
      <c r="Q6822" s="8"/>
    </row>
    <row r="6823" spans="17:17" x14ac:dyDescent="0.25">
      <c r="Q6823" s="8"/>
    </row>
    <row r="6824" spans="17:17" x14ac:dyDescent="0.25">
      <c r="Q6824" s="8"/>
    </row>
    <row r="6825" spans="17:17" x14ac:dyDescent="0.25">
      <c r="Q6825" s="8"/>
    </row>
    <row r="6826" spans="17:17" x14ac:dyDescent="0.25">
      <c r="Q6826" s="8"/>
    </row>
    <row r="6827" spans="17:17" x14ac:dyDescent="0.25">
      <c r="Q6827" s="8"/>
    </row>
    <row r="6828" spans="17:17" x14ac:dyDescent="0.25">
      <c r="Q6828" s="8"/>
    </row>
    <row r="6829" spans="17:17" x14ac:dyDescent="0.25">
      <c r="Q6829" s="8"/>
    </row>
    <row r="6830" spans="17:17" x14ac:dyDescent="0.25">
      <c r="Q6830" s="8"/>
    </row>
    <row r="6831" spans="17:17" x14ac:dyDescent="0.25">
      <c r="Q6831" s="8"/>
    </row>
    <row r="6832" spans="17:17" x14ac:dyDescent="0.25">
      <c r="Q6832" s="8"/>
    </row>
    <row r="6833" spans="17:17" x14ac:dyDescent="0.25">
      <c r="Q6833" s="8"/>
    </row>
    <row r="6834" spans="17:17" x14ac:dyDescent="0.25">
      <c r="Q6834" s="8"/>
    </row>
    <row r="6835" spans="17:17" x14ac:dyDescent="0.25">
      <c r="Q6835" s="8"/>
    </row>
    <row r="6836" spans="17:17" x14ac:dyDescent="0.25">
      <c r="Q6836" s="8"/>
    </row>
    <row r="6837" spans="17:17" x14ac:dyDescent="0.25">
      <c r="Q6837" s="8"/>
    </row>
    <row r="6838" spans="17:17" x14ac:dyDescent="0.25">
      <c r="Q6838" s="8"/>
    </row>
    <row r="6839" spans="17:17" x14ac:dyDescent="0.25">
      <c r="Q6839" s="8"/>
    </row>
    <row r="6840" spans="17:17" x14ac:dyDescent="0.25">
      <c r="Q6840" s="8"/>
    </row>
    <row r="6841" spans="17:17" x14ac:dyDescent="0.25">
      <c r="Q6841" s="8"/>
    </row>
    <row r="6842" spans="17:17" x14ac:dyDescent="0.25">
      <c r="Q6842" s="8"/>
    </row>
    <row r="6843" spans="17:17" x14ac:dyDescent="0.25">
      <c r="Q6843" s="8"/>
    </row>
    <row r="6844" spans="17:17" x14ac:dyDescent="0.25">
      <c r="Q6844" s="8"/>
    </row>
    <row r="6845" spans="17:17" x14ac:dyDescent="0.25">
      <c r="Q6845" s="8"/>
    </row>
    <row r="6846" spans="17:17" x14ac:dyDescent="0.25">
      <c r="Q6846" s="8"/>
    </row>
    <row r="6847" spans="17:17" x14ac:dyDescent="0.25">
      <c r="Q6847" s="8"/>
    </row>
    <row r="6848" spans="17:17" x14ac:dyDescent="0.25">
      <c r="Q6848" s="8"/>
    </row>
    <row r="6849" spans="17:17" x14ac:dyDescent="0.25">
      <c r="Q6849" s="8"/>
    </row>
    <row r="6850" spans="17:17" x14ac:dyDescent="0.25">
      <c r="Q6850" s="8"/>
    </row>
    <row r="6851" spans="17:17" x14ac:dyDescent="0.25">
      <c r="Q6851" s="8"/>
    </row>
    <row r="6852" spans="17:17" x14ac:dyDescent="0.25">
      <c r="Q6852" s="8"/>
    </row>
    <row r="6853" spans="17:17" x14ac:dyDescent="0.25">
      <c r="Q6853" s="8"/>
    </row>
    <row r="6854" spans="17:17" x14ac:dyDescent="0.25">
      <c r="Q6854" s="8"/>
    </row>
    <row r="6855" spans="17:17" x14ac:dyDescent="0.25">
      <c r="Q6855" s="8"/>
    </row>
    <row r="6856" spans="17:17" x14ac:dyDescent="0.25">
      <c r="Q6856" s="8"/>
    </row>
    <row r="6857" spans="17:17" x14ac:dyDescent="0.25">
      <c r="Q6857" s="8"/>
    </row>
    <row r="6858" spans="17:17" x14ac:dyDescent="0.25">
      <c r="Q6858" s="8"/>
    </row>
    <row r="6859" spans="17:17" x14ac:dyDescent="0.25">
      <c r="Q6859" s="8"/>
    </row>
    <row r="6860" spans="17:17" x14ac:dyDescent="0.25">
      <c r="Q6860" s="8"/>
    </row>
    <row r="6861" spans="17:17" x14ac:dyDescent="0.25">
      <c r="Q6861" s="8"/>
    </row>
    <row r="6862" spans="17:17" x14ac:dyDescent="0.25">
      <c r="Q6862" s="8"/>
    </row>
    <row r="6863" spans="17:17" x14ac:dyDescent="0.25">
      <c r="Q6863" s="8"/>
    </row>
    <row r="6864" spans="17:17" x14ac:dyDescent="0.25">
      <c r="Q6864" s="8"/>
    </row>
    <row r="6865" spans="17:17" x14ac:dyDescent="0.25">
      <c r="Q6865" s="8"/>
    </row>
    <row r="6866" spans="17:17" x14ac:dyDescent="0.25">
      <c r="Q6866" s="8"/>
    </row>
    <row r="6867" spans="17:17" x14ac:dyDescent="0.25">
      <c r="Q6867" s="8"/>
    </row>
    <row r="6868" spans="17:17" x14ac:dyDescent="0.25">
      <c r="Q6868" s="8"/>
    </row>
    <row r="6869" spans="17:17" x14ac:dyDescent="0.25">
      <c r="Q6869" s="8"/>
    </row>
    <row r="6870" spans="17:17" x14ac:dyDescent="0.25">
      <c r="Q6870" s="8"/>
    </row>
    <row r="6871" spans="17:17" x14ac:dyDescent="0.25">
      <c r="Q6871" s="8"/>
    </row>
    <row r="6872" spans="17:17" x14ac:dyDescent="0.25">
      <c r="Q6872" s="8"/>
    </row>
    <row r="6873" spans="17:17" x14ac:dyDescent="0.25">
      <c r="Q6873" s="8"/>
    </row>
    <row r="6874" spans="17:17" x14ac:dyDescent="0.25">
      <c r="Q6874" s="8"/>
    </row>
    <row r="6875" spans="17:17" x14ac:dyDescent="0.25">
      <c r="Q6875" s="8"/>
    </row>
    <row r="6876" spans="17:17" x14ac:dyDescent="0.25">
      <c r="Q6876" s="8"/>
    </row>
    <row r="6877" spans="17:17" x14ac:dyDescent="0.25">
      <c r="Q6877" s="8"/>
    </row>
    <row r="6878" spans="17:17" x14ac:dyDescent="0.25">
      <c r="Q6878" s="8"/>
    </row>
    <row r="6879" spans="17:17" x14ac:dyDescent="0.25">
      <c r="Q6879" s="8"/>
    </row>
    <row r="6880" spans="17:17" x14ac:dyDescent="0.25">
      <c r="Q6880" s="8"/>
    </row>
    <row r="6881" spans="17:17" x14ac:dyDescent="0.25">
      <c r="Q6881" s="8"/>
    </row>
    <row r="6882" spans="17:17" x14ac:dyDescent="0.25">
      <c r="Q6882" s="8"/>
    </row>
    <row r="6883" spans="17:17" x14ac:dyDescent="0.25">
      <c r="Q6883" s="8"/>
    </row>
    <row r="6884" spans="17:17" x14ac:dyDescent="0.25">
      <c r="Q6884" s="8"/>
    </row>
    <row r="6885" spans="17:17" x14ac:dyDescent="0.25">
      <c r="Q6885" s="8"/>
    </row>
    <row r="6886" spans="17:17" x14ac:dyDescent="0.25">
      <c r="Q6886" s="8"/>
    </row>
    <row r="6887" spans="17:17" x14ac:dyDescent="0.25">
      <c r="Q6887" s="8"/>
    </row>
    <row r="6888" spans="17:17" x14ac:dyDescent="0.25">
      <c r="Q6888" s="8"/>
    </row>
    <row r="6889" spans="17:17" x14ac:dyDescent="0.25">
      <c r="Q6889" s="8"/>
    </row>
    <row r="6890" spans="17:17" x14ac:dyDescent="0.25">
      <c r="Q6890" s="8"/>
    </row>
    <row r="6891" spans="17:17" x14ac:dyDescent="0.25">
      <c r="Q6891" s="8"/>
    </row>
    <row r="6892" spans="17:17" x14ac:dyDescent="0.25">
      <c r="Q6892" s="8"/>
    </row>
    <row r="6893" spans="17:17" x14ac:dyDescent="0.25">
      <c r="Q6893" s="8"/>
    </row>
    <row r="6894" spans="17:17" x14ac:dyDescent="0.25">
      <c r="Q6894" s="8"/>
    </row>
    <row r="6895" spans="17:17" x14ac:dyDescent="0.25">
      <c r="Q6895" s="8"/>
    </row>
    <row r="6896" spans="17:17" x14ac:dyDescent="0.25">
      <c r="Q6896" s="8"/>
    </row>
    <row r="6897" spans="17:17" x14ac:dyDescent="0.25">
      <c r="Q6897" s="8"/>
    </row>
    <row r="6898" spans="17:17" x14ac:dyDescent="0.25">
      <c r="Q6898" s="8"/>
    </row>
    <row r="6899" spans="17:17" x14ac:dyDescent="0.25">
      <c r="Q6899" s="8"/>
    </row>
    <row r="6900" spans="17:17" x14ac:dyDescent="0.25">
      <c r="Q6900" s="8"/>
    </row>
    <row r="6901" spans="17:17" x14ac:dyDescent="0.25">
      <c r="Q6901" s="8"/>
    </row>
    <row r="6902" spans="17:17" x14ac:dyDescent="0.25">
      <c r="Q6902" s="8"/>
    </row>
    <row r="6903" spans="17:17" x14ac:dyDescent="0.25">
      <c r="Q6903" s="8"/>
    </row>
    <row r="6904" spans="17:17" x14ac:dyDescent="0.25">
      <c r="Q6904" s="8"/>
    </row>
    <row r="6905" spans="17:17" x14ac:dyDescent="0.25">
      <c r="Q6905" s="8"/>
    </row>
    <row r="6906" spans="17:17" x14ac:dyDescent="0.25">
      <c r="Q6906" s="8"/>
    </row>
    <row r="6907" spans="17:17" x14ac:dyDescent="0.25">
      <c r="Q6907" s="8"/>
    </row>
    <row r="6908" spans="17:17" x14ac:dyDescent="0.25">
      <c r="Q6908" s="8"/>
    </row>
    <row r="6909" spans="17:17" x14ac:dyDescent="0.25">
      <c r="Q6909" s="8"/>
    </row>
    <row r="6910" spans="17:17" x14ac:dyDescent="0.25">
      <c r="Q6910" s="8"/>
    </row>
    <row r="6911" spans="17:17" x14ac:dyDescent="0.25">
      <c r="Q6911" s="8"/>
    </row>
    <row r="6912" spans="17:17" x14ac:dyDescent="0.25">
      <c r="Q6912" s="8"/>
    </row>
    <row r="6913" spans="17:17" x14ac:dyDescent="0.25">
      <c r="Q6913" s="8"/>
    </row>
    <row r="6914" spans="17:17" x14ac:dyDescent="0.25">
      <c r="Q6914" s="8"/>
    </row>
    <row r="6915" spans="17:17" x14ac:dyDescent="0.25">
      <c r="Q6915" s="8"/>
    </row>
    <row r="6916" spans="17:17" x14ac:dyDescent="0.25">
      <c r="Q6916" s="8"/>
    </row>
    <row r="6917" spans="17:17" x14ac:dyDescent="0.25">
      <c r="Q6917" s="8"/>
    </row>
    <row r="6918" spans="17:17" x14ac:dyDescent="0.25">
      <c r="Q6918" s="8"/>
    </row>
    <row r="6919" spans="17:17" x14ac:dyDescent="0.25">
      <c r="Q6919" s="8"/>
    </row>
    <row r="6920" spans="17:17" x14ac:dyDescent="0.25">
      <c r="Q6920" s="8"/>
    </row>
    <row r="6921" spans="17:17" x14ac:dyDescent="0.25">
      <c r="Q6921" s="8"/>
    </row>
    <row r="6922" spans="17:17" x14ac:dyDescent="0.25">
      <c r="Q6922" s="8"/>
    </row>
    <row r="6923" spans="17:17" x14ac:dyDescent="0.25">
      <c r="Q6923" s="8"/>
    </row>
    <row r="6924" spans="17:17" x14ac:dyDescent="0.25">
      <c r="Q6924" s="8"/>
    </row>
    <row r="6925" spans="17:17" x14ac:dyDescent="0.25">
      <c r="Q6925" s="8"/>
    </row>
    <row r="6926" spans="17:17" x14ac:dyDescent="0.25">
      <c r="Q6926" s="8"/>
    </row>
    <row r="6927" spans="17:17" x14ac:dyDescent="0.25">
      <c r="Q6927" s="8"/>
    </row>
    <row r="6928" spans="17:17" x14ac:dyDescent="0.25">
      <c r="Q6928" s="8"/>
    </row>
    <row r="6929" spans="17:17" x14ac:dyDescent="0.25">
      <c r="Q6929" s="8"/>
    </row>
    <row r="6930" spans="17:17" x14ac:dyDescent="0.25">
      <c r="Q6930" s="8"/>
    </row>
    <row r="6931" spans="17:17" x14ac:dyDescent="0.25">
      <c r="Q6931" s="8"/>
    </row>
    <row r="6932" spans="17:17" x14ac:dyDescent="0.25">
      <c r="Q6932" s="8"/>
    </row>
    <row r="6933" spans="17:17" x14ac:dyDescent="0.25">
      <c r="Q6933" s="8"/>
    </row>
    <row r="6934" spans="17:17" x14ac:dyDescent="0.25">
      <c r="Q6934" s="8"/>
    </row>
    <row r="6935" spans="17:17" x14ac:dyDescent="0.25">
      <c r="Q6935" s="8"/>
    </row>
    <row r="6936" spans="17:17" x14ac:dyDescent="0.25">
      <c r="Q6936" s="8"/>
    </row>
    <row r="6937" spans="17:17" x14ac:dyDescent="0.25">
      <c r="Q6937" s="8"/>
    </row>
    <row r="6938" spans="17:17" x14ac:dyDescent="0.25">
      <c r="Q6938" s="8"/>
    </row>
    <row r="6939" spans="17:17" x14ac:dyDescent="0.25">
      <c r="Q6939" s="8"/>
    </row>
    <row r="6940" spans="17:17" x14ac:dyDescent="0.25">
      <c r="Q6940" s="8"/>
    </row>
    <row r="6941" spans="17:17" x14ac:dyDescent="0.25">
      <c r="Q6941" s="8"/>
    </row>
    <row r="6942" spans="17:17" x14ac:dyDescent="0.25">
      <c r="Q6942" s="8"/>
    </row>
    <row r="6943" spans="17:17" x14ac:dyDescent="0.25">
      <c r="Q6943" s="8"/>
    </row>
    <row r="6944" spans="17:17" x14ac:dyDescent="0.25">
      <c r="Q6944" s="8"/>
    </row>
    <row r="6945" spans="17:17" x14ac:dyDescent="0.25">
      <c r="Q6945" s="8"/>
    </row>
    <row r="6946" spans="17:17" x14ac:dyDescent="0.25">
      <c r="Q6946" s="8"/>
    </row>
    <row r="6947" spans="17:17" x14ac:dyDescent="0.25">
      <c r="Q6947" s="8"/>
    </row>
    <row r="6948" spans="17:17" x14ac:dyDescent="0.25">
      <c r="Q6948" s="8"/>
    </row>
    <row r="6949" spans="17:17" x14ac:dyDescent="0.25">
      <c r="Q6949" s="8"/>
    </row>
    <row r="6950" spans="17:17" x14ac:dyDescent="0.25">
      <c r="Q6950" s="8"/>
    </row>
    <row r="6951" spans="17:17" x14ac:dyDescent="0.25">
      <c r="Q6951" s="8"/>
    </row>
    <row r="6952" spans="17:17" x14ac:dyDescent="0.25">
      <c r="Q6952" s="8"/>
    </row>
    <row r="6953" spans="17:17" x14ac:dyDescent="0.25">
      <c r="Q6953" s="8"/>
    </row>
    <row r="6954" spans="17:17" x14ac:dyDescent="0.25">
      <c r="Q6954" s="8"/>
    </row>
    <row r="6955" spans="17:17" x14ac:dyDescent="0.25">
      <c r="Q6955" s="8"/>
    </row>
    <row r="6956" spans="17:17" x14ac:dyDescent="0.25">
      <c r="Q6956" s="8"/>
    </row>
    <row r="6957" spans="17:17" x14ac:dyDescent="0.25">
      <c r="Q6957" s="8"/>
    </row>
    <row r="6958" spans="17:17" x14ac:dyDescent="0.25">
      <c r="Q6958" s="8"/>
    </row>
    <row r="6959" spans="17:17" x14ac:dyDescent="0.25">
      <c r="Q6959" s="8"/>
    </row>
    <row r="6960" spans="17:17" x14ac:dyDescent="0.25">
      <c r="Q6960" s="8"/>
    </row>
    <row r="6961" spans="17:17" x14ac:dyDescent="0.25">
      <c r="Q6961" s="8"/>
    </row>
    <row r="6962" spans="17:17" x14ac:dyDescent="0.25">
      <c r="Q6962" s="8"/>
    </row>
    <row r="6963" spans="17:17" x14ac:dyDescent="0.25">
      <c r="Q6963" s="8"/>
    </row>
    <row r="6964" spans="17:17" x14ac:dyDescent="0.25">
      <c r="Q6964" s="8"/>
    </row>
    <row r="6965" spans="17:17" x14ac:dyDescent="0.25">
      <c r="Q6965" s="8"/>
    </row>
    <row r="6966" spans="17:17" x14ac:dyDescent="0.25">
      <c r="Q6966" s="8"/>
    </row>
    <row r="6967" spans="17:17" x14ac:dyDescent="0.25">
      <c r="Q6967" s="8"/>
    </row>
    <row r="6968" spans="17:17" x14ac:dyDescent="0.25">
      <c r="Q6968" s="8"/>
    </row>
    <row r="6969" spans="17:17" x14ac:dyDescent="0.25">
      <c r="Q6969" s="8"/>
    </row>
    <row r="6970" spans="17:17" x14ac:dyDescent="0.25">
      <c r="Q6970" s="8"/>
    </row>
    <row r="6971" spans="17:17" x14ac:dyDescent="0.25">
      <c r="Q6971" s="8"/>
    </row>
    <row r="6972" spans="17:17" x14ac:dyDescent="0.25">
      <c r="Q6972" s="8"/>
    </row>
    <row r="6973" spans="17:17" x14ac:dyDescent="0.25">
      <c r="Q6973" s="8"/>
    </row>
    <row r="6974" spans="17:17" x14ac:dyDescent="0.25">
      <c r="Q6974" s="8"/>
    </row>
    <row r="6975" spans="17:17" x14ac:dyDescent="0.25">
      <c r="Q6975" s="8"/>
    </row>
    <row r="6976" spans="17:17" x14ac:dyDescent="0.25">
      <c r="Q6976" s="8"/>
    </row>
    <row r="6977" spans="17:17" x14ac:dyDescent="0.25">
      <c r="Q6977" s="8"/>
    </row>
    <row r="6978" spans="17:17" x14ac:dyDescent="0.25">
      <c r="Q6978" s="8"/>
    </row>
    <row r="6979" spans="17:17" x14ac:dyDescent="0.25">
      <c r="Q6979" s="8"/>
    </row>
    <row r="6980" spans="17:17" x14ac:dyDescent="0.25">
      <c r="Q6980" s="8"/>
    </row>
    <row r="6981" spans="17:17" x14ac:dyDescent="0.25">
      <c r="Q6981" s="8"/>
    </row>
    <row r="6982" spans="17:17" x14ac:dyDescent="0.25">
      <c r="Q6982" s="8"/>
    </row>
    <row r="6983" spans="17:17" x14ac:dyDescent="0.25">
      <c r="Q6983" s="8"/>
    </row>
    <row r="6984" spans="17:17" x14ac:dyDescent="0.25">
      <c r="Q6984" s="8"/>
    </row>
    <row r="6985" spans="17:17" x14ac:dyDescent="0.25">
      <c r="Q6985" s="8"/>
    </row>
    <row r="6986" spans="17:17" x14ac:dyDescent="0.25">
      <c r="Q6986" s="8"/>
    </row>
    <row r="6987" spans="17:17" x14ac:dyDescent="0.25">
      <c r="Q6987" s="8"/>
    </row>
    <row r="6988" spans="17:17" x14ac:dyDescent="0.25">
      <c r="Q6988" s="8"/>
    </row>
    <row r="6989" spans="17:17" x14ac:dyDescent="0.25">
      <c r="Q6989" s="8"/>
    </row>
    <row r="6990" spans="17:17" x14ac:dyDescent="0.25">
      <c r="Q6990" s="8"/>
    </row>
    <row r="6991" spans="17:17" x14ac:dyDescent="0.25">
      <c r="Q6991" s="8"/>
    </row>
    <row r="6992" spans="17:17" x14ac:dyDescent="0.25">
      <c r="Q6992" s="8"/>
    </row>
    <row r="6993" spans="17:17" x14ac:dyDescent="0.25">
      <c r="Q6993" s="8"/>
    </row>
    <row r="6994" spans="17:17" x14ac:dyDescent="0.25">
      <c r="Q6994" s="8"/>
    </row>
    <row r="6995" spans="17:17" x14ac:dyDescent="0.25">
      <c r="Q6995" s="8"/>
    </row>
    <row r="6996" spans="17:17" x14ac:dyDescent="0.25">
      <c r="Q6996" s="8"/>
    </row>
    <row r="6997" spans="17:17" x14ac:dyDescent="0.25">
      <c r="Q6997" s="8"/>
    </row>
    <row r="6998" spans="17:17" x14ac:dyDescent="0.25">
      <c r="Q6998" s="8"/>
    </row>
    <row r="6999" spans="17:17" x14ac:dyDescent="0.25">
      <c r="Q6999" s="8"/>
    </row>
    <row r="7000" spans="17:17" x14ac:dyDescent="0.25">
      <c r="Q7000" s="8"/>
    </row>
    <row r="7001" spans="17:17" x14ac:dyDescent="0.25">
      <c r="Q7001" s="8"/>
    </row>
    <row r="7002" spans="17:17" x14ac:dyDescent="0.25">
      <c r="Q7002" s="8"/>
    </row>
    <row r="7003" spans="17:17" x14ac:dyDescent="0.25">
      <c r="Q7003" s="8"/>
    </row>
    <row r="7004" spans="17:17" x14ac:dyDescent="0.25">
      <c r="Q7004" s="8"/>
    </row>
    <row r="7005" spans="17:17" x14ac:dyDescent="0.25">
      <c r="Q7005" s="8"/>
    </row>
    <row r="7006" spans="17:17" x14ac:dyDescent="0.25">
      <c r="Q7006" s="8"/>
    </row>
    <row r="7007" spans="17:17" x14ac:dyDescent="0.25">
      <c r="Q7007" s="8"/>
    </row>
    <row r="7008" spans="17:17" x14ac:dyDescent="0.25">
      <c r="Q7008" s="8"/>
    </row>
    <row r="7009" spans="17:17" x14ac:dyDescent="0.25">
      <c r="Q7009" s="8"/>
    </row>
    <row r="7010" spans="17:17" x14ac:dyDescent="0.25">
      <c r="Q7010" s="8"/>
    </row>
    <row r="7011" spans="17:17" x14ac:dyDescent="0.25">
      <c r="Q7011" s="8"/>
    </row>
    <row r="7012" spans="17:17" x14ac:dyDescent="0.25">
      <c r="Q7012" s="8"/>
    </row>
    <row r="7013" spans="17:17" x14ac:dyDescent="0.25">
      <c r="Q7013" s="8"/>
    </row>
    <row r="7014" spans="17:17" x14ac:dyDescent="0.25">
      <c r="Q7014" s="8"/>
    </row>
    <row r="7015" spans="17:17" x14ac:dyDescent="0.25">
      <c r="Q7015" s="8"/>
    </row>
    <row r="7016" spans="17:17" x14ac:dyDescent="0.25">
      <c r="Q7016" s="8"/>
    </row>
    <row r="7017" spans="17:17" x14ac:dyDescent="0.25">
      <c r="Q7017" s="8"/>
    </row>
    <row r="7018" spans="17:17" x14ac:dyDescent="0.25">
      <c r="Q7018" s="8"/>
    </row>
    <row r="7019" spans="17:17" x14ac:dyDescent="0.25">
      <c r="Q7019" s="8"/>
    </row>
    <row r="7020" spans="17:17" x14ac:dyDescent="0.25">
      <c r="Q7020" s="8"/>
    </row>
    <row r="7021" spans="17:17" x14ac:dyDescent="0.25">
      <c r="Q7021" s="8"/>
    </row>
    <row r="7022" spans="17:17" x14ac:dyDescent="0.25">
      <c r="Q7022" s="8"/>
    </row>
    <row r="7023" spans="17:17" x14ac:dyDescent="0.25">
      <c r="Q7023" s="8"/>
    </row>
    <row r="7024" spans="17:17" x14ac:dyDescent="0.25">
      <c r="Q7024" s="8"/>
    </row>
    <row r="7025" spans="17:17" x14ac:dyDescent="0.25">
      <c r="Q7025" s="8"/>
    </row>
    <row r="7026" spans="17:17" x14ac:dyDescent="0.25">
      <c r="Q7026" s="8"/>
    </row>
    <row r="7027" spans="17:17" x14ac:dyDescent="0.25">
      <c r="Q7027" s="8"/>
    </row>
    <row r="7028" spans="17:17" x14ac:dyDescent="0.25">
      <c r="Q7028" s="8"/>
    </row>
    <row r="7029" spans="17:17" x14ac:dyDescent="0.25">
      <c r="Q7029" s="8"/>
    </row>
    <row r="7030" spans="17:17" x14ac:dyDescent="0.25">
      <c r="Q7030" s="8"/>
    </row>
    <row r="7031" spans="17:17" x14ac:dyDescent="0.25">
      <c r="Q7031" s="8"/>
    </row>
    <row r="7032" spans="17:17" x14ac:dyDescent="0.25">
      <c r="Q7032" s="8"/>
    </row>
    <row r="7033" spans="17:17" x14ac:dyDescent="0.25">
      <c r="Q7033" s="8"/>
    </row>
    <row r="7034" spans="17:17" x14ac:dyDescent="0.25">
      <c r="Q7034" s="8"/>
    </row>
    <row r="7035" spans="17:17" x14ac:dyDescent="0.25">
      <c r="Q7035" s="8"/>
    </row>
    <row r="7036" spans="17:17" x14ac:dyDescent="0.25">
      <c r="Q7036" s="8"/>
    </row>
    <row r="7037" spans="17:17" x14ac:dyDescent="0.25">
      <c r="Q7037" s="8"/>
    </row>
    <row r="7038" spans="17:17" x14ac:dyDescent="0.25">
      <c r="Q7038" s="8"/>
    </row>
    <row r="7039" spans="17:17" x14ac:dyDescent="0.25">
      <c r="Q7039" s="8"/>
    </row>
    <row r="7040" spans="17:17" x14ac:dyDescent="0.25">
      <c r="Q7040" s="8"/>
    </row>
    <row r="7041" spans="17:17" x14ac:dyDescent="0.25">
      <c r="Q7041" s="8"/>
    </row>
    <row r="7042" spans="17:17" x14ac:dyDescent="0.25">
      <c r="Q7042" s="8"/>
    </row>
    <row r="7043" spans="17:17" x14ac:dyDescent="0.25">
      <c r="Q7043" s="8"/>
    </row>
    <row r="7044" spans="17:17" x14ac:dyDescent="0.25">
      <c r="Q7044" s="8"/>
    </row>
    <row r="7045" spans="17:17" x14ac:dyDescent="0.25">
      <c r="Q7045" s="8"/>
    </row>
    <row r="7046" spans="17:17" x14ac:dyDescent="0.25">
      <c r="Q7046" s="8"/>
    </row>
    <row r="7047" spans="17:17" x14ac:dyDescent="0.25">
      <c r="Q7047" s="8"/>
    </row>
    <row r="7048" spans="17:17" x14ac:dyDescent="0.25">
      <c r="Q7048" s="8"/>
    </row>
    <row r="7049" spans="17:17" x14ac:dyDescent="0.25">
      <c r="Q7049" s="8"/>
    </row>
    <row r="7050" spans="17:17" x14ac:dyDescent="0.25">
      <c r="Q7050" s="8"/>
    </row>
    <row r="7051" spans="17:17" x14ac:dyDescent="0.25">
      <c r="Q7051" s="8"/>
    </row>
    <row r="7052" spans="17:17" x14ac:dyDescent="0.25">
      <c r="Q7052" s="8"/>
    </row>
    <row r="7053" spans="17:17" x14ac:dyDescent="0.25">
      <c r="Q7053" s="8"/>
    </row>
    <row r="7054" spans="17:17" x14ac:dyDescent="0.25">
      <c r="Q7054" s="8"/>
    </row>
    <row r="7055" spans="17:17" x14ac:dyDescent="0.25">
      <c r="Q7055" s="8"/>
    </row>
    <row r="7056" spans="17:17" x14ac:dyDescent="0.25">
      <c r="Q7056" s="8"/>
    </row>
    <row r="7057" spans="17:17" x14ac:dyDescent="0.25">
      <c r="Q7057" s="8"/>
    </row>
    <row r="7058" spans="17:17" x14ac:dyDescent="0.25">
      <c r="Q7058" s="8"/>
    </row>
    <row r="7059" spans="17:17" x14ac:dyDescent="0.25">
      <c r="Q7059" s="8"/>
    </row>
    <row r="7060" spans="17:17" x14ac:dyDescent="0.25">
      <c r="Q7060" s="8"/>
    </row>
    <row r="7061" spans="17:17" x14ac:dyDescent="0.25">
      <c r="Q7061" s="8"/>
    </row>
    <row r="7062" spans="17:17" x14ac:dyDescent="0.25">
      <c r="Q7062" s="8"/>
    </row>
    <row r="7063" spans="17:17" x14ac:dyDescent="0.25">
      <c r="Q7063" s="8"/>
    </row>
    <row r="7064" spans="17:17" x14ac:dyDescent="0.25">
      <c r="Q7064" s="8"/>
    </row>
    <row r="7065" spans="17:17" x14ac:dyDescent="0.25">
      <c r="Q7065" s="8"/>
    </row>
    <row r="7066" spans="17:17" x14ac:dyDescent="0.25">
      <c r="Q7066" s="8"/>
    </row>
    <row r="7067" spans="17:17" x14ac:dyDescent="0.25">
      <c r="Q7067" s="8"/>
    </row>
    <row r="7068" spans="17:17" x14ac:dyDescent="0.25">
      <c r="Q7068" s="8"/>
    </row>
    <row r="7069" spans="17:17" x14ac:dyDescent="0.25">
      <c r="Q7069" s="8"/>
    </row>
    <row r="7070" spans="17:17" x14ac:dyDescent="0.25">
      <c r="Q7070" s="8"/>
    </row>
    <row r="7071" spans="17:17" x14ac:dyDescent="0.25">
      <c r="Q7071" s="8"/>
    </row>
    <row r="7072" spans="17:17" x14ac:dyDescent="0.25">
      <c r="Q7072" s="8"/>
    </row>
    <row r="7073" spans="17:17" x14ac:dyDescent="0.25">
      <c r="Q7073" s="8"/>
    </row>
    <row r="7074" spans="17:17" x14ac:dyDescent="0.25">
      <c r="Q7074" s="8"/>
    </row>
    <row r="7075" spans="17:17" x14ac:dyDescent="0.25">
      <c r="Q7075" s="8"/>
    </row>
    <row r="7076" spans="17:17" x14ac:dyDescent="0.25">
      <c r="Q7076" s="8"/>
    </row>
    <row r="7077" spans="17:17" x14ac:dyDescent="0.25">
      <c r="Q7077" s="8"/>
    </row>
    <row r="7078" spans="17:17" x14ac:dyDescent="0.25">
      <c r="Q7078" s="8"/>
    </row>
    <row r="7079" spans="17:17" x14ac:dyDescent="0.25">
      <c r="Q7079" s="8"/>
    </row>
    <row r="7080" spans="17:17" x14ac:dyDescent="0.25">
      <c r="Q7080" s="8"/>
    </row>
    <row r="7081" spans="17:17" x14ac:dyDescent="0.25">
      <c r="Q7081" s="8"/>
    </row>
    <row r="7082" spans="17:17" x14ac:dyDescent="0.25">
      <c r="Q7082" s="8"/>
    </row>
    <row r="7083" spans="17:17" x14ac:dyDescent="0.25">
      <c r="Q7083" s="8"/>
    </row>
    <row r="7084" spans="17:17" x14ac:dyDescent="0.25">
      <c r="Q7084" s="8"/>
    </row>
    <row r="7085" spans="17:17" x14ac:dyDescent="0.25">
      <c r="Q7085" s="8"/>
    </row>
    <row r="7086" spans="17:17" x14ac:dyDescent="0.25">
      <c r="Q7086" s="8"/>
    </row>
    <row r="7087" spans="17:17" x14ac:dyDescent="0.25">
      <c r="Q7087" s="8"/>
    </row>
    <row r="7088" spans="17:17" x14ac:dyDescent="0.25">
      <c r="Q7088" s="8"/>
    </row>
    <row r="7089" spans="17:17" x14ac:dyDescent="0.25">
      <c r="Q7089" s="8"/>
    </row>
    <row r="7090" spans="17:17" x14ac:dyDescent="0.25">
      <c r="Q7090" s="8"/>
    </row>
    <row r="7091" spans="17:17" x14ac:dyDescent="0.25">
      <c r="Q7091" s="8"/>
    </row>
    <row r="7092" spans="17:17" x14ac:dyDescent="0.25">
      <c r="Q7092" s="8"/>
    </row>
    <row r="7093" spans="17:17" x14ac:dyDescent="0.25">
      <c r="Q7093" s="8"/>
    </row>
    <row r="7094" spans="17:17" x14ac:dyDescent="0.25">
      <c r="Q7094" s="8"/>
    </row>
    <row r="7095" spans="17:17" x14ac:dyDescent="0.25">
      <c r="Q7095" s="8"/>
    </row>
    <row r="7096" spans="17:17" x14ac:dyDescent="0.25">
      <c r="Q7096" s="8"/>
    </row>
    <row r="7097" spans="17:17" x14ac:dyDescent="0.25">
      <c r="Q7097" s="8"/>
    </row>
    <row r="7098" spans="17:17" x14ac:dyDescent="0.25">
      <c r="Q7098" s="8"/>
    </row>
    <row r="7099" spans="17:17" x14ac:dyDescent="0.25">
      <c r="Q7099" s="8"/>
    </row>
    <row r="7100" spans="17:17" x14ac:dyDescent="0.25">
      <c r="Q7100" s="8"/>
    </row>
    <row r="7101" spans="17:17" x14ac:dyDescent="0.25">
      <c r="Q7101" s="8"/>
    </row>
    <row r="7102" spans="17:17" x14ac:dyDescent="0.25">
      <c r="Q7102" s="8"/>
    </row>
    <row r="7103" spans="17:17" x14ac:dyDescent="0.25">
      <c r="Q7103" s="8"/>
    </row>
    <row r="7104" spans="17:17" x14ac:dyDescent="0.25">
      <c r="Q7104" s="8"/>
    </row>
    <row r="7105" spans="17:17" x14ac:dyDescent="0.25">
      <c r="Q7105" s="8"/>
    </row>
    <row r="7106" spans="17:17" x14ac:dyDescent="0.25">
      <c r="Q7106" s="8"/>
    </row>
    <row r="7107" spans="17:17" x14ac:dyDescent="0.25">
      <c r="Q7107" s="8"/>
    </row>
    <row r="7108" spans="17:17" x14ac:dyDescent="0.25">
      <c r="Q7108" s="8"/>
    </row>
    <row r="7109" spans="17:17" x14ac:dyDescent="0.25">
      <c r="Q7109" s="8"/>
    </row>
    <row r="7110" spans="17:17" x14ac:dyDescent="0.25">
      <c r="Q7110" s="8"/>
    </row>
    <row r="7111" spans="17:17" x14ac:dyDescent="0.25">
      <c r="Q7111" s="8"/>
    </row>
    <row r="7112" spans="17:17" x14ac:dyDescent="0.25">
      <c r="Q7112" s="8"/>
    </row>
    <row r="7113" spans="17:17" x14ac:dyDescent="0.25">
      <c r="Q7113" s="8"/>
    </row>
    <row r="7114" spans="17:17" x14ac:dyDescent="0.25">
      <c r="Q7114" s="8"/>
    </row>
    <row r="7115" spans="17:17" x14ac:dyDescent="0.25">
      <c r="Q7115" s="8"/>
    </row>
    <row r="7116" spans="17:17" x14ac:dyDescent="0.25">
      <c r="Q7116" s="8"/>
    </row>
    <row r="7117" spans="17:17" x14ac:dyDescent="0.25">
      <c r="Q7117" s="8"/>
    </row>
    <row r="7118" spans="17:17" x14ac:dyDescent="0.25">
      <c r="Q7118" s="8"/>
    </row>
    <row r="7119" spans="17:17" x14ac:dyDescent="0.25">
      <c r="Q7119" s="8"/>
    </row>
    <row r="7120" spans="17:17" x14ac:dyDescent="0.25">
      <c r="Q7120" s="8"/>
    </row>
    <row r="7121" spans="17:17" x14ac:dyDescent="0.25">
      <c r="Q7121" s="8"/>
    </row>
    <row r="7122" spans="17:17" x14ac:dyDescent="0.25">
      <c r="Q7122" s="8"/>
    </row>
    <row r="7123" spans="17:17" x14ac:dyDescent="0.25">
      <c r="Q7123" s="8"/>
    </row>
    <row r="7124" spans="17:17" x14ac:dyDescent="0.25">
      <c r="Q7124" s="8"/>
    </row>
    <row r="7125" spans="17:17" x14ac:dyDescent="0.25">
      <c r="Q7125" s="8"/>
    </row>
    <row r="7126" spans="17:17" x14ac:dyDescent="0.25">
      <c r="Q7126" s="8"/>
    </row>
    <row r="7127" spans="17:17" x14ac:dyDescent="0.25">
      <c r="Q7127" s="8"/>
    </row>
    <row r="7128" spans="17:17" x14ac:dyDescent="0.25">
      <c r="Q7128" s="8"/>
    </row>
    <row r="7129" spans="17:17" x14ac:dyDescent="0.25">
      <c r="Q7129" s="8"/>
    </row>
    <row r="7130" spans="17:17" x14ac:dyDescent="0.25">
      <c r="Q7130" s="8"/>
    </row>
    <row r="7131" spans="17:17" x14ac:dyDescent="0.25">
      <c r="Q7131" s="8"/>
    </row>
    <row r="7132" spans="17:17" x14ac:dyDescent="0.25">
      <c r="Q7132" s="8"/>
    </row>
    <row r="7133" spans="17:17" x14ac:dyDescent="0.25">
      <c r="Q7133" s="8"/>
    </row>
    <row r="7134" spans="17:17" x14ac:dyDescent="0.25">
      <c r="Q7134" s="8"/>
    </row>
    <row r="7135" spans="17:17" x14ac:dyDescent="0.25">
      <c r="Q7135" s="8"/>
    </row>
    <row r="7136" spans="17:17" x14ac:dyDescent="0.25">
      <c r="Q7136" s="8"/>
    </row>
    <row r="7137" spans="17:17" x14ac:dyDescent="0.25">
      <c r="Q7137" s="8"/>
    </row>
    <row r="7138" spans="17:17" x14ac:dyDescent="0.25">
      <c r="Q7138" s="8"/>
    </row>
    <row r="7139" spans="17:17" x14ac:dyDescent="0.25">
      <c r="Q7139" s="8"/>
    </row>
    <row r="7140" spans="17:17" x14ac:dyDescent="0.25">
      <c r="Q7140" s="8"/>
    </row>
    <row r="7141" spans="17:17" x14ac:dyDescent="0.25">
      <c r="Q7141" s="8"/>
    </row>
    <row r="7142" spans="17:17" x14ac:dyDescent="0.25">
      <c r="Q7142" s="8"/>
    </row>
    <row r="7143" spans="17:17" x14ac:dyDescent="0.25">
      <c r="Q7143" s="8"/>
    </row>
    <row r="7144" spans="17:17" x14ac:dyDescent="0.25">
      <c r="Q7144" s="8"/>
    </row>
    <row r="7145" spans="17:17" x14ac:dyDescent="0.25">
      <c r="Q7145" s="8"/>
    </row>
    <row r="7146" spans="17:17" x14ac:dyDescent="0.25">
      <c r="Q7146" s="8"/>
    </row>
    <row r="7147" spans="17:17" x14ac:dyDescent="0.25">
      <c r="Q7147" s="8"/>
    </row>
    <row r="7148" spans="17:17" x14ac:dyDescent="0.25">
      <c r="Q7148" s="8"/>
    </row>
    <row r="7149" spans="17:17" x14ac:dyDescent="0.25">
      <c r="Q7149" s="8"/>
    </row>
    <row r="7150" spans="17:17" x14ac:dyDescent="0.25">
      <c r="Q7150" s="8"/>
    </row>
    <row r="7151" spans="17:17" x14ac:dyDescent="0.25">
      <c r="Q7151" s="8"/>
    </row>
    <row r="7152" spans="17:17" x14ac:dyDescent="0.25">
      <c r="Q7152" s="8"/>
    </row>
    <row r="7153" spans="17:17" x14ac:dyDescent="0.25">
      <c r="Q7153" s="8"/>
    </row>
    <row r="7154" spans="17:17" x14ac:dyDescent="0.25">
      <c r="Q7154" s="8"/>
    </row>
    <row r="7155" spans="17:17" x14ac:dyDescent="0.25">
      <c r="Q7155" s="8"/>
    </row>
    <row r="7156" spans="17:17" x14ac:dyDescent="0.25">
      <c r="Q7156" s="8"/>
    </row>
    <row r="7157" spans="17:17" x14ac:dyDescent="0.25">
      <c r="Q7157" s="8"/>
    </row>
    <row r="7158" spans="17:17" x14ac:dyDescent="0.25">
      <c r="Q7158" s="8"/>
    </row>
    <row r="7159" spans="17:17" x14ac:dyDescent="0.25">
      <c r="Q7159" s="8"/>
    </row>
    <row r="7160" spans="17:17" x14ac:dyDescent="0.25">
      <c r="Q7160" s="8"/>
    </row>
    <row r="7161" spans="17:17" x14ac:dyDescent="0.25">
      <c r="Q7161" s="8"/>
    </row>
    <row r="7162" spans="17:17" x14ac:dyDescent="0.25">
      <c r="Q7162" s="8"/>
    </row>
    <row r="7163" spans="17:17" x14ac:dyDescent="0.25">
      <c r="Q7163" s="8"/>
    </row>
    <row r="7164" spans="17:17" x14ac:dyDescent="0.25">
      <c r="Q7164" s="8"/>
    </row>
    <row r="7165" spans="17:17" x14ac:dyDescent="0.25">
      <c r="Q7165" s="8"/>
    </row>
    <row r="7166" spans="17:17" x14ac:dyDescent="0.25">
      <c r="Q7166" s="8"/>
    </row>
    <row r="7167" spans="17:17" x14ac:dyDescent="0.25">
      <c r="Q7167" s="8"/>
    </row>
    <row r="7168" spans="17:17" x14ac:dyDescent="0.25">
      <c r="Q7168" s="8"/>
    </row>
    <row r="7169" spans="17:17" x14ac:dyDescent="0.25">
      <c r="Q7169" s="8"/>
    </row>
    <row r="7170" spans="17:17" x14ac:dyDescent="0.25">
      <c r="Q7170" s="8"/>
    </row>
    <row r="7171" spans="17:17" x14ac:dyDescent="0.25">
      <c r="Q7171" s="8"/>
    </row>
    <row r="7172" spans="17:17" x14ac:dyDescent="0.25">
      <c r="Q7172" s="8"/>
    </row>
    <row r="7173" spans="17:17" x14ac:dyDescent="0.25">
      <c r="Q7173" s="8"/>
    </row>
    <row r="7174" spans="17:17" x14ac:dyDescent="0.25">
      <c r="Q7174" s="8"/>
    </row>
    <row r="7175" spans="17:17" x14ac:dyDescent="0.25">
      <c r="Q7175" s="8"/>
    </row>
    <row r="7176" spans="17:17" x14ac:dyDescent="0.25">
      <c r="Q7176" s="8"/>
    </row>
    <row r="7177" spans="17:17" x14ac:dyDescent="0.25">
      <c r="Q7177" s="8"/>
    </row>
    <row r="7178" spans="17:17" x14ac:dyDescent="0.25">
      <c r="Q7178" s="8"/>
    </row>
    <row r="7179" spans="17:17" x14ac:dyDescent="0.25">
      <c r="Q7179" s="8"/>
    </row>
    <row r="7180" spans="17:17" x14ac:dyDescent="0.25">
      <c r="Q7180" s="8"/>
    </row>
    <row r="7181" spans="17:17" x14ac:dyDescent="0.25">
      <c r="Q7181" s="8"/>
    </row>
    <row r="7182" spans="17:17" x14ac:dyDescent="0.25">
      <c r="Q7182" s="8"/>
    </row>
    <row r="7183" spans="17:17" x14ac:dyDescent="0.25">
      <c r="Q7183" s="8"/>
    </row>
    <row r="7184" spans="17:17" x14ac:dyDescent="0.25">
      <c r="Q7184" s="8"/>
    </row>
    <row r="7185" spans="17:17" x14ac:dyDescent="0.25">
      <c r="Q7185" s="8"/>
    </row>
    <row r="7186" spans="17:17" x14ac:dyDescent="0.25">
      <c r="Q7186" s="8"/>
    </row>
    <row r="7187" spans="17:17" x14ac:dyDescent="0.25">
      <c r="Q7187" s="8"/>
    </row>
    <row r="7188" spans="17:17" x14ac:dyDescent="0.25">
      <c r="Q7188" s="8"/>
    </row>
    <row r="7189" spans="17:17" x14ac:dyDescent="0.25">
      <c r="Q7189" s="8"/>
    </row>
    <row r="7190" spans="17:17" x14ac:dyDescent="0.25">
      <c r="Q7190" s="8"/>
    </row>
    <row r="7191" spans="17:17" x14ac:dyDescent="0.25">
      <c r="Q7191" s="8"/>
    </row>
    <row r="7192" spans="17:17" x14ac:dyDescent="0.25">
      <c r="Q7192" s="8"/>
    </row>
    <row r="7193" spans="17:17" x14ac:dyDescent="0.25">
      <c r="Q7193" s="8"/>
    </row>
    <row r="7194" spans="17:17" x14ac:dyDescent="0.25">
      <c r="Q7194" s="8"/>
    </row>
    <row r="7195" spans="17:17" x14ac:dyDescent="0.25">
      <c r="Q7195" s="8"/>
    </row>
    <row r="7196" spans="17:17" x14ac:dyDescent="0.25">
      <c r="Q7196" s="8"/>
    </row>
    <row r="7197" spans="17:17" x14ac:dyDescent="0.25">
      <c r="Q7197" s="8"/>
    </row>
    <row r="7198" spans="17:17" x14ac:dyDescent="0.25">
      <c r="Q7198" s="8"/>
    </row>
    <row r="7199" spans="17:17" x14ac:dyDescent="0.25">
      <c r="Q7199" s="8"/>
    </row>
    <row r="7200" spans="17:17" x14ac:dyDescent="0.25">
      <c r="Q7200" s="8"/>
    </row>
    <row r="7201" spans="17:17" x14ac:dyDescent="0.25">
      <c r="Q7201" s="8"/>
    </row>
    <row r="7202" spans="17:17" x14ac:dyDescent="0.25">
      <c r="Q7202" s="8"/>
    </row>
    <row r="7203" spans="17:17" x14ac:dyDescent="0.25">
      <c r="Q7203" s="8"/>
    </row>
    <row r="7204" spans="17:17" x14ac:dyDescent="0.25">
      <c r="Q7204" s="8"/>
    </row>
    <row r="7205" spans="17:17" x14ac:dyDescent="0.25">
      <c r="Q7205" s="8"/>
    </row>
    <row r="7206" spans="17:17" x14ac:dyDescent="0.25">
      <c r="Q7206" s="8"/>
    </row>
    <row r="7207" spans="17:17" x14ac:dyDescent="0.25">
      <c r="Q7207" s="8"/>
    </row>
    <row r="7208" spans="17:17" x14ac:dyDescent="0.25">
      <c r="Q7208" s="8"/>
    </row>
    <row r="7209" spans="17:17" x14ac:dyDescent="0.25">
      <c r="Q7209" s="8"/>
    </row>
    <row r="7210" spans="17:17" x14ac:dyDescent="0.25">
      <c r="Q7210" s="8"/>
    </row>
    <row r="7211" spans="17:17" x14ac:dyDescent="0.25">
      <c r="Q7211" s="8"/>
    </row>
    <row r="7212" spans="17:17" x14ac:dyDescent="0.25">
      <c r="Q7212" s="8"/>
    </row>
    <row r="7213" spans="17:17" x14ac:dyDescent="0.25">
      <c r="Q7213" s="8"/>
    </row>
    <row r="7214" spans="17:17" x14ac:dyDescent="0.25">
      <c r="Q7214" s="8"/>
    </row>
    <row r="7215" spans="17:17" x14ac:dyDescent="0.25">
      <c r="Q7215" s="8"/>
    </row>
    <row r="7216" spans="17:17" x14ac:dyDescent="0.25">
      <c r="Q7216" s="8"/>
    </row>
    <row r="7217" spans="17:17" x14ac:dyDescent="0.25">
      <c r="Q7217" s="8"/>
    </row>
    <row r="7218" spans="17:17" x14ac:dyDescent="0.25">
      <c r="Q7218" s="8"/>
    </row>
    <row r="7219" spans="17:17" x14ac:dyDescent="0.25">
      <c r="Q7219" s="8"/>
    </row>
    <row r="7220" spans="17:17" x14ac:dyDescent="0.25">
      <c r="Q7220" s="8"/>
    </row>
    <row r="7221" spans="17:17" x14ac:dyDescent="0.25">
      <c r="Q7221" s="8"/>
    </row>
    <row r="7222" spans="17:17" x14ac:dyDescent="0.25">
      <c r="Q7222" s="8"/>
    </row>
    <row r="7223" spans="17:17" x14ac:dyDescent="0.25">
      <c r="Q7223" s="8"/>
    </row>
    <row r="7224" spans="17:17" x14ac:dyDescent="0.25">
      <c r="Q7224" s="8"/>
    </row>
    <row r="7225" spans="17:17" x14ac:dyDescent="0.25">
      <c r="Q7225" s="8"/>
    </row>
    <row r="7226" spans="17:17" x14ac:dyDescent="0.25">
      <c r="Q7226" s="8"/>
    </row>
    <row r="7227" spans="17:17" x14ac:dyDescent="0.25">
      <c r="Q7227" s="8"/>
    </row>
    <row r="7228" spans="17:17" x14ac:dyDescent="0.25">
      <c r="Q7228" s="8"/>
    </row>
    <row r="7229" spans="17:17" x14ac:dyDescent="0.25">
      <c r="Q7229" s="8"/>
    </row>
    <row r="7230" spans="17:17" x14ac:dyDescent="0.25">
      <c r="Q7230" s="8"/>
    </row>
    <row r="7231" spans="17:17" x14ac:dyDescent="0.25">
      <c r="Q7231" s="8"/>
    </row>
    <row r="7232" spans="17:17" x14ac:dyDescent="0.25">
      <c r="Q7232" s="8"/>
    </row>
    <row r="7233" spans="17:17" x14ac:dyDescent="0.25">
      <c r="Q7233" s="8"/>
    </row>
    <row r="7234" spans="17:17" x14ac:dyDescent="0.25">
      <c r="Q7234" s="8"/>
    </row>
    <row r="7235" spans="17:17" x14ac:dyDescent="0.25">
      <c r="Q7235" s="8"/>
    </row>
    <row r="7236" spans="17:17" x14ac:dyDescent="0.25">
      <c r="Q7236" s="8"/>
    </row>
    <row r="7237" spans="17:17" x14ac:dyDescent="0.25">
      <c r="Q7237" s="8"/>
    </row>
    <row r="7238" spans="17:17" x14ac:dyDescent="0.25">
      <c r="Q7238" s="8"/>
    </row>
    <row r="7239" spans="17:17" x14ac:dyDescent="0.25">
      <c r="Q7239" s="8"/>
    </row>
    <row r="7240" spans="17:17" x14ac:dyDescent="0.25">
      <c r="Q7240" s="8"/>
    </row>
    <row r="7241" spans="17:17" x14ac:dyDescent="0.25">
      <c r="Q7241" s="8"/>
    </row>
    <row r="7242" spans="17:17" x14ac:dyDescent="0.25">
      <c r="Q7242" s="8"/>
    </row>
    <row r="7243" spans="17:17" x14ac:dyDescent="0.25">
      <c r="Q7243" s="8"/>
    </row>
    <row r="7244" spans="17:17" x14ac:dyDescent="0.25">
      <c r="Q7244" s="8"/>
    </row>
    <row r="7245" spans="17:17" x14ac:dyDescent="0.25">
      <c r="Q7245" s="8"/>
    </row>
    <row r="7246" spans="17:17" x14ac:dyDescent="0.25">
      <c r="Q7246" s="8"/>
    </row>
    <row r="7247" spans="17:17" x14ac:dyDescent="0.25">
      <c r="Q7247" s="8"/>
    </row>
    <row r="7248" spans="17:17" x14ac:dyDescent="0.25">
      <c r="Q7248" s="8"/>
    </row>
    <row r="7249" spans="17:17" x14ac:dyDescent="0.25">
      <c r="Q7249" s="8"/>
    </row>
    <row r="7250" spans="17:17" x14ac:dyDescent="0.25">
      <c r="Q7250" s="8"/>
    </row>
    <row r="7251" spans="17:17" x14ac:dyDescent="0.25">
      <c r="Q7251" s="8"/>
    </row>
    <row r="7252" spans="17:17" x14ac:dyDescent="0.25">
      <c r="Q7252" s="8"/>
    </row>
    <row r="7253" spans="17:17" x14ac:dyDescent="0.25">
      <c r="Q7253" s="8"/>
    </row>
    <row r="7254" spans="17:17" x14ac:dyDescent="0.25">
      <c r="Q7254" s="8"/>
    </row>
    <row r="7255" spans="17:17" x14ac:dyDescent="0.25">
      <c r="Q7255" s="8"/>
    </row>
    <row r="7256" spans="17:17" x14ac:dyDescent="0.25">
      <c r="Q7256" s="8"/>
    </row>
    <row r="7257" spans="17:17" x14ac:dyDescent="0.25">
      <c r="Q7257" s="8"/>
    </row>
    <row r="7258" spans="17:17" x14ac:dyDescent="0.25">
      <c r="Q7258" s="8"/>
    </row>
    <row r="7259" spans="17:17" x14ac:dyDescent="0.25">
      <c r="Q7259" s="8"/>
    </row>
    <row r="7260" spans="17:17" x14ac:dyDescent="0.25">
      <c r="Q7260" s="8"/>
    </row>
    <row r="7261" spans="17:17" x14ac:dyDescent="0.25">
      <c r="Q7261" s="8"/>
    </row>
    <row r="7262" spans="17:17" x14ac:dyDescent="0.25">
      <c r="Q7262" s="8"/>
    </row>
    <row r="7263" spans="17:17" x14ac:dyDescent="0.25">
      <c r="Q7263" s="8"/>
    </row>
    <row r="7264" spans="17:17" x14ac:dyDescent="0.25">
      <c r="Q7264" s="8"/>
    </row>
    <row r="7265" spans="17:17" x14ac:dyDescent="0.25">
      <c r="Q7265" s="8"/>
    </row>
    <row r="7266" spans="17:17" x14ac:dyDescent="0.25">
      <c r="Q7266" s="8"/>
    </row>
    <row r="7267" spans="17:17" x14ac:dyDescent="0.25">
      <c r="Q7267" s="8"/>
    </row>
    <row r="7268" spans="17:17" x14ac:dyDescent="0.25">
      <c r="Q7268" s="8"/>
    </row>
    <row r="7269" spans="17:17" x14ac:dyDescent="0.25">
      <c r="Q7269" s="8"/>
    </row>
    <row r="7270" spans="17:17" x14ac:dyDescent="0.25">
      <c r="Q7270" s="8"/>
    </row>
    <row r="7271" spans="17:17" x14ac:dyDescent="0.25">
      <c r="Q7271" s="8"/>
    </row>
    <row r="7272" spans="17:17" x14ac:dyDescent="0.25">
      <c r="Q7272" s="8"/>
    </row>
    <row r="7273" spans="17:17" x14ac:dyDescent="0.25">
      <c r="Q7273" s="8"/>
    </row>
    <row r="7274" spans="17:17" x14ac:dyDescent="0.25">
      <c r="Q7274" s="8"/>
    </row>
    <row r="7275" spans="17:17" x14ac:dyDescent="0.25">
      <c r="Q7275" s="8"/>
    </row>
    <row r="7276" spans="17:17" x14ac:dyDescent="0.25">
      <c r="Q7276" s="8"/>
    </row>
    <row r="7277" spans="17:17" x14ac:dyDescent="0.25">
      <c r="Q7277" s="8"/>
    </row>
    <row r="7278" spans="17:17" x14ac:dyDescent="0.25">
      <c r="Q7278" s="8"/>
    </row>
    <row r="7279" spans="17:17" x14ac:dyDescent="0.25">
      <c r="Q7279" s="8"/>
    </row>
    <row r="7280" spans="17:17" x14ac:dyDescent="0.25">
      <c r="Q7280" s="8"/>
    </row>
    <row r="7281" spans="17:17" x14ac:dyDescent="0.25">
      <c r="Q7281" s="8"/>
    </row>
    <row r="7282" spans="17:17" x14ac:dyDescent="0.25">
      <c r="Q7282" s="8"/>
    </row>
    <row r="7283" spans="17:17" x14ac:dyDescent="0.25">
      <c r="Q7283" s="8"/>
    </row>
    <row r="7284" spans="17:17" x14ac:dyDescent="0.25">
      <c r="Q7284" s="8"/>
    </row>
    <row r="7285" spans="17:17" x14ac:dyDescent="0.25">
      <c r="Q7285" s="8"/>
    </row>
    <row r="7286" spans="17:17" x14ac:dyDescent="0.25">
      <c r="Q7286" s="8"/>
    </row>
    <row r="7287" spans="17:17" x14ac:dyDescent="0.25">
      <c r="Q7287" s="8"/>
    </row>
    <row r="7288" spans="17:17" x14ac:dyDescent="0.25">
      <c r="Q7288" s="8"/>
    </row>
    <row r="7289" spans="17:17" x14ac:dyDescent="0.25">
      <c r="Q7289" s="8"/>
    </row>
    <row r="7290" spans="17:17" x14ac:dyDescent="0.25">
      <c r="Q7290" s="8"/>
    </row>
    <row r="7291" spans="17:17" x14ac:dyDescent="0.25">
      <c r="Q7291" s="8"/>
    </row>
    <row r="7292" spans="17:17" x14ac:dyDescent="0.25">
      <c r="Q7292" s="8"/>
    </row>
    <row r="7293" spans="17:17" x14ac:dyDescent="0.25">
      <c r="Q7293" s="8"/>
    </row>
    <row r="7294" spans="17:17" x14ac:dyDescent="0.25">
      <c r="Q7294" s="8"/>
    </row>
    <row r="7295" spans="17:17" x14ac:dyDescent="0.25">
      <c r="Q7295" s="8"/>
    </row>
    <row r="7296" spans="17:17" x14ac:dyDescent="0.25">
      <c r="Q7296" s="8"/>
    </row>
    <row r="7297" spans="17:17" x14ac:dyDescent="0.25">
      <c r="Q7297" s="8"/>
    </row>
    <row r="7298" spans="17:17" x14ac:dyDescent="0.25">
      <c r="Q7298" s="8"/>
    </row>
    <row r="7299" spans="17:17" x14ac:dyDescent="0.25">
      <c r="Q7299" s="8"/>
    </row>
    <row r="7300" spans="17:17" x14ac:dyDescent="0.25">
      <c r="Q7300" s="8"/>
    </row>
    <row r="7301" spans="17:17" x14ac:dyDescent="0.25">
      <c r="Q7301" s="8"/>
    </row>
    <row r="7302" spans="17:17" x14ac:dyDescent="0.25">
      <c r="Q7302" s="8"/>
    </row>
    <row r="7303" spans="17:17" x14ac:dyDescent="0.25">
      <c r="Q7303" s="8"/>
    </row>
    <row r="7304" spans="17:17" x14ac:dyDescent="0.25">
      <c r="Q7304" s="8"/>
    </row>
    <row r="7305" spans="17:17" x14ac:dyDescent="0.25">
      <c r="Q7305" s="8"/>
    </row>
    <row r="7306" spans="17:17" x14ac:dyDescent="0.25">
      <c r="Q7306" s="8"/>
    </row>
    <row r="7307" spans="17:17" x14ac:dyDescent="0.25">
      <c r="Q7307" s="8"/>
    </row>
    <row r="7308" spans="17:17" x14ac:dyDescent="0.25">
      <c r="Q7308" s="8"/>
    </row>
    <row r="7309" spans="17:17" x14ac:dyDescent="0.25">
      <c r="Q7309" s="8"/>
    </row>
    <row r="7310" spans="17:17" x14ac:dyDescent="0.25">
      <c r="Q7310" s="8"/>
    </row>
    <row r="7311" spans="17:17" x14ac:dyDescent="0.25">
      <c r="Q7311" s="8"/>
    </row>
    <row r="7312" spans="17:17" x14ac:dyDescent="0.25">
      <c r="Q7312" s="8"/>
    </row>
    <row r="7313" spans="17:17" x14ac:dyDescent="0.25">
      <c r="Q7313" s="8"/>
    </row>
    <row r="7314" spans="17:17" x14ac:dyDescent="0.25">
      <c r="Q7314" s="8"/>
    </row>
    <row r="7315" spans="17:17" x14ac:dyDescent="0.25">
      <c r="Q7315" s="8"/>
    </row>
    <row r="7316" spans="17:17" x14ac:dyDescent="0.25">
      <c r="Q7316" s="8"/>
    </row>
    <row r="7317" spans="17:17" x14ac:dyDescent="0.25">
      <c r="Q7317" s="8"/>
    </row>
    <row r="7318" spans="17:17" x14ac:dyDescent="0.25">
      <c r="Q7318" s="8"/>
    </row>
    <row r="7319" spans="17:17" x14ac:dyDescent="0.25">
      <c r="Q7319" s="8"/>
    </row>
    <row r="7320" spans="17:17" x14ac:dyDescent="0.25">
      <c r="Q7320" s="8"/>
    </row>
    <row r="7321" spans="17:17" x14ac:dyDescent="0.25">
      <c r="Q7321" s="8"/>
    </row>
    <row r="7322" spans="17:17" x14ac:dyDescent="0.25">
      <c r="Q7322" s="8"/>
    </row>
    <row r="7323" spans="17:17" x14ac:dyDescent="0.25">
      <c r="Q7323" s="8"/>
    </row>
    <row r="7324" spans="17:17" x14ac:dyDescent="0.25">
      <c r="Q7324" s="8"/>
    </row>
    <row r="7325" spans="17:17" x14ac:dyDescent="0.25">
      <c r="Q7325" s="8"/>
    </row>
    <row r="7326" spans="17:17" x14ac:dyDescent="0.25">
      <c r="Q7326" s="8"/>
    </row>
    <row r="7327" spans="17:17" x14ac:dyDescent="0.25">
      <c r="Q7327" s="8"/>
    </row>
    <row r="7328" spans="17:17" x14ac:dyDescent="0.25">
      <c r="Q7328" s="8"/>
    </row>
    <row r="7329" spans="17:17" x14ac:dyDescent="0.25">
      <c r="Q7329" s="8"/>
    </row>
    <row r="7330" spans="17:17" x14ac:dyDescent="0.25">
      <c r="Q7330" s="8"/>
    </row>
    <row r="7331" spans="17:17" x14ac:dyDescent="0.25">
      <c r="Q7331" s="8"/>
    </row>
    <row r="7332" spans="17:17" x14ac:dyDescent="0.25">
      <c r="Q7332" s="8"/>
    </row>
    <row r="7333" spans="17:17" x14ac:dyDescent="0.25">
      <c r="Q7333" s="8"/>
    </row>
    <row r="7334" spans="17:17" x14ac:dyDescent="0.25">
      <c r="Q7334" s="8"/>
    </row>
    <row r="7335" spans="17:17" x14ac:dyDescent="0.25">
      <c r="Q7335" s="8"/>
    </row>
    <row r="7336" spans="17:17" x14ac:dyDescent="0.25">
      <c r="Q7336" s="8"/>
    </row>
    <row r="7337" spans="17:17" x14ac:dyDescent="0.25">
      <c r="Q7337" s="8"/>
    </row>
    <row r="7338" spans="17:17" x14ac:dyDescent="0.25">
      <c r="Q7338" s="8"/>
    </row>
    <row r="7339" spans="17:17" x14ac:dyDescent="0.25">
      <c r="Q7339" s="8"/>
    </row>
    <row r="7340" spans="17:17" x14ac:dyDescent="0.25">
      <c r="Q7340" s="8"/>
    </row>
    <row r="7341" spans="17:17" x14ac:dyDescent="0.25">
      <c r="Q7341" s="8"/>
    </row>
    <row r="7342" spans="17:17" x14ac:dyDescent="0.25">
      <c r="Q7342" s="8"/>
    </row>
    <row r="7343" spans="17:17" x14ac:dyDescent="0.25">
      <c r="Q7343" s="8"/>
    </row>
    <row r="7344" spans="17:17" x14ac:dyDescent="0.25">
      <c r="Q7344" s="8"/>
    </row>
    <row r="7345" spans="17:17" x14ac:dyDescent="0.25">
      <c r="Q7345" s="8"/>
    </row>
    <row r="7346" spans="17:17" x14ac:dyDescent="0.25">
      <c r="Q7346" s="8"/>
    </row>
    <row r="7347" spans="17:17" x14ac:dyDescent="0.25">
      <c r="Q7347" s="8"/>
    </row>
    <row r="7348" spans="17:17" x14ac:dyDescent="0.25">
      <c r="Q7348" s="8"/>
    </row>
    <row r="7349" spans="17:17" x14ac:dyDescent="0.25">
      <c r="Q7349" s="8"/>
    </row>
    <row r="7350" spans="17:17" x14ac:dyDescent="0.25">
      <c r="Q7350" s="8"/>
    </row>
    <row r="7351" spans="17:17" x14ac:dyDescent="0.25">
      <c r="Q7351" s="8"/>
    </row>
    <row r="7352" spans="17:17" x14ac:dyDescent="0.25">
      <c r="Q7352" s="8"/>
    </row>
    <row r="7353" spans="17:17" x14ac:dyDescent="0.25">
      <c r="Q7353" s="8"/>
    </row>
    <row r="7354" spans="17:17" x14ac:dyDescent="0.25">
      <c r="Q7354" s="8"/>
    </row>
    <row r="7355" spans="17:17" x14ac:dyDescent="0.25">
      <c r="Q7355" s="8"/>
    </row>
    <row r="7356" spans="17:17" x14ac:dyDescent="0.25">
      <c r="Q7356" s="8"/>
    </row>
    <row r="7357" spans="17:17" x14ac:dyDescent="0.25">
      <c r="Q7357" s="8"/>
    </row>
    <row r="7358" spans="17:17" x14ac:dyDescent="0.25">
      <c r="Q7358" s="8"/>
    </row>
    <row r="7359" spans="17:17" x14ac:dyDescent="0.25">
      <c r="Q7359" s="8"/>
    </row>
    <row r="7360" spans="17:17" x14ac:dyDescent="0.25">
      <c r="Q7360" s="8"/>
    </row>
    <row r="7361" spans="17:17" x14ac:dyDescent="0.25">
      <c r="Q7361" s="8"/>
    </row>
    <row r="7362" spans="17:17" x14ac:dyDescent="0.25">
      <c r="Q7362" s="8"/>
    </row>
    <row r="7363" spans="17:17" x14ac:dyDescent="0.25">
      <c r="Q7363" s="8"/>
    </row>
    <row r="7364" spans="17:17" x14ac:dyDescent="0.25">
      <c r="Q7364" s="8"/>
    </row>
    <row r="7365" spans="17:17" x14ac:dyDescent="0.25">
      <c r="Q7365" s="8"/>
    </row>
    <row r="7366" spans="17:17" x14ac:dyDescent="0.25">
      <c r="Q7366" s="8"/>
    </row>
    <row r="7367" spans="17:17" x14ac:dyDescent="0.25">
      <c r="Q7367" s="8"/>
    </row>
    <row r="7368" spans="17:17" x14ac:dyDescent="0.25">
      <c r="Q7368" s="8"/>
    </row>
    <row r="7369" spans="17:17" x14ac:dyDescent="0.25">
      <c r="Q7369" s="8"/>
    </row>
    <row r="7370" spans="17:17" x14ac:dyDescent="0.25">
      <c r="Q7370" s="8"/>
    </row>
    <row r="7371" spans="17:17" x14ac:dyDescent="0.25">
      <c r="Q7371" s="8"/>
    </row>
    <row r="7372" spans="17:17" x14ac:dyDescent="0.25">
      <c r="Q7372" s="8"/>
    </row>
    <row r="7373" spans="17:17" x14ac:dyDescent="0.25">
      <c r="Q7373" s="8"/>
    </row>
    <row r="7374" spans="17:17" x14ac:dyDescent="0.25">
      <c r="Q7374" s="8"/>
    </row>
    <row r="7375" spans="17:17" x14ac:dyDescent="0.25">
      <c r="Q7375" s="8"/>
    </row>
    <row r="7376" spans="17:17" x14ac:dyDescent="0.25">
      <c r="Q7376" s="8"/>
    </row>
    <row r="7377" spans="17:17" x14ac:dyDescent="0.25">
      <c r="Q7377" s="8"/>
    </row>
    <row r="7378" spans="17:17" x14ac:dyDescent="0.25">
      <c r="Q7378" s="8"/>
    </row>
    <row r="7379" spans="17:17" x14ac:dyDescent="0.25">
      <c r="Q7379" s="8"/>
    </row>
    <row r="7380" spans="17:17" x14ac:dyDescent="0.25">
      <c r="Q7380" s="8"/>
    </row>
    <row r="7381" spans="17:17" x14ac:dyDescent="0.25">
      <c r="Q7381" s="8"/>
    </row>
    <row r="7382" spans="17:17" x14ac:dyDescent="0.25">
      <c r="Q7382" s="8"/>
    </row>
    <row r="7383" spans="17:17" x14ac:dyDescent="0.25">
      <c r="Q7383" s="8"/>
    </row>
    <row r="7384" spans="17:17" x14ac:dyDescent="0.25">
      <c r="Q7384" s="8"/>
    </row>
    <row r="7385" spans="17:17" x14ac:dyDescent="0.25">
      <c r="Q7385" s="8"/>
    </row>
    <row r="7386" spans="17:17" x14ac:dyDescent="0.25">
      <c r="Q7386" s="8"/>
    </row>
    <row r="7387" spans="17:17" x14ac:dyDescent="0.25">
      <c r="Q7387" s="8"/>
    </row>
    <row r="7388" spans="17:17" x14ac:dyDescent="0.25">
      <c r="Q7388" s="8"/>
    </row>
    <row r="7389" spans="17:17" x14ac:dyDescent="0.25">
      <c r="Q7389" s="8"/>
    </row>
    <row r="7390" spans="17:17" x14ac:dyDescent="0.25">
      <c r="Q7390" s="8"/>
    </row>
    <row r="7391" spans="17:17" x14ac:dyDescent="0.25">
      <c r="Q7391" s="8"/>
    </row>
    <row r="7392" spans="17:17" x14ac:dyDescent="0.25">
      <c r="Q7392" s="8"/>
    </row>
    <row r="7393" spans="17:17" x14ac:dyDescent="0.25">
      <c r="Q7393" s="8"/>
    </row>
    <row r="7394" spans="17:17" x14ac:dyDescent="0.25">
      <c r="Q7394" s="8"/>
    </row>
    <row r="7395" spans="17:17" x14ac:dyDescent="0.25">
      <c r="Q7395" s="8"/>
    </row>
    <row r="7396" spans="17:17" x14ac:dyDescent="0.25">
      <c r="Q7396" s="8"/>
    </row>
    <row r="7397" spans="17:17" x14ac:dyDescent="0.25">
      <c r="Q7397" s="8"/>
    </row>
    <row r="7398" spans="17:17" x14ac:dyDescent="0.25">
      <c r="Q7398" s="8"/>
    </row>
    <row r="7399" spans="17:17" x14ac:dyDescent="0.25">
      <c r="Q7399" s="8"/>
    </row>
    <row r="7400" spans="17:17" x14ac:dyDescent="0.25">
      <c r="Q7400" s="8"/>
    </row>
    <row r="7401" spans="17:17" x14ac:dyDescent="0.25">
      <c r="Q7401" s="8"/>
    </row>
    <row r="7402" spans="17:17" x14ac:dyDescent="0.25">
      <c r="Q7402" s="8"/>
    </row>
    <row r="7403" spans="17:17" x14ac:dyDescent="0.25">
      <c r="Q7403" s="8"/>
    </row>
    <row r="7404" spans="17:17" x14ac:dyDescent="0.25">
      <c r="Q7404" s="8"/>
    </row>
    <row r="7405" spans="17:17" x14ac:dyDescent="0.25">
      <c r="Q7405" s="8"/>
    </row>
    <row r="7406" spans="17:17" x14ac:dyDescent="0.25">
      <c r="Q7406" s="8"/>
    </row>
    <row r="7407" spans="17:17" x14ac:dyDescent="0.25">
      <c r="Q7407" s="8"/>
    </row>
    <row r="7408" spans="17:17" x14ac:dyDescent="0.25">
      <c r="Q7408" s="8"/>
    </row>
    <row r="7409" spans="17:17" x14ac:dyDescent="0.25">
      <c r="Q7409" s="8"/>
    </row>
    <row r="7410" spans="17:17" x14ac:dyDescent="0.25">
      <c r="Q7410" s="8"/>
    </row>
    <row r="7411" spans="17:17" x14ac:dyDescent="0.25">
      <c r="Q7411" s="8"/>
    </row>
    <row r="7412" spans="17:17" x14ac:dyDescent="0.25">
      <c r="Q7412" s="8"/>
    </row>
    <row r="7413" spans="17:17" x14ac:dyDescent="0.25">
      <c r="Q7413" s="8"/>
    </row>
    <row r="7414" spans="17:17" x14ac:dyDescent="0.25">
      <c r="Q7414" s="8"/>
    </row>
    <row r="7415" spans="17:17" x14ac:dyDescent="0.25">
      <c r="Q7415" s="8"/>
    </row>
    <row r="7416" spans="17:17" x14ac:dyDescent="0.25">
      <c r="Q7416" s="8"/>
    </row>
    <row r="7417" spans="17:17" x14ac:dyDescent="0.25">
      <c r="Q7417" s="8"/>
    </row>
    <row r="7418" spans="17:17" x14ac:dyDescent="0.25">
      <c r="Q7418" s="8"/>
    </row>
    <row r="7419" spans="17:17" x14ac:dyDescent="0.25">
      <c r="Q7419" s="8"/>
    </row>
    <row r="7420" spans="17:17" x14ac:dyDescent="0.25">
      <c r="Q7420" s="8"/>
    </row>
    <row r="7421" spans="17:17" x14ac:dyDescent="0.25">
      <c r="Q7421" s="8"/>
    </row>
    <row r="7422" spans="17:17" x14ac:dyDescent="0.25">
      <c r="Q7422" s="8"/>
    </row>
    <row r="7423" spans="17:17" x14ac:dyDescent="0.25">
      <c r="Q7423" s="8"/>
    </row>
    <row r="7424" spans="17:17" x14ac:dyDescent="0.25">
      <c r="Q7424" s="8"/>
    </row>
    <row r="7425" spans="17:17" x14ac:dyDescent="0.25">
      <c r="Q7425" s="8"/>
    </row>
    <row r="7426" spans="17:17" x14ac:dyDescent="0.25">
      <c r="Q7426" s="8"/>
    </row>
    <row r="7427" spans="17:17" x14ac:dyDescent="0.25">
      <c r="Q7427" s="8"/>
    </row>
    <row r="7428" spans="17:17" x14ac:dyDescent="0.25">
      <c r="Q7428" s="8"/>
    </row>
    <row r="7429" spans="17:17" x14ac:dyDescent="0.25">
      <c r="Q7429" s="8"/>
    </row>
    <row r="7430" spans="17:17" x14ac:dyDescent="0.25">
      <c r="Q7430" s="8"/>
    </row>
    <row r="7431" spans="17:17" x14ac:dyDescent="0.25">
      <c r="Q7431" s="8"/>
    </row>
    <row r="7432" spans="17:17" x14ac:dyDescent="0.25">
      <c r="Q7432" s="8"/>
    </row>
    <row r="7433" spans="17:17" x14ac:dyDescent="0.25">
      <c r="Q7433" s="8"/>
    </row>
    <row r="7434" spans="17:17" x14ac:dyDescent="0.25">
      <c r="Q7434" s="8"/>
    </row>
    <row r="7435" spans="17:17" x14ac:dyDescent="0.25">
      <c r="Q7435" s="8"/>
    </row>
    <row r="7436" spans="17:17" x14ac:dyDescent="0.25">
      <c r="Q7436" s="8"/>
    </row>
    <row r="7437" spans="17:17" x14ac:dyDescent="0.25">
      <c r="Q7437" s="8"/>
    </row>
    <row r="7438" spans="17:17" x14ac:dyDescent="0.25">
      <c r="Q7438" s="8"/>
    </row>
    <row r="7439" spans="17:17" x14ac:dyDescent="0.25">
      <c r="Q7439" s="8"/>
    </row>
    <row r="7440" spans="17:17" x14ac:dyDescent="0.25">
      <c r="Q7440" s="8"/>
    </row>
    <row r="7441" spans="17:17" x14ac:dyDescent="0.25">
      <c r="Q7441" s="8"/>
    </row>
    <row r="7442" spans="17:17" x14ac:dyDescent="0.25">
      <c r="Q7442" s="8"/>
    </row>
    <row r="7443" spans="17:17" x14ac:dyDescent="0.25">
      <c r="Q7443" s="8"/>
    </row>
    <row r="7444" spans="17:17" x14ac:dyDescent="0.25">
      <c r="Q7444" s="8"/>
    </row>
    <row r="7445" spans="17:17" x14ac:dyDescent="0.25">
      <c r="Q7445" s="8"/>
    </row>
    <row r="7446" spans="17:17" x14ac:dyDescent="0.25">
      <c r="Q7446" s="8"/>
    </row>
    <row r="7447" spans="17:17" x14ac:dyDescent="0.25">
      <c r="Q7447" s="8"/>
    </row>
    <row r="7448" spans="17:17" x14ac:dyDescent="0.25">
      <c r="Q7448" s="8"/>
    </row>
    <row r="7449" spans="17:17" x14ac:dyDescent="0.25">
      <c r="Q7449" s="8"/>
    </row>
    <row r="7450" spans="17:17" x14ac:dyDescent="0.25">
      <c r="Q7450" s="8"/>
    </row>
    <row r="7451" spans="17:17" x14ac:dyDescent="0.25">
      <c r="Q7451" s="8"/>
    </row>
    <row r="7452" spans="17:17" x14ac:dyDescent="0.25">
      <c r="Q7452" s="8"/>
    </row>
    <row r="7453" spans="17:17" x14ac:dyDescent="0.25">
      <c r="Q7453" s="8"/>
    </row>
    <row r="7454" spans="17:17" x14ac:dyDescent="0.25">
      <c r="Q7454" s="8"/>
    </row>
    <row r="7455" spans="17:17" x14ac:dyDescent="0.25">
      <c r="Q7455" s="8"/>
    </row>
    <row r="7456" spans="17:17" x14ac:dyDescent="0.25">
      <c r="Q7456" s="8"/>
    </row>
    <row r="7457" spans="17:17" x14ac:dyDescent="0.25">
      <c r="Q7457" s="8"/>
    </row>
    <row r="7458" spans="17:17" x14ac:dyDescent="0.25">
      <c r="Q7458" s="8"/>
    </row>
    <row r="7459" spans="17:17" x14ac:dyDescent="0.25">
      <c r="Q7459" s="8"/>
    </row>
    <row r="7460" spans="17:17" x14ac:dyDescent="0.25">
      <c r="Q7460" s="8"/>
    </row>
    <row r="7461" spans="17:17" x14ac:dyDescent="0.25">
      <c r="Q7461" s="8"/>
    </row>
    <row r="7462" spans="17:17" x14ac:dyDescent="0.25">
      <c r="Q7462" s="8"/>
    </row>
    <row r="7463" spans="17:17" x14ac:dyDescent="0.25">
      <c r="Q7463" s="8"/>
    </row>
    <row r="7464" spans="17:17" x14ac:dyDescent="0.25">
      <c r="Q7464" s="8"/>
    </row>
    <row r="7465" spans="17:17" x14ac:dyDescent="0.25">
      <c r="Q7465" s="8"/>
    </row>
    <row r="7466" spans="17:17" x14ac:dyDescent="0.25">
      <c r="Q7466" s="8"/>
    </row>
    <row r="7467" spans="17:17" x14ac:dyDescent="0.25">
      <c r="Q7467" s="8"/>
    </row>
    <row r="7468" spans="17:17" x14ac:dyDescent="0.25">
      <c r="Q7468" s="8"/>
    </row>
    <row r="7469" spans="17:17" x14ac:dyDescent="0.25">
      <c r="Q7469" s="8"/>
    </row>
    <row r="7470" spans="17:17" x14ac:dyDescent="0.25">
      <c r="Q7470" s="8"/>
    </row>
    <row r="7471" spans="17:17" x14ac:dyDescent="0.25">
      <c r="Q7471" s="8"/>
    </row>
    <row r="7472" spans="17:17" x14ac:dyDescent="0.25">
      <c r="Q7472" s="8"/>
    </row>
    <row r="7473" spans="17:17" x14ac:dyDescent="0.25">
      <c r="Q7473" s="8"/>
    </row>
    <row r="7474" spans="17:17" x14ac:dyDescent="0.25">
      <c r="Q7474" s="8"/>
    </row>
    <row r="7475" spans="17:17" x14ac:dyDescent="0.25">
      <c r="Q7475" s="8"/>
    </row>
    <row r="7476" spans="17:17" x14ac:dyDescent="0.25">
      <c r="Q7476" s="8"/>
    </row>
    <row r="7477" spans="17:17" x14ac:dyDescent="0.25">
      <c r="Q7477" s="8"/>
    </row>
    <row r="7478" spans="17:17" x14ac:dyDescent="0.25">
      <c r="Q7478" s="8"/>
    </row>
    <row r="7479" spans="17:17" x14ac:dyDescent="0.25">
      <c r="Q7479" s="8"/>
    </row>
    <row r="7480" spans="17:17" x14ac:dyDescent="0.25">
      <c r="Q7480" s="8"/>
    </row>
    <row r="7481" spans="17:17" x14ac:dyDescent="0.25">
      <c r="Q7481" s="8"/>
    </row>
    <row r="7482" spans="17:17" x14ac:dyDescent="0.25">
      <c r="Q7482" s="8"/>
    </row>
    <row r="7483" spans="17:17" x14ac:dyDescent="0.25">
      <c r="Q7483" s="8"/>
    </row>
    <row r="7484" spans="17:17" x14ac:dyDescent="0.25">
      <c r="Q7484" s="8"/>
    </row>
    <row r="7485" spans="17:17" x14ac:dyDescent="0.25">
      <c r="Q7485" s="8"/>
    </row>
    <row r="7486" spans="17:17" x14ac:dyDescent="0.25">
      <c r="Q7486" s="8"/>
    </row>
    <row r="7487" spans="17:17" x14ac:dyDescent="0.25">
      <c r="Q7487" s="8"/>
    </row>
    <row r="7488" spans="17:17" x14ac:dyDescent="0.25">
      <c r="Q7488" s="8"/>
    </row>
    <row r="7489" spans="17:17" x14ac:dyDescent="0.25">
      <c r="Q7489" s="8"/>
    </row>
    <row r="7490" spans="17:17" x14ac:dyDescent="0.25">
      <c r="Q7490" s="8"/>
    </row>
    <row r="7491" spans="17:17" x14ac:dyDescent="0.25">
      <c r="Q7491" s="8"/>
    </row>
    <row r="7492" spans="17:17" x14ac:dyDescent="0.25">
      <c r="Q7492" s="8"/>
    </row>
    <row r="7493" spans="17:17" x14ac:dyDescent="0.25">
      <c r="Q7493" s="8"/>
    </row>
    <row r="7494" spans="17:17" x14ac:dyDescent="0.25">
      <c r="Q7494" s="8"/>
    </row>
    <row r="7495" spans="17:17" x14ac:dyDescent="0.25">
      <c r="Q7495" s="8"/>
    </row>
    <row r="7496" spans="17:17" x14ac:dyDescent="0.25">
      <c r="Q7496" s="8"/>
    </row>
    <row r="7497" spans="17:17" x14ac:dyDescent="0.25">
      <c r="Q7497" s="8"/>
    </row>
    <row r="7498" spans="17:17" x14ac:dyDescent="0.25">
      <c r="Q7498" s="8"/>
    </row>
    <row r="7499" spans="17:17" x14ac:dyDescent="0.25">
      <c r="Q7499" s="8"/>
    </row>
    <row r="7500" spans="17:17" x14ac:dyDescent="0.25">
      <c r="Q7500" s="8"/>
    </row>
    <row r="7501" spans="17:17" x14ac:dyDescent="0.25">
      <c r="Q7501" s="8"/>
    </row>
    <row r="7502" spans="17:17" x14ac:dyDescent="0.25">
      <c r="Q7502" s="8"/>
    </row>
    <row r="7503" spans="17:17" x14ac:dyDescent="0.25">
      <c r="Q7503" s="8"/>
    </row>
    <row r="7504" spans="17:17" x14ac:dyDescent="0.25">
      <c r="Q7504" s="8"/>
    </row>
    <row r="7505" spans="17:17" x14ac:dyDescent="0.25">
      <c r="Q7505" s="8"/>
    </row>
    <row r="7506" spans="17:17" x14ac:dyDescent="0.25">
      <c r="Q7506" s="8"/>
    </row>
    <row r="7507" spans="17:17" x14ac:dyDescent="0.25">
      <c r="Q7507" s="8"/>
    </row>
    <row r="7508" spans="17:17" x14ac:dyDescent="0.25">
      <c r="Q7508" s="8"/>
    </row>
    <row r="7509" spans="17:17" x14ac:dyDescent="0.25">
      <c r="Q7509" s="8"/>
    </row>
    <row r="7510" spans="17:17" x14ac:dyDescent="0.25">
      <c r="Q7510" s="8"/>
    </row>
    <row r="7511" spans="17:17" x14ac:dyDescent="0.25">
      <c r="Q7511" s="8"/>
    </row>
    <row r="7512" spans="17:17" x14ac:dyDescent="0.25">
      <c r="Q7512" s="8"/>
    </row>
    <row r="7513" spans="17:17" x14ac:dyDescent="0.25">
      <c r="Q7513" s="8"/>
    </row>
    <row r="7514" spans="17:17" x14ac:dyDescent="0.25">
      <c r="Q7514" s="8"/>
    </row>
    <row r="7515" spans="17:17" x14ac:dyDescent="0.25">
      <c r="Q7515" s="8"/>
    </row>
    <row r="7516" spans="17:17" x14ac:dyDescent="0.25">
      <c r="Q7516" s="8"/>
    </row>
    <row r="7517" spans="17:17" x14ac:dyDescent="0.25">
      <c r="Q7517" s="8"/>
    </row>
    <row r="7518" spans="17:17" x14ac:dyDescent="0.25">
      <c r="Q7518" s="8"/>
    </row>
    <row r="7519" spans="17:17" x14ac:dyDescent="0.25">
      <c r="Q7519" s="8"/>
    </row>
    <row r="7520" spans="17:17" x14ac:dyDescent="0.25">
      <c r="Q7520" s="8"/>
    </row>
    <row r="7521" spans="17:17" x14ac:dyDescent="0.25">
      <c r="Q7521" s="8"/>
    </row>
    <row r="7522" spans="17:17" x14ac:dyDescent="0.25">
      <c r="Q7522" s="8"/>
    </row>
    <row r="7523" spans="17:17" x14ac:dyDescent="0.25">
      <c r="Q7523" s="8"/>
    </row>
    <row r="7524" spans="17:17" x14ac:dyDescent="0.25">
      <c r="Q7524" s="8"/>
    </row>
    <row r="7525" spans="17:17" x14ac:dyDescent="0.25">
      <c r="Q7525" s="8"/>
    </row>
    <row r="7526" spans="17:17" x14ac:dyDescent="0.25">
      <c r="Q7526" s="8"/>
    </row>
    <row r="7527" spans="17:17" x14ac:dyDescent="0.25">
      <c r="Q7527" s="8"/>
    </row>
    <row r="7528" spans="17:17" x14ac:dyDescent="0.25">
      <c r="Q7528" s="8"/>
    </row>
    <row r="7529" spans="17:17" x14ac:dyDescent="0.25">
      <c r="Q7529" s="8"/>
    </row>
    <row r="7530" spans="17:17" x14ac:dyDescent="0.25">
      <c r="Q7530" s="8"/>
    </row>
    <row r="7531" spans="17:17" x14ac:dyDescent="0.25">
      <c r="Q7531" s="8"/>
    </row>
    <row r="7532" spans="17:17" x14ac:dyDescent="0.25">
      <c r="Q7532" s="8"/>
    </row>
    <row r="7533" spans="17:17" x14ac:dyDescent="0.25">
      <c r="Q7533" s="8"/>
    </row>
    <row r="7534" spans="17:17" x14ac:dyDescent="0.25">
      <c r="Q7534" s="8"/>
    </row>
    <row r="7535" spans="17:17" x14ac:dyDescent="0.25">
      <c r="Q7535" s="8"/>
    </row>
    <row r="7536" spans="17:17" x14ac:dyDescent="0.25">
      <c r="Q7536" s="8"/>
    </row>
    <row r="7537" spans="17:17" x14ac:dyDescent="0.25">
      <c r="Q7537" s="8"/>
    </row>
    <row r="7538" spans="17:17" x14ac:dyDescent="0.25">
      <c r="Q7538" s="8"/>
    </row>
    <row r="7539" spans="17:17" x14ac:dyDescent="0.25">
      <c r="Q7539" s="8"/>
    </row>
    <row r="7540" spans="17:17" x14ac:dyDescent="0.25">
      <c r="Q7540" s="8"/>
    </row>
    <row r="7541" spans="17:17" x14ac:dyDescent="0.25">
      <c r="Q7541" s="8"/>
    </row>
    <row r="7542" spans="17:17" x14ac:dyDescent="0.25">
      <c r="Q7542" s="8"/>
    </row>
    <row r="7543" spans="17:17" x14ac:dyDescent="0.25">
      <c r="Q7543" s="8"/>
    </row>
    <row r="7544" spans="17:17" x14ac:dyDescent="0.25">
      <c r="Q7544" s="8"/>
    </row>
    <row r="7545" spans="17:17" x14ac:dyDescent="0.25">
      <c r="Q7545" s="8"/>
    </row>
    <row r="7546" spans="17:17" x14ac:dyDescent="0.25">
      <c r="Q7546" s="8"/>
    </row>
    <row r="7547" spans="17:17" x14ac:dyDescent="0.25">
      <c r="Q7547" s="8"/>
    </row>
    <row r="7548" spans="17:17" x14ac:dyDescent="0.25">
      <c r="Q7548" s="8"/>
    </row>
    <row r="7549" spans="17:17" x14ac:dyDescent="0.25">
      <c r="Q7549" s="8"/>
    </row>
    <row r="7550" spans="17:17" x14ac:dyDescent="0.25">
      <c r="Q7550" s="8"/>
    </row>
    <row r="7551" spans="17:17" x14ac:dyDescent="0.25">
      <c r="Q7551" s="8"/>
    </row>
    <row r="7552" spans="17:17" x14ac:dyDescent="0.25">
      <c r="Q7552" s="8"/>
    </row>
    <row r="7553" spans="17:17" x14ac:dyDescent="0.25">
      <c r="Q7553" s="8"/>
    </row>
    <row r="7554" spans="17:17" x14ac:dyDescent="0.25">
      <c r="Q7554" s="8"/>
    </row>
    <row r="7555" spans="17:17" x14ac:dyDescent="0.25">
      <c r="Q7555" s="8"/>
    </row>
    <row r="7556" spans="17:17" x14ac:dyDescent="0.25">
      <c r="Q7556" s="8"/>
    </row>
    <row r="7557" spans="17:17" x14ac:dyDescent="0.25">
      <c r="Q7557" s="8"/>
    </row>
    <row r="7558" spans="17:17" x14ac:dyDescent="0.25">
      <c r="Q7558" s="8"/>
    </row>
    <row r="7559" spans="17:17" x14ac:dyDescent="0.25">
      <c r="Q7559" s="8"/>
    </row>
    <row r="7560" spans="17:17" x14ac:dyDescent="0.25">
      <c r="Q7560" s="8"/>
    </row>
    <row r="7561" spans="17:17" x14ac:dyDescent="0.25">
      <c r="Q7561" s="8"/>
    </row>
    <row r="7562" spans="17:17" x14ac:dyDescent="0.25">
      <c r="Q7562" s="8"/>
    </row>
    <row r="7563" spans="17:17" x14ac:dyDescent="0.25">
      <c r="Q7563" s="8"/>
    </row>
    <row r="7564" spans="17:17" x14ac:dyDescent="0.25">
      <c r="Q7564" s="8"/>
    </row>
    <row r="7565" spans="17:17" x14ac:dyDescent="0.25">
      <c r="Q7565" s="8"/>
    </row>
    <row r="7566" spans="17:17" x14ac:dyDescent="0.25">
      <c r="Q7566" s="8"/>
    </row>
    <row r="7567" spans="17:17" x14ac:dyDescent="0.25">
      <c r="Q7567" s="8"/>
    </row>
    <row r="7568" spans="17:17" x14ac:dyDescent="0.25">
      <c r="Q7568" s="8"/>
    </row>
    <row r="7569" spans="17:17" x14ac:dyDescent="0.25">
      <c r="Q7569" s="8"/>
    </row>
    <row r="7570" spans="17:17" x14ac:dyDescent="0.25">
      <c r="Q7570" s="8"/>
    </row>
    <row r="7571" spans="17:17" x14ac:dyDescent="0.25">
      <c r="Q7571" s="8"/>
    </row>
    <row r="7572" spans="17:17" x14ac:dyDescent="0.25">
      <c r="Q7572" s="8"/>
    </row>
    <row r="7573" spans="17:17" x14ac:dyDescent="0.25">
      <c r="Q7573" s="8"/>
    </row>
    <row r="7574" spans="17:17" x14ac:dyDescent="0.25">
      <c r="Q7574" s="8"/>
    </row>
    <row r="7575" spans="17:17" x14ac:dyDescent="0.25">
      <c r="Q7575" s="8"/>
    </row>
    <row r="7576" spans="17:17" x14ac:dyDescent="0.25">
      <c r="Q7576" s="8"/>
    </row>
    <row r="7577" spans="17:17" x14ac:dyDescent="0.25">
      <c r="Q7577" s="8"/>
    </row>
    <row r="7578" spans="17:17" x14ac:dyDescent="0.25">
      <c r="Q7578" s="8"/>
    </row>
    <row r="7579" spans="17:17" x14ac:dyDescent="0.25">
      <c r="Q7579" s="8"/>
    </row>
    <row r="7580" spans="17:17" x14ac:dyDescent="0.25">
      <c r="Q7580" s="8"/>
    </row>
    <row r="7581" spans="17:17" x14ac:dyDescent="0.25">
      <c r="Q7581" s="8"/>
    </row>
    <row r="7582" spans="17:17" x14ac:dyDescent="0.25">
      <c r="Q7582" s="8"/>
    </row>
    <row r="7583" spans="17:17" x14ac:dyDescent="0.25">
      <c r="Q7583" s="8"/>
    </row>
    <row r="7584" spans="17:17" x14ac:dyDescent="0.25">
      <c r="Q7584" s="8"/>
    </row>
    <row r="7585" spans="17:17" x14ac:dyDescent="0.25">
      <c r="Q7585" s="8"/>
    </row>
    <row r="7586" spans="17:17" x14ac:dyDescent="0.25">
      <c r="Q7586" s="8"/>
    </row>
    <row r="7587" spans="17:17" x14ac:dyDescent="0.25">
      <c r="Q7587" s="8"/>
    </row>
    <row r="7588" spans="17:17" x14ac:dyDescent="0.25">
      <c r="Q7588" s="8"/>
    </row>
    <row r="7589" spans="17:17" x14ac:dyDescent="0.25">
      <c r="Q7589" s="8"/>
    </row>
    <row r="7590" spans="17:17" x14ac:dyDescent="0.25">
      <c r="Q7590" s="8"/>
    </row>
    <row r="7591" spans="17:17" x14ac:dyDescent="0.25">
      <c r="Q7591" s="8"/>
    </row>
    <row r="7592" spans="17:17" x14ac:dyDescent="0.25">
      <c r="Q7592" s="8"/>
    </row>
    <row r="7593" spans="17:17" x14ac:dyDescent="0.25">
      <c r="Q7593" s="8"/>
    </row>
    <row r="7594" spans="17:17" x14ac:dyDescent="0.25">
      <c r="Q7594" s="8"/>
    </row>
    <row r="7595" spans="17:17" x14ac:dyDescent="0.25">
      <c r="Q7595" s="8"/>
    </row>
    <row r="7596" spans="17:17" x14ac:dyDescent="0.25">
      <c r="Q7596" s="8"/>
    </row>
    <row r="7597" spans="17:17" x14ac:dyDescent="0.25">
      <c r="Q7597" s="8"/>
    </row>
    <row r="7598" spans="17:17" x14ac:dyDescent="0.25">
      <c r="Q7598" s="8"/>
    </row>
    <row r="7599" spans="17:17" x14ac:dyDescent="0.25">
      <c r="Q7599" s="8"/>
    </row>
    <row r="7600" spans="17:17" x14ac:dyDescent="0.25">
      <c r="Q7600" s="8"/>
    </row>
    <row r="7601" spans="17:17" x14ac:dyDescent="0.25">
      <c r="Q7601" s="8"/>
    </row>
    <row r="7602" spans="17:17" x14ac:dyDescent="0.25">
      <c r="Q7602" s="8"/>
    </row>
    <row r="7603" spans="17:17" x14ac:dyDescent="0.25">
      <c r="Q7603" s="8"/>
    </row>
    <row r="7604" spans="17:17" x14ac:dyDescent="0.25">
      <c r="Q7604" s="8"/>
    </row>
    <row r="7605" spans="17:17" x14ac:dyDescent="0.25">
      <c r="Q7605" s="8"/>
    </row>
    <row r="7606" spans="17:17" x14ac:dyDescent="0.25">
      <c r="Q7606" s="8"/>
    </row>
    <row r="7607" spans="17:17" x14ac:dyDescent="0.25">
      <c r="Q7607" s="8"/>
    </row>
    <row r="7608" spans="17:17" x14ac:dyDescent="0.25">
      <c r="Q7608" s="8"/>
    </row>
    <row r="7609" spans="17:17" x14ac:dyDescent="0.25">
      <c r="Q7609" s="8"/>
    </row>
    <row r="7610" spans="17:17" x14ac:dyDescent="0.25">
      <c r="Q7610" s="8"/>
    </row>
    <row r="7611" spans="17:17" x14ac:dyDescent="0.25">
      <c r="Q7611" s="8"/>
    </row>
    <row r="7612" spans="17:17" x14ac:dyDescent="0.25">
      <c r="Q7612" s="8"/>
    </row>
    <row r="7613" spans="17:17" x14ac:dyDescent="0.25">
      <c r="Q7613" s="8"/>
    </row>
    <row r="7614" spans="17:17" x14ac:dyDescent="0.25">
      <c r="Q7614" s="8"/>
    </row>
    <row r="7615" spans="17:17" x14ac:dyDescent="0.25">
      <c r="Q7615" s="8"/>
    </row>
    <row r="7616" spans="17:17" x14ac:dyDescent="0.25">
      <c r="Q7616" s="8"/>
    </row>
    <row r="7617" spans="17:17" x14ac:dyDescent="0.25">
      <c r="Q7617" s="8"/>
    </row>
    <row r="7618" spans="17:17" x14ac:dyDescent="0.25">
      <c r="Q7618" s="8"/>
    </row>
    <row r="7619" spans="17:17" x14ac:dyDescent="0.25">
      <c r="Q7619" s="8"/>
    </row>
    <row r="7620" spans="17:17" x14ac:dyDescent="0.25">
      <c r="Q7620" s="8"/>
    </row>
    <row r="7621" spans="17:17" x14ac:dyDescent="0.25">
      <c r="Q7621" s="8"/>
    </row>
    <row r="7622" spans="17:17" x14ac:dyDescent="0.25">
      <c r="Q7622" s="8"/>
    </row>
    <row r="7623" spans="17:17" x14ac:dyDescent="0.25">
      <c r="Q7623" s="8"/>
    </row>
    <row r="7624" spans="17:17" x14ac:dyDescent="0.25">
      <c r="Q7624" s="8"/>
    </row>
    <row r="7625" spans="17:17" x14ac:dyDescent="0.25">
      <c r="Q7625" s="8"/>
    </row>
    <row r="7626" spans="17:17" x14ac:dyDescent="0.25">
      <c r="Q7626" s="8"/>
    </row>
    <row r="7627" spans="17:17" x14ac:dyDescent="0.25">
      <c r="Q7627" s="8"/>
    </row>
    <row r="7628" spans="17:17" x14ac:dyDescent="0.25">
      <c r="Q7628" s="8"/>
    </row>
    <row r="7629" spans="17:17" x14ac:dyDescent="0.25">
      <c r="Q7629" s="8"/>
    </row>
    <row r="7630" spans="17:17" x14ac:dyDescent="0.25">
      <c r="Q7630" s="8"/>
    </row>
    <row r="7631" spans="17:17" x14ac:dyDescent="0.25">
      <c r="Q7631" s="8"/>
    </row>
    <row r="7632" spans="17:17" x14ac:dyDescent="0.25">
      <c r="Q7632" s="8"/>
    </row>
    <row r="7633" spans="17:17" x14ac:dyDescent="0.25">
      <c r="Q7633" s="8"/>
    </row>
    <row r="7634" spans="17:17" x14ac:dyDescent="0.25">
      <c r="Q7634" s="8"/>
    </row>
    <row r="7635" spans="17:17" x14ac:dyDescent="0.25">
      <c r="Q7635" s="8"/>
    </row>
    <row r="7636" spans="17:17" x14ac:dyDescent="0.25">
      <c r="Q7636" s="8"/>
    </row>
    <row r="7637" spans="17:17" x14ac:dyDescent="0.25">
      <c r="Q7637" s="8"/>
    </row>
    <row r="7638" spans="17:17" x14ac:dyDescent="0.25">
      <c r="Q7638" s="8"/>
    </row>
    <row r="7639" spans="17:17" x14ac:dyDescent="0.25">
      <c r="Q7639" s="8"/>
    </row>
    <row r="7640" spans="17:17" x14ac:dyDescent="0.25">
      <c r="Q7640" s="8"/>
    </row>
    <row r="7641" spans="17:17" x14ac:dyDescent="0.25">
      <c r="Q7641" s="8"/>
    </row>
    <row r="7642" spans="17:17" x14ac:dyDescent="0.25">
      <c r="Q7642" s="8"/>
    </row>
    <row r="7643" spans="17:17" x14ac:dyDescent="0.25">
      <c r="Q7643" s="8"/>
    </row>
    <row r="7644" spans="17:17" x14ac:dyDescent="0.25">
      <c r="Q7644" s="8"/>
    </row>
    <row r="7645" spans="17:17" x14ac:dyDescent="0.25">
      <c r="Q7645" s="8"/>
    </row>
    <row r="7646" spans="17:17" x14ac:dyDescent="0.25">
      <c r="Q7646" s="8"/>
    </row>
    <row r="7647" spans="17:17" x14ac:dyDescent="0.25">
      <c r="Q7647" s="8"/>
    </row>
    <row r="7648" spans="17:17" x14ac:dyDescent="0.25">
      <c r="Q7648" s="8"/>
    </row>
    <row r="7649" spans="17:17" x14ac:dyDescent="0.25">
      <c r="Q7649" s="8"/>
    </row>
    <row r="7650" spans="17:17" x14ac:dyDescent="0.25">
      <c r="Q7650" s="8"/>
    </row>
    <row r="7651" spans="17:17" x14ac:dyDescent="0.25">
      <c r="Q7651" s="8"/>
    </row>
    <row r="7652" spans="17:17" x14ac:dyDescent="0.25">
      <c r="Q7652" s="8"/>
    </row>
    <row r="7653" spans="17:17" x14ac:dyDescent="0.25">
      <c r="Q7653" s="8"/>
    </row>
    <row r="7654" spans="17:17" x14ac:dyDescent="0.25">
      <c r="Q7654" s="8"/>
    </row>
    <row r="7655" spans="17:17" x14ac:dyDescent="0.25">
      <c r="Q7655" s="8"/>
    </row>
    <row r="7656" spans="17:17" x14ac:dyDescent="0.25">
      <c r="Q7656" s="8"/>
    </row>
    <row r="7657" spans="17:17" x14ac:dyDescent="0.25">
      <c r="Q7657" s="8"/>
    </row>
    <row r="7658" spans="17:17" x14ac:dyDescent="0.25">
      <c r="Q7658" s="8"/>
    </row>
    <row r="7659" spans="17:17" x14ac:dyDescent="0.25">
      <c r="Q7659" s="8"/>
    </row>
    <row r="7660" spans="17:17" x14ac:dyDescent="0.25">
      <c r="Q7660" s="8"/>
    </row>
    <row r="7661" spans="17:17" x14ac:dyDescent="0.25">
      <c r="Q7661" s="8"/>
    </row>
    <row r="7662" spans="17:17" x14ac:dyDescent="0.25">
      <c r="Q7662" s="8"/>
    </row>
    <row r="7663" spans="17:17" x14ac:dyDescent="0.25">
      <c r="Q7663" s="8"/>
    </row>
    <row r="7664" spans="17:17" x14ac:dyDescent="0.25">
      <c r="Q7664" s="8"/>
    </row>
    <row r="7665" spans="17:17" x14ac:dyDescent="0.25">
      <c r="Q7665" s="8"/>
    </row>
    <row r="7666" spans="17:17" x14ac:dyDescent="0.25">
      <c r="Q7666" s="8"/>
    </row>
    <row r="7667" spans="17:17" x14ac:dyDescent="0.25">
      <c r="Q7667" s="8"/>
    </row>
    <row r="7668" spans="17:17" x14ac:dyDescent="0.25">
      <c r="Q7668" s="8"/>
    </row>
    <row r="7669" spans="17:17" x14ac:dyDescent="0.25">
      <c r="Q7669" s="8"/>
    </row>
    <row r="7670" spans="17:17" x14ac:dyDescent="0.25">
      <c r="Q7670" s="8"/>
    </row>
    <row r="7671" spans="17:17" x14ac:dyDescent="0.25">
      <c r="Q7671" s="8"/>
    </row>
    <row r="7672" spans="17:17" x14ac:dyDescent="0.25">
      <c r="Q7672" s="8"/>
    </row>
    <row r="7673" spans="17:17" x14ac:dyDescent="0.25">
      <c r="Q7673" s="8"/>
    </row>
    <row r="7674" spans="17:17" x14ac:dyDescent="0.25">
      <c r="Q7674" s="8"/>
    </row>
    <row r="7675" spans="17:17" x14ac:dyDescent="0.25">
      <c r="Q7675" s="8"/>
    </row>
    <row r="7676" spans="17:17" x14ac:dyDescent="0.25">
      <c r="Q7676" s="8"/>
    </row>
    <row r="7677" spans="17:17" x14ac:dyDescent="0.25">
      <c r="Q7677" s="8"/>
    </row>
    <row r="7678" spans="17:17" x14ac:dyDescent="0.25">
      <c r="Q7678" s="8"/>
    </row>
    <row r="7679" spans="17:17" x14ac:dyDescent="0.25">
      <c r="Q7679" s="8"/>
    </row>
    <row r="7680" spans="17:17" x14ac:dyDescent="0.25">
      <c r="Q7680" s="8"/>
    </row>
    <row r="7681" spans="17:17" x14ac:dyDescent="0.25">
      <c r="Q7681" s="8"/>
    </row>
    <row r="7682" spans="17:17" x14ac:dyDescent="0.25">
      <c r="Q7682" s="8"/>
    </row>
    <row r="7683" spans="17:17" x14ac:dyDescent="0.25">
      <c r="Q7683" s="8"/>
    </row>
    <row r="7684" spans="17:17" x14ac:dyDescent="0.25">
      <c r="Q7684" s="8"/>
    </row>
    <row r="7685" spans="17:17" x14ac:dyDescent="0.25">
      <c r="Q7685" s="8"/>
    </row>
    <row r="7686" spans="17:17" x14ac:dyDescent="0.25">
      <c r="Q7686" s="8"/>
    </row>
    <row r="7687" spans="17:17" x14ac:dyDescent="0.25">
      <c r="Q7687" s="8"/>
    </row>
    <row r="7688" spans="17:17" x14ac:dyDescent="0.25">
      <c r="Q7688" s="8"/>
    </row>
    <row r="7689" spans="17:17" x14ac:dyDescent="0.25">
      <c r="Q7689" s="8"/>
    </row>
    <row r="7690" spans="17:17" x14ac:dyDescent="0.25">
      <c r="Q7690" s="8"/>
    </row>
    <row r="7691" spans="17:17" x14ac:dyDescent="0.25">
      <c r="Q7691" s="8"/>
    </row>
    <row r="7692" spans="17:17" x14ac:dyDescent="0.25">
      <c r="Q7692" s="8"/>
    </row>
    <row r="7693" spans="17:17" x14ac:dyDescent="0.25">
      <c r="Q7693" s="8"/>
    </row>
    <row r="7694" spans="17:17" x14ac:dyDescent="0.25">
      <c r="Q7694" s="8"/>
    </row>
    <row r="7695" spans="17:17" x14ac:dyDescent="0.25">
      <c r="Q7695" s="8"/>
    </row>
    <row r="7696" spans="17:17" x14ac:dyDescent="0.25">
      <c r="Q7696" s="8"/>
    </row>
    <row r="7697" spans="17:17" x14ac:dyDescent="0.25">
      <c r="Q7697" s="8"/>
    </row>
    <row r="7698" spans="17:17" x14ac:dyDescent="0.25">
      <c r="Q7698" s="8"/>
    </row>
    <row r="7699" spans="17:17" x14ac:dyDescent="0.25">
      <c r="Q7699" s="8"/>
    </row>
    <row r="7700" spans="17:17" x14ac:dyDescent="0.25">
      <c r="Q7700" s="8"/>
    </row>
    <row r="7701" spans="17:17" x14ac:dyDescent="0.25">
      <c r="Q7701" s="8"/>
    </row>
    <row r="7702" spans="17:17" x14ac:dyDescent="0.25">
      <c r="Q7702" s="8"/>
    </row>
    <row r="7703" spans="17:17" x14ac:dyDescent="0.25">
      <c r="Q7703" s="8"/>
    </row>
    <row r="7704" spans="17:17" x14ac:dyDescent="0.25">
      <c r="Q7704" s="8"/>
    </row>
    <row r="7705" spans="17:17" x14ac:dyDescent="0.25">
      <c r="Q7705" s="8"/>
    </row>
    <row r="7706" spans="17:17" x14ac:dyDescent="0.25">
      <c r="Q7706" s="8"/>
    </row>
    <row r="7707" spans="17:17" x14ac:dyDescent="0.25">
      <c r="Q7707" s="8"/>
    </row>
    <row r="7708" spans="17:17" x14ac:dyDescent="0.25">
      <c r="Q7708" s="8"/>
    </row>
    <row r="7709" spans="17:17" x14ac:dyDescent="0.25">
      <c r="Q7709" s="8"/>
    </row>
    <row r="7710" spans="17:17" x14ac:dyDescent="0.25">
      <c r="Q7710" s="8"/>
    </row>
    <row r="7711" spans="17:17" x14ac:dyDescent="0.25">
      <c r="Q7711" s="8"/>
    </row>
    <row r="7712" spans="17:17" x14ac:dyDescent="0.25">
      <c r="Q7712" s="8"/>
    </row>
    <row r="7713" spans="17:17" x14ac:dyDescent="0.25">
      <c r="Q7713" s="8"/>
    </row>
    <row r="7714" spans="17:17" x14ac:dyDescent="0.25">
      <c r="Q7714" s="8"/>
    </row>
    <row r="7715" spans="17:17" x14ac:dyDescent="0.25">
      <c r="Q7715" s="8"/>
    </row>
    <row r="7716" spans="17:17" x14ac:dyDescent="0.25">
      <c r="Q7716" s="8"/>
    </row>
    <row r="7717" spans="17:17" x14ac:dyDescent="0.25">
      <c r="Q7717" s="8"/>
    </row>
    <row r="7718" spans="17:17" x14ac:dyDescent="0.25">
      <c r="Q7718" s="8"/>
    </row>
    <row r="7719" spans="17:17" x14ac:dyDescent="0.25">
      <c r="Q7719" s="8"/>
    </row>
    <row r="7720" spans="17:17" x14ac:dyDescent="0.25">
      <c r="Q7720" s="8"/>
    </row>
    <row r="7721" spans="17:17" x14ac:dyDescent="0.25">
      <c r="Q7721" s="8"/>
    </row>
    <row r="7722" spans="17:17" x14ac:dyDescent="0.25">
      <c r="Q7722" s="8"/>
    </row>
    <row r="7723" spans="17:17" x14ac:dyDescent="0.25">
      <c r="Q7723" s="8"/>
    </row>
    <row r="7724" spans="17:17" x14ac:dyDescent="0.25">
      <c r="Q7724" s="8"/>
    </row>
    <row r="7725" spans="17:17" x14ac:dyDescent="0.25">
      <c r="Q7725" s="8"/>
    </row>
    <row r="7726" spans="17:17" x14ac:dyDescent="0.25">
      <c r="Q7726" s="8"/>
    </row>
    <row r="7727" spans="17:17" x14ac:dyDescent="0.25">
      <c r="Q7727" s="8"/>
    </row>
    <row r="7728" spans="17:17" x14ac:dyDescent="0.25">
      <c r="Q7728" s="8"/>
    </row>
    <row r="7729" spans="17:17" x14ac:dyDescent="0.25">
      <c r="Q7729" s="8"/>
    </row>
    <row r="7730" spans="17:17" x14ac:dyDescent="0.25">
      <c r="Q7730" s="8"/>
    </row>
    <row r="7731" spans="17:17" x14ac:dyDescent="0.25">
      <c r="Q7731" s="8"/>
    </row>
    <row r="7732" spans="17:17" x14ac:dyDescent="0.25">
      <c r="Q7732" s="8"/>
    </row>
    <row r="7733" spans="17:17" x14ac:dyDescent="0.25">
      <c r="Q7733" s="8"/>
    </row>
    <row r="7734" spans="17:17" x14ac:dyDescent="0.25">
      <c r="Q7734" s="8"/>
    </row>
    <row r="7735" spans="17:17" x14ac:dyDescent="0.25">
      <c r="Q7735" s="8"/>
    </row>
    <row r="7736" spans="17:17" x14ac:dyDescent="0.25">
      <c r="Q7736" s="8"/>
    </row>
    <row r="7737" spans="17:17" x14ac:dyDescent="0.25">
      <c r="Q7737" s="8"/>
    </row>
    <row r="7738" spans="17:17" x14ac:dyDescent="0.25">
      <c r="Q7738" s="8"/>
    </row>
    <row r="7739" spans="17:17" x14ac:dyDescent="0.25">
      <c r="Q7739" s="8"/>
    </row>
    <row r="7740" spans="17:17" x14ac:dyDescent="0.25">
      <c r="Q7740" s="8"/>
    </row>
    <row r="7741" spans="17:17" x14ac:dyDescent="0.25">
      <c r="Q7741" s="8"/>
    </row>
    <row r="7742" spans="17:17" x14ac:dyDescent="0.25">
      <c r="Q7742" s="8"/>
    </row>
    <row r="7743" spans="17:17" x14ac:dyDescent="0.25">
      <c r="Q7743" s="8"/>
    </row>
    <row r="7744" spans="17:17" x14ac:dyDescent="0.25">
      <c r="Q7744" s="8"/>
    </row>
    <row r="7745" spans="17:17" x14ac:dyDescent="0.25">
      <c r="Q7745" s="8"/>
    </row>
    <row r="7746" spans="17:17" x14ac:dyDescent="0.25">
      <c r="Q7746" s="8"/>
    </row>
    <row r="7747" spans="17:17" x14ac:dyDescent="0.25">
      <c r="Q7747" s="8"/>
    </row>
    <row r="7748" spans="17:17" x14ac:dyDescent="0.25">
      <c r="Q7748" s="8"/>
    </row>
    <row r="7749" spans="17:17" x14ac:dyDescent="0.25">
      <c r="Q7749" s="8"/>
    </row>
    <row r="7750" spans="17:17" x14ac:dyDescent="0.25">
      <c r="Q7750" s="8"/>
    </row>
    <row r="7751" spans="17:17" x14ac:dyDescent="0.25">
      <c r="Q7751" s="8"/>
    </row>
    <row r="7752" spans="17:17" x14ac:dyDescent="0.25">
      <c r="Q7752" s="8"/>
    </row>
    <row r="7753" spans="17:17" x14ac:dyDescent="0.25">
      <c r="Q7753" s="8"/>
    </row>
    <row r="7754" spans="17:17" x14ac:dyDescent="0.25">
      <c r="Q7754" s="8"/>
    </row>
    <row r="7755" spans="17:17" x14ac:dyDescent="0.25">
      <c r="Q7755" s="8"/>
    </row>
    <row r="7756" spans="17:17" x14ac:dyDescent="0.25">
      <c r="Q7756" s="8"/>
    </row>
    <row r="7757" spans="17:17" x14ac:dyDescent="0.25">
      <c r="Q7757" s="8"/>
    </row>
    <row r="7758" spans="17:17" x14ac:dyDescent="0.25">
      <c r="Q7758" s="8"/>
    </row>
    <row r="7759" spans="17:17" x14ac:dyDescent="0.25">
      <c r="Q7759" s="8"/>
    </row>
    <row r="7760" spans="17:17" x14ac:dyDescent="0.25">
      <c r="Q7760" s="8"/>
    </row>
    <row r="7761" spans="17:17" x14ac:dyDescent="0.25">
      <c r="Q7761" s="8"/>
    </row>
    <row r="7762" spans="17:17" x14ac:dyDescent="0.25">
      <c r="Q7762" s="8"/>
    </row>
    <row r="7763" spans="17:17" x14ac:dyDescent="0.25">
      <c r="Q7763" s="8"/>
    </row>
    <row r="7764" spans="17:17" x14ac:dyDescent="0.25">
      <c r="Q7764" s="8"/>
    </row>
    <row r="7765" spans="17:17" x14ac:dyDescent="0.25">
      <c r="Q7765" s="8"/>
    </row>
    <row r="7766" spans="17:17" x14ac:dyDescent="0.25">
      <c r="Q7766" s="8"/>
    </row>
    <row r="7767" spans="17:17" x14ac:dyDescent="0.25">
      <c r="Q7767" s="8"/>
    </row>
    <row r="7768" spans="17:17" x14ac:dyDescent="0.25">
      <c r="Q7768" s="8"/>
    </row>
    <row r="7769" spans="17:17" x14ac:dyDescent="0.25">
      <c r="Q7769" s="8"/>
    </row>
    <row r="7770" spans="17:17" x14ac:dyDescent="0.25">
      <c r="Q7770" s="8"/>
    </row>
    <row r="7771" spans="17:17" x14ac:dyDescent="0.25">
      <c r="Q7771" s="8"/>
    </row>
    <row r="7772" spans="17:17" x14ac:dyDescent="0.25">
      <c r="Q7772" s="8"/>
    </row>
    <row r="7773" spans="17:17" x14ac:dyDescent="0.25">
      <c r="Q7773" s="8"/>
    </row>
    <row r="7774" spans="17:17" x14ac:dyDescent="0.25">
      <c r="Q7774" s="8"/>
    </row>
    <row r="7775" spans="17:17" x14ac:dyDescent="0.25">
      <c r="Q7775" s="8"/>
    </row>
    <row r="7776" spans="17:17" x14ac:dyDescent="0.25">
      <c r="Q7776" s="8"/>
    </row>
    <row r="7777" spans="17:17" x14ac:dyDescent="0.25">
      <c r="Q7777" s="8"/>
    </row>
    <row r="7778" spans="17:17" x14ac:dyDescent="0.25">
      <c r="Q7778" s="8"/>
    </row>
    <row r="7779" spans="17:17" x14ac:dyDescent="0.25">
      <c r="Q7779" s="8"/>
    </row>
    <row r="7780" spans="17:17" x14ac:dyDescent="0.25">
      <c r="Q7780" s="8"/>
    </row>
    <row r="7781" spans="17:17" x14ac:dyDescent="0.25">
      <c r="Q7781" s="8"/>
    </row>
    <row r="7782" spans="17:17" x14ac:dyDescent="0.25">
      <c r="Q7782" s="8"/>
    </row>
    <row r="7783" spans="17:17" x14ac:dyDescent="0.25">
      <c r="Q7783" s="8"/>
    </row>
    <row r="7784" spans="17:17" x14ac:dyDescent="0.25">
      <c r="Q7784" s="8"/>
    </row>
    <row r="7785" spans="17:17" x14ac:dyDescent="0.25">
      <c r="Q7785" s="8"/>
    </row>
    <row r="7786" spans="17:17" x14ac:dyDescent="0.25">
      <c r="Q7786" s="8"/>
    </row>
    <row r="7787" spans="17:17" x14ac:dyDescent="0.25">
      <c r="Q7787" s="8"/>
    </row>
    <row r="7788" spans="17:17" x14ac:dyDescent="0.25">
      <c r="Q7788" s="8"/>
    </row>
    <row r="7789" spans="17:17" x14ac:dyDescent="0.25">
      <c r="Q7789" s="8"/>
    </row>
    <row r="7790" spans="17:17" x14ac:dyDescent="0.25">
      <c r="Q7790" s="8"/>
    </row>
    <row r="7791" spans="17:17" x14ac:dyDescent="0.25">
      <c r="Q7791" s="8"/>
    </row>
    <row r="7792" spans="17:17" x14ac:dyDescent="0.25">
      <c r="Q7792" s="8"/>
    </row>
    <row r="7793" spans="17:17" x14ac:dyDescent="0.25">
      <c r="Q7793" s="8"/>
    </row>
    <row r="7794" spans="17:17" x14ac:dyDescent="0.25">
      <c r="Q7794" s="8"/>
    </row>
    <row r="7795" spans="17:17" x14ac:dyDescent="0.25">
      <c r="Q7795" s="8"/>
    </row>
    <row r="7796" spans="17:17" x14ac:dyDescent="0.25">
      <c r="Q7796" s="8"/>
    </row>
    <row r="7797" spans="17:17" x14ac:dyDescent="0.25">
      <c r="Q7797" s="8"/>
    </row>
    <row r="7798" spans="17:17" x14ac:dyDescent="0.25">
      <c r="Q7798" s="8"/>
    </row>
    <row r="7799" spans="17:17" x14ac:dyDescent="0.25">
      <c r="Q7799" s="8"/>
    </row>
    <row r="7800" spans="17:17" x14ac:dyDescent="0.25">
      <c r="Q7800" s="8"/>
    </row>
    <row r="7801" spans="17:17" x14ac:dyDescent="0.25">
      <c r="Q7801" s="8"/>
    </row>
    <row r="7802" spans="17:17" x14ac:dyDescent="0.25">
      <c r="Q7802" s="8"/>
    </row>
    <row r="7803" spans="17:17" x14ac:dyDescent="0.25">
      <c r="Q7803" s="8"/>
    </row>
    <row r="7804" spans="17:17" x14ac:dyDescent="0.25">
      <c r="Q7804" s="8"/>
    </row>
    <row r="7805" spans="17:17" x14ac:dyDescent="0.25">
      <c r="Q7805" s="8"/>
    </row>
    <row r="7806" spans="17:17" x14ac:dyDescent="0.25">
      <c r="Q7806" s="8"/>
    </row>
    <row r="7807" spans="17:17" x14ac:dyDescent="0.25">
      <c r="Q7807" s="8"/>
    </row>
    <row r="7808" spans="17:17" x14ac:dyDescent="0.25">
      <c r="Q7808" s="8"/>
    </row>
    <row r="7809" spans="17:17" x14ac:dyDescent="0.25">
      <c r="Q7809" s="8"/>
    </row>
    <row r="7810" spans="17:17" x14ac:dyDescent="0.25">
      <c r="Q7810" s="8"/>
    </row>
    <row r="7811" spans="17:17" x14ac:dyDescent="0.25">
      <c r="Q7811" s="8"/>
    </row>
    <row r="7812" spans="17:17" x14ac:dyDescent="0.25">
      <c r="Q7812" s="8"/>
    </row>
    <row r="7813" spans="17:17" x14ac:dyDescent="0.25">
      <c r="Q7813" s="8"/>
    </row>
    <row r="7814" spans="17:17" x14ac:dyDescent="0.25">
      <c r="Q7814" s="8"/>
    </row>
    <row r="7815" spans="17:17" x14ac:dyDescent="0.25">
      <c r="Q7815" s="8"/>
    </row>
    <row r="7816" spans="17:17" x14ac:dyDescent="0.25">
      <c r="Q7816" s="8"/>
    </row>
    <row r="7817" spans="17:17" x14ac:dyDescent="0.25">
      <c r="Q7817" s="8"/>
    </row>
    <row r="7818" spans="17:17" x14ac:dyDescent="0.25">
      <c r="Q7818" s="8"/>
    </row>
    <row r="7819" spans="17:17" x14ac:dyDescent="0.25">
      <c r="Q7819" s="8"/>
    </row>
    <row r="7820" spans="17:17" x14ac:dyDescent="0.25">
      <c r="Q7820" s="8"/>
    </row>
    <row r="7821" spans="17:17" x14ac:dyDescent="0.25">
      <c r="Q7821" s="8"/>
    </row>
    <row r="7822" spans="17:17" x14ac:dyDescent="0.25">
      <c r="Q7822" s="8"/>
    </row>
    <row r="7823" spans="17:17" x14ac:dyDescent="0.25">
      <c r="Q7823" s="8"/>
    </row>
    <row r="7824" spans="17:17" x14ac:dyDescent="0.25">
      <c r="Q7824" s="8"/>
    </row>
    <row r="7825" spans="17:17" x14ac:dyDescent="0.25">
      <c r="Q7825" s="8"/>
    </row>
    <row r="7826" spans="17:17" x14ac:dyDescent="0.25">
      <c r="Q7826" s="8"/>
    </row>
    <row r="7827" spans="17:17" x14ac:dyDescent="0.25">
      <c r="Q7827" s="8"/>
    </row>
    <row r="7828" spans="17:17" x14ac:dyDescent="0.25">
      <c r="Q7828" s="8"/>
    </row>
    <row r="7829" spans="17:17" x14ac:dyDescent="0.25">
      <c r="Q7829" s="8"/>
    </row>
    <row r="7830" spans="17:17" x14ac:dyDescent="0.25">
      <c r="Q7830" s="8"/>
    </row>
    <row r="7831" spans="17:17" x14ac:dyDescent="0.25">
      <c r="Q7831" s="8"/>
    </row>
    <row r="7832" spans="17:17" x14ac:dyDescent="0.25">
      <c r="Q7832" s="8"/>
    </row>
    <row r="7833" spans="17:17" x14ac:dyDescent="0.25">
      <c r="Q7833" s="8"/>
    </row>
    <row r="7834" spans="17:17" x14ac:dyDescent="0.25">
      <c r="Q7834" s="8"/>
    </row>
    <row r="7835" spans="17:17" x14ac:dyDescent="0.25">
      <c r="Q7835" s="8"/>
    </row>
    <row r="7836" spans="17:17" x14ac:dyDescent="0.25">
      <c r="Q7836" s="8"/>
    </row>
    <row r="7837" spans="17:17" x14ac:dyDescent="0.25">
      <c r="Q7837" s="8"/>
    </row>
    <row r="7838" spans="17:17" x14ac:dyDescent="0.25">
      <c r="Q7838" s="8"/>
    </row>
    <row r="7839" spans="17:17" x14ac:dyDescent="0.25">
      <c r="Q7839" s="8"/>
    </row>
    <row r="7840" spans="17:17" x14ac:dyDescent="0.25">
      <c r="Q7840" s="8"/>
    </row>
    <row r="7841" spans="17:17" x14ac:dyDescent="0.25">
      <c r="Q7841" s="8"/>
    </row>
    <row r="7842" spans="17:17" x14ac:dyDescent="0.25">
      <c r="Q7842" s="8"/>
    </row>
    <row r="7843" spans="17:17" x14ac:dyDescent="0.25">
      <c r="Q7843" s="8"/>
    </row>
    <row r="7844" spans="17:17" x14ac:dyDescent="0.25">
      <c r="Q7844" s="8"/>
    </row>
    <row r="7845" spans="17:17" x14ac:dyDescent="0.25">
      <c r="Q7845" s="8"/>
    </row>
    <row r="7846" spans="17:17" x14ac:dyDescent="0.25">
      <c r="Q7846" s="8"/>
    </row>
    <row r="7847" spans="17:17" x14ac:dyDescent="0.25">
      <c r="Q7847" s="8"/>
    </row>
    <row r="7848" spans="17:17" x14ac:dyDescent="0.25">
      <c r="Q7848" s="8"/>
    </row>
    <row r="7849" spans="17:17" x14ac:dyDescent="0.25">
      <c r="Q7849" s="8"/>
    </row>
    <row r="7850" spans="17:17" x14ac:dyDescent="0.25">
      <c r="Q7850" s="8"/>
    </row>
    <row r="7851" spans="17:17" x14ac:dyDescent="0.25">
      <c r="Q7851" s="8"/>
    </row>
    <row r="7852" spans="17:17" x14ac:dyDescent="0.25">
      <c r="Q7852" s="8"/>
    </row>
    <row r="7853" spans="17:17" x14ac:dyDescent="0.25">
      <c r="Q7853" s="8"/>
    </row>
    <row r="7854" spans="17:17" x14ac:dyDescent="0.25">
      <c r="Q7854" s="8"/>
    </row>
    <row r="7855" spans="17:17" x14ac:dyDescent="0.25">
      <c r="Q7855" s="8"/>
    </row>
    <row r="7856" spans="17:17" x14ac:dyDescent="0.25">
      <c r="Q7856" s="8"/>
    </row>
    <row r="7857" spans="17:17" x14ac:dyDescent="0.25">
      <c r="Q7857" s="8"/>
    </row>
    <row r="7858" spans="17:17" x14ac:dyDescent="0.25">
      <c r="Q7858" s="8"/>
    </row>
    <row r="7859" spans="17:17" x14ac:dyDescent="0.25">
      <c r="Q7859" s="8"/>
    </row>
    <row r="7860" spans="17:17" x14ac:dyDescent="0.25">
      <c r="Q7860" s="8"/>
    </row>
    <row r="7861" spans="17:17" x14ac:dyDescent="0.25">
      <c r="Q7861" s="8"/>
    </row>
    <row r="7862" spans="17:17" x14ac:dyDescent="0.25">
      <c r="Q7862" s="8"/>
    </row>
    <row r="7863" spans="17:17" x14ac:dyDescent="0.25">
      <c r="Q7863" s="8"/>
    </row>
    <row r="7864" spans="17:17" x14ac:dyDescent="0.25">
      <c r="Q7864" s="8"/>
    </row>
    <row r="7865" spans="17:17" x14ac:dyDescent="0.25">
      <c r="Q7865" s="8"/>
    </row>
    <row r="7866" spans="17:17" x14ac:dyDescent="0.25">
      <c r="Q7866" s="8"/>
    </row>
    <row r="7867" spans="17:17" x14ac:dyDescent="0.25">
      <c r="Q7867" s="8"/>
    </row>
    <row r="7868" spans="17:17" x14ac:dyDescent="0.25">
      <c r="Q7868" s="8"/>
    </row>
    <row r="7869" spans="17:17" x14ac:dyDescent="0.25">
      <c r="Q7869" s="8"/>
    </row>
    <row r="7870" spans="17:17" x14ac:dyDescent="0.25">
      <c r="Q7870" s="8"/>
    </row>
    <row r="7871" spans="17:17" x14ac:dyDescent="0.25">
      <c r="Q7871" s="8"/>
    </row>
    <row r="7872" spans="17:17" x14ac:dyDescent="0.25">
      <c r="Q7872" s="8"/>
    </row>
    <row r="7873" spans="17:17" x14ac:dyDescent="0.25">
      <c r="Q7873" s="8"/>
    </row>
    <row r="7874" spans="17:17" x14ac:dyDescent="0.25">
      <c r="Q7874" s="8"/>
    </row>
    <row r="7875" spans="17:17" x14ac:dyDescent="0.25">
      <c r="Q7875" s="8"/>
    </row>
    <row r="7876" spans="17:17" x14ac:dyDescent="0.25">
      <c r="Q7876" s="8"/>
    </row>
    <row r="7877" spans="17:17" x14ac:dyDescent="0.25">
      <c r="Q7877" s="8"/>
    </row>
    <row r="7878" spans="17:17" x14ac:dyDescent="0.25">
      <c r="Q7878" s="8"/>
    </row>
    <row r="7879" spans="17:17" x14ac:dyDescent="0.25">
      <c r="Q7879" s="8"/>
    </row>
    <row r="7880" spans="17:17" x14ac:dyDescent="0.25">
      <c r="Q7880" s="8"/>
    </row>
    <row r="7881" spans="17:17" x14ac:dyDescent="0.25">
      <c r="Q7881" s="8"/>
    </row>
    <row r="7882" spans="17:17" x14ac:dyDescent="0.25">
      <c r="Q7882" s="8"/>
    </row>
    <row r="7883" spans="17:17" x14ac:dyDescent="0.25">
      <c r="Q7883" s="8"/>
    </row>
    <row r="7884" spans="17:17" x14ac:dyDescent="0.25">
      <c r="Q7884" s="8"/>
    </row>
    <row r="7885" spans="17:17" x14ac:dyDescent="0.25">
      <c r="Q7885" s="8"/>
    </row>
    <row r="7886" spans="17:17" x14ac:dyDescent="0.25">
      <c r="Q7886" s="8"/>
    </row>
    <row r="7887" spans="17:17" x14ac:dyDescent="0.25">
      <c r="Q7887" s="8"/>
    </row>
    <row r="7888" spans="17:17" x14ac:dyDescent="0.25">
      <c r="Q7888" s="8"/>
    </row>
    <row r="7889" spans="17:17" x14ac:dyDescent="0.25">
      <c r="Q7889" s="8"/>
    </row>
    <row r="7890" spans="17:17" x14ac:dyDescent="0.25">
      <c r="Q7890" s="8"/>
    </row>
    <row r="7891" spans="17:17" x14ac:dyDescent="0.25">
      <c r="Q7891" s="8"/>
    </row>
    <row r="7892" spans="17:17" x14ac:dyDescent="0.25">
      <c r="Q7892" s="8"/>
    </row>
    <row r="7893" spans="17:17" x14ac:dyDescent="0.25">
      <c r="Q7893" s="8"/>
    </row>
    <row r="7894" spans="17:17" x14ac:dyDescent="0.25">
      <c r="Q7894" s="8"/>
    </row>
    <row r="7895" spans="17:17" x14ac:dyDescent="0.25">
      <c r="Q7895" s="8"/>
    </row>
    <row r="7896" spans="17:17" x14ac:dyDescent="0.25">
      <c r="Q7896" s="8"/>
    </row>
    <row r="7897" spans="17:17" x14ac:dyDescent="0.25">
      <c r="Q7897" s="8"/>
    </row>
    <row r="7898" spans="17:17" x14ac:dyDescent="0.25">
      <c r="Q7898" s="8"/>
    </row>
    <row r="7899" spans="17:17" x14ac:dyDescent="0.25">
      <c r="Q7899" s="8"/>
    </row>
    <row r="7900" spans="17:17" x14ac:dyDescent="0.25">
      <c r="Q7900" s="8"/>
    </row>
    <row r="7901" spans="17:17" x14ac:dyDescent="0.25">
      <c r="Q7901" s="8"/>
    </row>
    <row r="7902" spans="17:17" x14ac:dyDescent="0.25">
      <c r="Q7902" s="8"/>
    </row>
    <row r="7903" spans="17:17" x14ac:dyDescent="0.25">
      <c r="Q7903" s="8"/>
    </row>
    <row r="7904" spans="17:17" x14ac:dyDescent="0.25">
      <c r="Q7904" s="8"/>
    </row>
    <row r="7905" spans="17:17" x14ac:dyDescent="0.25">
      <c r="Q7905" s="8"/>
    </row>
    <row r="7906" spans="17:17" x14ac:dyDescent="0.25">
      <c r="Q7906" s="8"/>
    </row>
    <row r="7907" spans="17:17" x14ac:dyDescent="0.25">
      <c r="Q7907" s="8"/>
    </row>
    <row r="7908" spans="17:17" x14ac:dyDescent="0.25">
      <c r="Q7908" s="8"/>
    </row>
    <row r="7909" spans="17:17" x14ac:dyDescent="0.25">
      <c r="Q7909" s="8"/>
    </row>
    <row r="7910" spans="17:17" x14ac:dyDescent="0.25">
      <c r="Q7910" s="8"/>
    </row>
    <row r="7911" spans="17:17" x14ac:dyDescent="0.25">
      <c r="Q7911" s="8"/>
    </row>
    <row r="7912" spans="17:17" x14ac:dyDescent="0.25">
      <c r="Q7912" s="8"/>
    </row>
    <row r="7913" spans="17:17" x14ac:dyDescent="0.25">
      <c r="Q7913" s="8"/>
    </row>
    <row r="7914" spans="17:17" x14ac:dyDescent="0.25">
      <c r="Q7914" s="8"/>
    </row>
    <row r="7915" spans="17:17" x14ac:dyDescent="0.25">
      <c r="Q7915" s="8"/>
    </row>
    <row r="7916" spans="17:17" x14ac:dyDescent="0.25">
      <c r="Q7916" s="8"/>
    </row>
    <row r="7917" spans="17:17" x14ac:dyDescent="0.25">
      <c r="Q7917" s="8"/>
    </row>
    <row r="7918" spans="17:17" x14ac:dyDescent="0.25">
      <c r="Q7918" s="8"/>
    </row>
    <row r="7919" spans="17:17" x14ac:dyDescent="0.25">
      <c r="Q7919" s="8"/>
    </row>
    <row r="7920" spans="17:17" x14ac:dyDescent="0.25">
      <c r="Q7920" s="8"/>
    </row>
    <row r="7921" spans="17:17" x14ac:dyDescent="0.25">
      <c r="Q7921" s="8"/>
    </row>
    <row r="7922" spans="17:17" x14ac:dyDescent="0.25">
      <c r="Q7922" s="8"/>
    </row>
    <row r="7923" spans="17:17" x14ac:dyDescent="0.25">
      <c r="Q7923" s="8"/>
    </row>
    <row r="7924" spans="17:17" x14ac:dyDescent="0.25">
      <c r="Q7924" s="8"/>
    </row>
    <row r="7925" spans="17:17" x14ac:dyDescent="0.25">
      <c r="Q7925" s="8"/>
    </row>
    <row r="7926" spans="17:17" x14ac:dyDescent="0.25">
      <c r="Q7926" s="8"/>
    </row>
    <row r="7927" spans="17:17" x14ac:dyDescent="0.25">
      <c r="Q7927" s="8"/>
    </row>
    <row r="7928" spans="17:17" x14ac:dyDescent="0.25">
      <c r="Q7928" s="8"/>
    </row>
    <row r="7929" spans="17:17" x14ac:dyDescent="0.25">
      <c r="Q7929" s="8"/>
    </row>
    <row r="7930" spans="17:17" x14ac:dyDescent="0.25">
      <c r="Q7930" s="8"/>
    </row>
    <row r="7931" spans="17:17" x14ac:dyDescent="0.25">
      <c r="Q7931" s="8"/>
    </row>
    <row r="7932" spans="17:17" x14ac:dyDescent="0.25">
      <c r="Q7932" s="8"/>
    </row>
    <row r="7933" spans="17:17" x14ac:dyDescent="0.25">
      <c r="Q7933" s="8"/>
    </row>
    <row r="7934" spans="17:17" x14ac:dyDescent="0.25">
      <c r="Q7934" s="8"/>
    </row>
    <row r="7935" spans="17:17" x14ac:dyDescent="0.25">
      <c r="Q7935" s="8"/>
    </row>
    <row r="7936" spans="17:17" x14ac:dyDescent="0.25">
      <c r="Q7936" s="8"/>
    </row>
    <row r="7937" spans="17:17" x14ac:dyDescent="0.25">
      <c r="Q7937" s="8"/>
    </row>
    <row r="7938" spans="17:17" x14ac:dyDescent="0.25">
      <c r="Q7938" s="8"/>
    </row>
    <row r="7939" spans="17:17" x14ac:dyDescent="0.25">
      <c r="Q7939" s="8"/>
    </row>
    <row r="7940" spans="17:17" x14ac:dyDescent="0.25">
      <c r="Q7940" s="8"/>
    </row>
    <row r="7941" spans="17:17" x14ac:dyDescent="0.25">
      <c r="Q7941" s="8"/>
    </row>
    <row r="7942" spans="17:17" x14ac:dyDescent="0.25">
      <c r="Q7942" s="8"/>
    </row>
    <row r="7943" spans="17:17" x14ac:dyDescent="0.25">
      <c r="Q7943" s="8"/>
    </row>
    <row r="7944" spans="17:17" x14ac:dyDescent="0.25">
      <c r="Q7944" s="8"/>
    </row>
    <row r="7945" spans="17:17" x14ac:dyDescent="0.25">
      <c r="Q7945" s="8"/>
    </row>
    <row r="7946" spans="17:17" x14ac:dyDescent="0.25">
      <c r="Q7946" s="8"/>
    </row>
    <row r="7947" spans="17:17" x14ac:dyDescent="0.25">
      <c r="Q7947" s="8"/>
    </row>
    <row r="7948" spans="17:17" x14ac:dyDescent="0.25">
      <c r="Q7948" s="8"/>
    </row>
    <row r="7949" spans="17:17" x14ac:dyDescent="0.25">
      <c r="Q7949" s="8"/>
    </row>
    <row r="7950" spans="17:17" x14ac:dyDescent="0.25">
      <c r="Q7950" s="8"/>
    </row>
    <row r="7951" spans="17:17" x14ac:dyDescent="0.25">
      <c r="Q7951" s="8"/>
    </row>
    <row r="7952" spans="17:17" x14ac:dyDescent="0.25">
      <c r="Q7952" s="8"/>
    </row>
    <row r="7953" spans="17:17" x14ac:dyDescent="0.25">
      <c r="Q7953" s="8"/>
    </row>
    <row r="7954" spans="17:17" x14ac:dyDescent="0.25">
      <c r="Q7954" s="8"/>
    </row>
    <row r="7955" spans="17:17" x14ac:dyDescent="0.25">
      <c r="Q7955" s="8"/>
    </row>
    <row r="7956" spans="17:17" x14ac:dyDescent="0.25">
      <c r="Q7956" s="8"/>
    </row>
    <row r="7957" spans="17:17" x14ac:dyDescent="0.25">
      <c r="Q7957" s="8"/>
    </row>
    <row r="7958" spans="17:17" x14ac:dyDescent="0.25">
      <c r="Q7958" s="8"/>
    </row>
    <row r="7959" spans="17:17" x14ac:dyDescent="0.25">
      <c r="Q7959" s="8"/>
    </row>
    <row r="7960" spans="17:17" x14ac:dyDescent="0.25">
      <c r="Q7960" s="8"/>
    </row>
    <row r="7961" spans="17:17" x14ac:dyDescent="0.25">
      <c r="Q7961" s="8"/>
    </row>
    <row r="7962" spans="17:17" x14ac:dyDescent="0.25">
      <c r="Q7962" s="8"/>
    </row>
    <row r="7963" spans="17:17" x14ac:dyDescent="0.25">
      <c r="Q7963" s="8"/>
    </row>
    <row r="7964" spans="17:17" x14ac:dyDescent="0.25">
      <c r="Q7964" s="8"/>
    </row>
    <row r="7965" spans="17:17" x14ac:dyDescent="0.25">
      <c r="Q7965" s="8"/>
    </row>
    <row r="7966" spans="17:17" x14ac:dyDescent="0.25">
      <c r="Q7966" s="8"/>
    </row>
    <row r="7967" spans="17:17" x14ac:dyDescent="0.25">
      <c r="Q7967" s="8"/>
    </row>
    <row r="7968" spans="17:17" x14ac:dyDescent="0.25">
      <c r="Q7968" s="8"/>
    </row>
    <row r="7969" spans="17:17" x14ac:dyDescent="0.25">
      <c r="Q7969" s="8"/>
    </row>
    <row r="7970" spans="17:17" x14ac:dyDescent="0.25">
      <c r="Q7970" s="8"/>
    </row>
    <row r="7971" spans="17:17" x14ac:dyDescent="0.25">
      <c r="Q7971" s="8"/>
    </row>
    <row r="7972" spans="17:17" x14ac:dyDescent="0.25">
      <c r="Q7972" s="8"/>
    </row>
    <row r="7973" spans="17:17" x14ac:dyDescent="0.25">
      <c r="Q7973" s="8"/>
    </row>
    <row r="7974" spans="17:17" x14ac:dyDescent="0.25">
      <c r="Q7974" s="8"/>
    </row>
    <row r="7975" spans="17:17" x14ac:dyDescent="0.25">
      <c r="Q7975" s="8"/>
    </row>
    <row r="7976" spans="17:17" x14ac:dyDescent="0.25">
      <c r="Q7976" s="8"/>
    </row>
    <row r="7977" spans="17:17" x14ac:dyDescent="0.25">
      <c r="Q7977" s="8"/>
    </row>
    <row r="7978" spans="17:17" x14ac:dyDescent="0.25">
      <c r="Q7978" s="8"/>
    </row>
    <row r="7979" spans="17:17" x14ac:dyDescent="0.25">
      <c r="Q7979" s="8"/>
    </row>
    <row r="7980" spans="17:17" x14ac:dyDescent="0.25">
      <c r="Q7980" s="8"/>
    </row>
    <row r="7981" spans="17:17" x14ac:dyDescent="0.25">
      <c r="Q7981" s="8"/>
    </row>
    <row r="7982" spans="17:17" x14ac:dyDescent="0.25">
      <c r="Q7982" s="8"/>
    </row>
    <row r="7983" spans="17:17" x14ac:dyDescent="0.25">
      <c r="Q7983" s="8"/>
    </row>
    <row r="7984" spans="17:17" x14ac:dyDescent="0.25">
      <c r="Q7984" s="8"/>
    </row>
    <row r="7985" spans="17:17" x14ac:dyDescent="0.25">
      <c r="Q7985" s="8"/>
    </row>
    <row r="7986" spans="17:17" x14ac:dyDescent="0.25">
      <c r="Q7986" s="8"/>
    </row>
    <row r="7987" spans="17:17" x14ac:dyDescent="0.25">
      <c r="Q7987" s="8"/>
    </row>
    <row r="7988" spans="17:17" x14ac:dyDescent="0.25">
      <c r="Q7988" s="8"/>
    </row>
    <row r="7989" spans="17:17" x14ac:dyDescent="0.25">
      <c r="Q7989" s="8"/>
    </row>
    <row r="7990" spans="17:17" x14ac:dyDescent="0.25">
      <c r="Q7990" s="8"/>
    </row>
    <row r="7991" spans="17:17" x14ac:dyDescent="0.25">
      <c r="Q7991" s="8"/>
    </row>
    <row r="7992" spans="17:17" x14ac:dyDescent="0.25">
      <c r="Q7992" s="8"/>
    </row>
    <row r="7993" spans="17:17" x14ac:dyDescent="0.25">
      <c r="Q7993" s="8"/>
    </row>
    <row r="7994" spans="17:17" x14ac:dyDescent="0.25">
      <c r="Q7994" s="8"/>
    </row>
    <row r="7995" spans="17:17" x14ac:dyDescent="0.25">
      <c r="Q7995" s="8"/>
    </row>
    <row r="7996" spans="17:17" x14ac:dyDescent="0.25">
      <c r="Q7996" s="8"/>
    </row>
    <row r="7997" spans="17:17" x14ac:dyDescent="0.25">
      <c r="Q7997" s="8"/>
    </row>
    <row r="7998" spans="17:17" x14ac:dyDescent="0.25">
      <c r="Q7998" s="8"/>
    </row>
    <row r="7999" spans="17:17" x14ac:dyDescent="0.25">
      <c r="Q7999" s="8"/>
    </row>
    <row r="8000" spans="17:17" x14ac:dyDescent="0.25">
      <c r="Q8000" s="8"/>
    </row>
    <row r="8001" spans="17:17" x14ac:dyDescent="0.25">
      <c r="Q8001" s="8"/>
    </row>
    <row r="8002" spans="17:17" x14ac:dyDescent="0.25">
      <c r="Q8002" s="8"/>
    </row>
    <row r="8003" spans="17:17" x14ac:dyDescent="0.25">
      <c r="Q8003" s="8"/>
    </row>
    <row r="8004" spans="17:17" x14ac:dyDescent="0.25">
      <c r="Q8004" s="8"/>
    </row>
    <row r="8005" spans="17:17" x14ac:dyDescent="0.25">
      <c r="Q8005" s="8"/>
    </row>
    <row r="8006" spans="17:17" x14ac:dyDescent="0.25">
      <c r="Q8006" s="8"/>
    </row>
    <row r="8007" spans="17:17" x14ac:dyDescent="0.25">
      <c r="Q8007" s="8"/>
    </row>
    <row r="8008" spans="17:17" x14ac:dyDescent="0.25">
      <c r="Q8008" s="8"/>
    </row>
    <row r="8009" spans="17:17" x14ac:dyDescent="0.25">
      <c r="Q8009" s="8"/>
    </row>
    <row r="8010" spans="17:17" x14ac:dyDescent="0.25">
      <c r="Q8010" s="8"/>
    </row>
    <row r="8011" spans="17:17" x14ac:dyDescent="0.25">
      <c r="Q8011" s="8"/>
    </row>
    <row r="8012" spans="17:17" x14ac:dyDescent="0.25">
      <c r="Q8012" s="8"/>
    </row>
    <row r="8013" spans="17:17" x14ac:dyDescent="0.25">
      <c r="Q8013" s="8"/>
    </row>
    <row r="8014" spans="17:17" x14ac:dyDescent="0.25">
      <c r="Q8014" s="8"/>
    </row>
    <row r="8015" spans="17:17" x14ac:dyDescent="0.25">
      <c r="Q8015" s="8"/>
    </row>
    <row r="8016" spans="17:17" x14ac:dyDescent="0.25">
      <c r="Q8016" s="8"/>
    </row>
    <row r="8017" spans="17:17" x14ac:dyDescent="0.25">
      <c r="Q8017" s="8"/>
    </row>
    <row r="8018" spans="17:17" x14ac:dyDescent="0.25">
      <c r="Q8018" s="8"/>
    </row>
    <row r="8019" spans="17:17" x14ac:dyDescent="0.25">
      <c r="Q8019" s="8"/>
    </row>
    <row r="8020" spans="17:17" x14ac:dyDescent="0.25">
      <c r="Q8020" s="8"/>
    </row>
    <row r="8021" spans="17:17" x14ac:dyDescent="0.25">
      <c r="Q8021" s="8"/>
    </row>
    <row r="8022" spans="17:17" x14ac:dyDescent="0.25">
      <c r="Q8022" s="8"/>
    </row>
    <row r="8023" spans="17:17" x14ac:dyDescent="0.25">
      <c r="Q8023" s="8"/>
    </row>
    <row r="8024" spans="17:17" x14ac:dyDescent="0.25">
      <c r="Q8024" s="8"/>
    </row>
    <row r="8025" spans="17:17" x14ac:dyDescent="0.25">
      <c r="Q8025" s="8"/>
    </row>
    <row r="8026" spans="17:17" x14ac:dyDescent="0.25">
      <c r="Q8026" s="8"/>
    </row>
    <row r="8027" spans="17:17" x14ac:dyDescent="0.25">
      <c r="Q8027" s="8"/>
    </row>
    <row r="8028" spans="17:17" x14ac:dyDescent="0.25">
      <c r="Q8028" s="8"/>
    </row>
    <row r="8029" spans="17:17" x14ac:dyDescent="0.25">
      <c r="Q8029" s="8"/>
    </row>
    <row r="8030" spans="17:17" x14ac:dyDescent="0.25">
      <c r="Q8030" s="8"/>
    </row>
    <row r="8031" spans="17:17" x14ac:dyDescent="0.25">
      <c r="Q8031" s="8"/>
    </row>
    <row r="8032" spans="17:17" x14ac:dyDescent="0.25">
      <c r="Q8032" s="8"/>
    </row>
    <row r="8033" spans="17:17" x14ac:dyDescent="0.25">
      <c r="Q8033" s="8"/>
    </row>
    <row r="8034" spans="17:17" x14ac:dyDescent="0.25">
      <c r="Q8034" s="8"/>
    </row>
    <row r="8035" spans="17:17" x14ac:dyDescent="0.25">
      <c r="Q8035" s="8"/>
    </row>
    <row r="8036" spans="17:17" x14ac:dyDescent="0.25">
      <c r="Q8036" s="8"/>
    </row>
    <row r="8037" spans="17:17" x14ac:dyDescent="0.25">
      <c r="Q8037" s="8"/>
    </row>
    <row r="8038" spans="17:17" x14ac:dyDescent="0.25">
      <c r="Q8038" s="8"/>
    </row>
    <row r="8039" spans="17:17" x14ac:dyDescent="0.25">
      <c r="Q8039" s="8"/>
    </row>
    <row r="8040" spans="17:17" x14ac:dyDescent="0.25">
      <c r="Q8040" s="8"/>
    </row>
    <row r="8041" spans="17:17" x14ac:dyDescent="0.25">
      <c r="Q8041" s="8"/>
    </row>
    <row r="8042" spans="17:17" x14ac:dyDescent="0.25">
      <c r="Q8042" s="8"/>
    </row>
    <row r="8043" spans="17:17" x14ac:dyDescent="0.25">
      <c r="Q8043" s="8"/>
    </row>
    <row r="8044" spans="17:17" x14ac:dyDescent="0.25">
      <c r="Q8044" s="8"/>
    </row>
    <row r="8045" spans="17:17" x14ac:dyDescent="0.25">
      <c r="Q8045" s="8"/>
    </row>
    <row r="8046" spans="17:17" x14ac:dyDescent="0.25">
      <c r="Q8046" s="8"/>
    </row>
    <row r="8047" spans="17:17" x14ac:dyDescent="0.25">
      <c r="Q8047" s="8"/>
    </row>
    <row r="8048" spans="17:17" x14ac:dyDescent="0.25">
      <c r="Q8048" s="8"/>
    </row>
    <row r="8049" spans="17:17" x14ac:dyDescent="0.25">
      <c r="Q8049" s="8"/>
    </row>
    <row r="8050" spans="17:17" x14ac:dyDescent="0.25">
      <c r="Q8050" s="8"/>
    </row>
    <row r="8051" spans="17:17" x14ac:dyDescent="0.25">
      <c r="Q8051" s="8"/>
    </row>
    <row r="8052" spans="17:17" x14ac:dyDescent="0.25">
      <c r="Q8052" s="8"/>
    </row>
    <row r="8053" spans="17:17" x14ac:dyDescent="0.25">
      <c r="Q8053" s="8"/>
    </row>
    <row r="8054" spans="17:17" x14ac:dyDescent="0.25">
      <c r="Q8054" s="8"/>
    </row>
    <row r="8055" spans="17:17" x14ac:dyDescent="0.25">
      <c r="Q8055" s="8"/>
    </row>
    <row r="8056" spans="17:17" x14ac:dyDescent="0.25">
      <c r="Q8056" s="8"/>
    </row>
    <row r="8057" spans="17:17" x14ac:dyDescent="0.25">
      <c r="Q8057" s="8"/>
    </row>
    <row r="8058" spans="17:17" x14ac:dyDescent="0.25">
      <c r="Q8058" s="8"/>
    </row>
    <row r="8059" spans="17:17" x14ac:dyDescent="0.25">
      <c r="Q8059" s="8"/>
    </row>
    <row r="8060" spans="17:17" x14ac:dyDescent="0.25">
      <c r="Q8060" s="8"/>
    </row>
    <row r="8061" spans="17:17" x14ac:dyDescent="0.25">
      <c r="Q8061" s="8"/>
    </row>
    <row r="8062" spans="17:17" x14ac:dyDescent="0.25">
      <c r="Q8062" s="8"/>
    </row>
    <row r="8063" spans="17:17" x14ac:dyDescent="0.25">
      <c r="Q8063" s="8"/>
    </row>
    <row r="8064" spans="17:17" x14ac:dyDescent="0.25">
      <c r="Q8064" s="8"/>
    </row>
    <row r="8065" spans="17:17" x14ac:dyDescent="0.25">
      <c r="Q8065" s="8"/>
    </row>
    <row r="8066" spans="17:17" x14ac:dyDescent="0.25">
      <c r="Q8066" s="8"/>
    </row>
    <row r="8067" spans="17:17" x14ac:dyDescent="0.25">
      <c r="Q8067" s="8"/>
    </row>
    <row r="8068" spans="17:17" x14ac:dyDescent="0.25">
      <c r="Q8068" s="8"/>
    </row>
    <row r="8069" spans="17:17" x14ac:dyDescent="0.25">
      <c r="Q8069" s="8"/>
    </row>
    <row r="8070" spans="17:17" x14ac:dyDescent="0.25">
      <c r="Q8070" s="8"/>
    </row>
    <row r="8071" spans="17:17" x14ac:dyDescent="0.25">
      <c r="Q8071" s="8"/>
    </row>
    <row r="8072" spans="17:17" x14ac:dyDescent="0.25">
      <c r="Q8072" s="8"/>
    </row>
    <row r="8073" spans="17:17" x14ac:dyDescent="0.25">
      <c r="Q8073" s="8"/>
    </row>
    <row r="8074" spans="17:17" x14ac:dyDescent="0.25">
      <c r="Q8074" s="8"/>
    </row>
    <row r="8075" spans="17:17" x14ac:dyDescent="0.25">
      <c r="Q8075" s="8"/>
    </row>
    <row r="8076" spans="17:17" x14ac:dyDescent="0.25">
      <c r="Q8076" s="8"/>
    </row>
    <row r="8077" spans="17:17" x14ac:dyDescent="0.25">
      <c r="Q8077" s="8"/>
    </row>
    <row r="8078" spans="17:17" x14ac:dyDescent="0.25">
      <c r="Q8078" s="8"/>
    </row>
    <row r="8079" spans="17:17" x14ac:dyDescent="0.25">
      <c r="Q8079" s="8"/>
    </row>
    <row r="8080" spans="17:17" x14ac:dyDescent="0.25">
      <c r="Q8080" s="8"/>
    </row>
    <row r="8081" spans="17:17" x14ac:dyDescent="0.25">
      <c r="Q8081" s="8"/>
    </row>
    <row r="8082" spans="17:17" x14ac:dyDescent="0.25">
      <c r="Q8082" s="8"/>
    </row>
    <row r="8083" spans="17:17" x14ac:dyDescent="0.25">
      <c r="Q8083" s="8"/>
    </row>
    <row r="8084" spans="17:17" x14ac:dyDescent="0.25">
      <c r="Q8084" s="8"/>
    </row>
    <row r="8085" spans="17:17" x14ac:dyDescent="0.25">
      <c r="Q8085" s="8"/>
    </row>
    <row r="8086" spans="17:17" x14ac:dyDescent="0.25">
      <c r="Q8086" s="8"/>
    </row>
    <row r="8087" spans="17:17" x14ac:dyDescent="0.25">
      <c r="Q8087" s="8"/>
    </row>
    <row r="8088" spans="17:17" x14ac:dyDescent="0.25">
      <c r="Q8088" s="8"/>
    </row>
    <row r="8089" spans="17:17" x14ac:dyDescent="0.25">
      <c r="Q8089" s="8"/>
    </row>
    <row r="8090" spans="17:17" x14ac:dyDescent="0.25">
      <c r="Q8090" s="8"/>
    </row>
    <row r="8091" spans="17:17" x14ac:dyDescent="0.25">
      <c r="Q8091" s="8"/>
    </row>
    <row r="8092" spans="17:17" x14ac:dyDescent="0.25">
      <c r="Q8092" s="8"/>
    </row>
    <row r="8093" spans="17:17" x14ac:dyDescent="0.25">
      <c r="Q8093" s="8"/>
    </row>
    <row r="8094" spans="17:17" x14ac:dyDescent="0.25">
      <c r="Q8094" s="8"/>
    </row>
    <row r="8095" spans="17:17" x14ac:dyDescent="0.25">
      <c r="Q8095" s="8"/>
    </row>
    <row r="8096" spans="17:17" x14ac:dyDescent="0.25">
      <c r="Q8096" s="8"/>
    </row>
    <row r="8097" spans="17:17" x14ac:dyDescent="0.25">
      <c r="Q8097" s="8"/>
    </row>
    <row r="8098" spans="17:17" x14ac:dyDescent="0.25">
      <c r="Q8098" s="8"/>
    </row>
    <row r="8099" spans="17:17" x14ac:dyDescent="0.25">
      <c r="Q8099" s="8"/>
    </row>
    <row r="8100" spans="17:17" x14ac:dyDescent="0.25">
      <c r="Q8100" s="8"/>
    </row>
    <row r="8101" spans="17:17" x14ac:dyDescent="0.25">
      <c r="Q8101" s="8"/>
    </row>
    <row r="8102" spans="17:17" x14ac:dyDescent="0.25">
      <c r="Q8102" s="8"/>
    </row>
    <row r="8103" spans="17:17" x14ac:dyDescent="0.25">
      <c r="Q8103" s="8"/>
    </row>
    <row r="8104" spans="17:17" x14ac:dyDescent="0.25">
      <c r="Q8104" s="8"/>
    </row>
    <row r="8105" spans="17:17" x14ac:dyDescent="0.25">
      <c r="Q8105" s="8"/>
    </row>
    <row r="8106" spans="17:17" x14ac:dyDescent="0.25">
      <c r="Q8106" s="8"/>
    </row>
    <row r="8107" spans="17:17" x14ac:dyDescent="0.25">
      <c r="Q8107" s="8"/>
    </row>
    <row r="8108" spans="17:17" x14ac:dyDescent="0.25">
      <c r="Q8108" s="8"/>
    </row>
    <row r="8109" spans="17:17" x14ac:dyDescent="0.25">
      <c r="Q8109" s="8"/>
    </row>
    <row r="8110" spans="17:17" x14ac:dyDescent="0.25">
      <c r="Q8110" s="8"/>
    </row>
    <row r="8111" spans="17:17" x14ac:dyDescent="0.25">
      <c r="Q8111" s="8"/>
    </row>
    <row r="8112" spans="17:17" x14ac:dyDescent="0.25">
      <c r="Q8112" s="8"/>
    </row>
    <row r="8113" spans="17:17" x14ac:dyDescent="0.25">
      <c r="Q8113" s="8"/>
    </row>
    <row r="8114" spans="17:17" x14ac:dyDescent="0.25">
      <c r="Q8114" s="8"/>
    </row>
    <row r="8115" spans="17:17" x14ac:dyDescent="0.25">
      <c r="Q8115" s="8"/>
    </row>
    <row r="8116" spans="17:17" x14ac:dyDescent="0.25">
      <c r="Q8116" s="8"/>
    </row>
    <row r="8117" spans="17:17" x14ac:dyDescent="0.25">
      <c r="Q8117" s="8"/>
    </row>
    <row r="8118" spans="17:17" x14ac:dyDescent="0.25">
      <c r="Q8118" s="8"/>
    </row>
    <row r="8119" spans="17:17" x14ac:dyDescent="0.25">
      <c r="Q8119" s="8"/>
    </row>
    <row r="8120" spans="17:17" x14ac:dyDescent="0.25">
      <c r="Q8120" s="8"/>
    </row>
    <row r="8121" spans="17:17" x14ac:dyDescent="0.25">
      <c r="Q8121" s="8"/>
    </row>
    <row r="8122" spans="17:17" x14ac:dyDescent="0.25">
      <c r="Q8122" s="8"/>
    </row>
    <row r="8123" spans="17:17" x14ac:dyDescent="0.25">
      <c r="Q8123" s="8"/>
    </row>
    <row r="8124" spans="17:17" x14ac:dyDescent="0.25">
      <c r="Q8124" s="8"/>
    </row>
    <row r="8125" spans="17:17" x14ac:dyDescent="0.25">
      <c r="Q8125" s="8"/>
    </row>
    <row r="8126" spans="17:17" x14ac:dyDescent="0.25">
      <c r="Q8126" s="8"/>
    </row>
    <row r="8127" spans="17:17" x14ac:dyDescent="0.25">
      <c r="Q8127" s="8"/>
    </row>
    <row r="8128" spans="17:17" x14ac:dyDescent="0.25">
      <c r="Q8128" s="8"/>
    </row>
    <row r="8129" spans="17:17" x14ac:dyDescent="0.25">
      <c r="Q8129" s="8"/>
    </row>
    <row r="8130" spans="17:17" x14ac:dyDescent="0.25">
      <c r="Q8130" s="8"/>
    </row>
    <row r="8131" spans="17:17" x14ac:dyDescent="0.25">
      <c r="Q8131" s="8"/>
    </row>
    <row r="8132" spans="17:17" x14ac:dyDescent="0.25">
      <c r="Q8132" s="8"/>
    </row>
    <row r="8133" spans="17:17" x14ac:dyDescent="0.25">
      <c r="Q8133" s="8"/>
    </row>
    <row r="8134" spans="17:17" x14ac:dyDescent="0.25">
      <c r="Q8134" s="8"/>
    </row>
    <row r="8135" spans="17:17" x14ac:dyDescent="0.25">
      <c r="Q8135" s="8"/>
    </row>
    <row r="8136" spans="17:17" x14ac:dyDescent="0.25">
      <c r="Q8136" s="8"/>
    </row>
    <row r="8137" spans="17:17" x14ac:dyDescent="0.25">
      <c r="Q8137" s="8"/>
    </row>
    <row r="8138" spans="17:17" x14ac:dyDescent="0.25">
      <c r="Q8138" s="8"/>
    </row>
    <row r="8139" spans="17:17" x14ac:dyDescent="0.25">
      <c r="Q8139" s="8"/>
    </row>
    <row r="8140" spans="17:17" x14ac:dyDescent="0.25">
      <c r="Q8140" s="8"/>
    </row>
    <row r="8141" spans="17:17" x14ac:dyDescent="0.25">
      <c r="Q8141" s="8"/>
    </row>
    <row r="8142" spans="17:17" x14ac:dyDescent="0.25">
      <c r="Q8142" s="8"/>
    </row>
    <row r="8143" spans="17:17" x14ac:dyDescent="0.25">
      <c r="Q8143" s="8"/>
    </row>
    <row r="8144" spans="17:17" x14ac:dyDescent="0.25">
      <c r="Q8144" s="8"/>
    </row>
    <row r="8145" spans="17:17" x14ac:dyDescent="0.25">
      <c r="Q8145" s="8"/>
    </row>
    <row r="8146" spans="17:17" x14ac:dyDescent="0.25">
      <c r="Q8146" s="8"/>
    </row>
    <row r="8147" spans="17:17" x14ac:dyDescent="0.25">
      <c r="Q8147" s="8"/>
    </row>
    <row r="8148" spans="17:17" x14ac:dyDescent="0.25">
      <c r="Q8148" s="8"/>
    </row>
    <row r="8149" spans="17:17" x14ac:dyDescent="0.25">
      <c r="Q8149" s="8"/>
    </row>
    <row r="8150" spans="17:17" x14ac:dyDescent="0.25">
      <c r="Q8150" s="8"/>
    </row>
    <row r="8151" spans="17:17" x14ac:dyDescent="0.25">
      <c r="Q8151" s="8"/>
    </row>
    <row r="8152" spans="17:17" x14ac:dyDescent="0.25">
      <c r="Q8152" s="8"/>
    </row>
    <row r="8153" spans="17:17" x14ac:dyDescent="0.25">
      <c r="Q8153" s="8"/>
    </row>
    <row r="8154" spans="17:17" x14ac:dyDescent="0.25">
      <c r="Q8154" s="8"/>
    </row>
    <row r="8155" spans="17:17" x14ac:dyDescent="0.25">
      <c r="Q8155" s="8"/>
    </row>
    <row r="8156" spans="17:17" x14ac:dyDescent="0.25">
      <c r="Q8156" s="8"/>
    </row>
    <row r="8157" spans="17:17" x14ac:dyDescent="0.25">
      <c r="Q8157" s="8"/>
    </row>
    <row r="8158" spans="17:17" x14ac:dyDescent="0.25">
      <c r="Q8158" s="8"/>
    </row>
    <row r="8159" spans="17:17" x14ac:dyDescent="0.25">
      <c r="Q8159" s="8"/>
    </row>
    <row r="8160" spans="17:17" x14ac:dyDescent="0.25">
      <c r="Q8160" s="8"/>
    </row>
    <row r="8161" spans="17:17" x14ac:dyDescent="0.25">
      <c r="Q8161" s="8"/>
    </row>
    <row r="8162" spans="17:17" x14ac:dyDescent="0.25">
      <c r="Q8162" s="8"/>
    </row>
    <row r="8163" spans="17:17" x14ac:dyDescent="0.25">
      <c r="Q8163" s="8"/>
    </row>
    <row r="8164" spans="17:17" x14ac:dyDescent="0.25">
      <c r="Q8164" s="8"/>
    </row>
    <row r="8165" spans="17:17" x14ac:dyDescent="0.25">
      <c r="Q8165" s="8"/>
    </row>
    <row r="8166" spans="17:17" x14ac:dyDescent="0.25">
      <c r="Q8166" s="8"/>
    </row>
    <row r="8167" spans="17:17" x14ac:dyDescent="0.25">
      <c r="Q8167" s="8"/>
    </row>
    <row r="8168" spans="17:17" x14ac:dyDescent="0.25">
      <c r="Q8168" s="8"/>
    </row>
    <row r="8169" spans="17:17" x14ac:dyDescent="0.25">
      <c r="Q8169" s="8"/>
    </row>
    <row r="8170" spans="17:17" x14ac:dyDescent="0.25">
      <c r="Q8170" s="8"/>
    </row>
    <row r="8171" spans="17:17" x14ac:dyDescent="0.25">
      <c r="Q8171" s="8"/>
    </row>
    <row r="8172" spans="17:17" x14ac:dyDescent="0.25">
      <c r="Q8172" s="8"/>
    </row>
    <row r="8173" spans="17:17" x14ac:dyDescent="0.25">
      <c r="Q8173" s="8"/>
    </row>
    <row r="8174" spans="17:17" x14ac:dyDescent="0.25">
      <c r="Q8174" s="8"/>
    </row>
    <row r="8175" spans="17:17" x14ac:dyDescent="0.25">
      <c r="Q8175" s="8"/>
    </row>
    <row r="8176" spans="17:17" x14ac:dyDescent="0.25">
      <c r="Q8176" s="8"/>
    </row>
    <row r="8177" spans="17:17" x14ac:dyDescent="0.25">
      <c r="Q8177" s="8"/>
    </row>
    <row r="8178" spans="17:17" x14ac:dyDescent="0.25">
      <c r="Q8178" s="8"/>
    </row>
    <row r="8179" spans="17:17" x14ac:dyDescent="0.25">
      <c r="Q8179" s="8"/>
    </row>
    <row r="8180" spans="17:17" x14ac:dyDescent="0.25">
      <c r="Q8180" s="8"/>
    </row>
    <row r="8181" spans="17:17" x14ac:dyDescent="0.25">
      <c r="Q8181" s="8"/>
    </row>
    <row r="8182" spans="17:17" x14ac:dyDescent="0.25">
      <c r="Q8182" s="8"/>
    </row>
    <row r="8183" spans="17:17" x14ac:dyDescent="0.25">
      <c r="Q8183" s="8"/>
    </row>
    <row r="8184" spans="17:17" x14ac:dyDescent="0.25">
      <c r="Q8184" s="8"/>
    </row>
    <row r="8185" spans="17:17" x14ac:dyDescent="0.25">
      <c r="Q8185" s="8"/>
    </row>
    <row r="8186" spans="17:17" x14ac:dyDescent="0.25">
      <c r="Q8186" s="8"/>
    </row>
    <row r="8187" spans="17:17" x14ac:dyDescent="0.25">
      <c r="Q8187" s="8"/>
    </row>
    <row r="8188" spans="17:17" x14ac:dyDescent="0.25">
      <c r="Q8188" s="8"/>
    </row>
    <row r="8189" spans="17:17" x14ac:dyDescent="0.25">
      <c r="Q8189" s="8"/>
    </row>
    <row r="8190" spans="17:17" x14ac:dyDescent="0.25">
      <c r="Q8190" s="8"/>
    </row>
    <row r="8191" spans="17:17" x14ac:dyDescent="0.25">
      <c r="Q8191" s="8"/>
    </row>
    <row r="8192" spans="17:17" x14ac:dyDescent="0.25">
      <c r="Q8192" s="8"/>
    </row>
    <row r="8193" spans="17:17" x14ac:dyDescent="0.25">
      <c r="Q8193" s="8"/>
    </row>
    <row r="8194" spans="17:17" x14ac:dyDescent="0.25">
      <c r="Q8194" s="8"/>
    </row>
    <row r="8195" spans="17:17" x14ac:dyDescent="0.25">
      <c r="Q8195" s="8"/>
    </row>
    <row r="8196" spans="17:17" x14ac:dyDescent="0.25">
      <c r="Q8196" s="8"/>
    </row>
    <row r="8197" spans="17:17" x14ac:dyDescent="0.25">
      <c r="Q8197" s="8"/>
    </row>
    <row r="8198" spans="17:17" x14ac:dyDescent="0.25">
      <c r="Q8198" s="8"/>
    </row>
    <row r="8199" spans="17:17" x14ac:dyDescent="0.25">
      <c r="Q8199" s="8"/>
    </row>
    <row r="8200" spans="17:17" x14ac:dyDescent="0.25">
      <c r="Q8200" s="8"/>
    </row>
    <row r="8201" spans="17:17" x14ac:dyDescent="0.25">
      <c r="Q8201" s="8"/>
    </row>
    <row r="8202" spans="17:17" x14ac:dyDescent="0.25">
      <c r="Q8202" s="8"/>
    </row>
    <row r="8203" spans="17:17" x14ac:dyDescent="0.25">
      <c r="Q8203" s="8"/>
    </row>
    <row r="8204" spans="17:17" x14ac:dyDescent="0.25">
      <c r="Q8204" s="8"/>
    </row>
    <row r="8205" spans="17:17" x14ac:dyDescent="0.25">
      <c r="Q8205" s="8"/>
    </row>
    <row r="8206" spans="17:17" x14ac:dyDescent="0.25">
      <c r="Q8206" s="8"/>
    </row>
    <row r="8207" spans="17:17" x14ac:dyDescent="0.25">
      <c r="Q8207" s="8"/>
    </row>
    <row r="8208" spans="17:17" x14ac:dyDescent="0.25">
      <c r="Q8208" s="8"/>
    </row>
    <row r="8209" spans="17:17" x14ac:dyDescent="0.25">
      <c r="Q8209" s="8"/>
    </row>
    <row r="8210" spans="17:17" x14ac:dyDescent="0.25">
      <c r="Q8210" s="8"/>
    </row>
    <row r="8211" spans="17:17" x14ac:dyDescent="0.25">
      <c r="Q8211" s="8"/>
    </row>
    <row r="8212" spans="17:17" x14ac:dyDescent="0.25">
      <c r="Q8212" s="8"/>
    </row>
    <row r="8213" spans="17:17" x14ac:dyDescent="0.25">
      <c r="Q8213" s="8"/>
    </row>
    <row r="8214" spans="17:17" x14ac:dyDescent="0.25">
      <c r="Q8214" s="8"/>
    </row>
    <row r="8215" spans="17:17" x14ac:dyDescent="0.25">
      <c r="Q8215" s="8"/>
    </row>
    <row r="8216" spans="17:17" x14ac:dyDescent="0.25">
      <c r="Q8216" s="8"/>
    </row>
    <row r="8217" spans="17:17" x14ac:dyDescent="0.25">
      <c r="Q8217" s="8"/>
    </row>
    <row r="8218" spans="17:17" x14ac:dyDescent="0.25">
      <c r="Q8218" s="8"/>
    </row>
    <row r="8219" spans="17:17" x14ac:dyDescent="0.25">
      <c r="Q8219" s="8"/>
    </row>
    <row r="8220" spans="17:17" x14ac:dyDescent="0.25">
      <c r="Q8220" s="8"/>
    </row>
    <row r="8221" spans="17:17" x14ac:dyDescent="0.25">
      <c r="Q8221" s="8"/>
    </row>
    <row r="8222" spans="17:17" x14ac:dyDescent="0.25">
      <c r="Q8222" s="8"/>
    </row>
    <row r="8223" spans="17:17" x14ac:dyDescent="0.25">
      <c r="Q8223" s="8"/>
    </row>
    <row r="8224" spans="17:17" x14ac:dyDescent="0.25">
      <c r="Q8224" s="8"/>
    </row>
    <row r="8225" spans="17:17" x14ac:dyDescent="0.25">
      <c r="Q8225" s="8"/>
    </row>
    <row r="8226" spans="17:17" x14ac:dyDescent="0.25">
      <c r="Q8226" s="8"/>
    </row>
    <row r="8227" spans="17:17" x14ac:dyDescent="0.25">
      <c r="Q8227" s="8"/>
    </row>
    <row r="8228" spans="17:17" x14ac:dyDescent="0.25">
      <c r="Q8228" s="8"/>
    </row>
    <row r="8229" spans="17:17" x14ac:dyDescent="0.25">
      <c r="Q8229" s="8"/>
    </row>
    <row r="8230" spans="17:17" x14ac:dyDescent="0.25">
      <c r="Q8230" s="8"/>
    </row>
    <row r="8231" spans="17:17" x14ac:dyDescent="0.25">
      <c r="Q8231" s="8"/>
    </row>
    <row r="8232" spans="17:17" x14ac:dyDescent="0.25">
      <c r="Q8232" s="8"/>
    </row>
    <row r="8233" spans="17:17" x14ac:dyDescent="0.25">
      <c r="Q8233" s="8"/>
    </row>
    <row r="8234" spans="17:17" x14ac:dyDescent="0.25">
      <c r="Q8234" s="8"/>
    </row>
    <row r="8235" spans="17:17" x14ac:dyDescent="0.25">
      <c r="Q8235" s="8"/>
    </row>
    <row r="8236" spans="17:17" x14ac:dyDescent="0.25">
      <c r="Q8236" s="8"/>
    </row>
    <row r="8237" spans="17:17" x14ac:dyDescent="0.25">
      <c r="Q8237" s="8"/>
    </row>
    <row r="8238" spans="17:17" x14ac:dyDescent="0.25">
      <c r="Q8238" s="8"/>
    </row>
    <row r="8239" spans="17:17" x14ac:dyDescent="0.25">
      <c r="Q8239" s="8"/>
    </row>
    <row r="8240" spans="17:17" x14ac:dyDescent="0.25">
      <c r="Q8240" s="8"/>
    </row>
    <row r="8241" spans="17:17" x14ac:dyDescent="0.25">
      <c r="Q8241" s="8"/>
    </row>
    <row r="8242" spans="17:17" x14ac:dyDescent="0.25">
      <c r="Q8242" s="8"/>
    </row>
    <row r="8243" spans="17:17" x14ac:dyDescent="0.25">
      <c r="Q8243" s="8"/>
    </row>
    <row r="8244" spans="17:17" x14ac:dyDescent="0.25">
      <c r="Q8244" s="8"/>
    </row>
    <row r="8245" spans="17:17" x14ac:dyDescent="0.25">
      <c r="Q8245" s="8"/>
    </row>
    <row r="8246" spans="17:17" x14ac:dyDescent="0.25">
      <c r="Q8246" s="8"/>
    </row>
    <row r="8247" spans="17:17" x14ac:dyDescent="0.25">
      <c r="Q8247" s="8"/>
    </row>
    <row r="8248" spans="17:17" x14ac:dyDescent="0.25">
      <c r="Q8248" s="8"/>
    </row>
    <row r="8249" spans="17:17" x14ac:dyDescent="0.25">
      <c r="Q8249" s="8"/>
    </row>
    <row r="8250" spans="17:17" x14ac:dyDescent="0.25">
      <c r="Q8250" s="8"/>
    </row>
    <row r="8251" spans="17:17" x14ac:dyDescent="0.25">
      <c r="Q8251" s="8"/>
    </row>
    <row r="8252" spans="17:17" x14ac:dyDescent="0.25">
      <c r="Q8252" s="8"/>
    </row>
    <row r="8253" spans="17:17" x14ac:dyDescent="0.25">
      <c r="Q8253" s="8"/>
    </row>
    <row r="8254" spans="17:17" x14ac:dyDescent="0.25">
      <c r="Q8254" s="8"/>
    </row>
    <row r="8255" spans="17:17" x14ac:dyDescent="0.25">
      <c r="Q8255" s="8"/>
    </row>
    <row r="8256" spans="17:17" x14ac:dyDescent="0.25">
      <c r="Q8256" s="8"/>
    </row>
    <row r="8257" spans="17:17" x14ac:dyDescent="0.25">
      <c r="Q8257" s="8"/>
    </row>
    <row r="8258" spans="17:17" x14ac:dyDescent="0.25">
      <c r="Q8258" s="8"/>
    </row>
    <row r="8259" spans="17:17" x14ac:dyDescent="0.25">
      <c r="Q8259" s="8"/>
    </row>
    <row r="8260" spans="17:17" x14ac:dyDescent="0.25">
      <c r="Q8260" s="8"/>
    </row>
    <row r="8261" spans="17:17" x14ac:dyDescent="0.25">
      <c r="Q8261" s="8"/>
    </row>
    <row r="8262" spans="17:17" x14ac:dyDescent="0.25">
      <c r="Q8262" s="8"/>
    </row>
    <row r="8263" spans="17:17" x14ac:dyDescent="0.25">
      <c r="Q8263" s="8"/>
    </row>
    <row r="8264" spans="17:17" x14ac:dyDescent="0.25">
      <c r="Q8264" s="8"/>
    </row>
    <row r="8265" spans="17:17" x14ac:dyDescent="0.25">
      <c r="Q8265" s="8"/>
    </row>
    <row r="8266" spans="17:17" x14ac:dyDescent="0.25">
      <c r="Q8266" s="8"/>
    </row>
    <row r="8267" spans="17:17" x14ac:dyDescent="0.25">
      <c r="Q8267" s="8"/>
    </row>
    <row r="8268" spans="17:17" x14ac:dyDescent="0.25">
      <c r="Q8268" s="8"/>
    </row>
    <row r="8269" spans="17:17" x14ac:dyDescent="0.25">
      <c r="Q8269" s="8"/>
    </row>
    <row r="8270" spans="17:17" x14ac:dyDescent="0.25">
      <c r="Q8270" s="8"/>
    </row>
    <row r="8271" spans="17:17" x14ac:dyDescent="0.25">
      <c r="Q8271" s="8"/>
    </row>
    <row r="8272" spans="17:17" x14ac:dyDescent="0.25">
      <c r="Q8272" s="8"/>
    </row>
    <row r="8273" spans="17:17" x14ac:dyDescent="0.25">
      <c r="Q8273" s="8"/>
    </row>
    <row r="8274" spans="17:17" x14ac:dyDescent="0.25">
      <c r="Q8274" s="8"/>
    </row>
    <row r="8275" spans="17:17" x14ac:dyDescent="0.25">
      <c r="Q8275" s="8"/>
    </row>
    <row r="8276" spans="17:17" x14ac:dyDescent="0.25">
      <c r="Q8276" s="8"/>
    </row>
    <row r="8277" spans="17:17" x14ac:dyDescent="0.25">
      <c r="Q8277" s="8"/>
    </row>
    <row r="8278" spans="17:17" x14ac:dyDescent="0.25">
      <c r="Q8278" s="8"/>
    </row>
    <row r="8279" spans="17:17" x14ac:dyDescent="0.25">
      <c r="Q8279" s="8"/>
    </row>
    <row r="8280" spans="17:17" x14ac:dyDescent="0.25">
      <c r="Q8280" s="8"/>
    </row>
    <row r="8281" spans="17:17" x14ac:dyDescent="0.25">
      <c r="Q8281" s="8"/>
    </row>
    <row r="8282" spans="17:17" x14ac:dyDescent="0.25">
      <c r="Q8282" s="8"/>
    </row>
    <row r="8283" spans="17:17" x14ac:dyDescent="0.25">
      <c r="Q8283" s="8"/>
    </row>
    <row r="8284" spans="17:17" x14ac:dyDescent="0.25">
      <c r="Q8284" s="8"/>
    </row>
    <row r="8285" spans="17:17" x14ac:dyDescent="0.25">
      <c r="Q8285" s="8"/>
    </row>
    <row r="8286" spans="17:17" x14ac:dyDescent="0.25">
      <c r="Q8286" s="8"/>
    </row>
    <row r="8287" spans="17:17" x14ac:dyDescent="0.25">
      <c r="Q8287" s="8"/>
    </row>
    <row r="8288" spans="17:17" x14ac:dyDescent="0.25">
      <c r="Q8288" s="8"/>
    </row>
    <row r="8289" spans="17:17" x14ac:dyDescent="0.25">
      <c r="Q8289" s="8"/>
    </row>
    <row r="8290" spans="17:17" x14ac:dyDescent="0.25">
      <c r="Q8290" s="8"/>
    </row>
    <row r="8291" spans="17:17" x14ac:dyDescent="0.25">
      <c r="Q8291" s="8"/>
    </row>
    <row r="8292" spans="17:17" x14ac:dyDescent="0.25">
      <c r="Q8292" s="8"/>
    </row>
    <row r="8293" spans="17:17" x14ac:dyDescent="0.25">
      <c r="Q8293" s="8"/>
    </row>
    <row r="8294" spans="17:17" x14ac:dyDescent="0.25">
      <c r="Q8294" s="8"/>
    </row>
    <row r="8295" spans="17:17" x14ac:dyDescent="0.25">
      <c r="Q8295" s="8"/>
    </row>
    <row r="8296" spans="17:17" x14ac:dyDescent="0.25">
      <c r="Q8296" s="8"/>
    </row>
    <row r="8297" spans="17:17" x14ac:dyDescent="0.25">
      <c r="Q8297" s="8"/>
    </row>
    <row r="8298" spans="17:17" x14ac:dyDescent="0.25">
      <c r="Q8298" s="8"/>
    </row>
    <row r="8299" spans="17:17" x14ac:dyDescent="0.25">
      <c r="Q8299" s="8"/>
    </row>
    <row r="8300" spans="17:17" x14ac:dyDescent="0.25">
      <c r="Q8300" s="8"/>
    </row>
    <row r="8301" spans="17:17" x14ac:dyDescent="0.25">
      <c r="Q8301" s="8"/>
    </row>
    <row r="8302" spans="17:17" x14ac:dyDescent="0.25">
      <c r="Q8302" s="8"/>
    </row>
    <row r="8303" spans="17:17" x14ac:dyDescent="0.25">
      <c r="Q8303" s="8"/>
    </row>
    <row r="8304" spans="17:17" x14ac:dyDescent="0.25">
      <c r="Q8304" s="8"/>
    </row>
    <row r="8305" spans="17:17" x14ac:dyDescent="0.25">
      <c r="Q8305" s="8"/>
    </row>
    <row r="8306" spans="17:17" x14ac:dyDescent="0.25">
      <c r="Q8306" s="8"/>
    </row>
    <row r="8307" spans="17:17" x14ac:dyDescent="0.25">
      <c r="Q8307" s="8"/>
    </row>
    <row r="8308" spans="17:17" x14ac:dyDescent="0.25">
      <c r="Q8308" s="8"/>
    </row>
    <row r="8309" spans="17:17" x14ac:dyDescent="0.25">
      <c r="Q8309" s="8"/>
    </row>
    <row r="8310" spans="17:17" x14ac:dyDescent="0.25">
      <c r="Q8310" s="8"/>
    </row>
    <row r="8311" spans="17:17" x14ac:dyDescent="0.25">
      <c r="Q8311" s="8"/>
    </row>
    <row r="8312" spans="17:17" x14ac:dyDescent="0.25">
      <c r="Q8312" s="8"/>
    </row>
    <row r="8313" spans="17:17" x14ac:dyDescent="0.25">
      <c r="Q8313" s="8"/>
    </row>
    <row r="8314" spans="17:17" x14ac:dyDescent="0.25">
      <c r="Q8314" s="8"/>
    </row>
    <row r="8315" spans="17:17" x14ac:dyDescent="0.25">
      <c r="Q8315" s="8"/>
    </row>
    <row r="8316" spans="17:17" x14ac:dyDescent="0.25">
      <c r="Q8316" s="8"/>
    </row>
    <row r="8317" spans="17:17" x14ac:dyDescent="0.25">
      <c r="Q8317" s="8"/>
    </row>
    <row r="8318" spans="17:17" x14ac:dyDescent="0.25">
      <c r="Q8318" s="8"/>
    </row>
    <row r="8319" spans="17:17" x14ac:dyDescent="0.25">
      <c r="Q8319" s="8"/>
    </row>
    <row r="8320" spans="17:17" x14ac:dyDescent="0.25">
      <c r="Q8320" s="8"/>
    </row>
    <row r="8321" spans="17:17" x14ac:dyDescent="0.25">
      <c r="Q8321" s="8"/>
    </row>
    <row r="8322" spans="17:17" x14ac:dyDescent="0.25">
      <c r="Q8322" s="8"/>
    </row>
    <row r="8323" spans="17:17" x14ac:dyDescent="0.25">
      <c r="Q8323" s="8"/>
    </row>
    <row r="8324" spans="17:17" x14ac:dyDescent="0.25">
      <c r="Q8324" s="8"/>
    </row>
    <row r="8325" spans="17:17" x14ac:dyDescent="0.25">
      <c r="Q8325" s="8"/>
    </row>
    <row r="8326" spans="17:17" x14ac:dyDescent="0.25">
      <c r="Q8326" s="8"/>
    </row>
    <row r="8327" spans="17:17" x14ac:dyDescent="0.25">
      <c r="Q8327" s="8"/>
    </row>
    <row r="8328" spans="17:17" x14ac:dyDescent="0.25">
      <c r="Q8328" s="8"/>
    </row>
    <row r="8329" spans="17:17" x14ac:dyDescent="0.25">
      <c r="Q8329" s="8"/>
    </row>
    <row r="8330" spans="17:17" x14ac:dyDescent="0.25">
      <c r="Q8330" s="8"/>
    </row>
    <row r="8331" spans="17:17" x14ac:dyDescent="0.25">
      <c r="Q8331" s="8"/>
    </row>
    <row r="8332" spans="17:17" x14ac:dyDescent="0.25">
      <c r="Q8332" s="8"/>
    </row>
    <row r="8333" spans="17:17" x14ac:dyDescent="0.25">
      <c r="Q8333" s="8"/>
    </row>
    <row r="8334" spans="17:17" x14ac:dyDescent="0.25">
      <c r="Q8334" s="8"/>
    </row>
    <row r="8335" spans="17:17" x14ac:dyDescent="0.25">
      <c r="Q8335" s="8"/>
    </row>
    <row r="8336" spans="17:17" x14ac:dyDescent="0.25">
      <c r="Q8336" s="8"/>
    </row>
    <row r="8337" spans="17:17" x14ac:dyDescent="0.25">
      <c r="Q8337" s="8"/>
    </row>
    <row r="8338" spans="17:17" x14ac:dyDescent="0.25">
      <c r="Q8338" s="8"/>
    </row>
    <row r="8339" spans="17:17" x14ac:dyDescent="0.25">
      <c r="Q8339" s="8"/>
    </row>
    <row r="8340" spans="17:17" x14ac:dyDescent="0.25">
      <c r="Q8340" s="8"/>
    </row>
    <row r="8341" spans="17:17" x14ac:dyDescent="0.25">
      <c r="Q8341" s="8"/>
    </row>
    <row r="8342" spans="17:17" x14ac:dyDescent="0.25">
      <c r="Q8342" s="8"/>
    </row>
    <row r="8343" spans="17:17" x14ac:dyDescent="0.25">
      <c r="Q8343" s="8"/>
    </row>
    <row r="8344" spans="17:17" x14ac:dyDescent="0.25">
      <c r="Q8344" s="8"/>
    </row>
    <row r="8345" spans="17:17" x14ac:dyDescent="0.25">
      <c r="Q8345" s="8"/>
    </row>
    <row r="8346" spans="17:17" x14ac:dyDescent="0.25">
      <c r="Q8346" s="8"/>
    </row>
    <row r="8347" spans="17:17" x14ac:dyDescent="0.25">
      <c r="Q8347" s="8"/>
    </row>
    <row r="8348" spans="17:17" x14ac:dyDescent="0.25">
      <c r="Q8348" s="8"/>
    </row>
    <row r="8349" spans="17:17" x14ac:dyDescent="0.25">
      <c r="Q8349" s="8"/>
    </row>
    <row r="8350" spans="17:17" x14ac:dyDescent="0.25">
      <c r="Q8350" s="8"/>
    </row>
    <row r="8351" spans="17:17" x14ac:dyDescent="0.25">
      <c r="Q8351" s="8"/>
    </row>
    <row r="8352" spans="17:17" x14ac:dyDescent="0.25">
      <c r="Q8352" s="8"/>
    </row>
    <row r="8353" spans="17:17" x14ac:dyDescent="0.25">
      <c r="Q8353" s="8"/>
    </row>
    <row r="8354" spans="17:17" x14ac:dyDescent="0.25">
      <c r="Q8354" s="8"/>
    </row>
    <row r="8355" spans="17:17" x14ac:dyDescent="0.25">
      <c r="Q8355" s="8"/>
    </row>
    <row r="8356" spans="17:17" x14ac:dyDescent="0.25">
      <c r="Q8356" s="8"/>
    </row>
    <row r="8357" spans="17:17" x14ac:dyDescent="0.25">
      <c r="Q8357" s="8"/>
    </row>
    <row r="8358" spans="17:17" x14ac:dyDescent="0.25">
      <c r="Q8358" s="8"/>
    </row>
    <row r="8359" spans="17:17" x14ac:dyDescent="0.25">
      <c r="Q8359" s="8"/>
    </row>
    <row r="8360" spans="17:17" x14ac:dyDescent="0.25">
      <c r="Q8360" s="8"/>
    </row>
    <row r="8361" spans="17:17" x14ac:dyDescent="0.25">
      <c r="Q8361" s="8"/>
    </row>
    <row r="8362" spans="17:17" x14ac:dyDescent="0.25">
      <c r="Q8362" s="8"/>
    </row>
    <row r="8363" spans="17:17" x14ac:dyDescent="0.25">
      <c r="Q8363" s="8"/>
    </row>
    <row r="8364" spans="17:17" x14ac:dyDescent="0.25">
      <c r="Q8364" s="8"/>
    </row>
    <row r="8365" spans="17:17" x14ac:dyDescent="0.25">
      <c r="Q8365" s="8"/>
    </row>
    <row r="8366" spans="17:17" x14ac:dyDescent="0.25">
      <c r="Q8366" s="8"/>
    </row>
    <row r="8367" spans="17:17" x14ac:dyDescent="0.25">
      <c r="Q8367" s="8"/>
    </row>
    <row r="8368" spans="17:17" x14ac:dyDescent="0.25">
      <c r="Q8368" s="8"/>
    </row>
    <row r="8369" spans="17:17" x14ac:dyDescent="0.25">
      <c r="Q8369" s="8"/>
    </row>
    <row r="8370" spans="17:17" x14ac:dyDescent="0.25">
      <c r="Q8370" s="8"/>
    </row>
    <row r="8371" spans="17:17" x14ac:dyDescent="0.25">
      <c r="Q8371" s="8"/>
    </row>
    <row r="8372" spans="17:17" x14ac:dyDescent="0.25">
      <c r="Q8372" s="8"/>
    </row>
    <row r="8373" spans="17:17" x14ac:dyDescent="0.25">
      <c r="Q8373" s="8"/>
    </row>
    <row r="8374" spans="17:17" x14ac:dyDescent="0.25">
      <c r="Q8374" s="8"/>
    </row>
    <row r="8375" spans="17:17" x14ac:dyDescent="0.25">
      <c r="Q8375" s="8"/>
    </row>
    <row r="8376" spans="17:17" x14ac:dyDescent="0.25">
      <c r="Q8376" s="8"/>
    </row>
    <row r="8377" spans="17:17" x14ac:dyDescent="0.25">
      <c r="Q8377" s="8"/>
    </row>
    <row r="8378" spans="17:17" x14ac:dyDescent="0.25">
      <c r="Q8378" s="8"/>
    </row>
    <row r="8379" spans="17:17" x14ac:dyDescent="0.25">
      <c r="Q8379" s="8"/>
    </row>
    <row r="8380" spans="17:17" x14ac:dyDescent="0.25">
      <c r="Q8380" s="8"/>
    </row>
    <row r="8381" spans="17:17" x14ac:dyDescent="0.25">
      <c r="Q8381" s="8"/>
    </row>
    <row r="8382" spans="17:17" x14ac:dyDescent="0.25">
      <c r="Q8382" s="8"/>
    </row>
    <row r="8383" spans="17:17" x14ac:dyDescent="0.25">
      <c r="Q8383" s="8"/>
    </row>
    <row r="8384" spans="17:17" x14ac:dyDescent="0.25">
      <c r="Q8384" s="8"/>
    </row>
    <row r="8385" spans="17:17" x14ac:dyDescent="0.25">
      <c r="Q8385" s="8"/>
    </row>
    <row r="8386" spans="17:17" x14ac:dyDescent="0.25">
      <c r="Q8386" s="8"/>
    </row>
    <row r="8387" spans="17:17" x14ac:dyDescent="0.25">
      <c r="Q8387" s="8"/>
    </row>
    <row r="8388" spans="17:17" x14ac:dyDescent="0.25">
      <c r="Q8388" s="8"/>
    </row>
    <row r="8389" spans="17:17" x14ac:dyDescent="0.25">
      <c r="Q8389" s="8"/>
    </row>
    <row r="8390" spans="17:17" x14ac:dyDescent="0.25">
      <c r="Q8390" s="8"/>
    </row>
    <row r="8391" spans="17:17" x14ac:dyDescent="0.25">
      <c r="Q8391" s="8"/>
    </row>
    <row r="8392" spans="17:17" x14ac:dyDescent="0.25">
      <c r="Q8392" s="8"/>
    </row>
    <row r="8393" spans="17:17" x14ac:dyDescent="0.25">
      <c r="Q8393" s="8"/>
    </row>
    <row r="8394" spans="17:17" x14ac:dyDescent="0.25">
      <c r="Q8394" s="8"/>
    </row>
    <row r="8395" spans="17:17" x14ac:dyDescent="0.25">
      <c r="Q8395" s="8"/>
    </row>
    <row r="8396" spans="17:17" x14ac:dyDescent="0.25">
      <c r="Q8396" s="8"/>
    </row>
    <row r="8397" spans="17:17" x14ac:dyDescent="0.25">
      <c r="Q8397" s="8"/>
    </row>
    <row r="8398" spans="17:17" x14ac:dyDescent="0.25">
      <c r="Q8398" s="8"/>
    </row>
    <row r="8399" spans="17:17" x14ac:dyDescent="0.25">
      <c r="Q8399" s="8"/>
    </row>
    <row r="8400" spans="17:17" x14ac:dyDescent="0.25">
      <c r="Q8400" s="8"/>
    </row>
    <row r="8401" spans="17:17" x14ac:dyDescent="0.25">
      <c r="Q8401" s="8"/>
    </row>
    <row r="8402" spans="17:17" x14ac:dyDescent="0.25">
      <c r="Q8402" s="8"/>
    </row>
    <row r="8403" spans="17:17" x14ac:dyDescent="0.25">
      <c r="Q8403" s="8"/>
    </row>
    <row r="8404" spans="17:17" x14ac:dyDescent="0.25">
      <c r="Q8404" s="8"/>
    </row>
    <row r="8405" spans="17:17" x14ac:dyDescent="0.25">
      <c r="Q8405" s="8"/>
    </row>
    <row r="8406" spans="17:17" x14ac:dyDescent="0.25">
      <c r="Q8406" s="8"/>
    </row>
    <row r="8407" spans="17:17" x14ac:dyDescent="0.25">
      <c r="Q8407" s="8"/>
    </row>
    <row r="8408" spans="17:17" x14ac:dyDescent="0.25">
      <c r="Q8408" s="8"/>
    </row>
    <row r="8409" spans="17:17" x14ac:dyDescent="0.25">
      <c r="Q8409" s="8"/>
    </row>
    <row r="8410" spans="17:17" x14ac:dyDescent="0.25">
      <c r="Q8410" s="8"/>
    </row>
    <row r="8411" spans="17:17" x14ac:dyDescent="0.25">
      <c r="Q8411" s="8"/>
    </row>
    <row r="8412" spans="17:17" x14ac:dyDescent="0.25">
      <c r="Q8412" s="8"/>
    </row>
    <row r="8413" spans="17:17" x14ac:dyDescent="0.25">
      <c r="Q8413" s="8"/>
    </row>
    <row r="8414" spans="17:17" x14ac:dyDescent="0.25">
      <c r="Q8414" s="8"/>
    </row>
    <row r="8415" spans="17:17" x14ac:dyDescent="0.25">
      <c r="Q8415" s="8"/>
    </row>
    <row r="8416" spans="17:17" x14ac:dyDescent="0.25">
      <c r="Q8416" s="8"/>
    </row>
    <row r="8417" spans="17:17" x14ac:dyDescent="0.25">
      <c r="Q8417" s="8"/>
    </row>
    <row r="8418" spans="17:17" x14ac:dyDescent="0.25">
      <c r="Q8418" s="8"/>
    </row>
    <row r="8419" spans="17:17" x14ac:dyDescent="0.25">
      <c r="Q8419" s="8"/>
    </row>
    <row r="8420" spans="17:17" x14ac:dyDescent="0.25">
      <c r="Q8420" s="8"/>
    </row>
    <row r="8421" spans="17:17" x14ac:dyDescent="0.25">
      <c r="Q8421" s="8"/>
    </row>
    <row r="8422" spans="17:17" x14ac:dyDescent="0.25">
      <c r="Q8422" s="8"/>
    </row>
    <row r="8423" spans="17:17" x14ac:dyDescent="0.25">
      <c r="Q8423" s="8"/>
    </row>
    <row r="8424" spans="17:17" x14ac:dyDescent="0.25">
      <c r="Q8424" s="8"/>
    </row>
    <row r="8425" spans="17:17" x14ac:dyDescent="0.25">
      <c r="Q8425" s="8"/>
    </row>
    <row r="8426" spans="17:17" x14ac:dyDescent="0.25">
      <c r="Q8426" s="8"/>
    </row>
    <row r="8427" spans="17:17" x14ac:dyDescent="0.25">
      <c r="Q8427" s="8"/>
    </row>
    <row r="8428" spans="17:17" x14ac:dyDescent="0.25">
      <c r="Q8428" s="8"/>
    </row>
    <row r="8429" spans="17:17" x14ac:dyDescent="0.25">
      <c r="Q8429" s="8"/>
    </row>
    <row r="8430" spans="17:17" x14ac:dyDescent="0.25">
      <c r="Q8430" s="8"/>
    </row>
    <row r="8431" spans="17:17" x14ac:dyDescent="0.25">
      <c r="Q8431" s="8"/>
    </row>
    <row r="8432" spans="17:17" x14ac:dyDescent="0.25">
      <c r="Q8432" s="8"/>
    </row>
    <row r="8433" spans="17:17" x14ac:dyDescent="0.25">
      <c r="Q8433" s="8"/>
    </row>
    <row r="8434" spans="17:17" x14ac:dyDescent="0.25">
      <c r="Q8434" s="8"/>
    </row>
    <row r="8435" spans="17:17" x14ac:dyDescent="0.25">
      <c r="Q8435" s="8"/>
    </row>
    <row r="8436" spans="17:17" x14ac:dyDescent="0.25">
      <c r="Q8436" s="8"/>
    </row>
    <row r="8437" spans="17:17" x14ac:dyDescent="0.25">
      <c r="Q8437" s="8"/>
    </row>
    <row r="8438" spans="17:17" x14ac:dyDescent="0.25">
      <c r="Q8438" s="8"/>
    </row>
    <row r="8439" spans="17:17" x14ac:dyDescent="0.25">
      <c r="Q8439" s="8"/>
    </row>
    <row r="8440" spans="17:17" x14ac:dyDescent="0.25">
      <c r="Q8440" s="8"/>
    </row>
    <row r="8441" spans="17:17" x14ac:dyDescent="0.25">
      <c r="Q8441" s="8"/>
    </row>
    <row r="8442" spans="17:17" x14ac:dyDescent="0.25">
      <c r="Q8442" s="8"/>
    </row>
    <row r="8443" spans="17:17" x14ac:dyDescent="0.25">
      <c r="Q8443" s="8"/>
    </row>
    <row r="8444" spans="17:17" x14ac:dyDescent="0.25">
      <c r="Q8444" s="8"/>
    </row>
    <row r="8445" spans="17:17" x14ac:dyDescent="0.25">
      <c r="Q8445" s="8"/>
    </row>
    <row r="8446" spans="17:17" x14ac:dyDescent="0.25">
      <c r="Q8446" s="8"/>
    </row>
    <row r="8447" spans="17:17" x14ac:dyDescent="0.25">
      <c r="Q8447" s="8"/>
    </row>
    <row r="8448" spans="17:17" x14ac:dyDescent="0.25">
      <c r="Q8448" s="8"/>
    </row>
    <row r="8449" spans="17:17" x14ac:dyDescent="0.25">
      <c r="Q8449" s="8"/>
    </row>
    <row r="8450" spans="17:17" x14ac:dyDescent="0.25">
      <c r="Q8450" s="8"/>
    </row>
    <row r="8451" spans="17:17" x14ac:dyDescent="0.25">
      <c r="Q8451" s="8"/>
    </row>
    <row r="8452" spans="17:17" x14ac:dyDescent="0.25">
      <c r="Q8452" s="8"/>
    </row>
    <row r="8453" spans="17:17" x14ac:dyDescent="0.25">
      <c r="Q8453" s="8"/>
    </row>
    <row r="8454" spans="17:17" x14ac:dyDescent="0.25">
      <c r="Q8454" s="8"/>
    </row>
    <row r="8455" spans="17:17" x14ac:dyDescent="0.25">
      <c r="Q8455" s="8"/>
    </row>
    <row r="8456" spans="17:17" x14ac:dyDescent="0.25">
      <c r="Q8456" s="8"/>
    </row>
    <row r="8457" spans="17:17" x14ac:dyDescent="0.25">
      <c r="Q8457" s="8"/>
    </row>
    <row r="8458" spans="17:17" x14ac:dyDescent="0.25">
      <c r="Q8458" s="8"/>
    </row>
    <row r="8459" spans="17:17" x14ac:dyDescent="0.25">
      <c r="Q8459" s="8"/>
    </row>
    <row r="8460" spans="17:17" x14ac:dyDescent="0.25">
      <c r="Q8460" s="8"/>
    </row>
    <row r="8461" spans="17:17" x14ac:dyDescent="0.25">
      <c r="Q8461" s="8"/>
    </row>
    <row r="8462" spans="17:17" x14ac:dyDescent="0.25">
      <c r="Q8462" s="8"/>
    </row>
    <row r="8463" spans="17:17" x14ac:dyDescent="0.25">
      <c r="Q8463" s="8"/>
    </row>
    <row r="8464" spans="17:17" x14ac:dyDescent="0.25">
      <c r="Q8464" s="8"/>
    </row>
    <row r="8465" spans="17:17" x14ac:dyDescent="0.25">
      <c r="Q8465" s="8"/>
    </row>
    <row r="8466" spans="17:17" x14ac:dyDescent="0.25">
      <c r="Q8466" s="8"/>
    </row>
    <row r="8467" spans="17:17" x14ac:dyDescent="0.25">
      <c r="Q8467" s="8"/>
    </row>
    <row r="8468" spans="17:17" x14ac:dyDescent="0.25">
      <c r="Q8468" s="8"/>
    </row>
    <row r="8469" spans="17:17" x14ac:dyDescent="0.25">
      <c r="Q8469" s="8"/>
    </row>
    <row r="8470" spans="17:17" x14ac:dyDescent="0.25">
      <c r="Q8470" s="8"/>
    </row>
    <row r="8471" spans="17:17" x14ac:dyDescent="0.25">
      <c r="Q8471" s="8"/>
    </row>
    <row r="8472" spans="17:17" x14ac:dyDescent="0.25">
      <c r="Q8472" s="8"/>
    </row>
    <row r="8473" spans="17:17" x14ac:dyDescent="0.25">
      <c r="Q8473" s="8"/>
    </row>
    <row r="8474" spans="17:17" x14ac:dyDescent="0.25">
      <c r="Q8474" s="8"/>
    </row>
    <row r="8475" spans="17:17" x14ac:dyDescent="0.25">
      <c r="Q8475" s="8"/>
    </row>
    <row r="8476" spans="17:17" x14ac:dyDescent="0.25">
      <c r="Q8476" s="8"/>
    </row>
    <row r="8477" spans="17:17" x14ac:dyDescent="0.25">
      <c r="Q8477" s="8"/>
    </row>
    <row r="8478" spans="17:17" x14ac:dyDescent="0.25">
      <c r="Q8478" s="8"/>
    </row>
    <row r="8479" spans="17:17" x14ac:dyDescent="0.25">
      <c r="Q8479" s="8"/>
    </row>
    <row r="8480" spans="17:17" x14ac:dyDescent="0.25">
      <c r="Q8480" s="8"/>
    </row>
    <row r="8481" spans="17:17" x14ac:dyDescent="0.25">
      <c r="Q8481" s="8"/>
    </row>
    <row r="8482" spans="17:17" x14ac:dyDescent="0.25">
      <c r="Q8482" s="8"/>
    </row>
    <row r="8483" spans="17:17" x14ac:dyDescent="0.25">
      <c r="Q8483" s="8"/>
    </row>
    <row r="8484" spans="17:17" x14ac:dyDescent="0.25">
      <c r="Q8484" s="8"/>
    </row>
    <row r="8485" spans="17:17" x14ac:dyDescent="0.25">
      <c r="Q8485" s="8"/>
    </row>
    <row r="8486" spans="17:17" x14ac:dyDescent="0.25">
      <c r="Q8486" s="8"/>
    </row>
    <row r="8487" spans="17:17" x14ac:dyDescent="0.25">
      <c r="Q8487" s="8"/>
    </row>
    <row r="8488" spans="17:17" x14ac:dyDescent="0.25">
      <c r="Q8488" s="8"/>
    </row>
    <row r="8489" spans="17:17" x14ac:dyDescent="0.25">
      <c r="Q8489" s="8"/>
    </row>
    <row r="8490" spans="17:17" x14ac:dyDescent="0.25">
      <c r="Q8490" s="8"/>
    </row>
    <row r="8491" spans="17:17" x14ac:dyDescent="0.25">
      <c r="Q8491" s="8"/>
    </row>
    <row r="8492" spans="17:17" x14ac:dyDescent="0.25">
      <c r="Q8492" s="8"/>
    </row>
    <row r="8493" spans="17:17" x14ac:dyDescent="0.25">
      <c r="Q8493" s="8"/>
    </row>
    <row r="8494" spans="17:17" x14ac:dyDescent="0.25">
      <c r="Q8494" s="8"/>
    </row>
    <row r="8495" spans="17:17" x14ac:dyDescent="0.25">
      <c r="Q8495" s="8"/>
    </row>
    <row r="8496" spans="17:17" x14ac:dyDescent="0.25">
      <c r="Q8496" s="8"/>
    </row>
    <row r="8497" spans="17:17" x14ac:dyDescent="0.25">
      <c r="Q8497" s="8"/>
    </row>
    <row r="8498" spans="17:17" x14ac:dyDescent="0.25">
      <c r="Q8498" s="8"/>
    </row>
    <row r="8499" spans="17:17" x14ac:dyDescent="0.25">
      <c r="Q8499" s="8"/>
    </row>
    <row r="8500" spans="17:17" x14ac:dyDescent="0.25">
      <c r="Q8500" s="8"/>
    </row>
    <row r="8501" spans="17:17" x14ac:dyDescent="0.25">
      <c r="Q8501" s="8"/>
    </row>
    <row r="8502" spans="17:17" x14ac:dyDescent="0.25">
      <c r="Q8502" s="8"/>
    </row>
    <row r="8503" spans="17:17" x14ac:dyDescent="0.25">
      <c r="Q8503" s="8"/>
    </row>
    <row r="8504" spans="17:17" x14ac:dyDescent="0.25">
      <c r="Q8504" s="8"/>
    </row>
    <row r="8505" spans="17:17" x14ac:dyDescent="0.25">
      <c r="Q8505" s="8"/>
    </row>
    <row r="8506" spans="17:17" x14ac:dyDescent="0.25">
      <c r="Q8506" s="8"/>
    </row>
    <row r="8507" spans="17:17" x14ac:dyDescent="0.25">
      <c r="Q8507" s="8"/>
    </row>
    <row r="8508" spans="17:17" x14ac:dyDescent="0.25">
      <c r="Q8508" s="8"/>
    </row>
    <row r="8509" spans="17:17" x14ac:dyDescent="0.25">
      <c r="Q8509" s="8"/>
    </row>
    <row r="8510" spans="17:17" x14ac:dyDescent="0.25">
      <c r="Q8510" s="8"/>
    </row>
    <row r="8511" spans="17:17" x14ac:dyDescent="0.25">
      <c r="Q8511" s="8"/>
    </row>
    <row r="8512" spans="17:17" x14ac:dyDescent="0.25">
      <c r="Q8512" s="8"/>
    </row>
    <row r="8513" spans="17:17" x14ac:dyDescent="0.25">
      <c r="Q8513" s="8"/>
    </row>
    <row r="8514" spans="17:17" x14ac:dyDescent="0.25">
      <c r="Q8514" s="8"/>
    </row>
    <row r="8515" spans="17:17" x14ac:dyDescent="0.25">
      <c r="Q8515" s="8"/>
    </row>
    <row r="8516" spans="17:17" x14ac:dyDescent="0.25">
      <c r="Q8516" s="8"/>
    </row>
    <row r="8517" spans="17:17" x14ac:dyDescent="0.25">
      <c r="Q8517" s="8"/>
    </row>
    <row r="8518" spans="17:17" x14ac:dyDescent="0.25">
      <c r="Q8518" s="8"/>
    </row>
    <row r="8519" spans="17:17" x14ac:dyDescent="0.25">
      <c r="Q8519" s="8"/>
    </row>
    <row r="8520" spans="17:17" x14ac:dyDescent="0.25">
      <c r="Q8520" s="8"/>
    </row>
    <row r="8521" spans="17:17" x14ac:dyDescent="0.25">
      <c r="Q8521" s="8"/>
    </row>
    <row r="8522" spans="17:17" x14ac:dyDescent="0.25">
      <c r="Q8522" s="8"/>
    </row>
    <row r="8523" spans="17:17" x14ac:dyDescent="0.25">
      <c r="Q8523" s="8"/>
    </row>
    <row r="8524" spans="17:17" x14ac:dyDescent="0.25">
      <c r="Q8524" s="8"/>
    </row>
    <row r="8525" spans="17:17" x14ac:dyDescent="0.25">
      <c r="Q8525" s="8"/>
    </row>
    <row r="8526" spans="17:17" x14ac:dyDescent="0.25">
      <c r="Q8526" s="8"/>
    </row>
    <row r="8527" spans="17:17" x14ac:dyDescent="0.25">
      <c r="Q8527" s="8"/>
    </row>
    <row r="8528" spans="17:17" x14ac:dyDescent="0.25">
      <c r="Q8528" s="8"/>
    </row>
    <row r="8529" spans="17:17" x14ac:dyDescent="0.25">
      <c r="Q8529" s="8"/>
    </row>
    <row r="8530" spans="17:17" x14ac:dyDescent="0.25">
      <c r="Q8530" s="8"/>
    </row>
    <row r="8531" spans="17:17" x14ac:dyDescent="0.25">
      <c r="Q8531" s="8"/>
    </row>
    <row r="8532" spans="17:17" x14ac:dyDescent="0.25">
      <c r="Q8532" s="8"/>
    </row>
    <row r="8533" spans="17:17" x14ac:dyDescent="0.25">
      <c r="Q8533" s="8"/>
    </row>
    <row r="8534" spans="17:17" x14ac:dyDescent="0.25">
      <c r="Q8534" s="8"/>
    </row>
    <row r="8535" spans="17:17" x14ac:dyDescent="0.25">
      <c r="Q8535" s="8"/>
    </row>
    <row r="8536" spans="17:17" x14ac:dyDescent="0.25">
      <c r="Q8536" s="8"/>
    </row>
    <row r="8537" spans="17:17" x14ac:dyDescent="0.25">
      <c r="Q8537" s="8"/>
    </row>
    <row r="8538" spans="17:17" x14ac:dyDescent="0.25">
      <c r="Q8538" s="8"/>
    </row>
    <row r="8539" spans="17:17" x14ac:dyDescent="0.25">
      <c r="Q8539" s="8"/>
    </row>
    <row r="8540" spans="17:17" x14ac:dyDescent="0.25">
      <c r="Q8540" s="8"/>
    </row>
    <row r="8541" spans="17:17" x14ac:dyDescent="0.25">
      <c r="Q8541" s="8"/>
    </row>
    <row r="8542" spans="17:17" x14ac:dyDescent="0.25">
      <c r="Q8542" s="8"/>
    </row>
    <row r="8543" spans="17:17" x14ac:dyDescent="0.25">
      <c r="Q8543" s="8"/>
    </row>
    <row r="8544" spans="17:17" x14ac:dyDescent="0.25">
      <c r="Q8544" s="8"/>
    </row>
    <row r="8545" spans="17:17" x14ac:dyDescent="0.25">
      <c r="Q8545" s="8"/>
    </row>
    <row r="8546" spans="17:17" x14ac:dyDescent="0.25">
      <c r="Q8546" s="8"/>
    </row>
    <row r="8547" spans="17:17" x14ac:dyDescent="0.25">
      <c r="Q8547" s="8"/>
    </row>
    <row r="8548" spans="17:17" x14ac:dyDescent="0.25">
      <c r="Q8548" s="8"/>
    </row>
    <row r="8549" spans="17:17" x14ac:dyDescent="0.25">
      <c r="Q8549" s="8"/>
    </row>
    <row r="8550" spans="17:17" x14ac:dyDescent="0.25">
      <c r="Q8550" s="8"/>
    </row>
    <row r="8551" spans="17:17" x14ac:dyDescent="0.25">
      <c r="Q8551" s="8"/>
    </row>
    <row r="8552" spans="17:17" x14ac:dyDescent="0.25">
      <c r="Q8552" s="8"/>
    </row>
    <row r="8553" spans="17:17" x14ac:dyDescent="0.25">
      <c r="Q8553" s="8"/>
    </row>
    <row r="8554" spans="17:17" x14ac:dyDescent="0.25">
      <c r="Q8554" s="8"/>
    </row>
    <row r="8555" spans="17:17" x14ac:dyDescent="0.25">
      <c r="Q8555" s="8"/>
    </row>
    <row r="8556" spans="17:17" x14ac:dyDescent="0.25">
      <c r="Q8556" s="8"/>
    </row>
    <row r="8557" spans="17:17" x14ac:dyDescent="0.25">
      <c r="Q8557" s="8"/>
    </row>
    <row r="8558" spans="17:17" x14ac:dyDescent="0.25">
      <c r="Q8558" s="8"/>
    </row>
    <row r="8559" spans="17:17" x14ac:dyDescent="0.25">
      <c r="Q8559" s="8"/>
    </row>
    <row r="8560" spans="17:17" x14ac:dyDescent="0.25">
      <c r="Q8560" s="8"/>
    </row>
    <row r="8561" spans="17:17" x14ac:dyDescent="0.25">
      <c r="Q8561" s="8"/>
    </row>
    <row r="8562" spans="17:17" x14ac:dyDescent="0.25">
      <c r="Q8562" s="8"/>
    </row>
    <row r="8563" spans="17:17" x14ac:dyDescent="0.25">
      <c r="Q8563" s="8"/>
    </row>
    <row r="8564" spans="17:17" x14ac:dyDescent="0.25">
      <c r="Q8564" s="8"/>
    </row>
    <row r="8565" spans="17:17" x14ac:dyDescent="0.25">
      <c r="Q8565" s="8"/>
    </row>
    <row r="8566" spans="17:17" x14ac:dyDescent="0.25">
      <c r="Q8566" s="8"/>
    </row>
    <row r="8567" spans="17:17" x14ac:dyDescent="0.25">
      <c r="Q8567" s="8"/>
    </row>
    <row r="8568" spans="17:17" x14ac:dyDescent="0.25">
      <c r="Q8568" s="8"/>
    </row>
    <row r="8569" spans="17:17" x14ac:dyDescent="0.25">
      <c r="Q8569" s="8"/>
    </row>
    <row r="8570" spans="17:17" x14ac:dyDescent="0.25">
      <c r="Q8570" s="8"/>
    </row>
    <row r="8571" spans="17:17" x14ac:dyDescent="0.25">
      <c r="Q8571" s="8"/>
    </row>
    <row r="8572" spans="17:17" x14ac:dyDescent="0.25">
      <c r="Q8572" s="8"/>
    </row>
    <row r="8573" spans="17:17" x14ac:dyDescent="0.25">
      <c r="Q8573" s="8"/>
    </row>
    <row r="8574" spans="17:17" x14ac:dyDescent="0.25">
      <c r="Q8574" s="8"/>
    </row>
    <row r="8575" spans="17:17" x14ac:dyDescent="0.25">
      <c r="Q8575" s="8"/>
    </row>
    <row r="8576" spans="17:17" x14ac:dyDescent="0.25">
      <c r="Q8576" s="8"/>
    </row>
    <row r="8577" spans="17:17" x14ac:dyDescent="0.25">
      <c r="Q8577" s="8"/>
    </row>
    <row r="8578" spans="17:17" x14ac:dyDescent="0.25">
      <c r="Q8578" s="8"/>
    </row>
    <row r="8579" spans="17:17" x14ac:dyDescent="0.25">
      <c r="Q8579" s="8"/>
    </row>
    <row r="8580" spans="17:17" x14ac:dyDescent="0.25">
      <c r="Q8580" s="8"/>
    </row>
    <row r="8581" spans="17:17" x14ac:dyDescent="0.25">
      <c r="Q8581" s="8"/>
    </row>
    <row r="8582" spans="17:17" x14ac:dyDescent="0.25">
      <c r="Q8582" s="8"/>
    </row>
    <row r="8583" spans="17:17" x14ac:dyDescent="0.25">
      <c r="Q8583" s="8"/>
    </row>
    <row r="8584" spans="17:17" x14ac:dyDescent="0.25">
      <c r="Q8584" s="8"/>
    </row>
    <row r="8585" spans="17:17" x14ac:dyDescent="0.25">
      <c r="Q8585" s="8"/>
    </row>
    <row r="8586" spans="17:17" x14ac:dyDescent="0.25">
      <c r="Q8586" s="8"/>
    </row>
    <row r="8587" spans="17:17" x14ac:dyDescent="0.25">
      <c r="Q8587" s="8"/>
    </row>
    <row r="8588" spans="17:17" x14ac:dyDescent="0.25">
      <c r="Q8588" s="8"/>
    </row>
    <row r="8589" spans="17:17" x14ac:dyDescent="0.25">
      <c r="Q8589" s="8"/>
    </row>
    <row r="8590" spans="17:17" x14ac:dyDescent="0.25">
      <c r="Q8590" s="8"/>
    </row>
    <row r="8591" spans="17:17" x14ac:dyDescent="0.25">
      <c r="Q8591" s="8"/>
    </row>
    <row r="8592" spans="17:17" x14ac:dyDescent="0.25">
      <c r="Q8592" s="8"/>
    </row>
    <row r="8593" spans="17:17" x14ac:dyDescent="0.25">
      <c r="Q8593" s="8"/>
    </row>
    <row r="8594" spans="17:17" x14ac:dyDescent="0.25">
      <c r="Q8594" s="8"/>
    </row>
    <row r="8595" spans="17:17" x14ac:dyDescent="0.25">
      <c r="Q8595" s="8"/>
    </row>
    <row r="8596" spans="17:17" x14ac:dyDescent="0.25">
      <c r="Q8596" s="8"/>
    </row>
    <row r="8597" spans="17:17" x14ac:dyDescent="0.25">
      <c r="Q8597" s="8"/>
    </row>
    <row r="8598" spans="17:17" x14ac:dyDescent="0.25">
      <c r="Q8598" s="8"/>
    </row>
    <row r="8599" spans="17:17" x14ac:dyDescent="0.25">
      <c r="Q8599" s="8"/>
    </row>
    <row r="8600" spans="17:17" x14ac:dyDescent="0.25">
      <c r="Q8600" s="8"/>
    </row>
    <row r="8601" spans="17:17" x14ac:dyDescent="0.25">
      <c r="Q8601" s="8"/>
    </row>
    <row r="8602" spans="17:17" x14ac:dyDescent="0.25">
      <c r="Q8602" s="8"/>
    </row>
    <row r="8603" spans="17:17" x14ac:dyDescent="0.25">
      <c r="Q8603" s="8"/>
    </row>
    <row r="8604" spans="17:17" x14ac:dyDescent="0.25">
      <c r="Q8604" s="8"/>
    </row>
    <row r="8605" spans="17:17" x14ac:dyDescent="0.25">
      <c r="Q8605" s="8"/>
    </row>
    <row r="8606" spans="17:17" x14ac:dyDescent="0.25">
      <c r="Q8606" s="8"/>
    </row>
    <row r="8607" spans="17:17" x14ac:dyDescent="0.25">
      <c r="Q8607" s="8"/>
    </row>
    <row r="8608" spans="17:17" x14ac:dyDescent="0.25">
      <c r="Q8608" s="8"/>
    </row>
    <row r="8609" spans="17:17" x14ac:dyDescent="0.25">
      <c r="Q8609" s="8"/>
    </row>
    <row r="8610" spans="17:17" x14ac:dyDescent="0.25">
      <c r="Q8610" s="8"/>
    </row>
    <row r="8611" spans="17:17" x14ac:dyDescent="0.25">
      <c r="Q8611" s="8"/>
    </row>
    <row r="8612" spans="17:17" x14ac:dyDescent="0.25">
      <c r="Q8612" s="8"/>
    </row>
    <row r="8613" spans="17:17" x14ac:dyDescent="0.25">
      <c r="Q8613" s="8"/>
    </row>
    <row r="8614" spans="17:17" x14ac:dyDescent="0.25">
      <c r="Q8614" s="8"/>
    </row>
    <row r="8615" spans="17:17" x14ac:dyDescent="0.25">
      <c r="Q8615" s="8"/>
    </row>
    <row r="8616" spans="17:17" x14ac:dyDescent="0.25">
      <c r="Q8616" s="8"/>
    </row>
    <row r="8617" spans="17:17" x14ac:dyDescent="0.25">
      <c r="Q8617" s="8"/>
    </row>
    <row r="8618" spans="17:17" x14ac:dyDescent="0.25">
      <c r="Q8618" s="8"/>
    </row>
    <row r="8619" spans="17:17" x14ac:dyDescent="0.25">
      <c r="Q8619" s="8"/>
    </row>
    <row r="8620" spans="17:17" x14ac:dyDescent="0.25">
      <c r="Q8620" s="8"/>
    </row>
    <row r="8621" spans="17:17" x14ac:dyDescent="0.25">
      <c r="Q8621" s="8"/>
    </row>
    <row r="8622" spans="17:17" x14ac:dyDescent="0.25">
      <c r="Q8622" s="8"/>
    </row>
    <row r="8623" spans="17:17" x14ac:dyDescent="0.25">
      <c r="Q8623" s="8"/>
    </row>
    <row r="8624" spans="17:17" x14ac:dyDescent="0.25">
      <c r="Q8624" s="8"/>
    </row>
    <row r="8625" spans="17:17" x14ac:dyDescent="0.25">
      <c r="Q8625" s="8"/>
    </row>
    <row r="8626" spans="17:17" x14ac:dyDescent="0.25">
      <c r="Q8626" s="8"/>
    </row>
    <row r="8627" spans="17:17" x14ac:dyDescent="0.25">
      <c r="Q8627" s="8"/>
    </row>
    <row r="8628" spans="17:17" x14ac:dyDescent="0.25">
      <c r="Q8628" s="8"/>
    </row>
    <row r="8629" spans="17:17" x14ac:dyDescent="0.25">
      <c r="Q8629" s="8"/>
    </row>
    <row r="8630" spans="17:17" x14ac:dyDescent="0.25">
      <c r="Q8630" s="8"/>
    </row>
    <row r="8631" spans="17:17" x14ac:dyDescent="0.25">
      <c r="Q8631" s="8"/>
    </row>
    <row r="8632" spans="17:17" x14ac:dyDescent="0.25">
      <c r="Q8632" s="8"/>
    </row>
    <row r="8633" spans="17:17" x14ac:dyDescent="0.25">
      <c r="Q8633" s="8"/>
    </row>
    <row r="8634" spans="17:17" x14ac:dyDescent="0.25">
      <c r="Q8634" s="8"/>
    </row>
    <row r="8635" spans="17:17" x14ac:dyDescent="0.25">
      <c r="Q8635" s="8"/>
    </row>
    <row r="8636" spans="17:17" x14ac:dyDescent="0.25">
      <c r="Q8636" s="8"/>
    </row>
    <row r="8637" spans="17:17" x14ac:dyDescent="0.25">
      <c r="Q8637" s="8"/>
    </row>
    <row r="8638" spans="17:17" x14ac:dyDescent="0.25">
      <c r="Q8638" s="8"/>
    </row>
    <row r="8639" spans="17:17" x14ac:dyDescent="0.25">
      <c r="Q8639" s="8"/>
    </row>
    <row r="8640" spans="17:17" x14ac:dyDescent="0.25">
      <c r="Q8640" s="8"/>
    </row>
    <row r="8641" spans="17:17" x14ac:dyDescent="0.25">
      <c r="Q8641" s="8"/>
    </row>
    <row r="8642" spans="17:17" x14ac:dyDescent="0.25">
      <c r="Q8642" s="8"/>
    </row>
    <row r="8643" spans="17:17" x14ac:dyDescent="0.25">
      <c r="Q8643" s="8"/>
    </row>
    <row r="8644" spans="17:17" x14ac:dyDescent="0.25">
      <c r="Q8644" s="8"/>
    </row>
    <row r="8645" spans="17:17" x14ac:dyDescent="0.25">
      <c r="Q8645" s="8"/>
    </row>
    <row r="8646" spans="17:17" x14ac:dyDescent="0.25">
      <c r="Q8646" s="8"/>
    </row>
    <row r="8647" spans="17:17" x14ac:dyDescent="0.25">
      <c r="Q8647" s="8"/>
    </row>
    <row r="8648" spans="17:17" x14ac:dyDescent="0.25">
      <c r="Q8648" s="8"/>
    </row>
    <row r="8649" spans="17:17" x14ac:dyDescent="0.25">
      <c r="Q8649" s="8"/>
    </row>
    <row r="8650" spans="17:17" x14ac:dyDescent="0.25">
      <c r="Q8650" s="8"/>
    </row>
    <row r="8651" spans="17:17" x14ac:dyDescent="0.25">
      <c r="Q8651" s="8"/>
    </row>
    <row r="8652" spans="17:17" x14ac:dyDescent="0.25">
      <c r="Q8652" s="8"/>
    </row>
    <row r="8653" spans="17:17" x14ac:dyDescent="0.25">
      <c r="Q8653" s="8"/>
    </row>
    <row r="8654" spans="17:17" x14ac:dyDescent="0.25">
      <c r="Q8654" s="8"/>
    </row>
    <row r="8655" spans="17:17" x14ac:dyDescent="0.25">
      <c r="Q8655" s="8"/>
    </row>
    <row r="8656" spans="17:17" x14ac:dyDescent="0.25">
      <c r="Q8656" s="8"/>
    </row>
    <row r="8657" spans="17:17" x14ac:dyDescent="0.25">
      <c r="Q8657" s="8"/>
    </row>
    <row r="8658" spans="17:17" x14ac:dyDescent="0.25">
      <c r="Q8658" s="8"/>
    </row>
    <row r="8659" spans="17:17" x14ac:dyDescent="0.25">
      <c r="Q8659" s="8"/>
    </row>
    <row r="8660" spans="17:17" x14ac:dyDescent="0.25">
      <c r="Q8660" s="8"/>
    </row>
    <row r="8661" spans="17:17" x14ac:dyDescent="0.25">
      <c r="Q8661" s="8"/>
    </row>
    <row r="8662" spans="17:17" x14ac:dyDescent="0.25">
      <c r="Q8662" s="8"/>
    </row>
    <row r="8663" spans="17:17" x14ac:dyDescent="0.25">
      <c r="Q8663" s="8"/>
    </row>
    <row r="8664" spans="17:17" x14ac:dyDescent="0.25">
      <c r="Q8664" s="8"/>
    </row>
    <row r="8665" spans="17:17" x14ac:dyDescent="0.25">
      <c r="Q8665" s="8"/>
    </row>
    <row r="8666" spans="17:17" x14ac:dyDescent="0.25">
      <c r="Q8666" s="8"/>
    </row>
    <row r="8667" spans="17:17" x14ac:dyDescent="0.25">
      <c r="Q8667" s="8"/>
    </row>
    <row r="8668" spans="17:17" x14ac:dyDescent="0.25">
      <c r="Q8668" s="8"/>
    </row>
    <row r="8669" spans="17:17" x14ac:dyDescent="0.25">
      <c r="Q8669" s="8"/>
    </row>
    <row r="8670" spans="17:17" x14ac:dyDescent="0.25">
      <c r="Q8670" s="8"/>
    </row>
    <row r="8671" spans="17:17" x14ac:dyDescent="0.25">
      <c r="Q8671" s="8"/>
    </row>
    <row r="8672" spans="17:17" x14ac:dyDescent="0.25">
      <c r="Q8672" s="8"/>
    </row>
    <row r="8673" spans="17:17" x14ac:dyDescent="0.25">
      <c r="Q8673" s="8"/>
    </row>
    <row r="8674" spans="17:17" x14ac:dyDescent="0.25">
      <c r="Q8674" s="8"/>
    </row>
    <row r="8675" spans="17:17" x14ac:dyDescent="0.25">
      <c r="Q8675" s="8"/>
    </row>
    <row r="8676" spans="17:17" x14ac:dyDescent="0.25">
      <c r="Q8676" s="8"/>
    </row>
    <row r="8677" spans="17:17" x14ac:dyDescent="0.25">
      <c r="Q8677" s="8"/>
    </row>
    <row r="8678" spans="17:17" x14ac:dyDescent="0.25">
      <c r="Q8678" s="8"/>
    </row>
    <row r="8679" spans="17:17" x14ac:dyDescent="0.25">
      <c r="Q8679" s="8"/>
    </row>
    <row r="8680" spans="17:17" x14ac:dyDescent="0.25">
      <c r="Q8680" s="8"/>
    </row>
    <row r="8681" spans="17:17" x14ac:dyDescent="0.25">
      <c r="Q8681" s="8"/>
    </row>
    <row r="8682" spans="17:17" x14ac:dyDescent="0.25">
      <c r="Q8682" s="8"/>
    </row>
    <row r="8683" spans="17:17" x14ac:dyDescent="0.25">
      <c r="Q8683" s="8"/>
    </row>
    <row r="8684" spans="17:17" x14ac:dyDescent="0.25">
      <c r="Q8684" s="8"/>
    </row>
    <row r="8685" spans="17:17" x14ac:dyDescent="0.25">
      <c r="Q8685" s="8"/>
    </row>
    <row r="8686" spans="17:17" x14ac:dyDescent="0.25">
      <c r="Q8686" s="8"/>
    </row>
    <row r="8687" spans="17:17" x14ac:dyDescent="0.25">
      <c r="Q8687" s="8"/>
    </row>
    <row r="8688" spans="17:17" x14ac:dyDescent="0.25">
      <c r="Q8688" s="8"/>
    </row>
    <row r="8689" spans="17:17" x14ac:dyDescent="0.25">
      <c r="Q8689" s="8"/>
    </row>
    <row r="8690" spans="17:17" x14ac:dyDescent="0.25">
      <c r="Q8690" s="8"/>
    </row>
    <row r="8691" spans="17:17" x14ac:dyDescent="0.25">
      <c r="Q8691" s="8"/>
    </row>
    <row r="8692" spans="17:17" x14ac:dyDescent="0.25">
      <c r="Q8692" s="8"/>
    </row>
    <row r="8693" spans="17:17" x14ac:dyDescent="0.25">
      <c r="Q8693" s="8"/>
    </row>
    <row r="8694" spans="17:17" x14ac:dyDescent="0.25">
      <c r="Q8694" s="8"/>
    </row>
    <row r="8695" spans="17:17" x14ac:dyDescent="0.25">
      <c r="Q8695" s="8"/>
    </row>
    <row r="8696" spans="17:17" x14ac:dyDescent="0.25">
      <c r="Q8696" s="8"/>
    </row>
    <row r="8697" spans="17:17" x14ac:dyDescent="0.25">
      <c r="Q8697" s="8"/>
    </row>
    <row r="8698" spans="17:17" x14ac:dyDescent="0.25">
      <c r="Q8698" s="8"/>
    </row>
    <row r="8699" spans="17:17" x14ac:dyDescent="0.25">
      <c r="Q8699" s="8"/>
    </row>
    <row r="8700" spans="17:17" x14ac:dyDescent="0.25">
      <c r="Q8700" s="8"/>
    </row>
    <row r="8701" spans="17:17" x14ac:dyDescent="0.25">
      <c r="Q8701" s="8"/>
    </row>
    <row r="8702" spans="17:17" x14ac:dyDescent="0.25">
      <c r="Q8702" s="8"/>
    </row>
    <row r="8703" spans="17:17" x14ac:dyDescent="0.25">
      <c r="Q8703" s="8"/>
    </row>
    <row r="8704" spans="17:17" x14ac:dyDescent="0.25">
      <c r="Q8704" s="8"/>
    </row>
    <row r="8705" spans="17:17" x14ac:dyDescent="0.25">
      <c r="Q8705" s="8"/>
    </row>
    <row r="8706" spans="17:17" x14ac:dyDescent="0.25">
      <c r="Q8706" s="8"/>
    </row>
    <row r="8707" spans="17:17" x14ac:dyDescent="0.25">
      <c r="Q8707" s="8"/>
    </row>
    <row r="8708" spans="17:17" x14ac:dyDescent="0.25">
      <c r="Q8708" s="8"/>
    </row>
    <row r="8709" spans="17:17" x14ac:dyDescent="0.25">
      <c r="Q8709" s="8"/>
    </row>
    <row r="8710" spans="17:17" x14ac:dyDescent="0.25">
      <c r="Q8710" s="8"/>
    </row>
    <row r="8711" spans="17:17" x14ac:dyDescent="0.25">
      <c r="Q8711" s="8"/>
    </row>
    <row r="8712" spans="17:17" x14ac:dyDescent="0.25">
      <c r="Q8712" s="8"/>
    </row>
    <row r="8713" spans="17:17" x14ac:dyDescent="0.25">
      <c r="Q8713" s="8"/>
    </row>
    <row r="8714" spans="17:17" x14ac:dyDescent="0.25">
      <c r="Q8714" s="8"/>
    </row>
    <row r="8715" spans="17:17" x14ac:dyDescent="0.25">
      <c r="Q8715" s="8"/>
    </row>
    <row r="8716" spans="17:17" x14ac:dyDescent="0.25">
      <c r="Q8716" s="8"/>
    </row>
    <row r="8717" spans="17:17" x14ac:dyDescent="0.25">
      <c r="Q8717" s="8"/>
    </row>
    <row r="8718" spans="17:17" x14ac:dyDescent="0.25">
      <c r="Q8718" s="8"/>
    </row>
    <row r="8719" spans="17:17" x14ac:dyDescent="0.25">
      <c r="Q8719" s="8"/>
    </row>
    <row r="8720" spans="17:17" x14ac:dyDescent="0.25">
      <c r="Q8720" s="8"/>
    </row>
    <row r="8721" spans="17:17" x14ac:dyDescent="0.25">
      <c r="Q8721" s="8"/>
    </row>
    <row r="8722" spans="17:17" x14ac:dyDescent="0.25">
      <c r="Q8722" s="8"/>
    </row>
    <row r="8723" spans="17:17" x14ac:dyDescent="0.25">
      <c r="Q8723" s="8"/>
    </row>
    <row r="8724" spans="17:17" x14ac:dyDescent="0.25">
      <c r="Q8724" s="8"/>
    </row>
    <row r="8725" spans="17:17" x14ac:dyDescent="0.25">
      <c r="Q8725" s="8"/>
    </row>
    <row r="8726" spans="17:17" x14ac:dyDescent="0.25">
      <c r="Q8726" s="8"/>
    </row>
    <row r="8727" spans="17:17" x14ac:dyDescent="0.25">
      <c r="Q8727" s="8"/>
    </row>
    <row r="8728" spans="17:17" x14ac:dyDescent="0.25">
      <c r="Q8728" s="8"/>
    </row>
    <row r="8729" spans="17:17" x14ac:dyDescent="0.25">
      <c r="Q8729" s="8"/>
    </row>
    <row r="8730" spans="17:17" x14ac:dyDescent="0.25">
      <c r="Q8730" s="8"/>
    </row>
    <row r="8731" spans="17:17" x14ac:dyDescent="0.25">
      <c r="Q8731" s="8"/>
    </row>
    <row r="8732" spans="17:17" x14ac:dyDescent="0.25">
      <c r="Q8732" s="8"/>
    </row>
    <row r="8733" spans="17:17" x14ac:dyDescent="0.25">
      <c r="Q8733" s="8"/>
    </row>
    <row r="8734" spans="17:17" x14ac:dyDescent="0.25">
      <c r="Q8734" s="8"/>
    </row>
    <row r="8735" spans="17:17" x14ac:dyDescent="0.25">
      <c r="Q8735" s="8"/>
    </row>
    <row r="8736" spans="17:17" x14ac:dyDescent="0.25">
      <c r="Q8736" s="8"/>
    </row>
    <row r="8737" spans="17:17" x14ac:dyDescent="0.25">
      <c r="Q8737" s="8"/>
    </row>
    <row r="8738" spans="17:17" x14ac:dyDescent="0.25">
      <c r="Q8738" s="8"/>
    </row>
    <row r="8739" spans="17:17" x14ac:dyDescent="0.25">
      <c r="Q8739" s="8"/>
    </row>
    <row r="8740" spans="17:17" x14ac:dyDescent="0.25">
      <c r="Q8740" s="8"/>
    </row>
    <row r="8741" spans="17:17" x14ac:dyDescent="0.25">
      <c r="Q8741" s="8"/>
    </row>
    <row r="8742" spans="17:17" x14ac:dyDescent="0.25">
      <c r="Q8742" s="8"/>
    </row>
    <row r="8743" spans="17:17" x14ac:dyDescent="0.25">
      <c r="Q8743" s="8"/>
    </row>
    <row r="8744" spans="17:17" x14ac:dyDescent="0.25">
      <c r="Q8744" s="8"/>
    </row>
    <row r="8745" spans="17:17" x14ac:dyDescent="0.25">
      <c r="Q8745" s="8"/>
    </row>
    <row r="8746" spans="17:17" x14ac:dyDescent="0.25">
      <c r="Q8746" s="8"/>
    </row>
    <row r="8747" spans="17:17" x14ac:dyDescent="0.25">
      <c r="Q8747" s="8"/>
    </row>
    <row r="8748" spans="17:17" x14ac:dyDescent="0.25">
      <c r="Q8748" s="8"/>
    </row>
    <row r="8749" spans="17:17" x14ac:dyDescent="0.25">
      <c r="Q8749" s="8"/>
    </row>
    <row r="8750" spans="17:17" x14ac:dyDescent="0.25">
      <c r="Q8750" s="8"/>
    </row>
    <row r="8751" spans="17:17" x14ac:dyDescent="0.25">
      <c r="Q8751" s="8"/>
    </row>
    <row r="8752" spans="17:17" x14ac:dyDescent="0.25">
      <c r="Q8752" s="8"/>
    </row>
    <row r="8753" spans="17:17" x14ac:dyDescent="0.25">
      <c r="Q8753" s="8"/>
    </row>
    <row r="8754" spans="17:17" x14ac:dyDescent="0.25">
      <c r="Q8754" s="8"/>
    </row>
    <row r="8755" spans="17:17" x14ac:dyDescent="0.25">
      <c r="Q8755" s="8"/>
    </row>
    <row r="8756" spans="17:17" x14ac:dyDescent="0.25">
      <c r="Q8756" s="8"/>
    </row>
    <row r="8757" spans="17:17" x14ac:dyDescent="0.25">
      <c r="Q8757" s="8"/>
    </row>
    <row r="8758" spans="17:17" x14ac:dyDescent="0.25">
      <c r="Q8758" s="8"/>
    </row>
    <row r="8759" spans="17:17" x14ac:dyDescent="0.25">
      <c r="Q8759" s="8"/>
    </row>
    <row r="8760" spans="17:17" x14ac:dyDescent="0.25">
      <c r="Q8760" s="8"/>
    </row>
    <row r="8761" spans="17:17" x14ac:dyDescent="0.25">
      <c r="Q8761" s="8"/>
    </row>
    <row r="8762" spans="17:17" x14ac:dyDescent="0.25">
      <c r="Q8762" s="8"/>
    </row>
    <row r="8763" spans="17:17" x14ac:dyDescent="0.25">
      <c r="Q8763" s="8"/>
    </row>
    <row r="8764" spans="17:17" x14ac:dyDescent="0.25">
      <c r="Q8764" s="8"/>
    </row>
    <row r="8765" spans="17:17" x14ac:dyDescent="0.25">
      <c r="Q8765" s="8"/>
    </row>
    <row r="8766" spans="17:17" x14ac:dyDescent="0.25">
      <c r="Q8766" s="8"/>
    </row>
    <row r="8767" spans="17:17" x14ac:dyDescent="0.25">
      <c r="Q8767" s="8"/>
    </row>
    <row r="8768" spans="17:17" x14ac:dyDescent="0.25">
      <c r="Q8768" s="8"/>
    </row>
    <row r="8769" spans="17:17" x14ac:dyDescent="0.25">
      <c r="Q8769" s="8"/>
    </row>
    <row r="8770" spans="17:17" x14ac:dyDescent="0.25">
      <c r="Q8770" s="8"/>
    </row>
    <row r="8771" spans="17:17" x14ac:dyDescent="0.25">
      <c r="Q8771" s="8"/>
    </row>
    <row r="8772" spans="17:17" x14ac:dyDescent="0.25">
      <c r="Q8772" s="8"/>
    </row>
    <row r="8773" spans="17:17" x14ac:dyDescent="0.25">
      <c r="Q8773" s="8"/>
    </row>
    <row r="8774" spans="17:17" x14ac:dyDescent="0.25">
      <c r="Q8774" s="8"/>
    </row>
    <row r="8775" spans="17:17" x14ac:dyDescent="0.25">
      <c r="Q8775" s="8"/>
    </row>
    <row r="8776" spans="17:17" x14ac:dyDescent="0.25">
      <c r="Q8776" s="8"/>
    </row>
    <row r="8777" spans="17:17" x14ac:dyDescent="0.25">
      <c r="Q8777" s="8"/>
    </row>
    <row r="8778" spans="17:17" x14ac:dyDescent="0.25">
      <c r="Q8778" s="8"/>
    </row>
    <row r="8779" spans="17:17" x14ac:dyDescent="0.25">
      <c r="Q8779" s="8"/>
    </row>
    <row r="8780" spans="17:17" x14ac:dyDescent="0.25">
      <c r="Q8780" s="8"/>
    </row>
    <row r="8781" spans="17:17" x14ac:dyDescent="0.25">
      <c r="Q8781" s="8"/>
    </row>
    <row r="8782" spans="17:17" x14ac:dyDescent="0.25">
      <c r="Q8782" s="8"/>
    </row>
    <row r="8783" spans="17:17" x14ac:dyDescent="0.25">
      <c r="Q8783" s="8"/>
    </row>
    <row r="8784" spans="17:17" x14ac:dyDescent="0.25">
      <c r="Q8784" s="8"/>
    </row>
    <row r="8785" spans="17:17" x14ac:dyDescent="0.25">
      <c r="Q8785" s="8"/>
    </row>
    <row r="8786" spans="17:17" x14ac:dyDescent="0.25">
      <c r="Q8786" s="8"/>
    </row>
    <row r="8787" spans="17:17" x14ac:dyDescent="0.25">
      <c r="Q8787" s="8"/>
    </row>
    <row r="8788" spans="17:17" x14ac:dyDescent="0.25">
      <c r="Q8788" s="8"/>
    </row>
    <row r="8789" spans="17:17" x14ac:dyDescent="0.25">
      <c r="Q8789" s="8"/>
    </row>
    <row r="8790" spans="17:17" x14ac:dyDescent="0.25">
      <c r="Q8790" s="8"/>
    </row>
    <row r="8791" spans="17:17" x14ac:dyDescent="0.25">
      <c r="Q8791" s="8"/>
    </row>
    <row r="8792" spans="17:17" x14ac:dyDescent="0.25">
      <c r="Q8792" s="8"/>
    </row>
    <row r="8793" spans="17:17" x14ac:dyDescent="0.25">
      <c r="Q8793" s="8"/>
    </row>
    <row r="8794" spans="17:17" x14ac:dyDescent="0.25">
      <c r="Q8794" s="8"/>
    </row>
    <row r="8795" spans="17:17" x14ac:dyDescent="0.25">
      <c r="Q8795" s="8"/>
    </row>
    <row r="8796" spans="17:17" x14ac:dyDescent="0.25">
      <c r="Q8796" s="8"/>
    </row>
    <row r="8797" spans="17:17" x14ac:dyDescent="0.25">
      <c r="Q8797" s="8"/>
    </row>
    <row r="8798" spans="17:17" x14ac:dyDescent="0.25">
      <c r="Q8798" s="8"/>
    </row>
    <row r="8799" spans="17:17" x14ac:dyDescent="0.25">
      <c r="Q8799" s="8"/>
    </row>
    <row r="8800" spans="17:17" x14ac:dyDescent="0.25">
      <c r="Q8800" s="8"/>
    </row>
    <row r="8801" spans="17:17" x14ac:dyDescent="0.25">
      <c r="Q8801" s="8"/>
    </row>
    <row r="8802" spans="17:17" x14ac:dyDescent="0.25">
      <c r="Q8802" s="8"/>
    </row>
    <row r="8803" spans="17:17" x14ac:dyDescent="0.25">
      <c r="Q8803" s="8"/>
    </row>
    <row r="8804" spans="17:17" x14ac:dyDescent="0.25">
      <c r="Q8804" s="8"/>
    </row>
    <row r="8805" spans="17:17" x14ac:dyDescent="0.25">
      <c r="Q8805" s="8"/>
    </row>
    <row r="8806" spans="17:17" x14ac:dyDescent="0.25">
      <c r="Q8806" s="8"/>
    </row>
    <row r="8807" spans="17:17" x14ac:dyDescent="0.25">
      <c r="Q8807" s="8"/>
    </row>
    <row r="8808" spans="17:17" x14ac:dyDescent="0.25">
      <c r="Q8808" s="8"/>
    </row>
    <row r="8809" spans="17:17" x14ac:dyDescent="0.25">
      <c r="Q8809" s="8"/>
    </row>
    <row r="8810" spans="17:17" x14ac:dyDescent="0.25">
      <c r="Q8810" s="8"/>
    </row>
    <row r="8811" spans="17:17" x14ac:dyDescent="0.25">
      <c r="Q8811" s="8"/>
    </row>
    <row r="8812" spans="17:17" x14ac:dyDescent="0.25">
      <c r="Q8812" s="8"/>
    </row>
    <row r="8813" spans="17:17" x14ac:dyDescent="0.25">
      <c r="Q8813" s="8"/>
    </row>
    <row r="8814" spans="17:17" x14ac:dyDescent="0.25">
      <c r="Q8814" s="8"/>
    </row>
    <row r="8815" spans="17:17" x14ac:dyDescent="0.25">
      <c r="Q8815" s="8"/>
    </row>
    <row r="8816" spans="17:17" x14ac:dyDescent="0.25">
      <c r="Q8816" s="8"/>
    </row>
    <row r="8817" spans="17:17" x14ac:dyDescent="0.25">
      <c r="Q8817" s="8"/>
    </row>
    <row r="8818" spans="17:17" x14ac:dyDescent="0.25">
      <c r="Q8818" s="8"/>
    </row>
    <row r="8819" spans="17:17" x14ac:dyDescent="0.25">
      <c r="Q8819" s="8"/>
    </row>
    <row r="8820" spans="17:17" x14ac:dyDescent="0.25">
      <c r="Q8820" s="8"/>
    </row>
    <row r="8821" spans="17:17" x14ac:dyDescent="0.25">
      <c r="Q8821" s="8"/>
    </row>
    <row r="8822" spans="17:17" x14ac:dyDescent="0.25">
      <c r="Q8822" s="8"/>
    </row>
    <row r="8823" spans="17:17" x14ac:dyDescent="0.25">
      <c r="Q8823" s="8"/>
    </row>
    <row r="8824" spans="17:17" x14ac:dyDescent="0.25">
      <c r="Q8824" s="8"/>
    </row>
    <row r="8825" spans="17:17" x14ac:dyDescent="0.25">
      <c r="Q8825" s="8"/>
    </row>
    <row r="8826" spans="17:17" x14ac:dyDescent="0.25">
      <c r="Q8826" s="8"/>
    </row>
    <row r="8827" spans="17:17" x14ac:dyDescent="0.25">
      <c r="Q8827" s="8"/>
    </row>
    <row r="8828" spans="17:17" x14ac:dyDescent="0.25">
      <c r="Q8828" s="8"/>
    </row>
    <row r="8829" spans="17:17" x14ac:dyDescent="0.25">
      <c r="Q8829" s="8"/>
    </row>
    <row r="8830" spans="17:17" x14ac:dyDescent="0.25">
      <c r="Q8830" s="8"/>
    </row>
    <row r="8831" spans="17:17" x14ac:dyDescent="0.25">
      <c r="Q8831" s="8"/>
    </row>
    <row r="8832" spans="17:17" x14ac:dyDescent="0.25">
      <c r="Q8832" s="8"/>
    </row>
    <row r="8833" spans="17:17" x14ac:dyDescent="0.25">
      <c r="Q8833" s="8"/>
    </row>
    <row r="8834" spans="17:17" x14ac:dyDescent="0.25">
      <c r="Q8834" s="8"/>
    </row>
    <row r="8835" spans="17:17" x14ac:dyDescent="0.25">
      <c r="Q8835" s="8"/>
    </row>
    <row r="8836" spans="17:17" x14ac:dyDescent="0.25">
      <c r="Q8836" s="8"/>
    </row>
    <row r="8837" spans="17:17" x14ac:dyDescent="0.25">
      <c r="Q8837" s="8"/>
    </row>
    <row r="8838" spans="17:17" x14ac:dyDescent="0.25">
      <c r="Q8838" s="8"/>
    </row>
    <row r="8839" spans="17:17" x14ac:dyDescent="0.25">
      <c r="Q8839" s="8"/>
    </row>
    <row r="8840" spans="17:17" x14ac:dyDescent="0.25">
      <c r="Q8840" s="8"/>
    </row>
    <row r="8841" spans="17:17" x14ac:dyDescent="0.25">
      <c r="Q8841" s="8"/>
    </row>
    <row r="8842" spans="17:17" x14ac:dyDescent="0.25">
      <c r="Q8842" s="8"/>
    </row>
    <row r="8843" spans="17:17" x14ac:dyDescent="0.25">
      <c r="Q8843" s="8"/>
    </row>
    <row r="8844" spans="17:17" x14ac:dyDescent="0.25">
      <c r="Q8844" s="8"/>
    </row>
    <row r="8845" spans="17:17" x14ac:dyDescent="0.25">
      <c r="Q8845" s="8"/>
    </row>
    <row r="8846" spans="17:17" x14ac:dyDescent="0.25">
      <c r="Q8846" s="8"/>
    </row>
    <row r="8847" spans="17:17" x14ac:dyDescent="0.25">
      <c r="Q8847" s="8"/>
    </row>
    <row r="8848" spans="17:17" x14ac:dyDescent="0.25">
      <c r="Q8848" s="8"/>
    </row>
    <row r="8849" spans="17:17" x14ac:dyDescent="0.25">
      <c r="Q8849" s="8"/>
    </row>
    <row r="8850" spans="17:17" x14ac:dyDescent="0.25">
      <c r="Q8850" s="8"/>
    </row>
    <row r="8851" spans="17:17" x14ac:dyDescent="0.25">
      <c r="Q8851" s="8"/>
    </row>
    <row r="8852" spans="17:17" x14ac:dyDescent="0.25">
      <c r="Q8852" s="8"/>
    </row>
    <row r="8853" spans="17:17" x14ac:dyDescent="0.25">
      <c r="Q8853" s="8"/>
    </row>
    <row r="8854" spans="17:17" x14ac:dyDescent="0.25">
      <c r="Q8854" s="8"/>
    </row>
    <row r="8855" spans="17:17" x14ac:dyDescent="0.25">
      <c r="Q8855" s="8"/>
    </row>
    <row r="8856" spans="17:17" x14ac:dyDescent="0.25">
      <c r="Q8856" s="8"/>
    </row>
    <row r="8857" spans="17:17" x14ac:dyDescent="0.25">
      <c r="Q8857" s="8"/>
    </row>
    <row r="8858" spans="17:17" x14ac:dyDescent="0.25">
      <c r="Q8858" s="8"/>
    </row>
    <row r="8859" spans="17:17" x14ac:dyDescent="0.25">
      <c r="Q8859" s="8"/>
    </row>
    <row r="8860" spans="17:17" x14ac:dyDescent="0.25">
      <c r="Q8860" s="8"/>
    </row>
    <row r="8861" spans="17:17" x14ac:dyDescent="0.25">
      <c r="Q8861" s="8"/>
    </row>
    <row r="8862" spans="17:17" x14ac:dyDescent="0.25">
      <c r="Q8862" s="8"/>
    </row>
    <row r="8863" spans="17:17" x14ac:dyDescent="0.25">
      <c r="Q8863" s="8"/>
    </row>
    <row r="8864" spans="17:17" x14ac:dyDescent="0.25">
      <c r="Q8864" s="8"/>
    </row>
    <row r="8865" spans="17:17" x14ac:dyDescent="0.25">
      <c r="Q8865" s="8"/>
    </row>
    <row r="8866" spans="17:17" x14ac:dyDescent="0.25">
      <c r="Q8866" s="8"/>
    </row>
    <row r="8867" spans="17:17" x14ac:dyDescent="0.25">
      <c r="Q8867" s="8"/>
    </row>
    <row r="8868" spans="17:17" x14ac:dyDescent="0.25">
      <c r="Q8868" s="8"/>
    </row>
    <row r="8869" spans="17:17" x14ac:dyDescent="0.25">
      <c r="Q8869" s="8"/>
    </row>
    <row r="8870" spans="17:17" x14ac:dyDescent="0.25">
      <c r="Q8870" s="8"/>
    </row>
    <row r="8871" spans="17:17" x14ac:dyDescent="0.25">
      <c r="Q8871" s="8"/>
    </row>
    <row r="8872" spans="17:17" x14ac:dyDescent="0.25">
      <c r="Q8872" s="8"/>
    </row>
    <row r="8873" spans="17:17" x14ac:dyDescent="0.25">
      <c r="Q8873" s="8"/>
    </row>
    <row r="8874" spans="17:17" x14ac:dyDescent="0.25">
      <c r="Q8874" s="8"/>
    </row>
    <row r="8875" spans="17:17" x14ac:dyDescent="0.25">
      <c r="Q8875" s="8"/>
    </row>
    <row r="8876" spans="17:17" x14ac:dyDescent="0.25">
      <c r="Q8876" s="8"/>
    </row>
    <row r="8877" spans="17:17" x14ac:dyDescent="0.25">
      <c r="Q8877" s="8"/>
    </row>
    <row r="8878" spans="17:17" x14ac:dyDescent="0.25">
      <c r="Q8878" s="8"/>
    </row>
    <row r="8879" spans="17:17" x14ac:dyDescent="0.25">
      <c r="Q8879" s="8"/>
    </row>
    <row r="8880" spans="17:17" x14ac:dyDescent="0.25">
      <c r="Q8880" s="8"/>
    </row>
    <row r="8881" spans="17:17" x14ac:dyDescent="0.25">
      <c r="Q8881" s="8"/>
    </row>
    <row r="8882" spans="17:17" x14ac:dyDescent="0.25">
      <c r="Q8882" s="8"/>
    </row>
    <row r="8883" spans="17:17" x14ac:dyDescent="0.25">
      <c r="Q8883" s="8"/>
    </row>
    <row r="8884" spans="17:17" x14ac:dyDescent="0.25">
      <c r="Q8884" s="8"/>
    </row>
    <row r="8885" spans="17:17" x14ac:dyDescent="0.25">
      <c r="Q8885" s="8"/>
    </row>
    <row r="8886" spans="17:17" x14ac:dyDescent="0.25">
      <c r="Q8886" s="8"/>
    </row>
    <row r="8887" spans="17:17" x14ac:dyDescent="0.25">
      <c r="Q8887" s="8"/>
    </row>
    <row r="8888" spans="17:17" x14ac:dyDescent="0.25">
      <c r="Q8888" s="8"/>
    </row>
    <row r="8889" spans="17:17" x14ac:dyDescent="0.25">
      <c r="Q8889" s="8"/>
    </row>
    <row r="8890" spans="17:17" x14ac:dyDescent="0.25">
      <c r="Q8890" s="8"/>
    </row>
    <row r="8891" spans="17:17" x14ac:dyDescent="0.25">
      <c r="Q8891" s="8"/>
    </row>
    <row r="8892" spans="17:17" x14ac:dyDescent="0.25">
      <c r="Q8892" s="8"/>
    </row>
    <row r="8893" spans="17:17" x14ac:dyDescent="0.25">
      <c r="Q8893" s="8"/>
    </row>
    <row r="8894" spans="17:17" x14ac:dyDescent="0.25">
      <c r="Q8894" s="8"/>
    </row>
    <row r="8895" spans="17:17" x14ac:dyDescent="0.25">
      <c r="Q8895" s="8"/>
    </row>
    <row r="8896" spans="17:17" x14ac:dyDescent="0.25">
      <c r="Q8896" s="8"/>
    </row>
    <row r="8897" spans="17:17" x14ac:dyDescent="0.25">
      <c r="Q8897" s="8"/>
    </row>
    <row r="8898" spans="17:17" x14ac:dyDescent="0.25">
      <c r="Q8898" s="8"/>
    </row>
    <row r="8899" spans="17:17" x14ac:dyDescent="0.25">
      <c r="Q8899" s="8"/>
    </row>
    <row r="8900" spans="17:17" x14ac:dyDescent="0.25">
      <c r="Q8900" s="8"/>
    </row>
    <row r="8901" spans="17:17" x14ac:dyDescent="0.25">
      <c r="Q8901" s="8"/>
    </row>
    <row r="8902" spans="17:17" x14ac:dyDescent="0.25">
      <c r="Q8902" s="8"/>
    </row>
    <row r="8903" spans="17:17" x14ac:dyDescent="0.25">
      <c r="Q8903" s="8"/>
    </row>
    <row r="8904" spans="17:17" x14ac:dyDescent="0.25">
      <c r="Q8904" s="8"/>
    </row>
    <row r="8905" spans="17:17" x14ac:dyDescent="0.25">
      <c r="Q8905" s="8"/>
    </row>
    <row r="8906" spans="17:17" x14ac:dyDescent="0.25">
      <c r="Q8906" s="8"/>
    </row>
    <row r="8907" spans="17:17" x14ac:dyDescent="0.25">
      <c r="Q8907" s="8"/>
    </row>
    <row r="8908" spans="17:17" x14ac:dyDescent="0.25">
      <c r="Q8908" s="8"/>
    </row>
    <row r="8909" spans="17:17" x14ac:dyDescent="0.25">
      <c r="Q8909" s="8"/>
    </row>
    <row r="8910" spans="17:17" x14ac:dyDescent="0.25">
      <c r="Q8910" s="8"/>
    </row>
    <row r="8911" spans="17:17" x14ac:dyDescent="0.25">
      <c r="Q8911" s="8"/>
    </row>
    <row r="8912" spans="17:17" x14ac:dyDescent="0.25">
      <c r="Q8912" s="8"/>
    </row>
    <row r="8913" spans="17:17" x14ac:dyDescent="0.25">
      <c r="Q8913" s="8"/>
    </row>
    <row r="8914" spans="17:17" x14ac:dyDescent="0.25">
      <c r="Q8914" s="8"/>
    </row>
    <row r="8915" spans="17:17" x14ac:dyDescent="0.25">
      <c r="Q8915" s="8"/>
    </row>
    <row r="8916" spans="17:17" x14ac:dyDescent="0.25">
      <c r="Q8916" s="8"/>
    </row>
    <row r="8917" spans="17:17" x14ac:dyDescent="0.25">
      <c r="Q8917" s="8"/>
    </row>
    <row r="8918" spans="17:17" x14ac:dyDescent="0.25">
      <c r="Q8918" s="8"/>
    </row>
    <row r="8919" spans="17:17" x14ac:dyDescent="0.25">
      <c r="Q8919" s="8"/>
    </row>
    <row r="8920" spans="17:17" x14ac:dyDescent="0.25">
      <c r="Q8920" s="8"/>
    </row>
    <row r="8921" spans="17:17" x14ac:dyDescent="0.25">
      <c r="Q8921" s="8"/>
    </row>
    <row r="8922" spans="17:17" x14ac:dyDescent="0.25">
      <c r="Q8922" s="8"/>
    </row>
    <row r="8923" spans="17:17" x14ac:dyDescent="0.25">
      <c r="Q8923" s="8"/>
    </row>
    <row r="8924" spans="17:17" x14ac:dyDescent="0.25">
      <c r="Q8924" s="8"/>
    </row>
    <row r="8925" spans="17:17" x14ac:dyDescent="0.25">
      <c r="Q8925" s="8"/>
    </row>
    <row r="8926" spans="17:17" x14ac:dyDescent="0.25">
      <c r="Q8926" s="8"/>
    </row>
    <row r="8927" spans="17:17" x14ac:dyDescent="0.25">
      <c r="Q8927" s="8"/>
    </row>
    <row r="8928" spans="17:17" x14ac:dyDescent="0.25">
      <c r="Q8928" s="8"/>
    </row>
    <row r="8929" spans="17:17" x14ac:dyDescent="0.25">
      <c r="Q8929" s="8"/>
    </row>
    <row r="8930" spans="17:17" x14ac:dyDescent="0.25">
      <c r="Q8930" s="8"/>
    </row>
    <row r="8931" spans="17:17" x14ac:dyDescent="0.25">
      <c r="Q8931" s="8"/>
    </row>
    <row r="8932" spans="17:17" x14ac:dyDescent="0.25">
      <c r="Q8932" s="8"/>
    </row>
    <row r="8933" spans="17:17" x14ac:dyDescent="0.25">
      <c r="Q8933" s="8"/>
    </row>
    <row r="8934" spans="17:17" x14ac:dyDescent="0.25">
      <c r="Q8934" s="8"/>
    </row>
    <row r="8935" spans="17:17" x14ac:dyDescent="0.25">
      <c r="Q8935" s="8"/>
    </row>
    <row r="8936" spans="17:17" x14ac:dyDescent="0.25">
      <c r="Q8936" s="8"/>
    </row>
    <row r="8937" spans="17:17" x14ac:dyDescent="0.25">
      <c r="Q8937" s="8"/>
    </row>
    <row r="8938" spans="17:17" x14ac:dyDescent="0.25">
      <c r="Q8938" s="8"/>
    </row>
    <row r="8939" spans="17:17" x14ac:dyDescent="0.25">
      <c r="Q8939" s="8"/>
    </row>
    <row r="8940" spans="17:17" x14ac:dyDescent="0.25">
      <c r="Q8940" s="8"/>
    </row>
    <row r="8941" spans="17:17" x14ac:dyDescent="0.25">
      <c r="Q8941" s="8"/>
    </row>
    <row r="8942" spans="17:17" x14ac:dyDescent="0.25">
      <c r="Q8942" s="8"/>
    </row>
    <row r="8943" spans="17:17" x14ac:dyDescent="0.25">
      <c r="Q8943" s="8"/>
    </row>
    <row r="8944" spans="17:17" x14ac:dyDescent="0.25">
      <c r="Q8944" s="8"/>
    </row>
    <row r="8945" spans="17:17" x14ac:dyDescent="0.25">
      <c r="Q8945" s="8"/>
    </row>
    <row r="8946" spans="17:17" x14ac:dyDescent="0.25">
      <c r="Q8946" s="8"/>
    </row>
    <row r="8947" spans="17:17" x14ac:dyDescent="0.25">
      <c r="Q8947" s="8"/>
    </row>
    <row r="8948" spans="17:17" x14ac:dyDescent="0.25">
      <c r="Q8948" s="8"/>
    </row>
    <row r="8949" spans="17:17" x14ac:dyDescent="0.25">
      <c r="Q8949" s="8"/>
    </row>
    <row r="8950" spans="17:17" x14ac:dyDescent="0.25">
      <c r="Q8950" s="8"/>
    </row>
    <row r="8951" spans="17:17" x14ac:dyDescent="0.25">
      <c r="Q8951" s="8"/>
    </row>
    <row r="8952" spans="17:17" x14ac:dyDescent="0.25">
      <c r="Q8952" s="8"/>
    </row>
    <row r="8953" spans="17:17" x14ac:dyDescent="0.25">
      <c r="Q8953" s="8"/>
    </row>
    <row r="8954" spans="17:17" x14ac:dyDescent="0.25">
      <c r="Q8954" s="8"/>
    </row>
    <row r="8955" spans="17:17" x14ac:dyDescent="0.25">
      <c r="Q8955" s="8"/>
    </row>
    <row r="8956" spans="17:17" x14ac:dyDescent="0.25">
      <c r="Q8956" s="8"/>
    </row>
    <row r="8957" spans="17:17" x14ac:dyDescent="0.25">
      <c r="Q8957" s="8"/>
    </row>
    <row r="8958" spans="17:17" x14ac:dyDescent="0.25">
      <c r="Q8958" s="8"/>
    </row>
    <row r="8959" spans="17:17" x14ac:dyDescent="0.25">
      <c r="Q8959" s="8"/>
    </row>
    <row r="8960" spans="17:17" x14ac:dyDescent="0.25">
      <c r="Q8960" s="8"/>
    </row>
    <row r="8961" spans="17:17" x14ac:dyDescent="0.25">
      <c r="Q8961" s="8"/>
    </row>
    <row r="8962" spans="17:17" x14ac:dyDescent="0.25">
      <c r="Q8962" s="8"/>
    </row>
    <row r="8963" spans="17:17" x14ac:dyDescent="0.25">
      <c r="Q8963" s="8"/>
    </row>
    <row r="8964" spans="17:17" x14ac:dyDescent="0.25">
      <c r="Q8964" s="8"/>
    </row>
    <row r="8965" spans="17:17" x14ac:dyDescent="0.25">
      <c r="Q8965" s="8"/>
    </row>
    <row r="8966" spans="17:17" x14ac:dyDescent="0.25">
      <c r="Q8966" s="8"/>
    </row>
    <row r="8967" spans="17:17" x14ac:dyDescent="0.25">
      <c r="Q8967" s="8"/>
    </row>
    <row r="8968" spans="17:17" x14ac:dyDescent="0.25">
      <c r="Q8968" s="8"/>
    </row>
    <row r="8969" spans="17:17" x14ac:dyDescent="0.25">
      <c r="Q8969" s="8"/>
    </row>
    <row r="8970" spans="17:17" x14ac:dyDescent="0.25">
      <c r="Q8970" s="8"/>
    </row>
    <row r="8971" spans="17:17" x14ac:dyDescent="0.25">
      <c r="Q8971" s="8"/>
    </row>
    <row r="8972" spans="17:17" x14ac:dyDescent="0.25">
      <c r="Q8972" s="8"/>
    </row>
    <row r="8973" spans="17:17" x14ac:dyDescent="0.25">
      <c r="Q8973" s="8"/>
    </row>
    <row r="8974" spans="17:17" x14ac:dyDescent="0.25">
      <c r="Q8974" s="8"/>
    </row>
    <row r="8975" spans="17:17" x14ac:dyDescent="0.25">
      <c r="Q8975" s="8"/>
    </row>
    <row r="8976" spans="17:17" x14ac:dyDescent="0.25">
      <c r="Q8976" s="8"/>
    </row>
    <row r="8977" spans="17:17" x14ac:dyDescent="0.25">
      <c r="Q8977" s="8"/>
    </row>
    <row r="8978" spans="17:17" x14ac:dyDescent="0.25">
      <c r="Q8978" s="8"/>
    </row>
    <row r="8979" spans="17:17" x14ac:dyDescent="0.25">
      <c r="Q8979" s="8"/>
    </row>
    <row r="8980" spans="17:17" x14ac:dyDescent="0.25">
      <c r="Q8980" s="8"/>
    </row>
    <row r="8981" spans="17:17" x14ac:dyDescent="0.25">
      <c r="Q8981" s="8"/>
    </row>
    <row r="8982" spans="17:17" x14ac:dyDescent="0.25">
      <c r="Q8982" s="8"/>
    </row>
    <row r="8983" spans="17:17" x14ac:dyDescent="0.25">
      <c r="Q8983" s="8"/>
    </row>
    <row r="8984" spans="17:17" x14ac:dyDescent="0.25">
      <c r="Q8984" s="8"/>
    </row>
    <row r="8985" spans="17:17" x14ac:dyDescent="0.25">
      <c r="Q8985" s="8"/>
    </row>
    <row r="8986" spans="17:17" x14ac:dyDescent="0.25">
      <c r="Q8986" s="8"/>
    </row>
    <row r="8987" spans="17:17" x14ac:dyDescent="0.25">
      <c r="Q8987" s="8"/>
    </row>
    <row r="8988" spans="17:17" x14ac:dyDescent="0.25">
      <c r="Q8988" s="8"/>
    </row>
    <row r="8989" spans="17:17" x14ac:dyDescent="0.25">
      <c r="Q8989" s="8"/>
    </row>
    <row r="8990" spans="17:17" x14ac:dyDescent="0.25">
      <c r="Q8990" s="8"/>
    </row>
    <row r="8991" spans="17:17" x14ac:dyDescent="0.25">
      <c r="Q8991" s="8"/>
    </row>
    <row r="8992" spans="17:17" x14ac:dyDescent="0.25">
      <c r="Q8992" s="8"/>
    </row>
    <row r="8993" spans="17:17" x14ac:dyDescent="0.25">
      <c r="Q8993" s="8"/>
    </row>
    <row r="8994" spans="17:17" x14ac:dyDescent="0.25">
      <c r="Q8994" s="8"/>
    </row>
    <row r="8995" spans="17:17" x14ac:dyDescent="0.25">
      <c r="Q8995" s="8"/>
    </row>
    <row r="8996" spans="17:17" x14ac:dyDescent="0.25">
      <c r="Q8996" s="8"/>
    </row>
    <row r="8997" spans="17:17" x14ac:dyDescent="0.25">
      <c r="Q8997" s="8"/>
    </row>
    <row r="8998" spans="17:17" x14ac:dyDescent="0.25">
      <c r="Q8998" s="8"/>
    </row>
    <row r="8999" spans="17:17" x14ac:dyDescent="0.25">
      <c r="Q8999" s="8"/>
    </row>
    <row r="9000" spans="17:17" x14ac:dyDescent="0.25">
      <c r="Q9000" s="8"/>
    </row>
    <row r="9001" spans="17:17" x14ac:dyDescent="0.25">
      <c r="Q9001" s="8"/>
    </row>
    <row r="9002" spans="17:17" x14ac:dyDescent="0.25">
      <c r="Q9002" s="8"/>
    </row>
    <row r="9003" spans="17:17" x14ac:dyDescent="0.25">
      <c r="Q9003" s="8"/>
    </row>
    <row r="9004" spans="17:17" x14ac:dyDescent="0.25">
      <c r="Q9004" s="8"/>
    </row>
    <row r="9005" spans="17:17" x14ac:dyDescent="0.25">
      <c r="Q9005" s="8"/>
    </row>
    <row r="9006" spans="17:17" x14ac:dyDescent="0.25">
      <c r="Q9006" s="8"/>
    </row>
    <row r="9007" spans="17:17" x14ac:dyDescent="0.25">
      <c r="Q9007" s="8"/>
    </row>
    <row r="9008" spans="17:17" x14ac:dyDescent="0.25">
      <c r="Q9008" s="8"/>
    </row>
    <row r="9009" spans="17:17" x14ac:dyDescent="0.25">
      <c r="Q9009" s="8"/>
    </row>
    <row r="9010" spans="17:17" x14ac:dyDescent="0.25">
      <c r="Q9010" s="8"/>
    </row>
    <row r="9011" spans="17:17" x14ac:dyDescent="0.25">
      <c r="Q9011" s="8"/>
    </row>
    <row r="9012" spans="17:17" x14ac:dyDescent="0.25">
      <c r="Q9012" s="8"/>
    </row>
    <row r="9013" spans="17:17" x14ac:dyDescent="0.25">
      <c r="Q9013" s="8"/>
    </row>
    <row r="9014" spans="17:17" x14ac:dyDescent="0.25">
      <c r="Q9014" s="8"/>
    </row>
    <row r="9015" spans="17:17" x14ac:dyDescent="0.25">
      <c r="Q9015" s="8"/>
    </row>
    <row r="9016" spans="17:17" x14ac:dyDescent="0.25">
      <c r="Q9016" s="8"/>
    </row>
    <row r="9017" spans="17:17" x14ac:dyDescent="0.25">
      <c r="Q9017" s="8"/>
    </row>
    <row r="9018" spans="17:17" x14ac:dyDescent="0.25">
      <c r="Q9018" s="8"/>
    </row>
    <row r="9019" spans="17:17" x14ac:dyDescent="0.25">
      <c r="Q9019" s="8"/>
    </row>
    <row r="9020" spans="17:17" x14ac:dyDescent="0.25">
      <c r="Q9020" s="8"/>
    </row>
    <row r="9021" spans="17:17" x14ac:dyDescent="0.25">
      <c r="Q9021" s="8"/>
    </row>
    <row r="9022" spans="17:17" x14ac:dyDescent="0.25">
      <c r="Q9022" s="8"/>
    </row>
    <row r="9023" spans="17:17" x14ac:dyDescent="0.25">
      <c r="Q9023" s="8"/>
    </row>
    <row r="9024" spans="17:17" x14ac:dyDescent="0.25">
      <c r="Q9024" s="8"/>
    </row>
    <row r="9025" spans="17:17" x14ac:dyDescent="0.25">
      <c r="Q9025" s="8"/>
    </row>
    <row r="9026" spans="17:17" x14ac:dyDescent="0.25">
      <c r="Q9026" s="8"/>
    </row>
    <row r="9027" spans="17:17" x14ac:dyDescent="0.25">
      <c r="Q9027" s="8"/>
    </row>
    <row r="9028" spans="17:17" x14ac:dyDescent="0.25">
      <c r="Q9028" s="8"/>
    </row>
    <row r="9029" spans="17:17" x14ac:dyDescent="0.25">
      <c r="Q9029" s="8"/>
    </row>
    <row r="9030" spans="17:17" x14ac:dyDescent="0.25">
      <c r="Q9030" s="8"/>
    </row>
    <row r="9031" spans="17:17" x14ac:dyDescent="0.25">
      <c r="Q9031" s="8"/>
    </row>
    <row r="9032" spans="17:17" x14ac:dyDescent="0.25">
      <c r="Q9032" s="8"/>
    </row>
    <row r="9033" spans="17:17" x14ac:dyDescent="0.25">
      <c r="Q9033" s="8"/>
    </row>
    <row r="9034" spans="17:17" x14ac:dyDescent="0.25">
      <c r="Q9034" s="8"/>
    </row>
    <row r="9035" spans="17:17" x14ac:dyDescent="0.25">
      <c r="Q9035" s="8"/>
    </row>
    <row r="9036" spans="17:17" x14ac:dyDescent="0.25">
      <c r="Q9036" s="8"/>
    </row>
    <row r="9037" spans="17:17" x14ac:dyDescent="0.25">
      <c r="Q9037" s="8"/>
    </row>
    <row r="9038" spans="17:17" x14ac:dyDescent="0.25">
      <c r="Q9038" s="8"/>
    </row>
    <row r="9039" spans="17:17" x14ac:dyDescent="0.25">
      <c r="Q9039" s="8"/>
    </row>
    <row r="9040" spans="17:17" x14ac:dyDescent="0.25">
      <c r="Q9040" s="8"/>
    </row>
    <row r="9041" spans="17:17" x14ac:dyDescent="0.25">
      <c r="Q9041" s="8"/>
    </row>
    <row r="9042" spans="17:17" x14ac:dyDescent="0.25">
      <c r="Q9042" s="8"/>
    </row>
    <row r="9043" spans="17:17" x14ac:dyDescent="0.25">
      <c r="Q9043" s="8"/>
    </row>
    <row r="9044" spans="17:17" x14ac:dyDescent="0.25">
      <c r="Q9044" s="8"/>
    </row>
    <row r="9045" spans="17:17" x14ac:dyDescent="0.25">
      <c r="Q9045" s="8"/>
    </row>
    <row r="9046" spans="17:17" x14ac:dyDescent="0.25">
      <c r="Q9046" s="8"/>
    </row>
    <row r="9047" spans="17:17" x14ac:dyDescent="0.25">
      <c r="Q9047" s="8"/>
    </row>
    <row r="9048" spans="17:17" x14ac:dyDescent="0.25">
      <c r="Q9048" s="8"/>
    </row>
    <row r="9049" spans="17:17" x14ac:dyDescent="0.25">
      <c r="Q9049" s="8"/>
    </row>
    <row r="9050" spans="17:17" x14ac:dyDescent="0.25">
      <c r="Q9050" s="8"/>
    </row>
    <row r="9051" spans="17:17" x14ac:dyDescent="0.25">
      <c r="Q9051" s="8"/>
    </row>
    <row r="9052" spans="17:17" x14ac:dyDescent="0.25">
      <c r="Q9052" s="8"/>
    </row>
    <row r="9053" spans="17:17" x14ac:dyDescent="0.25">
      <c r="Q9053" s="8"/>
    </row>
    <row r="9054" spans="17:17" x14ac:dyDescent="0.25">
      <c r="Q9054" s="8"/>
    </row>
    <row r="9055" spans="17:17" x14ac:dyDescent="0.25">
      <c r="Q9055" s="8"/>
    </row>
    <row r="9056" spans="17:17" x14ac:dyDescent="0.25">
      <c r="Q9056" s="8"/>
    </row>
    <row r="9057" spans="17:17" x14ac:dyDescent="0.25">
      <c r="Q9057" s="8"/>
    </row>
    <row r="9058" spans="17:17" x14ac:dyDescent="0.25">
      <c r="Q9058" s="8"/>
    </row>
    <row r="9059" spans="17:17" x14ac:dyDescent="0.25">
      <c r="Q9059" s="8"/>
    </row>
    <row r="9060" spans="17:17" x14ac:dyDescent="0.25">
      <c r="Q9060" s="8"/>
    </row>
    <row r="9061" spans="17:17" x14ac:dyDescent="0.25">
      <c r="Q9061" s="8"/>
    </row>
    <row r="9062" spans="17:17" x14ac:dyDescent="0.25">
      <c r="Q9062" s="8"/>
    </row>
    <row r="9063" spans="17:17" x14ac:dyDescent="0.25">
      <c r="Q9063" s="8"/>
    </row>
    <row r="9064" spans="17:17" x14ac:dyDescent="0.25">
      <c r="Q9064" s="8"/>
    </row>
    <row r="9065" spans="17:17" x14ac:dyDescent="0.25">
      <c r="Q9065" s="8"/>
    </row>
    <row r="9066" spans="17:17" x14ac:dyDescent="0.25">
      <c r="Q9066" s="8"/>
    </row>
    <row r="9067" spans="17:17" x14ac:dyDescent="0.25">
      <c r="Q9067" s="8"/>
    </row>
    <row r="9068" spans="17:17" x14ac:dyDescent="0.25">
      <c r="Q9068" s="8"/>
    </row>
    <row r="9069" spans="17:17" x14ac:dyDescent="0.25">
      <c r="Q9069" s="8"/>
    </row>
    <row r="9070" spans="17:17" x14ac:dyDescent="0.25">
      <c r="Q9070" s="8"/>
    </row>
    <row r="9071" spans="17:17" x14ac:dyDescent="0.25">
      <c r="Q9071" s="8"/>
    </row>
    <row r="9072" spans="17:17" x14ac:dyDescent="0.25">
      <c r="Q9072" s="8"/>
    </row>
    <row r="9073" spans="17:17" x14ac:dyDescent="0.25">
      <c r="Q9073" s="8"/>
    </row>
    <row r="9074" spans="17:17" x14ac:dyDescent="0.25">
      <c r="Q9074" s="8"/>
    </row>
    <row r="9075" spans="17:17" x14ac:dyDescent="0.25">
      <c r="Q9075" s="8"/>
    </row>
    <row r="9076" spans="17:17" x14ac:dyDescent="0.25">
      <c r="Q9076" s="8"/>
    </row>
    <row r="9077" spans="17:17" x14ac:dyDescent="0.25">
      <c r="Q9077" s="8"/>
    </row>
    <row r="9078" spans="17:17" x14ac:dyDescent="0.25">
      <c r="Q9078" s="8"/>
    </row>
    <row r="9079" spans="17:17" x14ac:dyDescent="0.25">
      <c r="Q9079" s="8"/>
    </row>
    <row r="9080" spans="17:17" x14ac:dyDescent="0.25">
      <c r="Q9080" s="8"/>
    </row>
    <row r="9081" spans="17:17" x14ac:dyDescent="0.25">
      <c r="Q9081" s="8"/>
    </row>
    <row r="9082" spans="17:17" x14ac:dyDescent="0.25">
      <c r="Q9082" s="8"/>
    </row>
    <row r="9083" spans="17:17" x14ac:dyDescent="0.25">
      <c r="Q9083" s="8"/>
    </row>
    <row r="9084" spans="17:17" x14ac:dyDescent="0.25">
      <c r="Q9084" s="8"/>
    </row>
    <row r="9085" spans="17:17" x14ac:dyDescent="0.25">
      <c r="Q9085" s="8"/>
    </row>
    <row r="9086" spans="17:17" x14ac:dyDescent="0.25">
      <c r="Q9086" s="8"/>
    </row>
    <row r="9087" spans="17:17" x14ac:dyDescent="0.25">
      <c r="Q9087" s="8"/>
    </row>
    <row r="9088" spans="17:17" x14ac:dyDescent="0.25">
      <c r="Q9088" s="8"/>
    </row>
    <row r="9089" spans="17:17" x14ac:dyDescent="0.25">
      <c r="Q9089" s="8"/>
    </row>
    <row r="9090" spans="17:17" x14ac:dyDescent="0.25">
      <c r="Q9090" s="8"/>
    </row>
    <row r="9091" spans="17:17" x14ac:dyDescent="0.25">
      <c r="Q9091" s="8"/>
    </row>
    <row r="9092" spans="17:17" x14ac:dyDescent="0.25">
      <c r="Q9092" s="8"/>
    </row>
    <row r="9093" spans="17:17" x14ac:dyDescent="0.25">
      <c r="Q9093" s="8"/>
    </row>
    <row r="9094" spans="17:17" x14ac:dyDescent="0.25">
      <c r="Q9094" s="8"/>
    </row>
    <row r="9095" spans="17:17" x14ac:dyDescent="0.25">
      <c r="Q9095" s="8"/>
    </row>
    <row r="9096" spans="17:17" x14ac:dyDescent="0.25">
      <c r="Q9096" s="8"/>
    </row>
    <row r="9097" spans="17:17" x14ac:dyDescent="0.25">
      <c r="Q9097" s="8"/>
    </row>
    <row r="9098" spans="17:17" x14ac:dyDescent="0.25">
      <c r="Q9098" s="8"/>
    </row>
    <row r="9099" spans="17:17" x14ac:dyDescent="0.25">
      <c r="Q9099" s="8"/>
    </row>
    <row r="9100" spans="17:17" x14ac:dyDescent="0.25">
      <c r="Q9100" s="8"/>
    </row>
    <row r="9101" spans="17:17" x14ac:dyDescent="0.25">
      <c r="Q9101" s="8"/>
    </row>
    <row r="9102" spans="17:17" x14ac:dyDescent="0.25">
      <c r="Q9102" s="8"/>
    </row>
    <row r="9103" spans="17:17" x14ac:dyDescent="0.25">
      <c r="Q9103" s="8"/>
    </row>
    <row r="9104" spans="17:17" x14ac:dyDescent="0.25">
      <c r="Q9104" s="8"/>
    </row>
    <row r="9105" spans="17:17" x14ac:dyDescent="0.25">
      <c r="Q9105" s="8"/>
    </row>
    <row r="9106" spans="17:17" x14ac:dyDescent="0.25">
      <c r="Q9106" s="8"/>
    </row>
    <row r="9107" spans="17:17" x14ac:dyDescent="0.25">
      <c r="Q9107" s="8"/>
    </row>
    <row r="9108" spans="17:17" x14ac:dyDescent="0.25">
      <c r="Q9108" s="8"/>
    </row>
    <row r="9109" spans="17:17" x14ac:dyDescent="0.25">
      <c r="Q9109" s="8"/>
    </row>
    <row r="9110" spans="17:17" x14ac:dyDescent="0.25">
      <c r="Q9110" s="8"/>
    </row>
    <row r="9111" spans="17:17" x14ac:dyDescent="0.25">
      <c r="Q9111" s="8"/>
    </row>
    <row r="9112" spans="17:17" x14ac:dyDescent="0.25">
      <c r="Q9112" s="8"/>
    </row>
    <row r="9113" spans="17:17" x14ac:dyDescent="0.25">
      <c r="Q9113" s="8"/>
    </row>
    <row r="9114" spans="17:17" x14ac:dyDescent="0.25">
      <c r="Q9114" s="8"/>
    </row>
    <row r="9115" spans="17:17" x14ac:dyDescent="0.25">
      <c r="Q9115" s="8"/>
    </row>
    <row r="9116" spans="17:17" x14ac:dyDescent="0.25">
      <c r="Q9116" s="8"/>
    </row>
    <row r="9117" spans="17:17" x14ac:dyDescent="0.25">
      <c r="Q9117" s="8"/>
    </row>
    <row r="9118" spans="17:17" x14ac:dyDescent="0.25">
      <c r="Q9118" s="8"/>
    </row>
    <row r="9119" spans="17:17" x14ac:dyDescent="0.25">
      <c r="Q9119" s="8"/>
    </row>
    <row r="9120" spans="17:17" x14ac:dyDescent="0.25">
      <c r="Q9120" s="8"/>
    </row>
    <row r="9121" spans="17:17" x14ac:dyDescent="0.25">
      <c r="Q9121" s="8"/>
    </row>
    <row r="9122" spans="17:17" x14ac:dyDescent="0.25">
      <c r="Q9122" s="8"/>
    </row>
    <row r="9123" spans="17:17" x14ac:dyDescent="0.25">
      <c r="Q9123" s="8"/>
    </row>
    <row r="9124" spans="17:17" x14ac:dyDescent="0.25">
      <c r="Q9124" s="8"/>
    </row>
    <row r="9125" spans="17:17" x14ac:dyDescent="0.25">
      <c r="Q9125" s="8"/>
    </row>
    <row r="9126" spans="17:17" x14ac:dyDescent="0.25">
      <c r="Q9126" s="8"/>
    </row>
    <row r="9127" spans="17:17" x14ac:dyDescent="0.25">
      <c r="Q9127" s="8"/>
    </row>
    <row r="9128" spans="17:17" x14ac:dyDescent="0.25">
      <c r="Q9128" s="8"/>
    </row>
    <row r="9129" spans="17:17" x14ac:dyDescent="0.25">
      <c r="Q9129" s="8"/>
    </row>
    <row r="9130" spans="17:17" x14ac:dyDescent="0.25">
      <c r="Q9130" s="8"/>
    </row>
    <row r="9131" spans="17:17" x14ac:dyDescent="0.25">
      <c r="Q9131" s="8"/>
    </row>
    <row r="9132" spans="17:17" x14ac:dyDescent="0.25">
      <c r="Q9132" s="8"/>
    </row>
    <row r="9133" spans="17:17" x14ac:dyDescent="0.25">
      <c r="Q9133" s="8"/>
    </row>
    <row r="9134" spans="17:17" x14ac:dyDescent="0.25">
      <c r="Q9134" s="8"/>
    </row>
    <row r="9135" spans="17:17" x14ac:dyDescent="0.25">
      <c r="Q9135" s="8"/>
    </row>
    <row r="9136" spans="17:17" x14ac:dyDescent="0.25">
      <c r="Q9136" s="8"/>
    </row>
    <row r="9137" spans="17:17" x14ac:dyDescent="0.25">
      <c r="Q9137" s="8"/>
    </row>
    <row r="9138" spans="17:17" x14ac:dyDescent="0.25">
      <c r="Q9138" s="8"/>
    </row>
    <row r="9139" spans="17:17" x14ac:dyDescent="0.25">
      <c r="Q9139" s="8"/>
    </row>
    <row r="9140" spans="17:17" x14ac:dyDescent="0.25">
      <c r="Q9140" s="8"/>
    </row>
    <row r="9141" spans="17:17" x14ac:dyDescent="0.25">
      <c r="Q9141" s="8"/>
    </row>
    <row r="9142" spans="17:17" x14ac:dyDescent="0.25">
      <c r="Q9142" s="8"/>
    </row>
    <row r="9143" spans="17:17" x14ac:dyDescent="0.25">
      <c r="Q9143" s="8"/>
    </row>
    <row r="9144" spans="17:17" x14ac:dyDescent="0.25">
      <c r="Q9144" s="8"/>
    </row>
    <row r="9145" spans="17:17" x14ac:dyDescent="0.25">
      <c r="Q9145" s="8"/>
    </row>
    <row r="9146" spans="17:17" x14ac:dyDescent="0.25">
      <c r="Q9146" s="8"/>
    </row>
    <row r="9147" spans="17:17" x14ac:dyDescent="0.25">
      <c r="Q9147" s="8"/>
    </row>
    <row r="9148" spans="17:17" x14ac:dyDescent="0.25">
      <c r="Q9148" s="8"/>
    </row>
    <row r="9149" spans="17:17" x14ac:dyDescent="0.25">
      <c r="Q9149" s="8"/>
    </row>
    <row r="9150" spans="17:17" x14ac:dyDescent="0.25">
      <c r="Q9150" s="8"/>
    </row>
    <row r="9151" spans="17:17" x14ac:dyDescent="0.25">
      <c r="Q9151" s="8"/>
    </row>
    <row r="9152" spans="17:17" x14ac:dyDescent="0.25">
      <c r="Q9152" s="8"/>
    </row>
    <row r="9153" spans="17:17" x14ac:dyDescent="0.25">
      <c r="Q9153" s="8"/>
    </row>
    <row r="9154" spans="17:17" x14ac:dyDescent="0.25">
      <c r="Q9154" s="8"/>
    </row>
    <row r="9155" spans="17:17" x14ac:dyDescent="0.25">
      <c r="Q9155" s="8"/>
    </row>
    <row r="9156" spans="17:17" x14ac:dyDescent="0.25">
      <c r="Q9156" s="8"/>
    </row>
    <row r="9157" spans="17:17" x14ac:dyDescent="0.25">
      <c r="Q9157" s="8"/>
    </row>
    <row r="9158" spans="17:17" x14ac:dyDescent="0.25">
      <c r="Q9158" s="8"/>
    </row>
    <row r="9159" spans="17:17" x14ac:dyDescent="0.25">
      <c r="Q9159" s="8"/>
    </row>
    <row r="9160" spans="17:17" x14ac:dyDescent="0.25">
      <c r="Q9160" s="8"/>
    </row>
    <row r="9161" spans="17:17" x14ac:dyDescent="0.25">
      <c r="Q9161" s="8"/>
    </row>
    <row r="9162" spans="17:17" x14ac:dyDescent="0.25">
      <c r="Q9162" s="8"/>
    </row>
    <row r="9163" spans="17:17" x14ac:dyDescent="0.25">
      <c r="Q9163" s="8"/>
    </row>
    <row r="9164" spans="17:17" x14ac:dyDescent="0.25">
      <c r="Q9164" s="8"/>
    </row>
    <row r="9165" spans="17:17" x14ac:dyDescent="0.25">
      <c r="Q9165" s="8"/>
    </row>
    <row r="9166" spans="17:17" x14ac:dyDescent="0.25">
      <c r="Q9166" s="8"/>
    </row>
    <row r="9167" spans="17:17" x14ac:dyDescent="0.25">
      <c r="Q9167" s="8"/>
    </row>
    <row r="9168" spans="17:17" x14ac:dyDescent="0.25">
      <c r="Q9168" s="8"/>
    </row>
    <row r="9169" spans="17:17" x14ac:dyDescent="0.25">
      <c r="Q9169" s="8"/>
    </row>
    <row r="9170" spans="17:17" x14ac:dyDescent="0.25">
      <c r="Q9170" s="8"/>
    </row>
    <row r="9171" spans="17:17" x14ac:dyDescent="0.25">
      <c r="Q9171" s="8"/>
    </row>
    <row r="9172" spans="17:17" x14ac:dyDescent="0.25">
      <c r="Q9172" s="8"/>
    </row>
    <row r="9173" spans="17:17" x14ac:dyDescent="0.25">
      <c r="Q9173" s="8"/>
    </row>
    <row r="9174" spans="17:17" x14ac:dyDescent="0.25">
      <c r="Q9174" s="8"/>
    </row>
    <row r="9175" spans="17:17" x14ac:dyDescent="0.25">
      <c r="Q9175" s="8"/>
    </row>
    <row r="9176" spans="17:17" x14ac:dyDescent="0.25">
      <c r="Q9176" s="8"/>
    </row>
    <row r="9177" spans="17:17" x14ac:dyDescent="0.25">
      <c r="Q9177" s="8"/>
    </row>
    <row r="9178" spans="17:17" x14ac:dyDescent="0.25">
      <c r="Q9178" s="8"/>
    </row>
    <row r="9179" spans="17:17" x14ac:dyDescent="0.25">
      <c r="Q9179" s="8"/>
    </row>
    <row r="9180" spans="17:17" x14ac:dyDescent="0.25">
      <c r="Q9180" s="8"/>
    </row>
    <row r="9181" spans="17:17" x14ac:dyDescent="0.25">
      <c r="Q9181" s="8"/>
    </row>
    <row r="9182" spans="17:17" x14ac:dyDescent="0.25">
      <c r="Q9182" s="8"/>
    </row>
    <row r="9183" spans="17:17" x14ac:dyDescent="0.25">
      <c r="Q9183" s="8"/>
    </row>
    <row r="9184" spans="17:17" x14ac:dyDescent="0.25">
      <c r="Q9184" s="8"/>
    </row>
    <row r="9185" spans="17:17" x14ac:dyDescent="0.25">
      <c r="Q9185" s="8"/>
    </row>
    <row r="9186" spans="17:17" x14ac:dyDescent="0.25">
      <c r="Q9186" s="8"/>
    </row>
    <row r="9187" spans="17:17" x14ac:dyDescent="0.25">
      <c r="Q9187" s="8"/>
    </row>
    <row r="9188" spans="17:17" x14ac:dyDescent="0.25">
      <c r="Q9188" s="8"/>
    </row>
    <row r="9189" spans="17:17" x14ac:dyDescent="0.25">
      <c r="Q9189" s="8"/>
    </row>
    <row r="9190" spans="17:17" x14ac:dyDescent="0.25">
      <c r="Q9190" s="8"/>
    </row>
    <row r="9191" spans="17:17" x14ac:dyDescent="0.25">
      <c r="Q9191" s="8"/>
    </row>
    <row r="9192" spans="17:17" x14ac:dyDescent="0.25">
      <c r="Q9192" s="8"/>
    </row>
    <row r="9193" spans="17:17" x14ac:dyDescent="0.25">
      <c r="Q9193" s="8"/>
    </row>
    <row r="9194" spans="17:17" x14ac:dyDescent="0.25">
      <c r="Q9194" s="8"/>
    </row>
    <row r="9195" spans="17:17" x14ac:dyDescent="0.25">
      <c r="Q9195" s="8"/>
    </row>
    <row r="9196" spans="17:17" x14ac:dyDescent="0.25">
      <c r="Q9196" s="8"/>
    </row>
    <row r="9197" spans="17:17" x14ac:dyDescent="0.25">
      <c r="Q9197" s="8"/>
    </row>
    <row r="9198" spans="17:17" x14ac:dyDescent="0.25">
      <c r="Q9198" s="8"/>
    </row>
    <row r="9199" spans="17:17" x14ac:dyDescent="0.25">
      <c r="Q9199" s="8"/>
    </row>
    <row r="9200" spans="17:17" x14ac:dyDescent="0.25">
      <c r="Q9200" s="8"/>
    </row>
    <row r="9201" spans="17:17" x14ac:dyDescent="0.25">
      <c r="Q9201" s="8"/>
    </row>
    <row r="9202" spans="17:17" x14ac:dyDescent="0.25">
      <c r="Q9202" s="8"/>
    </row>
    <row r="9203" spans="17:17" x14ac:dyDescent="0.25">
      <c r="Q9203" s="8"/>
    </row>
    <row r="9204" spans="17:17" x14ac:dyDescent="0.25">
      <c r="Q9204" s="8"/>
    </row>
    <row r="9205" spans="17:17" x14ac:dyDescent="0.25">
      <c r="Q9205" s="8"/>
    </row>
    <row r="9206" spans="17:17" x14ac:dyDescent="0.25">
      <c r="Q9206" s="8"/>
    </row>
    <row r="9207" spans="17:17" x14ac:dyDescent="0.25">
      <c r="Q9207" s="8"/>
    </row>
    <row r="9208" spans="17:17" x14ac:dyDescent="0.25">
      <c r="Q9208" s="8"/>
    </row>
    <row r="9209" spans="17:17" x14ac:dyDescent="0.25">
      <c r="Q9209" s="8"/>
    </row>
    <row r="9210" spans="17:17" x14ac:dyDescent="0.25">
      <c r="Q9210" s="8"/>
    </row>
    <row r="9211" spans="17:17" x14ac:dyDescent="0.25">
      <c r="Q9211" s="8"/>
    </row>
    <row r="9212" spans="17:17" x14ac:dyDescent="0.25">
      <c r="Q9212" s="8"/>
    </row>
    <row r="9213" spans="17:17" x14ac:dyDescent="0.25">
      <c r="Q9213" s="8"/>
    </row>
    <row r="9214" spans="17:17" x14ac:dyDescent="0.25">
      <c r="Q9214" s="8"/>
    </row>
    <row r="9215" spans="17:17" x14ac:dyDescent="0.25">
      <c r="Q9215" s="8"/>
    </row>
    <row r="9216" spans="17:17" x14ac:dyDescent="0.25">
      <c r="Q9216" s="8"/>
    </row>
    <row r="9217" spans="17:17" x14ac:dyDescent="0.25">
      <c r="Q9217" s="8"/>
    </row>
    <row r="9218" spans="17:17" x14ac:dyDescent="0.25">
      <c r="Q9218" s="8"/>
    </row>
    <row r="9219" spans="17:17" x14ac:dyDescent="0.25">
      <c r="Q9219" s="8"/>
    </row>
    <row r="9220" spans="17:17" x14ac:dyDescent="0.25">
      <c r="Q9220" s="8"/>
    </row>
    <row r="9221" spans="17:17" x14ac:dyDescent="0.25">
      <c r="Q9221" s="8"/>
    </row>
    <row r="9222" spans="17:17" x14ac:dyDescent="0.25">
      <c r="Q9222" s="8"/>
    </row>
    <row r="9223" spans="17:17" x14ac:dyDescent="0.25">
      <c r="Q9223" s="8"/>
    </row>
    <row r="9224" spans="17:17" x14ac:dyDescent="0.25">
      <c r="Q9224" s="8"/>
    </row>
    <row r="9225" spans="17:17" x14ac:dyDescent="0.25">
      <c r="Q9225" s="8"/>
    </row>
    <row r="9226" spans="17:17" x14ac:dyDescent="0.25">
      <c r="Q9226" s="8"/>
    </row>
    <row r="9227" spans="17:17" x14ac:dyDescent="0.25">
      <c r="Q9227" s="8"/>
    </row>
    <row r="9228" spans="17:17" x14ac:dyDescent="0.25">
      <c r="Q9228" s="8"/>
    </row>
    <row r="9229" spans="17:17" x14ac:dyDescent="0.25">
      <c r="Q9229" s="8"/>
    </row>
    <row r="9230" spans="17:17" x14ac:dyDescent="0.25">
      <c r="Q9230" s="8"/>
    </row>
    <row r="9231" spans="17:17" x14ac:dyDescent="0.25">
      <c r="Q9231" s="8"/>
    </row>
    <row r="9232" spans="17:17" x14ac:dyDescent="0.25">
      <c r="Q9232" s="8"/>
    </row>
    <row r="9233" spans="17:17" x14ac:dyDescent="0.25">
      <c r="Q9233" s="8"/>
    </row>
    <row r="9234" spans="17:17" x14ac:dyDescent="0.25">
      <c r="Q9234" s="8"/>
    </row>
    <row r="9235" spans="17:17" x14ac:dyDescent="0.25">
      <c r="Q9235" s="8"/>
    </row>
    <row r="9236" spans="17:17" x14ac:dyDescent="0.25">
      <c r="Q9236" s="8"/>
    </row>
    <row r="9237" spans="17:17" x14ac:dyDescent="0.25">
      <c r="Q9237" s="8"/>
    </row>
    <row r="9238" spans="17:17" x14ac:dyDescent="0.25">
      <c r="Q9238" s="8"/>
    </row>
    <row r="9239" spans="17:17" x14ac:dyDescent="0.25">
      <c r="Q9239" s="8"/>
    </row>
    <row r="9240" spans="17:17" x14ac:dyDescent="0.25">
      <c r="Q9240" s="8"/>
    </row>
    <row r="9241" spans="17:17" x14ac:dyDescent="0.25">
      <c r="Q9241" s="8"/>
    </row>
    <row r="9242" spans="17:17" x14ac:dyDescent="0.25">
      <c r="Q9242" s="8"/>
    </row>
    <row r="9243" spans="17:17" x14ac:dyDescent="0.25">
      <c r="Q9243" s="8"/>
    </row>
    <row r="9244" spans="17:17" x14ac:dyDescent="0.25">
      <c r="Q9244" s="8"/>
    </row>
    <row r="9245" spans="17:17" x14ac:dyDescent="0.25">
      <c r="Q9245" s="8"/>
    </row>
    <row r="9246" spans="17:17" x14ac:dyDescent="0.25">
      <c r="Q9246" s="8"/>
    </row>
    <row r="9247" spans="17:17" x14ac:dyDescent="0.25">
      <c r="Q9247" s="8"/>
    </row>
    <row r="9248" spans="17:17" x14ac:dyDescent="0.25">
      <c r="Q9248" s="8"/>
    </row>
    <row r="9249" spans="17:17" x14ac:dyDescent="0.25">
      <c r="Q9249" s="8"/>
    </row>
    <row r="9250" spans="17:17" x14ac:dyDescent="0.25">
      <c r="Q9250" s="8"/>
    </row>
    <row r="9251" spans="17:17" x14ac:dyDescent="0.25">
      <c r="Q9251" s="8"/>
    </row>
    <row r="9252" spans="17:17" x14ac:dyDescent="0.25">
      <c r="Q9252" s="8"/>
    </row>
    <row r="9253" spans="17:17" x14ac:dyDescent="0.25">
      <c r="Q9253" s="8"/>
    </row>
    <row r="9254" spans="17:17" x14ac:dyDescent="0.25">
      <c r="Q9254" s="8"/>
    </row>
    <row r="9255" spans="17:17" x14ac:dyDescent="0.25">
      <c r="Q9255" s="8"/>
    </row>
    <row r="9256" spans="17:17" x14ac:dyDescent="0.25">
      <c r="Q9256" s="8"/>
    </row>
    <row r="9257" spans="17:17" x14ac:dyDescent="0.25">
      <c r="Q9257" s="8"/>
    </row>
    <row r="9258" spans="17:17" x14ac:dyDescent="0.25">
      <c r="Q9258" s="8"/>
    </row>
    <row r="9259" spans="17:17" x14ac:dyDescent="0.25">
      <c r="Q9259" s="8"/>
    </row>
    <row r="9260" spans="17:17" x14ac:dyDescent="0.25">
      <c r="Q9260" s="8"/>
    </row>
    <row r="9261" spans="17:17" x14ac:dyDescent="0.25">
      <c r="Q9261" s="8"/>
    </row>
    <row r="9262" spans="17:17" x14ac:dyDescent="0.25">
      <c r="Q9262" s="8"/>
    </row>
    <row r="9263" spans="17:17" x14ac:dyDescent="0.25">
      <c r="Q9263" s="8"/>
    </row>
    <row r="9264" spans="17:17" x14ac:dyDescent="0.25">
      <c r="Q9264" s="8"/>
    </row>
    <row r="9265" spans="17:17" x14ac:dyDescent="0.25">
      <c r="Q9265" s="8"/>
    </row>
    <row r="9266" spans="17:17" x14ac:dyDescent="0.25">
      <c r="Q9266" s="8"/>
    </row>
    <row r="9267" spans="17:17" x14ac:dyDescent="0.25">
      <c r="Q9267" s="8"/>
    </row>
    <row r="9268" spans="17:17" x14ac:dyDescent="0.25">
      <c r="Q9268" s="8"/>
    </row>
    <row r="9269" spans="17:17" x14ac:dyDescent="0.25">
      <c r="Q9269" s="8"/>
    </row>
    <row r="9270" spans="17:17" x14ac:dyDescent="0.25">
      <c r="Q9270" s="8"/>
    </row>
    <row r="9271" spans="17:17" x14ac:dyDescent="0.25">
      <c r="Q9271" s="8"/>
    </row>
    <row r="9272" spans="17:17" x14ac:dyDescent="0.25">
      <c r="Q9272" s="8"/>
    </row>
    <row r="9273" spans="17:17" x14ac:dyDescent="0.25">
      <c r="Q9273" s="8"/>
    </row>
    <row r="9274" spans="17:17" x14ac:dyDescent="0.25">
      <c r="Q9274" s="8"/>
    </row>
    <row r="9275" spans="17:17" x14ac:dyDescent="0.25">
      <c r="Q9275" s="8"/>
    </row>
    <row r="9276" spans="17:17" x14ac:dyDescent="0.25">
      <c r="Q9276" s="8"/>
    </row>
    <row r="9277" spans="17:17" x14ac:dyDescent="0.25">
      <c r="Q9277" s="8"/>
    </row>
    <row r="9278" spans="17:17" x14ac:dyDescent="0.25">
      <c r="Q9278" s="8"/>
    </row>
    <row r="9279" spans="17:17" x14ac:dyDescent="0.25">
      <c r="Q9279" s="8"/>
    </row>
    <row r="9280" spans="17:17" x14ac:dyDescent="0.25">
      <c r="Q9280" s="8"/>
    </row>
    <row r="9281" spans="17:17" x14ac:dyDescent="0.25">
      <c r="Q9281" s="8"/>
    </row>
    <row r="9282" spans="17:17" x14ac:dyDescent="0.25">
      <c r="Q9282" s="8"/>
    </row>
    <row r="9283" spans="17:17" x14ac:dyDescent="0.25">
      <c r="Q9283" s="8"/>
    </row>
    <row r="9284" spans="17:17" x14ac:dyDescent="0.25">
      <c r="Q9284" s="8"/>
    </row>
    <row r="9285" spans="17:17" x14ac:dyDescent="0.25">
      <c r="Q9285" s="8"/>
    </row>
    <row r="9286" spans="17:17" x14ac:dyDescent="0.25">
      <c r="Q9286" s="8"/>
    </row>
    <row r="9287" spans="17:17" x14ac:dyDescent="0.25">
      <c r="Q9287" s="8"/>
    </row>
    <row r="9288" spans="17:17" x14ac:dyDescent="0.25">
      <c r="Q9288" s="8"/>
    </row>
    <row r="9289" spans="17:17" x14ac:dyDescent="0.25">
      <c r="Q9289" s="8"/>
    </row>
    <row r="9290" spans="17:17" x14ac:dyDescent="0.25">
      <c r="Q9290" s="8"/>
    </row>
    <row r="9291" spans="17:17" x14ac:dyDescent="0.25">
      <c r="Q9291" s="8"/>
    </row>
    <row r="9292" spans="17:17" x14ac:dyDescent="0.25">
      <c r="Q9292" s="8"/>
    </row>
    <row r="9293" spans="17:17" x14ac:dyDescent="0.25">
      <c r="Q9293" s="8"/>
    </row>
    <row r="9294" spans="17:17" x14ac:dyDescent="0.25">
      <c r="Q9294" s="8"/>
    </row>
    <row r="9295" spans="17:17" x14ac:dyDescent="0.25">
      <c r="Q9295" s="8"/>
    </row>
    <row r="9296" spans="17:17" x14ac:dyDescent="0.25">
      <c r="Q9296" s="8"/>
    </row>
    <row r="9297" spans="17:17" x14ac:dyDescent="0.25">
      <c r="Q9297" s="8"/>
    </row>
    <row r="9298" spans="17:17" x14ac:dyDescent="0.25">
      <c r="Q9298" s="8"/>
    </row>
    <row r="9299" spans="17:17" x14ac:dyDescent="0.25">
      <c r="Q9299" s="8"/>
    </row>
    <row r="9300" spans="17:17" x14ac:dyDescent="0.25">
      <c r="Q9300" s="8"/>
    </row>
    <row r="9301" spans="17:17" x14ac:dyDescent="0.25">
      <c r="Q9301" s="8"/>
    </row>
    <row r="9302" spans="17:17" x14ac:dyDescent="0.25">
      <c r="Q9302" s="8"/>
    </row>
    <row r="9303" spans="17:17" x14ac:dyDescent="0.25">
      <c r="Q9303" s="8"/>
    </row>
    <row r="9304" spans="17:17" x14ac:dyDescent="0.25">
      <c r="Q9304" s="8"/>
    </row>
    <row r="9305" spans="17:17" x14ac:dyDescent="0.25">
      <c r="Q9305" s="8"/>
    </row>
    <row r="9306" spans="17:17" x14ac:dyDescent="0.25">
      <c r="Q9306" s="8"/>
    </row>
    <row r="9307" spans="17:17" x14ac:dyDescent="0.25">
      <c r="Q9307" s="8"/>
    </row>
    <row r="9308" spans="17:17" x14ac:dyDescent="0.25">
      <c r="Q9308" s="8"/>
    </row>
    <row r="9309" spans="17:17" x14ac:dyDescent="0.25">
      <c r="Q9309" s="8"/>
    </row>
    <row r="9310" spans="17:17" x14ac:dyDescent="0.25">
      <c r="Q9310" s="8"/>
    </row>
    <row r="9311" spans="17:17" x14ac:dyDescent="0.25">
      <c r="Q9311" s="8"/>
    </row>
    <row r="9312" spans="17:17" x14ac:dyDescent="0.25">
      <c r="Q9312" s="8"/>
    </row>
    <row r="9313" spans="17:17" x14ac:dyDescent="0.25">
      <c r="Q9313" s="8"/>
    </row>
    <row r="9314" spans="17:17" x14ac:dyDescent="0.25">
      <c r="Q9314" s="8"/>
    </row>
    <row r="9315" spans="17:17" x14ac:dyDescent="0.25">
      <c r="Q9315" s="8"/>
    </row>
    <row r="9316" spans="17:17" x14ac:dyDescent="0.25">
      <c r="Q9316" s="8"/>
    </row>
    <row r="9317" spans="17:17" x14ac:dyDescent="0.25">
      <c r="Q9317" s="8"/>
    </row>
    <row r="9318" spans="17:17" x14ac:dyDescent="0.25">
      <c r="Q9318" s="8"/>
    </row>
    <row r="9319" spans="17:17" x14ac:dyDescent="0.25">
      <c r="Q9319" s="8"/>
    </row>
    <row r="9320" spans="17:17" x14ac:dyDescent="0.25">
      <c r="Q9320" s="8"/>
    </row>
    <row r="9321" spans="17:17" x14ac:dyDescent="0.25">
      <c r="Q9321" s="8"/>
    </row>
    <row r="9322" spans="17:17" x14ac:dyDescent="0.25">
      <c r="Q9322" s="8"/>
    </row>
    <row r="9323" spans="17:17" x14ac:dyDescent="0.25">
      <c r="Q9323" s="8"/>
    </row>
    <row r="9324" spans="17:17" x14ac:dyDescent="0.25">
      <c r="Q9324" s="8"/>
    </row>
    <row r="9325" spans="17:17" x14ac:dyDescent="0.25">
      <c r="Q9325" s="8"/>
    </row>
    <row r="9326" spans="17:17" x14ac:dyDescent="0.25">
      <c r="Q9326" s="8"/>
    </row>
    <row r="9327" spans="17:17" x14ac:dyDescent="0.25">
      <c r="Q9327" s="8"/>
    </row>
    <row r="9328" spans="17:17" x14ac:dyDescent="0.25">
      <c r="Q9328" s="8"/>
    </row>
    <row r="9329" spans="17:17" x14ac:dyDescent="0.25">
      <c r="Q9329" s="8"/>
    </row>
    <row r="9330" spans="17:17" x14ac:dyDescent="0.25">
      <c r="Q9330" s="8"/>
    </row>
    <row r="9331" spans="17:17" x14ac:dyDescent="0.25">
      <c r="Q9331" s="8"/>
    </row>
    <row r="9332" spans="17:17" x14ac:dyDescent="0.25">
      <c r="Q9332" s="8"/>
    </row>
    <row r="9333" spans="17:17" x14ac:dyDescent="0.25">
      <c r="Q9333" s="8"/>
    </row>
    <row r="9334" spans="17:17" x14ac:dyDescent="0.25">
      <c r="Q9334" s="8"/>
    </row>
    <row r="9335" spans="17:17" x14ac:dyDescent="0.25">
      <c r="Q9335" s="8"/>
    </row>
    <row r="9336" spans="17:17" x14ac:dyDescent="0.25">
      <c r="Q9336" s="8"/>
    </row>
    <row r="9337" spans="17:17" x14ac:dyDescent="0.25">
      <c r="Q9337" s="8"/>
    </row>
    <row r="9338" spans="17:17" x14ac:dyDescent="0.25">
      <c r="Q9338" s="8"/>
    </row>
    <row r="9339" spans="17:17" x14ac:dyDescent="0.25">
      <c r="Q9339" s="8"/>
    </row>
    <row r="9340" spans="17:17" x14ac:dyDescent="0.25">
      <c r="Q9340" s="8"/>
    </row>
    <row r="9341" spans="17:17" x14ac:dyDescent="0.25">
      <c r="Q9341" s="8"/>
    </row>
    <row r="9342" spans="17:17" x14ac:dyDescent="0.25">
      <c r="Q9342" s="8"/>
    </row>
    <row r="9343" spans="17:17" x14ac:dyDescent="0.25">
      <c r="Q9343" s="8"/>
    </row>
    <row r="9344" spans="17:17" x14ac:dyDescent="0.25">
      <c r="Q9344" s="8"/>
    </row>
    <row r="9345" spans="17:17" x14ac:dyDescent="0.25">
      <c r="Q9345" s="8"/>
    </row>
    <row r="9346" spans="17:17" x14ac:dyDescent="0.25">
      <c r="Q9346" s="8"/>
    </row>
    <row r="9347" spans="17:17" x14ac:dyDescent="0.25">
      <c r="Q9347" s="8"/>
    </row>
    <row r="9348" spans="17:17" x14ac:dyDescent="0.25">
      <c r="Q9348" s="8"/>
    </row>
    <row r="9349" spans="17:17" x14ac:dyDescent="0.25">
      <c r="Q9349" s="8"/>
    </row>
    <row r="9350" spans="17:17" x14ac:dyDescent="0.25">
      <c r="Q9350" s="8"/>
    </row>
    <row r="9351" spans="17:17" x14ac:dyDescent="0.25">
      <c r="Q9351" s="8"/>
    </row>
    <row r="9352" spans="17:17" x14ac:dyDescent="0.25">
      <c r="Q9352" s="8"/>
    </row>
    <row r="9353" spans="17:17" x14ac:dyDescent="0.25">
      <c r="Q9353" s="8"/>
    </row>
    <row r="9354" spans="17:17" x14ac:dyDescent="0.25">
      <c r="Q9354" s="8"/>
    </row>
    <row r="9355" spans="17:17" x14ac:dyDescent="0.25">
      <c r="Q9355" s="8"/>
    </row>
    <row r="9356" spans="17:17" x14ac:dyDescent="0.25">
      <c r="Q9356" s="8"/>
    </row>
    <row r="9357" spans="17:17" x14ac:dyDescent="0.25">
      <c r="Q9357" s="8"/>
    </row>
    <row r="9358" spans="17:17" x14ac:dyDescent="0.25">
      <c r="Q9358" s="8"/>
    </row>
    <row r="9359" spans="17:17" x14ac:dyDescent="0.25">
      <c r="Q9359" s="8"/>
    </row>
    <row r="9360" spans="17:17" x14ac:dyDescent="0.25">
      <c r="Q9360" s="8"/>
    </row>
    <row r="9361" spans="17:17" x14ac:dyDescent="0.25">
      <c r="Q9361" s="8"/>
    </row>
    <row r="9362" spans="17:17" x14ac:dyDescent="0.25">
      <c r="Q9362" s="8"/>
    </row>
    <row r="9363" spans="17:17" x14ac:dyDescent="0.25">
      <c r="Q9363" s="8"/>
    </row>
    <row r="9364" spans="17:17" x14ac:dyDescent="0.25">
      <c r="Q9364" s="8"/>
    </row>
    <row r="9365" spans="17:17" x14ac:dyDescent="0.25">
      <c r="Q9365" s="8"/>
    </row>
    <row r="9366" spans="17:17" x14ac:dyDescent="0.25">
      <c r="Q9366" s="8"/>
    </row>
    <row r="9367" spans="17:17" x14ac:dyDescent="0.25">
      <c r="Q9367" s="8"/>
    </row>
    <row r="9368" spans="17:17" x14ac:dyDescent="0.25">
      <c r="Q9368" s="8"/>
    </row>
    <row r="9369" spans="17:17" x14ac:dyDescent="0.25">
      <c r="Q9369" s="8"/>
    </row>
    <row r="9370" spans="17:17" x14ac:dyDescent="0.25">
      <c r="Q9370" s="8"/>
    </row>
    <row r="9371" spans="17:17" x14ac:dyDescent="0.25">
      <c r="Q9371" s="8"/>
    </row>
    <row r="9372" spans="17:17" x14ac:dyDescent="0.25">
      <c r="Q9372" s="8"/>
    </row>
    <row r="9373" spans="17:17" x14ac:dyDescent="0.25">
      <c r="Q9373" s="8"/>
    </row>
    <row r="9374" spans="17:17" x14ac:dyDescent="0.25">
      <c r="Q9374" s="8"/>
    </row>
    <row r="9375" spans="17:17" x14ac:dyDescent="0.25">
      <c r="Q9375" s="8"/>
    </row>
    <row r="9376" spans="17:17" x14ac:dyDescent="0.25">
      <c r="Q9376" s="8"/>
    </row>
    <row r="9377" spans="17:17" x14ac:dyDescent="0.25">
      <c r="Q9377" s="8"/>
    </row>
    <row r="9378" spans="17:17" x14ac:dyDescent="0.25">
      <c r="Q9378" s="8"/>
    </row>
    <row r="9379" spans="17:17" x14ac:dyDescent="0.25">
      <c r="Q9379" s="8"/>
    </row>
    <row r="9380" spans="17:17" x14ac:dyDescent="0.25">
      <c r="Q9380" s="8"/>
    </row>
    <row r="9381" spans="17:17" x14ac:dyDescent="0.25">
      <c r="Q9381" s="8"/>
    </row>
    <row r="9382" spans="17:17" x14ac:dyDescent="0.25">
      <c r="Q9382" s="8"/>
    </row>
    <row r="9383" spans="17:17" x14ac:dyDescent="0.25">
      <c r="Q9383" s="8"/>
    </row>
    <row r="9384" spans="17:17" x14ac:dyDescent="0.25">
      <c r="Q9384" s="8"/>
    </row>
    <row r="9385" spans="17:17" x14ac:dyDescent="0.25">
      <c r="Q9385" s="8"/>
    </row>
    <row r="9386" spans="17:17" x14ac:dyDescent="0.25">
      <c r="Q9386" s="8"/>
    </row>
    <row r="9387" spans="17:17" x14ac:dyDescent="0.25">
      <c r="Q9387" s="8"/>
    </row>
    <row r="9388" spans="17:17" x14ac:dyDescent="0.25">
      <c r="Q9388" s="8"/>
    </row>
    <row r="9389" spans="17:17" x14ac:dyDescent="0.25">
      <c r="Q9389" s="8"/>
    </row>
    <row r="9390" spans="17:17" x14ac:dyDescent="0.25">
      <c r="Q9390" s="8"/>
    </row>
    <row r="9391" spans="17:17" x14ac:dyDescent="0.25">
      <c r="Q9391" s="8"/>
    </row>
    <row r="9392" spans="17:17" x14ac:dyDescent="0.25">
      <c r="Q9392" s="8"/>
    </row>
    <row r="9393" spans="17:17" x14ac:dyDescent="0.25">
      <c r="Q9393" s="8"/>
    </row>
    <row r="9394" spans="17:17" x14ac:dyDescent="0.25">
      <c r="Q9394" s="8"/>
    </row>
    <row r="9395" spans="17:17" x14ac:dyDescent="0.25">
      <c r="Q9395" s="8"/>
    </row>
    <row r="9396" spans="17:17" x14ac:dyDescent="0.25">
      <c r="Q9396" s="8"/>
    </row>
    <row r="9397" spans="17:17" x14ac:dyDescent="0.25">
      <c r="Q9397" s="8"/>
    </row>
    <row r="9398" spans="17:17" x14ac:dyDescent="0.25">
      <c r="Q9398" s="8"/>
    </row>
    <row r="9399" spans="17:17" x14ac:dyDescent="0.25">
      <c r="Q9399" s="8"/>
    </row>
    <row r="9400" spans="17:17" x14ac:dyDescent="0.25">
      <c r="Q9400" s="8"/>
    </row>
    <row r="9401" spans="17:17" x14ac:dyDescent="0.25">
      <c r="Q9401" s="8"/>
    </row>
    <row r="9402" spans="17:17" x14ac:dyDescent="0.25">
      <c r="Q9402" s="8"/>
    </row>
    <row r="9403" spans="17:17" x14ac:dyDescent="0.25">
      <c r="Q9403" s="8"/>
    </row>
    <row r="9404" spans="17:17" x14ac:dyDescent="0.25">
      <c r="Q9404" s="8"/>
    </row>
    <row r="9405" spans="17:17" x14ac:dyDescent="0.25">
      <c r="Q9405" s="8"/>
    </row>
    <row r="9406" spans="17:17" x14ac:dyDescent="0.25">
      <c r="Q9406" s="8"/>
    </row>
    <row r="9407" spans="17:17" x14ac:dyDescent="0.25">
      <c r="Q9407" s="8"/>
    </row>
    <row r="9408" spans="17:17" x14ac:dyDescent="0.25">
      <c r="Q9408" s="8"/>
    </row>
    <row r="9409" spans="17:17" x14ac:dyDescent="0.25">
      <c r="Q9409" s="8"/>
    </row>
    <row r="9410" spans="17:17" x14ac:dyDescent="0.25">
      <c r="Q9410" s="8"/>
    </row>
    <row r="9411" spans="17:17" x14ac:dyDescent="0.25">
      <c r="Q9411" s="8"/>
    </row>
    <row r="9412" spans="17:17" x14ac:dyDescent="0.25">
      <c r="Q9412" s="8"/>
    </row>
    <row r="9413" spans="17:17" x14ac:dyDescent="0.25">
      <c r="Q9413" s="8"/>
    </row>
    <row r="9414" spans="17:17" x14ac:dyDescent="0.25">
      <c r="Q9414" s="8"/>
    </row>
    <row r="9415" spans="17:17" x14ac:dyDescent="0.25">
      <c r="Q9415" s="8"/>
    </row>
    <row r="9416" spans="17:17" x14ac:dyDescent="0.25">
      <c r="Q9416" s="8"/>
    </row>
    <row r="9417" spans="17:17" x14ac:dyDescent="0.25">
      <c r="Q9417" s="8"/>
    </row>
    <row r="9418" spans="17:17" x14ac:dyDescent="0.25">
      <c r="Q9418" s="8"/>
    </row>
    <row r="9419" spans="17:17" x14ac:dyDescent="0.25">
      <c r="Q9419" s="8"/>
    </row>
    <row r="9420" spans="17:17" x14ac:dyDescent="0.25">
      <c r="Q9420" s="8"/>
    </row>
    <row r="9421" spans="17:17" x14ac:dyDescent="0.25">
      <c r="Q9421" s="8"/>
    </row>
    <row r="9422" spans="17:17" x14ac:dyDescent="0.25">
      <c r="Q9422" s="8"/>
    </row>
    <row r="9423" spans="17:17" x14ac:dyDescent="0.25">
      <c r="Q9423" s="8"/>
    </row>
    <row r="9424" spans="17:17" x14ac:dyDescent="0.25">
      <c r="Q9424" s="8"/>
    </row>
    <row r="9425" spans="17:17" x14ac:dyDescent="0.25">
      <c r="Q9425" s="8"/>
    </row>
    <row r="9426" spans="17:17" x14ac:dyDescent="0.25">
      <c r="Q9426" s="8"/>
    </row>
    <row r="9427" spans="17:17" x14ac:dyDescent="0.25">
      <c r="Q9427" s="8"/>
    </row>
    <row r="9428" spans="17:17" x14ac:dyDescent="0.25">
      <c r="Q9428" s="8"/>
    </row>
    <row r="9429" spans="17:17" x14ac:dyDescent="0.25">
      <c r="Q9429" s="8"/>
    </row>
    <row r="9430" spans="17:17" x14ac:dyDescent="0.25">
      <c r="Q9430" s="8"/>
    </row>
    <row r="9431" spans="17:17" x14ac:dyDescent="0.25">
      <c r="Q9431" s="8"/>
    </row>
    <row r="9432" spans="17:17" x14ac:dyDescent="0.25">
      <c r="Q9432" s="8"/>
    </row>
    <row r="9433" spans="17:17" x14ac:dyDescent="0.25">
      <c r="Q9433" s="8"/>
    </row>
    <row r="9434" spans="17:17" x14ac:dyDescent="0.25">
      <c r="Q9434" s="8"/>
    </row>
    <row r="9435" spans="17:17" x14ac:dyDescent="0.25">
      <c r="Q9435" s="8"/>
    </row>
    <row r="9436" spans="17:17" x14ac:dyDescent="0.25">
      <c r="Q9436" s="8"/>
    </row>
    <row r="9437" spans="17:17" x14ac:dyDescent="0.25">
      <c r="Q9437" s="8"/>
    </row>
    <row r="9438" spans="17:17" x14ac:dyDescent="0.25">
      <c r="Q9438" s="8"/>
    </row>
    <row r="9439" spans="17:17" x14ac:dyDescent="0.25">
      <c r="Q9439" s="8"/>
    </row>
    <row r="9440" spans="17:17" x14ac:dyDescent="0.25">
      <c r="Q9440" s="8"/>
    </row>
    <row r="9441" spans="17:17" x14ac:dyDescent="0.25">
      <c r="Q9441" s="8"/>
    </row>
    <row r="9442" spans="17:17" x14ac:dyDescent="0.25">
      <c r="Q9442" s="8"/>
    </row>
    <row r="9443" spans="17:17" x14ac:dyDescent="0.25">
      <c r="Q9443" s="8"/>
    </row>
    <row r="9444" spans="17:17" x14ac:dyDescent="0.25">
      <c r="Q9444" s="8"/>
    </row>
    <row r="9445" spans="17:17" x14ac:dyDescent="0.25">
      <c r="Q9445" s="8"/>
    </row>
    <row r="9446" spans="17:17" x14ac:dyDescent="0.25">
      <c r="Q9446" s="8"/>
    </row>
    <row r="9447" spans="17:17" x14ac:dyDescent="0.25">
      <c r="Q9447" s="8"/>
    </row>
    <row r="9448" spans="17:17" x14ac:dyDescent="0.25">
      <c r="Q9448" s="8"/>
    </row>
    <row r="9449" spans="17:17" x14ac:dyDescent="0.25">
      <c r="Q9449" s="8"/>
    </row>
    <row r="9450" spans="17:17" x14ac:dyDescent="0.25">
      <c r="Q9450" s="8"/>
    </row>
    <row r="9451" spans="17:17" x14ac:dyDescent="0.25">
      <c r="Q9451" s="8"/>
    </row>
    <row r="9452" spans="17:17" x14ac:dyDescent="0.25">
      <c r="Q9452" s="8"/>
    </row>
    <row r="9453" spans="17:17" x14ac:dyDescent="0.25">
      <c r="Q9453" s="8"/>
    </row>
    <row r="9454" spans="17:17" x14ac:dyDescent="0.25">
      <c r="Q9454" s="8"/>
    </row>
    <row r="9455" spans="17:17" x14ac:dyDescent="0.25">
      <c r="Q9455" s="8"/>
    </row>
    <row r="9456" spans="17:17" x14ac:dyDescent="0.25">
      <c r="Q9456" s="8"/>
    </row>
    <row r="9457" spans="17:17" x14ac:dyDescent="0.25">
      <c r="Q9457" s="8"/>
    </row>
    <row r="9458" spans="17:17" x14ac:dyDescent="0.25">
      <c r="Q9458" s="8"/>
    </row>
    <row r="9459" spans="17:17" x14ac:dyDescent="0.25">
      <c r="Q9459" s="8"/>
    </row>
    <row r="9460" spans="17:17" x14ac:dyDescent="0.25">
      <c r="Q9460" s="8"/>
    </row>
    <row r="9461" spans="17:17" x14ac:dyDescent="0.25">
      <c r="Q9461" s="8"/>
    </row>
    <row r="9462" spans="17:17" x14ac:dyDescent="0.25">
      <c r="Q9462" s="8"/>
    </row>
    <row r="9463" spans="17:17" x14ac:dyDescent="0.25">
      <c r="Q9463" s="8"/>
    </row>
    <row r="9464" spans="17:17" x14ac:dyDescent="0.25">
      <c r="Q9464" s="8"/>
    </row>
    <row r="9465" spans="17:17" x14ac:dyDescent="0.25">
      <c r="Q9465" s="8"/>
    </row>
    <row r="9466" spans="17:17" x14ac:dyDescent="0.25">
      <c r="Q9466" s="8"/>
    </row>
    <row r="9467" spans="17:17" x14ac:dyDescent="0.25">
      <c r="Q9467" s="8"/>
    </row>
    <row r="9468" spans="17:17" x14ac:dyDescent="0.25">
      <c r="Q9468" s="8"/>
    </row>
    <row r="9469" spans="17:17" x14ac:dyDescent="0.25">
      <c r="Q9469" s="8"/>
    </row>
    <row r="9470" spans="17:17" x14ac:dyDescent="0.25">
      <c r="Q9470" s="8"/>
    </row>
    <row r="9471" spans="17:17" x14ac:dyDescent="0.25">
      <c r="Q9471" s="8"/>
    </row>
    <row r="9472" spans="17:17" x14ac:dyDescent="0.25">
      <c r="Q9472" s="8"/>
    </row>
    <row r="9473" spans="17:17" x14ac:dyDescent="0.25">
      <c r="Q9473" s="8"/>
    </row>
    <row r="9474" spans="17:17" x14ac:dyDescent="0.25">
      <c r="Q9474" s="8"/>
    </row>
    <row r="9475" spans="17:17" x14ac:dyDescent="0.25">
      <c r="Q9475" s="8"/>
    </row>
    <row r="9476" spans="17:17" x14ac:dyDescent="0.25">
      <c r="Q9476" s="8"/>
    </row>
    <row r="9477" spans="17:17" x14ac:dyDescent="0.25">
      <c r="Q9477" s="8"/>
    </row>
    <row r="9478" spans="17:17" x14ac:dyDescent="0.25">
      <c r="Q9478" s="8"/>
    </row>
    <row r="9479" spans="17:17" x14ac:dyDescent="0.25">
      <c r="Q9479" s="8"/>
    </row>
    <row r="9480" spans="17:17" x14ac:dyDescent="0.25">
      <c r="Q9480" s="8"/>
    </row>
    <row r="9481" spans="17:17" x14ac:dyDescent="0.25">
      <c r="Q9481" s="8"/>
    </row>
    <row r="9482" spans="17:17" x14ac:dyDescent="0.25">
      <c r="Q9482" s="8"/>
    </row>
    <row r="9483" spans="17:17" x14ac:dyDescent="0.25">
      <c r="Q9483" s="8"/>
    </row>
    <row r="9484" spans="17:17" x14ac:dyDescent="0.25">
      <c r="Q9484" s="8"/>
    </row>
    <row r="9485" spans="17:17" x14ac:dyDescent="0.25">
      <c r="Q9485" s="8"/>
    </row>
    <row r="9486" spans="17:17" x14ac:dyDescent="0.25">
      <c r="Q9486" s="8"/>
    </row>
    <row r="9487" spans="17:17" x14ac:dyDescent="0.25">
      <c r="Q9487" s="8"/>
    </row>
    <row r="9488" spans="17:17" x14ac:dyDescent="0.25">
      <c r="Q9488" s="8"/>
    </row>
    <row r="9489" spans="17:17" x14ac:dyDescent="0.25">
      <c r="Q9489" s="8"/>
    </row>
    <row r="9490" spans="17:17" x14ac:dyDescent="0.25">
      <c r="Q9490" s="8"/>
    </row>
    <row r="9491" spans="17:17" x14ac:dyDescent="0.25">
      <c r="Q9491" s="8"/>
    </row>
    <row r="9492" spans="17:17" x14ac:dyDescent="0.25">
      <c r="Q9492" s="8"/>
    </row>
    <row r="9493" spans="17:17" x14ac:dyDescent="0.25">
      <c r="Q9493" s="8"/>
    </row>
    <row r="9494" spans="17:17" x14ac:dyDescent="0.25">
      <c r="Q9494" s="8"/>
    </row>
    <row r="9495" spans="17:17" x14ac:dyDescent="0.25">
      <c r="Q9495" s="8"/>
    </row>
    <row r="9496" spans="17:17" x14ac:dyDescent="0.25">
      <c r="Q9496" s="8"/>
    </row>
    <row r="9497" spans="17:17" x14ac:dyDescent="0.25">
      <c r="Q9497" s="8"/>
    </row>
    <row r="9498" spans="17:17" x14ac:dyDescent="0.25">
      <c r="Q9498" s="8"/>
    </row>
    <row r="9499" spans="17:17" x14ac:dyDescent="0.25">
      <c r="Q9499" s="8"/>
    </row>
    <row r="9500" spans="17:17" x14ac:dyDescent="0.25">
      <c r="Q9500" s="8"/>
    </row>
    <row r="9501" spans="17:17" x14ac:dyDescent="0.25">
      <c r="Q9501" s="8"/>
    </row>
    <row r="9502" spans="17:17" x14ac:dyDescent="0.25">
      <c r="Q9502" s="8"/>
    </row>
    <row r="9503" spans="17:17" x14ac:dyDescent="0.25">
      <c r="Q9503" s="8"/>
    </row>
    <row r="9504" spans="17:17" x14ac:dyDescent="0.25">
      <c r="Q9504" s="8"/>
    </row>
    <row r="9505" spans="17:17" x14ac:dyDescent="0.25">
      <c r="Q9505" s="8"/>
    </row>
    <row r="9506" spans="17:17" x14ac:dyDescent="0.25">
      <c r="Q9506" s="8"/>
    </row>
    <row r="9507" spans="17:17" x14ac:dyDescent="0.25">
      <c r="Q9507" s="8"/>
    </row>
    <row r="9508" spans="17:17" x14ac:dyDescent="0.25">
      <c r="Q9508" s="8"/>
    </row>
    <row r="9509" spans="17:17" x14ac:dyDescent="0.25">
      <c r="Q9509" s="8"/>
    </row>
    <row r="9510" spans="17:17" x14ac:dyDescent="0.25">
      <c r="Q9510" s="8"/>
    </row>
    <row r="9511" spans="17:17" x14ac:dyDescent="0.25">
      <c r="Q9511" s="8"/>
    </row>
    <row r="9512" spans="17:17" x14ac:dyDescent="0.25">
      <c r="Q9512" s="8"/>
    </row>
    <row r="9513" spans="17:17" x14ac:dyDescent="0.25">
      <c r="Q9513" s="8"/>
    </row>
    <row r="9514" spans="17:17" x14ac:dyDescent="0.25">
      <c r="Q9514" s="8"/>
    </row>
    <row r="9515" spans="17:17" x14ac:dyDescent="0.25">
      <c r="Q9515" s="8"/>
    </row>
    <row r="9516" spans="17:17" x14ac:dyDescent="0.25">
      <c r="Q9516" s="8"/>
    </row>
    <row r="9517" spans="17:17" x14ac:dyDescent="0.25">
      <c r="Q9517" s="8"/>
    </row>
    <row r="9518" spans="17:17" x14ac:dyDescent="0.25">
      <c r="Q9518" s="8"/>
    </row>
    <row r="9519" spans="17:17" x14ac:dyDescent="0.25">
      <c r="Q9519" s="8"/>
    </row>
    <row r="9520" spans="17:17" x14ac:dyDescent="0.25">
      <c r="Q9520" s="8"/>
    </row>
    <row r="9521" spans="17:17" x14ac:dyDescent="0.25">
      <c r="Q9521" s="8"/>
    </row>
    <row r="9522" spans="17:17" x14ac:dyDescent="0.25">
      <c r="Q9522" s="8"/>
    </row>
    <row r="9523" spans="17:17" x14ac:dyDescent="0.25">
      <c r="Q9523" s="8"/>
    </row>
    <row r="9524" spans="17:17" x14ac:dyDescent="0.25">
      <c r="Q9524" s="8"/>
    </row>
    <row r="9525" spans="17:17" x14ac:dyDescent="0.25">
      <c r="Q9525" s="8"/>
    </row>
    <row r="9526" spans="17:17" x14ac:dyDescent="0.25">
      <c r="Q9526" s="8"/>
    </row>
    <row r="9527" spans="17:17" x14ac:dyDescent="0.25">
      <c r="Q9527" s="8"/>
    </row>
    <row r="9528" spans="17:17" x14ac:dyDescent="0.25">
      <c r="Q9528" s="8"/>
    </row>
    <row r="9529" spans="17:17" x14ac:dyDescent="0.25">
      <c r="Q9529" s="8"/>
    </row>
    <row r="9530" spans="17:17" x14ac:dyDescent="0.25">
      <c r="Q9530" s="8"/>
    </row>
    <row r="9531" spans="17:17" x14ac:dyDescent="0.25">
      <c r="Q9531" s="8"/>
    </row>
    <row r="9532" spans="17:17" x14ac:dyDescent="0.25">
      <c r="Q9532" s="8"/>
    </row>
    <row r="9533" spans="17:17" x14ac:dyDescent="0.25">
      <c r="Q9533" s="8"/>
    </row>
    <row r="9534" spans="17:17" x14ac:dyDescent="0.25">
      <c r="Q9534" s="8"/>
    </row>
    <row r="9535" spans="17:17" x14ac:dyDescent="0.25">
      <c r="Q9535" s="8"/>
    </row>
    <row r="9536" spans="17:17" x14ac:dyDescent="0.25">
      <c r="Q9536" s="8"/>
    </row>
    <row r="9537" spans="17:17" x14ac:dyDescent="0.25">
      <c r="Q9537" s="8"/>
    </row>
    <row r="9538" spans="17:17" x14ac:dyDescent="0.25">
      <c r="Q9538" s="8"/>
    </row>
    <row r="9539" spans="17:17" x14ac:dyDescent="0.25">
      <c r="Q9539" s="8"/>
    </row>
    <row r="9540" spans="17:17" x14ac:dyDescent="0.25">
      <c r="Q9540" s="8"/>
    </row>
    <row r="9541" spans="17:17" x14ac:dyDescent="0.25">
      <c r="Q9541" s="8"/>
    </row>
    <row r="9542" spans="17:17" x14ac:dyDescent="0.25">
      <c r="Q9542" s="8"/>
    </row>
    <row r="9543" spans="17:17" x14ac:dyDescent="0.25">
      <c r="Q9543" s="8"/>
    </row>
    <row r="9544" spans="17:17" x14ac:dyDescent="0.25">
      <c r="Q9544" s="8"/>
    </row>
    <row r="9545" spans="17:17" x14ac:dyDescent="0.25">
      <c r="Q9545" s="8"/>
    </row>
    <row r="9546" spans="17:17" x14ac:dyDescent="0.25">
      <c r="Q9546" s="8"/>
    </row>
    <row r="9547" spans="17:17" x14ac:dyDescent="0.25">
      <c r="Q9547" s="8"/>
    </row>
    <row r="9548" spans="17:17" x14ac:dyDescent="0.25">
      <c r="Q9548" s="8"/>
    </row>
    <row r="9549" spans="17:17" x14ac:dyDescent="0.25">
      <c r="Q9549" s="8"/>
    </row>
    <row r="9550" spans="17:17" x14ac:dyDescent="0.25">
      <c r="Q9550" s="8"/>
    </row>
    <row r="9551" spans="17:17" x14ac:dyDescent="0.25">
      <c r="Q9551" s="8"/>
    </row>
    <row r="9552" spans="17:17" x14ac:dyDescent="0.25">
      <c r="Q9552" s="8"/>
    </row>
    <row r="9553" spans="17:17" x14ac:dyDescent="0.25">
      <c r="Q9553" s="8"/>
    </row>
    <row r="9554" spans="17:17" x14ac:dyDescent="0.25">
      <c r="Q9554" s="8"/>
    </row>
    <row r="9555" spans="17:17" x14ac:dyDescent="0.25">
      <c r="Q9555" s="8"/>
    </row>
    <row r="9556" spans="17:17" x14ac:dyDescent="0.25">
      <c r="Q9556" s="8"/>
    </row>
    <row r="9557" spans="17:17" x14ac:dyDescent="0.25">
      <c r="Q9557" s="8"/>
    </row>
    <row r="9558" spans="17:17" x14ac:dyDescent="0.25">
      <c r="Q9558" s="8"/>
    </row>
    <row r="9559" spans="17:17" x14ac:dyDescent="0.25">
      <c r="Q9559" s="8"/>
    </row>
    <row r="9560" spans="17:17" x14ac:dyDescent="0.25">
      <c r="Q9560" s="8"/>
    </row>
    <row r="9561" spans="17:17" x14ac:dyDescent="0.25">
      <c r="Q9561" s="8"/>
    </row>
    <row r="9562" spans="17:17" x14ac:dyDescent="0.25">
      <c r="Q9562" s="8"/>
    </row>
    <row r="9563" spans="17:17" x14ac:dyDescent="0.25">
      <c r="Q9563" s="8"/>
    </row>
    <row r="9564" spans="17:17" x14ac:dyDescent="0.25">
      <c r="Q9564" s="8"/>
    </row>
    <row r="9565" spans="17:17" x14ac:dyDescent="0.25">
      <c r="Q9565" s="8"/>
    </row>
    <row r="9566" spans="17:17" x14ac:dyDescent="0.25">
      <c r="Q9566" s="8"/>
    </row>
    <row r="9567" spans="17:17" x14ac:dyDescent="0.25">
      <c r="Q9567" s="8"/>
    </row>
    <row r="9568" spans="17:17" x14ac:dyDescent="0.25">
      <c r="Q9568" s="8"/>
    </row>
    <row r="9569" spans="17:17" x14ac:dyDescent="0.25">
      <c r="Q9569" s="8"/>
    </row>
    <row r="9570" spans="17:17" x14ac:dyDescent="0.25">
      <c r="Q9570" s="8"/>
    </row>
    <row r="9571" spans="17:17" x14ac:dyDescent="0.25">
      <c r="Q9571" s="8"/>
    </row>
    <row r="9572" spans="17:17" x14ac:dyDescent="0.25">
      <c r="Q9572" s="8"/>
    </row>
    <row r="9573" spans="17:17" x14ac:dyDescent="0.25">
      <c r="Q9573" s="8"/>
    </row>
    <row r="9574" spans="17:17" x14ac:dyDescent="0.25">
      <c r="Q9574" s="8"/>
    </row>
    <row r="9575" spans="17:17" x14ac:dyDescent="0.25">
      <c r="Q9575" s="8"/>
    </row>
    <row r="9576" spans="17:17" x14ac:dyDescent="0.25">
      <c r="Q9576" s="8"/>
    </row>
    <row r="9577" spans="17:17" x14ac:dyDescent="0.25">
      <c r="Q9577" s="8"/>
    </row>
    <row r="9578" spans="17:17" x14ac:dyDescent="0.25">
      <c r="Q9578" s="8"/>
    </row>
    <row r="9579" spans="17:17" x14ac:dyDescent="0.25">
      <c r="Q9579" s="8"/>
    </row>
    <row r="9580" spans="17:17" x14ac:dyDescent="0.25">
      <c r="Q9580" s="8"/>
    </row>
    <row r="9581" spans="17:17" x14ac:dyDescent="0.25">
      <c r="Q9581" s="8"/>
    </row>
    <row r="9582" spans="17:17" x14ac:dyDescent="0.25">
      <c r="Q9582" s="8"/>
    </row>
    <row r="9583" spans="17:17" x14ac:dyDescent="0.25">
      <c r="Q9583" s="8"/>
    </row>
    <row r="9584" spans="17:17" x14ac:dyDescent="0.25">
      <c r="Q9584" s="8"/>
    </row>
    <row r="9585" spans="17:17" x14ac:dyDescent="0.25">
      <c r="Q9585" s="8"/>
    </row>
    <row r="9586" spans="17:17" x14ac:dyDescent="0.25">
      <c r="Q9586" s="8"/>
    </row>
    <row r="9587" spans="17:17" x14ac:dyDescent="0.25">
      <c r="Q9587" s="8"/>
    </row>
    <row r="9588" spans="17:17" x14ac:dyDescent="0.25">
      <c r="Q9588" s="8"/>
    </row>
    <row r="9589" spans="17:17" x14ac:dyDescent="0.25">
      <c r="Q9589" s="8"/>
    </row>
    <row r="9590" spans="17:17" x14ac:dyDescent="0.25">
      <c r="Q9590" s="8"/>
    </row>
    <row r="9591" spans="17:17" x14ac:dyDescent="0.25">
      <c r="Q9591" s="8"/>
    </row>
    <row r="9592" spans="17:17" x14ac:dyDescent="0.25">
      <c r="Q9592" s="8"/>
    </row>
    <row r="9593" spans="17:17" x14ac:dyDescent="0.25">
      <c r="Q9593" s="8"/>
    </row>
    <row r="9594" spans="17:17" x14ac:dyDescent="0.25">
      <c r="Q9594" s="8"/>
    </row>
    <row r="9595" spans="17:17" x14ac:dyDescent="0.25">
      <c r="Q9595" s="8"/>
    </row>
    <row r="9596" spans="17:17" x14ac:dyDescent="0.25">
      <c r="Q9596" s="8"/>
    </row>
    <row r="9597" spans="17:17" x14ac:dyDescent="0.25">
      <c r="Q9597" s="8"/>
    </row>
    <row r="9598" spans="17:17" x14ac:dyDescent="0.25">
      <c r="Q9598" s="8"/>
    </row>
    <row r="9599" spans="17:17" x14ac:dyDescent="0.25">
      <c r="Q9599" s="8"/>
    </row>
    <row r="9600" spans="17:17" x14ac:dyDescent="0.25">
      <c r="Q9600" s="8"/>
    </row>
    <row r="9601" spans="17:17" x14ac:dyDescent="0.25">
      <c r="Q9601" s="8"/>
    </row>
    <row r="9602" spans="17:17" x14ac:dyDescent="0.25">
      <c r="Q9602" s="8"/>
    </row>
    <row r="9603" spans="17:17" x14ac:dyDescent="0.25">
      <c r="Q9603" s="8"/>
    </row>
    <row r="9604" spans="17:17" x14ac:dyDescent="0.25">
      <c r="Q9604" s="8"/>
    </row>
    <row r="9605" spans="17:17" x14ac:dyDescent="0.25">
      <c r="Q9605" s="8"/>
    </row>
    <row r="9606" spans="17:17" x14ac:dyDescent="0.25">
      <c r="Q9606" s="8"/>
    </row>
    <row r="9607" spans="17:17" x14ac:dyDescent="0.25">
      <c r="Q9607" s="8"/>
    </row>
    <row r="9608" spans="17:17" x14ac:dyDescent="0.25">
      <c r="Q9608" s="8"/>
    </row>
    <row r="9609" spans="17:17" x14ac:dyDescent="0.25">
      <c r="Q9609" s="8"/>
    </row>
    <row r="9610" spans="17:17" x14ac:dyDescent="0.25">
      <c r="Q9610" s="8"/>
    </row>
    <row r="9611" spans="17:17" x14ac:dyDescent="0.25">
      <c r="Q9611" s="8"/>
    </row>
    <row r="9612" spans="17:17" x14ac:dyDescent="0.25">
      <c r="Q9612" s="8"/>
    </row>
    <row r="9613" spans="17:17" x14ac:dyDescent="0.25">
      <c r="Q9613" s="8"/>
    </row>
    <row r="9614" spans="17:17" x14ac:dyDescent="0.25">
      <c r="Q9614" s="8"/>
    </row>
    <row r="9615" spans="17:17" x14ac:dyDescent="0.25">
      <c r="Q9615" s="8"/>
    </row>
    <row r="9616" spans="17:17" x14ac:dyDescent="0.25">
      <c r="Q9616" s="8"/>
    </row>
    <row r="9617" spans="17:17" x14ac:dyDescent="0.25">
      <c r="Q9617" s="8"/>
    </row>
    <row r="9618" spans="17:17" x14ac:dyDescent="0.25">
      <c r="Q9618" s="8"/>
    </row>
    <row r="9619" spans="17:17" x14ac:dyDescent="0.25">
      <c r="Q9619" s="8"/>
    </row>
    <row r="9620" spans="17:17" x14ac:dyDescent="0.25">
      <c r="Q9620" s="8"/>
    </row>
    <row r="9621" spans="17:17" x14ac:dyDescent="0.25">
      <c r="Q9621" s="8"/>
    </row>
    <row r="9622" spans="17:17" x14ac:dyDescent="0.25">
      <c r="Q9622" s="8"/>
    </row>
    <row r="9623" spans="17:17" x14ac:dyDescent="0.25">
      <c r="Q9623" s="8"/>
    </row>
    <row r="9624" spans="17:17" x14ac:dyDescent="0.25">
      <c r="Q9624" s="8"/>
    </row>
    <row r="9625" spans="17:17" x14ac:dyDescent="0.25">
      <c r="Q9625" s="8"/>
    </row>
    <row r="9626" spans="17:17" x14ac:dyDescent="0.25">
      <c r="Q9626" s="8"/>
    </row>
    <row r="9627" spans="17:17" x14ac:dyDescent="0.25">
      <c r="Q9627" s="8"/>
    </row>
    <row r="9628" spans="17:17" x14ac:dyDescent="0.25">
      <c r="Q9628" s="8"/>
    </row>
    <row r="9629" spans="17:17" x14ac:dyDescent="0.25">
      <c r="Q9629" s="8"/>
    </row>
    <row r="9630" spans="17:17" x14ac:dyDescent="0.25">
      <c r="Q9630" s="8"/>
    </row>
    <row r="9631" spans="17:17" x14ac:dyDescent="0.25">
      <c r="Q9631" s="8"/>
    </row>
    <row r="9632" spans="17:17" x14ac:dyDescent="0.25">
      <c r="Q9632" s="8"/>
    </row>
    <row r="9633" spans="17:17" x14ac:dyDescent="0.25">
      <c r="Q9633" s="8"/>
    </row>
    <row r="9634" spans="17:17" x14ac:dyDescent="0.25">
      <c r="Q9634" s="8"/>
    </row>
    <row r="9635" spans="17:17" x14ac:dyDescent="0.25">
      <c r="Q9635" s="8"/>
    </row>
    <row r="9636" spans="17:17" x14ac:dyDescent="0.25">
      <c r="Q9636" s="8"/>
    </row>
    <row r="9637" spans="17:17" x14ac:dyDescent="0.25">
      <c r="Q9637" s="8"/>
    </row>
    <row r="9638" spans="17:17" x14ac:dyDescent="0.25">
      <c r="Q9638" s="8"/>
    </row>
    <row r="9639" spans="17:17" x14ac:dyDescent="0.25">
      <c r="Q9639" s="8"/>
    </row>
    <row r="9640" spans="17:17" x14ac:dyDescent="0.25">
      <c r="Q9640" s="8"/>
    </row>
    <row r="9641" spans="17:17" x14ac:dyDescent="0.25">
      <c r="Q9641" s="8"/>
    </row>
    <row r="9642" spans="17:17" x14ac:dyDescent="0.25">
      <c r="Q9642" s="8"/>
    </row>
    <row r="9643" spans="17:17" x14ac:dyDescent="0.25">
      <c r="Q9643" s="8"/>
    </row>
    <row r="9644" spans="17:17" x14ac:dyDescent="0.25">
      <c r="Q9644" s="8"/>
    </row>
    <row r="9645" spans="17:17" x14ac:dyDescent="0.25">
      <c r="Q9645" s="8"/>
    </row>
    <row r="9646" spans="17:17" x14ac:dyDescent="0.25">
      <c r="Q9646" s="8"/>
    </row>
    <row r="9647" spans="17:17" x14ac:dyDescent="0.25">
      <c r="Q9647" s="8"/>
    </row>
    <row r="9648" spans="17:17" x14ac:dyDescent="0.25">
      <c r="Q9648" s="8"/>
    </row>
    <row r="9649" spans="17:17" x14ac:dyDescent="0.25">
      <c r="Q9649" s="8"/>
    </row>
    <row r="9650" spans="17:17" x14ac:dyDescent="0.25">
      <c r="Q9650" s="8"/>
    </row>
    <row r="9651" spans="17:17" x14ac:dyDescent="0.25">
      <c r="Q9651" s="8"/>
    </row>
    <row r="9652" spans="17:17" x14ac:dyDescent="0.25">
      <c r="Q9652" s="8"/>
    </row>
    <row r="9653" spans="17:17" x14ac:dyDescent="0.25">
      <c r="Q9653" s="8"/>
    </row>
    <row r="9654" spans="17:17" x14ac:dyDescent="0.25">
      <c r="Q9654" s="8"/>
    </row>
    <row r="9655" spans="17:17" x14ac:dyDescent="0.25">
      <c r="Q9655" s="8"/>
    </row>
    <row r="9656" spans="17:17" x14ac:dyDescent="0.25">
      <c r="Q9656" s="8"/>
    </row>
    <row r="9657" spans="17:17" x14ac:dyDescent="0.25">
      <c r="Q9657" s="8"/>
    </row>
    <row r="9658" spans="17:17" x14ac:dyDescent="0.25">
      <c r="Q9658" s="8"/>
    </row>
    <row r="9659" spans="17:17" x14ac:dyDescent="0.25">
      <c r="Q9659" s="8"/>
    </row>
    <row r="9660" spans="17:17" x14ac:dyDescent="0.25">
      <c r="Q9660" s="8"/>
    </row>
    <row r="9661" spans="17:17" x14ac:dyDescent="0.25">
      <c r="Q9661" s="8"/>
    </row>
    <row r="9662" spans="17:17" x14ac:dyDescent="0.25">
      <c r="Q9662" s="8"/>
    </row>
    <row r="9663" spans="17:17" x14ac:dyDescent="0.25">
      <c r="Q9663" s="8"/>
    </row>
    <row r="9664" spans="17:17" x14ac:dyDescent="0.25">
      <c r="Q9664" s="8"/>
    </row>
    <row r="9665" spans="17:17" x14ac:dyDescent="0.25">
      <c r="Q9665" s="8"/>
    </row>
    <row r="9666" spans="17:17" x14ac:dyDescent="0.25">
      <c r="Q9666" s="8"/>
    </row>
    <row r="9667" spans="17:17" x14ac:dyDescent="0.25">
      <c r="Q9667" s="8"/>
    </row>
    <row r="9668" spans="17:17" x14ac:dyDescent="0.25">
      <c r="Q9668" s="8"/>
    </row>
    <row r="9669" spans="17:17" x14ac:dyDescent="0.25">
      <c r="Q9669" s="8"/>
    </row>
    <row r="9670" spans="17:17" x14ac:dyDescent="0.25">
      <c r="Q9670" s="8"/>
    </row>
    <row r="9671" spans="17:17" x14ac:dyDescent="0.25">
      <c r="Q9671" s="8"/>
    </row>
    <row r="9672" spans="17:17" x14ac:dyDescent="0.25">
      <c r="Q9672" s="8"/>
    </row>
    <row r="9673" spans="17:17" x14ac:dyDescent="0.25">
      <c r="Q9673" s="8"/>
    </row>
    <row r="9674" spans="17:17" x14ac:dyDescent="0.25">
      <c r="Q9674" s="8"/>
    </row>
    <row r="9675" spans="17:17" x14ac:dyDescent="0.25">
      <c r="Q9675" s="8"/>
    </row>
    <row r="9676" spans="17:17" x14ac:dyDescent="0.25">
      <c r="Q9676" s="8"/>
    </row>
    <row r="9677" spans="17:17" x14ac:dyDescent="0.25">
      <c r="Q9677" s="8"/>
    </row>
    <row r="9678" spans="17:17" x14ac:dyDescent="0.25">
      <c r="Q9678" s="8"/>
    </row>
    <row r="9679" spans="17:17" x14ac:dyDescent="0.25">
      <c r="Q9679" s="8"/>
    </row>
    <row r="9680" spans="17:17" x14ac:dyDescent="0.25">
      <c r="Q9680" s="8"/>
    </row>
    <row r="9681" spans="17:17" x14ac:dyDescent="0.25">
      <c r="Q9681" s="8"/>
    </row>
    <row r="9682" spans="17:17" x14ac:dyDescent="0.25">
      <c r="Q9682" s="8"/>
    </row>
    <row r="9683" spans="17:17" x14ac:dyDescent="0.25">
      <c r="Q9683" s="8"/>
    </row>
    <row r="9684" spans="17:17" x14ac:dyDescent="0.25">
      <c r="Q9684" s="8"/>
    </row>
    <row r="9685" spans="17:17" x14ac:dyDescent="0.25">
      <c r="Q9685" s="8"/>
    </row>
    <row r="9686" spans="17:17" x14ac:dyDescent="0.25">
      <c r="Q9686" s="8"/>
    </row>
    <row r="9687" spans="17:17" x14ac:dyDescent="0.25">
      <c r="Q9687" s="8"/>
    </row>
    <row r="9688" spans="17:17" x14ac:dyDescent="0.25">
      <c r="Q9688" s="8"/>
    </row>
    <row r="9689" spans="17:17" x14ac:dyDescent="0.25">
      <c r="Q9689" s="8"/>
    </row>
    <row r="9690" spans="17:17" x14ac:dyDescent="0.25">
      <c r="Q9690" s="8"/>
    </row>
    <row r="9691" spans="17:17" x14ac:dyDescent="0.25">
      <c r="Q9691" s="8"/>
    </row>
    <row r="9692" spans="17:17" x14ac:dyDescent="0.25">
      <c r="Q9692" s="8"/>
    </row>
    <row r="9693" spans="17:17" x14ac:dyDescent="0.25">
      <c r="Q9693" s="8"/>
    </row>
    <row r="9694" spans="17:17" x14ac:dyDescent="0.25">
      <c r="Q9694" s="8"/>
    </row>
    <row r="9695" spans="17:17" x14ac:dyDescent="0.25">
      <c r="Q9695" s="8"/>
    </row>
    <row r="9696" spans="17:17" x14ac:dyDescent="0.25">
      <c r="Q9696" s="8"/>
    </row>
    <row r="9697" spans="17:17" x14ac:dyDescent="0.25">
      <c r="Q9697" s="8"/>
    </row>
    <row r="9698" spans="17:17" x14ac:dyDescent="0.25">
      <c r="Q9698" s="8"/>
    </row>
    <row r="9699" spans="17:17" x14ac:dyDescent="0.25">
      <c r="Q9699" s="8"/>
    </row>
    <row r="9700" spans="17:17" x14ac:dyDescent="0.25">
      <c r="Q9700" s="8"/>
    </row>
    <row r="9701" spans="17:17" x14ac:dyDescent="0.25">
      <c r="Q9701" s="8"/>
    </row>
    <row r="9702" spans="17:17" x14ac:dyDescent="0.25">
      <c r="Q9702" s="8"/>
    </row>
    <row r="9703" spans="17:17" x14ac:dyDescent="0.25">
      <c r="Q9703" s="8"/>
    </row>
    <row r="9704" spans="17:17" x14ac:dyDescent="0.25">
      <c r="Q9704" s="8"/>
    </row>
    <row r="9705" spans="17:17" x14ac:dyDescent="0.25">
      <c r="Q9705" s="8"/>
    </row>
    <row r="9706" spans="17:17" x14ac:dyDescent="0.25">
      <c r="Q9706" s="8"/>
    </row>
    <row r="9707" spans="17:17" x14ac:dyDescent="0.25">
      <c r="Q9707" s="8"/>
    </row>
    <row r="9708" spans="17:17" x14ac:dyDescent="0.25">
      <c r="Q9708" s="8"/>
    </row>
    <row r="9709" spans="17:17" x14ac:dyDescent="0.25">
      <c r="Q9709" s="8"/>
    </row>
    <row r="9710" spans="17:17" x14ac:dyDescent="0.25">
      <c r="Q9710" s="8"/>
    </row>
    <row r="9711" spans="17:17" x14ac:dyDescent="0.25">
      <c r="Q9711" s="8"/>
    </row>
    <row r="9712" spans="17:17" x14ac:dyDescent="0.25">
      <c r="Q9712" s="8"/>
    </row>
    <row r="9713" spans="17:17" x14ac:dyDescent="0.25">
      <c r="Q9713" s="8"/>
    </row>
    <row r="9714" spans="17:17" x14ac:dyDescent="0.25">
      <c r="Q9714" s="8"/>
    </row>
    <row r="9715" spans="17:17" x14ac:dyDescent="0.25">
      <c r="Q9715" s="8"/>
    </row>
    <row r="9716" spans="17:17" x14ac:dyDescent="0.25">
      <c r="Q9716" s="8"/>
    </row>
    <row r="9717" spans="17:17" x14ac:dyDescent="0.25">
      <c r="Q9717" s="8"/>
    </row>
    <row r="9718" spans="17:17" x14ac:dyDescent="0.25">
      <c r="Q9718" s="8"/>
    </row>
    <row r="9719" spans="17:17" x14ac:dyDescent="0.25">
      <c r="Q9719" s="8"/>
    </row>
    <row r="9720" spans="17:17" x14ac:dyDescent="0.25">
      <c r="Q9720" s="8"/>
    </row>
    <row r="9721" spans="17:17" x14ac:dyDescent="0.25">
      <c r="Q9721" s="8"/>
    </row>
    <row r="9722" spans="17:17" x14ac:dyDescent="0.25">
      <c r="Q9722" s="8"/>
    </row>
    <row r="9723" spans="17:17" x14ac:dyDescent="0.25">
      <c r="Q9723" s="8"/>
    </row>
    <row r="9724" spans="17:17" x14ac:dyDescent="0.25">
      <c r="Q9724" s="8"/>
    </row>
    <row r="9725" spans="17:17" x14ac:dyDescent="0.25">
      <c r="Q9725" s="8"/>
    </row>
    <row r="9726" spans="17:17" x14ac:dyDescent="0.25">
      <c r="Q9726" s="8"/>
    </row>
    <row r="9727" spans="17:17" x14ac:dyDescent="0.25">
      <c r="Q9727" s="8"/>
    </row>
    <row r="9728" spans="17:17" x14ac:dyDescent="0.25">
      <c r="Q9728" s="8"/>
    </row>
    <row r="9729" spans="17:17" x14ac:dyDescent="0.25">
      <c r="Q9729" s="8"/>
    </row>
    <row r="9730" spans="17:17" x14ac:dyDescent="0.25">
      <c r="Q9730" s="8"/>
    </row>
    <row r="9731" spans="17:17" x14ac:dyDescent="0.25">
      <c r="Q9731" s="8"/>
    </row>
    <row r="9732" spans="17:17" x14ac:dyDescent="0.25">
      <c r="Q9732" s="8"/>
    </row>
    <row r="9733" spans="17:17" x14ac:dyDescent="0.25">
      <c r="Q9733" s="8"/>
    </row>
    <row r="9734" spans="17:17" x14ac:dyDescent="0.25">
      <c r="Q9734" s="8"/>
    </row>
    <row r="9735" spans="17:17" x14ac:dyDescent="0.25">
      <c r="Q9735" s="8"/>
    </row>
    <row r="9736" spans="17:17" x14ac:dyDescent="0.25">
      <c r="Q9736" s="8"/>
    </row>
    <row r="9737" spans="17:17" x14ac:dyDescent="0.25">
      <c r="Q9737" s="8"/>
    </row>
    <row r="9738" spans="17:17" x14ac:dyDescent="0.25">
      <c r="Q9738" s="8"/>
    </row>
    <row r="9739" spans="17:17" x14ac:dyDescent="0.25">
      <c r="Q9739" s="8"/>
    </row>
    <row r="9740" spans="17:17" x14ac:dyDescent="0.25">
      <c r="Q9740" s="8"/>
    </row>
    <row r="9741" spans="17:17" x14ac:dyDescent="0.25">
      <c r="Q9741" s="8"/>
    </row>
    <row r="9742" spans="17:17" x14ac:dyDescent="0.25">
      <c r="Q9742" s="8"/>
    </row>
    <row r="9743" spans="17:17" x14ac:dyDescent="0.25">
      <c r="Q9743" s="8"/>
    </row>
    <row r="9744" spans="17:17" x14ac:dyDescent="0.25">
      <c r="Q9744" s="8"/>
    </row>
    <row r="9745" spans="17:17" x14ac:dyDescent="0.25">
      <c r="Q9745" s="8"/>
    </row>
    <row r="9746" spans="17:17" x14ac:dyDescent="0.25">
      <c r="Q9746" s="8"/>
    </row>
    <row r="9747" spans="17:17" x14ac:dyDescent="0.25">
      <c r="Q9747" s="8"/>
    </row>
    <row r="9748" spans="17:17" x14ac:dyDescent="0.25">
      <c r="Q9748" s="8"/>
    </row>
    <row r="9749" spans="17:17" x14ac:dyDescent="0.25">
      <c r="Q9749" s="8"/>
    </row>
    <row r="9750" spans="17:17" x14ac:dyDescent="0.25">
      <c r="Q9750" s="8"/>
    </row>
    <row r="9751" spans="17:17" x14ac:dyDescent="0.25">
      <c r="Q9751" s="8"/>
    </row>
    <row r="9752" spans="17:17" x14ac:dyDescent="0.25">
      <c r="Q9752" s="8"/>
    </row>
    <row r="9753" spans="17:17" x14ac:dyDescent="0.25">
      <c r="Q9753" s="8"/>
    </row>
    <row r="9754" spans="17:17" x14ac:dyDescent="0.25">
      <c r="Q9754" s="8"/>
    </row>
    <row r="9755" spans="17:17" x14ac:dyDescent="0.25">
      <c r="Q9755" s="8"/>
    </row>
    <row r="9756" spans="17:17" x14ac:dyDescent="0.25">
      <c r="Q9756" s="8"/>
    </row>
    <row r="9757" spans="17:17" x14ac:dyDescent="0.25">
      <c r="Q9757" s="8"/>
    </row>
    <row r="9758" spans="17:17" x14ac:dyDescent="0.25">
      <c r="Q9758" s="8"/>
    </row>
    <row r="9759" spans="17:17" x14ac:dyDescent="0.25">
      <c r="Q9759" s="8"/>
    </row>
    <row r="9760" spans="17:17" x14ac:dyDescent="0.25">
      <c r="Q9760" s="8"/>
    </row>
    <row r="9761" spans="17:17" x14ac:dyDescent="0.25">
      <c r="Q9761" s="8"/>
    </row>
    <row r="9762" spans="17:17" x14ac:dyDescent="0.25">
      <c r="Q9762" s="8"/>
    </row>
    <row r="9763" spans="17:17" x14ac:dyDescent="0.25">
      <c r="Q9763" s="8"/>
    </row>
    <row r="9764" spans="17:17" x14ac:dyDescent="0.25">
      <c r="Q9764" s="8"/>
    </row>
    <row r="9765" spans="17:17" x14ac:dyDescent="0.25">
      <c r="Q9765" s="8"/>
    </row>
    <row r="9766" spans="17:17" x14ac:dyDescent="0.25">
      <c r="Q9766" s="8"/>
    </row>
    <row r="9767" spans="17:17" x14ac:dyDescent="0.25">
      <c r="Q9767" s="8"/>
    </row>
    <row r="9768" spans="17:17" x14ac:dyDescent="0.25">
      <c r="Q9768" s="8"/>
    </row>
    <row r="9769" spans="17:17" x14ac:dyDescent="0.25">
      <c r="Q9769" s="8"/>
    </row>
    <row r="9770" spans="17:17" x14ac:dyDescent="0.25">
      <c r="Q9770" s="8"/>
    </row>
    <row r="9771" spans="17:17" x14ac:dyDescent="0.25">
      <c r="Q9771" s="8"/>
    </row>
    <row r="9772" spans="17:17" x14ac:dyDescent="0.25">
      <c r="Q9772" s="8"/>
    </row>
    <row r="9773" spans="17:17" x14ac:dyDescent="0.25">
      <c r="Q9773" s="8"/>
    </row>
    <row r="9774" spans="17:17" x14ac:dyDescent="0.25">
      <c r="Q9774" s="8"/>
    </row>
    <row r="9775" spans="17:17" x14ac:dyDescent="0.25">
      <c r="Q9775" s="8"/>
    </row>
    <row r="9776" spans="17:17" x14ac:dyDescent="0.25">
      <c r="Q9776" s="8"/>
    </row>
    <row r="9777" spans="17:17" x14ac:dyDescent="0.25">
      <c r="Q9777" s="8"/>
    </row>
    <row r="9778" spans="17:17" x14ac:dyDescent="0.25">
      <c r="Q9778" s="8"/>
    </row>
    <row r="9779" spans="17:17" x14ac:dyDescent="0.25">
      <c r="Q9779" s="8"/>
    </row>
    <row r="9780" spans="17:17" x14ac:dyDescent="0.25">
      <c r="Q9780" s="8"/>
    </row>
    <row r="9781" spans="17:17" x14ac:dyDescent="0.25">
      <c r="Q9781" s="8"/>
    </row>
    <row r="9782" spans="17:17" x14ac:dyDescent="0.25">
      <c r="Q9782" s="8"/>
    </row>
    <row r="9783" spans="17:17" x14ac:dyDescent="0.25">
      <c r="Q9783" s="8"/>
    </row>
    <row r="9784" spans="17:17" x14ac:dyDescent="0.25">
      <c r="Q9784" s="8"/>
    </row>
    <row r="9785" spans="17:17" x14ac:dyDescent="0.25">
      <c r="Q9785" s="8"/>
    </row>
    <row r="9786" spans="17:17" x14ac:dyDescent="0.25">
      <c r="Q9786" s="8"/>
    </row>
    <row r="9787" spans="17:17" x14ac:dyDescent="0.25">
      <c r="Q9787" s="8"/>
    </row>
    <row r="9788" spans="17:17" x14ac:dyDescent="0.25">
      <c r="Q9788" s="8"/>
    </row>
    <row r="9789" spans="17:17" x14ac:dyDescent="0.25">
      <c r="Q9789" s="8"/>
    </row>
    <row r="9790" spans="17:17" x14ac:dyDescent="0.25">
      <c r="Q9790" s="8"/>
    </row>
    <row r="9791" spans="17:17" x14ac:dyDescent="0.25">
      <c r="Q9791" s="8"/>
    </row>
    <row r="9792" spans="17:17" x14ac:dyDescent="0.25">
      <c r="Q9792" s="8"/>
    </row>
    <row r="9793" spans="17:17" x14ac:dyDescent="0.25">
      <c r="Q9793" s="8"/>
    </row>
    <row r="9794" spans="17:17" x14ac:dyDescent="0.25">
      <c r="Q9794" s="8"/>
    </row>
    <row r="9795" spans="17:17" x14ac:dyDescent="0.25">
      <c r="Q9795" s="8"/>
    </row>
    <row r="9796" spans="17:17" x14ac:dyDescent="0.25">
      <c r="Q9796" s="8"/>
    </row>
    <row r="9797" spans="17:17" x14ac:dyDescent="0.25">
      <c r="Q9797" s="8"/>
    </row>
    <row r="9798" spans="17:17" x14ac:dyDescent="0.25">
      <c r="Q9798" s="8"/>
    </row>
    <row r="9799" spans="17:17" x14ac:dyDescent="0.25">
      <c r="Q9799" s="8"/>
    </row>
    <row r="9800" spans="17:17" x14ac:dyDescent="0.25">
      <c r="Q9800" s="8"/>
    </row>
    <row r="9801" spans="17:17" x14ac:dyDescent="0.25">
      <c r="Q9801" s="8"/>
    </row>
    <row r="9802" spans="17:17" x14ac:dyDescent="0.25">
      <c r="Q9802" s="8"/>
    </row>
    <row r="9803" spans="17:17" x14ac:dyDescent="0.25">
      <c r="Q9803" s="8"/>
    </row>
    <row r="9804" spans="17:17" x14ac:dyDescent="0.25">
      <c r="Q9804" s="8"/>
    </row>
    <row r="9805" spans="17:17" x14ac:dyDescent="0.25">
      <c r="Q9805" s="8"/>
    </row>
    <row r="9806" spans="17:17" x14ac:dyDescent="0.25">
      <c r="Q9806" s="8"/>
    </row>
    <row r="9807" spans="17:17" x14ac:dyDescent="0.25">
      <c r="Q9807" s="8"/>
    </row>
    <row r="9808" spans="17:17" x14ac:dyDescent="0.25">
      <c r="Q9808" s="8"/>
    </row>
    <row r="9809" spans="17:17" x14ac:dyDescent="0.25">
      <c r="Q9809" s="8"/>
    </row>
    <row r="9810" spans="17:17" x14ac:dyDescent="0.25">
      <c r="Q9810" s="8"/>
    </row>
    <row r="9811" spans="17:17" x14ac:dyDescent="0.25">
      <c r="Q9811" s="8"/>
    </row>
    <row r="9812" spans="17:17" x14ac:dyDescent="0.25">
      <c r="Q9812" s="8"/>
    </row>
    <row r="9813" spans="17:17" x14ac:dyDescent="0.25">
      <c r="Q9813" s="8"/>
    </row>
    <row r="9814" spans="17:17" x14ac:dyDescent="0.25">
      <c r="Q9814" s="8"/>
    </row>
    <row r="9815" spans="17:17" x14ac:dyDescent="0.25">
      <c r="Q9815" s="8"/>
    </row>
    <row r="9816" spans="17:17" x14ac:dyDescent="0.25">
      <c r="Q9816" s="8"/>
    </row>
    <row r="9817" spans="17:17" x14ac:dyDescent="0.25">
      <c r="Q9817" s="8"/>
    </row>
    <row r="9818" spans="17:17" x14ac:dyDescent="0.25">
      <c r="Q9818" s="8"/>
    </row>
    <row r="9819" spans="17:17" x14ac:dyDescent="0.25">
      <c r="Q9819" s="8"/>
    </row>
    <row r="9820" spans="17:17" x14ac:dyDescent="0.25">
      <c r="Q9820" s="8"/>
    </row>
    <row r="9821" spans="17:17" x14ac:dyDescent="0.25">
      <c r="Q9821" s="8"/>
    </row>
    <row r="9822" spans="17:17" x14ac:dyDescent="0.25">
      <c r="Q9822" s="8"/>
    </row>
    <row r="9823" spans="17:17" x14ac:dyDescent="0.25">
      <c r="Q9823" s="8"/>
    </row>
    <row r="9824" spans="17:17" x14ac:dyDescent="0.25">
      <c r="Q9824" s="8"/>
    </row>
    <row r="9825" spans="17:17" x14ac:dyDescent="0.25">
      <c r="Q9825" s="8"/>
    </row>
    <row r="9826" spans="17:17" x14ac:dyDescent="0.25">
      <c r="Q9826" s="8"/>
    </row>
    <row r="9827" spans="17:17" x14ac:dyDescent="0.25">
      <c r="Q9827" s="8"/>
    </row>
    <row r="9828" spans="17:17" x14ac:dyDescent="0.25">
      <c r="Q9828" s="8"/>
    </row>
    <row r="9829" spans="17:17" x14ac:dyDescent="0.25">
      <c r="Q9829" s="8"/>
    </row>
    <row r="9830" spans="17:17" x14ac:dyDescent="0.25">
      <c r="Q9830" s="8"/>
    </row>
    <row r="9831" spans="17:17" x14ac:dyDescent="0.25">
      <c r="Q9831" s="8"/>
    </row>
    <row r="9832" spans="17:17" x14ac:dyDescent="0.25">
      <c r="Q9832" s="8"/>
    </row>
    <row r="9833" spans="17:17" x14ac:dyDescent="0.25">
      <c r="Q9833" s="8"/>
    </row>
    <row r="9834" spans="17:17" x14ac:dyDescent="0.25">
      <c r="Q9834" s="8"/>
    </row>
    <row r="9835" spans="17:17" x14ac:dyDescent="0.25">
      <c r="Q9835" s="8"/>
    </row>
    <row r="9836" spans="17:17" x14ac:dyDescent="0.25">
      <c r="Q9836" s="8"/>
    </row>
    <row r="9837" spans="17:17" x14ac:dyDescent="0.25">
      <c r="Q9837" s="8"/>
    </row>
    <row r="9838" spans="17:17" x14ac:dyDescent="0.25">
      <c r="Q9838" s="8"/>
    </row>
    <row r="9839" spans="17:17" x14ac:dyDescent="0.25">
      <c r="Q9839" s="8"/>
    </row>
    <row r="9840" spans="17:17" x14ac:dyDescent="0.25">
      <c r="Q9840" s="8"/>
    </row>
    <row r="9841" spans="17:17" x14ac:dyDescent="0.25">
      <c r="Q9841" s="8"/>
    </row>
    <row r="9842" spans="17:17" x14ac:dyDescent="0.25">
      <c r="Q9842" s="8"/>
    </row>
    <row r="9843" spans="17:17" x14ac:dyDescent="0.25">
      <c r="Q9843" s="8"/>
    </row>
    <row r="9844" spans="17:17" x14ac:dyDescent="0.25">
      <c r="Q9844" s="8"/>
    </row>
    <row r="9845" spans="17:17" x14ac:dyDescent="0.25">
      <c r="Q9845" s="8"/>
    </row>
    <row r="9846" spans="17:17" x14ac:dyDescent="0.25">
      <c r="Q9846" s="8"/>
    </row>
    <row r="9847" spans="17:17" x14ac:dyDescent="0.25">
      <c r="Q9847" s="8"/>
    </row>
    <row r="9848" spans="17:17" x14ac:dyDescent="0.25">
      <c r="Q9848" s="8"/>
    </row>
    <row r="9849" spans="17:17" x14ac:dyDescent="0.25">
      <c r="Q9849" s="8"/>
    </row>
    <row r="9850" spans="17:17" x14ac:dyDescent="0.25">
      <c r="Q9850" s="8"/>
    </row>
    <row r="9851" spans="17:17" x14ac:dyDescent="0.25">
      <c r="Q9851" s="8"/>
    </row>
    <row r="9852" spans="17:17" x14ac:dyDescent="0.25">
      <c r="Q9852" s="8"/>
    </row>
    <row r="9853" spans="17:17" x14ac:dyDescent="0.25">
      <c r="Q9853" s="8"/>
    </row>
    <row r="9854" spans="17:17" x14ac:dyDescent="0.25">
      <c r="Q9854" s="8"/>
    </row>
    <row r="9855" spans="17:17" x14ac:dyDescent="0.25">
      <c r="Q9855" s="8"/>
    </row>
    <row r="9856" spans="17:17" x14ac:dyDescent="0.25">
      <c r="Q9856" s="8"/>
    </row>
    <row r="9857" spans="17:17" x14ac:dyDescent="0.25">
      <c r="Q9857" s="8"/>
    </row>
    <row r="9858" spans="17:17" x14ac:dyDescent="0.25">
      <c r="Q9858" s="8"/>
    </row>
    <row r="9859" spans="17:17" x14ac:dyDescent="0.25">
      <c r="Q9859" s="8"/>
    </row>
    <row r="9860" spans="17:17" x14ac:dyDescent="0.25">
      <c r="Q9860" s="8"/>
    </row>
    <row r="9861" spans="17:17" x14ac:dyDescent="0.25">
      <c r="Q9861" s="8"/>
    </row>
    <row r="9862" spans="17:17" x14ac:dyDescent="0.25">
      <c r="Q9862" s="8"/>
    </row>
    <row r="9863" spans="17:17" x14ac:dyDescent="0.25">
      <c r="Q9863" s="8"/>
    </row>
    <row r="9864" spans="17:17" x14ac:dyDescent="0.25">
      <c r="Q9864" s="8"/>
    </row>
    <row r="9865" spans="17:17" x14ac:dyDescent="0.25">
      <c r="Q9865" s="8"/>
    </row>
    <row r="9866" spans="17:17" x14ac:dyDescent="0.25">
      <c r="Q9866" s="8"/>
    </row>
    <row r="9867" spans="17:17" x14ac:dyDescent="0.25">
      <c r="Q9867" s="8"/>
    </row>
    <row r="9868" spans="17:17" x14ac:dyDescent="0.25">
      <c r="Q9868" s="8"/>
    </row>
    <row r="9869" spans="17:17" x14ac:dyDescent="0.25">
      <c r="Q9869" s="8"/>
    </row>
    <row r="9870" spans="17:17" x14ac:dyDescent="0.25">
      <c r="Q9870" s="8"/>
    </row>
    <row r="9871" spans="17:17" x14ac:dyDescent="0.25">
      <c r="Q9871" s="8"/>
    </row>
    <row r="9872" spans="17:17" x14ac:dyDescent="0.25">
      <c r="Q9872" s="8"/>
    </row>
    <row r="9873" spans="17:17" x14ac:dyDescent="0.25">
      <c r="Q9873" s="8"/>
    </row>
    <row r="9874" spans="17:17" x14ac:dyDescent="0.25">
      <c r="Q9874" s="8"/>
    </row>
    <row r="9875" spans="17:17" x14ac:dyDescent="0.25">
      <c r="Q9875" s="8"/>
    </row>
    <row r="9876" spans="17:17" x14ac:dyDescent="0.25">
      <c r="Q9876" s="8"/>
    </row>
    <row r="9877" spans="17:17" x14ac:dyDescent="0.25">
      <c r="Q9877" s="8"/>
    </row>
    <row r="9878" spans="17:17" x14ac:dyDescent="0.25">
      <c r="Q9878" s="8"/>
    </row>
    <row r="9879" spans="17:17" x14ac:dyDescent="0.25">
      <c r="Q9879" s="8"/>
    </row>
    <row r="9880" spans="17:17" x14ac:dyDescent="0.25">
      <c r="Q9880" s="8"/>
    </row>
    <row r="9881" spans="17:17" x14ac:dyDescent="0.25">
      <c r="Q9881" s="8"/>
    </row>
    <row r="9882" spans="17:17" x14ac:dyDescent="0.25">
      <c r="Q9882" s="8"/>
    </row>
    <row r="9883" spans="17:17" x14ac:dyDescent="0.25">
      <c r="Q9883" s="8"/>
    </row>
    <row r="9884" spans="17:17" x14ac:dyDescent="0.25">
      <c r="Q9884" s="8"/>
    </row>
    <row r="9885" spans="17:17" x14ac:dyDescent="0.25">
      <c r="Q9885" s="8"/>
    </row>
    <row r="9886" spans="17:17" x14ac:dyDescent="0.25">
      <c r="Q9886" s="8"/>
    </row>
    <row r="9887" spans="17:17" x14ac:dyDescent="0.25">
      <c r="Q9887" s="8"/>
    </row>
    <row r="9888" spans="17:17" x14ac:dyDescent="0.25">
      <c r="Q9888" s="8"/>
    </row>
    <row r="9889" spans="17:17" x14ac:dyDescent="0.25">
      <c r="Q9889" s="8"/>
    </row>
    <row r="9890" spans="17:17" x14ac:dyDescent="0.25">
      <c r="Q9890" s="8"/>
    </row>
    <row r="9891" spans="17:17" x14ac:dyDescent="0.25">
      <c r="Q9891" s="8"/>
    </row>
    <row r="9892" spans="17:17" x14ac:dyDescent="0.25">
      <c r="Q9892" s="8"/>
    </row>
    <row r="9893" spans="17:17" x14ac:dyDescent="0.25">
      <c r="Q9893" s="8"/>
    </row>
    <row r="9894" spans="17:17" x14ac:dyDescent="0.25">
      <c r="Q9894" s="8"/>
    </row>
    <row r="9895" spans="17:17" x14ac:dyDescent="0.25">
      <c r="Q9895" s="8"/>
    </row>
    <row r="9896" spans="17:17" x14ac:dyDescent="0.25">
      <c r="Q9896" s="8"/>
    </row>
    <row r="9897" spans="17:17" x14ac:dyDescent="0.25">
      <c r="Q9897" s="8"/>
    </row>
    <row r="9898" spans="17:17" x14ac:dyDescent="0.25">
      <c r="Q9898" s="8"/>
    </row>
    <row r="9899" spans="17:17" x14ac:dyDescent="0.25">
      <c r="Q9899" s="8"/>
    </row>
    <row r="9900" spans="17:17" x14ac:dyDescent="0.25">
      <c r="Q9900" s="8"/>
    </row>
    <row r="9901" spans="17:17" x14ac:dyDescent="0.25">
      <c r="Q9901" s="8"/>
    </row>
    <row r="9902" spans="17:17" x14ac:dyDescent="0.25">
      <c r="Q9902" s="8"/>
    </row>
    <row r="9903" spans="17:17" x14ac:dyDescent="0.25">
      <c r="Q9903" s="8"/>
    </row>
    <row r="9904" spans="17:17" x14ac:dyDescent="0.25">
      <c r="Q9904" s="8"/>
    </row>
    <row r="9905" spans="17:17" x14ac:dyDescent="0.25">
      <c r="Q9905" s="8"/>
    </row>
    <row r="9906" spans="17:17" x14ac:dyDescent="0.25">
      <c r="Q9906" s="8"/>
    </row>
    <row r="9907" spans="17:17" x14ac:dyDescent="0.25">
      <c r="Q9907" s="8"/>
    </row>
    <row r="9908" spans="17:17" x14ac:dyDescent="0.25">
      <c r="Q9908" s="8"/>
    </row>
    <row r="9909" spans="17:17" x14ac:dyDescent="0.25">
      <c r="Q9909" s="8"/>
    </row>
    <row r="9910" spans="17:17" x14ac:dyDescent="0.25">
      <c r="Q9910" s="8"/>
    </row>
    <row r="9911" spans="17:17" x14ac:dyDescent="0.25">
      <c r="Q9911" s="8"/>
    </row>
    <row r="9912" spans="17:17" x14ac:dyDescent="0.25">
      <c r="Q9912" s="8"/>
    </row>
    <row r="9913" spans="17:17" x14ac:dyDescent="0.25">
      <c r="Q9913" s="8"/>
    </row>
    <row r="9914" spans="17:17" x14ac:dyDescent="0.25">
      <c r="Q9914" s="8"/>
    </row>
    <row r="9915" spans="17:17" x14ac:dyDescent="0.25">
      <c r="Q9915" s="8"/>
    </row>
    <row r="9916" spans="17:17" x14ac:dyDescent="0.25">
      <c r="Q9916" s="8"/>
    </row>
    <row r="9917" spans="17:17" x14ac:dyDescent="0.25">
      <c r="Q9917" s="8"/>
    </row>
    <row r="9918" spans="17:17" x14ac:dyDescent="0.25">
      <c r="Q9918" s="8"/>
    </row>
    <row r="9919" spans="17:17" x14ac:dyDescent="0.25">
      <c r="Q9919" s="8"/>
    </row>
    <row r="9920" spans="17:17" x14ac:dyDescent="0.25">
      <c r="Q9920" s="8"/>
    </row>
    <row r="9921" spans="17:17" x14ac:dyDescent="0.25">
      <c r="Q9921" s="8"/>
    </row>
    <row r="9922" spans="17:17" x14ac:dyDescent="0.25">
      <c r="Q9922" s="8"/>
    </row>
    <row r="9923" spans="17:17" x14ac:dyDescent="0.25">
      <c r="Q9923" s="8"/>
    </row>
    <row r="9924" spans="17:17" x14ac:dyDescent="0.25">
      <c r="Q9924" s="8"/>
    </row>
    <row r="9925" spans="17:17" x14ac:dyDescent="0.25">
      <c r="Q9925" s="8"/>
    </row>
    <row r="9926" spans="17:17" x14ac:dyDescent="0.25">
      <c r="Q9926" s="8"/>
    </row>
    <row r="9927" spans="17:17" x14ac:dyDescent="0.25">
      <c r="Q9927" s="8"/>
    </row>
    <row r="9928" spans="17:17" x14ac:dyDescent="0.25">
      <c r="Q9928" s="8"/>
    </row>
    <row r="9929" spans="17:17" x14ac:dyDescent="0.25">
      <c r="Q9929" s="8"/>
    </row>
    <row r="9930" spans="17:17" x14ac:dyDescent="0.25">
      <c r="Q9930" s="8"/>
    </row>
    <row r="9931" spans="17:17" x14ac:dyDescent="0.25">
      <c r="Q9931" s="8"/>
    </row>
    <row r="9932" spans="17:17" x14ac:dyDescent="0.25">
      <c r="Q9932" s="8"/>
    </row>
    <row r="9933" spans="17:17" x14ac:dyDescent="0.25">
      <c r="Q9933" s="8"/>
    </row>
    <row r="9934" spans="17:17" x14ac:dyDescent="0.25">
      <c r="Q9934" s="8"/>
    </row>
    <row r="9935" spans="17:17" x14ac:dyDescent="0.25">
      <c r="Q9935" s="8"/>
    </row>
    <row r="9936" spans="17:17" x14ac:dyDescent="0.25">
      <c r="Q9936" s="8"/>
    </row>
    <row r="9937" spans="17:17" x14ac:dyDescent="0.25">
      <c r="Q9937" s="8"/>
    </row>
    <row r="9938" spans="17:17" x14ac:dyDescent="0.25">
      <c r="Q9938" s="8"/>
    </row>
    <row r="9939" spans="17:17" x14ac:dyDescent="0.25">
      <c r="Q9939" s="8"/>
    </row>
    <row r="9940" spans="17:17" x14ac:dyDescent="0.25">
      <c r="Q9940" s="8"/>
    </row>
    <row r="9941" spans="17:17" x14ac:dyDescent="0.25">
      <c r="Q9941" s="8"/>
    </row>
    <row r="9942" spans="17:17" x14ac:dyDescent="0.25">
      <c r="Q9942" s="8"/>
    </row>
    <row r="9943" spans="17:17" x14ac:dyDescent="0.25">
      <c r="Q9943" s="8"/>
    </row>
    <row r="9944" spans="17:17" x14ac:dyDescent="0.25">
      <c r="Q9944" s="8"/>
    </row>
    <row r="9945" spans="17:17" x14ac:dyDescent="0.25">
      <c r="Q9945" s="8"/>
    </row>
    <row r="9946" spans="17:17" x14ac:dyDescent="0.25">
      <c r="Q9946" s="8"/>
    </row>
    <row r="9947" spans="17:17" x14ac:dyDescent="0.25">
      <c r="Q9947" s="8"/>
    </row>
    <row r="9948" spans="17:17" x14ac:dyDescent="0.25">
      <c r="Q9948" s="8"/>
    </row>
    <row r="9949" spans="17:17" x14ac:dyDescent="0.25">
      <c r="Q9949" s="8"/>
    </row>
    <row r="9950" spans="17:17" x14ac:dyDescent="0.25">
      <c r="Q9950" s="8"/>
    </row>
    <row r="9951" spans="17:17" x14ac:dyDescent="0.25">
      <c r="Q9951" s="8"/>
    </row>
    <row r="9952" spans="17:17" x14ac:dyDescent="0.25">
      <c r="Q9952" s="8"/>
    </row>
    <row r="9953" spans="17:17" x14ac:dyDescent="0.25">
      <c r="Q9953" s="8"/>
    </row>
    <row r="9954" spans="17:17" x14ac:dyDescent="0.25">
      <c r="Q9954" s="8"/>
    </row>
    <row r="9955" spans="17:17" x14ac:dyDescent="0.25">
      <c r="Q9955" s="8"/>
    </row>
    <row r="9956" spans="17:17" x14ac:dyDescent="0.25">
      <c r="Q9956" s="8"/>
    </row>
    <row r="9957" spans="17:17" x14ac:dyDescent="0.25">
      <c r="Q9957" s="8"/>
    </row>
    <row r="9958" spans="17:17" x14ac:dyDescent="0.25">
      <c r="Q9958" s="8"/>
    </row>
    <row r="9959" spans="17:17" x14ac:dyDescent="0.25">
      <c r="Q9959" s="8"/>
    </row>
    <row r="9960" spans="17:17" x14ac:dyDescent="0.25">
      <c r="Q9960" s="8"/>
    </row>
    <row r="9961" spans="17:17" x14ac:dyDescent="0.25">
      <c r="Q9961" s="8"/>
    </row>
    <row r="9962" spans="17:17" x14ac:dyDescent="0.25">
      <c r="Q9962" s="8"/>
    </row>
    <row r="9963" spans="17:17" x14ac:dyDescent="0.25">
      <c r="Q9963" s="8"/>
    </row>
    <row r="9964" spans="17:17" x14ac:dyDescent="0.25">
      <c r="Q9964" s="8"/>
    </row>
    <row r="9965" spans="17:17" x14ac:dyDescent="0.25">
      <c r="Q9965" s="8"/>
    </row>
    <row r="9966" spans="17:17" x14ac:dyDescent="0.25">
      <c r="Q9966" s="8"/>
    </row>
    <row r="9967" spans="17:17" x14ac:dyDescent="0.25">
      <c r="Q9967" s="8"/>
    </row>
    <row r="9968" spans="17:17" x14ac:dyDescent="0.25">
      <c r="Q9968" s="8"/>
    </row>
    <row r="9969" spans="17:17" x14ac:dyDescent="0.25">
      <c r="Q9969" s="8"/>
    </row>
    <row r="9970" spans="17:17" x14ac:dyDescent="0.25">
      <c r="Q9970" s="8"/>
    </row>
    <row r="9971" spans="17:17" x14ac:dyDescent="0.25">
      <c r="Q9971" s="8"/>
    </row>
    <row r="9972" spans="17:17" x14ac:dyDescent="0.25">
      <c r="Q9972" s="8"/>
    </row>
    <row r="9973" spans="17:17" x14ac:dyDescent="0.25">
      <c r="Q9973" s="8"/>
    </row>
    <row r="9974" spans="17:17" x14ac:dyDescent="0.25">
      <c r="Q9974" s="8"/>
    </row>
    <row r="9975" spans="17:17" x14ac:dyDescent="0.25">
      <c r="Q9975" s="8"/>
    </row>
    <row r="9976" spans="17:17" x14ac:dyDescent="0.25">
      <c r="Q9976" s="8"/>
    </row>
    <row r="9977" spans="17:17" x14ac:dyDescent="0.25">
      <c r="Q9977" s="8"/>
    </row>
    <row r="9978" spans="17:17" x14ac:dyDescent="0.25">
      <c r="Q9978" s="8"/>
    </row>
    <row r="9979" spans="17:17" x14ac:dyDescent="0.25">
      <c r="Q9979" s="8"/>
    </row>
    <row r="9980" spans="17:17" x14ac:dyDescent="0.25">
      <c r="Q9980" s="8"/>
    </row>
    <row r="9981" spans="17:17" x14ac:dyDescent="0.25">
      <c r="Q9981" s="8"/>
    </row>
    <row r="9982" spans="17:17" x14ac:dyDescent="0.25">
      <c r="Q9982" s="8"/>
    </row>
    <row r="9983" spans="17:17" x14ac:dyDescent="0.25">
      <c r="Q9983" s="8"/>
    </row>
    <row r="9984" spans="17:17" x14ac:dyDescent="0.25">
      <c r="Q9984" s="8"/>
    </row>
    <row r="9985" spans="17:17" x14ac:dyDescent="0.25">
      <c r="Q9985" s="8"/>
    </row>
    <row r="9986" spans="17:17" x14ac:dyDescent="0.25">
      <c r="Q9986" s="8"/>
    </row>
    <row r="9987" spans="17:17" x14ac:dyDescent="0.25">
      <c r="Q9987" s="8"/>
    </row>
    <row r="9988" spans="17:17" x14ac:dyDescent="0.25">
      <c r="Q9988" s="8"/>
    </row>
    <row r="9989" spans="17:17" x14ac:dyDescent="0.25">
      <c r="Q9989" s="8"/>
    </row>
    <row r="9990" spans="17:17" x14ac:dyDescent="0.25">
      <c r="Q9990" s="8"/>
    </row>
    <row r="9991" spans="17:17" x14ac:dyDescent="0.25">
      <c r="Q9991" s="8"/>
    </row>
    <row r="9992" spans="17:17" x14ac:dyDescent="0.25">
      <c r="Q9992" s="8"/>
    </row>
    <row r="9993" spans="17:17" x14ac:dyDescent="0.25">
      <c r="Q9993" s="8"/>
    </row>
    <row r="9994" spans="17:17" x14ac:dyDescent="0.25">
      <c r="Q9994" s="8"/>
    </row>
    <row r="9995" spans="17:17" x14ac:dyDescent="0.25">
      <c r="Q9995" s="8"/>
    </row>
    <row r="9996" spans="17:17" x14ac:dyDescent="0.25">
      <c r="Q9996" s="8"/>
    </row>
    <row r="9997" spans="17:17" x14ac:dyDescent="0.25">
      <c r="Q9997" s="8"/>
    </row>
    <row r="9998" spans="17:17" x14ac:dyDescent="0.25">
      <c r="Q9998" s="8"/>
    </row>
    <row r="9999" spans="17:17" x14ac:dyDescent="0.25">
      <c r="Q9999" s="8"/>
    </row>
    <row r="10000" spans="17:17" x14ac:dyDescent="0.25">
      <c r="Q10000" s="8"/>
    </row>
    <row r="10001" spans="17:17" x14ac:dyDescent="0.25">
      <c r="Q10001" s="8"/>
    </row>
    <row r="10002" spans="17:17" x14ac:dyDescent="0.25">
      <c r="Q10002" s="8"/>
    </row>
    <row r="10003" spans="17:17" x14ac:dyDescent="0.25">
      <c r="Q10003" s="8"/>
    </row>
    <row r="10004" spans="17:17" x14ac:dyDescent="0.25">
      <c r="Q10004" s="8"/>
    </row>
    <row r="10005" spans="17:17" x14ac:dyDescent="0.25">
      <c r="Q10005" s="8"/>
    </row>
    <row r="10006" spans="17:17" x14ac:dyDescent="0.25">
      <c r="Q10006" s="8"/>
    </row>
    <row r="10007" spans="17:17" x14ac:dyDescent="0.25">
      <c r="Q10007" s="8"/>
    </row>
    <row r="10008" spans="17:17" x14ac:dyDescent="0.25">
      <c r="Q10008" s="8"/>
    </row>
    <row r="10009" spans="17:17" x14ac:dyDescent="0.25">
      <c r="Q10009" s="8"/>
    </row>
    <row r="10010" spans="17:17" x14ac:dyDescent="0.25">
      <c r="Q10010" s="8"/>
    </row>
    <row r="10011" spans="17:17" x14ac:dyDescent="0.25">
      <c r="Q10011" s="8"/>
    </row>
    <row r="10012" spans="17:17" x14ac:dyDescent="0.25">
      <c r="Q10012" s="8"/>
    </row>
    <row r="10013" spans="17:17" x14ac:dyDescent="0.25">
      <c r="Q10013" s="8"/>
    </row>
    <row r="10014" spans="17:17" x14ac:dyDescent="0.25">
      <c r="Q10014" s="8"/>
    </row>
    <row r="10015" spans="17:17" x14ac:dyDescent="0.25">
      <c r="Q10015" s="8"/>
    </row>
    <row r="10016" spans="17:17" x14ac:dyDescent="0.25">
      <c r="Q10016" s="8"/>
    </row>
    <row r="10017" spans="17:17" x14ac:dyDescent="0.25">
      <c r="Q10017" s="8"/>
    </row>
    <row r="10018" spans="17:17" x14ac:dyDescent="0.25">
      <c r="Q10018" s="8"/>
    </row>
    <row r="10019" spans="17:17" x14ac:dyDescent="0.25">
      <c r="Q10019" s="8"/>
    </row>
    <row r="10020" spans="17:17" x14ac:dyDescent="0.25">
      <c r="Q10020" s="8"/>
    </row>
    <row r="10021" spans="17:17" x14ac:dyDescent="0.25">
      <c r="Q10021" s="8"/>
    </row>
    <row r="10022" spans="17:17" x14ac:dyDescent="0.25">
      <c r="Q10022" s="8"/>
    </row>
    <row r="10023" spans="17:17" x14ac:dyDescent="0.25">
      <c r="Q10023" s="8"/>
    </row>
    <row r="10024" spans="17:17" x14ac:dyDescent="0.25">
      <c r="Q10024" s="8"/>
    </row>
    <row r="10025" spans="17:17" x14ac:dyDescent="0.25">
      <c r="Q10025" s="8"/>
    </row>
    <row r="10026" spans="17:17" x14ac:dyDescent="0.25">
      <c r="Q10026" s="8"/>
    </row>
    <row r="10027" spans="17:17" x14ac:dyDescent="0.25">
      <c r="Q10027" s="8"/>
    </row>
    <row r="10028" spans="17:17" x14ac:dyDescent="0.25">
      <c r="Q10028" s="8"/>
    </row>
    <row r="10029" spans="17:17" x14ac:dyDescent="0.25">
      <c r="Q10029" s="8"/>
    </row>
    <row r="10030" spans="17:17" x14ac:dyDescent="0.25">
      <c r="Q10030" s="8"/>
    </row>
    <row r="10031" spans="17:17" x14ac:dyDescent="0.25">
      <c r="Q10031" s="8"/>
    </row>
    <row r="10032" spans="17:17" x14ac:dyDescent="0.25">
      <c r="Q10032" s="8"/>
    </row>
    <row r="10033" spans="17:17" x14ac:dyDescent="0.25">
      <c r="Q10033" s="8"/>
    </row>
    <row r="10034" spans="17:17" x14ac:dyDescent="0.25">
      <c r="Q10034" s="8"/>
    </row>
    <row r="10035" spans="17:17" x14ac:dyDescent="0.25">
      <c r="Q10035" s="8"/>
    </row>
    <row r="10036" spans="17:17" x14ac:dyDescent="0.25">
      <c r="Q10036" s="8"/>
    </row>
    <row r="10037" spans="17:17" x14ac:dyDescent="0.25">
      <c r="Q10037" s="8"/>
    </row>
    <row r="10038" spans="17:17" x14ac:dyDescent="0.25">
      <c r="Q10038" s="8"/>
    </row>
    <row r="10039" spans="17:17" x14ac:dyDescent="0.25">
      <c r="Q10039" s="8"/>
    </row>
    <row r="10040" spans="17:17" x14ac:dyDescent="0.25">
      <c r="Q10040" s="8"/>
    </row>
    <row r="10041" spans="17:17" x14ac:dyDescent="0.25">
      <c r="Q10041" s="8"/>
    </row>
    <row r="10042" spans="17:17" x14ac:dyDescent="0.25">
      <c r="Q10042" s="8"/>
    </row>
    <row r="10043" spans="17:17" x14ac:dyDescent="0.25">
      <c r="Q10043" s="8"/>
    </row>
    <row r="10044" spans="17:17" x14ac:dyDescent="0.25">
      <c r="Q10044" s="8"/>
    </row>
    <row r="10045" spans="17:17" x14ac:dyDescent="0.25">
      <c r="Q10045" s="8"/>
    </row>
    <row r="10046" spans="17:17" x14ac:dyDescent="0.25">
      <c r="Q10046" s="8"/>
    </row>
    <row r="10047" spans="17:17" x14ac:dyDescent="0.25">
      <c r="Q10047" s="8"/>
    </row>
    <row r="10048" spans="17:17" x14ac:dyDescent="0.25">
      <c r="Q10048" s="8"/>
    </row>
    <row r="10049" spans="17:17" x14ac:dyDescent="0.25">
      <c r="Q10049" s="8"/>
    </row>
    <row r="10050" spans="17:17" x14ac:dyDescent="0.25">
      <c r="Q10050" s="8"/>
    </row>
    <row r="10051" spans="17:17" x14ac:dyDescent="0.25">
      <c r="Q10051" s="8"/>
    </row>
    <row r="10052" spans="17:17" x14ac:dyDescent="0.25">
      <c r="Q10052" s="8"/>
    </row>
    <row r="10053" spans="17:17" x14ac:dyDescent="0.25">
      <c r="Q10053" s="8"/>
    </row>
    <row r="10054" spans="17:17" x14ac:dyDescent="0.25">
      <c r="Q10054" s="8"/>
    </row>
    <row r="10055" spans="17:17" x14ac:dyDescent="0.25">
      <c r="Q10055" s="8"/>
    </row>
    <row r="10056" spans="17:17" x14ac:dyDescent="0.25">
      <c r="Q10056" s="8"/>
    </row>
    <row r="10057" spans="17:17" x14ac:dyDescent="0.25">
      <c r="Q10057" s="8"/>
    </row>
    <row r="10058" spans="17:17" x14ac:dyDescent="0.25">
      <c r="Q10058" s="8"/>
    </row>
    <row r="10059" spans="17:17" x14ac:dyDescent="0.25">
      <c r="Q10059" s="8"/>
    </row>
    <row r="10060" spans="17:17" x14ac:dyDescent="0.25">
      <c r="Q10060" s="8"/>
    </row>
    <row r="10061" spans="17:17" x14ac:dyDescent="0.25">
      <c r="Q10061" s="8"/>
    </row>
    <row r="10062" spans="17:17" x14ac:dyDescent="0.25">
      <c r="Q10062" s="8"/>
    </row>
    <row r="10063" spans="17:17" x14ac:dyDescent="0.25">
      <c r="Q10063" s="8"/>
    </row>
    <row r="10064" spans="17:17" x14ac:dyDescent="0.25">
      <c r="Q10064" s="8"/>
    </row>
    <row r="10065" spans="17:17" x14ac:dyDescent="0.25">
      <c r="Q10065" s="8"/>
    </row>
    <row r="10066" spans="17:17" x14ac:dyDescent="0.25">
      <c r="Q10066" s="8"/>
    </row>
    <row r="10067" spans="17:17" x14ac:dyDescent="0.25">
      <c r="Q10067" s="8"/>
    </row>
    <row r="10068" spans="17:17" x14ac:dyDescent="0.25">
      <c r="Q10068" s="8"/>
    </row>
    <row r="10069" spans="17:17" x14ac:dyDescent="0.25">
      <c r="Q10069" s="8"/>
    </row>
    <row r="10070" spans="17:17" x14ac:dyDescent="0.25">
      <c r="Q10070" s="8"/>
    </row>
    <row r="10071" spans="17:17" x14ac:dyDescent="0.25">
      <c r="Q10071" s="8"/>
    </row>
    <row r="10072" spans="17:17" x14ac:dyDescent="0.25">
      <c r="Q10072" s="8"/>
    </row>
    <row r="10073" spans="17:17" x14ac:dyDescent="0.25">
      <c r="Q10073" s="8"/>
    </row>
    <row r="10074" spans="17:17" x14ac:dyDescent="0.25">
      <c r="Q10074" s="8"/>
    </row>
    <row r="10075" spans="17:17" x14ac:dyDescent="0.25">
      <c r="Q10075" s="8"/>
    </row>
    <row r="10076" spans="17:17" x14ac:dyDescent="0.25">
      <c r="Q10076" s="8"/>
    </row>
    <row r="10077" spans="17:17" x14ac:dyDescent="0.25">
      <c r="Q10077" s="8"/>
    </row>
    <row r="10078" spans="17:17" x14ac:dyDescent="0.25">
      <c r="Q10078" s="8"/>
    </row>
    <row r="10079" spans="17:17" x14ac:dyDescent="0.25">
      <c r="Q10079" s="8"/>
    </row>
    <row r="10080" spans="17:17" x14ac:dyDescent="0.25">
      <c r="Q10080" s="8"/>
    </row>
    <row r="10081" spans="17:17" x14ac:dyDescent="0.25">
      <c r="Q10081" s="8"/>
    </row>
    <row r="10082" spans="17:17" x14ac:dyDescent="0.25">
      <c r="Q10082" s="8"/>
    </row>
    <row r="10083" spans="17:17" x14ac:dyDescent="0.25">
      <c r="Q10083" s="8"/>
    </row>
    <row r="10084" spans="17:17" x14ac:dyDescent="0.25">
      <c r="Q10084" s="8"/>
    </row>
    <row r="10085" spans="17:17" x14ac:dyDescent="0.25">
      <c r="Q10085" s="8"/>
    </row>
    <row r="10086" spans="17:17" x14ac:dyDescent="0.25">
      <c r="Q10086" s="8"/>
    </row>
    <row r="10087" spans="17:17" x14ac:dyDescent="0.25">
      <c r="Q10087" s="8"/>
    </row>
    <row r="10088" spans="17:17" x14ac:dyDescent="0.25">
      <c r="Q10088" s="8"/>
    </row>
    <row r="10089" spans="17:17" x14ac:dyDescent="0.25">
      <c r="Q10089" s="8"/>
    </row>
    <row r="10090" spans="17:17" x14ac:dyDescent="0.25">
      <c r="Q10090" s="8"/>
    </row>
    <row r="10091" spans="17:17" x14ac:dyDescent="0.25">
      <c r="Q10091" s="8"/>
    </row>
    <row r="10092" spans="17:17" x14ac:dyDescent="0.25">
      <c r="Q10092" s="8"/>
    </row>
    <row r="10093" spans="17:17" x14ac:dyDescent="0.25">
      <c r="Q10093" s="8"/>
    </row>
    <row r="10094" spans="17:17" x14ac:dyDescent="0.25">
      <c r="Q10094" s="8"/>
    </row>
    <row r="10095" spans="17:17" x14ac:dyDescent="0.25">
      <c r="Q10095" s="8"/>
    </row>
    <row r="10096" spans="17:17" x14ac:dyDescent="0.25">
      <c r="Q10096" s="8"/>
    </row>
    <row r="10097" spans="17:17" x14ac:dyDescent="0.25">
      <c r="Q10097" s="8"/>
    </row>
    <row r="10098" spans="17:17" x14ac:dyDescent="0.25">
      <c r="Q10098" s="8"/>
    </row>
    <row r="10099" spans="17:17" x14ac:dyDescent="0.25">
      <c r="Q10099" s="8"/>
    </row>
    <row r="10100" spans="17:17" x14ac:dyDescent="0.25">
      <c r="Q10100" s="8"/>
    </row>
    <row r="10101" spans="17:17" x14ac:dyDescent="0.25">
      <c r="Q10101" s="8"/>
    </row>
    <row r="10102" spans="17:17" x14ac:dyDescent="0.25">
      <c r="Q10102" s="8"/>
    </row>
    <row r="10103" spans="17:17" x14ac:dyDescent="0.25">
      <c r="Q10103" s="8"/>
    </row>
    <row r="10104" spans="17:17" x14ac:dyDescent="0.25">
      <c r="Q10104" s="8"/>
    </row>
    <row r="10105" spans="17:17" x14ac:dyDescent="0.25">
      <c r="Q10105" s="8"/>
    </row>
    <row r="10106" spans="17:17" x14ac:dyDescent="0.25">
      <c r="Q10106" s="8"/>
    </row>
    <row r="10107" spans="17:17" x14ac:dyDescent="0.25">
      <c r="Q10107" s="8"/>
    </row>
    <row r="10108" spans="17:17" x14ac:dyDescent="0.25">
      <c r="Q10108" s="8"/>
    </row>
    <row r="10109" spans="17:17" x14ac:dyDescent="0.25">
      <c r="Q10109" s="8"/>
    </row>
    <row r="10110" spans="17:17" x14ac:dyDescent="0.25">
      <c r="Q10110" s="8"/>
    </row>
    <row r="10111" spans="17:17" x14ac:dyDescent="0.25">
      <c r="Q10111" s="8"/>
    </row>
    <row r="10112" spans="17:17" x14ac:dyDescent="0.25">
      <c r="Q10112" s="8"/>
    </row>
    <row r="10113" spans="17:17" x14ac:dyDescent="0.25">
      <c r="Q10113" s="8"/>
    </row>
    <row r="10114" spans="17:17" x14ac:dyDescent="0.25">
      <c r="Q10114" s="8"/>
    </row>
    <row r="10115" spans="17:17" x14ac:dyDescent="0.25">
      <c r="Q10115" s="8"/>
    </row>
    <row r="10116" spans="17:17" x14ac:dyDescent="0.25">
      <c r="Q10116" s="8"/>
    </row>
    <row r="10117" spans="17:17" x14ac:dyDescent="0.25">
      <c r="Q10117" s="8"/>
    </row>
    <row r="10118" spans="17:17" x14ac:dyDescent="0.25">
      <c r="Q10118" s="8"/>
    </row>
    <row r="10119" spans="17:17" x14ac:dyDescent="0.25">
      <c r="Q10119" s="8"/>
    </row>
    <row r="10120" spans="17:17" x14ac:dyDescent="0.25">
      <c r="Q10120" s="8"/>
    </row>
    <row r="10121" spans="17:17" x14ac:dyDescent="0.25">
      <c r="Q10121" s="8"/>
    </row>
    <row r="10122" spans="17:17" x14ac:dyDescent="0.25">
      <c r="Q10122" s="8"/>
    </row>
    <row r="10123" spans="17:17" x14ac:dyDescent="0.25">
      <c r="Q10123" s="8"/>
    </row>
    <row r="10124" spans="17:17" x14ac:dyDescent="0.25">
      <c r="Q10124" s="8"/>
    </row>
    <row r="10125" spans="17:17" x14ac:dyDescent="0.25">
      <c r="Q10125" s="8"/>
    </row>
    <row r="10126" spans="17:17" x14ac:dyDescent="0.25">
      <c r="Q10126" s="8"/>
    </row>
    <row r="10127" spans="17:17" x14ac:dyDescent="0.25">
      <c r="Q10127" s="8"/>
    </row>
    <row r="10128" spans="17:17" x14ac:dyDescent="0.25">
      <c r="Q10128" s="8"/>
    </row>
    <row r="10129" spans="17:17" x14ac:dyDescent="0.25">
      <c r="Q10129" s="8"/>
    </row>
    <row r="10130" spans="17:17" x14ac:dyDescent="0.25">
      <c r="Q10130" s="8"/>
    </row>
    <row r="10131" spans="17:17" x14ac:dyDescent="0.25">
      <c r="Q10131" s="8"/>
    </row>
    <row r="10132" spans="17:17" x14ac:dyDescent="0.25">
      <c r="Q10132" s="8"/>
    </row>
    <row r="10133" spans="17:17" x14ac:dyDescent="0.25">
      <c r="Q10133" s="8"/>
    </row>
    <row r="10134" spans="17:17" x14ac:dyDescent="0.25">
      <c r="Q10134" s="8"/>
    </row>
    <row r="10135" spans="17:17" x14ac:dyDescent="0.25">
      <c r="Q10135" s="8"/>
    </row>
    <row r="10136" spans="17:17" x14ac:dyDescent="0.25">
      <c r="Q10136" s="8"/>
    </row>
    <row r="10137" spans="17:17" x14ac:dyDescent="0.25">
      <c r="Q10137" s="8"/>
    </row>
    <row r="10138" spans="17:17" x14ac:dyDescent="0.25">
      <c r="Q10138" s="8"/>
    </row>
    <row r="10139" spans="17:17" x14ac:dyDescent="0.25">
      <c r="Q10139" s="8"/>
    </row>
    <row r="10140" spans="17:17" x14ac:dyDescent="0.25">
      <c r="Q10140" s="8"/>
    </row>
    <row r="10141" spans="17:17" x14ac:dyDescent="0.25">
      <c r="Q10141" s="8"/>
    </row>
    <row r="10142" spans="17:17" x14ac:dyDescent="0.25">
      <c r="Q10142" s="8"/>
    </row>
    <row r="10143" spans="17:17" x14ac:dyDescent="0.25">
      <c r="Q10143" s="8"/>
    </row>
    <row r="10144" spans="17:17" x14ac:dyDescent="0.25">
      <c r="Q10144" s="8"/>
    </row>
    <row r="10145" spans="17:17" x14ac:dyDescent="0.25">
      <c r="Q10145" s="8"/>
    </row>
    <row r="10146" spans="17:17" x14ac:dyDescent="0.25">
      <c r="Q10146" s="8"/>
    </row>
    <row r="10147" spans="17:17" x14ac:dyDescent="0.25">
      <c r="Q10147" s="8"/>
    </row>
    <row r="10148" spans="17:17" x14ac:dyDescent="0.25">
      <c r="Q10148" s="8"/>
    </row>
    <row r="10149" spans="17:17" x14ac:dyDescent="0.25">
      <c r="Q10149" s="8"/>
    </row>
    <row r="10150" spans="17:17" x14ac:dyDescent="0.25">
      <c r="Q10150" s="8"/>
    </row>
    <row r="10151" spans="17:17" x14ac:dyDescent="0.25">
      <c r="Q10151" s="8"/>
    </row>
    <row r="10152" spans="17:17" x14ac:dyDescent="0.25">
      <c r="Q10152" s="8"/>
    </row>
    <row r="10153" spans="17:17" x14ac:dyDescent="0.25">
      <c r="Q10153" s="8"/>
    </row>
    <row r="10154" spans="17:17" x14ac:dyDescent="0.25">
      <c r="Q10154" s="8"/>
    </row>
    <row r="10155" spans="17:17" x14ac:dyDescent="0.25">
      <c r="Q10155" s="8"/>
    </row>
    <row r="10156" spans="17:17" x14ac:dyDescent="0.25">
      <c r="Q10156" s="8"/>
    </row>
    <row r="10157" spans="17:17" x14ac:dyDescent="0.25">
      <c r="Q10157" s="8"/>
    </row>
    <row r="10158" spans="17:17" x14ac:dyDescent="0.25">
      <c r="Q10158" s="8"/>
    </row>
    <row r="10159" spans="17:17" x14ac:dyDescent="0.25">
      <c r="Q10159" s="8"/>
    </row>
    <row r="10160" spans="17:17" x14ac:dyDescent="0.25">
      <c r="Q10160" s="8"/>
    </row>
    <row r="10161" spans="17:17" x14ac:dyDescent="0.25">
      <c r="Q10161" s="8"/>
    </row>
    <row r="10162" spans="17:17" x14ac:dyDescent="0.25">
      <c r="Q10162" s="8"/>
    </row>
    <row r="10163" spans="17:17" x14ac:dyDescent="0.25">
      <c r="Q10163" s="8"/>
    </row>
    <row r="10164" spans="17:17" x14ac:dyDescent="0.25">
      <c r="Q10164" s="8"/>
    </row>
    <row r="10165" spans="17:17" x14ac:dyDescent="0.25">
      <c r="Q10165" s="8"/>
    </row>
    <row r="10166" spans="17:17" x14ac:dyDescent="0.25">
      <c r="Q10166" s="8"/>
    </row>
    <row r="10167" spans="17:17" x14ac:dyDescent="0.25">
      <c r="Q10167" s="8"/>
    </row>
    <row r="10168" spans="17:17" x14ac:dyDescent="0.25">
      <c r="Q10168" s="8"/>
    </row>
    <row r="10169" spans="17:17" x14ac:dyDescent="0.25">
      <c r="Q10169" s="8"/>
    </row>
    <row r="10170" spans="17:17" x14ac:dyDescent="0.25">
      <c r="Q10170" s="8"/>
    </row>
    <row r="10171" spans="17:17" x14ac:dyDescent="0.25">
      <c r="Q10171" s="8"/>
    </row>
    <row r="10172" spans="17:17" x14ac:dyDescent="0.25">
      <c r="Q10172" s="8"/>
    </row>
    <row r="10173" spans="17:17" x14ac:dyDescent="0.25">
      <c r="Q10173" s="8"/>
    </row>
    <row r="10174" spans="17:17" x14ac:dyDescent="0.25">
      <c r="Q10174" s="8"/>
    </row>
    <row r="10175" spans="17:17" x14ac:dyDescent="0.25">
      <c r="Q10175" s="8"/>
    </row>
    <row r="10176" spans="17:17" x14ac:dyDescent="0.25">
      <c r="Q10176" s="8"/>
    </row>
    <row r="10177" spans="17:17" x14ac:dyDescent="0.25">
      <c r="Q10177" s="8"/>
    </row>
    <row r="10178" spans="17:17" x14ac:dyDescent="0.25">
      <c r="Q10178" s="8"/>
    </row>
    <row r="10179" spans="17:17" x14ac:dyDescent="0.25">
      <c r="Q10179" s="8"/>
    </row>
    <row r="10180" spans="17:17" x14ac:dyDescent="0.25">
      <c r="Q10180" s="8"/>
    </row>
    <row r="10181" spans="17:17" x14ac:dyDescent="0.25">
      <c r="Q10181" s="8"/>
    </row>
    <row r="10182" spans="17:17" x14ac:dyDescent="0.25">
      <c r="Q10182" s="8"/>
    </row>
    <row r="10183" spans="17:17" x14ac:dyDescent="0.25">
      <c r="Q10183" s="8"/>
    </row>
    <row r="10184" spans="17:17" x14ac:dyDescent="0.25">
      <c r="Q10184" s="8"/>
    </row>
    <row r="10185" spans="17:17" x14ac:dyDescent="0.25">
      <c r="Q10185" s="8"/>
    </row>
    <row r="10186" spans="17:17" x14ac:dyDescent="0.25">
      <c r="Q10186" s="8"/>
    </row>
    <row r="10187" spans="17:17" x14ac:dyDescent="0.25">
      <c r="Q10187" s="8"/>
    </row>
    <row r="10188" spans="17:17" x14ac:dyDescent="0.25">
      <c r="Q10188" s="8"/>
    </row>
    <row r="10189" spans="17:17" x14ac:dyDescent="0.25">
      <c r="Q10189" s="8"/>
    </row>
    <row r="10190" spans="17:17" x14ac:dyDescent="0.25">
      <c r="Q10190" s="8"/>
    </row>
    <row r="10191" spans="17:17" x14ac:dyDescent="0.25">
      <c r="Q10191" s="8"/>
    </row>
    <row r="10192" spans="17:17" x14ac:dyDescent="0.25">
      <c r="Q10192" s="8"/>
    </row>
    <row r="10193" spans="17:17" x14ac:dyDescent="0.25">
      <c r="Q10193" s="8"/>
    </row>
    <row r="10194" spans="17:17" x14ac:dyDescent="0.25">
      <c r="Q10194" s="8"/>
    </row>
    <row r="10195" spans="17:17" x14ac:dyDescent="0.25">
      <c r="Q10195" s="8"/>
    </row>
    <row r="10196" spans="17:17" x14ac:dyDescent="0.25">
      <c r="Q10196" s="8"/>
    </row>
    <row r="10197" spans="17:17" x14ac:dyDescent="0.25">
      <c r="Q10197" s="8"/>
    </row>
    <row r="10198" spans="17:17" x14ac:dyDescent="0.25">
      <c r="Q10198" s="8"/>
    </row>
    <row r="10199" spans="17:17" x14ac:dyDescent="0.25">
      <c r="Q10199" s="8"/>
    </row>
    <row r="10200" spans="17:17" x14ac:dyDescent="0.25">
      <c r="Q10200" s="8"/>
    </row>
    <row r="10201" spans="17:17" x14ac:dyDescent="0.25">
      <c r="Q10201" s="8"/>
    </row>
    <row r="10202" spans="17:17" x14ac:dyDescent="0.25">
      <c r="Q10202" s="8"/>
    </row>
    <row r="10203" spans="17:17" x14ac:dyDescent="0.25">
      <c r="Q10203" s="8"/>
    </row>
    <row r="10204" spans="17:17" x14ac:dyDescent="0.25">
      <c r="Q10204" s="8"/>
    </row>
    <row r="10205" spans="17:17" x14ac:dyDescent="0.25">
      <c r="Q10205" s="8"/>
    </row>
    <row r="10206" spans="17:17" x14ac:dyDescent="0.25">
      <c r="Q10206" s="8"/>
    </row>
    <row r="10207" spans="17:17" x14ac:dyDescent="0.25">
      <c r="Q10207" s="8"/>
    </row>
    <row r="10208" spans="17:17" x14ac:dyDescent="0.25">
      <c r="Q10208" s="8"/>
    </row>
    <row r="10209" spans="17:17" x14ac:dyDescent="0.25">
      <c r="Q10209" s="8"/>
    </row>
    <row r="10210" spans="17:17" x14ac:dyDescent="0.25">
      <c r="Q10210" s="8"/>
    </row>
    <row r="10211" spans="17:17" x14ac:dyDescent="0.25">
      <c r="Q10211" s="8"/>
    </row>
    <row r="10212" spans="17:17" x14ac:dyDescent="0.25">
      <c r="Q10212" s="8"/>
    </row>
    <row r="10213" spans="17:17" x14ac:dyDescent="0.25">
      <c r="Q10213" s="8"/>
    </row>
    <row r="10214" spans="17:17" x14ac:dyDescent="0.25">
      <c r="Q10214" s="8"/>
    </row>
    <row r="10215" spans="17:17" x14ac:dyDescent="0.25">
      <c r="Q10215" s="8"/>
    </row>
    <row r="10216" spans="17:17" x14ac:dyDescent="0.25">
      <c r="Q10216" s="8"/>
    </row>
    <row r="10217" spans="17:17" x14ac:dyDescent="0.25">
      <c r="Q10217" s="8"/>
    </row>
    <row r="10218" spans="17:17" x14ac:dyDescent="0.25">
      <c r="Q10218" s="8"/>
    </row>
    <row r="10219" spans="17:17" x14ac:dyDescent="0.25">
      <c r="Q10219" s="8"/>
    </row>
    <row r="10220" spans="17:17" x14ac:dyDescent="0.25">
      <c r="Q10220" s="8"/>
    </row>
    <row r="10221" spans="17:17" x14ac:dyDescent="0.25">
      <c r="Q10221" s="8"/>
    </row>
    <row r="10222" spans="17:17" x14ac:dyDescent="0.25">
      <c r="Q10222" s="8"/>
    </row>
    <row r="10223" spans="17:17" x14ac:dyDescent="0.25">
      <c r="Q10223" s="8"/>
    </row>
    <row r="10224" spans="17:17" x14ac:dyDescent="0.25">
      <c r="Q10224" s="8"/>
    </row>
    <row r="10225" spans="17:17" x14ac:dyDescent="0.25">
      <c r="Q10225" s="8"/>
    </row>
    <row r="10226" spans="17:17" x14ac:dyDescent="0.25">
      <c r="Q10226" s="8"/>
    </row>
    <row r="10227" spans="17:17" x14ac:dyDescent="0.25">
      <c r="Q10227" s="8"/>
    </row>
    <row r="10228" spans="17:17" x14ac:dyDescent="0.25">
      <c r="Q10228" s="8"/>
    </row>
    <row r="10229" spans="17:17" x14ac:dyDescent="0.25">
      <c r="Q10229" s="8"/>
    </row>
    <row r="10230" spans="17:17" x14ac:dyDescent="0.25">
      <c r="Q10230" s="8"/>
    </row>
    <row r="10231" spans="17:17" x14ac:dyDescent="0.25">
      <c r="Q10231" s="8"/>
    </row>
    <row r="10232" spans="17:17" x14ac:dyDescent="0.25">
      <c r="Q10232" s="8"/>
    </row>
    <row r="10233" spans="17:17" x14ac:dyDescent="0.25">
      <c r="Q10233" s="8"/>
    </row>
    <row r="10234" spans="17:17" x14ac:dyDescent="0.25">
      <c r="Q10234" s="8"/>
    </row>
    <row r="10235" spans="17:17" x14ac:dyDescent="0.25">
      <c r="Q10235" s="8"/>
    </row>
    <row r="10236" spans="17:17" x14ac:dyDescent="0.25">
      <c r="Q10236" s="8"/>
    </row>
    <row r="10237" spans="17:17" x14ac:dyDescent="0.25">
      <c r="Q10237" s="8"/>
    </row>
    <row r="10238" spans="17:17" x14ac:dyDescent="0.25">
      <c r="Q10238" s="8"/>
    </row>
    <row r="10239" spans="17:17" x14ac:dyDescent="0.25">
      <c r="Q10239" s="8"/>
    </row>
    <row r="10240" spans="17:17" x14ac:dyDescent="0.25">
      <c r="Q10240" s="8"/>
    </row>
    <row r="10241" spans="17:17" x14ac:dyDescent="0.25">
      <c r="Q10241" s="8"/>
    </row>
    <row r="10242" spans="17:17" x14ac:dyDescent="0.25">
      <c r="Q10242" s="8"/>
    </row>
    <row r="10243" spans="17:17" x14ac:dyDescent="0.25">
      <c r="Q10243" s="8"/>
    </row>
    <row r="10244" spans="17:17" x14ac:dyDescent="0.25">
      <c r="Q10244" s="8"/>
    </row>
    <row r="10245" spans="17:17" x14ac:dyDescent="0.25">
      <c r="Q10245" s="8"/>
    </row>
    <row r="10246" spans="17:17" x14ac:dyDescent="0.25">
      <c r="Q10246" s="8"/>
    </row>
    <row r="10247" spans="17:17" x14ac:dyDescent="0.25">
      <c r="Q10247" s="8"/>
    </row>
    <row r="10248" spans="17:17" x14ac:dyDescent="0.25">
      <c r="Q10248" s="8"/>
    </row>
    <row r="10249" spans="17:17" x14ac:dyDescent="0.25">
      <c r="Q10249" s="8"/>
    </row>
    <row r="10250" spans="17:17" x14ac:dyDescent="0.25">
      <c r="Q10250" s="8"/>
    </row>
    <row r="10251" spans="17:17" x14ac:dyDescent="0.25">
      <c r="Q10251" s="8"/>
    </row>
    <row r="10252" spans="17:17" x14ac:dyDescent="0.25">
      <c r="Q10252" s="8"/>
    </row>
    <row r="10253" spans="17:17" x14ac:dyDescent="0.25">
      <c r="Q10253" s="8"/>
    </row>
    <row r="10254" spans="17:17" x14ac:dyDescent="0.25">
      <c r="Q10254" s="8"/>
    </row>
    <row r="10255" spans="17:17" x14ac:dyDescent="0.25">
      <c r="Q10255" s="8"/>
    </row>
    <row r="10256" spans="17:17" x14ac:dyDescent="0.25">
      <c r="Q10256" s="8"/>
    </row>
    <row r="10257" spans="17:17" x14ac:dyDescent="0.25">
      <c r="Q10257" s="8"/>
    </row>
    <row r="10258" spans="17:17" x14ac:dyDescent="0.25">
      <c r="Q10258" s="8"/>
    </row>
    <row r="10259" spans="17:17" x14ac:dyDescent="0.25">
      <c r="Q10259" s="8"/>
    </row>
    <row r="10260" spans="17:17" x14ac:dyDescent="0.25">
      <c r="Q10260" s="8"/>
    </row>
    <row r="10261" spans="17:17" x14ac:dyDescent="0.25">
      <c r="Q10261" s="8"/>
    </row>
    <row r="10262" spans="17:17" x14ac:dyDescent="0.25">
      <c r="Q10262" s="8"/>
    </row>
    <row r="10263" spans="17:17" x14ac:dyDescent="0.25">
      <c r="Q10263" s="8"/>
    </row>
    <row r="10264" spans="17:17" x14ac:dyDescent="0.25">
      <c r="Q10264" s="8"/>
    </row>
    <row r="10265" spans="17:17" x14ac:dyDescent="0.25">
      <c r="Q10265" s="8"/>
    </row>
    <row r="10266" spans="17:17" x14ac:dyDescent="0.25">
      <c r="Q10266" s="8"/>
    </row>
    <row r="10267" spans="17:17" x14ac:dyDescent="0.25">
      <c r="Q10267" s="8"/>
    </row>
    <row r="10268" spans="17:17" x14ac:dyDescent="0.25">
      <c r="Q10268" s="8"/>
    </row>
    <row r="10269" spans="17:17" x14ac:dyDescent="0.25">
      <c r="Q10269" s="8"/>
    </row>
    <row r="10270" spans="17:17" x14ac:dyDescent="0.25">
      <c r="Q10270" s="8"/>
    </row>
    <row r="10271" spans="17:17" x14ac:dyDescent="0.25">
      <c r="Q10271" s="8"/>
    </row>
    <row r="10272" spans="17:17" x14ac:dyDescent="0.25">
      <c r="Q10272" s="8"/>
    </row>
    <row r="10273" spans="17:17" x14ac:dyDescent="0.25">
      <c r="Q10273" s="8"/>
    </row>
    <row r="10274" spans="17:17" x14ac:dyDescent="0.25">
      <c r="Q10274" s="8"/>
    </row>
    <row r="10275" spans="17:17" x14ac:dyDescent="0.25">
      <c r="Q10275" s="8"/>
    </row>
    <row r="10276" spans="17:17" x14ac:dyDescent="0.25">
      <c r="Q10276" s="8"/>
    </row>
    <row r="10277" spans="17:17" x14ac:dyDescent="0.25">
      <c r="Q10277" s="8"/>
    </row>
    <row r="10278" spans="17:17" x14ac:dyDescent="0.25">
      <c r="Q10278" s="8"/>
    </row>
    <row r="10279" spans="17:17" x14ac:dyDescent="0.25">
      <c r="Q10279" s="8"/>
    </row>
    <row r="10280" spans="17:17" x14ac:dyDescent="0.25">
      <c r="Q10280" s="8"/>
    </row>
    <row r="10281" spans="17:17" x14ac:dyDescent="0.25">
      <c r="Q10281" s="8"/>
    </row>
    <row r="10282" spans="17:17" x14ac:dyDescent="0.25">
      <c r="Q10282" s="8"/>
    </row>
    <row r="10283" spans="17:17" x14ac:dyDescent="0.25">
      <c r="Q10283" s="8"/>
    </row>
    <row r="10284" spans="17:17" x14ac:dyDescent="0.25">
      <c r="Q10284" s="8"/>
    </row>
    <row r="10285" spans="17:17" x14ac:dyDescent="0.25">
      <c r="Q10285" s="8"/>
    </row>
    <row r="10286" spans="17:17" x14ac:dyDescent="0.25">
      <c r="Q10286" s="8"/>
    </row>
    <row r="10287" spans="17:17" x14ac:dyDescent="0.25">
      <c r="Q10287" s="8"/>
    </row>
    <row r="10288" spans="17:17" x14ac:dyDescent="0.25">
      <c r="Q10288" s="8"/>
    </row>
    <row r="10289" spans="17:17" x14ac:dyDescent="0.25">
      <c r="Q10289" s="8"/>
    </row>
    <row r="10290" spans="17:17" x14ac:dyDescent="0.25">
      <c r="Q10290" s="8"/>
    </row>
    <row r="10291" spans="17:17" x14ac:dyDescent="0.25">
      <c r="Q10291" s="8"/>
    </row>
    <row r="10292" spans="17:17" x14ac:dyDescent="0.25">
      <c r="Q10292" s="8"/>
    </row>
    <row r="10293" spans="17:17" x14ac:dyDescent="0.25">
      <c r="Q10293" s="8"/>
    </row>
    <row r="10294" spans="17:17" x14ac:dyDescent="0.25">
      <c r="Q10294" s="8"/>
    </row>
    <row r="10295" spans="17:17" x14ac:dyDescent="0.25">
      <c r="Q10295" s="8"/>
    </row>
    <row r="10296" spans="17:17" x14ac:dyDescent="0.25">
      <c r="Q10296" s="8"/>
    </row>
    <row r="10297" spans="17:17" x14ac:dyDescent="0.25">
      <c r="Q10297" s="8"/>
    </row>
    <row r="10298" spans="17:17" x14ac:dyDescent="0.25">
      <c r="Q10298" s="8"/>
    </row>
    <row r="10299" spans="17:17" x14ac:dyDescent="0.25">
      <c r="Q10299" s="8"/>
    </row>
    <row r="10300" spans="17:17" x14ac:dyDescent="0.25">
      <c r="Q10300" s="8"/>
    </row>
    <row r="10301" spans="17:17" x14ac:dyDescent="0.25">
      <c r="Q10301" s="8"/>
    </row>
    <row r="10302" spans="17:17" x14ac:dyDescent="0.25">
      <c r="Q10302" s="8"/>
    </row>
    <row r="10303" spans="17:17" x14ac:dyDescent="0.25">
      <c r="Q10303" s="8"/>
    </row>
    <row r="10304" spans="17:17" x14ac:dyDescent="0.25">
      <c r="Q10304" s="8"/>
    </row>
    <row r="10305" spans="17:17" x14ac:dyDescent="0.25">
      <c r="Q10305" s="8"/>
    </row>
    <row r="10306" spans="17:17" x14ac:dyDescent="0.25">
      <c r="Q10306" s="8"/>
    </row>
    <row r="10307" spans="17:17" x14ac:dyDescent="0.25">
      <c r="Q10307" s="8"/>
    </row>
    <row r="10308" spans="17:17" x14ac:dyDescent="0.25">
      <c r="Q10308" s="8"/>
    </row>
    <row r="10309" spans="17:17" x14ac:dyDescent="0.25">
      <c r="Q10309" s="8"/>
    </row>
    <row r="10310" spans="17:17" x14ac:dyDescent="0.25">
      <c r="Q10310" s="8"/>
    </row>
    <row r="10311" spans="17:17" x14ac:dyDescent="0.25">
      <c r="Q10311" s="8"/>
    </row>
    <row r="10312" spans="17:17" x14ac:dyDescent="0.25">
      <c r="Q10312" s="8"/>
    </row>
    <row r="10313" spans="17:17" x14ac:dyDescent="0.25">
      <c r="Q10313" s="8"/>
    </row>
    <row r="10314" spans="17:17" x14ac:dyDescent="0.25">
      <c r="Q10314" s="8"/>
    </row>
    <row r="10315" spans="17:17" x14ac:dyDescent="0.25">
      <c r="Q10315" s="8"/>
    </row>
    <row r="10316" spans="17:17" x14ac:dyDescent="0.25">
      <c r="Q10316" s="8"/>
    </row>
    <row r="10317" spans="17:17" x14ac:dyDescent="0.25">
      <c r="Q10317" s="8"/>
    </row>
    <row r="10318" spans="17:17" x14ac:dyDescent="0.25">
      <c r="Q10318" s="8"/>
    </row>
    <row r="10319" spans="17:17" x14ac:dyDescent="0.25">
      <c r="Q10319" s="8"/>
    </row>
    <row r="10320" spans="17:17" x14ac:dyDescent="0.25">
      <c r="Q10320" s="8"/>
    </row>
    <row r="10321" spans="17:17" x14ac:dyDescent="0.25">
      <c r="Q10321" s="8"/>
    </row>
    <row r="10322" spans="17:17" x14ac:dyDescent="0.25">
      <c r="Q10322" s="8"/>
    </row>
    <row r="10323" spans="17:17" x14ac:dyDescent="0.25">
      <c r="Q10323" s="8"/>
    </row>
    <row r="10324" spans="17:17" x14ac:dyDescent="0.25">
      <c r="Q10324" s="8"/>
    </row>
    <row r="10325" spans="17:17" x14ac:dyDescent="0.25">
      <c r="Q10325" s="8"/>
    </row>
    <row r="10326" spans="17:17" x14ac:dyDescent="0.25">
      <c r="Q10326" s="8"/>
    </row>
    <row r="10327" spans="17:17" x14ac:dyDescent="0.25">
      <c r="Q10327" s="8"/>
    </row>
    <row r="10328" spans="17:17" x14ac:dyDescent="0.25">
      <c r="Q10328" s="8"/>
    </row>
    <row r="10329" spans="17:17" x14ac:dyDescent="0.25">
      <c r="Q10329" s="8"/>
    </row>
    <row r="10330" spans="17:17" x14ac:dyDescent="0.25">
      <c r="Q10330" s="8"/>
    </row>
    <row r="10331" spans="17:17" x14ac:dyDescent="0.25">
      <c r="Q10331" s="8"/>
    </row>
    <row r="10332" spans="17:17" x14ac:dyDescent="0.25">
      <c r="Q10332" s="8"/>
    </row>
    <row r="10333" spans="17:17" x14ac:dyDescent="0.25">
      <c r="Q10333" s="8"/>
    </row>
    <row r="10334" spans="17:17" x14ac:dyDescent="0.25">
      <c r="Q10334" s="8"/>
    </row>
    <row r="10335" spans="17:17" x14ac:dyDescent="0.25">
      <c r="Q10335" s="8"/>
    </row>
    <row r="10336" spans="17:17" x14ac:dyDescent="0.25">
      <c r="Q10336" s="8"/>
    </row>
    <row r="10337" spans="17:17" x14ac:dyDescent="0.25">
      <c r="Q10337" s="8"/>
    </row>
    <row r="10338" spans="17:17" x14ac:dyDescent="0.25">
      <c r="Q10338" s="8"/>
    </row>
    <row r="10339" spans="17:17" x14ac:dyDescent="0.25">
      <c r="Q10339" s="8"/>
    </row>
    <row r="10340" spans="17:17" x14ac:dyDescent="0.25">
      <c r="Q10340" s="8"/>
    </row>
    <row r="10341" spans="17:17" x14ac:dyDescent="0.25">
      <c r="Q10341" s="8"/>
    </row>
    <row r="10342" spans="17:17" x14ac:dyDescent="0.25">
      <c r="Q10342" s="8"/>
    </row>
    <row r="10343" spans="17:17" x14ac:dyDescent="0.25">
      <c r="Q10343" s="8"/>
    </row>
    <row r="10344" spans="17:17" x14ac:dyDescent="0.25">
      <c r="Q10344" s="8"/>
    </row>
    <row r="10345" spans="17:17" x14ac:dyDescent="0.25">
      <c r="Q10345" s="8"/>
    </row>
    <row r="10346" spans="17:17" x14ac:dyDescent="0.25">
      <c r="Q10346" s="8"/>
    </row>
    <row r="10347" spans="17:17" x14ac:dyDescent="0.25">
      <c r="Q10347" s="8"/>
    </row>
    <row r="10348" spans="17:17" x14ac:dyDescent="0.25">
      <c r="Q10348" s="8"/>
    </row>
    <row r="10349" spans="17:17" x14ac:dyDescent="0.25">
      <c r="Q10349" s="8"/>
    </row>
    <row r="10350" spans="17:17" x14ac:dyDescent="0.25">
      <c r="Q10350" s="8"/>
    </row>
    <row r="10351" spans="17:17" x14ac:dyDescent="0.25">
      <c r="Q10351" s="8"/>
    </row>
    <row r="10352" spans="17:17" x14ac:dyDescent="0.25">
      <c r="Q10352" s="8"/>
    </row>
    <row r="10353" spans="17:17" x14ac:dyDescent="0.25">
      <c r="Q10353" s="8"/>
    </row>
    <row r="10354" spans="17:17" x14ac:dyDescent="0.25">
      <c r="Q10354" s="8"/>
    </row>
    <row r="10355" spans="17:17" x14ac:dyDescent="0.25">
      <c r="Q10355" s="8"/>
    </row>
    <row r="10356" spans="17:17" x14ac:dyDescent="0.25">
      <c r="Q10356" s="8"/>
    </row>
    <row r="10357" spans="17:17" x14ac:dyDescent="0.25">
      <c r="Q10357" s="8"/>
    </row>
    <row r="10358" spans="17:17" x14ac:dyDescent="0.25">
      <c r="Q10358" s="8"/>
    </row>
    <row r="10359" spans="17:17" x14ac:dyDescent="0.25">
      <c r="Q10359" s="8"/>
    </row>
    <row r="10360" spans="17:17" x14ac:dyDescent="0.25">
      <c r="Q10360" s="8"/>
    </row>
    <row r="10361" spans="17:17" x14ac:dyDescent="0.25">
      <c r="Q10361" s="8"/>
    </row>
    <row r="10362" spans="17:17" x14ac:dyDescent="0.25">
      <c r="Q10362" s="8"/>
    </row>
    <row r="10363" spans="17:17" x14ac:dyDescent="0.25">
      <c r="Q10363" s="8"/>
    </row>
    <row r="10364" spans="17:17" x14ac:dyDescent="0.25">
      <c r="Q10364" s="8"/>
    </row>
    <row r="10365" spans="17:17" x14ac:dyDescent="0.25">
      <c r="Q10365" s="8"/>
    </row>
    <row r="10366" spans="17:17" x14ac:dyDescent="0.25">
      <c r="Q10366" s="8"/>
    </row>
    <row r="10367" spans="17:17" x14ac:dyDescent="0.25">
      <c r="Q10367" s="8"/>
    </row>
    <row r="10368" spans="17:17" x14ac:dyDescent="0.25">
      <c r="Q10368" s="8"/>
    </row>
    <row r="10369" spans="17:17" x14ac:dyDescent="0.25">
      <c r="Q10369" s="8"/>
    </row>
    <row r="10370" spans="17:17" x14ac:dyDescent="0.25">
      <c r="Q10370" s="8"/>
    </row>
    <row r="10371" spans="17:17" x14ac:dyDescent="0.25">
      <c r="Q10371" s="8"/>
    </row>
    <row r="10372" spans="17:17" x14ac:dyDescent="0.25">
      <c r="Q10372" s="8"/>
    </row>
    <row r="10373" spans="17:17" x14ac:dyDescent="0.25">
      <c r="Q10373" s="8"/>
    </row>
    <row r="10374" spans="17:17" x14ac:dyDescent="0.25">
      <c r="Q10374" s="8"/>
    </row>
    <row r="10375" spans="17:17" x14ac:dyDescent="0.25">
      <c r="Q10375" s="8"/>
    </row>
    <row r="10376" spans="17:17" x14ac:dyDescent="0.25">
      <c r="Q10376" s="8"/>
    </row>
    <row r="10377" spans="17:17" x14ac:dyDescent="0.25">
      <c r="Q10377" s="8"/>
    </row>
    <row r="10378" spans="17:17" x14ac:dyDescent="0.25">
      <c r="Q10378" s="8"/>
    </row>
    <row r="10379" spans="17:17" x14ac:dyDescent="0.25">
      <c r="Q10379" s="8"/>
    </row>
    <row r="10380" spans="17:17" x14ac:dyDescent="0.25">
      <c r="Q10380" s="8"/>
    </row>
    <row r="10381" spans="17:17" x14ac:dyDescent="0.25">
      <c r="Q10381" s="8"/>
    </row>
    <row r="10382" spans="17:17" x14ac:dyDescent="0.25">
      <c r="Q10382" s="8"/>
    </row>
    <row r="10383" spans="17:17" x14ac:dyDescent="0.25">
      <c r="Q10383" s="8"/>
    </row>
    <row r="10384" spans="17:17" x14ac:dyDescent="0.25">
      <c r="Q10384" s="8"/>
    </row>
    <row r="10385" spans="17:17" x14ac:dyDescent="0.25">
      <c r="Q10385" s="8"/>
    </row>
    <row r="10386" spans="17:17" x14ac:dyDescent="0.25">
      <c r="Q10386" s="8"/>
    </row>
    <row r="10387" spans="17:17" x14ac:dyDescent="0.25">
      <c r="Q10387" s="8"/>
    </row>
    <row r="10388" spans="17:17" x14ac:dyDescent="0.25">
      <c r="Q10388" s="8"/>
    </row>
    <row r="10389" spans="17:17" x14ac:dyDescent="0.25">
      <c r="Q10389" s="8"/>
    </row>
    <row r="10390" spans="17:17" x14ac:dyDescent="0.25">
      <c r="Q10390" s="8"/>
    </row>
    <row r="10391" spans="17:17" x14ac:dyDescent="0.25">
      <c r="Q10391" s="8"/>
    </row>
    <row r="10392" spans="17:17" x14ac:dyDescent="0.25">
      <c r="Q10392" s="8"/>
    </row>
    <row r="10393" spans="17:17" x14ac:dyDescent="0.25">
      <c r="Q10393" s="8"/>
    </row>
    <row r="10394" spans="17:17" x14ac:dyDescent="0.25">
      <c r="Q10394" s="8"/>
    </row>
    <row r="10395" spans="17:17" x14ac:dyDescent="0.25">
      <c r="Q10395" s="8"/>
    </row>
    <row r="10396" spans="17:17" x14ac:dyDescent="0.25">
      <c r="Q10396" s="8"/>
    </row>
    <row r="10397" spans="17:17" x14ac:dyDescent="0.25">
      <c r="Q10397" s="8"/>
    </row>
    <row r="10398" spans="17:17" x14ac:dyDescent="0.25">
      <c r="Q10398" s="8"/>
    </row>
    <row r="10399" spans="17:17" x14ac:dyDescent="0.25">
      <c r="Q10399" s="8"/>
    </row>
    <row r="10400" spans="17:17" x14ac:dyDescent="0.25">
      <c r="Q10400" s="8"/>
    </row>
    <row r="10401" spans="17:17" x14ac:dyDescent="0.25">
      <c r="Q10401" s="8"/>
    </row>
    <row r="10402" spans="17:17" x14ac:dyDescent="0.25">
      <c r="Q10402" s="8"/>
    </row>
    <row r="10403" spans="17:17" x14ac:dyDescent="0.25">
      <c r="Q10403" s="8"/>
    </row>
    <row r="10404" spans="17:17" x14ac:dyDescent="0.25">
      <c r="Q10404" s="8"/>
    </row>
    <row r="10405" spans="17:17" x14ac:dyDescent="0.25">
      <c r="Q10405" s="8"/>
    </row>
    <row r="10406" spans="17:17" x14ac:dyDescent="0.25">
      <c r="Q10406" s="8"/>
    </row>
    <row r="10407" spans="17:17" x14ac:dyDescent="0.25">
      <c r="Q10407" s="8"/>
    </row>
    <row r="10408" spans="17:17" x14ac:dyDescent="0.25">
      <c r="Q10408" s="8"/>
    </row>
    <row r="10409" spans="17:17" x14ac:dyDescent="0.25">
      <c r="Q10409" s="8"/>
    </row>
    <row r="10410" spans="17:17" x14ac:dyDescent="0.25">
      <c r="Q10410" s="8"/>
    </row>
    <row r="10411" spans="17:17" x14ac:dyDescent="0.25">
      <c r="Q10411" s="8"/>
    </row>
    <row r="10412" spans="17:17" x14ac:dyDescent="0.25">
      <c r="Q10412" s="8"/>
    </row>
    <row r="10413" spans="17:17" x14ac:dyDescent="0.25">
      <c r="Q10413" s="8"/>
    </row>
    <row r="10414" spans="17:17" x14ac:dyDescent="0.25">
      <c r="Q10414" s="8"/>
    </row>
    <row r="10415" spans="17:17" x14ac:dyDescent="0.25">
      <c r="Q10415" s="8"/>
    </row>
    <row r="10416" spans="17:17" x14ac:dyDescent="0.25">
      <c r="Q10416" s="8"/>
    </row>
    <row r="10417" spans="17:17" x14ac:dyDescent="0.25">
      <c r="Q10417" s="8"/>
    </row>
    <row r="10418" spans="17:17" x14ac:dyDescent="0.25">
      <c r="Q10418" s="8"/>
    </row>
    <row r="10419" spans="17:17" x14ac:dyDescent="0.25">
      <c r="Q10419" s="8"/>
    </row>
    <row r="10420" spans="17:17" x14ac:dyDescent="0.25">
      <c r="Q10420" s="8"/>
    </row>
    <row r="10421" spans="17:17" x14ac:dyDescent="0.25">
      <c r="Q10421" s="8"/>
    </row>
    <row r="10422" spans="17:17" x14ac:dyDescent="0.25">
      <c r="Q10422" s="8"/>
    </row>
    <row r="10423" spans="17:17" x14ac:dyDescent="0.25">
      <c r="Q10423" s="8"/>
    </row>
    <row r="10424" spans="17:17" x14ac:dyDescent="0.25">
      <c r="Q10424" s="8"/>
    </row>
    <row r="10425" spans="17:17" x14ac:dyDescent="0.25">
      <c r="Q10425" s="8"/>
    </row>
    <row r="10426" spans="17:17" x14ac:dyDescent="0.25">
      <c r="Q10426" s="8"/>
    </row>
    <row r="10427" spans="17:17" x14ac:dyDescent="0.25">
      <c r="Q10427" s="8"/>
    </row>
    <row r="10428" spans="17:17" x14ac:dyDescent="0.25">
      <c r="Q10428" s="8"/>
    </row>
    <row r="10429" spans="17:17" x14ac:dyDescent="0.25">
      <c r="Q10429" s="8"/>
    </row>
    <row r="10430" spans="17:17" x14ac:dyDescent="0.25">
      <c r="Q10430" s="8"/>
    </row>
    <row r="10431" spans="17:17" x14ac:dyDescent="0.25">
      <c r="Q10431" s="8"/>
    </row>
    <row r="10432" spans="17:17" x14ac:dyDescent="0.25">
      <c r="Q10432" s="8"/>
    </row>
    <row r="10433" spans="17:17" x14ac:dyDescent="0.25">
      <c r="Q10433" s="8"/>
    </row>
    <row r="10434" spans="17:17" x14ac:dyDescent="0.25">
      <c r="Q10434" s="8"/>
    </row>
    <row r="10435" spans="17:17" x14ac:dyDescent="0.25">
      <c r="Q10435" s="8"/>
    </row>
    <row r="10436" spans="17:17" x14ac:dyDescent="0.25">
      <c r="Q10436" s="8"/>
    </row>
    <row r="10437" spans="17:17" x14ac:dyDescent="0.25">
      <c r="Q10437" s="8"/>
    </row>
    <row r="10438" spans="17:17" x14ac:dyDescent="0.25">
      <c r="Q10438" s="8"/>
    </row>
    <row r="10439" spans="17:17" x14ac:dyDescent="0.25">
      <c r="Q10439" s="8"/>
    </row>
    <row r="10440" spans="17:17" x14ac:dyDescent="0.25">
      <c r="Q10440" s="8"/>
    </row>
    <row r="10441" spans="17:17" x14ac:dyDescent="0.25">
      <c r="Q10441" s="8"/>
    </row>
    <row r="10442" spans="17:17" x14ac:dyDescent="0.25">
      <c r="Q10442" s="8"/>
    </row>
    <row r="10443" spans="17:17" x14ac:dyDescent="0.25">
      <c r="Q10443" s="8"/>
    </row>
    <row r="10444" spans="17:17" x14ac:dyDescent="0.25">
      <c r="Q10444" s="8"/>
    </row>
    <row r="10445" spans="17:17" x14ac:dyDescent="0.25">
      <c r="Q10445" s="8"/>
    </row>
    <row r="10446" spans="17:17" x14ac:dyDescent="0.25">
      <c r="Q10446" s="8"/>
    </row>
    <row r="10447" spans="17:17" x14ac:dyDescent="0.25">
      <c r="Q10447" s="8"/>
    </row>
    <row r="10448" spans="17:17" x14ac:dyDescent="0.25">
      <c r="Q10448" s="8"/>
    </row>
    <row r="10449" spans="17:17" x14ac:dyDescent="0.25">
      <c r="Q10449" s="8"/>
    </row>
    <row r="10450" spans="17:17" x14ac:dyDescent="0.25">
      <c r="Q10450" s="8"/>
    </row>
    <row r="10451" spans="17:17" x14ac:dyDescent="0.25">
      <c r="Q10451" s="8"/>
    </row>
    <row r="10452" spans="17:17" x14ac:dyDescent="0.25">
      <c r="Q10452" s="8"/>
    </row>
    <row r="10453" spans="17:17" x14ac:dyDescent="0.25">
      <c r="Q10453" s="8"/>
    </row>
    <row r="10454" spans="17:17" x14ac:dyDescent="0.25">
      <c r="Q10454" s="8"/>
    </row>
    <row r="10455" spans="17:17" x14ac:dyDescent="0.25">
      <c r="Q10455" s="8"/>
    </row>
    <row r="10456" spans="17:17" x14ac:dyDescent="0.25">
      <c r="Q10456" s="8"/>
    </row>
    <row r="10457" spans="17:17" x14ac:dyDescent="0.25">
      <c r="Q10457" s="8"/>
    </row>
    <row r="10458" spans="17:17" x14ac:dyDescent="0.25">
      <c r="Q10458" s="8"/>
    </row>
    <row r="10459" spans="17:17" x14ac:dyDescent="0.25">
      <c r="Q10459" s="8"/>
    </row>
    <row r="10460" spans="17:17" x14ac:dyDescent="0.25">
      <c r="Q10460" s="8"/>
    </row>
    <row r="10461" spans="17:17" x14ac:dyDescent="0.25">
      <c r="Q10461" s="8"/>
    </row>
    <row r="10462" spans="17:17" x14ac:dyDescent="0.25">
      <c r="Q10462" s="8"/>
    </row>
    <row r="10463" spans="17:17" x14ac:dyDescent="0.25">
      <c r="Q10463" s="8"/>
    </row>
    <row r="10464" spans="17:17" x14ac:dyDescent="0.25">
      <c r="Q10464" s="8"/>
    </row>
    <row r="10465" spans="17:17" x14ac:dyDescent="0.25">
      <c r="Q10465" s="8"/>
    </row>
    <row r="10466" spans="17:17" x14ac:dyDescent="0.25">
      <c r="Q10466" s="8"/>
    </row>
    <row r="10467" spans="17:17" x14ac:dyDescent="0.25">
      <c r="Q10467" s="8"/>
    </row>
    <row r="10468" spans="17:17" x14ac:dyDescent="0.25">
      <c r="Q10468" s="8"/>
    </row>
    <row r="10469" spans="17:17" x14ac:dyDescent="0.25">
      <c r="Q10469" s="8"/>
    </row>
    <row r="10470" spans="17:17" x14ac:dyDescent="0.25">
      <c r="Q10470" s="8"/>
    </row>
    <row r="10471" spans="17:17" x14ac:dyDescent="0.25">
      <c r="Q10471" s="8"/>
    </row>
    <row r="10472" spans="17:17" x14ac:dyDescent="0.25">
      <c r="Q10472" s="8"/>
    </row>
    <row r="10473" spans="17:17" x14ac:dyDescent="0.25">
      <c r="Q10473" s="8"/>
    </row>
    <row r="10474" spans="17:17" x14ac:dyDescent="0.25">
      <c r="Q10474" s="8"/>
    </row>
    <row r="10475" spans="17:17" x14ac:dyDescent="0.25">
      <c r="Q10475" s="8"/>
    </row>
    <row r="10476" spans="17:17" x14ac:dyDescent="0.25">
      <c r="Q10476" s="8"/>
    </row>
    <row r="10477" spans="17:17" x14ac:dyDescent="0.25">
      <c r="Q10477" s="8"/>
    </row>
    <row r="10478" spans="17:17" x14ac:dyDescent="0.25">
      <c r="Q10478" s="8"/>
    </row>
    <row r="10479" spans="17:17" x14ac:dyDescent="0.25">
      <c r="Q10479" s="8"/>
    </row>
    <row r="10480" spans="17:17" x14ac:dyDescent="0.25">
      <c r="Q10480" s="8"/>
    </row>
    <row r="10481" spans="17:17" x14ac:dyDescent="0.25">
      <c r="Q10481" s="8"/>
    </row>
    <row r="10482" spans="17:17" x14ac:dyDescent="0.25">
      <c r="Q10482" s="8"/>
    </row>
    <row r="10483" spans="17:17" x14ac:dyDescent="0.25">
      <c r="Q10483" s="8"/>
    </row>
    <row r="10484" spans="17:17" x14ac:dyDescent="0.25">
      <c r="Q10484" s="8"/>
    </row>
    <row r="10485" spans="17:17" x14ac:dyDescent="0.25">
      <c r="Q10485" s="8"/>
    </row>
    <row r="10486" spans="17:17" x14ac:dyDescent="0.25">
      <c r="Q10486" s="8"/>
    </row>
    <row r="10487" spans="17:17" x14ac:dyDescent="0.25">
      <c r="Q10487" s="8"/>
    </row>
    <row r="10488" spans="17:17" x14ac:dyDescent="0.25">
      <c r="Q10488" s="8"/>
    </row>
    <row r="10489" spans="17:17" x14ac:dyDescent="0.25">
      <c r="Q10489" s="8"/>
    </row>
    <row r="10490" spans="17:17" x14ac:dyDescent="0.25">
      <c r="Q10490" s="8"/>
    </row>
    <row r="10491" spans="17:17" x14ac:dyDescent="0.25">
      <c r="Q10491" s="8"/>
    </row>
    <row r="10492" spans="17:17" x14ac:dyDescent="0.25">
      <c r="Q10492" s="8"/>
    </row>
    <row r="10493" spans="17:17" x14ac:dyDescent="0.25">
      <c r="Q10493" s="8"/>
    </row>
    <row r="10494" spans="17:17" x14ac:dyDescent="0.25">
      <c r="Q10494" s="8"/>
    </row>
    <row r="10495" spans="17:17" x14ac:dyDescent="0.25">
      <c r="Q10495" s="8"/>
    </row>
    <row r="10496" spans="17:17" x14ac:dyDescent="0.25">
      <c r="Q10496" s="8"/>
    </row>
    <row r="10497" spans="17:17" x14ac:dyDescent="0.25">
      <c r="Q10497" s="8"/>
    </row>
    <row r="10498" spans="17:17" x14ac:dyDescent="0.25">
      <c r="Q10498" s="8"/>
    </row>
    <row r="10499" spans="17:17" x14ac:dyDescent="0.25">
      <c r="Q10499" s="8"/>
    </row>
    <row r="10500" spans="17:17" x14ac:dyDescent="0.25">
      <c r="Q10500" s="8"/>
    </row>
    <row r="10501" spans="17:17" x14ac:dyDescent="0.25">
      <c r="Q10501" s="8"/>
    </row>
    <row r="10502" spans="17:17" x14ac:dyDescent="0.25">
      <c r="Q10502" s="8"/>
    </row>
    <row r="10503" spans="17:17" x14ac:dyDescent="0.25">
      <c r="Q10503" s="8"/>
    </row>
    <row r="10504" spans="17:17" x14ac:dyDescent="0.25">
      <c r="Q10504" s="8"/>
    </row>
    <row r="10505" spans="17:17" x14ac:dyDescent="0.25">
      <c r="Q10505" s="8"/>
    </row>
    <row r="10506" spans="17:17" x14ac:dyDescent="0.25">
      <c r="Q10506" s="8"/>
    </row>
    <row r="10507" spans="17:17" x14ac:dyDescent="0.25">
      <c r="Q10507" s="8"/>
    </row>
    <row r="10508" spans="17:17" x14ac:dyDescent="0.25">
      <c r="Q10508" s="8"/>
    </row>
    <row r="10509" spans="17:17" x14ac:dyDescent="0.25">
      <c r="Q10509" s="8"/>
    </row>
    <row r="10510" spans="17:17" x14ac:dyDescent="0.25">
      <c r="Q10510" s="8"/>
    </row>
    <row r="10511" spans="17:17" x14ac:dyDescent="0.25">
      <c r="Q10511" s="8"/>
    </row>
    <row r="10512" spans="17:17" x14ac:dyDescent="0.25">
      <c r="Q10512" s="8"/>
    </row>
    <row r="10513" spans="17:17" x14ac:dyDescent="0.25">
      <c r="Q10513" s="8"/>
    </row>
    <row r="10514" spans="17:17" x14ac:dyDescent="0.25">
      <c r="Q10514" s="8"/>
    </row>
    <row r="10515" spans="17:17" x14ac:dyDescent="0.25">
      <c r="Q10515" s="8"/>
    </row>
    <row r="10516" spans="17:17" x14ac:dyDescent="0.25">
      <c r="Q10516" s="8"/>
    </row>
    <row r="10517" spans="17:17" x14ac:dyDescent="0.25">
      <c r="Q10517" s="8"/>
    </row>
    <row r="10518" spans="17:17" x14ac:dyDescent="0.25">
      <c r="Q10518" s="8"/>
    </row>
    <row r="10519" spans="17:17" x14ac:dyDescent="0.25">
      <c r="Q10519" s="8"/>
    </row>
    <row r="10520" spans="17:17" x14ac:dyDescent="0.25">
      <c r="Q10520" s="8"/>
    </row>
    <row r="10521" spans="17:17" x14ac:dyDescent="0.25">
      <c r="Q10521" s="8"/>
    </row>
    <row r="10522" spans="17:17" x14ac:dyDescent="0.25">
      <c r="Q10522" s="8"/>
    </row>
    <row r="10523" spans="17:17" x14ac:dyDescent="0.25">
      <c r="Q10523" s="8"/>
    </row>
    <row r="10524" spans="17:17" x14ac:dyDescent="0.25">
      <c r="Q10524" s="8"/>
    </row>
    <row r="10525" spans="17:17" x14ac:dyDescent="0.25">
      <c r="Q10525" s="8"/>
    </row>
    <row r="10526" spans="17:17" x14ac:dyDescent="0.25">
      <c r="Q10526" s="8"/>
    </row>
    <row r="10527" spans="17:17" x14ac:dyDescent="0.25">
      <c r="Q10527" s="8"/>
    </row>
    <row r="10528" spans="17:17" x14ac:dyDescent="0.25">
      <c r="Q10528" s="8"/>
    </row>
    <row r="10529" spans="17:17" x14ac:dyDescent="0.25">
      <c r="Q10529" s="8"/>
    </row>
    <row r="10530" spans="17:17" x14ac:dyDescent="0.25">
      <c r="Q10530" s="8"/>
    </row>
    <row r="10531" spans="17:17" x14ac:dyDescent="0.25">
      <c r="Q10531" s="8"/>
    </row>
    <row r="10532" spans="17:17" x14ac:dyDescent="0.25">
      <c r="Q10532" s="8"/>
    </row>
    <row r="10533" spans="17:17" x14ac:dyDescent="0.25">
      <c r="Q10533" s="8"/>
    </row>
    <row r="10534" spans="17:17" x14ac:dyDescent="0.25">
      <c r="Q10534" s="8"/>
    </row>
    <row r="10535" spans="17:17" x14ac:dyDescent="0.25">
      <c r="Q10535" s="8"/>
    </row>
    <row r="10536" spans="17:17" x14ac:dyDescent="0.25">
      <c r="Q10536" s="8"/>
    </row>
    <row r="10537" spans="17:17" x14ac:dyDescent="0.25">
      <c r="Q10537" s="8"/>
    </row>
    <row r="10538" spans="17:17" x14ac:dyDescent="0.25">
      <c r="Q10538" s="8"/>
    </row>
    <row r="10539" spans="17:17" x14ac:dyDescent="0.25">
      <c r="Q10539" s="8"/>
    </row>
    <row r="10540" spans="17:17" x14ac:dyDescent="0.25">
      <c r="Q10540" s="8"/>
    </row>
    <row r="10541" spans="17:17" x14ac:dyDescent="0.25">
      <c r="Q10541" s="8"/>
    </row>
    <row r="10542" spans="17:17" x14ac:dyDescent="0.25">
      <c r="Q10542" s="8"/>
    </row>
    <row r="10543" spans="17:17" x14ac:dyDescent="0.25">
      <c r="Q10543" s="8"/>
    </row>
    <row r="10544" spans="17:17" x14ac:dyDescent="0.25">
      <c r="Q10544" s="8"/>
    </row>
    <row r="10545" spans="17:17" x14ac:dyDescent="0.25">
      <c r="Q10545" s="8"/>
    </row>
    <row r="10546" spans="17:17" x14ac:dyDescent="0.25">
      <c r="Q10546" s="8"/>
    </row>
    <row r="10547" spans="17:17" x14ac:dyDescent="0.25">
      <c r="Q10547" s="8"/>
    </row>
    <row r="10548" spans="17:17" x14ac:dyDescent="0.25">
      <c r="Q10548" s="8"/>
    </row>
    <row r="10549" spans="17:17" x14ac:dyDescent="0.25">
      <c r="Q10549" s="8"/>
    </row>
    <row r="10550" spans="17:17" x14ac:dyDescent="0.25">
      <c r="Q10550" s="8"/>
    </row>
    <row r="10551" spans="17:17" x14ac:dyDescent="0.25">
      <c r="Q10551" s="8"/>
    </row>
    <row r="10552" spans="17:17" x14ac:dyDescent="0.25">
      <c r="Q10552" s="8"/>
    </row>
    <row r="10553" spans="17:17" x14ac:dyDescent="0.25">
      <c r="Q10553" s="8"/>
    </row>
    <row r="10554" spans="17:17" x14ac:dyDescent="0.25">
      <c r="Q10554" s="8"/>
    </row>
    <row r="10555" spans="17:17" x14ac:dyDescent="0.25">
      <c r="Q10555" s="8"/>
    </row>
    <row r="10556" spans="17:17" x14ac:dyDescent="0.25">
      <c r="Q10556" s="8"/>
    </row>
    <row r="10557" spans="17:17" x14ac:dyDescent="0.25">
      <c r="Q10557" s="8"/>
    </row>
    <row r="10558" spans="17:17" x14ac:dyDescent="0.25">
      <c r="Q10558" s="8"/>
    </row>
    <row r="10559" spans="17:17" x14ac:dyDescent="0.25">
      <c r="Q10559" s="8"/>
    </row>
    <row r="10560" spans="17:17" x14ac:dyDescent="0.25">
      <c r="Q10560" s="8"/>
    </row>
    <row r="10561" spans="17:17" x14ac:dyDescent="0.25">
      <c r="Q10561" s="8"/>
    </row>
    <row r="10562" spans="17:17" x14ac:dyDescent="0.25">
      <c r="Q10562" s="8"/>
    </row>
    <row r="10563" spans="17:17" x14ac:dyDescent="0.25">
      <c r="Q10563" s="8"/>
    </row>
    <row r="10564" spans="17:17" x14ac:dyDescent="0.25">
      <c r="Q10564" s="8"/>
    </row>
    <row r="10565" spans="17:17" x14ac:dyDescent="0.25">
      <c r="Q10565" s="8"/>
    </row>
    <row r="10566" spans="17:17" x14ac:dyDescent="0.25">
      <c r="Q10566" s="8"/>
    </row>
    <row r="10567" spans="17:17" x14ac:dyDescent="0.25">
      <c r="Q10567" s="8"/>
    </row>
    <row r="10568" spans="17:17" x14ac:dyDescent="0.25">
      <c r="Q10568" s="8"/>
    </row>
    <row r="10569" spans="17:17" x14ac:dyDescent="0.25">
      <c r="Q10569" s="8"/>
    </row>
    <row r="10570" spans="17:17" x14ac:dyDescent="0.25">
      <c r="Q10570" s="8"/>
    </row>
    <row r="10571" spans="17:17" x14ac:dyDescent="0.25">
      <c r="Q10571" s="8"/>
    </row>
    <row r="10572" spans="17:17" x14ac:dyDescent="0.25">
      <c r="Q10572" s="8"/>
    </row>
    <row r="10573" spans="17:17" x14ac:dyDescent="0.25">
      <c r="Q10573" s="8"/>
    </row>
    <row r="10574" spans="17:17" x14ac:dyDescent="0.25">
      <c r="Q10574" s="8"/>
    </row>
    <row r="10575" spans="17:17" x14ac:dyDescent="0.25">
      <c r="Q10575" s="8"/>
    </row>
    <row r="10576" spans="17:17" x14ac:dyDescent="0.25">
      <c r="Q10576" s="8"/>
    </row>
    <row r="10577" spans="17:17" x14ac:dyDescent="0.25">
      <c r="Q10577" s="8"/>
    </row>
    <row r="10578" spans="17:17" x14ac:dyDescent="0.25">
      <c r="Q10578" s="8"/>
    </row>
    <row r="10579" spans="17:17" x14ac:dyDescent="0.25">
      <c r="Q10579" s="8"/>
    </row>
    <row r="10580" spans="17:17" x14ac:dyDescent="0.25">
      <c r="Q10580" s="8"/>
    </row>
    <row r="10581" spans="17:17" x14ac:dyDescent="0.25">
      <c r="Q10581" s="8"/>
    </row>
    <row r="10582" spans="17:17" x14ac:dyDescent="0.25">
      <c r="Q10582" s="8"/>
    </row>
    <row r="10583" spans="17:17" x14ac:dyDescent="0.25">
      <c r="Q10583" s="8"/>
    </row>
    <row r="10584" spans="17:17" x14ac:dyDescent="0.25">
      <c r="Q10584" s="8"/>
    </row>
    <row r="10585" spans="17:17" x14ac:dyDescent="0.25">
      <c r="Q10585" s="8"/>
    </row>
    <row r="10586" spans="17:17" x14ac:dyDescent="0.25">
      <c r="Q10586" s="8"/>
    </row>
    <row r="10587" spans="17:17" x14ac:dyDescent="0.25">
      <c r="Q10587" s="8"/>
    </row>
    <row r="10588" spans="17:17" x14ac:dyDescent="0.25">
      <c r="Q10588" s="8"/>
    </row>
    <row r="10589" spans="17:17" x14ac:dyDescent="0.25">
      <c r="Q10589" s="8"/>
    </row>
    <row r="10590" spans="17:17" x14ac:dyDescent="0.25">
      <c r="Q10590" s="8"/>
    </row>
    <row r="10591" spans="17:17" x14ac:dyDescent="0.25">
      <c r="Q10591" s="8"/>
    </row>
    <row r="10592" spans="17:17" x14ac:dyDescent="0.25">
      <c r="Q10592" s="8"/>
    </row>
    <row r="10593" spans="17:17" x14ac:dyDescent="0.25">
      <c r="Q10593" s="8"/>
    </row>
    <row r="10594" spans="17:17" x14ac:dyDescent="0.25">
      <c r="Q10594" s="8"/>
    </row>
    <row r="10595" spans="17:17" x14ac:dyDescent="0.25">
      <c r="Q10595" s="8"/>
    </row>
    <row r="10596" spans="17:17" x14ac:dyDescent="0.25">
      <c r="Q10596" s="8"/>
    </row>
    <row r="10597" spans="17:17" x14ac:dyDescent="0.25">
      <c r="Q10597" s="8"/>
    </row>
    <row r="10598" spans="17:17" x14ac:dyDescent="0.25">
      <c r="Q10598" s="8"/>
    </row>
    <row r="10599" spans="17:17" x14ac:dyDescent="0.25">
      <c r="Q10599" s="8"/>
    </row>
    <row r="10600" spans="17:17" x14ac:dyDescent="0.25">
      <c r="Q10600" s="8"/>
    </row>
    <row r="10601" spans="17:17" x14ac:dyDescent="0.25">
      <c r="Q10601" s="8"/>
    </row>
    <row r="10602" spans="17:17" x14ac:dyDescent="0.25">
      <c r="Q10602" s="8"/>
    </row>
    <row r="10603" spans="17:17" x14ac:dyDescent="0.25">
      <c r="Q10603" s="8"/>
    </row>
    <row r="10604" spans="17:17" x14ac:dyDescent="0.25">
      <c r="Q10604" s="8"/>
    </row>
    <row r="10605" spans="17:17" x14ac:dyDescent="0.25">
      <c r="Q10605" s="8"/>
    </row>
    <row r="10606" spans="17:17" x14ac:dyDescent="0.25">
      <c r="Q10606" s="8"/>
    </row>
    <row r="10607" spans="17:17" x14ac:dyDescent="0.25">
      <c r="Q10607" s="8"/>
    </row>
    <row r="10608" spans="17:17" x14ac:dyDescent="0.25">
      <c r="Q10608" s="8"/>
    </row>
    <row r="10609" spans="17:17" x14ac:dyDescent="0.25">
      <c r="Q10609" s="8"/>
    </row>
    <row r="10610" spans="17:17" x14ac:dyDescent="0.25">
      <c r="Q10610" s="8"/>
    </row>
    <row r="10611" spans="17:17" x14ac:dyDescent="0.25">
      <c r="Q10611" s="8"/>
    </row>
    <row r="10612" spans="17:17" x14ac:dyDescent="0.25">
      <c r="Q10612" s="8"/>
    </row>
    <row r="10613" spans="17:17" x14ac:dyDescent="0.25">
      <c r="Q10613" s="8"/>
    </row>
    <row r="10614" spans="17:17" x14ac:dyDescent="0.25">
      <c r="Q10614" s="8"/>
    </row>
    <row r="10615" spans="17:17" x14ac:dyDescent="0.25">
      <c r="Q10615" s="8"/>
    </row>
    <row r="10616" spans="17:17" x14ac:dyDescent="0.25">
      <c r="Q10616" s="8"/>
    </row>
    <row r="10617" spans="17:17" x14ac:dyDescent="0.25">
      <c r="Q10617" s="8"/>
    </row>
    <row r="10618" spans="17:17" x14ac:dyDescent="0.25">
      <c r="Q10618" s="8"/>
    </row>
    <row r="10619" spans="17:17" x14ac:dyDescent="0.25">
      <c r="Q10619" s="8"/>
    </row>
    <row r="10620" spans="17:17" x14ac:dyDescent="0.25">
      <c r="Q10620" s="8"/>
    </row>
    <row r="10621" spans="17:17" x14ac:dyDescent="0.25">
      <c r="Q10621" s="8"/>
    </row>
    <row r="10622" spans="17:17" x14ac:dyDescent="0.25">
      <c r="Q10622" s="8"/>
    </row>
    <row r="10623" spans="17:17" x14ac:dyDescent="0.25">
      <c r="Q10623" s="8"/>
    </row>
    <row r="10624" spans="17:17" x14ac:dyDescent="0.25">
      <c r="Q10624" s="8"/>
    </row>
    <row r="10625" spans="17:17" x14ac:dyDescent="0.25">
      <c r="Q10625" s="8"/>
    </row>
    <row r="10626" spans="17:17" x14ac:dyDescent="0.25">
      <c r="Q10626" s="8"/>
    </row>
    <row r="10627" spans="17:17" x14ac:dyDescent="0.25">
      <c r="Q10627" s="8"/>
    </row>
    <row r="10628" spans="17:17" x14ac:dyDescent="0.25">
      <c r="Q10628" s="8"/>
    </row>
    <row r="10629" spans="17:17" x14ac:dyDescent="0.25">
      <c r="Q10629" s="8"/>
    </row>
    <row r="10630" spans="17:17" x14ac:dyDescent="0.25">
      <c r="Q10630" s="8"/>
    </row>
    <row r="10631" spans="17:17" x14ac:dyDescent="0.25">
      <c r="Q10631" s="8"/>
    </row>
    <row r="10632" spans="17:17" x14ac:dyDescent="0.25">
      <c r="Q10632" s="8"/>
    </row>
    <row r="10633" spans="17:17" x14ac:dyDescent="0.25">
      <c r="Q10633" s="8"/>
    </row>
    <row r="10634" spans="17:17" x14ac:dyDescent="0.25">
      <c r="Q10634" s="8"/>
    </row>
    <row r="10635" spans="17:17" x14ac:dyDescent="0.25">
      <c r="Q10635" s="8"/>
    </row>
    <row r="10636" spans="17:17" x14ac:dyDescent="0.25">
      <c r="Q10636" s="8"/>
    </row>
    <row r="10637" spans="17:17" x14ac:dyDescent="0.25">
      <c r="Q10637" s="8"/>
    </row>
    <row r="10638" spans="17:17" x14ac:dyDescent="0.25">
      <c r="Q10638" s="8"/>
    </row>
    <row r="10639" spans="17:17" x14ac:dyDescent="0.25">
      <c r="Q10639" s="8"/>
    </row>
    <row r="10640" spans="17:17" x14ac:dyDescent="0.25">
      <c r="Q10640" s="8"/>
    </row>
    <row r="10641" spans="17:17" x14ac:dyDescent="0.25">
      <c r="Q10641" s="8"/>
    </row>
    <row r="10642" spans="17:17" x14ac:dyDescent="0.25">
      <c r="Q10642" s="8"/>
    </row>
    <row r="10643" spans="17:17" x14ac:dyDescent="0.25">
      <c r="Q10643" s="8"/>
    </row>
    <row r="10644" spans="17:17" x14ac:dyDescent="0.25">
      <c r="Q10644" s="8"/>
    </row>
    <row r="10645" spans="17:17" x14ac:dyDescent="0.25">
      <c r="Q10645" s="8"/>
    </row>
    <row r="10646" spans="17:17" x14ac:dyDescent="0.25">
      <c r="Q10646" s="8"/>
    </row>
    <row r="10647" spans="17:17" x14ac:dyDescent="0.25">
      <c r="Q10647" s="8"/>
    </row>
    <row r="10648" spans="17:17" x14ac:dyDescent="0.25">
      <c r="Q10648" s="8"/>
    </row>
    <row r="10649" spans="17:17" x14ac:dyDescent="0.25">
      <c r="Q10649" s="8"/>
    </row>
    <row r="10650" spans="17:17" x14ac:dyDescent="0.25">
      <c r="Q10650" s="8"/>
    </row>
    <row r="10651" spans="17:17" x14ac:dyDescent="0.25">
      <c r="Q10651" s="8"/>
    </row>
    <row r="10652" spans="17:17" x14ac:dyDescent="0.25">
      <c r="Q10652" s="8"/>
    </row>
    <row r="10653" spans="17:17" x14ac:dyDescent="0.25">
      <c r="Q10653" s="8"/>
    </row>
    <row r="10654" spans="17:17" x14ac:dyDescent="0.25">
      <c r="Q10654" s="8"/>
    </row>
    <row r="10655" spans="17:17" x14ac:dyDescent="0.25">
      <c r="Q10655" s="8"/>
    </row>
    <row r="10656" spans="17:17" x14ac:dyDescent="0.25">
      <c r="Q10656" s="8"/>
    </row>
    <row r="10657" spans="17:17" x14ac:dyDescent="0.25">
      <c r="Q10657" s="8"/>
    </row>
    <row r="10658" spans="17:17" x14ac:dyDescent="0.25">
      <c r="Q10658" s="8"/>
    </row>
    <row r="10659" spans="17:17" x14ac:dyDescent="0.25">
      <c r="Q10659" s="8"/>
    </row>
    <row r="10660" spans="17:17" x14ac:dyDescent="0.25">
      <c r="Q10660" s="8"/>
    </row>
    <row r="10661" spans="17:17" x14ac:dyDescent="0.25">
      <c r="Q10661" s="8"/>
    </row>
    <row r="10662" spans="17:17" x14ac:dyDescent="0.25">
      <c r="Q10662" s="8"/>
    </row>
    <row r="10663" spans="17:17" x14ac:dyDescent="0.25">
      <c r="Q10663" s="8"/>
    </row>
    <row r="10664" spans="17:17" x14ac:dyDescent="0.25">
      <c r="Q10664" s="8"/>
    </row>
    <row r="10665" spans="17:17" x14ac:dyDescent="0.25">
      <c r="Q10665" s="8"/>
    </row>
    <row r="10666" spans="17:17" x14ac:dyDescent="0.25">
      <c r="Q10666" s="8"/>
    </row>
    <row r="10667" spans="17:17" x14ac:dyDescent="0.25">
      <c r="Q10667" s="8"/>
    </row>
    <row r="10668" spans="17:17" x14ac:dyDescent="0.25">
      <c r="Q10668" s="8"/>
    </row>
    <row r="10669" spans="17:17" x14ac:dyDescent="0.25">
      <c r="Q10669" s="8"/>
    </row>
    <row r="10670" spans="17:17" x14ac:dyDescent="0.25">
      <c r="Q10670" s="8"/>
    </row>
    <row r="10671" spans="17:17" x14ac:dyDescent="0.25">
      <c r="Q10671" s="8"/>
    </row>
    <row r="10672" spans="17:17" x14ac:dyDescent="0.25">
      <c r="Q10672" s="8"/>
    </row>
    <row r="10673" spans="17:17" x14ac:dyDescent="0.25">
      <c r="Q10673" s="8"/>
    </row>
    <row r="10674" spans="17:17" x14ac:dyDescent="0.25">
      <c r="Q10674" s="8"/>
    </row>
    <row r="10675" spans="17:17" x14ac:dyDescent="0.25">
      <c r="Q10675" s="8"/>
    </row>
    <row r="10676" spans="17:17" x14ac:dyDescent="0.25">
      <c r="Q10676" s="8"/>
    </row>
    <row r="10677" spans="17:17" x14ac:dyDescent="0.25">
      <c r="Q10677" s="8"/>
    </row>
    <row r="10678" spans="17:17" x14ac:dyDescent="0.25">
      <c r="Q10678" s="8"/>
    </row>
    <row r="10679" spans="17:17" x14ac:dyDescent="0.25">
      <c r="Q10679" s="8"/>
    </row>
    <row r="10680" spans="17:17" x14ac:dyDescent="0.25">
      <c r="Q10680" s="8"/>
    </row>
    <row r="10681" spans="17:17" x14ac:dyDescent="0.25">
      <c r="Q10681" s="8"/>
    </row>
    <row r="10682" spans="17:17" x14ac:dyDescent="0.25">
      <c r="Q10682" s="8"/>
    </row>
    <row r="10683" spans="17:17" x14ac:dyDescent="0.25">
      <c r="Q10683" s="8"/>
    </row>
    <row r="10684" spans="17:17" x14ac:dyDescent="0.25">
      <c r="Q10684" s="8"/>
    </row>
    <row r="10685" spans="17:17" x14ac:dyDescent="0.25">
      <c r="Q10685" s="8"/>
    </row>
    <row r="10686" spans="17:17" x14ac:dyDescent="0.25">
      <c r="Q10686" s="8"/>
    </row>
    <row r="10687" spans="17:17" x14ac:dyDescent="0.25">
      <c r="Q10687" s="8"/>
    </row>
    <row r="10688" spans="17:17" x14ac:dyDescent="0.25">
      <c r="Q10688" s="8"/>
    </row>
    <row r="10689" spans="17:17" x14ac:dyDescent="0.25">
      <c r="Q10689" s="8"/>
    </row>
    <row r="10690" spans="17:17" x14ac:dyDescent="0.25">
      <c r="Q10690" s="8"/>
    </row>
    <row r="10691" spans="17:17" x14ac:dyDescent="0.25">
      <c r="Q10691" s="8"/>
    </row>
    <row r="10692" spans="17:17" x14ac:dyDescent="0.25">
      <c r="Q10692" s="8"/>
    </row>
    <row r="10693" spans="17:17" x14ac:dyDescent="0.25">
      <c r="Q10693" s="8"/>
    </row>
    <row r="10694" spans="17:17" x14ac:dyDescent="0.25">
      <c r="Q10694" s="8"/>
    </row>
    <row r="10695" spans="17:17" x14ac:dyDescent="0.25">
      <c r="Q10695" s="8"/>
    </row>
    <row r="10696" spans="17:17" x14ac:dyDescent="0.25">
      <c r="Q10696" s="8"/>
    </row>
    <row r="10697" spans="17:17" x14ac:dyDescent="0.25">
      <c r="Q10697" s="8"/>
    </row>
    <row r="10698" spans="17:17" x14ac:dyDescent="0.25">
      <c r="Q10698" s="8"/>
    </row>
    <row r="10699" spans="17:17" x14ac:dyDescent="0.25">
      <c r="Q10699" s="8"/>
    </row>
    <row r="10700" spans="17:17" x14ac:dyDescent="0.25">
      <c r="Q10700" s="8"/>
    </row>
    <row r="10701" spans="17:17" x14ac:dyDescent="0.25">
      <c r="Q10701" s="8"/>
    </row>
    <row r="10702" spans="17:17" x14ac:dyDescent="0.25">
      <c r="Q10702" s="8"/>
    </row>
    <row r="10703" spans="17:17" x14ac:dyDescent="0.25">
      <c r="Q10703" s="8"/>
    </row>
    <row r="10704" spans="17:17" x14ac:dyDescent="0.25">
      <c r="Q10704" s="8"/>
    </row>
    <row r="10705" spans="17:17" x14ac:dyDescent="0.25">
      <c r="Q10705" s="8"/>
    </row>
    <row r="10706" spans="17:17" x14ac:dyDescent="0.25">
      <c r="Q10706" s="8"/>
    </row>
    <row r="10707" spans="17:17" x14ac:dyDescent="0.25">
      <c r="Q10707" s="8"/>
    </row>
    <row r="10708" spans="17:17" x14ac:dyDescent="0.25">
      <c r="Q10708" s="8"/>
    </row>
    <row r="10709" spans="17:17" x14ac:dyDescent="0.25">
      <c r="Q10709" s="8"/>
    </row>
    <row r="10710" spans="17:17" x14ac:dyDescent="0.25">
      <c r="Q10710" s="8"/>
    </row>
    <row r="10711" spans="17:17" x14ac:dyDescent="0.25">
      <c r="Q10711" s="8"/>
    </row>
    <row r="10712" spans="17:17" x14ac:dyDescent="0.25">
      <c r="Q10712" s="8"/>
    </row>
    <row r="10713" spans="17:17" x14ac:dyDescent="0.25">
      <c r="Q10713" s="8"/>
    </row>
    <row r="10714" spans="17:17" x14ac:dyDescent="0.25">
      <c r="Q10714" s="8"/>
    </row>
    <row r="10715" spans="17:17" x14ac:dyDescent="0.25">
      <c r="Q10715" s="8"/>
    </row>
    <row r="10716" spans="17:17" x14ac:dyDescent="0.25">
      <c r="Q10716" s="8"/>
    </row>
    <row r="10717" spans="17:17" x14ac:dyDescent="0.25">
      <c r="Q10717" s="8"/>
    </row>
    <row r="10718" spans="17:17" x14ac:dyDescent="0.25">
      <c r="Q10718" s="8"/>
    </row>
    <row r="10719" spans="17:17" x14ac:dyDescent="0.25">
      <c r="Q10719" s="8"/>
    </row>
    <row r="10720" spans="17:17" x14ac:dyDescent="0.25">
      <c r="Q10720" s="8"/>
    </row>
    <row r="10721" spans="17:17" x14ac:dyDescent="0.25">
      <c r="Q10721" s="8"/>
    </row>
    <row r="10722" spans="17:17" x14ac:dyDescent="0.25">
      <c r="Q10722" s="8"/>
    </row>
    <row r="10723" spans="17:17" x14ac:dyDescent="0.25">
      <c r="Q10723" s="8"/>
    </row>
    <row r="10724" spans="17:17" x14ac:dyDescent="0.25">
      <c r="Q10724" s="8"/>
    </row>
    <row r="10725" spans="17:17" x14ac:dyDescent="0.25">
      <c r="Q10725" s="8"/>
    </row>
    <row r="10726" spans="17:17" x14ac:dyDescent="0.25">
      <c r="Q10726" s="8"/>
    </row>
    <row r="10727" spans="17:17" x14ac:dyDescent="0.25">
      <c r="Q10727" s="8"/>
    </row>
    <row r="10728" spans="17:17" x14ac:dyDescent="0.25">
      <c r="Q10728" s="8"/>
    </row>
    <row r="10729" spans="17:17" x14ac:dyDescent="0.25">
      <c r="Q10729" s="8"/>
    </row>
    <row r="10730" spans="17:17" x14ac:dyDescent="0.25">
      <c r="Q10730" s="8"/>
    </row>
    <row r="10731" spans="17:17" x14ac:dyDescent="0.25">
      <c r="Q10731" s="8"/>
    </row>
    <row r="10732" spans="17:17" x14ac:dyDescent="0.25">
      <c r="Q10732" s="8"/>
    </row>
    <row r="10733" spans="17:17" x14ac:dyDescent="0.25">
      <c r="Q10733" s="8"/>
    </row>
    <row r="10734" spans="17:17" x14ac:dyDescent="0.25">
      <c r="Q10734" s="8"/>
    </row>
    <row r="10735" spans="17:17" x14ac:dyDescent="0.25">
      <c r="Q10735" s="8"/>
    </row>
    <row r="10736" spans="17:17" x14ac:dyDescent="0.25">
      <c r="Q10736" s="8"/>
    </row>
    <row r="10737" spans="17:17" x14ac:dyDescent="0.25">
      <c r="Q10737" s="8"/>
    </row>
    <row r="10738" spans="17:17" x14ac:dyDescent="0.25">
      <c r="Q10738" s="8"/>
    </row>
    <row r="10739" spans="17:17" x14ac:dyDescent="0.25">
      <c r="Q10739" s="8"/>
    </row>
    <row r="10740" spans="17:17" x14ac:dyDescent="0.25">
      <c r="Q10740" s="8"/>
    </row>
    <row r="10741" spans="17:17" x14ac:dyDescent="0.25">
      <c r="Q10741" s="8"/>
    </row>
    <row r="10742" spans="17:17" x14ac:dyDescent="0.25">
      <c r="Q10742" s="8"/>
    </row>
    <row r="10743" spans="17:17" x14ac:dyDescent="0.25">
      <c r="Q10743" s="8"/>
    </row>
    <row r="10744" spans="17:17" x14ac:dyDescent="0.25">
      <c r="Q10744" s="8"/>
    </row>
    <row r="10745" spans="17:17" x14ac:dyDescent="0.25">
      <c r="Q10745" s="8"/>
    </row>
    <row r="10746" spans="17:17" x14ac:dyDescent="0.25">
      <c r="Q10746" s="8"/>
    </row>
    <row r="10747" spans="17:17" x14ac:dyDescent="0.25">
      <c r="Q10747" s="8"/>
    </row>
    <row r="10748" spans="17:17" x14ac:dyDescent="0.25">
      <c r="Q10748" s="8"/>
    </row>
    <row r="10749" spans="17:17" x14ac:dyDescent="0.25">
      <c r="Q10749" s="8"/>
    </row>
    <row r="10750" spans="17:17" x14ac:dyDescent="0.25">
      <c r="Q10750" s="8"/>
    </row>
    <row r="10751" spans="17:17" x14ac:dyDescent="0.25">
      <c r="Q10751" s="8"/>
    </row>
    <row r="10752" spans="17:17" x14ac:dyDescent="0.25">
      <c r="Q10752" s="8"/>
    </row>
    <row r="10753" spans="17:17" x14ac:dyDescent="0.25">
      <c r="Q10753" s="8"/>
    </row>
    <row r="10754" spans="17:17" x14ac:dyDescent="0.25">
      <c r="Q10754" s="8"/>
    </row>
    <row r="10755" spans="17:17" x14ac:dyDescent="0.25">
      <c r="Q10755" s="8"/>
    </row>
    <row r="10756" spans="17:17" x14ac:dyDescent="0.25">
      <c r="Q10756" s="8"/>
    </row>
    <row r="10757" spans="17:17" x14ac:dyDescent="0.25">
      <c r="Q10757" s="8"/>
    </row>
    <row r="10758" spans="17:17" x14ac:dyDescent="0.25">
      <c r="Q10758" s="8"/>
    </row>
    <row r="10759" spans="17:17" x14ac:dyDescent="0.25">
      <c r="Q10759" s="8"/>
    </row>
    <row r="10760" spans="17:17" x14ac:dyDescent="0.25">
      <c r="Q10760" s="8"/>
    </row>
    <row r="10761" spans="17:17" x14ac:dyDescent="0.25">
      <c r="Q10761" s="8"/>
    </row>
    <row r="10762" spans="17:17" x14ac:dyDescent="0.25">
      <c r="Q10762" s="8"/>
    </row>
    <row r="10763" spans="17:17" x14ac:dyDescent="0.25">
      <c r="Q10763" s="8"/>
    </row>
    <row r="10764" spans="17:17" x14ac:dyDescent="0.25">
      <c r="Q10764" s="8"/>
    </row>
    <row r="10765" spans="17:17" x14ac:dyDescent="0.25">
      <c r="Q10765" s="8"/>
    </row>
    <row r="10766" spans="17:17" x14ac:dyDescent="0.25">
      <c r="Q10766" s="8"/>
    </row>
    <row r="10767" spans="17:17" x14ac:dyDescent="0.25">
      <c r="Q10767" s="8"/>
    </row>
    <row r="10768" spans="17:17" x14ac:dyDescent="0.25">
      <c r="Q10768" s="8"/>
    </row>
    <row r="10769" spans="17:17" x14ac:dyDescent="0.25">
      <c r="Q10769" s="8"/>
    </row>
    <row r="10770" spans="17:17" x14ac:dyDescent="0.25">
      <c r="Q10770" s="8"/>
    </row>
    <row r="10771" spans="17:17" x14ac:dyDescent="0.25">
      <c r="Q10771" s="8"/>
    </row>
    <row r="10772" spans="17:17" x14ac:dyDescent="0.25">
      <c r="Q10772" s="8"/>
    </row>
    <row r="10773" spans="17:17" x14ac:dyDescent="0.25">
      <c r="Q10773" s="8"/>
    </row>
    <row r="10774" spans="17:17" x14ac:dyDescent="0.25">
      <c r="Q10774" s="8"/>
    </row>
    <row r="10775" spans="17:17" x14ac:dyDescent="0.25">
      <c r="Q10775" s="8"/>
    </row>
    <row r="10776" spans="17:17" x14ac:dyDescent="0.25">
      <c r="Q10776" s="8"/>
    </row>
    <row r="10777" spans="17:17" x14ac:dyDescent="0.25">
      <c r="Q10777" s="8"/>
    </row>
    <row r="10778" spans="17:17" x14ac:dyDescent="0.25">
      <c r="Q10778" s="8"/>
    </row>
    <row r="10779" spans="17:17" x14ac:dyDescent="0.25">
      <c r="Q10779" s="8"/>
    </row>
    <row r="10780" spans="17:17" x14ac:dyDescent="0.25">
      <c r="Q10780" s="8"/>
    </row>
    <row r="10781" spans="17:17" x14ac:dyDescent="0.25">
      <c r="Q10781" s="8"/>
    </row>
    <row r="10782" spans="17:17" x14ac:dyDescent="0.25">
      <c r="Q10782" s="8"/>
    </row>
    <row r="10783" spans="17:17" x14ac:dyDescent="0.25">
      <c r="Q10783" s="8"/>
    </row>
    <row r="10784" spans="17:17" x14ac:dyDescent="0.25">
      <c r="Q10784" s="8"/>
    </row>
    <row r="10785" spans="17:17" x14ac:dyDescent="0.25">
      <c r="Q10785" s="8"/>
    </row>
    <row r="10786" spans="17:17" x14ac:dyDescent="0.25">
      <c r="Q10786" s="8"/>
    </row>
    <row r="10787" spans="17:17" x14ac:dyDescent="0.25">
      <c r="Q10787" s="8"/>
    </row>
    <row r="10788" spans="17:17" x14ac:dyDescent="0.25">
      <c r="Q10788" s="8"/>
    </row>
    <row r="10789" spans="17:17" x14ac:dyDescent="0.25">
      <c r="Q10789" s="8"/>
    </row>
    <row r="10790" spans="17:17" x14ac:dyDescent="0.25">
      <c r="Q10790" s="8"/>
    </row>
    <row r="10791" spans="17:17" x14ac:dyDescent="0.25">
      <c r="Q10791" s="8"/>
    </row>
    <row r="10792" spans="17:17" x14ac:dyDescent="0.25">
      <c r="Q10792" s="8"/>
    </row>
    <row r="10793" spans="17:17" x14ac:dyDescent="0.25">
      <c r="Q10793" s="8"/>
    </row>
    <row r="10794" spans="17:17" x14ac:dyDescent="0.25">
      <c r="Q10794" s="8"/>
    </row>
    <row r="10795" spans="17:17" x14ac:dyDescent="0.25">
      <c r="Q10795" s="8"/>
    </row>
    <row r="10796" spans="17:17" x14ac:dyDescent="0.25">
      <c r="Q10796" s="8"/>
    </row>
    <row r="10797" spans="17:17" x14ac:dyDescent="0.25">
      <c r="Q10797" s="8"/>
    </row>
    <row r="10798" spans="17:17" x14ac:dyDescent="0.25">
      <c r="Q10798" s="8"/>
    </row>
    <row r="10799" spans="17:17" x14ac:dyDescent="0.25">
      <c r="Q10799" s="8"/>
    </row>
    <row r="10800" spans="17:17" x14ac:dyDescent="0.25">
      <c r="Q10800" s="8"/>
    </row>
    <row r="10801" spans="17:17" x14ac:dyDescent="0.25">
      <c r="Q10801" s="8"/>
    </row>
    <row r="10802" spans="17:17" x14ac:dyDescent="0.25">
      <c r="Q10802" s="8"/>
    </row>
    <row r="10803" spans="17:17" x14ac:dyDescent="0.25">
      <c r="Q10803" s="8"/>
    </row>
    <row r="10804" spans="17:17" x14ac:dyDescent="0.25">
      <c r="Q10804" s="8"/>
    </row>
    <row r="10805" spans="17:17" x14ac:dyDescent="0.25">
      <c r="Q10805" s="8"/>
    </row>
    <row r="10806" spans="17:17" x14ac:dyDescent="0.25">
      <c r="Q10806" s="8"/>
    </row>
    <row r="10807" spans="17:17" x14ac:dyDescent="0.25">
      <c r="Q10807" s="8"/>
    </row>
    <row r="10808" spans="17:17" x14ac:dyDescent="0.25">
      <c r="Q10808" s="8"/>
    </row>
    <row r="10809" spans="17:17" x14ac:dyDescent="0.25">
      <c r="Q10809" s="8"/>
    </row>
    <row r="10810" spans="17:17" x14ac:dyDescent="0.25">
      <c r="Q10810" s="8"/>
    </row>
    <row r="10811" spans="17:17" x14ac:dyDescent="0.25">
      <c r="Q10811" s="8"/>
    </row>
    <row r="10812" spans="17:17" x14ac:dyDescent="0.25">
      <c r="Q10812" s="8"/>
    </row>
    <row r="10813" spans="17:17" x14ac:dyDescent="0.25">
      <c r="Q10813" s="8"/>
    </row>
    <row r="10814" spans="17:17" x14ac:dyDescent="0.25">
      <c r="Q10814" s="8"/>
    </row>
    <row r="10815" spans="17:17" x14ac:dyDescent="0.25">
      <c r="Q10815" s="8"/>
    </row>
    <row r="10816" spans="17:17" x14ac:dyDescent="0.25">
      <c r="Q10816" s="8"/>
    </row>
    <row r="10817" spans="17:17" x14ac:dyDescent="0.25">
      <c r="Q10817" s="8"/>
    </row>
    <row r="10818" spans="17:17" x14ac:dyDescent="0.25">
      <c r="Q10818" s="8"/>
    </row>
    <row r="10819" spans="17:17" x14ac:dyDescent="0.25">
      <c r="Q10819" s="8"/>
    </row>
    <row r="10820" spans="17:17" x14ac:dyDescent="0.25">
      <c r="Q10820" s="8"/>
    </row>
    <row r="10821" spans="17:17" x14ac:dyDescent="0.25">
      <c r="Q10821" s="8"/>
    </row>
    <row r="10822" spans="17:17" x14ac:dyDescent="0.25">
      <c r="Q10822" s="8"/>
    </row>
    <row r="10823" spans="17:17" x14ac:dyDescent="0.25">
      <c r="Q10823" s="8"/>
    </row>
    <row r="10824" spans="17:17" x14ac:dyDescent="0.25">
      <c r="Q10824" s="8"/>
    </row>
    <row r="10825" spans="17:17" x14ac:dyDescent="0.25">
      <c r="Q10825" s="8"/>
    </row>
    <row r="10826" spans="17:17" x14ac:dyDescent="0.25">
      <c r="Q10826" s="8"/>
    </row>
    <row r="10827" spans="17:17" x14ac:dyDescent="0.25">
      <c r="Q10827" s="8"/>
    </row>
    <row r="10828" spans="17:17" x14ac:dyDescent="0.25">
      <c r="Q10828" s="8"/>
    </row>
    <row r="10829" spans="17:17" x14ac:dyDescent="0.25">
      <c r="Q10829" s="8"/>
    </row>
    <row r="10830" spans="17:17" x14ac:dyDescent="0.25">
      <c r="Q10830" s="8"/>
    </row>
    <row r="10831" spans="17:17" x14ac:dyDescent="0.25">
      <c r="Q10831" s="8"/>
    </row>
    <row r="10832" spans="17:17" x14ac:dyDescent="0.25">
      <c r="Q10832" s="8"/>
    </row>
    <row r="10833" spans="17:17" x14ac:dyDescent="0.25">
      <c r="Q10833" s="8"/>
    </row>
    <row r="10834" spans="17:17" x14ac:dyDescent="0.25">
      <c r="Q10834" s="8"/>
    </row>
    <row r="10835" spans="17:17" x14ac:dyDescent="0.25">
      <c r="Q10835" s="8"/>
    </row>
    <row r="10836" spans="17:17" x14ac:dyDescent="0.25">
      <c r="Q10836" s="8"/>
    </row>
    <row r="10837" spans="17:17" x14ac:dyDescent="0.25">
      <c r="Q10837" s="8"/>
    </row>
    <row r="10838" spans="17:17" x14ac:dyDescent="0.25">
      <c r="Q10838" s="8"/>
    </row>
    <row r="10839" spans="17:17" x14ac:dyDescent="0.25">
      <c r="Q10839" s="8"/>
    </row>
    <row r="10840" spans="17:17" x14ac:dyDescent="0.25">
      <c r="Q10840" s="8"/>
    </row>
    <row r="10841" spans="17:17" x14ac:dyDescent="0.25">
      <c r="Q10841" s="8"/>
    </row>
    <row r="10842" spans="17:17" x14ac:dyDescent="0.25">
      <c r="Q10842" s="8"/>
    </row>
    <row r="10843" spans="17:17" x14ac:dyDescent="0.25">
      <c r="Q10843" s="8"/>
    </row>
    <row r="10844" spans="17:17" x14ac:dyDescent="0.25">
      <c r="Q10844" s="8"/>
    </row>
    <row r="10845" spans="17:17" x14ac:dyDescent="0.25">
      <c r="Q10845" s="8"/>
    </row>
    <row r="10846" spans="17:17" x14ac:dyDescent="0.25">
      <c r="Q10846" s="8"/>
    </row>
    <row r="10847" spans="17:17" x14ac:dyDescent="0.25">
      <c r="Q10847" s="8"/>
    </row>
    <row r="10848" spans="17:17" x14ac:dyDescent="0.25">
      <c r="Q10848" s="8"/>
    </row>
    <row r="10849" spans="17:17" x14ac:dyDescent="0.25">
      <c r="Q10849" s="8"/>
    </row>
    <row r="10850" spans="17:17" x14ac:dyDescent="0.25">
      <c r="Q10850" s="8"/>
    </row>
    <row r="10851" spans="17:17" x14ac:dyDescent="0.25">
      <c r="Q10851" s="8"/>
    </row>
    <row r="10852" spans="17:17" x14ac:dyDescent="0.25">
      <c r="Q10852" s="8"/>
    </row>
    <row r="10853" spans="17:17" x14ac:dyDescent="0.25">
      <c r="Q10853" s="8"/>
    </row>
    <row r="10854" spans="17:17" x14ac:dyDescent="0.25">
      <c r="Q10854" s="8"/>
    </row>
    <row r="10855" spans="17:17" x14ac:dyDescent="0.25">
      <c r="Q10855" s="8"/>
    </row>
    <row r="10856" spans="17:17" x14ac:dyDescent="0.25">
      <c r="Q10856" s="8"/>
    </row>
    <row r="10857" spans="17:17" x14ac:dyDescent="0.25">
      <c r="Q10857" s="8"/>
    </row>
    <row r="10858" spans="17:17" x14ac:dyDescent="0.25">
      <c r="Q10858" s="8"/>
    </row>
    <row r="10859" spans="17:17" x14ac:dyDescent="0.25">
      <c r="Q10859" s="8"/>
    </row>
    <row r="10860" spans="17:17" x14ac:dyDescent="0.25">
      <c r="Q10860" s="8"/>
    </row>
    <row r="10861" spans="17:17" x14ac:dyDescent="0.25">
      <c r="Q10861" s="8"/>
    </row>
    <row r="10862" spans="17:17" x14ac:dyDescent="0.25">
      <c r="Q10862" s="8"/>
    </row>
    <row r="10863" spans="17:17" x14ac:dyDescent="0.25">
      <c r="Q10863" s="8"/>
    </row>
    <row r="10864" spans="17:17" x14ac:dyDescent="0.25">
      <c r="Q10864" s="8"/>
    </row>
    <row r="10865" spans="17:17" x14ac:dyDescent="0.25">
      <c r="Q10865" s="8"/>
    </row>
    <row r="10866" spans="17:17" x14ac:dyDescent="0.25">
      <c r="Q10866" s="8"/>
    </row>
    <row r="10867" spans="17:17" x14ac:dyDescent="0.25">
      <c r="Q10867" s="8"/>
    </row>
    <row r="10868" spans="17:17" x14ac:dyDescent="0.25">
      <c r="Q10868" s="8"/>
    </row>
    <row r="10869" spans="17:17" x14ac:dyDescent="0.25">
      <c r="Q10869" s="8"/>
    </row>
    <row r="10870" spans="17:17" x14ac:dyDescent="0.25">
      <c r="Q10870" s="8"/>
    </row>
    <row r="10871" spans="17:17" x14ac:dyDescent="0.25">
      <c r="Q10871" s="8"/>
    </row>
    <row r="10872" spans="17:17" x14ac:dyDescent="0.25">
      <c r="Q10872" s="8"/>
    </row>
    <row r="10873" spans="17:17" x14ac:dyDescent="0.25">
      <c r="Q10873" s="8"/>
    </row>
    <row r="10874" spans="17:17" x14ac:dyDescent="0.25">
      <c r="Q10874" s="8"/>
    </row>
    <row r="10875" spans="17:17" x14ac:dyDescent="0.25">
      <c r="Q10875" s="8"/>
    </row>
    <row r="10876" spans="17:17" x14ac:dyDescent="0.25">
      <c r="Q10876" s="8"/>
    </row>
    <row r="10877" spans="17:17" x14ac:dyDescent="0.25">
      <c r="Q10877" s="8"/>
    </row>
    <row r="10878" spans="17:17" x14ac:dyDescent="0.25">
      <c r="Q10878" s="8"/>
    </row>
    <row r="10879" spans="17:17" x14ac:dyDescent="0.25">
      <c r="Q10879" s="8"/>
    </row>
    <row r="10880" spans="17:17" x14ac:dyDescent="0.25">
      <c r="Q10880" s="8"/>
    </row>
    <row r="10881" spans="17:17" x14ac:dyDescent="0.25">
      <c r="Q10881" s="8"/>
    </row>
    <row r="10882" spans="17:17" x14ac:dyDescent="0.25">
      <c r="Q10882" s="8"/>
    </row>
    <row r="10883" spans="17:17" x14ac:dyDescent="0.25">
      <c r="Q10883" s="8"/>
    </row>
    <row r="10884" spans="17:17" x14ac:dyDescent="0.25">
      <c r="Q10884" s="8"/>
    </row>
    <row r="10885" spans="17:17" x14ac:dyDescent="0.25">
      <c r="Q10885" s="8"/>
    </row>
    <row r="10886" spans="17:17" x14ac:dyDescent="0.25">
      <c r="Q10886" s="8"/>
    </row>
    <row r="10887" spans="17:17" x14ac:dyDescent="0.25">
      <c r="Q10887" s="8"/>
    </row>
    <row r="10888" spans="17:17" x14ac:dyDescent="0.25">
      <c r="Q10888" s="8"/>
    </row>
    <row r="10889" spans="17:17" x14ac:dyDescent="0.25">
      <c r="Q10889" s="8"/>
    </row>
    <row r="10890" spans="17:17" x14ac:dyDescent="0.25">
      <c r="Q10890" s="8"/>
    </row>
    <row r="10891" spans="17:17" x14ac:dyDescent="0.25">
      <c r="Q10891" s="8"/>
    </row>
    <row r="10892" spans="17:17" x14ac:dyDescent="0.25">
      <c r="Q10892" s="8"/>
    </row>
    <row r="10893" spans="17:17" x14ac:dyDescent="0.25">
      <c r="Q10893" s="8"/>
    </row>
    <row r="10894" spans="17:17" x14ac:dyDescent="0.25">
      <c r="Q10894" s="8"/>
    </row>
    <row r="10895" spans="17:17" x14ac:dyDescent="0.25">
      <c r="Q10895" s="8"/>
    </row>
    <row r="10896" spans="17:17" x14ac:dyDescent="0.25">
      <c r="Q10896" s="8"/>
    </row>
    <row r="10897" spans="17:17" x14ac:dyDescent="0.25">
      <c r="Q10897" s="8"/>
    </row>
    <row r="10898" spans="17:17" x14ac:dyDescent="0.25">
      <c r="Q10898" s="8"/>
    </row>
    <row r="10899" spans="17:17" x14ac:dyDescent="0.25">
      <c r="Q10899" s="8"/>
    </row>
    <row r="10900" spans="17:17" x14ac:dyDescent="0.25">
      <c r="Q10900" s="8"/>
    </row>
    <row r="10901" spans="17:17" x14ac:dyDescent="0.25">
      <c r="Q10901" s="8"/>
    </row>
    <row r="10902" spans="17:17" x14ac:dyDescent="0.25">
      <c r="Q10902" s="8"/>
    </row>
    <row r="10903" spans="17:17" x14ac:dyDescent="0.25">
      <c r="Q10903" s="8"/>
    </row>
    <row r="10904" spans="17:17" x14ac:dyDescent="0.25">
      <c r="Q10904" s="8"/>
    </row>
    <row r="10905" spans="17:17" x14ac:dyDescent="0.25">
      <c r="Q10905" s="8"/>
    </row>
    <row r="10906" spans="17:17" x14ac:dyDescent="0.25">
      <c r="Q10906" s="8"/>
    </row>
    <row r="10907" spans="17:17" x14ac:dyDescent="0.25">
      <c r="Q10907" s="8"/>
    </row>
    <row r="10908" spans="17:17" x14ac:dyDescent="0.25">
      <c r="Q10908" s="8"/>
    </row>
    <row r="10909" spans="17:17" x14ac:dyDescent="0.25">
      <c r="Q10909" s="8"/>
    </row>
    <row r="10910" spans="17:17" x14ac:dyDescent="0.25">
      <c r="Q10910" s="8"/>
    </row>
    <row r="10911" spans="17:17" x14ac:dyDescent="0.25">
      <c r="Q10911" s="8"/>
    </row>
    <row r="10912" spans="17:17" x14ac:dyDescent="0.25">
      <c r="Q10912" s="8"/>
    </row>
    <row r="10913" spans="17:17" x14ac:dyDescent="0.25">
      <c r="Q10913" s="8"/>
    </row>
    <row r="10914" spans="17:17" x14ac:dyDescent="0.25">
      <c r="Q10914" s="8"/>
    </row>
    <row r="10915" spans="17:17" x14ac:dyDescent="0.25">
      <c r="Q10915" s="8"/>
    </row>
    <row r="10916" spans="17:17" x14ac:dyDescent="0.25">
      <c r="Q10916" s="8"/>
    </row>
    <row r="10917" spans="17:17" x14ac:dyDescent="0.25">
      <c r="Q10917" s="8"/>
    </row>
    <row r="10918" spans="17:17" x14ac:dyDescent="0.25">
      <c r="Q10918" s="8"/>
    </row>
    <row r="10919" spans="17:17" x14ac:dyDescent="0.25">
      <c r="Q10919" s="8"/>
    </row>
    <row r="10920" spans="17:17" x14ac:dyDescent="0.25">
      <c r="Q10920" s="8"/>
    </row>
    <row r="10921" spans="17:17" x14ac:dyDescent="0.25">
      <c r="Q10921" s="8"/>
    </row>
    <row r="10922" spans="17:17" x14ac:dyDescent="0.25">
      <c r="Q10922" s="8"/>
    </row>
    <row r="10923" spans="17:17" x14ac:dyDescent="0.25">
      <c r="Q10923" s="8"/>
    </row>
    <row r="10924" spans="17:17" x14ac:dyDescent="0.25">
      <c r="Q10924" s="8"/>
    </row>
    <row r="10925" spans="17:17" x14ac:dyDescent="0.25">
      <c r="Q10925" s="8"/>
    </row>
    <row r="10926" spans="17:17" x14ac:dyDescent="0.25">
      <c r="Q10926" s="8"/>
    </row>
    <row r="10927" spans="17:17" x14ac:dyDescent="0.25">
      <c r="Q10927" s="8"/>
    </row>
    <row r="10928" spans="17:17" x14ac:dyDescent="0.25">
      <c r="Q10928" s="8"/>
    </row>
    <row r="10929" spans="17:17" x14ac:dyDescent="0.25">
      <c r="Q10929" s="8"/>
    </row>
    <row r="10930" spans="17:17" x14ac:dyDescent="0.25">
      <c r="Q10930" s="8"/>
    </row>
    <row r="10931" spans="17:17" x14ac:dyDescent="0.25">
      <c r="Q10931" s="8"/>
    </row>
    <row r="10932" spans="17:17" x14ac:dyDescent="0.25">
      <c r="Q10932" s="8"/>
    </row>
    <row r="10933" spans="17:17" x14ac:dyDescent="0.25">
      <c r="Q10933" s="8"/>
    </row>
    <row r="10934" spans="17:17" x14ac:dyDescent="0.25">
      <c r="Q10934" s="8"/>
    </row>
    <row r="10935" spans="17:17" x14ac:dyDescent="0.25">
      <c r="Q10935" s="8"/>
    </row>
    <row r="10936" spans="17:17" x14ac:dyDescent="0.25">
      <c r="Q10936" s="8"/>
    </row>
    <row r="10937" spans="17:17" x14ac:dyDescent="0.25">
      <c r="Q10937" s="8"/>
    </row>
    <row r="10938" spans="17:17" x14ac:dyDescent="0.25">
      <c r="Q10938" s="8"/>
    </row>
    <row r="10939" spans="17:17" x14ac:dyDescent="0.25">
      <c r="Q10939" s="8"/>
    </row>
    <row r="10940" spans="17:17" x14ac:dyDescent="0.25">
      <c r="Q10940" s="8"/>
    </row>
    <row r="10941" spans="17:17" x14ac:dyDescent="0.25">
      <c r="Q10941" s="8"/>
    </row>
    <row r="10942" spans="17:17" x14ac:dyDescent="0.25">
      <c r="Q10942" s="8"/>
    </row>
    <row r="10943" spans="17:17" x14ac:dyDescent="0.25">
      <c r="Q10943" s="8"/>
    </row>
    <row r="10944" spans="17:17" x14ac:dyDescent="0.25">
      <c r="Q10944" s="8"/>
    </row>
    <row r="10945" spans="17:17" x14ac:dyDescent="0.25">
      <c r="Q10945" s="8"/>
    </row>
    <row r="10946" spans="17:17" x14ac:dyDescent="0.25">
      <c r="Q10946" s="8"/>
    </row>
    <row r="10947" spans="17:17" x14ac:dyDescent="0.25">
      <c r="Q10947" s="8"/>
    </row>
    <row r="10948" spans="17:17" x14ac:dyDescent="0.25">
      <c r="Q10948" s="8"/>
    </row>
    <row r="10949" spans="17:17" x14ac:dyDescent="0.25">
      <c r="Q10949" s="8"/>
    </row>
    <row r="10950" spans="17:17" x14ac:dyDescent="0.25">
      <c r="Q10950" s="8"/>
    </row>
    <row r="10951" spans="17:17" x14ac:dyDescent="0.25">
      <c r="Q10951" s="8"/>
    </row>
    <row r="10952" spans="17:17" x14ac:dyDescent="0.25">
      <c r="Q10952" s="8"/>
    </row>
    <row r="10953" spans="17:17" x14ac:dyDescent="0.25">
      <c r="Q10953" s="8"/>
    </row>
    <row r="10954" spans="17:17" x14ac:dyDescent="0.25">
      <c r="Q10954" s="8"/>
    </row>
    <row r="10955" spans="17:17" x14ac:dyDescent="0.25">
      <c r="Q10955" s="8"/>
    </row>
    <row r="10956" spans="17:17" x14ac:dyDescent="0.25">
      <c r="Q10956" s="8"/>
    </row>
    <row r="10957" spans="17:17" x14ac:dyDescent="0.25">
      <c r="Q10957" s="8"/>
    </row>
    <row r="10958" spans="17:17" x14ac:dyDescent="0.25">
      <c r="Q10958" s="8"/>
    </row>
    <row r="10959" spans="17:17" x14ac:dyDescent="0.25">
      <c r="Q10959" s="8"/>
    </row>
    <row r="10960" spans="17:17" x14ac:dyDescent="0.25">
      <c r="Q10960" s="8"/>
    </row>
    <row r="10961" spans="17:17" x14ac:dyDescent="0.25">
      <c r="Q10961" s="8"/>
    </row>
    <row r="10962" spans="17:17" x14ac:dyDescent="0.25">
      <c r="Q10962" s="8"/>
    </row>
    <row r="10963" spans="17:17" x14ac:dyDescent="0.25">
      <c r="Q10963" s="8"/>
    </row>
    <row r="10964" spans="17:17" x14ac:dyDescent="0.25">
      <c r="Q10964" s="8"/>
    </row>
    <row r="10965" spans="17:17" x14ac:dyDescent="0.25">
      <c r="Q10965" s="8"/>
    </row>
    <row r="10966" spans="17:17" x14ac:dyDescent="0.25">
      <c r="Q10966" s="8"/>
    </row>
    <row r="10967" spans="17:17" x14ac:dyDescent="0.25">
      <c r="Q10967" s="8"/>
    </row>
    <row r="10968" spans="17:17" x14ac:dyDescent="0.25">
      <c r="Q10968" s="8"/>
    </row>
    <row r="10969" spans="17:17" x14ac:dyDescent="0.25">
      <c r="Q10969" s="8"/>
    </row>
    <row r="10970" spans="17:17" x14ac:dyDescent="0.25">
      <c r="Q10970" s="8"/>
    </row>
    <row r="10971" spans="17:17" x14ac:dyDescent="0.25">
      <c r="Q10971" s="8"/>
    </row>
    <row r="10972" spans="17:17" x14ac:dyDescent="0.25">
      <c r="Q10972" s="8"/>
    </row>
    <row r="10973" spans="17:17" x14ac:dyDescent="0.25">
      <c r="Q10973" s="8"/>
    </row>
    <row r="10974" spans="17:17" x14ac:dyDescent="0.25">
      <c r="Q10974" s="8"/>
    </row>
    <row r="10975" spans="17:17" x14ac:dyDescent="0.25">
      <c r="Q10975" s="8"/>
    </row>
    <row r="10976" spans="17:17" x14ac:dyDescent="0.25">
      <c r="Q10976" s="8"/>
    </row>
    <row r="10977" spans="17:17" x14ac:dyDescent="0.25">
      <c r="Q10977" s="8"/>
    </row>
    <row r="10978" spans="17:17" x14ac:dyDescent="0.25">
      <c r="Q10978" s="8"/>
    </row>
    <row r="10979" spans="17:17" x14ac:dyDescent="0.25">
      <c r="Q10979" s="8"/>
    </row>
    <row r="10980" spans="17:17" x14ac:dyDescent="0.25">
      <c r="Q10980" s="8"/>
    </row>
    <row r="10981" spans="17:17" x14ac:dyDescent="0.25">
      <c r="Q10981" s="8"/>
    </row>
    <row r="10982" spans="17:17" x14ac:dyDescent="0.25">
      <c r="Q10982" s="8"/>
    </row>
    <row r="10983" spans="17:17" x14ac:dyDescent="0.25">
      <c r="Q10983" s="8"/>
    </row>
    <row r="10984" spans="17:17" x14ac:dyDescent="0.25">
      <c r="Q10984" s="8"/>
    </row>
    <row r="10985" spans="17:17" x14ac:dyDescent="0.25">
      <c r="Q10985" s="8"/>
    </row>
    <row r="10986" spans="17:17" x14ac:dyDescent="0.25">
      <c r="Q10986" s="8"/>
    </row>
    <row r="10987" spans="17:17" x14ac:dyDescent="0.25">
      <c r="Q10987" s="8"/>
    </row>
    <row r="10988" spans="17:17" x14ac:dyDescent="0.25">
      <c r="Q10988" s="8"/>
    </row>
    <row r="10989" spans="17:17" x14ac:dyDescent="0.25">
      <c r="Q10989" s="8"/>
    </row>
    <row r="10990" spans="17:17" x14ac:dyDescent="0.25">
      <c r="Q10990" s="8"/>
    </row>
    <row r="10991" spans="17:17" x14ac:dyDescent="0.25">
      <c r="Q10991" s="8"/>
    </row>
    <row r="10992" spans="17:17" x14ac:dyDescent="0.25">
      <c r="Q10992" s="8"/>
    </row>
    <row r="10993" spans="17:17" x14ac:dyDescent="0.25">
      <c r="Q10993" s="8"/>
    </row>
    <row r="10994" spans="17:17" x14ac:dyDescent="0.25">
      <c r="Q10994" s="8"/>
    </row>
    <row r="10995" spans="17:17" x14ac:dyDescent="0.25">
      <c r="Q10995" s="8"/>
    </row>
    <row r="10996" spans="17:17" x14ac:dyDescent="0.25">
      <c r="Q10996" s="8"/>
    </row>
    <row r="10997" spans="17:17" x14ac:dyDescent="0.25">
      <c r="Q10997" s="8"/>
    </row>
    <row r="10998" spans="17:17" x14ac:dyDescent="0.25">
      <c r="Q10998" s="8"/>
    </row>
    <row r="10999" spans="17:17" x14ac:dyDescent="0.25">
      <c r="Q10999" s="8"/>
    </row>
    <row r="11000" spans="17:17" x14ac:dyDescent="0.25">
      <c r="Q11000" s="8"/>
    </row>
    <row r="11001" spans="17:17" x14ac:dyDescent="0.25">
      <c r="Q11001" s="8"/>
    </row>
    <row r="11002" spans="17:17" x14ac:dyDescent="0.25">
      <c r="Q11002" s="8"/>
    </row>
    <row r="11003" spans="17:17" x14ac:dyDescent="0.25">
      <c r="Q11003" s="8"/>
    </row>
    <row r="11004" spans="17:17" x14ac:dyDescent="0.25">
      <c r="Q11004" s="8"/>
    </row>
    <row r="11005" spans="17:17" x14ac:dyDescent="0.25">
      <c r="Q11005" s="8"/>
    </row>
    <row r="11006" spans="17:17" x14ac:dyDescent="0.25">
      <c r="Q11006" s="8"/>
    </row>
    <row r="11007" spans="17:17" x14ac:dyDescent="0.25">
      <c r="Q11007" s="8"/>
    </row>
    <row r="11008" spans="17:17" x14ac:dyDescent="0.25">
      <c r="Q11008" s="8"/>
    </row>
    <row r="11009" spans="17:17" x14ac:dyDescent="0.25">
      <c r="Q11009" s="8"/>
    </row>
    <row r="11010" spans="17:17" x14ac:dyDescent="0.25">
      <c r="Q11010" s="8"/>
    </row>
    <row r="11011" spans="17:17" x14ac:dyDescent="0.25">
      <c r="Q11011" s="8"/>
    </row>
    <row r="11012" spans="17:17" x14ac:dyDescent="0.25">
      <c r="Q11012" s="8"/>
    </row>
    <row r="11013" spans="17:17" x14ac:dyDescent="0.25">
      <c r="Q11013" s="8"/>
    </row>
    <row r="11014" spans="17:17" x14ac:dyDescent="0.25">
      <c r="Q11014" s="8"/>
    </row>
    <row r="11015" spans="17:17" x14ac:dyDescent="0.25">
      <c r="Q11015" s="8"/>
    </row>
    <row r="11016" spans="17:17" x14ac:dyDescent="0.25">
      <c r="Q11016" s="8"/>
    </row>
    <row r="11017" spans="17:17" x14ac:dyDescent="0.25">
      <c r="Q11017" s="8"/>
    </row>
    <row r="11018" spans="17:17" x14ac:dyDescent="0.25">
      <c r="Q11018" s="8"/>
    </row>
    <row r="11019" spans="17:17" x14ac:dyDescent="0.25">
      <c r="Q11019" s="8"/>
    </row>
    <row r="11020" spans="17:17" x14ac:dyDescent="0.25">
      <c r="Q11020" s="8"/>
    </row>
    <row r="11021" spans="17:17" x14ac:dyDescent="0.25">
      <c r="Q11021" s="8"/>
    </row>
    <row r="11022" spans="17:17" x14ac:dyDescent="0.25">
      <c r="Q11022" s="8"/>
    </row>
    <row r="11023" spans="17:17" x14ac:dyDescent="0.25">
      <c r="Q11023" s="8"/>
    </row>
    <row r="11024" spans="17:17" x14ac:dyDescent="0.25">
      <c r="Q11024" s="8"/>
    </row>
    <row r="11025" spans="17:17" x14ac:dyDescent="0.25">
      <c r="Q11025" s="8"/>
    </row>
    <row r="11026" spans="17:17" x14ac:dyDescent="0.25">
      <c r="Q11026" s="8"/>
    </row>
    <row r="11027" spans="17:17" x14ac:dyDescent="0.25">
      <c r="Q11027" s="8"/>
    </row>
    <row r="11028" spans="17:17" x14ac:dyDescent="0.25">
      <c r="Q11028" s="8"/>
    </row>
    <row r="11029" spans="17:17" x14ac:dyDescent="0.25">
      <c r="Q11029" s="8"/>
    </row>
    <row r="11030" spans="17:17" x14ac:dyDescent="0.25">
      <c r="Q11030" s="8"/>
    </row>
    <row r="11031" spans="17:17" x14ac:dyDescent="0.25">
      <c r="Q11031" s="8"/>
    </row>
    <row r="11032" spans="17:17" x14ac:dyDescent="0.25">
      <c r="Q11032" s="8"/>
    </row>
    <row r="11033" spans="17:17" x14ac:dyDescent="0.25">
      <c r="Q11033" s="8"/>
    </row>
    <row r="11034" spans="17:17" x14ac:dyDescent="0.25">
      <c r="Q11034" s="8"/>
    </row>
    <row r="11035" spans="17:17" x14ac:dyDescent="0.25">
      <c r="Q11035" s="8"/>
    </row>
    <row r="11036" spans="17:17" x14ac:dyDescent="0.25">
      <c r="Q11036" s="8"/>
    </row>
    <row r="11037" spans="17:17" x14ac:dyDescent="0.25">
      <c r="Q11037" s="8"/>
    </row>
    <row r="11038" spans="17:17" x14ac:dyDescent="0.25">
      <c r="Q11038" s="8"/>
    </row>
    <row r="11039" spans="17:17" x14ac:dyDescent="0.25">
      <c r="Q11039" s="8"/>
    </row>
    <row r="11040" spans="17:17" x14ac:dyDescent="0.25">
      <c r="Q11040" s="8"/>
    </row>
    <row r="11041" spans="17:17" x14ac:dyDescent="0.25">
      <c r="Q11041" s="8"/>
    </row>
    <row r="11042" spans="17:17" x14ac:dyDescent="0.25">
      <c r="Q11042" s="8"/>
    </row>
    <row r="11043" spans="17:17" x14ac:dyDescent="0.25">
      <c r="Q11043" s="8"/>
    </row>
    <row r="11044" spans="17:17" x14ac:dyDescent="0.25">
      <c r="Q11044" s="8"/>
    </row>
    <row r="11045" spans="17:17" x14ac:dyDescent="0.25">
      <c r="Q11045" s="8"/>
    </row>
    <row r="11046" spans="17:17" x14ac:dyDescent="0.25">
      <c r="Q11046" s="8"/>
    </row>
    <row r="11047" spans="17:17" x14ac:dyDescent="0.25">
      <c r="Q11047" s="8"/>
    </row>
    <row r="11048" spans="17:17" x14ac:dyDescent="0.25">
      <c r="Q11048" s="8"/>
    </row>
    <row r="11049" spans="17:17" x14ac:dyDescent="0.25">
      <c r="Q11049" s="8"/>
    </row>
    <row r="11050" spans="17:17" x14ac:dyDescent="0.25">
      <c r="Q11050" s="8"/>
    </row>
    <row r="11051" spans="17:17" x14ac:dyDescent="0.25">
      <c r="Q11051" s="8"/>
    </row>
    <row r="11052" spans="17:17" x14ac:dyDescent="0.25">
      <c r="Q11052" s="8"/>
    </row>
    <row r="11053" spans="17:17" x14ac:dyDescent="0.25">
      <c r="Q11053" s="8"/>
    </row>
    <row r="11054" spans="17:17" x14ac:dyDescent="0.25">
      <c r="Q11054" s="8"/>
    </row>
    <row r="11055" spans="17:17" x14ac:dyDescent="0.25">
      <c r="Q11055" s="8"/>
    </row>
    <row r="11056" spans="17:17" x14ac:dyDescent="0.25">
      <c r="Q11056" s="8"/>
    </row>
    <row r="11057" spans="17:17" x14ac:dyDescent="0.25">
      <c r="Q11057" s="8"/>
    </row>
    <row r="11058" spans="17:17" x14ac:dyDescent="0.25">
      <c r="Q11058" s="8"/>
    </row>
    <row r="11059" spans="17:17" x14ac:dyDescent="0.25">
      <c r="Q11059" s="8"/>
    </row>
    <row r="11060" spans="17:17" x14ac:dyDescent="0.25">
      <c r="Q11060" s="8"/>
    </row>
    <row r="11061" spans="17:17" x14ac:dyDescent="0.25">
      <c r="Q11061" s="8"/>
    </row>
    <row r="11062" spans="17:17" x14ac:dyDescent="0.25">
      <c r="Q11062" s="8"/>
    </row>
    <row r="11063" spans="17:17" x14ac:dyDescent="0.25">
      <c r="Q11063" s="8"/>
    </row>
    <row r="11064" spans="17:17" x14ac:dyDescent="0.25">
      <c r="Q11064" s="8"/>
    </row>
    <row r="11065" spans="17:17" x14ac:dyDescent="0.25">
      <c r="Q11065" s="8"/>
    </row>
    <row r="11066" spans="17:17" x14ac:dyDescent="0.25">
      <c r="Q11066" s="8"/>
    </row>
    <row r="11067" spans="17:17" x14ac:dyDescent="0.25">
      <c r="Q11067" s="8"/>
    </row>
    <row r="11068" spans="17:17" x14ac:dyDescent="0.25">
      <c r="Q11068" s="8"/>
    </row>
    <row r="11069" spans="17:17" x14ac:dyDescent="0.25">
      <c r="Q11069" s="8"/>
    </row>
    <row r="11070" spans="17:17" x14ac:dyDescent="0.25">
      <c r="Q11070" s="8"/>
    </row>
    <row r="11071" spans="17:17" x14ac:dyDescent="0.25">
      <c r="Q11071" s="8"/>
    </row>
    <row r="11072" spans="17:17" x14ac:dyDescent="0.25">
      <c r="Q11072" s="8"/>
    </row>
    <row r="11073" spans="17:17" x14ac:dyDescent="0.25">
      <c r="Q11073" s="8"/>
    </row>
    <row r="11074" spans="17:17" x14ac:dyDescent="0.25">
      <c r="Q11074" s="8"/>
    </row>
    <row r="11075" spans="17:17" x14ac:dyDescent="0.25">
      <c r="Q11075" s="8"/>
    </row>
    <row r="11076" spans="17:17" x14ac:dyDescent="0.25">
      <c r="Q11076" s="8"/>
    </row>
    <row r="11077" spans="17:17" x14ac:dyDescent="0.25">
      <c r="Q11077" s="8"/>
    </row>
    <row r="11078" spans="17:17" x14ac:dyDescent="0.25">
      <c r="Q11078" s="8"/>
    </row>
    <row r="11079" spans="17:17" x14ac:dyDescent="0.25">
      <c r="Q11079" s="8"/>
    </row>
    <row r="11080" spans="17:17" x14ac:dyDescent="0.25">
      <c r="Q11080" s="8"/>
    </row>
    <row r="11081" spans="17:17" x14ac:dyDescent="0.25">
      <c r="Q11081" s="8"/>
    </row>
    <row r="11082" spans="17:17" x14ac:dyDescent="0.25">
      <c r="Q11082" s="8"/>
    </row>
    <row r="11083" spans="17:17" x14ac:dyDescent="0.25">
      <c r="Q11083" s="8"/>
    </row>
    <row r="11084" spans="17:17" x14ac:dyDescent="0.25">
      <c r="Q11084" s="8"/>
    </row>
    <row r="11085" spans="17:17" x14ac:dyDescent="0.25">
      <c r="Q11085" s="8"/>
    </row>
    <row r="11086" spans="17:17" x14ac:dyDescent="0.25">
      <c r="Q11086" s="8"/>
    </row>
    <row r="11087" spans="17:17" x14ac:dyDescent="0.25">
      <c r="Q11087" s="8"/>
    </row>
    <row r="11088" spans="17:17" x14ac:dyDescent="0.25">
      <c r="Q11088" s="8"/>
    </row>
    <row r="11089" spans="17:17" x14ac:dyDescent="0.25">
      <c r="Q11089" s="8"/>
    </row>
    <row r="11090" spans="17:17" x14ac:dyDescent="0.25">
      <c r="Q11090" s="8"/>
    </row>
    <row r="11091" spans="17:17" x14ac:dyDescent="0.25">
      <c r="Q11091" s="8"/>
    </row>
    <row r="11092" spans="17:17" x14ac:dyDescent="0.25">
      <c r="Q11092" s="8"/>
    </row>
    <row r="11093" spans="17:17" x14ac:dyDescent="0.25">
      <c r="Q11093" s="8"/>
    </row>
    <row r="11094" spans="17:17" x14ac:dyDescent="0.25">
      <c r="Q11094" s="8"/>
    </row>
    <row r="11095" spans="17:17" x14ac:dyDescent="0.25">
      <c r="Q11095" s="8"/>
    </row>
    <row r="11096" spans="17:17" x14ac:dyDescent="0.25">
      <c r="Q11096" s="8"/>
    </row>
    <row r="11097" spans="17:17" x14ac:dyDescent="0.25">
      <c r="Q11097" s="8"/>
    </row>
    <row r="11098" spans="17:17" x14ac:dyDescent="0.25">
      <c r="Q11098" s="8"/>
    </row>
    <row r="11099" spans="17:17" x14ac:dyDescent="0.25">
      <c r="Q11099" s="8"/>
    </row>
    <row r="11100" spans="17:17" x14ac:dyDescent="0.25">
      <c r="Q11100" s="8"/>
    </row>
    <row r="11101" spans="17:17" x14ac:dyDescent="0.25">
      <c r="Q11101" s="8"/>
    </row>
    <row r="11102" spans="17:17" x14ac:dyDescent="0.25">
      <c r="Q11102" s="8"/>
    </row>
    <row r="11103" spans="17:17" x14ac:dyDescent="0.25">
      <c r="Q11103" s="8"/>
    </row>
    <row r="11104" spans="17:17" x14ac:dyDescent="0.25">
      <c r="Q11104" s="8"/>
    </row>
    <row r="11105" spans="17:17" x14ac:dyDescent="0.25">
      <c r="Q11105" s="8"/>
    </row>
    <row r="11106" spans="17:17" x14ac:dyDescent="0.25">
      <c r="Q11106" s="8"/>
    </row>
    <row r="11107" spans="17:17" x14ac:dyDescent="0.25">
      <c r="Q11107" s="8"/>
    </row>
    <row r="11108" spans="17:17" x14ac:dyDescent="0.25">
      <c r="Q11108" s="8"/>
    </row>
    <row r="11109" spans="17:17" x14ac:dyDescent="0.25">
      <c r="Q11109" s="8"/>
    </row>
    <row r="11110" spans="17:17" x14ac:dyDescent="0.25">
      <c r="Q11110" s="8"/>
    </row>
    <row r="11111" spans="17:17" x14ac:dyDescent="0.25">
      <c r="Q11111" s="8"/>
    </row>
    <row r="11112" spans="17:17" x14ac:dyDescent="0.25">
      <c r="Q11112" s="8"/>
    </row>
    <row r="11113" spans="17:17" x14ac:dyDescent="0.25">
      <c r="Q11113" s="8"/>
    </row>
    <row r="11114" spans="17:17" x14ac:dyDescent="0.25">
      <c r="Q11114" s="8"/>
    </row>
    <row r="11115" spans="17:17" x14ac:dyDescent="0.25">
      <c r="Q11115" s="8"/>
    </row>
    <row r="11116" spans="17:17" x14ac:dyDescent="0.25">
      <c r="Q11116" s="8"/>
    </row>
    <row r="11117" spans="17:17" x14ac:dyDescent="0.25">
      <c r="Q11117" s="8"/>
    </row>
    <row r="11118" spans="17:17" x14ac:dyDescent="0.25">
      <c r="Q11118" s="8"/>
    </row>
    <row r="11119" spans="17:17" x14ac:dyDescent="0.25">
      <c r="Q11119" s="8"/>
    </row>
    <row r="11120" spans="17:17" x14ac:dyDescent="0.25">
      <c r="Q11120" s="8"/>
    </row>
    <row r="11121" spans="17:17" x14ac:dyDescent="0.25">
      <c r="Q11121" s="8"/>
    </row>
    <row r="11122" spans="17:17" x14ac:dyDescent="0.25">
      <c r="Q11122" s="8"/>
    </row>
    <row r="11123" spans="17:17" x14ac:dyDescent="0.25">
      <c r="Q11123" s="8"/>
    </row>
    <row r="11124" spans="17:17" x14ac:dyDescent="0.25">
      <c r="Q11124" s="8"/>
    </row>
    <row r="11125" spans="17:17" x14ac:dyDescent="0.25">
      <c r="Q11125" s="8"/>
    </row>
    <row r="11126" spans="17:17" x14ac:dyDescent="0.25">
      <c r="Q11126" s="8"/>
    </row>
    <row r="11127" spans="17:17" x14ac:dyDescent="0.25">
      <c r="Q11127" s="8"/>
    </row>
    <row r="11128" spans="17:17" x14ac:dyDescent="0.25">
      <c r="Q11128" s="8"/>
    </row>
    <row r="11129" spans="17:17" x14ac:dyDescent="0.25">
      <c r="Q11129" s="8"/>
    </row>
    <row r="11130" spans="17:17" x14ac:dyDescent="0.25">
      <c r="Q11130" s="8"/>
    </row>
    <row r="11131" spans="17:17" x14ac:dyDescent="0.25">
      <c r="Q11131" s="8"/>
    </row>
    <row r="11132" spans="17:17" x14ac:dyDescent="0.25">
      <c r="Q11132" s="8"/>
    </row>
    <row r="11133" spans="17:17" x14ac:dyDescent="0.25">
      <c r="Q11133" s="8"/>
    </row>
    <row r="11134" spans="17:17" x14ac:dyDescent="0.25">
      <c r="Q11134" s="8"/>
    </row>
    <row r="11135" spans="17:17" x14ac:dyDescent="0.25">
      <c r="Q11135" s="8"/>
    </row>
    <row r="11136" spans="17:17" x14ac:dyDescent="0.25">
      <c r="Q11136" s="8"/>
    </row>
    <row r="11137" spans="17:17" x14ac:dyDescent="0.25">
      <c r="Q11137" s="8"/>
    </row>
    <row r="11138" spans="17:17" x14ac:dyDescent="0.25">
      <c r="Q11138" s="8"/>
    </row>
    <row r="11139" spans="17:17" x14ac:dyDescent="0.25">
      <c r="Q11139" s="8"/>
    </row>
    <row r="11140" spans="17:17" x14ac:dyDescent="0.25">
      <c r="Q11140" s="8"/>
    </row>
    <row r="11141" spans="17:17" x14ac:dyDescent="0.25">
      <c r="Q11141" s="8"/>
    </row>
    <row r="11142" spans="17:17" x14ac:dyDescent="0.25">
      <c r="Q11142" s="8"/>
    </row>
    <row r="11143" spans="17:17" x14ac:dyDescent="0.25">
      <c r="Q11143" s="8"/>
    </row>
    <row r="11144" spans="17:17" x14ac:dyDescent="0.25">
      <c r="Q11144" s="8"/>
    </row>
    <row r="11145" spans="17:17" x14ac:dyDescent="0.25">
      <c r="Q11145" s="8"/>
    </row>
    <row r="11146" spans="17:17" x14ac:dyDescent="0.25">
      <c r="Q11146" s="8"/>
    </row>
    <row r="11147" spans="17:17" x14ac:dyDescent="0.25">
      <c r="Q11147" s="8"/>
    </row>
    <row r="11148" spans="17:17" x14ac:dyDescent="0.25">
      <c r="Q11148" s="8"/>
    </row>
    <row r="11149" spans="17:17" x14ac:dyDescent="0.25">
      <c r="Q11149" s="8"/>
    </row>
    <row r="11150" spans="17:17" x14ac:dyDescent="0.25">
      <c r="Q11150" s="8"/>
    </row>
    <row r="11151" spans="17:17" x14ac:dyDescent="0.25">
      <c r="Q11151" s="8"/>
    </row>
    <row r="11152" spans="17:17" x14ac:dyDescent="0.25">
      <c r="Q11152" s="8"/>
    </row>
    <row r="11153" spans="17:17" x14ac:dyDescent="0.25">
      <c r="Q11153" s="8"/>
    </row>
    <row r="11154" spans="17:17" x14ac:dyDescent="0.25">
      <c r="Q11154" s="8"/>
    </row>
    <row r="11155" spans="17:17" x14ac:dyDescent="0.25">
      <c r="Q11155" s="8"/>
    </row>
    <row r="11156" spans="17:17" x14ac:dyDescent="0.25">
      <c r="Q11156" s="8"/>
    </row>
    <row r="11157" spans="17:17" x14ac:dyDescent="0.25">
      <c r="Q11157" s="8"/>
    </row>
    <row r="11158" spans="17:17" x14ac:dyDescent="0.25">
      <c r="Q11158" s="8"/>
    </row>
    <row r="11159" spans="17:17" x14ac:dyDescent="0.25">
      <c r="Q11159" s="8"/>
    </row>
    <row r="11160" spans="17:17" x14ac:dyDescent="0.25">
      <c r="Q11160" s="8"/>
    </row>
    <row r="11161" spans="17:17" x14ac:dyDescent="0.25">
      <c r="Q11161" s="8"/>
    </row>
    <row r="11162" spans="17:17" x14ac:dyDescent="0.25">
      <c r="Q11162" s="8"/>
    </row>
    <row r="11163" spans="17:17" x14ac:dyDescent="0.25">
      <c r="Q11163" s="8"/>
    </row>
    <row r="11164" spans="17:17" x14ac:dyDescent="0.25">
      <c r="Q11164" s="8"/>
    </row>
    <row r="11165" spans="17:17" x14ac:dyDescent="0.25">
      <c r="Q11165" s="8"/>
    </row>
    <row r="11166" spans="17:17" x14ac:dyDescent="0.25">
      <c r="Q11166" s="8"/>
    </row>
    <row r="11167" spans="17:17" x14ac:dyDescent="0.25">
      <c r="Q11167" s="8"/>
    </row>
    <row r="11168" spans="17:17" x14ac:dyDescent="0.25">
      <c r="Q11168" s="8"/>
    </row>
    <row r="11169" spans="17:17" x14ac:dyDescent="0.25">
      <c r="Q11169" s="8"/>
    </row>
    <row r="11170" spans="17:17" x14ac:dyDescent="0.25">
      <c r="Q11170" s="8"/>
    </row>
    <row r="11171" spans="17:17" x14ac:dyDescent="0.25">
      <c r="Q11171" s="8"/>
    </row>
    <row r="11172" spans="17:17" x14ac:dyDescent="0.25">
      <c r="Q11172" s="8"/>
    </row>
    <row r="11173" spans="17:17" x14ac:dyDescent="0.25">
      <c r="Q11173" s="8"/>
    </row>
    <row r="11174" spans="17:17" x14ac:dyDescent="0.25">
      <c r="Q11174" s="8"/>
    </row>
    <row r="11175" spans="17:17" x14ac:dyDescent="0.25">
      <c r="Q11175" s="8"/>
    </row>
    <row r="11176" spans="17:17" x14ac:dyDescent="0.25">
      <c r="Q11176" s="8"/>
    </row>
    <row r="11177" spans="17:17" x14ac:dyDescent="0.25">
      <c r="Q11177" s="8"/>
    </row>
    <row r="11178" spans="17:17" x14ac:dyDescent="0.25">
      <c r="Q11178" s="8"/>
    </row>
    <row r="11179" spans="17:17" x14ac:dyDescent="0.25">
      <c r="Q11179" s="8"/>
    </row>
    <row r="11180" spans="17:17" x14ac:dyDescent="0.25">
      <c r="Q11180" s="8"/>
    </row>
    <row r="11181" spans="17:17" x14ac:dyDescent="0.25">
      <c r="Q11181" s="8"/>
    </row>
    <row r="11182" spans="17:17" x14ac:dyDescent="0.25">
      <c r="Q11182" s="8"/>
    </row>
    <row r="11183" spans="17:17" x14ac:dyDescent="0.25">
      <c r="Q11183" s="8"/>
    </row>
    <row r="11184" spans="17:17" x14ac:dyDescent="0.25">
      <c r="Q11184" s="8"/>
    </row>
    <row r="11185" spans="17:17" x14ac:dyDescent="0.25">
      <c r="Q11185" s="8"/>
    </row>
    <row r="11186" spans="17:17" x14ac:dyDescent="0.25">
      <c r="Q11186" s="8"/>
    </row>
    <row r="11187" spans="17:17" x14ac:dyDescent="0.25">
      <c r="Q11187" s="8"/>
    </row>
    <row r="11188" spans="17:17" x14ac:dyDescent="0.25">
      <c r="Q11188" s="8"/>
    </row>
    <row r="11189" spans="17:17" x14ac:dyDescent="0.25">
      <c r="Q11189" s="8"/>
    </row>
    <row r="11190" spans="17:17" x14ac:dyDescent="0.25">
      <c r="Q11190" s="8"/>
    </row>
    <row r="11191" spans="17:17" x14ac:dyDescent="0.25">
      <c r="Q11191" s="8"/>
    </row>
    <row r="11192" spans="17:17" x14ac:dyDescent="0.25">
      <c r="Q11192" s="8"/>
    </row>
    <row r="11193" spans="17:17" x14ac:dyDescent="0.25">
      <c r="Q11193" s="8"/>
    </row>
    <row r="11194" spans="17:17" x14ac:dyDescent="0.25">
      <c r="Q11194" s="8"/>
    </row>
    <row r="11195" spans="17:17" x14ac:dyDescent="0.25">
      <c r="Q11195" s="8"/>
    </row>
    <row r="11196" spans="17:17" x14ac:dyDescent="0.25">
      <c r="Q11196" s="8"/>
    </row>
    <row r="11197" spans="17:17" x14ac:dyDescent="0.25">
      <c r="Q11197" s="8"/>
    </row>
    <row r="11198" spans="17:17" x14ac:dyDescent="0.25">
      <c r="Q11198" s="8"/>
    </row>
    <row r="11199" spans="17:17" x14ac:dyDescent="0.25">
      <c r="Q11199" s="8"/>
    </row>
    <row r="11200" spans="17:17" x14ac:dyDescent="0.25">
      <c r="Q11200" s="8"/>
    </row>
    <row r="11201" spans="17:17" x14ac:dyDescent="0.25">
      <c r="Q11201" s="8"/>
    </row>
    <row r="11202" spans="17:17" x14ac:dyDescent="0.25">
      <c r="Q11202" s="8"/>
    </row>
    <row r="11203" spans="17:17" x14ac:dyDescent="0.25">
      <c r="Q11203" s="8"/>
    </row>
    <row r="11204" spans="17:17" x14ac:dyDescent="0.25">
      <c r="Q11204" s="8"/>
    </row>
    <row r="11205" spans="17:17" x14ac:dyDescent="0.25">
      <c r="Q11205" s="8"/>
    </row>
    <row r="11206" spans="17:17" x14ac:dyDescent="0.25">
      <c r="Q11206" s="8"/>
    </row>
    <row r="11207" spans="17:17" x14ac:dyDescent="0.25">
      <c r="Q11207" s="8"/>
    </row>
    <row r="11208" spans="17:17" x14ac:dyDescent="0.25">
      <c r="Q11208" s="8"/>
    </row>
    <row r="11209" spans="17:17" x14ac:dyDescent="0.25">
      <c r="Q11209" s="8"/>
    </row>
    <row r="11210" spans="17:17" x14ac:dyDescent="0.25">
      <c r="Q11210" s="8"/>
    </row>
    <row r="11211" spans="17:17" x14ac:dyDescent="0.25">
      <c r="Q11211" s="8"/>
    </row>
    <row r="11212" spans="17:17" x14ac:dyDescent="0.25">
      <c r="Q11212" s="8"/>
    </row>
    <row r="11213" spans="17:17" x14ac:dyDescent="0.25">
      <c r="Q11213" s="8"/>
    </row>
    <row r="11214" spans="17:17" x14ac:dyDescent="0.25">
      <c r="Q11214" s="8"/>
    </row>
    <row r="11215" spans="17:17" x14ac:dyDescent="0.25">
      <c r="Q11215" s="8"/>
    </row>
    <row r="11216" spans="17:17" x14ac:dyDescent="0.25">
      <c r="Q11216" s="8"/>
    </row>
    <row r="11217" spans="17:17" x14ac:dyDescent="0.25">
      <c r="Q11217" s="8"/>
    </row>
    <row r="11218" spans="17:17" x14ac:dyDescent="0.25">
      <c r="Q11218" s="8"/>
    </row>
    <row r="11219" spans="17:17" x14ac:dyDescent="0.25">
      <c r="Q11219" s="8"/>
    </row>
    <row r="11220" spans="17:17" x14ac:dyDescent="0.25">
      <c r="Q11220" s="8"/>
    </row>
    <row r="11221" spans="17:17" x14ac:dyDescent="0.25">
      <c r="Q11221" s="8"/>
    </row>
    <row r="11222" spans="17:17" x14ac:dyDescent="0.25">
      <c r="Q11222" s="8"/>
    </row>
    <row r="11223" spans="17:17" x14ac:dyDescent="0.25">
      <c r="Q11223" s="8"/>
    </row>
    <row r="11224" spans="17:17" x14ac:dyDescent="0.25">
      <c r="Q11224" s="8"/>
    </row>
    <row r="11225" spans="17:17" x14ac:dyDescent="0.25">
      <c r="Q11225" s="8"/>
    </row>
    <row r="11226" spans="17:17" x14ac:dyDescent="0.25">
      <c r="Q11226" s="8"/>
    </row>
    <row r="11227" spans="17:17" x14ac:dyDescent="0.25">
      <c r="Q11227" s="8"/>
    </row>
    <row r="11228" spans="17:17" x14ac:dyDescent="0.25">
      <c r="Q11228" s="8"/>
    </row>
    <row r="11229" spans="17:17" x14ac:dyDescent="0.25">
      <c r="Q11229" s="8"/>
    </row>
    <row r="11230" spans="17:17" x14ac:dyDescent="0.25">
      <c r="Q11230" s="8"/>
    </row>
    <row r="11231" spans="17:17" x14ac:dyDescent="0.25">
      <c r="Q11231" s="8"/>
    </row>
    <row r="11232" spans="17:17" x14ac:dyDescent="0.25">
      <c r="Q11232" s="8"/>
    </row>
    <row r="11233" spans="17:17" x14ac:dyDescent="0.25">
      <c r="Q11233" s="8"/>
    </row>
    <row r="11234" spans="17:17" x14ac:dyDescent="0.25">
      <c r="Q11234" s="8"/>
    </row>
    <row r="11235" spans="17:17" x14ac:dyDescent="0.25">
      <c r="Q11235" s="8"/>
    </row>
    <row r="11236" spans="17:17" x14ac:dyDescent="0.25">
      <c r="Q11236" s="8"/>
    </row>
    <row r="11237" spans="17:17" x14ac:dyDescent="0.25">
      <c r="Q11237" s="8"/>
    </row>
    <row r="11238" spans="17:17" x14ac:dyDescent="0.25">
      <c r="Q11238" s="8"/>
    </row>
    <row r="11239" spans="17:17" x14ac:dyDescent="0.25">
      <c r="Q11239" s="8"/>
    </row>
    <row r="11240" spans="17:17" x14ac:dyDescent="0.25">
      <c r="Q11240" s="8"/>
    </row>
    <row r="11241" spans="17:17" x14ac:dyDescent="0.25">
      <c r="Q11241" s="8"/>
    </row>
    <row r="11242" spans="17:17" x14ac:dyDescent="0.25">
      <c r="Q11242" s="8"/>
    </row>
    <row r="11243" spans="17:17" x14ac:dyDescent="0.25">
      <c r="Q11243" s="8"/>
    </row>
    <row r="11244" spans="17:17" x14ac:dyDescent="0.25">
      <c r="Q11244" s="8"/>
    </row>
    <row r="11245" spans="17:17" x14ac:dyDescent="0.25">
      <c r="Q11245" s="8"/>
    </row>
    <row r="11246" spans="17:17" x14ac:dyDescent="0.25">
      <c r="Q11246" s="8"/>
    </row>
    <row r="11247" spans="17:17" x14ac:dyDescent="0.25">
      <c r="Q11247" s="8"/>
    </row>
    <row r="11248" spans="17:17" x14ac:dyDescent="0.25">
      <c r="Q11248" s="8"/>
    </row>
    <row r="11249" spans="17:17" x14ac:dyDescent="0.25">
      <c r="Q11249" s="8"/>
    </row>
    <row r="11250" spans="17:17" x14ac:dyDescent="0.25">
      <c r="Q11250" s="8"/>
    </row>
    <row r="11251" spans="17:17" x14ac:dyDescent="0.25">
      <c r="Q11251" s="8"/>
    </row>
    <row r="11252" spans="17:17" x14ac:dyDescent="0.25">
      <c r="Q11252" s="8"/>
    </row>
    <row r="11253" spans="17:17" x14ac:dyDescent="0.25">
      <c r="Q11253" s="8"/>
    </row>
    <row r="11254" spans="17:17" x14ac:dyDescent="0.25">
      <c r="Q11254" s="8"/>
    </row>
    <row r="11255" spans="17:17" x14ac:dyDescent="0.25">
      <c r="Q11255" s="8"/>
    </row>
    <row r="11256" spans="17:17" x14ac:dyDescent="0.25">
      <c r="Q11256" s="8"/>
    </row>
    <row r="11257" spans="17:17" x14ac:dyDescent="0.25">
      <c r="Q11257" s="8"/>
    </row>
    <row r="11258" spans="17:17" x14ac:dyDescent="0.25">
      <c r="Q11258" s="8"/>
    </row>
    <row r="11259" spans="17:17" x14ac:dyDescent="0.25">
      <c r="Q11259" s="8"/>
    </row>
    <row r="11260" spans="17:17" x14ac:dyDescent="0.25">
      <c r="Q11260" s="8"/>
    </row>
    <row r="11261" spans="17:17" x14ac:dyDescent="0.25">
      <c r="Q11261" s="8"/>
    </row>
    <row r="11262" spans="17:17" x14ac:dyDescent="0.25">
      <c r="Q11262" s="8"/>
    </row>
    <row r="11263" spans="17:17" x14ac:dyDescent="0.25">
      <c r="Q11263" s="8"/>
    </row>
    <row r="11264" spans="17:17" x14ac:dyDescent="0.25">
      <c r="Q11264" s="8"/>
    </row>
    <row r="11265" spans="17:17" x14ac:dyDescent="0.25">
      <c r="Q11265" s="8"/>
    </row>
    <row r="11266" spans="17:17" x14ac:dyDescent="0.25">
      <c r="Q11266" s="8"/>
    </row>
    <row r="11267" spans="17:17" x14ac:dyDescent="0.25">
      <c r="Q11267" s="8"/>
    </row>
    <row r="11268" spans="17:17" x14ac:dyDescent="0.25">
      <c r="Q11268" s="8"/>
    </row>
    <row r="11269" spans="17:17" x14ac:dyDescent="0.25">
      <c r="Q11269" s="8"/>
    </row>
    <row r="11270" spans="17:17" x14ac:dyDescent="0.25">
      <c r="Q11270" s="8"/>
    </row>
    <row r="11271" spans="17:17" x14ac:dyDescent="0.25">
      <c r="Q11271" s="8"/>
    </row>
    <row r="11272" spans="17:17" x14ac:dyDescent="0.25">
      <c r="Q11272" s="8"/>
    </row>
    <row r="11273" spans="17:17" x14ac:dyDescent="0.25">
      <c r="Q11273" s="8"/>
    </row>
    <row r="11274" spans="17:17" x14ac:dyDescent="0.25">
      <c r="Q11274" s="8"/>
    </row>
    <row r="11275" spans="17:17" x14ac:dyDescent="0.25">
      <c r="Q11275" s="8"/>
    </row>
    <row r="11276" spans="17:17" x14ac:dyDescent="0.25">
      <c r="Q11276" s="8"/>
    </row>
    <row r="11277" spans="17:17" x14ac:dyDescent="0.25">
      <c r="Q11277" s="8"/>
    </row>
    <row r="11278" spans="17:17" x14ac:dyDescent="0.25">
      <c r="Q11278" s="8"/>
    </row>
    <row r="11279" spans="17:17" x14ac:dyDescent="0.25">
      <c r="Q11279" s="8"/>
    </row>
    <row r="11280" spans="17:17" x14ac:dyDescent="0.25">
      <c r="Q11280" s="8"/>
    </row>
    <row r="11281" spans="17:17" x14ac:dyDescent="0.25">
      <c r="Q11281" s="8"/>
    </row>
    <row r="11282" spans="17:17" x14ac:dyDescent="0.25">
      <c r="Q11282" s="8"/>
    </row>
    <row r="11283" spans="17:17" x14ac:dyDescent="0.25">
      <c r="Q11283" s="8"/>
    </row>
    <row r="11284" spans="17:17" x14ac:dyDescent="0.25">
      <c r="Q11284" s="8"/>
    </row>
    <row r="11285" spans="17:17" x14ac:dyDescent="0.25">
      <c r="Q11285" s="8"/>
    </row>
    <row r="11286" spans="17:17" x14ac:dyDescent="0.25">
      <c r="Q11286" s="8"/>
    </row>
    <row r="11287" spans="17:17" x14ac:dyDescent="0.25">
      <c r="Q11287" s="8"/>
    </row>
    <row r="11288" spans="17:17" x14ac:dyDescent="0.25">
      <c r="Q11288" s="8"/>
    </row>
    <row r="11289" spans="17:17" x14ac:dyDescent="0.25">
      <c r="Q11289" s="8"/>
    </row>
    <row r="11290" spans="17:17" x14ac:dyDescent="0.25">
      <c r="Q11290" s="8"/>
    </row>
    <row r="11291" spans="17:17" x14ac:dyDescent="0.25">
      <c r="Q11291" s="8"/>
    </row>
    <row r="11292" spans="17:17" x14ac:dyDescent="0.25">
      <c r="Q11292" s="8"/>
    </row>
    <row r="11293" spans="17:17" x14ac:dyDescent="0.25">
      <c r="Q11293" s="8"/>
    </row>
    <row r="11294" spans="17:17" x14ac:dyDescent="0.25">
      <c r="Q11294" s="8"/>
    </row>
    <row r="11295" spans="17:17" x14ac:dyDescent="0.25">
      <c r="Q11295" s="8"/>
    </row>
    <row r="11296" spans="17:17" x14ac:dyDescent="0.25">
      <c r="Q11296" s="8"/>
    </row>
    <row r="11297" spans="17:17" x14ac:dyDescent="0.25">
      <c r="Q11297" s="8"/>
    </row>
    <row r="11298" spans="17:17" x14ac:dyDescent="0.25">
      <c r="Q11298" s="8"/>
    </row>
    <row r="11299" spans="17:17" x14ac:dyDescent="0.25">
      <c r="Q11299" s="8"/>
    </row>
    <row r="11300" spans="17:17" x14ac:dyDescent="0.25">
      <c r="Q11300" s="8"/>
    </row>
    <row r="11301" spans="17:17" x14ac:dyDescent="0.25">
      <c r="Q11301" s="8"/>
    </row>
    <row r="11302" spans="17:17" x14ac:dyDescent="0.25">
      <c r="Q11302" s="8"/>
    </row>
    <row r="11303" spans="17:17" x14ac:dyDescent="0.25">
      <c r="Q11303" s="8"/>
    </row>
    <row r="11304" spans="17:17" x14ac:dyDescent="0.25">
      <c r="Q11304" s="8"/>
    </row>
    <row r="11305" spans="17:17" x14ac:dyDescent="0.25">
      <c r="Q11305" s="8"/>
    </row>
    <row r="11306" spans="17:17" x14ac:dyDescent="0.25">
      <c r="Q11306" s="8"/>
    </row>
    <row r="11307" spans="17:17" x14ac:dyDescent="0.25">
      <c r="Q11307" s="8"/>
    </row>
    <row r="11308" spans="17:17" x14ac:dyDescent="0.25">
      <c r="Q11308" s="8"/>
    </row>
    <row r="11309" spans="17:17" x14ac:dyDescent="0.25">
      <c r="Q11309" s="8"/>
    </row>
    <row r="11310" spans="17:17" x14ac:dyDescent="0.25">
      <c r="Q11310" s="8"/>
    </row>
    <row r="11311" spans="17:17" x14ac:dyDescent="0.25">
      <c r="Q11311" s="8"/>
    </row>
    <row r="11312" spans="17:17" x14ac:dyDescent="0.25">
      <c r="Q11312" s="8"/>
    </row>
    <row r="11313" spans="17:17" x14ac:dyDescent="0.25">
      <c r="Q11313" s="8"/>
    </row>
    <row r="11314" spans="17:17" x14ac:dyDescent="0.25">
      <c r="Q11314" s="8"/>
    </row>
    <row r="11315" spans="17:17" x14ac:dyDescent="0.25">
      <c r="Q11315" s="8"/>
    </row>
    <row r="11316" spans="17:17" x14ac:dyDescent="0.25">
      <c r="Q11316" s="8"/>
    </row>
    <row r="11317" spans="17:17" x14ac:dyDescent="0.25">
      <c r="Q11317" s="8"/>
    </row>
    <row r="11318" spans="17:17" x14ac:dyDescent="0.25">
      <c r="Q11318" s="8"/>
    </row>
    <row r="11319" spans="17:17" x14ac:dyDescent="0.25">
      <c r="Q11319" s="8"/>
    </row>
    <row r="11320" spans="17:17" x14ac:dyDescent="0.25">
      <c r="Q11320" s="8"/>
    </row>
    <row r="11321" spans="17:17" x14ac:dyDescent="0.25">
      <c r="Q11321" s="8"/>
    </row>
    <row r="11322" spans="17:17" x14ac:dyDescent="0.25">
      <c r="Q11322" s="8"/>
    </row>
    <row r="11323" spans="17:17" x14ac:dyDescent="0.25">
      <c r="Q11323" s="8"/>
    </row>
    <row r="11324" spans="17:17" x14ac:dyDescent="0.25">
      <c r="Q11324" s="8"/>
    </row>
    <row r="11325" spans="17:17" x14ac:dyDescent="0.25">
      <c r="Q11325" s="8"/>
    </row>
    <row r="11326" spans="17:17" x14ac:dyDescent="0.25">
      <c r="Q11326" s="8"/>
    </row>
    <row r="11327" spans="17:17" x14ac:dyDescent="0.25">
      <c r="Q11327" s="8"/>
    </row>
    <row r="11328" spans="17:17" x14ac:dyDescent="0.25">
      <c r="Q11328" s="8"/>
    </row>
    <row r="11329" spans="17:17" x14ac:dyDescent="0.25">
      <c r="Q11329" s="8"/>
    </row>
    <row r="11330" spans="17:17" x14ac:dyDescent="0.25">
      <c r="Q11330" s="8"/>
    </row>
    <row r="11331" spans="17:17" x14ac:dyDescent="0.25">
      <c r="Q11331" s="8"/>
    </row>
    <row r="11332" spans="17:17" x14ac:dyDescent="0.25">
      <c r="Q11332" s="8"/>
    </row>
    <row r="11333" spans="17:17" x14ac:dyDescent="0.25">
      <c r="Q11333" s="8"/>
    </row>
    <row r="11334" spans="17:17" x14ac:dyDescent="0.25">
      <c r="Q11334" s="8"/>
    </row>
    <row r="11335" spans="17:17" x14ac:dyDescent="0.25">
      <c r="Q11335" s="8"/>
    </row>
    <row r="11336" spans="17:17" x14ac:dyDescent="0.25">
      <c r="Q11336" s="8"/>
    </row>
    <row r="11337" spans="17:17" x14ac:dyDescent="0.25">
      <c r="Q11337" s="8"/>
    </row>
    <row r="11338" spans="17:17" x14ac:dyDescent="0.25">
      <c r="Q11338" s="8"/>
    </row>
    <row r="11339" spans="17:17" x14ac:dyDescent="0.25">
      <c r="Q11339" s="8"/>
    </row>
    <row r="11340" spans="17:17" x14ac:dyDescent="0.25">
      <c r="Q11340" s="8"/>
    </row>
    <row r="11341" spans="17:17" x14ac:dyDescent="0.25">
      <c r="Q11341" s="8"/>
    </row>
    <row r="11342" spans="17:17" x14ac:dyDescent="0.25">
      <c r="Q11342" s="8"/>
    </row>
    <row r="11343" spans="17:17" x14ac:dyDescent="0.25">
      <c r="Q11343" s="8"/>
    </row>
    <row r="11344" spans="17:17" x14ac:dyDescent="0.25">
      <c r="Q11344" s="8"/>
    </row>
    <row r="11345" spans="17:17" x14ac:dyDescent="0.25">
      <c r="Q11345" s="8"/>
    </row>
    <row r="11346" spans="17:17" x14ac:dyDescent="0.25">
      <c r="Q11346" s="8"/>
    </row>
    <row r="11347" spans="17:17" x14ac:dyDescent="0.25">
      <c r="Q11347" s="8"/>
    </row>
    <row r="11348" spans="17:17" x14ac:dyDescent="0.25">
      <c r="Q11348" s="8"/>
    </row>
    <row r="11349" spans="17:17" x14ac:dyDescent="0.25">
      <c r="Q11349" s="8"/>
    </row>
    <row r="11350" spans="17:17" x14ac:dyDescent="0.25">
      <c r="Q11350" s="8"/>
    </row>
    <row r="11351" spans="17:17" x14ac:dyDescent="0.25">
      <c r="Q11351" s="8"/>
    </row>
    <row r="11352" spans="17:17" x14ac:dyDescent="0.25">
      <c r="Q11352" s="8"/>
    </row>
    <row r="11353" spans="17:17" x14ac:dyDescent="0.25">
      <c r="Q11353" s="8"/>
    </row>
    <row r="11354" spans="17:17" x14ac:dyDescent="0.25">
      <c r="Q11354" s="8"/>
    </row>
    <row r="11355" spans="17:17" x14ac:dyDescent="0.25">
      <c r="Q11355" s="8"/>
    </row>
    <row r="11356" spans="17:17" x14ac:dyDescent="0.25">
      <c r="Q11356" s="8"/>
    </row>
    <row r="11357" spans="17:17" x14ac:dyDescent="0.25">
      <c r="Q11357" s="8"/>
    </row>
    <row r="11358" spans="17:17" x14ac:dyDescent="0.25">
      <c r="Q11358" s="8"/>
    </row>
    <row r="11359" spans="17:17" x14ac:dyDescent="0.25">
      <c r="Q11359" s="8"/>
    </row>
    <row r="11360" spans="17:17" x14ac:dyDescent="0.25">
      <c r="Q11360" s="8"/>
    </row>
    <row r="11361" spans="17:17" x14ac:dyDescent="0.25">
      <c r="Q11361" s="8"/>
    </row>
    <row r="11362" spans="17:17" x14ac:dyDescent="0.25">
      <c r="Q11362" s="8"/>
    </row>
    <row r="11363" spans="17:17" x14ac:dyDescent="0.25">
      <c r="Q11363" s="8"/>
    </row>
    <row r="11364" spans="17:17" x14ac:dyDescent="0.25">
      <c r="Q11364" s="8"/>
    </row>
    <row r="11365" spans="17:17" x14ac:dyDescent="0.25">
      <c r="Q11365" s="8"/>
    </row>
    <row r="11366" spans="17:17" x14ac:dyDescent="0.25">
      <c r="Q11366" s="8"/>
    </row>
    <row r="11367" spans="17:17" x14ac:dyDescent="0.25">
      <c r="Q11367" s="8"/>
    </row>
    <row r="11368" spans="17:17" x14ac:dyDescent="0.25">
      <c r="Q11368" s="8"/>
    </row>
    <row r="11369" spans="17:17" x14ac:dyDescent="0.25">
      <c r="Q11369" s="8"/>
    </row>
    <row r="11370" spans="17:17" x14ac:dyDescent="0.25">
      <c r="Q11370" s="8"/>
    </row>
    <row r="11371" spans="17:17" x14ac:dyDescent="0.25">
      <c r="Q11371" s="8"/>
    </row>
    <row r="11372" spans="17:17" x14ac:dyDescent="0.25">
      <c r="Q11372" s="8"/>
    </row>
    <row r="11373" spans="17:17" x14ac:dyDescent="0.25">
      <c r="Q11373" s="8"/>
    </row>
    <row r="11374" spans="17:17" x14ac:dyDescent="0.25">
      <c r="Q11374" s="8"/>
    </row>
    <row r="11375" spans="17:17" x14ac:dyDescent="0.25">
      <c r="Q11375" s="8"/>
    </row>
    <row r="11376" spans="17:17" x14ac:dyDescent="0.25">
      <c r="Q11376" s="8"/>
    </row>
    <row r="11377" spans="17:17" x14ac:dyDescent="0.25">
      <c r="Q11377" s="8"/>
    </row>
    <row r="11378" spans="17:17" x14ac:dyDescent="0.25">
      <c r="Q11378" s="8"/>
    </row>
    <row r="11379" spans="17:17" x14ac:dyDescent="0.25">
      <c r="Q11379" s="8"/>
    </row>
    <row r="11380" spans="17:17" x14ac:dyDescent="0.25">
      <c r="Q11380" s="8"/>
    </row>
    <row r="11381" spans="17:17" x14ac:dyDescent="0.25">
      <c r="Q11381" s="8"/>
    </row>
    <row r="11382" spans="17:17" x14ac:dyDescent="0.25">
      <c r="Q11382" s="8"/>
    </row>
    <row r="11383" spans="17:17" x14ac:dyDescent="0.25">
      <c r="Q11383" s="8"/>
    </row>
    <row r="11384" spans="17:17" x14ac:dyDescent="0.25">
      <c r="Q11384" s="8"/>
    </row>
    <row r="11385" spans="17:17" x14ac:dyDescent="0.25">
      <c r="Q11385" s="8"/>
    </row>
    <row r="11386" spans="17:17" x14ac:dyDescent="0.25">
      <c r="Q11386" s="8"/>
    </row>
    <row r="11387" spans="17:17" x14ac:dyDescent="0.25">
      <c r="Q11387" s="8"/>
    </row>
    <row r="11388" spans="17:17" x14ac:dyDescent="0.25">
      <c r="Q11388" s="8"/>
    </row>
    <row r="11389" spans="17:17" x14ac:dyDescent="0.25">
      <c r="Q11389" s="8"/>
    </row>
    <row r="11390" spans="17:17" x14ac:dyDescent="0.25">
      <c r="Q11390" s="8"/>
    </row>
    <row r="11391" spans="17:17" x14ac:dyDescent="0.25">
      <c r="Q11391" s="8"/>
    </row>
    <row r="11392" spans="17:17" x14ac:dyDescent="0.25">
      <c r="Q11392" s="8"/>
    </row>
    <row r="11393" spans="17:17" x14ac:dyDescent="0.25">
      <c r="Q11393" s="8"/>
    </row>
    <row r="11394" spans="17:17" x14ac:dyDescent="0.25">
      <c r="Q11394" s="8"/>
    </row>
    <row r="11395" spans="17:17" x14ac:dyDescent="0.25">
      <c r="Q11395" s="8"/>
    </row>
    <row r="11396" spans="17:17" x14ac:dyDescent="0.25">
      <c r="Q11396" s="8"/>
    </row>
    <row r="11397" spans="17:17" x14ac:dyDescent="0.25">
      <c r="Q11397" s="8"/>
    </row>
    <row r="11398" spans="17:17" x14ac:dyDescent="0.25">
      <c r="Q11398" s="8"/>
    </row>
    <row r="11399" spans="17:17" x14ac:dyDescent="0.25">
      <c r="Q11399" s="8"/>
    </row>
    <row r="11400" spans="17:17" x14ac:dyDescent="0.25">
      <c r="Q11400" s="8"/>
    </row>
    <row r="11401" spans="17:17" x14ac:dyDescent="0.25">
      <c r="Q11401" s="8"/>
    </row>
    <row r="11402" spans="17:17" x14ac:dyDescent="0.25">
      <c r="Q11402" s="8"/>
    </row>
    <row r="11403" spans="17:17" x14ac:dyDescent="0.25">
      <c r="Q11403" s="8"/>
    </row>
    <row r="11404" spans="17:17" x14ac:dyDescent="0.25">
      <c r="Q11404" s="8"/>
    </row>
    <row r="11405" spans="17:17" x14ac:dyDescent="0.25">
      <c r="Q11405" s="8"/>
    </row>
    <row r="11406" spans="17:17" x14ac:dyDescent="0.25">
      <c r="Q11406" s="8"/>
    </row>
    <row r="11407" spans="17:17" x14ac:dyDescent="0.25">
      <c r="Q11407" s="8"/>
    </row>
    <row r="11408" spans="17:17" x14ac:dyDescent="0.25">
      <c r="Q11408" s="8"/>
    </row>
    <row r="11409" spans="17:17" x14ac:dyDescent="0.25">
      <c r="Q11409" s="8"/>
    </row>
    <row r="11410" spans="17:17" x14ac:dyDescent="0.25">
      <c r="Q11410" s="8"/>
    </row>
    <row r="11411" spans="17:17" x14ac:dyDescent="0.25">
      <c r="Q11411" s="8"/>
    </row>
    <row r="11412" spans="17:17" x14ac:dyDescent="0.25">
      <c r="Q11412" s="8"/>
    </row>
    <row r="11413" spans="17:17" x14ac:dyDescent="0.25">
      <c r="Q11413" s="8"/>
    </row>
    <row r="11414" spans="17:17" x14ac:dyDescent="0.25">
      <c r="Q11414" s="8"/>
    </row>
    <row r="11415" spans="17:17" x14ac:dyDescent="0.25">
      <c r="Q11415" s="8"/>
    </row>
    <row r="11416" spans="17:17" x14ac:dyDescent="0.25">
      <c r="Q11416" s="8"/>
    </row>
    <row r="11417" spans="17:17" x14ac:dyDescent="0.25">
      <c r="Q11417" s="8"/>
    </row>
    <row r="11418" spans="17:17" x14ac:dyDescent="0.25">
      <c r="Q11418" s="8"/>
    </row>
    <row r="11419" spans="17:17" x14ac:dyDescent="0.25">
      <c r="Q11419" s="8"/>
    </row>
    <row r="11420" spans="17:17" x14ac:dyDescent="0.25">
      <c r="Q11420" s="8"/>
    </row>
    <row r="11421" spans="17:17" x14ac:dyDescent="0.25">
      <c r="Q11421" s="8"/>
    </row>
    <row r="11422" spans="17:17" x14ac:dyDescent="0.25">
      <c r="Q11422" s="8"/>
    </row>
    <row r="11423" spans="17:17" x14ac:dyDescent="0.25">
      <c r="Q11423" s="8"/>
    </row>
    <row r="11424" spans="17:17" x14ac:dyDescent="0.25">
      <c r="Q11424" s="8"/>
    </row>
    <row r="11425" spans="17:17" x14ac:dyDescent="0.25">
      <c r="Q11425" s="8"/>
    </row>
    <row r="11426" spans="17:17" x14ac:dyDescent="0.25">
      <c r="Q11426" s="8"/>
    </row>
    <row r="11427" spans="17:17" x14ac:dyDescent="0.25">
      <c r="Q11427" s="8"/>
    </row>
    <row r="11428" spans="17:17" x14ac:dyDescent="0.25">
      <c r="Q11428" s="8"/>
    </row>
    <row r="11429" spans="17:17" x14ac:dyDescent="0.25">
      <c r="Q11429" s="8"/>
    </row>
    <row r="11430" spans="17:17" x14ac:dyDescent="0.25">
      <c r="Q11430" s="8"/>
    </row>
    <row r="11431" spans="17:17" x14ac:dyDescent="0.25">
      <c r="Q11431" s="8"/>
    </row>
    <row r="11432" spans="17:17" x14ac:dyDescent="0.25">
      <c r="Q11432" s="8"/>
    </row>
    <row r="11433" spans="17:17" x14ac:dyDescent="0.25">
      <c r="Q11433" s="8"/>
    </row>
    <row r="11434" spans="17:17" x14ac:dyDescent="0.25">
      <c r="Q11434" s="8"/>
    </row>
    <row r="11435" spans="17:17" x14ac:dyDescent="0.25">
      <c r="Q11435" s="8"/>
    </row>
    <row r="11436" spans="17:17" x14ac:dyDescent="0.25">
      <c r="Q11436" s="8"/>
    </row>
    <row r="11437" spans="17:17" x14ac:dyDescent="0.25">
      <c r="Q11437" s="8"/>
    </row>
    <row r="11438" spans="17:17" x14ac:dyDescent="0.25">
      <c r="Q11438" s="8"/>
    </row>
    <row r="11439" spans="17:17" x14ac:dyDescent="0.25">
      <c r="Q11439" s="8"/>
    </row>
    <row r="11440" spans="17:17" x14ac:dyDescent="0.25">
      <c r="Q11440" s="8"/>
    </row>
    <row r="11441" spans="17:17" x14ac:dyDescent="0.25">
      <c r="Q11441" s="8"/>
    </row>
    <row r="11442" spans="17:17" x14ac:dyDescent="0.25">
      <c r="Q11442" s="8"/>
    </row>
    <row r="11443" spans="17:17" x14ac:dyDescent="0.25">
      <c r="Q11443" s="8"/>
    </row>
    <row r="11444" spans="17:17" x14ac:dyDescent="0.25">
      <c r="Q11444" s="8"/>
    </row>
    <row r="11445" spans="17:17" x14ac:dyDescent="0.25">
      <c r="Q11445" s="8"/>
    </row>
    <row r="11446" spans="17:17" x14ac:dyDescent="0.25">
      <c r="Q11446" s="8"/>
    </row>
    <row r="11447" spans="17:17" x14ac:dyDescent="0.25">
      <c r="Q11447" s="8"/>
    </row>
    <row r="11448" spans="17:17" x14ac:dyDescent="0.25">
      <c r="Q11448" s="8"/>
    </row>
    <row r="11449" spans="17:17" x14ac:dyDescent="0.25">
      <c r="Q11449" s="8"/>
    </row>
    <row r="11450" spans="17:17" x14ac:dyDescent="0.25">
      <c r="Q11450" s="8"/>
    </row>
    <row r="11451" spans="17:17" x14ac:dyDescent="0.25">
      <c r="Q11451" s="8"/>
    </row>
    <row r="11452" spans="17:17" x14ac:dyDescent="0.25">
      <c r="Q11452" s="8"/>
    </row>
    <row r="11453" spans="17:17" x14ac:dyDescent="0.25">
      <c r="Q11453" s="8"/>
    </row>
    <row r="11454" spans="17:17" x14ac:dyDescent="0.25">
      <c r="Q11454" s="8"/>
    </row>
    <row r="11455" spans="17:17" x14ac:dyDescent="0.25">
      <c r="Q11455" s="8"/>
    </row>
    <row r="11456" spans="17:17" x14ac:dyDescent="0.25">
      <c r="Q11456" s="8"/>
    </row>
    <row r="11457" spans="17:17" x14ac:dyDescent="0.25">
      <c r="Q11457" s="8"/>
    </row>
    <row r="11458" spans="17:17" x14ac:dyDescent="0.25">
      <c r="Q11458" s="8"/>
    </row>
    <row r="11459" spans="17:17" x14ac:dyDescent="0.25">
      <c r="Q11459" s="8"/>
    </row>
    <row r="11460" spans="17:17" x14ac:dyDescent="0.25">
      <c r="Q11460" s="8"/>
    </row>
    <row r="11461" spans="17:17" x14ac:dyDescent="0.25">
      <c r="Q11461" s="8"/>
    </row>
    <row r="11462" spans="17:17" x14ac:dyDescent="0.25">
      <c r="Q11462" s="8"/>
    </row>
    <row r="11463" spans="17:17" x14ac:dyDescent="0.25">
      <c r="Q11463" s="8"/>
    </row>
    <row r="11464" spans="17:17" x14ac:dyDescent="0.25">
      <c r="Q11464" s="8"/>
    </row>
    <row r="11465" spans="17:17" x14ac:dyDescent="0.25">
      <c r="Q11465" s="8"/>
    </row>
    <row r="11466" spans="17:17" x14ac:dyDescent="0.25">
      <c r="Q11466" s="8"/>
    </row>
    <row r="11467" spans="17:17" x14ac:dyDescent="0.25">
      <c r="Q11467" s="8"/>
    </row>
    <row r="11468" spans="17:17" x14ac:dyDescent="0.25">
      <c r="Q11468" s="8"/>
    </row>
    <row r="11469" spans="17:17" x14ac:dyDescent="0.25">
      <c r="Q11469" s="8"/>
    </row>
    <row r="11470" spans="17:17" x14ac:dyDescent="0.25">
      <c r="Q11470" s="8"/>
    </row>
    <row r="11471" spans="17:17" x14ac:dyDescent="0.25">
      <c r="Q11471" s="8"/>
    </row>
    <row r="11472" spans="17:17" x14ac:dyDescent="0.25">
      <c r="Q11472" s="8"/>
    </row>
    <row r="11473" spans="17:17" x14ac:dyDescent="0.25">
      <c r="Q11473" s="8"/>
    </row>
    <row r="11474" spans="17:17" x14ac:dyDescent="0.25">
      <c r="Q11474" s="8"/>
    </row>
    <row r="11475" spans="17:17" x14ac:dyDescent="0.25">
      <c r="Q11475" s="8"/>
    </row>
    <row r="11476" spans="17:17" x14ac:dyDescent="0.25">
      <c r="Q11476" s="8"/>
    </row>
    <row r="11477" spans="17:17" x14ac:dyDescent="0.25">
      <c r="Q11477" s="8"/>
    </row>
    <row r="11478" spans="17:17" x14ac:dyDescent="0.25">
      <c r="Q11478" s="8"/>
    </row>
    <row r="11479" spans="17:17" x14ac:dyDescent="0.25">
      <c r="Q11479" s="8"/>
    </row>
    <row r="11480" spans="17:17" x14ac:dyDescent="0.25">
      <c r="Q11480" s="8"/>
    </row>
    <row r="11481" spans="17:17" x14ac:dyDescent="0.25">
      <c r="Q11481" s="8"/>
    </row>
    <row r="11482" spans="17:17" x14ac:dyDescent="0.25">
      <c r="Q11482" s="8"/>
    </row>
    <row r="11483" spans="17:17" x14ac:dyDescent="0.25">
      <c r="Q11483" s="8"/>
    </row>
    <row r="11484" spans="17:17" x14ac:dyDescent="0.25">
      <c r="Q11484" s="8"/>
    </row>
    <row r="11485" spans="17:17" x14ac:dyDescent="0.25">
      <c r="Q11485" s="8"/>
    </row>
    <row r="11486" spans="17:17" x14ac:dyDescent="0.25">
      <c r="Q11486" s="8"/>
    </row>
    <row r="11487" spans="17:17" x14ac:dyDescent="0.25">
      <c r="Q11487" s="8"/>
    </row>
    <row r="11488" spans="17:17" x14ac:dyDescent="0.25">
      <c r="Q11488" s="8"/>
    </row>
    <row r="11489" spans="17:17" x14ac:dyDescent="0.25">
      <c r="Q11489" s="8"/>
    </row>
    <row r="11490" spans="17:17" x14ac:dyDescent="0.25">
      <c r="Q11490" s="8"/>
    </row>
    <row r="11491" spans="17:17" x14ac:dyDescent="0.25">
      <c r="Q11491" s="8"/>
    </row>
    <row r="11492" spans="17:17" x14ac:dyDescent="0.25">
      <c r="Q11492" s="8"/>
    </row>
    <row r="11493" spans="17:17" x14ac:dyDescent="0.25">
      <c r="Q11493" s="8"/>
    </row>
    <row r="11494" spans="17:17" x14ac:dyDescent="0.25">
      <c r="Q11494" s="8"/>
    </row>
    <row r="11495" spans="17:17" x14ac:dyDescent="0.25">
      <c r="Q11495" s="8"/>
    </row>
    <row r="11496" spans="17:17" x14ac:dyDescent="0.25">
      <c r="Q11496" s="8"/>
    </row>
    <row r="11497" spans="17:17" x14ac:dyDescent="0.25">
      <c r="Q11497" s="8"/>
    </row>
    <row r="11498" spans="17:17" x14ac:dyDescent="0.25">
      <c r="Q11498" s="8"/>
    </row>
    <row r="11499" spans="17:17" x14ac:dyDescent="0.25">
      <c r="Q11499" s="8"/>
    </row>
    <row r="11500" spans="17:17" x14ac:dyDescent="0.25">
      <c r="Q11500" s="8"/>
    </row>
    <row r="11501" spans="17:17" x14ac:dyDescent="0.25">
      <c r="Q11501" s="8"/>
    </row>
    <row r="11502" spans="17:17" x14ac:dyDescent="0.25">
      <c r="Q11502" s="8"/>
    </row>
    <row r="11503" spans="17:17" x14ac:dyDescent="0.25">
      <c r="Q11503" s="8"/>
    </row>
    <row r="11504" spans="17:17" x14ac:dyDescent="0.25">
      <c r="Q11504" s="8"/>
    </row>
    <row r="11505" spans="17:17" x14ac:dyDescent="0.25">
      <c r="Q11505" s="8"/>
    </row>
    <row r="11506" spans="17:17" x14ac:dyDescent="0.25">
      <c r="Q11506" s="8"/>
    </row>
    <row r="11507" spans="17:17" x14ac:dyDescent="0.25">
      <c r="Q11507" s="8"/>
    </row>
    <row r="11508" spans="17:17" x14ac:dyDescent="0.25">
      <c r="Q11508" s="8"/>
    </row>
    <row r="11509" spans="17:17" x14ac:dyDescent="0.25">
      <c r="Q11509" s="8"/>
    </row>
    <row r="11510" spans="17:17" x14ac:dyDescent="0.25">
      <c r="Q11510" s="8"/>
    </row>
    <row r="11511" spans="17:17" x14ac:dyDescent="0.25">
      <c r="Q11511" s="8"/>
    </row>
    <row r="11512" spans="17:17" x14ac:dyDescent="0.25">
      <c r="Q11512" s="8"/>
    </row>
    <row r="11513" spans="17:17" x14ac:dyDescent="0.25">
      <c r="Q11513" s="8"/>
    </row>
    <row r="11514" spans="17:17" x14ac:dyDescent="0.25">
      <c r="Q11514" s="8"/>
    </row>
    <row r="11515" spans="17:17" x14ac:dyDescent="0.25">
      <c r="Q11515" s="8"/>
    </row>
    <row r="11516" spans="17:17" x14ac:dyDescent="0.25">
      <c r="Q11516" s="8"/>
    </row>
    <row r="11517" spans="17:17" x14ac:dyDescent="0.25">
      <c r="Q11517" s="8"/>
    </row>
    <row r="11518" spans="17:17" x14ac:dyDescent="0.25">
      <c r="Q11518" s="8"/>
    </row>
    <row r="11519" spans="17:17" x14ac:dyDescent="0.25">
      <c r="Q11519" s="8"/>
    </row>
    <row r="11520" spans="17:17" x14ac:dyDescent="0.25">
      <c r="Q11520" s="8"/>
    </row>
    <row r="11521" spans="17:17" x14ac:dyDescent="0.25">
      <c r="Q11521" s="8"/>
    </row>
    <row r="11522" spans="17:17" x14ac:dyDescent="0.25">
      <c r="Q11522" s="8"/>
    </row>
    <row r="11523" spans="17:17" x14ac:dyDescent="0.25">
      <c r="Q11523" s="8"/>
    </row>
    <row r="11524" spans="17:17" x14ac:dyDescent="0.25">
      <c r="Q11524" s="8"/>
    </row>
    <row r="11525" spans="17:17" x14ac:dyDescent="0.25">
      <c r="Q11525" s="8"/>
    </row>
    <row r="11526" spans="17:17" x14ac:dyDescent="0.25">
      <c r="Q11526" s="8"/>
    </row>
    <row r="11527" spans="17:17" x14ac:dyDescent="0.25">
      <c r="Q11527" s="8"/>
    </row>
    <row r="11528" spans="17:17" x14ac:dyDescent="0.25">
      <c r="Q11528" s="8"/>
    </row>
    <row r="11529" spans="17:17" x14ac:dyDescent="0.25">
      <c r="Q11529" s="8"/>
    </row>
    <row r="11530" spans="17:17" x14ac:dyDescent="0.25">
      <c r="Q11530" s="8"/>
    </row>
    <row r="11531" spans="17:17" x14ac:dyDescent="0.25">
      <c r="Q11531" s="8"/>
    </row>
    <row r="11532" spans="17:17" x14ac:dyDescent="0.25">
      <c r="Q11532" s="8"/>
    </row>
    <row r="11533" spans="17:17" x14ac:dyDescent="0.25">
      <c r="Q11533" s="8"/>
    </row>
    <row r="11534" spans="17:17" x14ac:dyDescent="0.25">
      <c r="Q11534" s="8"/>
    </row>
    <row r="11535" spans="17:17" x14ac:dyDescent="0.25">
      <c r="Q11535" s="8"/>
    </row>
    <row r="11536" spans="17:17" x14ac:dyDescent="0.25">
      <c r="Q11536" s="8"/>
    </row>
    <row r="11537" spans="17:17" x14ac:dyDescent="0.25">
      <c r="Q11537" s="8"/>
    </row>
    <row r="11538" spans="17:17" x14ac:dyDescent="0.25">
      <c r="Q11538" s="8"/>
    </row>
    <row r="11539" spans="17:17" x14ac:dyDescent="0.25">
      <c r="Q11539" s="8"/>
    </row>
    <row r="11540" spans="17:17" x14ac:dyDescent="0.25">
      <c r="Q11540" s="8"/>
    </row>
    <row r="11541" spans="17:17" x14ac:dyDescent="0.25">
      <c r="Q11541" s="8"/>
    </row>
    <row r="11542" spans="17:17" x14ac:dyDescent="0.25">
      <c r="Q11542" s="8"/>
    </row>
    <row r="11543" spans="17:17" x14ac:dyDescent="0.25">
      <c r="Q11543" s="8"/>
    </row>
    <row r="11544" spans="17:17" x14ac:dyDescent="0.25">
      <c r="Q11544" s="8"/>
    </row>
    <row r="11545" spans="17:17" x14ac:dyDescent="0.25">
      <c r="Q11545" s="8"/>
    </row>
    <row r="11546" spans="17:17" x14ac:dyDescent="0.25">
      <c r="Q11546" s="8"/>
    </row>
    <row r="11547" spans="17:17" x14ac:dyDescent="0.25">
      <c r="Q11547" s="8"/>
    </row>
    <row r="11548" spans="17:17" x14ac:dyDescent="0.25">
      <c r="Q11548" s="8"/>
    </row>
    <row r="11549" spans="17:17" x14ac:dyDescent="0.25">
      <c r="Q11549" s="8"/>
    </row>
    <row r="11550" spans="17:17" x14ac:dyDescent="0.25">
      <c r="Q11550" s="8"/>
    </row>
    <row r="11551" spans="17:17" x14ac:dyDescent="0.25">
      <c r="Q11551" s="8"/>
    </row>
    <row r="11552" spans="17:17" x14ac:dyDescent="0.25">
      <c r="Q11552" s="8"/>
    </row>
    <row r="11553" spans="17:17" x14ac:dyDescent="0.25">
      <c r="Q11553" s="8"/>
    </row>
    <row r="11554" spans="17:17" x14ac:dyDescent="0.25">
      <c r="Q11554" s="8"/>
    </row>
    <row r="11555" spans="17:17" x14ac:dyDescent="0.25">
      <c r="Q11555" s="8"/>
    </row>
    <row r="11556" spans="17:17" x14ac:dyDescent="0.25">
      <c r="Q11556" s="8"/>
    </row>
    <row r="11557" spans="17:17" x14ac:dyDescent="0.25">
      <c r="Q11557" s="8"/>
    </row>
    <row r="11558" spans="17:17" x14ac:dyDescent="0.25">
      <c r="Q11558" s="8"/>
    </row>
    <row r="11559" spans="17:17" x14ac:dyDescent="0.25">
      <c r="Q11559" s="8"/>
    </row>
    <row r="11560" spans="17:17" x14ac:dyDescent="0.25">
      <c r="Q11560" s="8"/>
    </row>
    <row r="11561" spans="17:17" x14ac:dyDescent="0.25">
      <c r="Q11561" s="8"/>
    </row>
    <row r="11562" spans="17:17" x14ac:dyDescent="0.25">
      <c r="Q11562" s="8"/>
    </row>
    <row r="11563" spans="17:17" x14ac:dyDescent="0.25">
      <c r="Q11563" s="8"/>
    </row>
    <row r="11564" spans="17:17" x14ac:dyDescent="0.25">
      <c r="Q11564" s="8"/>
    </row>
    <row r="11565" spans="17:17" x14ac:dyDescent="0.25">
      <c r="Q11565" s="8"/>
    </row>
    <row r="11566" spans="17:17" x14ac:dyDescent="0.25">
      <c r="Q11566" s="8"/>
    </row>
    <row r="11567" spans="17:17" x14ac:dyDescent="0.25">
      <c r="Q11567" s="8"/>
    </row>
    <row r="11568" spans="17:17" x14ac:dyDescent="0.25">
      <c r="Q11568" s="8"/>
    </row>
    <row r="11569" spans="17:17" x14ac:dyDescent="0.25">
      <c r="Q11569" s="8"/>
    </row>
    <row r="11570" spans="17:17" x14ac:dyDescent="0.25">
      <c r="Q11570" s="8"/>
    </row>
    <row r="11571" spans="17:17" x14ac:dyDescent="0.25">
      <c r="Q11571" s="8"/>
    </row>
    <row r="11572" spans="17:17" x14ac:dyDescent="0.25">
      <c r="Q11572" s="8"/>
    </row>
    <row r="11573" spans="17:17" x14ac:dyDescent="0.25">
      <c r="Q11573" s="8"/>
    </row>
    <row r="11574" spans="17:17" x14ac:dyDescent="0.25">
      <c r="Q11574" s="8"/>
    </row>
    <row r="11575" spans="17:17" x14ac:dyDescent="0.25">
      <c r="Q11575" s="8"/>
    </row>
    <row r="11576" spans="17:17" x14ac:dyDescent="0.25">
      <c r="Q11576" s="8"/>
    </row>
    <row r="11577" spans="17:17" x14ac:dyDescent="0.25">
      <c r="Q11577" s="8"/>
    </row>
    <row r="11578" spans="17:17" x14ac:dyDescent="0.25">
      <c r="Q11578" s="8"/>
    </row>
    <row r="11579" spans="17:17" x14ac:dyDescent="0.25">
      <c r="Q11579" s="8"/>
    </row>
    <row r="11580" spans="17:17" x14ac:dyDescent="0.25">
      <c r="Q11580" s="8"/>
    </row>
    <row r="11581" spans="17:17" x14ac:dyDescent="0.25">
      <c r="Q11581" s="8"/>
    </row>
    <row r="11582" spans="17:17" x14ac:dyDescent="0.25">
      <c r="Q11582" s="8"/>
    </row>
    <row r="11583" spans="17:17" x14ac:dyDescent="0.25">
      <c r="Q11583" s="8"/>
    </row>
    <row r="11584" spans="17:17" x14ac:dyDescent="0.25">
      <c r="Q11584" s="8"/>
    </row>
    <row r="11585" spans="17:17" x14ac:dyDescent="0.25">
      <c r="Q11585" s="8"/>
    </row>
    <row r="11586" spans="17:17" x14ac:dyDescent="0.25">
      <c r="Q11586" s="8"/>
    </row>
    <row r="11587" spans="17:17" x14ac:dyDescent="0.25">
      <c r="Q11587" s="8"/>
    </row>
    <row r="11588" spans="17:17" x14ac:dyDescent="0.25">
      <c r="Q11588" s="8"/>
    </row>
    <row r="11589" spans="17:17" x14ac:dyDescent="0.25">
      <c r="Q11589" s="8"/>
    </row>
    <row r="11590" spans="17:17" x14ac:dyDescent="0.25">
      <c r="Q11590" s="8"/>
    </row>
    <row r="11591" spans="17:17" x14ac:dyDescent="0.25">
      <c r="Q11591" s="8"/>
    </row>
    <row r="11592" spans="17:17" x14ac:dyDescent="0.25">
      <c r="Q11592" s="8"/>
    </row>
    <row r="11593" spans="17:17" x14ac:dyDescent="0.25">
      <c r="Q11593" s="8"/>
    </row>
    <row r="11594" spans="17:17" x14ac:dyDescent="0.25">
      <c r="Q11594" s="8"/>
    </row>
    <row r="11595" spans="17:17" x14ac:dyDescent="0.25">
      <c r="Q11595" s="8"/>
    </row>
    <row r="11596" spans="17:17" x14ac:dyDescent="0.25">
      <c r="Q11596" s="8"/>
    </row>
    <row r="11597" spans="17:17" x14ac:dyDescent="0.25">
      <c r="Q11597" s="8"/>
    </row>
    <row r="11598" spans="17:17" x14ac:dyDescent="0.25">
      <c r="Q11598" s="8"/>
    </row>
    <row r="11599" spans="17:17" x14ac:dyDescent="0.25">
      <c r="Q11599" s="8"/>
    </row>
    <row r="11600" spans="17:17" x14ac:dyDescent="0.25">
      <c r="Q11600" s="8"/>
    </row>
    <row r="11601" spans="17:17" x14ac:dyDescent="0.25">
      <c r="Q11601" s="8"/>
    </row>
    <row r="11602" spans="17:17" x14ac:dyDescent="0.25">
      <c r="Q11602" s="8"/>
    </row>
    <row r="11603" spans="17:17" x14ac:dyDescent="0.25">
      <c r="Q11603" s="8"/>
    </row>
    <row r="11604" spans="17:17" x14ac:dyDescent="0.25">
      <c r="Q11604" s="8"/>
    </row>
    <row r="11605" spans="17:17" x14ac:dyDescent="0.25">
      <c r="Q11605" s="8"/>
    </row>
    <row r="11606" spans="17:17" x14ac:dyDescent="0.25">
      <c r="Q11606" s="8"/>
    </row>
    <row r="11607" spans="17:17" x14ac:dyDescent="0.25">
      <c r="Q11607" s="8"/>
    </row>
    <row r="11608" spans="17:17" x14ac:dyDescent="0.25">
      <c r="Q11608" s="8"/>
    </row>
    <row r="11609" spans="17:17" x14ac:dyDescent="0.25">
      <c r="Q11609" s="8"/>
    </row>
    <row r="11610" spans="17:17" x14ac:dyDescent="0.25">
      <c r="Q11610" s="8"/>
    </row>
    <row r="11611" spans="17:17" x14ac:dyDescent="0.25">
      <c r="Q11611" s="8"/>
    </row>
    <row r="11612" spans="17:17" x14ac:dyDescent="0.25">
      <c r="Q11612" s="8"/>
    </row>
    <row r="11613" spans="17:17" x14ac:dyDescent="0.25">
      <c r="Q11613" s="8"/>
    </row>
    <row r="11614" spans="17:17" x14ac:dyDescent="0.25">
      <c r="Q11614" s="8"/>
    </row>
    <row r="11615" spans="17:17" x14ac:dyDescent="0.25">
      <c r="Q11615" s="8"/>
    </row>
    <row r="11616" spans="17:17" x14ac:dyDescent="0.25">
      <c r="Q11616" s="8"/>
    </row>
    <row r="11617" spans="17:17" x14ac:dyDescent="0.25">
      <c r="Q11617" s="8"/>
    </row>
    <row r="11618" spans="17:17" x14ac:dyDescent="0.25">
      <c r="Q11618" s="8"/>
    </row>
    <row r="11619" spans="17:17" x14ac:dyDescent="0.25">
      <c r="Q11619" s="8"/>
    </row>
    <row r="11620" spans="17:17" x14ac:dyDescent="0.25">
      <c r="Q11620" s="8"/>
    </row>
    <row r="11621" spans="17:17" x14ac:dyDescent="0.25">
      <c r="Q11621" s="8"/>
    </row>
    <row r="11622" spans="17:17" x14ac:dyDescent="0.25">
      <c r="Q11622" s="8"/>
    </row>
    <row r="11623" spans="17:17" x14ac:dyDescent="0.25">
      <c r="Q11623" s="8"/>
    </row>
    <row r="11624" spans="17:17" x14ac:dyDescent="0.25">
      <c r="Q11624" s="8"/>
    </row>
    <row r="11625" spans="17:17" x14ac:dyDescent="0.25">
      <c r="Q11625" s="8"/>
    </row>
    <row r="11626" spans="17:17" x14ac:dyDescent="0.25">
      <c r="Q11626" s="8"/>
    </row>
    <row r="11627" spans="17:17" x14ac:dyDescent="0.25">
      <c r="Q11627" s="8"/>
    </row>
    <row r="11628" spans="17:17" x14ac:dyDescent="0.25">
      <c r="Q11628" s="8"/>
    </row>
    <row r="11629" spans="17:17" x14ac:dyDescent="0.25">
      <c r="Q11629" s="8"/>
    </row>
    <row r="11630" spans="17:17" x14ac:dyDescent="0.25">
      <c r="Q11630" s="8"/>
    </row>
    <row r="11631" spans="17:17" x14ac:dyDescent="0.25">
      <c r="Q11631" s="8"/>
    </row>
    <row r="11632" spans="17:17" x14ac:dyDescent="0.25">
      <c r="Q11632" s="8"/>
    </row>
    <row r="11633" spans="17:17" x14ac:dyDescent="0.25">
      <c r="Q11633" s="8"/>
    </row>
    <row r="11634" spans="17:17" x14ac:dyDescent="0.25">
      <c r="Q11634" s="8"/>
    </row>
    <row r="11635" spans="17:17" x14ac:dyDescent="0.25">
      <c r="Q11635" s="8"/>
    </row>
    <row r="11636" spans="17:17" x14ac:dyDescent="0.25">
      <c r="Q11636" s="8"/>
    </row>
    <row r="11637" spans="17:17" x14ac:dyDescent="0.25">
      <c r="Q11637" s="8"/>
    </row>
    <row r="11638" spans="17:17" x14ac:dyDescent="0.25">
      <c r="Q11638" s="8"/>
    </row>
    <row r="11639" spans="17:17" x14ac:dyDescent="0.25">
      <c r="Q11639" s="8"/>
    </row>
    <row r="11640" spans="17:17" x14ac:dyDescent="0.25">
      <c r="Q11640" s="8"/>
    </row>
    <row r="11641" spans="17:17" x14ac:dyDescent="0.25">
      <c r="Q11641" s="8"/>
    </row>
    <row r="11642" spans="17:17" x14ac:dyDescent="0.25">
      <c r="Q11642" s="8"/>
    </row>
    <row r="11643" spans="17:17" x14ac:dyDescent="0.25">
      <c r="Q11643" s="8"/>
    </row>
    <row r="11644" spans="17:17" x14ac:dyDescent="0.25">
      <c r="Q11644" s="8"/>
    </row>
    <row r="11645" spans="17:17" x14ac:dyDescent="0.25">
      <c r="Q11645" s="8"/>
    </row>
    <row r="11646" spans="17:17" x14ac:dyDescent="0.25">
      <c r="Q11646" s="8"/>
    </row>
    <row r="11647" spans="17:17" x14ac:dyDescent="0.25">
      <c r="Q11647" s="8"/>
    </row>
    <row r="11648" spans="17:17" x14ac:dyDescent="0.25">
      <c r="Q11648" s="8"/>
    </row>
    <row r="11649" spans="17:17" x14ac:dyDescent="0.25">
      <c r="Q11649" s="8"/>
    </row>
    <row r="11650" spans="17:17" x14ac:dyDescent="0.25">
      <c r="Q11650" s="8"/>
    </row>
    <row r="11651" spans="17:17" x14ac:dyDescent="0.25">
      <c r="Q11651" s="8"/>
    </row>
    <row r="11652" spans="17:17" x14ac:dyDescent="0.25">
      <c r="Q11652" s="8"/>
    </row>
    <row r="11653" spans="17:17" x14ac:dyDescent="0.25">
      <c r="Q11653" s="8"/>
    </row>
    <row r="11654" spans="17:17" x14ac:dyDescent="0.25">
      <c r="Q11654" s="8"/>
    </row>
    <row r="11655" spans="17:17" x14ac:dyDescent="0.25">
      <c r="Q11655" s="8"/>
    </row>
    <row r="11656" spans="17:17" x14ac:dyDescent="0.25">
      <c r="Q11656" s="8"/>
    </row>
    <row r="11657" spans="17:17" x14ac:dyDescent="0.25">
      <c r="Q11657" s="8"/>
    </row>
    <row r="11658" spans="17:17" x14ac:dyDescent="0.25">
      <c r="Q11658" s="8"/>
    </row>
    <row r="11659" spans="17:17" x14ac:dyDescent="0.25">
      <c r="Q11659" s="8"/>
    </row>
    <row r="11660" spans="17:17" x14ac:dyDescent="0.25">
      <c r="Q11660" s="8"/>
    </row>
    <row r="11661" spans="17:17" x14ac:dyDescent="0.25">
      <c r="Q11661" s="8"/>
    </row>
    <row r="11662" spans="17:17" x14ac:dyDescent="0.25">
      <c r="Q11662" s="8"/>
    </row>
    <row r="11663" spans="17:17" x14ac:dyDescent="0.25">
      <c r="Q11663" s="8"/>
    </row>
    <row r="11664" spans="17:17" x14ac:dyDescent="0.25">
      <c r="Q11664" s="8"/>
    </row>
    <row r="11665" spans="17:17" x14ac:dyDescent="0.25">
      <c r="Q11665" s="8"/>
    </row>
    <row r="11666" spans="17:17" x14ac:dyDescent="0.25">
      <c r="Q11666" s="8"/>
    </row>
    <row r="11667" spans="17:17" x14ac:dyDescent="0.25">
      <c r="Q11667" s="8"/>
    </row>
    <row r="11668" spans="17:17" x14ac:dyDescent="0.25">
      <c r="Q11668" s="8"/>
    </row>
    <row r="11669" spans="17:17" x14ac:dyDescent="0.25">
      <c r="Q11669" s="8"/>
    </row>
    <row r="11670" spans="17:17" x14ac:dyDescent="0.25">
      <c r="Q11670" s="8"/>
    </row>
    <row r="11671" spans="17:17" x14ac:dyDescent="0.25">
      <c r="Q11671" s="8"/>
    </row>
    <row r="11672" spans="17:17" x14ac:dyDescent="0.25">
      <c r="Q11672" s="8"/>
    </row>
    <row r="11673" spans="17:17" x14ac:dyDescent="0.25">
      <c r="Q11673" s="8"/>
    </row>
    <row r="11674" spans="17:17" x14ac:dyDescent="0.25">
      <c r="Q11674" s="8"/>
    </row>
    <row r="11675" spans="17:17" x14ac:dyDescent="0.25">
      <c r="Q11675" s="8"/>
    </row>
    <row r="11676" spans="17:17" x14ac:dyDescent="0.25">
      <c r="Q11676" s="8"/>
    </row>
    <row r="11677" spans="17:17" x14ac:dyDescent="0.25">
      <c r="Q11677" s="8"/>
    </row>
    <row r="11678" spans="17:17" x14ac:dyDescent="0.25">
      <c r="Q11678" s="8"/>
    </row>
    <row r="11679" spans="17:17" x14ac:dyDescent="0.25">
      <c r="Q11679" s="8"/>
    </row>
    <row r="11680" spans="17:17" x14ac:dyDescent="0.25">
      <c r="Q11680" s="8"/>
    </row>
    <row r="11681" spans="17:17" x14ac:dyDescent="0.25">
      <c r="Q11681" s="8"/>
    </row>
    <row r="11682" spans="17:17" x14ac:dyDescent="0.25">
      <c r="Q11682" s="8"/>
    </row>
    <row r="11683" spans="17:17" x14ac:dyDescent="0.25">
      <c r="Q11683" s="8"/>
    </row>
    <row r="11684" spans="17:17" x14ac:dyDescent="0.25">
      <c r="Q11684" s="8"/>
    </row>
    <row r="11685" spans="17:17" x14ac:dyDescent="0.25">
      <c r="Q11685" s="8"/>
    </row>
    <row r="11686" spans="17:17" x14ac:dyDescent="0.25">
      <c r="Q11686" s="8"/>
    </row>
    <row r="11687" spans="17:17" x14ac:dyDescent="0.25">
      <c r="Q11687" s="8"/>
    </row>
    <row r="11688" spans="17:17" x14ac:dyDescent="0.25">
      <c r="Q11688" s="8"/>
    </row>
    <row r="11689" spans="17:17" x14ac:dyDescent="0.25">
      <c r="Q11689" s="8"/>
    </row>
    <row r="11690" spans="17:17" x14ac:dyDescent="0.25">
      <c r="Q11690" s="8"/>
    </row>
    <row r="11691" spans="17:17" x14ac:dyDescent="0.25">
      <c r="Q11691" s="8"/>
    </row>
    <row r="11692" spans="17:17" x14ac:dyDescent="0.25">
      <c r="Q11692" s="8"/>
    </row>
    <row r="11693" spans="17:17" x14ac:dyDescent="0.25">
      <c r="Q11693" s="8"/>
    </row>
    <row r="11694" spans="17:17" x14ac:dyDescent="0.25">
      <c r="Q11694" s="8"/>
    </row>
    <row r="11695" spans="17:17" x14ac:dyDescent="0.25">
      <c r="Q11695" s="8"/>
    </row>
    <row r="11696" spans="17:17" x14ac:dyDescent="0.25">
      <c r="Q11696" s="8"/>
    </row>
    <row r="11697" spans="17:17" x14ac:dyDescent="0.25">
      <c r="Q11697" s="8"/>
    </row>
    <row r="11698" spans="17:17" x14ac:dyDescent="0.25">
      <c r="Q11698" s="8"/>
    </row>
    <row r="11699" spans="17:17" x14ac:dyDescent="0.25">
      <c r="Q11699" s="8"/>
    </row>
    <row r="11700" spans="17:17" x14ac:dyDescent="0.25">
      <c r="Q11700" s="8"/>
    </row>
    <row r="11701" spans="17:17" x14ac:dyDescent="0.25">
      <c r="Q11701" s="8"/>
    </row>
    <row r="11702" spans="17:17" x14ac:dyDescent="0.25">
      <c r="Q11702" s="8"/>
    </row>
    <row r="11703" spans="17:17" x14ac:dyDescent="0.25">
      <c r="Q11703" s="8"/>
    </row>
    <row r="11704" spans="17:17" x14ac:dyDescent="0.25">
      <c r="Q11704" s="8"/>
    </row>
    <row r="11705" spans="17:17" x14ac:dyDescent="0.25">
      <c r="Q11705" s="8"/>
    </row>
    <row r="11706" spans="17:17" x14ac:dyDescent="0.25">
      <c r="Q11706" s="8"/>
    </row>
    <row r="11707" spans="17:17" x14ac:dyDescent="0.25">
      <c r="Q11707" s="8"/>
    </row>
    <row r="11708" spans="17:17" x14ac:dyDescent="0.25">
      <c r="Q11708" s="8"/>
    </row>
    <row r="11709" spans="17:17" x14ac:dyDescent="0.25">
      <c r="Q11709" s="8"/>
    </row>
    <row r="11710" spans="17:17" x14ac:dyDescent="0.25">
      <c r="Q11710" s="8"/>
    </row>
    <row r="11711" spans="17:17" x14ac:dyDescent="0.25">
      <c r="Q11711" s="8"/>
    </row>
    <row r="11712" spans="17:17" x14ac:dyDescent="0.25">
      <c r="Q11712" s="8"/>
    </row>
    <row r="11713" spans="17:17" x14ac:dyDescent="0.25">
      <c r="Q11713" s="8"/>
    </row>
    <row r="11714" spans="17:17" x14ac:dyDescent="0.25">
      <c r="Q11714" s="8"/>
    </row>
    <row r="11715" spans="17:17" x14ac:dyDescent="0.25">
      <c r="Q11715" s="8"/>
    </row>
    <row r="11716" spans="17:17" x14ac:dyDescent="0.25">
      <c r="Q11716" s="8"/>
    </row>
    <row r="11717" spans="17:17" x14ac:dyDescent="0.25">
      <c r="Q11717" s="8"/>
    </row>
    <row r="11718" spans="17:17" x14ac:dyDescent="0.25">
      <c r="Q11718" s="8"/>
    </row>
    <row r="11719" spans="17:17" x14ac:dyDescent="0.25">
      <c r="Q11719" s="8"/>
    </row>
    <row r="11720" spans="17:17" x14ac:dyDescent="0.25">
      <c r="Q11720" s="8"/>
    </row>
    <row r="11721" spans="17:17" x14ac:dyDescent="0.25">
      <c r="Q11721" s="8"/>
    </row>
    <row r="11722" spans="17:17" x14ac:dyDescent="0.25">
      <c r="Q11722" s="8"/>
    </row>
    <row r="11723" spans="17:17" x14ac:dyDescent="0.25">
      <c r="Q11723" s="8"/>
    </row>
    <row r="11724" spans="17:17" x14ac:dyDescent="0.25">
      <c r="Q11724" s="8"/>
    </row>
    <row r="11725" spans="17:17" x14ac:dyDescent="0.25">
      <c r="Q11725" s="8"/>
    </row>
    <row r="11726" spans="17:17" x14ac:dyDescent="0.25">
      <c r="Q11726" s="8"/>
    </row>
    <row r="11727" spans="17:17" x14ac:dyDescent="0.25">
      <c r="Q11727" s="8"/>
    </row>
    <row r="11728" spans="17:17" x14ac:dyDescent="0.25">
      <c r="Q11728" s="8"/>
    </row>
    <row r="11729" spans="17:17" x14ac:dyDescent="0.25">
      <c r="Q11729" s="8"/>
    </row>
    <row r="11730" spans="17:17" x14ac:dyDescent="0.25">
      <c r="Q11730" s="8"/>
    </row>
    <row r="11731" spans="17:17" x14ac:dyDescent="0.25">
      <c r="Q11731" s="8"/>
    </row>
    <row r="11732" spans="17:17" x14ac:dyDescent="0.25">
      <c r="Q11732" s="8"/>
    </row>
    <row r="11733" spans="17:17" x14ac:dyDescent="0.25">
      <c r="Q11733" s="8"/>
    </row>
    <row r="11734" spans="17:17" x14ac:dyDescent="0.25">
      <c r="Q11734" s="8"/>
    </row>
    <row r="11735" spans="17:17" x14ac:dyDescent="0.25">
      <c r="Q11735" s="8"/>
    </row>
    <row r="11736" spans="17:17" x14ac:dyDescent="0.25">
      <c r="Q11736" s="8"/>
    </row>
    <row r="11737" spans="17:17" x14ac:dyDescent="0.25">
      <c r="Q11737" s="8"/>
    </row>
    <row r="11738" spans="17:17" x14ac:dyDescent="0.25">
      <c r="Q11738" s="8"/>
    </row>
    <row r="11739" spans="17:17" x14ac:dyDescent="0.25">
      <c r="Q11739" s="8"/>
    </row>
    <row r="11740" spans="17:17" x14ac:dyDescent="0.25">
      <c r="Q11740" s="8"/>
    </row>
    <row r="11741" spans="17:17" x14ac:dyDescent="0.25">
      <c r="Q11741" s="8"/>
    </row>
    <row r="11742" spans="17:17" x14ac:dyDescent="0.25">
      <c r="Q11742" s="8"/>
    </row>
    <row r="11743" spans="17:17" x14ac:dyDescent="0.25">
      <c r="Q11743" s="8"/>
    </row>
    <row r="11744" spans="17:17" x14ac:dyDescent="0.25">
      <c r="Q11744" s="8"/>
    </row>
    <row r="11745" spans="17:17" x14ac:dyDescent="0.25">
      <c r="Q11745" s="8"/>
    </row>
    <row r="11746" spans="17:17" x14ac:dyDescent="0.25">
      <c r="Q11746" s="8"/>
    </row>
    <row r="11747" spans="17:17" x14ac:dyDescent="0.25">
      <c r="Q11747" s="8"/>
    </row>
    <row r="11748" spans="17:17" x14ac:dyDescent="0.25">
      <c r="Q11748" s="8"/>
    </row>
    <row r="11749" spans="17:17" x14ac:dyDescent="0.25">
      <c r="Q11749" s="8"/>
    </row>
    <row r="11750" spans="17:17" x14ac:dyDescent="0.25">
      <c r="Q11750" s="8"/>
    </row>
    <row r="11751" spans="17:17" x14ac:dyDescent="0.25">
      <c r="Q11751" s="8"/>
    </row>
    <row r="11752" spans="17:17" x14ac:dyDescent="0.25">
      <c r="Q11752" s="8"/>
    </row>
    <row r="11753" spans="17:17" x14ac:dyDescent="0.25">
      <c r="Q11753" s="8"/>
    </row>
    <row r="11754" spans="17:17" x14ac:dyDescent="0.25">
      <c r="Q11754" s="8"/>
    </row>
    <row r="11755" spans="17:17" x14ac:dyDescent="0.25">
      <c r="Q11755" s="8"/>
    </row>
    <row r="11756" spans="17:17" x14ac:dyDescent="0.25">
      <c r="Q11756" s="8"/>
    </row>
    <row r="11757" spans="17:17" x14ac:dyDescent="0.25">
      <c r="Q11757" s="8"/>
    </row>
    <row r="11758" spans="17:17" x14ac:dyDescent="0.25">
      <c r="Q11758" s="8"/>
    </row>
    <row r="11759" spans="17:17" x14ac:dyDescent="0.25">
      <c r="Q11759" s="8"/>
    </row>
    <row r="11760" spans="17:17" x14ac:dyDescent="0.25">
      <c r="Q11760" s="8"/>
    </row>
    <row r="11761" spans="17:17" x14ac:dyDescent="0.25">
      <c r="Q11761" s="8"/>
    </row>
    <row r="11762" spans="17:17" x14ac:dyDescent="0.25">
      <c r="Q11762" s="8"/>
    </row>
    <row r="11763" spans="17:17" x14ac:dyDescent="0.25">
      <c r="Q11763" s="8"/>
    </row>
    <row r="11764" spans="17:17" x14ac:dyDescent="0.25">
      <c r="Q11764" s="8"/>
    </row>
    <row r="11765" spans="17:17" x14ac:dyDescent="0.25">
      <c r="Q11765" s="8"/>
    </row>
    <row r="11766" spans="17:17" x14ac:dyDescent="0.25">
      <c r="Q11766" s="8"/>
    </row>
    <row r="11767" spans="17:17" x14ac:dyDescent="0.25">
      <c r="Q11767" s="8"/>
    </row>
    <row r="11768" spans="17:17" x14ac:dyDescent="0.25">
      <c r="Q11768" s="8"/>
    </row>
    <row r="11769" spans="17:17" x14ac:dyDescent="0.25">
      <c r="Q11769" s="8"/>
    </row>
    <row r="11770" spans="17:17" x14ac:dyDescent="0.25">
      <c r="Q11770" s="8"/>
    </row>
    <row r="11771" spans="17:17" x14ac:dyDescent="0.25">
      <c r="Q11771" s="8"/>
    </row>
    <row r="11772" spans="17:17" x14ac:dyDescent="0.25">
      <c r="Q11772" s="8"/>
    </row>
    <row r="11773" spans="17:17" x14ac:dyDescent="0.25">
      <c r="Q11773" s="8"/>
    </row>
    <row r="11774" spans="17:17" x14ac:dyDescent="0.25">
      <c r="Q11774" s="8"/>
    </row>
    <row r="11775" spans="17:17" x14ac:dyDescent="0.25">
      <c r="Q11775" s="8"/>
    </row>
    <row r="11776" spans="17:17" x14ac:dyDescent="0.25">
      <c r="Q11776" s="8"/>
    </row>
    <row r="11777" spans="17:17" x14ac:dyDescent="0.25">
      <c r="Q11777" s="8"/>
    </row>
    <row r="11778" spans="17:17" x14ac:dyDescent="0.25">
      <c r="Q11778" s="8"/>
    </row>
    <row r="11779" spans="17:17" x14ac:dyDescent="0.25">
      <c r="Q11779" s="8"/>
    </row>
    <row r="11780" spans="17:17" x14ac:dyDescent="0.25">
      <c r="Q11780" s="8"/>
    </row>
    <row r="11781" spans="17:17" x14ac:dyDescent="0.25">
      <c r="Q11781" s="8"/>
    </row>
    <row r="11782" spans="17:17" x14ac:dyDescent="0.25">
      <c r="Q11782" s="8"/>
    </row>
    <row r="11783" spans="17:17" x14ac:dyDescent="0.25">
      <c r="Q11783" s="8"/>
    </row>
    <row r="11784" spans="17:17" x14ac:dyDescent="0.25">
      <c r="Q11784" s="8"/>
    </row>
    <row r="11785" spans="17:17" x14ac:dyDescent="0.25">
      <c r="Q11785" s="8"/>
    </row>
    <row r="11786" spans="17:17" x14ac:dyDescent="0.25">
      <c r="Q11786" s="8"/>
    </row>
    <row r="11787" spans="17:17" x14ac:dyDescent="0.25">
      <c r="Q11787" s="8"/>
    </row>
    <row r="11788" spans="17:17" x14ac:dyDescent="0.25">
      <c r="Q11788" s="8"/>
    </row>
    <row r="11789" spans="17:17" x14ac:dyDescent="0.25">
      <c r="Q11789" s="8"/>
    </row>
    <row r="11790" spans="17:17" x14ac:dyDescent="0.25">
      <c r="Q11790" s="8"/>
    </row>
    <row r="11791" spans="17:17" x14ac:dyDescent="0.25">
      <c r="Q11791" s="8"/>
    </row>
    <row r="11792" spans="17:17" x14ac:dyDescent="0.25">
      <c r="Q11792" s="8"/>
    </row>
    <row r="11793" spans="17:17" x14ac:dyDescent="0.25">
      <c r="Q11793" s="8"/>
    </row>
    <row r="11794" spans="17:17" x14ac:dyDescent="0.25">
      <c r="Q11794" s="8"/>
    </row>
    <row r="11795" spans="17:17" x14ac:dyDescent="0.25">
      <c r="Q11795" s="8"/>
    </row>
    <row r="11796" spans="17:17" x14ac:dyDescent="0.25">
      <c r="Q11796" s="8"/>
    </row>
    <row r="11797" spans="17:17" x14ac:dyDescent="0.25">
      <c r="Q11797" s="8"/>
    </row>
    <row r="11798" spans="17:17" x14ac:dyDescent="0.25">
      <c r="Q11798" s="8"/>
    </row>
    <row r="11799" spans="17:17" x14ac:dyDescent="0.25">
      <c r="Q11799" s="8"/>
    </row>
    <row r="11800" spans="17:17" x14ac:dyDescent="0.25">
      <c r="Q11800" s="8"/>
    </row>
    <row r="11801" spans="17:17" x14ac:dyDescent="0.25">
      <c r="Q11801" s="8"/>
    </row>
    <row r="11802" spans="17:17" x14ac:dyDescent="0.25">
      <c r="Q11802" s="8"/>
    </row>
    <row r="11803" spans="17:17" x14ac:dyDescent="0.25">
      <c r="Q11803" s="8"/>
    </row>
    <row r="11804" spans="17:17" x14ac:dyDescent="0.25">
      <c r="Q11804" s="8"/>
    </row>
    <row r="11805" spans="17:17" x14ac:dyDescent="0.25">
      <c r="Q11805" s="8"/>
    </row>
    <row r="11806" spans="17:17" x14ac:dyDescent="0.25">
      <c r="Q11806" s="8"/>
    </row>
    <row r="11807" spans="17:17" x14ac:dyDescent="0.25">
      <c r="Q11807" s="8"/>
    </row>
    <row r="11808" spans="17:17" x14ac:dyDescent="0.25">
      <c r="Q11808" s="8"/>
    </row>
    <row r="11809" spans="17:17" x14ac:dyDescent="0.25">
      <c r="Q11809" s="8"/>
    </row>
    <row r="11810" spans="17:17" x14ac:dyDescent="0.25">
      <c r="Q11810" s="8"/>
    </row>
    <row r="11811" spans="17:17" x14ac:dyDescent="0.25">
      <c r="Q11811" s="8"/>
    </row>
    <row r="11812" spans="17:17" x14ac:dyDescent="0.25">
      <c r="Q11812" s="8"/>
    </row>
    <row r="11813" spans="17:17" x14ac:dyDescent="0.25">
      <c r="Q11813" s="8"/>
    </row>
    <row r="11814" spans="17:17" x14ac:dyDescent="0.25">
      <c r="Q11814" s="8"/>
    </row>
    <row r="11815" spans="17:17" x14ac:dyDescent="0.25">
      <c r="Q11815" s="8"/>
    </row>
    <row r="11816" spans="17:17" x14ac:dyDescent="0.25">
      <c r="Q11816" s="8"/>
    </row>
    <row r="11817" spans="17:17" x14ac:dyDescent="0.25">
      <c r="Q11817" s="8"/>
    </row>
    <row r="11818" spans="17:17" x14ac:dyDescent="0.25">
      <c r="Q11818" s="8"/>
    </row>
    <row r="11819" spans="17:17" x14ac:dyDescent="0.25">
      <c r="Q11819" s="8"/>
    </row>
    <row r="11820" spans="17:17" x14ac:dyDescent="0.25">
      <c r="Q11820" s="8"/>
    </row>
    <row r="11821" spans="17:17" x14ac:dyDescent="0.25">
      <c r="Q11821" s="8"/>
    </row>
    <row r="11822" spans="17:17" x14ac:dyDescent="0.25">
      <c r="Q11822" s="8"/>
    </row>
    <row r="11823" spans="17:17" x14ac:dyDescent="0.25">
      <c r="Q11823" s="8"/>
    </row>
    <row r="11824" spans="17:17" x14ac:dyDescent="0.25">
      <c r="Q11824" s="8"/>
    </row>
    <row r="11825" spans="17:17" x14ac:dyDescent="0.25">
      <c r="Q11825" s="8"/>
    </row>
    <row r="11826" spans="17:17" x14ac:dyDescent="0.25">
      <c r="Q11826" s="8"/>
    </row>
    <row r="11827" spans="17:17" x14ac:dyDescent="0.25">
      <c r="Q11827" s="8"/>
    </row>
    <row r="11828" spans="17:17" x14ac:dyDescent="0.25">
      <c r="Q11828" s="8"/>
    </row>
    <row r="11829" spans="17:17" x14ac:dyDescent="0.25">
      <c r="Q11829" s="8"/>
    </row>
    <row r="11830" spans="17:17" x14ac:dyDescent="0.25">
      <c r="Q11830" s="8"/>
    </row>
    <row r="11831" spans="17:17" x14ac:dyDescent="0.25">
      <c r="Q11831" s="8"/>
    </row>
    <row r="11832" spans="17:17" x14ac:dyDescent="0.25">
      <c r="Q11832" s="8"/>
    </row>
    <row r="11833" spans="17:17" x14ac:dyDescent="0.25">
      <c r="Q11833" s="8"/>
    </row>
    <row r="11834" spans="17:17" x14ac:dyDescent="0.25">
      <c r="Q11834" s="8"/>
    </row>
    <row r="11835" spans="17:17" x14ac:dyDescent="0.25">
      <c r="Q11835" s="8"/>
    </row>
    <row r="11836" spans="17:17" x14ac:dyDescent="0.25">
      <c r="Q11836" s="8"/>
    </row>
    <row r="11837" spans="17:17" x14ac:dyDescent="0.25">
      <c r="Q11837" s="8"/>
    </row>
    <row r="11838" spans="17:17" x14ac:dyDescent="0.25">
      <c r="Q11838" s="8"/>
    </row>
    <row r="11839" spans="17:17" x14ac:dyDescent="0.25">
      <c r="Q11839" s="8"/>
    </row>
    <row r="11840" spans="17:17" x14ac:dyDescent="0.25">
      <c r="Q11840" s="8"/>
    </row>
    <row r="11841" spans="17:17" x14ac:dyDescent="0.25">
      <c r="Q11841" s="8"/>
    </row>
    <row r="11842" spans="17:17" x14ac:dyDescent="0.25">
      <c r="Q11842" s="8"/>
    </row>
    <row r="11843" spans="17:17" x14ac:dyDescent="0.25">
      <c r="Q11843" s="8"/>
    </row>
    <row r="11844" spans="17:17" x14ac:dyDescent="0.25">
      <c r="Q11844" s="8"/>
    </row>
    <row r="11845" spans="17:17" x14ac:dyDescent="0.25">
      <c r="Q11845" s="8"/>
    </row>
    <row r="11846" spans="17:17" x14ac:dyDescent="0.25">
      <c r="Q11846" s="8"/>
    </row>
    <row r="11847" spans="17:17" x14ac:dyDescent="0.25">
      <c r="Q11847" s="8"/>
    </row>
    <row r="11848" spans="17:17" x14ac:dyDescent="0.25">
      <c r="Q11848" s="8"/>
    </row>
    <row r="11849" spans="17:17" x14ac:dyDescent="0.25">
      <c r="Q11849" s="8"/>
    </row>
    <row r="11850" spans="17:17" x14ac:dyDescent="0.25">
      <c r="Q11850" s="8"/>
    </row>
    <row r="11851" spans="17:17" x14ac:dyDescent="0.25">
      <c r="Q11851" s="8"/>
    </row>
    <row r="11852" spans="17:17" x14ac:dyDescent="0.25">
      <c r="Q11852" s="8"/>
    </row>
    <row r="11853" spans="17:17" x14ac:dyDescent="0.25">
      <c r="Q11853" s="8"/>
    </row>
    <row r="11854" spans="17:17" x14ac:dyDescent="0.25">
      <c r="Q11854" s="8"/>
    </row>
    <row r="11855" spans="17:17" x14ac:dyDescent="0.25">
      <c r="Q11855" s="8"/>
    </row>
    <row r="11856" spans="17:17" x14ac:dyDescent="0.25">
      <c r="Q11856" s="8"/>
    </row>
    <row r="11857" spans="17:17" x14ac:dyDescent="0.25">
      <c r="Q11857" s="8"/>
    </row>
    <row r="11858" spans="17:17" x14ac:dyDescent="0.25">
      <c r="Q11858" s="8"/>
    </row>
    <row r="11859" spans="17:17" x14ac:dyDescent="0.25">
      <c r="Q11859" s="8"/>
    </row>
    <row r="11860" spans="17:17" x14ac:dyDescent="0.25">
      <c r="Q11860" s="8"/>
    </row>
    <row r="11861" spans="17:17" x14ac:dyDescent="0.25">
      <c r="Q11861" s="8"/>
    </row>
    <row r="11862" spans="17:17" x14ac:dyDescent="0.25">
      <c r="Q11862" s="8"/>
    </row>
    <row r="11863" spans="17:17" x14ac:dyDescent="0.25">
      <c r="Q11863" s="8"/>
    </row>
    <row r="11864" spans="17:17" x14ac:dyDescent="0.25">
      <c r="Q11864" s="8"/>
    </row>
    <row r="11865" spans="17:17" x14ac:dyDescent="0.25">
      <c r="Q11865" s="8"/>
    </row>
    <row r="11866" spans="17:17" x14ac:dyDescent="0.25">
      <c r="Q11866" s="8"/>
    </row>
    <row r="11867" spans="17:17" x14ac:dyDescent="0.25">
      <c r="Q11867" s="8"/>
    </row>
    <row r="11868" spans="17:17" x14ac:dyDescent="0.25">
      <c r="Q11868" s="8"/>
    </row>
    <row r="11869" spans="17:17" x14ac:dyDescent="0.25">
      <c r="Q11869" s="8"/>
    </row>
    <row r="11870" spans="17:17" x14ac:dyDescent="0.25">
      <c r="Q11870" s="8"/>
    </row>
    <row r="11871" spans="17:17" x14ac:dyDescent="0.25">
      <c r="Q11871" s="8"/>
    </row>
    <row r="11872" spans="17:17" x14ac:dyDescent="0.25">
      <c r="Q11872" s="8"/>
    </row>
    <row r="11873" spans="17:17" x14ac:dyDescent="0.25">
      <c r="Q11873" s="8"/>
    </row>
    <row r="11874" spans="17:17" x14ac:dyDescent="0.25">
      <c r="Q11874" s="8"/>
    </row>
    <row r="11875" spans="17:17" x14ac:dyDescent="0.25">
      <c r="Q11875" s="8"/>
    </row>
    <row r="11876" spans="17:17" x14ac:dyDescent="0.25">
      <c r="Q11876" s="8"/>
    </row>
    <row r="11877" spans="17:17" x14ac:dyDescent="0.25">
      <c r="Q11877" s="8"/>
    </row>
    <row r="11878" spans="17:17" x14ac:dyDescent="0.25">
      <c r="Q11878" s="8"/>
    </row>
    <row r="11879" spans="17:17" x14ac:dyDescent="0.25">
      <c r="Q11879" s="8"/>
    </row>
    <row r="11880" spans="17:17" x14ac:dyDescent="0.25">
      <c r="Q11880" s="8"/>
    </row>
    <row r="11881" spans="17:17" x14ac:dyDescent="0.25">
      <c r="Q11881" s="8"/>
    </row>
    <row r="11882" spans="17:17" x14ac:dyDescent="0.25">
      <c r="Q11882" s="8"/>
    </row>
    <row r="11883" spans="17:17" x14ac:dyDescent="0.25">
      <c r="Q11883" s="8"/>
    </row>
    <row r="11884" spans="17:17" x14ac:dyDescent="0.25">
      <c r="Q11884" s="8"/>
    </row>
    <row r="11885" spans="17:17" x14ac:dyDescent="0.25">
      <c r="Q11885" s="8"/>
    </row>
    <row r="11886" spans="17:17" x14ac:dyDescent="0.25">
      <c r="Q11886" s="8"/>
    </row>
    <row r="11887" spans="17:17" x14ac:dyDescent="0.25">
      <c r="Q11887" s="8"/>
    </row>
    <row r="11888" spans="17:17" x14ac:dyDescent="0.25">
      <c r="Q11888" s="8"/>
    </row>
    <row r="11889" spans="17:17" x14ac:dyDescent="0.25">
      <c r="Q11889" s="8"/>
    </row>
    <row r="11890" spans="17:17" x14ac:dyDescent="0.25">
      <c r="Q11890" s="8"/>
    </row>
    <row r="11891" spans="17:17" x14ac:dyDescent="0.25">
      <c r="Q11891" s="8"/>
    </row>
    <row r="11892" spans="17:17" x14ac:dyDescent="0.25">
      <c r="Q11892" s="8"/>
    </row>
    <row r="11893" spans="17:17" x14ac:dyDescent="0.25">
      <c r="Q11893" s="8"/>
    </row>
    <row r="11894" spans="17:17" x14ac:dyDescent="0.25">
      <c r="Q11894" s="8"/>
    </row>
    <row r="11895" spans="17:17" x14ac:dyDescent="0.25">
      <c r="Q11895" s="8"/>
    </row>
    <row r="11896" spans="17:17" x14ac:dyDescent="0.25">
      <c r="Q11896" s="8"/>
    </row>
    <row r="11897" spans="17:17" x14ac:dyDescent="0.25">
      <c r="Q11897" s="8"/>
    </row>
    <row r="11898" spans="17:17" x14ac:dyDescent="0.25">
      <c r="Q11898" s="8"/>
    </row>
    <row r="11899" spans="17:17" x14ac:dyDescent="0.25">
      <c r="Q11899" s="8"/>
    </row>
    <row r="11900" spans="17:17" x14ac:dyDescent="0.25">
      <c r="Q11900" s="8"/>
    </row>
    <row r="11901" spans="17:17" x14ac:dyDescent="0.25">
      <c r="Q11901" s="8"/>
    </row>
    <row r="11902" spans="17:17" x14ac:dyDescent="0.25">
      <c r="Q11902" s="8"/>
    </row>
    <row r="11903" spans="17:17" x14ac:dyDescent="0.25">
      <c r="Q11903" s="8"/>
    </row>
    <row r="11904" spans="17:17" x14ac:dyDescent="0.25">
      <c r="Q11904" s="8"/>
    </row>
    <row r="11905" spans="17:17" x14ac:dyDescent="0.25">
      <c r="Q11905" s="8"/>
    </row>
    <row r="11906" spans="17:17" x14ac:dyDescent="0.25">
      <c r="Q11906" s="8"/>
    </row>
    <row r="11907" spans="17:17" x14ac:dyDescent="0.25">
      <c r="Q11907" s="8"/>
    </row>
    <row r="11908" spans="17:17" x14ac:dyDescent="0.25">
      <c r="Q11908" s="8"/>
    </row>
    <row r="11909" spans="17:17" x14ac:dyDescent="0.25">
      <c r="Q11909" s="8"/>
    </row>
    <row r="11910" spans="17:17" x14ac:dyDescent="0.25">
      <c r="Q11910" s="8"/>
    </row>
    <row r="11911" spans="17:17" x14ac:dyDescent="0.25">
      <c r="Q11911" s="8"/>
    </row>
    <row r="11912" spans="17:17" x14ac:dyDescent="0.25">
      <c r="Q11912" s="8"/>
    </row>
    <row r="11913" spans="17:17" x14ac:dyDescent="0.25">
      <c r="Q11913" s="8"/>
    </row>
    <row r="11914" spans="17:17" x14ac:dyDescent="0.25">
      <c r="Q11914" s="8"/>
    </row>
    <row r="11915" spans="17:17" x14ac:dyDescent="0.25">
      <c r="Q11915" s="8"/>
    </row>
    <row r="11916" spans="17:17" x14ac:dyDescent="0.25">
      <c r="Q11916" s="8"/>
    </row>
    <row r="11917" spans="17:17" x14ac:dyDescent="0.25">
      <c r="Q11917" s="8"/>
    </row>
    <row r="11918" spans="17:17" x14ac:dyDescent="0.25">
      <c r="Q11918" s="8"/>
    </row>
    <row r="11919" spans="17:17" x14ac:dyDescent="0.25">
      <c r="Q11919" s="8"/>
    </row>
    <row r="11920" spans="17:17" x14ac:dyDescent="0.25">
      <c r="Q11920" s="8"/>
    </row>
    <row r="11921" spans="17:17" x14ac:dyDescent="0.25">
      <c r="Q11921" s="8"/>
    </row>
    <row r="11922" spans="17:17" x14ac:dyDescent="0.25">
      <c r="Q11922" s="8"/>
    </row>
    <row r="11923" spans="17:17" x14ac:dyDescent="0.25">
      <c r="Q11923" s="8"/>
    </row>
    <row r="11924" spans="17:17" x14ac:dyDescent="0.25">
      <c r="Q11924" s="8"/>
    </row>
    <row r="11925" spans="17:17" x14ac:dyDescent="0.25">
      <c r="Q11925" s="8"/>
    </row>
    <row r="11926" spans="17:17" x14ac:dyDescent="0.25">
      <c r="Q11926" s="8"/>
    </row>
    <row r="11927" spans="17:17" x14ac:dyDescent="0.25">
      <c r="Q11927" s="8"/>
    </row>
    <row r="11928" spans="17:17" x14ac:dyDescent="0.25">
      <c r="Q11928" s="8"/>
    </row>
    <row r="11929" spans="17:17" x14ac:dyDescent="0.25">
      <c r="Q11929" s="8"/>
    </row>
    <row r="11930" spans="17:17" x14ac:dyDescent="0.25">
      <c r="Q11930" s="8"/>
    </row>
    <row r="11931" spans="17:17" x14ac:dyDescent="0.25">
      <c r="Q11931" s="8"/>
    </row>
    <row r="11932" spans="17:17" x14ac:dyDescent="0.25">
      <c r="Q11932" s="8"/>
    </row>
    <row r="11933" spans="17:17" x14ac:dyDescent="0.25">
      <c r="Q11933" s="8"/>
    </row>
    <row r="11934" spans="17:17" x14ac:dyDescent="0.25">
      <c r="Q11934" s="8"/>
    </row>
    <row r="11935" spans="17:17" x14ac:dyDescent="0.25">
      <c r="Q11935" s="8"/>
    </row>
    <row r="11936" spans="17:17" x14ac:dyDescent="0.25">
      <c r="Q11936" s="8"/>
    </row>
    <row r="11937" spans="17:17" x14ac:dyDescent="0.25">
      <c r="Q11937" s="8"/>
    </row>
    <row r="11938" spans="17:17" x14ac:dyDescent="0.25">
      <c r="Q11938" s="8"/>
    </row>
    <row r="11939" spans="17:17" x14ac:dyDescent="0.25">
      <c r="Q11939" s="8"/>
    </row>
    <row r="11940" spans="17:17" x14ac:dyDescent="0.25">
      <c r="Q11940" s="8"/>
    </row>
    <row r="11941" spans="17:17" x14ac:dyDescent="0.25">
      <c r="Q11941" s="8"/>
    </row>
    <row r="11942" spans="17:17" x14ac:dyDescent="0.25">
      <c r="Q11942" s="8"/>
    </row>
    <row r="11943" spans="17:17" x14ac:dyDescent="0.25">
      <c r="Q11943" s="8"/>
    </row>
    <row r="11944" spans="17:17" x14ac:dyDescent="0.25">
      <c r="Q11944" s="8"/>
    </row>
    <row r="11945" spans="17:17" x14ac:dyDescent="0.25">
      <c r="Q11945" s="8"/>
    </row>
    <row r="11946" spans="17:17" x14ac:dyDescent="0.25">
      <c r="Q11946" s="8"/>
    </row>
    <row r="11947" spans="17:17" x14ac:dyDescent="0.25">
      <c r="Q11947" s="8"/>
    </row>
    <row r="11948" spans="17:17" x14ac:dyDescent="0.25">
      <c r="Q11948" s="8"/>
    </row>
    <row r="11949" spans="17:17" x14ac:dyDescent="0.25">
      <c r="Q11949" s="8"/>
    </row>
    <row r="11950" spans="17:17" x14ac:dyDescent="0.25">
      <c r="Q11950" s="8"/>
    </row>
    <row r="11951" spans="17:17" x14ac:dyDescent="0.25">
      <c r="Q11951" s="8"/>
    </row>
    <row r="11952" spans="17:17" x14ac:dyDescent="0.25">
      <c r="Q11952" s="8"/>
    </row>
    <row r="11953" spans="17:17" x14ac:dyDescent="0.25">
      <c r="Q11953" s="8"/>
    </row>
    <row r="11954" spans="17:17" x14ac:dyDescent="0.25">
      <c r="Q11954" s="8"/>
    </row>
    <row r="11955" spans="17:17" x14ac:dyDescent="0.25">
      <c r="Q11955" s="8"/>
    </row>
    <row r="11956" spans="17:17" x14ac:dyDescent="0.25">
      <c r="Q11956" s="8"/>
    </row>
    <row r="11957" spans="17:17" x14ac:dyDescent="0.25">
      <c r="Q11957" s="8"/>
    </row>
    <row r="11958" spans="17:17" x14ac:dyDescent="0.25">
      <c r="Q11958" s="8"/>
    </row>
    <row r="11959" spans="17:17" x14ac:dyDescent="0.25">
      <c r="Q11959" s="8"/>
    </row>
    <row r="11960" spans="17:17" x14ac:dyDescent="0.25">
      <c r="Q11960" s="8"/>
    </row>
    <row r="11961" spans="17:17" x14ac:dyDescent="0.25">
      <c r="Q11961" s="8"/>
    </row>
    <row r="11962" spans="17:17" x14ac:dyDescent="0.25">
      <c r="Q11962" s="8"/>
    </row>
    <row r="11963" spans="17:17" x14ac:dyDescent="0.25">
      <c r="Q11963" s="8"/>
    </row>
    <row r="11964" spans="17:17" x14ac:dyDescent="0.25">
      <c r="Q11964" s="8"/>
    </row>
    <row r="11965" spans="17:17" x14ac:dyDescent="0.25">
      <c r="Q11965" s="8"/>
    </row>
    <row r="11966" spans="17:17" x14ac:dyDescent="0.25">
      <c r="Q11966" s="8"/>
    </row>
    <row r="11967" spans="17:17" x14ac:dyDescent="0.25">
      <c r="Q11967" s="8"/>
    </row>
    <row r="11968" spans="17:17" x14ac:dyDescent="0.25">
      <c r="Q11968" s="8"/>
    </row>
    <row r="11969" spans="17:17" x14ac:dyDescent="0.25">
      <c r="Q11969" s="8"/>
    </row>
    <row r="11970" spans="17:17" x14ac:dyDescent="0.25">
      <c r="Q11970" s="8"/>
    </row>
    <row r="11971" spans="17:17" x14ac:dyDescent="0.25">
      <c r="Q11971" s="8"/>
    </row>
    <row r="11972" spans="17:17" x14ac:dyDescent="0.25">
      <c r="Q11972" s="8"/>
    </row>
    <row r="11973" spans="17:17" x14ac:dyDescent="0.25">
      <c r="Q11973" s="8"/>
    </row>
    <row r="11974" spans="17:17" x14ac:dyDescent="0.25">
      <c r="Q11974" s="8"/>
    </row>
    <row r="11975" spans="17:17" x14ac:dyDescent="0.25">
      <c r="Q11975" s="8"/>
    </row>
    <row r="11976" spans="17:17" x14ac:dyDescent="0.25">
      <c r="Q11976" s="8"/>
    </row>
    <row r="11977" spans="17:17" x14ac:dyDescent="0.25">
      <c r="Q11977" s="8"/>
    </row>
    <row r="11978" spans="17:17" x14ac:dyDescent="0.25">
      <c r="Q11978" s="8"/>
    </row>
    <row r="11979" spans="17:17" x14ac:dyDescent="0.25">
      <c r="Q11979" s="8"/>
    </row>
    <row r="11980" spans="17:17" x14ac:dyDescent="0.25">
      <c r="Q11980" s="8"/>
    </row>
    <row r="11981" spans="17:17" x14ac:dyDescent="0.25">
      <c r="Q11981" s="8"/>
    </row>
    <row r="11982" spans="17:17" x14ac:dyDescent="0.25">
      <c r="Q11982" s="8"/>
    </row>
    <row r="11983" spans="17:17" x14ac:dyDescent="0.25">
      <c r="Q11983" s="8"/>
    </row>
    <row r="11984" spans="17:17" x14ac:dyDescent="0.25">
      <c r="Q11984" s="8"/>
    </row>
    <row r="11985" spans="17:17" x14ac:dyDescent="0.25">
      <c r="Q11985" s="8"/>
    </row>
    <row r="11986" spans="17:17" x14ac:dyDescent="0.25">
      <c r="Q11986" s="8"/>
    </row>
    <row r="11987" spans="17:17" x14ac:dyDescent="0.25">
      <c r="Q11987" s="8"/>
    </row>
    <row r="11988" spans="17:17" x14ac:dyDescent="0.25">
      <c r="Q11988" s="8"/>
    </row>
    <row r="11989" spans="17:17" x14ac:dyDescent="0.25">
      <c r="Q11989" s="8"/>
    </row>
    <row r="11990" spans="17:17" x14ac:dyDescent="0.25">
      <c r="Q11990" s="8"/>
    </row>
    <row r="11991" spans="17:17" x14ac:dyDescent="0.25">
      <c r="Q11991" s="8"/>
    </row>
    <row r="11992" spans="17:17" x14ac:dyDescent="0.25">
      <c r="Q11992" s="8"/>
    </row>
    <row r="11993" spans="17:17" x14ac:dyDescent="0.25">
      <c r="Q11993" s="8"/>
    </row>
    <row r="11994" spans="17:17" x14ac:dyDescent="0.25">
      <c r="Q11994" s="8"/>
    </row>
    <row r="11995" spans="17:17" x14ac:dyDescent="0.25">
      <c r="Q11995" s="8"/>
    </row>
    <row r="11996" spans="17:17" x14ac:dyDescent="0.25">
      <c r="Q11996" s="8"/>
    </row>
    <row r="11997" spans="17:17" x14ac:dyDescent="0.25">
      <c r="Q11997" s="8"/>
    </row>
    <row r="11998" spans="17:17" x14ac:dyDescent="0.25">
      <c r="Q11998" s="8"/>
    </row>
    <row r="11999" spans="17:17" x14ac:dyDescent="0.25">
      <c r="Q11999" s="8"/>
    </row>
    <row r="12000" spans="17:17" x14ac:dyDescent="0.25">
      <c r="Q12000" s="8"/>
    </row>
    <row r="12001" spans="17:17" x14ac:dyDescent="0.25">
      <c r="Q12001" s="8"/>
    </row>
    <row r="12002" spans="17:17" x14ac:dyDescent="0.25">
      <c r="Q12002" s="8"/>
    </row>
    <row r="12003" spans="17:17" x14ac:dyDescent="0.25">
      <c r="Q12003" s="8"/>
    </row>
    <row r="12004" spans="17:17" x14ac:dyDescent="0.25">
      <c r="Q12004" s="8"/>
    </row>
    <row r="12005" spans="17:17" x14ac:dyDescent="0.25">
      <c r="Q12005" s="8"/>
    </row>
    <row r="12006" spans="17:17" x14ac:dyDescent="0.25">
      <c r="Q12006" s="8"/>
    </row>
    <row r="12007" spans="17:17" x14ac:dyDescent="0.25">
      <c r="Q12007" s="8"/>
    </row>
    <row r="12008" spans="17:17" x14ac:dyDescent="0.25">
      <c r="Q12008" s="8"/>
    </row>
    <row r="12009" spans="17:17" x14ac:dyDescent="0.25">
      <c r="Q12009" s="8"/>
    </row>
    <row r="12010" spans="17:17" x14ac:dyDescent="0.25">
      <c r="Q12010" s="8"/>
    </row>
    <row r="12011" spans="17:17" x14ac:dyDescent="0.25">
      <c r="Q12011" s="8"/>
    </row>
    <row r="12012" spans="17:17" x14ac:dyDescent="0.25">
      <c r="Q12012" s="8"/>
    </row>
    <row r="12013" spans="17:17" x14ac:dyDescent="0.25">
      <c r="Q12013" s="8"/>
    </row>
    <row r="12014" spans="17:17" x14ac:dyDescent="0.25">
      <c r="Q12014" s="8"/>
    </row>
    <row r="12015" spans="17:17" x14ac:dyDescent="0.25">
      <c r="Q12015" s="8"/>
    </row>
    <row r="12016" spans="17:17" x14ac:dyDescent="0.25">
      <c r="Q12016" s="8"/>
    </row>
    <row r="12017" spans="17:17" x14ac:dyDescent="0.25">
      <c r="Q12017" s="8"/>
    </row>
    <row r="12018" spans="17:17" x14ac:dyDescent="0.25">
      <c r="Q12018" s="8"/>
    </row>
    <row r="12019" spans="17:17" x14ac:dyDescent="0.25">
      <c r="Q12019" s="8"/>
    </row>
    <row r="12020" spans="17:17" x14ac:dyDescent="0.25">
      <c r="Q12020" s="8"/>
    </row>
    <row r="12021" spans="17:17" x14ac:dyDescent="0.25">
      <c r="Q12021" s="8"/>
    </row>
    <row r="12022" spans="17:17" x14ac:dyDescent="0.25">
      <c r="Q12022" s="8"/>
    </row>
    <row r="12023" spans="17:17" x14ac:dyDescent="0.25">
      <c r="Q12023" s="8"/>
    </row>
    <row r="12024" spans="17:17" x14ac:dyDescent="0.25">
      <c r="Q12024" s="8"/>
    </row>
    <row r="12025" spans="17:17" x14ac:dyDescent="0.25">
      <c r="Q12025" s="8"/>
    </row>
    <row r="12026" spans="17:17" x14ac:dyDescent="0.25">
      <c r="Q12026" s="8"/>
    </row>
    <row r="12027" spans="17:17" x14ac:dyDescent="0.25">
      <c r="Q12027" s="8"/>
    </row>
    <row r="12028" spans="17:17" x14ac:dyDescent="0.25">
      <c r="Q12028" s="8"/>
    </row>
    <row r="12029" spans="17:17" x14ac:dyDescent="0.25">
      <c r="Q12029" s="8"/>
    </row>
    <row r="12030" spans="17:17" x14ac:dyDescent="0.25">
      <c r="Q12030" s="8"/>
    </row>
    <row r="12031" spans="17:17" x14ac:dyDescent="0.25">
      <c r="Q12031" s="8"/>
    </row>
    <row r="12032" spans="17:17" x14ac:dyDescent="0.25">
      <c r="Q12032" s="8"/>
    </row>
    <row r="12033" spans="17:17" x14ac:dyDescent="0.25">
      <c r="Q12033" s="8"/>
    </row>
    <row r="12034" spans="17:17" x14ac:dyDescent="0.25">
      <c r="Q12034" s="8"/>
    </row>
    <row r="12035" spans="17:17" x14ac:dyDescent="0.25">
      <c r="Q12035" s="8"/>
    </row>
    <row r="12036" spans="17:17" x14ac:dyDescent="0.25">
      <c r="Q12036" s="8"/>
    </row>
    <row r="12037" spans="17:17" x14ac:dyDescent="0.25">
      <c r="Q12037" s="8"/>
    </row>
    <row r="12038" spans="17:17" x14ac:dyDescent="0.25">
      <c r="Q12038" s="8"/>
    </row>
    <row r="12039" spans="17:17" x14ac:dyDescent="0.25">
      <c r="Q12039" s="8"/>
    </row>
    <row r="12040" spans="17:17" x14ac:dyDescent="0.25">
      <c r="Q12040" s="8"/>
    </row>
    <row r="12041" spans="17:17" x14ac:dyDescent="0.25">
      <c r="Q12041" s="8"/>
    </row>
    <row r="12042" spans="17:17" x14ac:dyDescent="0.25">
      <c r="Q12042" s="8"/>
    </row>
    <row r="12043" spans="17:17" x14ac:dyDescent="0.25">
      <c r="Q12043" s="8"/>
    </row>
    <row r="12044" spans="17:17" x14ac:dyDescent="0.25">
      <c r="Q12044" s="8"/>
    </row>
    <row r="12045" spans="17:17" x14ac:dyDescent="0.25">
      <c r="Q12045" s="8"/>
    </row>
    <row r="12046" spans="17:17" x14ac:dyDescent="0.25">
      <c r="Q12046" s="8"/>
    </row>
    <row r="12047" spans="17:17" x14ac:dyDescent="0.25">
      <c r="Q12047" s="8"/>
    </row>
    <row r="12048" spans="17:17" x14ac:dyDescent="0.25">
      <c r="Q12048" s="8"/>
    </row>
    <row r="12049" spans="17:17" x14ac:dyDescent="0.25">
      <c r="Q12049" s="8"/>
    </row>
    <row r="12050" spans="17:17" x14ac:dyDescent="0.25">
      <c r="Q12050" s="8"/>
    </row>
    <row r="12051" spans="17:17" x14ac:dyDescent="0.25">
      <c r="Q12051" s="8"/>
    </row>
    <row r="12052" spans="17:17" x14ac:dyDescent="0.25">
      <c r="Q12052" s="8"/>
    </row>
    <row r="12053" spans="17:17" x14ac:dyDescent="0.25">
      <c r="Q12053" s="8"/>
    </row>
    <row r="12054" spans="17:17" x14ac:dyDescent="0.25">
      <c r="Q12054" s="8"/>
    </row>
    <row r="12055" spans="17:17" x14ac:dyDescent="0.25">
      <c r="Q12055" s="8"/>
    </row>
    <row r="12056" spans="17:17" x14ac:dyDescent="0.25">
      <c r="Q12056" s="8"/>
    </row>
    <row r="12057" spans="17:17" x14ac:dyDescent="0.25">
      <c r="Q12057" s="8"/>
    </row>
    <row r="12058" spans="17:17" x14ac:dyDescent="0.25">
      <c r="Q12058" s="8"/>
    </row>
    <row r="12059" spans="17:17" x14ac:dyDescent="0.25">
      <c r="Q12059" s="8"/>
    </row>
    <row r="12060" spans="17:17" x14ac:dyDescent="0.25">
      <c r="Q12060" s="8"/>
    </row>
    <row r="12061" spans="17:17" x14ac:dyDescent="0.25">
      <c r="Q12061" s="8"/>
    </row>
    <row r="12062" spans="17:17" x14ac:dyDescent="0.25">
      <c r="Q12062" s="8"/>
    </row>
    <row r="12063" spans="17:17" x14ac:dyDescent="0.25">
      <c r="Q12063" s="8"/>
    </row>
    <row r="12064" spans="17:17" x14ac:dyDescent="0.25">
      <c r="Q12064" s="8"/>
    </row>
    <row r="12065" spans="17:17" x14ac:dyDescent="0.25">
      <c r="Q12065" s="8"/>
    </row>
    <row r="12066" spans="17:17" x14ac:dyDescent="0.25">
      <c r="Q12066" s="8"/>
    </row>
    <row r="12067" spans="17:17" x14ac:dyDescent="0.25">
      <c r="Q12067" s="8"/>
    </row>
    <row r="12068" spans="17:17" x14ac:dyDescent="0.25">
      <c r="Q12068" s="8"/>
    </row>
    <row r="12069" spans="17:17" x14ac:dyDescent="0.25">
      <c r="Q12069" s="8"/>
    </row>
    <row r="12070" spans="17:17" x14ac:dyDescent="0.25">
      <c r="Q12070" s="8"/>
    </row>
    <row r="12071" spans="17:17" x14ac:dyDescent="0.25">
      <c r="Q12071" s="8"/>
    </row>
    <row r="12072" spans="17:17" x14ac:dyDescent="0.25">
      <c r="Q12072" s="8"/>
    </row>
    <row r="12073" spans="17:17" x14ac:dyDescent="0.25">
      <c r="Q12073" s="8"/>
    </row>
    <row r="12074" spans="17:17" x14ac:dyDescent="0.25">
      <c r="Q12074" s="8"/>
    </row>
    <row r="12075" spans="17:17" x14ac:dyDescent="0.25">
      <c r="Q12075" s="8"/>
    </row>
    <row r="12076" spans="17:17" x14ac:dyDescent="0.25">
      <c r="Q12076" s="8"/>
    </row>
    <row r="12077" spans="17:17" x14ac:dyDescent="0.25">
      <c r="Q12077" s="8"/>
    </row>
    <row r="12078" spans="17:17" x14ac:dyDescent="0.25">
      <c r="Q12078" s="8"/>
    </row>
    <row r="12079" spans="17:17" x14ac:dyDescent="0.25">
      <c r="Q12079" s="8"/>
    </row>
    <row r="12080" spans="17:17" x14ac:dyDescent="0.25">
      <c r="Q12080" s="8"/>
    </row>
    <row r="12081" spans="17:17" x14ac:dyDescent="0.25">
      <c r="Q12081" s="8"/>
    </row>
    <row r="12082" spans="17:17" x14ac:dyDescent="0.25">
      <c r="Q12082" s="8"/>
    </row>
    <row r="12083" spans="17:17" x14ac:dyDescent="0.25">
      <c r="Q12083" s="8"/>
    </row>
    <row r="12084" spans="17:17" x14ac:dyDescent="0.25">
      <c r="Q12084" s="8"/>
    </row>
    <row r="12085" spans="17:17" x14ac:dyDescent="0.25">
      <c r="Q12085" s="8"/>
    </row>
    <row r="12086" spans="17:17" x14ac:dyDescent="0.25">
      <c r="Q12086" s="8"/>
    </row>
    <row r="12087" spans="17:17" x14ac:dyDescent="0.25">
      <c r="Q12087" s="8"/>
    </row>
    <row r="12088" spans="17:17" x14ac:dyDescent="0.25">
      <c r="Q12088" s="8"/>
    </row>
    <row r="12089" spans="17:17" x14ac:dyDescent="0.25">
      <c r="Q12089" s="8"/>
    </row>
    <row r="12090" spans="17:17" x14ac:dyDescent="0.25">
      <c r="Q12090" s="8"/>
    </row>
    <row r="12091" spans="17:17" x14ac:dyDescent="0.25">
      <c r="Q12091" s="8"/>
    </row>
    <row r="12092" spans="17:17" x14ac:dyDescent="0.25">
      <c r="Q12092" s="8"/>
    </row>
    <row r="12093" spans="17:17" x14ac:dyDescent="0.25">
      <c r="Q12093" s="8"/>
    </row>
    <row r="12094" spans="17:17" x14ac:dyDescent="0.25">
      <c r="Q12094" s="8"/>
    </row>
    <row r="12095" spans="17:17" x14ac:dyDescent="0.25">
      <c r="Q12095" s="8"/>
    </row>
    <row r="12096" spans="17:17" x14ac:dyDescent="0.25">
      <c r="Q12096" s="8"/>
    </row>
    <row r="12097" spans="17:17" x14ac:dyDescent="0.25">
      <c r="Q12097" s="8"/>
    </row>
    <row r="12098" spans="17:17" x14ac:dyDescent="0.25">
      <c r="Q12098" s="8"/>
    </row>
    <row r="12099" spans="17:17" x14ac:dyDescent="0.25">
      <c r="Q12099" s="8"/>
    </row>
    <row r="12100" spans="17:17" x14ac:dyDescent="0.25">
      <c r="Q12100" s="8"/>
    </row>
    <row r="12101" spans="17:17" x14ac:dyDescent="0.25">
      <c r="Q12101" s="8"/>
    </row>
    <row r="12102" spans="17:17" x14ac:dyDescent="0.25">
      <c r="Q12102" s="8"/>
    </row>
    <row r="12103" spans="17:17" x14ac:dyDescent="0.25">
      <c r="Q12103" s="8"/>
    </row>
    <row r="12104" spans="17:17" x14ac:dyDescent="0.25">
      <c r="Q12104" s="8"/>
    </row>
    <row r="12105" spans="17:17" x14ac:dyDescent="0.25">
      <c r="Q12105" s="8"/>
    </row>
    <row r="12106" spans="17:17" x14ac:dyDescent="0.25">
      <c r="Q12106" s="8"/>
    </row>
    <row r="12107" spans="17:17" x14ac:dyDescent="0.25">
      <c r="Q12107" s="8"/>
    </row>
    <row r="12108" spans="17:17" x14ac:dyDescent="0.25">
      <c r="Q12108" s="8"/>
    </row>
    <row r="12109" spans="17:17" x14ac:dyDescent="0.25">
      <c r="Q12109" s="8"/>
    </row>
    <row r="12110" spans="17:17" x14ac:dyDescent="0.25">
      <c r="Q12110" s="8"/>
    </row>
    <row r="12111" spans="17:17" x14ac:dyDescent="0.25">
      <c r="Q12111" s="8"/>
    </row>
    <row r="12112" spans="17:17" x14ac:dyDescent="0.25">
      <c r="Q12112" s="8"/>
    </row>
    <row r="12113" spans="17:17" x14ac:dyDescent="0.25">
      <c r="Q12113" s="8"/>
    </row>
    <row r="12114" spans="17:17" x14ac:dyDescent="0.25">
      <c r="Q12114" s="8"/>
    </row>
    <row r="12115" spans="17:17" x14ac:dyDescent="0.25">
      <c r="Q12115" s="8"/>
    </row>
    <row r="12116" spans="17:17" x14ac:dyDescent="0.25">
      <c r="Q12116" s="8"/>
    </row>
    <row r="12117" spans="17:17" x14ac:dyDescent="0.25">
      <c r="Q12117" s="8"/>
    </row>
    <row r="12118" spans="17:17" x14ac:dyDescent="0.25">
      <c r="Q12118" s="8"/>
    </row>
    <row r="12119" spans="17:17" x14ac:dyDescent="0.25">
      <c r="Q12119" s="8"/>
    </row>
    <row r="12120" spans="17:17" x14ac:dyDescent="0.25">
      <c r="Q12120" s="8"/>
    </row>
    <row r="12121" spans="17:17" x14ac:dyDescent="0.25">
      <c r="Q12121" s="8"/>
    </row>
    <row r="12122" spans="17:17" x14ac:dyDescent="0.25">
      <c r="Q12122" s="8"/>
    </row>
    <row r="12123" spans="17:17" x14ac:dyDescent="0.25">
      <c r="Q12123" s="8"/>
    </row>
    <row r="12124" spans="17:17" x14ac:dyDescent="0.25">
      <c r="Q12124" s="8"/>
    </row>
    <row r="12125" spans="17:17" x14ac:dyDescent="0.25">
      <c r="Q12125" s="8"/>
    </row>
    <row r="12126" spans="17:17" x14ac:dyDescent="0.25">
      <c r="Q12126" s="8"/>
    </row>
    <row r="12127" spans="17:17" x14ac:dyDescent="0.25">
      <c r="Q12127" s="8"/>
    </row>
    <row r="12128" spans="17:17" x14ac:dyDescent="0.25">
      <c r="Q12128" s="8"/>
    </row>
    <row r="12129" spans="17:17" x14ac:dyDescent="0.25">
      <c r="Q12129" s="8"/>
    </row>
    <row r="12130" spans="17:17" x14ac:dyDescent="0.25">
      <c r="Q12130" s="8"/>
    </row>
    <row r="12131" spans="17:17" x14ac:dyDescent="0.25">
      <c r="Q12131" s="8"/>
    </row>
    <row r="12132" spans="17:17" x14ac:dyDescent="0.25">
      <c r="Q12132" s="8"/>
    </row>
    <row r="12133" spans="17:17" x14ac:dyDescent="0.25">
      <c r="Q12133" s="8"/>
    </row>
    <row r="12134" spans="17:17" x14ac:dyDescent="0.25">
      <c r="Q12134" s="8"/>
    </row>
    <row r="12135" spans="17:17" x14ac:dyDescent="0.25">
      <c r="Q12135" s="8"/>
    </row>
    <row r="12136" spans="17:17" x14ac:dyDescent="0.25">
      <c r="Q12136" s="8"/>
    </row>
    <row r="12137" spans="17:17" x14ac:dyDescent="0.25">
      <c r="Q12137" s="8"/>
    </row>
    <row r="12138" spans="17:17" x14ac:dyDescent="0.25">
      <c r="Q12138" s="8"/>
    </row>
    <row r="12139" spans="17:17" x14ac:dyDescent="0.25">
      <c r="Q12139" s="8"/>
    </row>
    <row r="12140" spans="17:17" x14ac:dyDescent="0.25">
      <c r="Q12140" s="8"/>
    </row>
    <row r="12141" spans="17:17" x14ac:dyDescent="0.25">
      <c r="Q12141" s="8"/>
    </row>
    <row r="12142" spans="17:17" x14ac:dyDescent="0.25">
      <c r="Q12142" s="8"/>
    </row>
    <row r="12143" spans="17:17" x14ac:dyDescent="0.25">
      <c r="Q12143" s="8"/>
    </row>
    <row r="12144" spans="17:17" x14ac:dyDescent="0.25">
      <c r="Q12144" s="8"/>
    </row>
    <row r="12145" spans="17:17" x14ac:dyDescent="0.25">
      <c r="Q12145" s="8"/>
    </row>
    <row r="12146" spans="17:17" x14ac:dyDescent="0.25">
      <c r="Q12146" s="8"/>
    </row>
    <row r="12147" spans="17:17" x14ac:dyDescent="0.25">
      <c r="Q12147" s="8"/>
    </row>
    <row r="12148" spans="17:17" x14ac:dyDescent="0.25">
      <c r="Q12148" s="8"/>
    </row>
    <row r="12149" spans="17:17" x14ac:dyDescent="0.25">
      <c r="Q12149" s="8"/>
    </row>
    <row r="12150" spans="17:17" x14ac:dyDescent="0.25">
      <c r="Q12150" s="8"/>
    </row>
    <row r="12151" spans="17:17" x14ac:dyDescent="0.25">
      <c r="Q12151" s="8"/>
    </row>
    <row r="12152" spans="17:17" x14ac:dyDescent="0.25">
      <c r="Q12152" s="8"/>
    </row>
    <row r="12153" spans="17:17" x14ac:dyDescent="0.25">
      <c r="Q12153" s="8"/>
    </row>
    <row r="12154" spans="17:17" x14ac:dyDescent="0.25">
      <c r="Q12154" s="8"/>
    </row>
    <row r="12155" spans="17:17" x14ac:dyDescent="0.25">
      <c r="Q12155" s="8"/>
    </row>
    <row r="12156" spans="17:17" x14ac:dyDescent="0.25">
      <c r="Q12156" s="8"/>
    </row>
    <row r="12157" spans="17:17" x14ac:dyDescent="0.25">
      <c r="Q12157" s="8"/>
    </row>
    <row r="12158" spans="17:17" x14ac:dyDescent="0.25">
      <c r="Q12158" s="8"/>
    </row>
    <row r="12159" spans="17:17" x14ac:dyDescent="0.25">
      <c r="Q12159" s="8"/>
    </row>
    <row r="12160" spans="17:17" x14ac:dyDescent="0.25">
      <c r="Q12160" s="8"/>
    </row>
    <row r="12161" spans="17:17" x14ac:dyDescent="0.25">
      <c r="Q12161" s="8"/>
    </row>
    <row r="12162" spans="17:17" x14ac:dyDescent="0.25">
      <c r="Q12162" s="8"/>
    </row>
    <row r="12163" spans="17:17" x14ac:dyDescent="0.25">
      <c r="Q12163" s="8"/>
    </row>
    <row r="12164" spans="17:17" x14ac:dyDescent="0.25">
      <c r="Q12164" s="8"/>
    </row>
    <row r="12165" spans="17:17" x14ac:dyDescent="0.25">
      <c r="Q12165" s="8"/>
    </row>
    <row r="12166" spans="17:17" x14ac:dyDescent="0.25">
      <c r="Q12166" s="8"/>
    </row>
    <row r="12167" spans="17:17" x14ac:dyDescent="0.25">
      <c r="Q12167" s="8"/>
    </row>
    <row r="12168" spans="17:17" x14ac:dyDescent="0.25">
      <c r="Q12168" s="8"/>
    </row>
    <row r="12169" spans="17:17" x14ac:dyDescent="0.25">
      <c r="Q12169" s="8"/>
    </row>
    <row r="12170" spans="17:17" x14ac:dyDescent="0.25">
      <c r="Q12170" s="8"/>
    </row>
    <row r="12171" spans="17:17" x14ac:dyDescent="0.25">
      <c r="Q12171" s="8"/>
    </row>
    <row r="12172" spans="17:17" x14ac:dyDescent="0.25">
      <c r="Q12172" s="8"/>
    </row>
    <row r="12173" spans="17:17" x14ac:dyDescent="0.25">
      <c r="Q12173" s="8"/>
    </row>
    <row r="12174" spans="17:17" x14ac:dyDescent="0.25">
      <c r="Q12174" s="8"/>
    </row>
    <row r="12175" spans="17:17" x14ac:dyDescent="0.25">
      <c r="Q12175" s="8"/>
    </row>
    <row r="12176" spans="17:17" x14ac:dyDescent="0.25">
      <c r="Q12176" s="8"/>
    </row>
    <row r="12177" spans="17:17" x14ac:dyDescent="0.25">
      <c r="Q12177" s="8"/>
    </row>
    <row r="12178" spans="17:17" x14ac:dyDescent="0.25">
      <c r="Q12178" s="8"/>
    </row>
    <row r="12179" spans="17:17" x14ac:dyDescent="0.25">
      <c r="Q12179" s="8"/>
    </row>
    <row r="12180" spans="17:17" x14ac:dyDescent="0.25">
      <c r="Q12180" s="8"/>
    </row>
    <row r="12181" spans="17:17" x14ac:dyDescent="0.25">
      <c r="Q12181" s="8"/>
    </row>
    <row r="12182" spans="17:17" x14ac:dyDescent="0.25">
      <c r="Q12182" s="8"/>
    </row>
    <row r="12183" spans="17:17" x14ac:dyDescent="0.25">
      <c r="Q12183" s="8"/>
    </row>
    <row r="12184" spans="17:17" x14ac:dyDescent="0.25">
      <c r="Q12184" s="8"/>
    </row>
    <row r="12185" spans="17:17" x14ac:dyDescent="0.25">
      <c r="Q12185" s="8"/>
    </row>
    <row r="12186" spans="17:17" x14ac:dyDescent="0.25">
      <c r="Q12186" s="8"/>
    </row>
    <row r="12187" spans="17:17" x14ac:dyDescent="0.25">
      <c r="Q12187" s="8"/>
    </row>
    <row r="12188" spans="17:17" x14ac:dyDescent="0.25">
      <c r="Q12188" s="8"/>
    </row>
    <row r="12189" spans="17:17" x14ac:dyDescent="0.25">
      <c r="Q12189" s="8"/>
    </row>
    <row r="12190" spans="17:17" x14ac:dyDescent="0.25">
      <c r="Q12190" s="8"/>
    </row>
    <row r="12191" spans="17:17" x14ac:dyDescent="0.25">
      <c r="Q12191" s="8"/>
    </row>
    <row r="12192" spans="17:17" x14ac:dyDescent="0.25">
      <c r="Q12192" s="8"/>
    </row>
    <row r="12193" spans="17:17" x14ac:dyDescent="0.25">
      <c r="Q12193" s="8"/>
    </row>
    <row r="12194" spans="17:17" x14ac:dyDescent="0.25">
      <c r="Q12194" s="8"/>
    </row>
    <row r="12195" spans="17:17" x14ac:dyDescent="0.25">
      <c r="Q12195" s="8"/>
    </row>
    <row r="12196" spans="17:17" x14ac:dyDescent="0.25">
      <c r="Q12196" s="8"/>
    </row>
    <row r="12197" spans="17:17" x14ac:dyDescent="0.25">
      <c r="Q12197" s="8"/>
    </row>
    <row r="12198" spans="17:17" x14ac:dyDescent="0.25">
      <c r="Q12198" s="8"/>
    </row>
    <row r="12199" spans="17:17" x14ac:dyDescent="0.25">
      <c r="Q12199" s="8"/>
    </row>
    <row r="12200" spans="17:17" x14ac:dyDescent="0.25">
      <c r="Q12200" s="8"/>
    </row>
    <row r="12201" spans="17:17" x14ac:dyDescent="0.25">
      <c r="Q12201" s="8"/>
    </row>
    <row r="12202" spans="17:17" x14ac:dyDescent="0.25">
      <c r="Q12202" s="8"/>
    </row>
    <row r="12203" spans="17:17" x14ac:dyDescent="0.25">
      <c r="Q12203" s="8"/>
    </row>
    <row r="12204" spans="17:17" x14ac:dyDescent="0.25">
      <c r="Q12204" s="8"/>
    </row>
    <row r="12205" spans="17:17" x14ac:dyDescent="0.25">
      <c r="Q12205" s="8"/>
    </row>
    <row r="12206" spans="17:17" x14ac:dyDescent="0.25">
      <c r="Q12206" s="8"/>
    </row>
    <row r="12207" spans="17:17" x14ac:dyDescent="0.25">
      <c r="Q12207" s="8"/>
    </row>
    <row r="12208" spans="17:17" x14ac:dyDescent="0.25">
      <c r="Q12208" s="8"/>
    </row>
    <row r="12209" spans="17:17" x14ac:dyDescent="0.25">
      <c r="Q12209" s="8"/>
    </row>
    <row r="12210" spans="17:17" x14ac:dyDescent="0.25">
      <c r="Q12210" s="8"/>
    </row>
    <row r="12211" spans="17:17" x14ac:dyDescent="0.25">
      <c r="Q12211" s="8"/>
    </row>
    <row r="12212" spans="17:17" x14ac:dyDescent="0.25">
      <c r="Q12212" s="8"/>
    </row>
    <row r="12213" spans="17:17" x14ac:dyDescent="0.25">
      <c r="Q12213" s="8"/>
    </row>
    <row r="12214" spans="17:17" x14ac:dyDescent="0.25">
      <c r="Q12214" s="8"/>
    </row>
    <row r="12215" spans="17:17" x14ac:dyDescent="0.25">
      <c r="Q12215" s="8"/>
    </row>
    <row r="12216" spans="17:17" x14ac:dyDescent="0.25">
      <c r="Q12216" s="8"/>
    </row>
    <row r="12217" spans="17:17" x14ac:dyDescent="0.25">
      <c r="Q12217" s="8"/>
    </row>
    <row r="12218" spans="17:17" x14ac:dyDescent="0.25">
      <c r="Q12218" s="8"/>
    </row>
    <row r="12219" spans="17:17" x14ac:dyDescent="0.25">
      <c r="Q12219" s="8"/>
    </row>
    <row r="12220" spans="17:17" x14ac:dyDescent="0.25">
      <c r="Q12220" s="8"/>
    </row>
    <row r="12221" spans="17:17" x14ac:dyDescent="0.25">
      <c r="Q12221" s="8"/>
    </row>
    <row r="12222" spans="17:17" x14ac:dyDescent="0.25">
      <c r="Q12222" s="8"/>
    </row>
    <row r="12223" spans="17:17" x14ac:dyDescent="0.25">
      <c r="Q12223" s="8"/>
    </row>
    <row r="12224" spans="17:17" x14ac:dyDescent="0.25">
      <c r="Q12224" s="8"/>
    </row>
    <row r="12225" spans="17:17" x14ac:dyDescent="0.25">
      <c r="Q12225" s="8"/>
    </row>
    <row r="12226" spans="17:17" x14ac:dyDescent="0.25">
      <c r="Q12226" s="8"/>
    </row>
    <row r="12227" spans="17:17" x14ac:dyDescent="0.25">
      <c r="Q12227" s="8"/>
    </row>
    <row r="12228" spans="17:17" x14ac:dyDescent="0.25">
      <c r="Q12228" s="8"/>
    </row>
    <row r="12229" spans="17:17" x14ac:dyDescent="0.25">
      <c r="Q12229" s="8"/>
    </row>
    <row r="12230" spans="17:17" x14ac:dyDescent="0.25">
      <c r="Q12230" s="8"/>
    </row>
    <row r="12231" spans="17:17" x14ac:dyDescent="0.25">
      <c r="Q12231" s="8"/>
    </row>
    <row r="12232" spans="17:17" x14ac:dyDescent="0.25">
      <c r="Q12232" s="8"/>
    </row>
    <row r="12233" spans="17:17" x14ac:dyDescent="0.25">
      <c r="Q12233" s="8"/>
    </row>
    <row r="12234" spans="17:17" x14ac:dyDescent="0.25">
      <c r="Q12234" s="8"/>
    </row>
    <row r="12235" spans="17:17" x14ac:dyDescent="0.25">
      <c r="Q12235" s="8"/>
    </row>
    <row r="12236" spans="17:17" x14ac:dyDescent="0.25">
      <c r="Q12236" s="8"/>
    </row>
    <row r="12237" spans="17:17" x14ac:dyDescent="0.25">
      <c r="Q12237" s="8"/>
    </row>
    <row r="12238" spans="17:17" x14ac:dyDescent="0.25">
      <c r="Q12238" s="8"/>
    </row>
    <row r="12239" spans="17:17" x14ac:dyDescent="0.25">
      <c r="Q12239" s="8"/>
    </row>
    <row r="12240" spans="17:17" x14ac:dyDescent="0.25">
      <c r="Q12240" s="8"/>
    </row>
    <row r="12241" spans="17:17" x14ac:dyDescent="0.25">
      <c r="Q12241" s="8"/>
    </row>
    <row r="12242" spans="17:17" x14ac:dyDescent="0.25">
      <c r="Q12242" s="8"/>
    </row>
    <row r="12243" spans="17:17" x14ac:dyDescent="0.25">
      <c r="Q12243" s="8"/>
    </row>
    <row r="12244" spans="17:17" x14ac:dyDescent="0.25">
      <c r="Q12244" s="8"/>
    </row>
    <row r="12245" spans="17:17" x14ac:dyDescent="0.25">
      <c r="Q12245" s="8"/>
    </row>
    <row r="12246" spans="17:17" x14ac:dyDescent="0.25">
      <c r="Q12246" s="8"/>
    </row>
    <row r="12247" spans="17:17" x14ac:dyDescent="0.25">
      <c r="Q12247" s="8"/>
    </row>
    <row r="12248" spans="17:17" x14ac:dyDescent="0.25">
      <c r="Q12248" s="8"/>
    </row>
    <row r="12249" spans="17:17" x14ac:dyDescent="0.25">
      <c r="Q12249" s="8"/>
    </row>
    <row r="12250" spans="17:17" x14ac:dyDescent="0.25">
      <c r="Q12250" s="8"/>
    </row>
    <row r="12251" spans="17:17" x14ac:dyDescent="0.25">
      <c r="Q12251" s="8"/>
    </row>
    <row r="12252" spans="17:17" x14ac:dyDescent="0.25">
      <c r="Q12252" s="8"/>
    </row>
    <row r="12253" spans="17:17" x14ac:dyDescent="0.25">
      <c r="Q12253" s="8"/>
    </row>
    <row r="12254" spans="17:17" x14ac:dyDescent="0.25">
      <c r="Q12254" s="8"/>
    </row>
    <row r="12255" spans="17:17" x14ac:dyDescent="0.25">
      <c r="Q12255" s="8"/>
    </row>
    <row r="12256" spans="17:17" x14ac:dyDescent="0.25">
      <c r="Q12256" s="8"/>
    </row>
    <row r="12257" spans="17:17" x14ac:dyDescent="0.25">
      <c r="Q12257" s="8"/>
    </row>
    <row r="12258" spans="17:17" x14ac:dyDescent="0.25">
      <c r="Q12258" s="8"/>
    </row>
    <row r="12259" spans="17:17" x14ac:dyDescent="0.25">
      <c r="Q12259" s="8"/>
    </row>
    <row r="12260" spans="17:17" x14ac:dyDescent="0.25">
      <c r="Q12260" s="8"/>
    </row>
    <row r="12261" spans="17:17" x14ac:dyDescent="0.25">
      <c r="Q12261" s="8"/>
    </row>
    <row r="12262" spans="17:17" x14ac:dyDescent="0.25">
      <c r="Q12262" s="8"/>
    </row>
    <row r="12263" spans="17:17" x14ac:dyDescent="0.25">
      <c r="Q12263" s="8"/>
    </row>
    <row r="12264" spans="17:17" x14ac:dyDescent="0.25">
      <c r="Q12264" s="8"/>
    </row>
    <row r="12265" spans="17:17" x14ac:dyDescent="0.25">
      <c r="Q12265" s="8"/>
    </row>
    <row r="12266" spans="17:17" x14ac:dyDescent="0.25">
      <c r="Q12266" s="8"/>
    </row>
    <row r="12267" spans="17:17" x14ac:dyDescent="0.25">
      <c r="Q12267" s="8"/>
    </row>
    <row r="12268" spans="17:17" x14ac:dyDescent="0.25">
      <c r="Q12268" s="8"/>
    </row>
    <row r="12269" spans="17:17" x14ac:dyDescent="0.25">
      <c r="Q12269" s="8"/>
    </row>
    <row r="12270" spans="17:17" x14ac:dyDescent="0.25">
      <c r="Q12270" s="8"/>
    </row>
    <row r="12271" spans="17:17" x14ac:dyDescent="0.25">
      <c r="Q12271" s="8"/>
    </row>
    <row r="12272" spans="17:17" x14ac:dyDescent="0.25">
      <c r="Q12272" s="8"/>
    </row>
    <row r="12273" spans="17:17" x14ac:dyDescent="0.25">
      <c r="Q12273" s="8"/>
    </row>
    <row r="12274" spans="17:17" x14ac:dyDescent="0.25">
      <c r="Q12274" s="8"/>
    </row>
    <row r="12275" spans="17:17" x14ac:dyDescent="0.25">
      <c r="Q12275" s="8"/>
    </row>
    <row r="12276" spans="17:17" x14ac:dyDescent="0.25">
      <c r="Q12276" s="8"/>
    </row>
    <row r="12277" spans="17:17" x14ac:dyDescent="0.25">
      <c r="Q12277" s="8"/>
    </row>
    <row r="12278" spans="17:17" x14ac:dyDescent="0.25">
      <c r="Q12278" s="8"/>
    </row>
    <row r="12279" spans="17:17" x14ac:dyDescent="0.25">
      <c r="Q12279" s="8"/>
    </row>
    <row r="12280" spans="17:17" x14ac:dyDescent="0.25">
      <c r="Q12280" s="8"/>
    </row>
    <row r="12281" spans="17:17" x14ac:dyDescent="0.25">
      <c r="Q12281" s="8"/>
    </row>
    <row r="12282" spans="17:17" x14ac:dyDescent="0.25">
      <c r="Q12282" s="8"/>
    </row>
    <row r="12283" spans="17:17" x14ac:dyDescent="0.25">
      <c r="Q12283" s="8"/>
    </row>
    <row r="12284" spans="17:17" x14ac:dyDescent="0.25">
      <c r="Q12284" s="8"/>
    </row>
    <row r="12285" spans="17:17" x14ac:dyDescent="0.25">
      <c r="Q12285" s="8"/>
    </row>
    <row r="12286" spans="17:17" x14ac:dyDescent="0.25">
      <c r="Q12286" s="8"/>
    </row>
    <row r="12287" spans="17:17" x14ac:dyDescent="0.25">
      <c r="Q12287" s="8"/>
    </row>
    <row r="12288" spans="17:17" x14ac:dyDescent="0.25">
      <c r="Q12288" s="8"/>
    </row>
    <row r="12289" spans="17:17" x14ac:dyDescent="0.25">
      <c r="Q12289" s="8"/>
    </row>
    <row r="12290" spans="17:17" x14ac:dyDescent="0.25">
      <c r="Q12290" s="8"/>
    </row>
    <row r="12291" spans="17:17" x14ac:dyDescent="0.25">
      <c r="Q12291" s="8"/>
    </row>
    <row r="12292" spans="17:17" x14ac:dyDescent="0.25">
      <c r="Q12292" s="8"/>
    </row>
    <row r="12293" spans="17:17" x14ac:dyDescent="0.25">
      <c r="Q12293" s="8"/>
    </row>
    <row r="12294" spans="17:17" x14ac:dyDescent="0.25">
      <c r="Q12294" s="8"/>
    </row>
    <row r="12295" spans="17:17" x14ac:dyDescent="0.25">
      <c r="Q12295" s="8"/>
    </row>
    <row r="12296" spans="17:17" x14ac:dyDescent="0.25">
      <c r="Q12296" s="8"/>
    </row>
    <row r="12297" spans="17:17" x14ac:dyDescent="0.25">
      <c r="Q12297" s="8"/>
    </row>
    <row r="12298" spans="17:17" x14ac:dyDescent="0.25">
      <c r="Q12298" s="8"/>
    </row>
    <row r="12299" spans="17:17" x14ac:dyDescent="0.25">
      <c r="Q12299" s="8"/>
    </row>
    <row r="12300" spans="17:17" x14ac:dyDescent="0.25">
      <c r="Q12300" s="8"/>
    </row>
    <row r="12301" spans="17:17" x14ac:dyDescent="0.25">
      <c r="Q12301" s="8"/>
    </row>
    <row r="12302" spans="17:17" x14ac:dyDescent="0.25">
      <c r="Q12302" s="8"/>
    </row>
    <row r="12303" spans="17:17" x14ac:dyDescent="0.25">
      <c r="Q12303" s="8"/>
    </row>
    <row r="12304" spans="17:17" x14ac:dyDescent="0.25">
      <c r="Q12304" s="8"/>
    </row>
    <row r="12305" spans="17:17" x14ac:dyDescent="0.25">
      <c r="Q12305" s="8"/>
    </row>
    <row r="12306" spans="17:17" x14ac:dyDescent="0.25">
      <c r="Q12306" s="8"/>
    </row>
    <row r="12307" spans="17:17" x14ac:dyDescent="0.25">
      <c r="Q12307" s="8"/>
    </row>
    <row r="12308" spans="17:17" x14ac:dyDescent="0.25">
      <c r="Q12308" s="8"/>
    </row>
    <row r="12309" spans="17:17" x14ac:dyDescent="0.25">
      <c r="Q12309" s="8"/>
    </row>
    <row r="12310" spans="17:17" x14ac:dyDescent="0.25">
      <c r="Q12310" s="8"/>
    </row>
    <row r="12311" spans="17:17" x14ac:dyDescent="0.25">
      <c r="Q12311" s="8"/>
    </row>
    <row r="12312" spans="17:17" x14ac:dyDescent="0.25">
      <c r="Q12312" s="8"/>
    </row>
    <row r="12313" spans="17:17" x14ac:dyDescent="0.25">
      <c r="Q12313" s="8"/>
    </row>
    <row r="12314" spans="17:17" x14ac:dyDescent="0.25">
      <c r="Q12314" s="8"/>
    </row>
    <row r="12315" spans="17:17" x14ac:dyDescent="0.25">
      <c r="Q12315" s="8"/>
    </row>
    <row r="12316" spans="17:17" x14ac:dyDescent="0.25">
      <c r="Q12316" s="8"/>
    </row>
    <row r="12317" spans="17:17" x14ac:dyDescent="0.25">
      <c r="Q12317" s="8"/>
    </row>
    <row r="12318" spans="17:17" x14ac:dyDescent="0.25">
      <c r="Q12318" s="8"/>
    </row>
    <row r="12319" spans="17:17" x14ac:dyDescent="0.25">
      <c r="Q12319" s="8"/>
    </row>
    <row r="12320" spans="17:17" x14ac:dyDescent="0.25">
      <c r="Q12320" s="8"/>
    </row>
    <row r="12321" spans="17:17" x14ac:dyDescent="0.25">
      <c r="Q12321" s="8"/>
    </row>
    <row r="12322" spans="17:17" x14ac:dyDescent="0.25">
      <c r="Q12322" s="8"/>
    </row>
    <row r="12323" spans="17:17" x14ac:dyDescent="0.25">
      <c r="Q12323" s="8"/>
    </row>
    <row r="12324" spans="17:17" x14ac:dyDescent="0.25">
      <c r="Q12324" s="8"/>
    </row>
    <row r="12325" spans="17:17" x14ac:dyDescent="0.25">
      <c r="Q12325" s="8"/>
    </row>
    <row r="12326" spans="17:17" x14ac:dyDescent="0.25">
      <c r="Q12326" s="8"/>
    </row>
    <row r="12327" spans="17:17" x14ac:dyDescent="0.25">
      <c r="Q12327" s="8"/>
    </row>
    <row r="12328" spans="17:17" x14ac:dyDescent="0.25">
      <c r="Q12328" s="8"/>
    </row>
    <row r="12329" spans="17:17" x14ac:dyDescent="0.25">
      <c r="Q12329" s="8"/>
    </row>
    <row r="12330" spans="17:17" x14ac:dyDescent="0.25">
      <c r="Q12330" s="8"/>
    </row>
    <row r="12331" spans="17:17" x14ac:dyDescent="0.25">
      <c r="Q12331" s="8"/>
    </row>
    <row r="12332" spans="17:17" x14ac:dyDescent="0.25">
      <c r="Q12332" s="8"/>
    </row>
    <row r="12333" spans="17:17" x14ac:dyDescent="0.25">
      <c r="Q12333" s="8"/>
    </row>
    <row r="12334" spans="17:17" x14ac:dyDescent="0.25">
      <c r="Q12334" s="8"/>
    </row>
    <row r="12335" spans="17:17" x14ac:dyDescent="0.25">
      <c r="Q12335" s="8"/>
    </row>
    <row r="12336" spans="17:17" x14ac:dyDescent="0.25">
      <c r="Q12336" s="8"/>
    </row>
    <row r="12337" spans="17:17" x14ac:dyDescent="0.25">
      <c r="Q12337" s="8"/>
    </row>
    <row r="12338" spans="17:17" x14ac:dyDescent="0.25">
      <c r="Q12338" s="8"/>
    </row>
    <row r="12339" spans="17:17" x14ac:dyDescent="0.25">
      <c r="Q12339" s="8"/>
    </row>
    <row r="12340" spans="17:17" x14ac:dyDescent="0.25">
      <c r="Q12340" s="8"/>
    </row>
    <row r="12341" spans="17:17" x14ac:dyDescent="0.25">
      <c r="Q12341" s="8"/>
    </row>
    <row r="12342" spans="17:17" x14ac:dyDescent="0.25">
      <c r="Q12342" s="8"/>
    </row>
    <row r="12343" spans="17:17" x14ac:dyDescent="0.25">
      <c r="Q12343" s="8"/>
    </row>
    <row r="12344" spans="17:17" x14ac:dyDescent="0.25">
      <c r="Q12344" s="8"/>
    </row>
    <row r="12345" spans="17:17" x14ac:dyDescent="0.25">
      <c r="Q12345" s="8"/>
    </row>
    <row r="12346" spans="17:17" x14ac:dyDescent="0.25">
      <c r="Q12346" s="8"/>
    </row>
    <row r="12347" spans="17:17" x14ac:dyDescent="0.25">
      <c r="Q12347" s="8"/>
    </row>
    <row r="12348" spans="17:17" x14ac:dyDescent="0.25">
      <c r="Q12348" s="8"/>
    </row>
    <row r="12349" spans="17:17" x14ac:dyDescent="0.25">
      <c r="Q12349" s="8"/>
    </row>
    <row r="12350" spans="17:17" x14ac:dyDescent="0.25">
      <c r="Q12350" s="8"/>
    </row>
    <row r="12351" spans="17:17" x14ac:dyDescent="0.25">
      <c r="Q12351" s="8"/>
    </row>
    <row r="12352" spans="17:17" x14ac:dyDescent="0.25">
      <c r="Q12352" s="8"/>
    </row>
    <row r="12353" spans="17:17" x14ac:dyDescent="0.25">
      <c r="Q12353" s="8"/>
    </row>
    <row r="12354" spans="17:17" x14ac:dyDescent="0.25">
      <c r="Q12354" s="8"/>
    </row>
    <row r="12355" spans="17:17" x14ac:dyDescent="0.25">
      <c r="Q12355" s="8"/>
    </row>
    <row r="12356" spans="17:17" x14ac:dyDescent="0.25">
      <c r="Q12356" s="8"/>
    </row>
    <row r="12357" spans="17:17" x14ac:dyDescent="0.25">
      <c r="Q12357" s="8"/>
    </row>
    <row r="12358" spans="17:17" x14ac:dyDescent="0.25">
      <c r="Q12358" s="8"/>
    </row>
    <row r="12359" spans="17:17" x14ac:dyDescent="0.25">
      <c r="Q12359" s="8"/>
    </row>
    <row r="12360" spans="17:17" x14ac:dyDescent="0.25">
      <c r="Q12360" s="8"/>
    </row>
    <row r="12361" spans="17:17" x14ac:dyDescent="0.25">
      <c r="Q12361" s="8"/>
    </row>
    <row r="12362" spans="17:17" x14ac:dyDescent="0.25">
      <c r="Q12362" s="8"/>
    </row>
    <row r="12363" spans="17:17" x14ac:dyDescent="0.25">
      <c r="Q12363" s="8"/>
    </row>
    <row r="12364" spans="17:17" x14ac:dyDescent="0.25">
      <c r="Q12364" s="8"/>
    </row>
    <row r="12365" spans="17:17" x14ac:dyDescent="0.25">
      <c r="Q12365" s="8"/>
    </row>
    <row r="12366" spans="17:17" x14ac:dyDescent="0.25">
      <c r="Q12366" s="8"/>
    </row>
    <row r="12367" spans="17:17" x14ac:dyDescent="0.25">
      <c r="Q12367" s="8"/>
    </row>
    <row r="12368" spans="17:17" x14ac:dyDescent="0.25">
      <c r="Q12368" s="8"/>
    </row>
    <row r="12369" spans="17:17" x14ac:dyDescent="0.25">
      <c r="Q12369" s="8"/>
    </row>
    <row r="12370" spans="17:17" x14ac:dyDescent="0.25">
      <c r="Q12370" s="8"/>
    </row>
    <row r="12371" spans="17:17" x14ac:dyDescent="0.25">
      <c r="Q12371" s="8"/>
    </row>
    <row r="12372" spans="17:17" x14ac:dyDescent="0.25">
      <c r="Q12372" s="8"/>
    </row>
    <row r="12373" spans="17:17" x14ac:dyDescent="0.25">
      <c r="Q12373" s="8"/>
    </row>
    <row r="12374" spans="17:17" x14ac:dyDescent="0.25">
      <c r="Q12374" s="8"/>
    </row>
    <row r="12375" spans="17:17" x14ac:dyDescent="0.25">
      <c r="Q12375" s="8"/>
    </row>
    <row r="12376" spans="17:17" x14ac:dyDescent="0.25">
      <c r="Q12376" s="8"/>
    </row>
    <row r="12377" spans="17:17" x14ac:dyDescent="0.25">
      <c r="Q12377" s="8"/>
    </row>
    <row r="12378" spans="17:17" x14ac:dyDescent="0.25">
      <c r="Q12378" s="8"/>
    </row>
    <row r="12379" spans="17:17" x14ac:dyDescent="0.25">
      <c r="Q12379" s="8"/>
    </row>
    <row r="12380" spans="17:17" x14ac:dyDescent="0.25">
      <c r="Q12380" s="8"/>
    </row>
    <row r="12381" spans="17:17" x14ac:dyDescent="0.25">
      <c r="Q12381" s="8"/>
    </row>
    <row r="12382" spans="17:17" x14ac:dyDescent="0.25">
      <c r="Q12382" s="8"/>
    </row>
    <row r="12383" spans="17:17" x14ac:dyDescent="0.25">
      <c r="Q12383" s="8"/>
    </row>
    <row r="12384" spans="17:17" x14ac:dyDescent="0.25">
      <c r="Q12384" s="8"/>
    </row>
    <row r="12385" spans="17:17" x14ac:dyDescent="0.25">
      <c r="Q12385" s="8"/>
    </row>
    <row r="12386" spans="17:17" x14ac:dyDescent="0.25">
      <c r="Q12386" s="8"/>
    </row>
    <row r="12387" spans="17:17" x14ac:dyDescent="0.25">
      <c r="Q12387" s="8"/>
    </row>
    <row r="12388" spans="17:17" x14ac:dyDescent="0.25">
      <c r="Q12388" s="8"/>
    </row>
    <row r="12389" spans="17:17" x14ac:dyDescent="0.25">
      <c r="Q12389" s="8"/>
    </row>
    <row r="12390" spans="17:17" x14ac:dyDescent="0.25">
      <c r="Q12390" s="8"/>
    </row>
    <row r="12391" spans="17:17" x14ac:dyDescent="0.25">
      <c r="Q12391" s="8"/>
    </row>
    <row r="12392" spans="17:17" x14ac:dyDescent="0.25">
      <c r="Q12392" s="8"/>
    </row>
    <row r="12393" spans="17:17" x14ac:dyDescent="0.25">
      <c r="Q12393" s="8"/>
    </row>
    <row r="12394" spans="17:17" x14ac:dyDescent="0.25">
      <c r="Q12394" s="8"/>
    </row>
    <row r="12395" spans="17:17" x14ac:dyDescent="0.25">
      <c r="Q12395" s="8"/>
    </row>
    <row r="12396" spans="17:17" x14ac:dyDescent="0.25">
      <c r="Q12396" s="8"/>
    </row>
    <row r="12397" spans="17:17" x14ac:dyDescent="0.25">
      <c r="Q12397" s="8"/>
    </row>
    <row r="12398" spans="17:17" x14ac:dyDescent="0.25">
      <c r="Q12398" s="8"/>
    </row>
    <row r="12399" spans="17:17" x14ac:dyDescent="0.25">
      <c r="Q12399" s="8"/>
    </row>
    <row r="12400" spans="17:17" x14ac:dyDescent="0.25">
      <c r="Q12400" s="8"/>
    </row>
    <row r="12401" spans="17:17" x14ac:dyDescent="0.25">
      <c r="Q12401" s="8"/>
    </row>
    <row r="12402" spans="17:17" x14ac:dyDescent="0.25">
      <c r="Q12402" s="8"/>
    </row>
    <row r="12403" spans="17:17" x14ac:dyDescent="0.25">
      <c r="Q12403" s="8"/>
    </row>
    <row r="12404" spans="17:17" x14ac:dyDescent="0.25">
      <c r="Q12404" s="8"/>
    </row>
    <row r="12405" spans="17:17" x14ac:dyDescent="0.25">
      <c r="Q12405" s="8"/>
    </row>
    <row r="12406" spans="17:17" x14ac:dyDescent="0.25">
      <c r="Q12406" s="8"/>
    </row>
    <row r="12407" spans="17:17" x14ac:dyDescent="0.25">
      <c r="Q12407" s="8"/>
    </row>
    <row r="12408" spans="17:17" x14ac:dyDescent="0.25">
      <c r="Q12408" s="8"/>
    </row>
    <row r="12409" spans="17:17" x14ac:dyDescent="0.25">
      <c r="Q12409" s="8"/>
    </row>
    <row r="12410" spans="17:17" x14ac:dyDescent="0.25">
      <c r="Q12410" s="8"/>
    </row>
    <row r="12411" spans="17:17" x14ac:dyDescent="0.25">
      <c r="Q12411" s="8"/>
    </row>
    <row r="12412" spans="17:17" x14ac:dyDescent="0.25">
      <c r="Q12412" s="8"/>
    </row>
    <row r="12413" spans="17:17" x14ac:dyDescent="0.25">
      <c r="Q12413" s="8"/>
    </row>
    <row r="12414" spans="17:17" x14ac:dyDescent="0.25">
      <c r="Q12414" s="8"/>
    </row>
    <row r="12415" spans="17:17" x14ac:dyDescent="0.25">
      <c r="Q12415" s="8"/>
    </row>
    <row r="12416" spans="17:17" x14ac:dyDescent="0.25">
      <c r="Q12416" s="8"/>
    </row>
    <row r="12417" spans="17:17" x14ac:dyDescent="0.25">
      <c r="Q12417" s="8"/>
    </row>
    <row r="12418" spans="17:17" x14ac:dyDescent="0.25">
      <c r="Q12418" s="8"/>
    </row>
    <row r="12419" spans="17:17" x14ac:dyDescent="0.25">
      <c r="Q12419" s="8"/>
    </row>
    <row r="12420" spans="17:17" x14ac:dyDescent="0.25">
      <c r="Q12420" s="8"/>
    </row>
    <row r="12421" spans="17:17" x14ac:dyDescent="0.25">
      <c r="Q12421" s="8"/>
    </row>
    <row r="12422" spans="17:17" x14ac:dyDescent="0.25">
      <c r="Q12422" s="8"/>
    </row>
    <row r="12423" spans="17:17" x14ac:dyDescent="0.25">
      <c r="Q12423" s="8"/>
    </row>
    <row r="12424" spans="17:17" x14ac:dyDescent="0.25">
      <c r="Q12424" s="8"/>
    </row>
    <row r="12425" spans="17:17" x14ac:dyDescent="0.25">
      <c r="Q12425" s="8"/>
    </row>
    <row r="12426" spans="17:17" x14ac:dyDescent="0.25">
      <c r="Q12426" s="8"/>
    </row>
    <row r="12427" spans="17:17" x14ac:dyDescent="0.25">
      <c r="Q12427" s="8"/>
    </row>
    <row r="12428" spans="17:17" x14ac:dyDescent="0.25">
      <c r="Q12428" s="8"/>
    </row>
    <row r="12429" spans="17:17" x14ac:dyDescent="0.25">
      <c r="Q12429" s="8"/>
    </row>
    <row r="12430" spans="17:17" x14ac:dyDescent="0.25">
      <c r="Q12430" s="8"/>
    </row>
    <row r="12431" spans="17:17" x14ac:dyDescent="0.25">
      <c r="Q12431" s="8"/>
    </row>
    <row r="12432" spans="17:17" x14ac:dyDescent="0.25">
      <c r="Q12432" s="8"/>
    </row>
    <row r="12433" spans="17:17" x14ac:dyDescent="0.25">
      <c r="Q12433" s="8"/>
    </row>
    <row r="12434" spans="17:17" x14ac:dyDescent="0.25">
      <c r="Q12434" s="8"/>
    </row>
    <row r="12435" spans="17:17" x14ac:dyDescent="0.25">
      <c r="Q12435" s="8"/>
    </row>
    <row r="12436" spans="17:17" x14ac:dyDescent="0.25">
      <c r="Q12436" s="8"/>
    </row>
    <row r="12437" spans="17:17" x14ac:dyDescent="0.25">
      <c r="Q12437" s="8"/>
    </row>
    <row r="12438" spans="17:17" x14ac:dyDescent="0.25">
      <c r="Q12438" s="8"/>
    </row>
    <row r="12439" spans="17:17" x14ac:dyDescent="0.25">
      <c r="Q12439" s="8"/>
    </row>
    <row r="12440" spans="17:17" x14ac:dyDescent="0.25">
      <c r="Q12440" s="8"/>
    </row>
    <row r="12441" spans="17:17" x14ac:dyDescent="0.25">
      <c r="Q12441" s="8"/>
    </row>
    <row r="12442" spans="17:17" x14ac:dyDescent="0.25">
      <c r="Q12442" s="8"/>
    </row>
    <row r="12443" spans="17:17" x14ac:dyDescent="0.25">
      <c r="Q12443" s="8"/>
    </row>
    <row r="12444" spans="17:17" x14ac:dyDescent="0.25">
      <c r="Q12444" s="8"/>
    </row>
    <row r="12445" spans="17:17" x14ac:dyDescent="0.25">
      <c r="Q12445" s="8"/>
    </row>
    <row r="12446" spans="17:17" x14ac:dyDescent="0.25">
      <c r="Q12446" s="8"/>
    </row>
    <row r="12447" spans="17:17" x14ac:dyDescent="0.25">
      <c r="Q12447" s="8"/>
    </row>
    <row r="12448" spans="17:17" x14ac:dyDescent="0.25">
      <c r="Q12448" s="8"/>
    </row>
    <row r="12449" spans="17:17" x14ac:dyDescent="0.25">
      <c r="Q12449" s="8"/>
    </row>
    <row r="12450" spans="17:17" x14ac:dyDescent="0.25">
      <c r="Q12450" s="8"/>
    </row>
    <row r="12451" spans="17:17" x14ac:dyDescent="0.25">
      <c r="Q12451" s="8"/>
    </row>
    <row r="12452" spans="17:17" x14ac:dyDescent="0.25">
      <c r="Q12452" s="8"/>
    </row>
    <row r="12453" spans="17:17" x14ac:dyDescent="0.25">
      <c r="Q12453" s="8"/>
    </row>
    <row r="12454" spans="17:17" x14ac:dyDescent="0.25">
      <c r="Q12454" s="8"/>
    </row>
    <row r="12455" spans="17:17" x14ac:dyDescent="0.25">
      <c r="Q12455" s="8"/>
    </row>
    <row r="12456" spans="17:17" x14ac:dyDescent="0.25">
      <c r="Q12456" s="8"/>
    </row>
    <row r="12457" spans="17:17" x14ac:dyDescent="0.25">
      <c r="Q12457" s="8"/>
    </row>
    <row r="12458" spans="17:17" x14ac:dyDescent="0.25">
      <c r="Q12458" s="8"/>
    </row>
    <row r="12459" spans="17:17" x14ac:dyDescent="0.25">
      <c r="Q12459" s="8"/>
    </row>
    <row r="12460" spans="17:17" x14ac:dyDescent="0.25">
      <c r="Q12460" s="8"/>
    </row>
    <row r="12461" spans="17:17" x14ac:dyDescent="0.25">
      <c r="Q12461" s="8"/>
    </row>
    <row r="12462" spans="17:17" x14ac:dyDescent="0.25">
      <c r="Q12462" s="8"/>
    </row>
    <row r="12463" spans="17:17" x14ac:dyDescent="0.25">
      <c r="Q12463" s="8"/>
    </row>
    <row r="12464" spans="17:17" x14ac:dyDescent="0.25">
      <c r="Q12464" s="8"/>
    </row>
    <row r="12465" spans="17:17" x14ac:dyDescent="0.25">
      <c r="Q12465" s="8"/>
    </row>
    <row r="12466" spans="17:17" x14ac:dyDescent="0.25">
      <c r="Q12466" s="8"/>
    </row>
    <row r="12467" spans="17:17" x14ac:dyDescent="0.25">
      <c r="Q12467" s="8"/>
    </row>
    <row r="12468" spans="17:17" x14ac:dyDescent="0.25">
      <c r="Q12468" s="8"/>
    </row>
    <row r="12469" spans="17:17" x14ac:dyDescent="0.25">
      <c r="Q12469" s="8"/>
    </row>
    <row r="12470" spans="17:17" x14ac:dyDescent="0.25">
      <c r="Q12470" s="8"/>
    </row>
    <row r="12471" spans="17:17" x14ac:dyDescent="0.25">
      <c r="Q12471" s="8"/>
    </row>
    <row r="12472" spans="17:17" x14ac:dyDescent="0.25">
      <c r="Q12472" s="8"/>
    </row>
    <row r="12473" spans="17:17" x14ac:dyDescent="0.25">
      <c r="Q12473" s="8"/>
    </row>
    <row r="12474" spans="17:17" x14ac:dyDescent="0.25">
      <c r="Q12474" s="8"/>
    </row>
    <row r="12475" spans="17:17" x14ac:dyDescent="0.25">
      <c r="Q12475" s="8"/>
    </row>
    <row r="12476" spans="17:17" x14ac:dyDescent="0.25">
      <c r="Q12476" s="8"/>
    </row>
    <row r="12477" spans="17:17" x14ac:dyDescent="0.25">
      <c r="Q12477" s="8"/>
    </row>
    <row r="12478" spans="17:17" x14ac:dyDescent="0.25">
      <c r="Q12478" s="8"/>
    </row>
    <row r="12479" spans="17:17" x14ac:dyDescent="0.25">
      <c r="Q12479" s="8"/>
    </row>
    <row r="12480" spans="17:17" x14ac:dyDescent="0.25">
      <c r="Q12480" s="8"/>
    </row>
    <row r="12481" spans="17:17" x14ac:dyDescent="0.25">
      <c r="Q12481" s="8"/>
    </row>
    <row r="12482" spans="17:17" x14ac:dyDescent="0.25">
      <c r="Q12482" s="8"/>
    </row>
    <row r="12483" spans="17:17" x14ac:dyDescent="0.25">
      <c r="Q12483" s="8"/>
    </row>
    <row r="12484" spans="17:17" x14ac:dyDescent="0.25">
      <c r="Q12484" s="8"/>
    </row>
    <row r="12485" spans="17:17" x14ac:dyDescent="0.25">
      <c r="Q12485" s="8"/>
    </row>
    <row r="12486" spans="17:17" x14ac:dyDescent="0.25">
      <c r="Q12486" s="8"/>
    </row>
    <row r="12487" spans="17:17" x14ac:dyDescent="0.25">
      <c r="Q12487" s="8"/>
    </row>
    <row r="12488" spans="17:17" x14ac:dyDescent="0.25">
      <c r="Q12488" s="8"/>
    </row>
    <row r="12489" spans="17:17" x14ac:dyDescent="0.25">
      <c r="Q12489" s="8"/>
    </row>
    <row r="12490" spans="17:17" x14ac:dyDescent="0.25">
      <c r="Q12490" s="8"/>
    </row>
    <row r="12491" spans="17:17" x14ac:dyDescent="0.25">
      <c r="Q12491" s="8"/>
    </row>
    <row r="12492" spans="17:17" x14ac:dyDescent="0.25">
      <c r="Q12492" s="8"/>
    </row>
    <row r="12493" spans="17:17" x14ac:dyDescent="0.25">
      <c r="Q12493" s="8"/>
    </row>
    <row r="12494" spans="17:17" x14ac:dyDescent="0.25">
      <c r="Q12494" s="8"/>
    </row>
    <row r="12495" spans="17:17" x14ac:dyDescent="0.25">
      <c r="Q12495" s="8"/>
    </row>
    <row r="12496" spans="17:17" x14ac:dyDescent="0.25">
      <c r="Q12496" s="8"/>
    </row>
    <row r="12497" spans="17:17" x14ac:dyDescent="0.25">
      <c r="Q12497" s="8"/>
    </row>
    <row r="12498" spans="17:17" x14ac:dyDescent="0.25">
      <c r="Q12498" s="8"/>
    </row>
    <row r="12499" spans="17:17" x14ac:dyDescent="0.25">
      <c r="Q12499" s="8"/>
    </row>
    <row r="12500" spans="17:17" x14ac:dyDescent="0.25">
      <c r="Q12500" s="8"/>
    </row>
    <row r="12501" spans="17:17" x14ac:dyDescent="0.25">
      <c r="Q12501" s="8"/>
    </row>
    <row r="12502" spans="17:17" x14ac:dyDescent="0.25">
      <c r="Q12502" s="8"/>
    </row>
    <row r="12503" spans="17:17" x14ac:dyDescent="0.25">
      <c r="Q12503" s="8"/>
    </row>
    <row r="12504" spans="17:17" x14ac:dyDescent="0.25">
      <c r="Q12504" s="8"/>
    </row>
    <row r="12505" spans="17:17" x14ac:dyDescent="0.25">
      <c r="Q12505" s="8"/>
    </row>
    <row r="12506" spans="17:17" x14ac:dyDescent="0.25">
      <c r="Q12506" s="8"/>
    </row>
    <row r="12507" spans="17:17" x14ac:dyDescent="0.25">
      <c r="Q12507" s="8"/>
    </row>
    <row r="12508" spans="17:17" x14ac:dyDescent="0.25">
      <c r="Q12508" s="8"/>
    </row>
    <row r="12509" spans="17:17" x14ac:dyDescent="0.25">
      <c r="Q12509" s="8"/>
    </row>
    <row r="12510" spans="17:17" x14ac:dyDescent="0.25">
      <c r="Q12510" s="8"/>
    </row>
    <row r="12511" spans="17:17" x14ac:dyDescent="0.25">
      <c r="Q12511" s="8"/>
    </row>
    <row r="12512" spans="17:17" x14ac:dyDescent="0.25">
      <c r="Q12512" s="8"/>
    </row>
    <row r="12513" spans="17:17" x14ac:dyDescent="0.25">
      <c r="Q12513" s="8"/>
    </row>
    <row r="12514" spans="17:17" x14ac:dyDescent="0.25">
      <c r="Q12514" s="8"/>
    </row>
    <row r="12515" spans="17:17" x14ac:dyDescent="0.25">
      <c r="Q12515" s="8"/>
    </row>
    <row r="12516" spans="17:17" x14ac:dyDescent="0.25">
      <c r="Q12516" s="8"/>
    </row>
    <row r="12517" spans="17:17" x14ac:dyDescent="0.25">
      <c r="Q12517" s="8"/>
    </row>
    <row r="12518" spans="17:17" x14ac:dyDescent="0.25">
      <c r="Q12518" s="8"/>
    </row>
    <row r="12519" spans="17:17" x14ac:dyDescent="0.25">
      <c r="Q12519" s="8"/>
    </row>
    <row r="12520" spans="17:17" x14ac:dyDescent="0.25">
      <c r="Q12520" s="8"/>
    </row>
    <row r="12521" spans="17:17" x14ac:dyDescent="0.25">
      <c r="Q12521" s="8"/>
    </row>
    <row r="12522" spans="17:17" x14ac:dyDescent="0.25">
      <c r="Q12522" s="8"/>
    </row>
    <row r="12523" spans="17:17" x14ac:dyDescent="0.25">
      <c r="Q12523" s="8"/>
    </row>
    <row r="12524" spans="17:17" x14ac:dyDescent="0.25">
      <c r="Q12524" s="8"/>
    </row>
    <row r="12525" spans="17:17" x14ac:dyDescent="0.25">
      <c r="Q12525" s="8"/>
    </row>
    <row r="12526" spans="17:17" x14ac:dyDescent="0.25">
      <c r="Q12526" s="8"/>
    </row>
    <row r="12527" spans="17:17" x14ac:dyDescent="0.25">
      <c r="Q12527" s="8"/>
    </row>
    <row r="12528" spans="17:17" x14ac:dyDescent="0.25">
      <c r="Q12528" s="8"/>
    </row>
    <row r="12529" spans="17:17" x14ac:dyDescent="0.25">
      <c r="Q12529" s="8"/>
    </row>
    <row r="12530" spans="17:17" x14ac:dyDescent="0.25">
      <c r="Q12530" s="8"/>
    </row>
    <row r="12531" spans="17:17" x14ac:dyDescent="0.25">
      <c r="Q12531" s="8"/>
    </row>
    <row r="12532" spans="17:17" x14ac:dyDescent="0.25">
      <c r="Q12532" s="8"/>
    </row>
    <row r="12533" spans="17:17" x14ac:dyDescent="0.25">
      <c r="Q12533" s="8"/>
    </row>
    <row r="12534" spans="17:17" x14ac:dyDescent="0.25">
      <c r="Q12534" s="8"/>
    </row>
    <row r="12535" spans="17:17" x14ac:dyDescent="0.25">
      <c r="Q12535" s="8"/>
    </row>
    <row r="12536" spans="17:17" x14ac:dyDescent="0.25">
      <c r="Q12536" s="8"/>
    </row>
    <row r="12537" spans="17:17" x14ac:dyDescent="0.25">
      <c r="Q12537" s="8"/>
    </row>
    <row r="12538" spans="17:17" x14ac:dyDescent="0.25">
      <c r="Q12538" s="8"/>
    </row>
    <row r="12539" spans="17:17" x14ac:dyDescent="0.25">
      <c r="Q12539" s="8"/>
    </row>
    <row r="12540" spans="17:17" x14ac:dyDescent="0.25">
      <c r="Q12540" s="8"/>
    </row>
    <row r="12541" spans="17:17" x14ac:dyDescent="0.25">
      <c r="Q12541" s="8"/>
    </row>
    <row r="12542" spans="17:17" x14ac:dyDescent="0.25">
      <c r="Q12542" s="8"/>
    </row>
    <row r="12543" spans="17:17" x14ac:dyDescent="0.25">
      <c r="Q12543" s="8"/>
    </row>
    <row r="12544" spans="17:17" x14ac:dyDescent="0.25">
      <c r="Q12544" s="8"/>
    </row>
    <row r="12545" spans="17:17" x14ac:dyDescent="0.25">
      <c r="Q12545" s="8"/>
    </row>
    <row r="12546" spans="17:17" x14ac:dyDescent="0.25">
      <c r="Q12546" s="8"/>
    </row>
    <row r="12547" spans="17:17" x14ac:dyDescent="0.25">
      <c r="Q12547" s="8"/>
    </row>
    <row r="12548" spans="17:17" x14ac:dyDescent="0.25">
      <c r="Q12548" s="8"/>
    </row>
    <row r="12549" spans="17:17" x14ac:dyDescent="0.25">
      <c r="Q12549" s="8"/>
    </row>
    <row r="12550" spans="17:17" x14ac:dyDescent="0.25">
      <c r="Q12550" s="8"/>
    </row>
    <row r="12551" spans="17:17" x14ac:dyDescent="0.25">
      <c r="Q12551" s="8"/>
    </row>
    <row r="12552" spans="17:17" x14ac:dyDescent="0.25">
      <c r="Q12552" s="8"/>
    </row>
    <row r="12553" spans="17:17" x14ac:dyDescent="0.25">
      <c r="Q12553" s="8"/>
    </row>
    <row r="12554" spans="17:17" x14ac:dyDescent="0.25">
      <c r="Q12554" s="8"/>
    </row>
    <row r="12555" spans="17:17" x14ac:dyDescent="0.25">
      <c r="Q12555" s="8"/>
    </row>
    <row r="12556" spans="17:17" x14ac:dyDescent="0.25">
      <c r="Q12556" s="8"/>
    </row>
    <row r="12557" spans="17:17" x14ac:dyDescent="0.25">
      <c r="Q12557" s="8"/>
    </row>
    <row r="12558" spans="17:17" x14ac:dyDescent="0.25">
      <c r="Q12558" s="8"/>
    </row>
    <row r="12559" spans="17:17" x14ac:dyDescent="0.25">
      <c r="Q12559" s="8"/>
    </row>
    <row r="12560" spans="17:17" x14ac:dyDescent="0.25">
      <c r="Q12560" s="8"/>
    </row>
    <row r="12561" spans="17:17" x14ac:dyDescent="0.25">
      <c r="Q12561" s="8"/>
    </row>
    <row r="12562" spans="17:17" x14ac:dyDescent="0.25">
      <c r="Q12562" s="8"/>
    </row>
    <row r="12563" spans="17:17" x14ac:dyDescent="0.25">
      <c r="Q12563" s="8"/>
    </row>
    <row r="12564" spans="17:17" x14ac:dyDescent="0.25">
      <c r="Q12564" s="8"/>
    </row>
    <row r="12565" spans="17:17" x14ac:dyDescent="0.25">
      <c r="Q12565" s="8"/>
    </row>
    <row r="12566" spans="17:17" x14ac:dyDescent="0.25">
      <c r="Q12566" s="8"/>
    </row>
    <row r="12567" spans="17:17" x14ac:dyDescent="0.25">
      <c r="Q12567" s="8"/>
    </row>
    <row r="12568" spans="17:17" x14ac:dyDescent="0.25">
      <c r="Q12568" s="8"/>
    </row>
    <row r="12569" spans="17:17" x14ac:dyDescent="0.25">
      <c r="Q12569" s="8"/>
    </row>
    <row r="12570" spans="17:17" x14ac:dyDescent="0.25">
      <c r="Q12570" s="8"/>
    </row>
    <row r="12571" spans="17:17" x14ac:dyDescent="0.25">
      <c r="Q12571" s="8"/>
    </row>
    <row r="12572" spans="17:17" x14ac:dyDescent="0.25">
      <c r="Q12572" s="8"/>
    </row>
    <row r="12573" spans="17:17" x14ac:dyDescent="0.25">
      <c r="Q12573" s="8"/>
    </row>
    <row r="12574" spans="17:17" x14ac:dyDescent="0.25">
      <c r="Q12574" s="8"/>
    </row>
    <row r="12575" spans="17:17" x14ac:dyDescent="0.25">
      <c r="Q12575" s="8"/>
    </row>
    <row r="12576" spans="17:17" x14ac:dyDescent="0.25">
      <c r="Q12576" s="8"/>
    </row>
    <row r="12577" spans="17:17" x14ac:dyDescent="0.25">
      <c r="Q12577" s="8"/>
    </row>
    <row r="12578" spans="17:17" x14ac:dyDescent="0.25">
      <c r="Q12578" s="8"/>
    </row>
    <row r="12579" spans="17:17" x14ac:dyDescent="0.25">
      <c r="Q12579" s="8"/>
    </row>
    <row r="12580" spans="17:17" x14ac:dyDescent="0.25">
      <c r="Q12580" s="8"/>
    </row>
    <row r="12581" spans="17:17" x14ac:dyDescent="0.25">
      <c r="Q12581" s="8"/>
    </row>
    <row r="12582" spans="17:17" x14ac:dyDescent="0.25">
      <c r="Q12582" s="8"/>
    </row>
    <row r="12583" spans="17:17" x14ac:dyDescent="0.25">
      <c r="Q12583" s="8"/>
    </row>
    <row r="12584" spans="17:17" x14ac:dyDescent="0.25">
      <c r="Q12584" s="8"/>
    </row>
    <row r="12585" spans="17:17" x14ac:dyDescent="0.25">
      <c r="Q12585" s="8"/>
    </row>
    <row r="12586" spans="17:17" x14ac:dyDescent="0.25">
      <c r="Q12586" s="8"/>
    </row>
    <row r="12587" spans="17:17" x14ac:dyDescent="0.25">
      <c r="Q12587" s="8"/>
    </row>
    <row r="12588" spans="17:17" x14ac:dyDescent="0.25">
      <c r="Q12588" s="8"/>
    </row>
    <row r="12589" spans="17:17" x14ac:dyDescent="0.25">
      <c r="Q12589" s="8"/>
    </row>
    <row r="12590" spans="17:17" x14ac:dyDescent="0.25">
      <c r="Q12590" s="8"/>
    </row>
    <row r="12591" spans="17:17" x14ac:dyDescent="0.25">
      <c r="Q12591" s="8"/>
    </row>
    <row r="12592" spans="17:17" x14ac:dyDescent="0.25">
      <c r="Q12592" s="8"/>
    </row>
    <row r="12593" spans="17:17" x14ac:dyDescent="0.25">
      <c r="Q12593" s="8"/>
    </row>
    <row r="12594" spans="17:17" x14ac:dyDescent="0.25">
      <c r="Q12594" s="8"/>
    </row>
    <row r="12595" spans="17:17" x14ac:dyDescent="0.25">
      <c r="Q12595" s="8"/>
    </row>
    <row r="12596" spans="17:17" x14ac:dyDescent="0.25">
      <c r="Q12596" s="8"/>
    </row>
    <row r="12597" spans="17:17" x14ac:dyDescent="0.25">
      <c r="Q12597" s="8"/>
    </row>
    <row r="12598" spans="17:17" x14ac:dyDescent="0.25">
      <c r="Q12598" s="8"/>
    </row>
    <row r="12599" spans="17:17" x14ac:dyDescent="0.25">
      <c r="Q12599" s="8"/>
    </row>
    <row r="12600" spans="17:17" x14ac:dyDescent="0.25">
      <c r="Q12600" s="8"/>
    </row>
    <row r="12601" spans="17:17" x14ac:dyDescent="0.25">
      <c r="Q12601" s="8"/>
    </row>
    <row r="12602" spans="17:17" x14ac:dyDescent="0.25">
      <c r="Q12602" s="8"/>
    </row>
    <row r="12603" spans="17:17" x14ac:dyDescent="0.25">
      <c r="Q12603" s="8"/>
    </row>
    <row r="12604" spans="17:17" x14ac:dyDescent="0.25">
      <c r="Q12604" s="8"/>
    </row>
    <row r="12605" spans="17:17" x14ac:dyDescent="0.25">
      <c r="Q12605" s="8"/>
    </row>
    <row r="12606" spans="17:17" x14ac:dyDescent="0.25">
      <c r="Q12606" s="8"/>
    </row>
    <row r="12607" spans="17:17" x14ac:dyDescent="0.25">
      <c r="Q12607" s="8"/>
    </row>
    <row r="12608" spans="17:17" x14ac:dyDescent="0.25">
      <c r="Q12608" s="8"/>
    </row>
    <row r="12609" spans="17:17" x14ac:dyDescent="0.25">
      <c r="Q12609" s="8"/>
    </row>
    <row r="12610" spans="17:17" x14ac:dyDescent="0.25">
      <c r="Q12610" s="8"/>
    </row>
    <row r="12611" spans="17:17" x14ac:dyDescent="0.25">
      <c r="Q12611" s="8"/>
    </row>
    <row r="12612" spans="17:17" x14ac:dyDescent="0.25">
      <c r="Q12612" s="8"/>
    </row>
    <row r="12613" spans="17:17" x14ac:dyDescent="0.25">
      <c r="Q12613" s="8"/>
    </row>
    <row r="12614" spans="17:17" x14ac:dyDescent="0.25">
      <c r="Q12614" s="8"/>
    </row>
    <row r="12615" spans="17:17" x14ac:dyDescent="0.25">
      <c r="Q12615" s="8"/>
    </row>
    <row r="12616" spans="17:17" x14ac:dyDescent="0.25">
      <c r="Q12616" s="8"/>
    </row>
    <row r="12617" spans="17:17" x14ac:dyDescent="0.25">
      <c r="Q12617" s="8"/>
    </row>
    <row r="12618" spans="17:17" x14ac:dyDescent="0.25">
      <c r="Q12618" s="8"/>
    </row>
    <row r="12619" spans="17:17" x14ac:dyDescent="0.25">
      <c r="Q12619" s="8"/>
    </row>
    <row r="12620" spans="17:17" x14ac:dyDescent="0.25">
      <c r="Q12620" s="8"/>
    </row>
    <row r="12621" spans="17:17" x14ac:dyDescent="0.25">
      <c r="Q12621" s="8"/>
    </row>
    <row r="12622" spans="17:17" x14ac:dyDescent="0.25">
      <c r="Q12622" s="8"/>
    </row>
    <row r="12623" spans="17:17" x14ac:dyDescent="0.25">
      <c r="Q12623" s="8"/>
    </row>
    <row r="12624" spans="17:17" x14ac:dyDescent="0.25">
      <c r="Q12624" s="8"/>
    </row>
    <row r="12625" spans="17:17" x14ac:dyDescent="0.25">
      <c r="Q12625" s="8"/>
    </row>
    <row r="12626" spans="17:17" x14ac:dyDescent="0.25">
      <c r="Q12626" s="8"/>
    </row>
    <row r="12627" spans="17:17" x14ac:dyDescent="0.25">
      <c r="Q12627" s="8"/>
    </row>
    <row r="12628" spans="17:17" x14ac:dyDescent="0.25">
      <c r="Q12628" s="8"/>
    </row>
    <row r="12629" spans="17:17" x14ac:dyDescent="0.25">
      <c r="Q12629" s="8"/>
    </row>
    <row r="12630" spans="17:17" x14ac:dyDescent="0.25">
      <c r="Q12630" s="8"/>
    </row>
    <row r="12631" spans="17:17" x14ac:dyDescent="0.25">
      <c r="Q12631" s="8"/>
    </row>
    <row r="12632" spans="17:17" x14ac:dyDescent="0.25">
      <c r="Q12632" s="8"/>
    </row>
    <row r="12633" spans="17:17" x14ac:dyDescent="0.25">
      <c r="Q12633" s="8"/>
    </row>
    <row r="12634" spans="17:17" x14ac:dyDescent="0.25">
      <c r="Q12634" s="8"/>
    </row>
    <row r="12635" spans="17:17" x14ac:dyDescent="0.25">
      <c r="Q12635" s="8"/>
    </row>
    <row r="12636" spans="17:17" x14ac:dyDescent="0.25">
      <c r="Q12636" s="8"/>
    </row>
    <row r="12637" spans="17:17" x14ac:dyDescent="0.25">
      <c r="Q12637" s="8"/>
    </row>
    <row r="12638" spans="17:17" x14ac:dyDescent="0.25">
      <c r="Q12638" s="8"/>
    </row>
    <row r="12639" spans="17:17" x14ac:dyDescent="0.25">
      <c r="Q12639" s="8"/>
    </row>
    <row r="12640" spans="17:17" x14ac:dyDescent="0.25">
      <c r="Q12640" s="8"/>
    </row>
    <row r="12641" spans="17:17" x14ac:dyDescent="0.25">
      <c r="Q12641" s="8"/>
    </row>
    <row r="12642" spans="17:17" x14ac:dyDescent="0.25">
      <c r="Q12642" s="8"/>
    </row>
    <row r="12643" spans="17:17" x14ac:dyDescent="0.25">
      <c r="Q12643" s="8"/>
    </row>
    <row r="12644" spans="17:17" x14ac:dyDescent="0.25">
      <c r="Q12644" s="8"/>
    </row>
    <row r="12645" spans="17:17" x14ac:dyDescent="0.25">
      <c r="Q12645" s="8"/>
    </row>
    <row r="12646" spans="17:17" x14ac:dyDescent="0.25">
      <c r="Q12646" s="8"/>
    </row>
    <row r="12647" spans="17:17" x14ac:dyDescent="0.25">
      <c r="Q12647" s="8"/>
    </row>
    <row r="12648" spans="17:17" x14ac:dyDescent="0.25">
      <c r="Q12648" s="8"/>
    </row>
    <row r="12649" spans="17:17" x14ac:dyDescent="0.25">
      <c r="Q12649" s="8"/>
    </row>
    <row r="12650" spans="17:17" x14ac:dyDescent="0.25">
      <c r="Q12650" s="8"/>
    </row>
    <row r="12651" spans="17:17" x14ac:dyDescent="0.25">
      <c r="Q12651" s="8"/>
    </row>
    <row r="12652" spans="17:17" x14ac:dyDescent="0.25">
      <c r="Q12652" s="8"/>
    </row>
    <row r="12653" spans="17:17" x14ac:dyDescent="0.25">
      <c r="Q12653" s="8"/>
    </row>
    <row r="12654" spans="17:17" x14ac:dyDescent="0.25">
      <c r="Q12654" s="8"/>
    </row>
    <row r="12655" spans="17:17" x14ac:dyDescent="0.25">
      <c r="Q12655" s="8"/>
    </row>
    <row r="12656" spans="17:17" x14ac:dyDescent="0.25">
      <c r="Q12656" s="8"/>
    </row>
    <row r="12657" spans="17:17" x14ac:dyDescent="0.25">
      <c r="Q12657" s="8"/>
    </row>
    <row r="12658" spans="17:17" x14ac:dyDescent="0.25">
      <c r="Q12658" s="8"/>
    </row>
    <row r="12659" spans="17:17" x14ac:dyDescent="0.25">
      <c r="Q12659" s="8"/>
    </row>
    <row r="12660" spans="17:17" x14ac:dyDescent="0.25">
      <c r="Q12660" s="8"/>
    </row>
    <row r="12661" spans="17:17" x14ac:dyDescent="0.25">
      <c r="Q12661" s="8"/>
    </row>
    <row r="12662" spans="17:17" x14ac:dyDescent="0.25">
      <c r="Q12662" s="8"/>
    </row>
    <row r="12663" spans="17:17" x14ac:dyDescent="0.25">
      <c r="Q12663" s="8"/>
    </row>
    <row r="12664" spans="17:17" x14ac:dyDescent="0.25">
      <c r="Q12664" s="8"/>
    </row>
    <row r="12665" spans="17:17" x14ac:dyDescent="0.25">
      <c r="Q12665" s="8"/>
    </row>
    <row r="12666" spans="17:17" x14ac:dyDescent="0.25">
      <c r="Q12666" s="8"/>
    </row>
    <row r="12667" spans="17:17" x14ac:dyDescent="0.25">
      <c r="Q12667" s="8"/>
    </row>
    <row r="12668" spans="17:17" x14ac:dyDescent="0.25">
      <c r="Q12668" s="8"/>
    </row>
    <row r="12669" spans="17:17" x14ac:dyDescent="0.25">
      <c r="Q12669" s="8"/>
    </row>
    <row r="12670" spans="17:17" x14ac:dyDescent="0.25">
      <c r="Q12670" s="8"/>
    </row>
    <row r="12671" spans="17:17" x14ac:dyDescent="0.25">
      <c r="Q12671" s="8"/>
    </row>
    <row r="12672" spans="17:17" x14ac:dyDescent="0.25">
      <c r="Q12672" s="8"/>
    </row>
    <row r="12673" spans="17:17" x14ac:dyDescent="0.25">
      <c r="Q12673" s="8"/>
    </row>
    <row r="12674" spans="17:17" x14ac:dyDescent="0.25">
      <c r="Q12674" s="8"/>
    </row>
    <row r="12675" spans="17:17" x14ac:dyDescent="0.25">
      <c r="Q12675" s="8"/>
    </row>
    <row r="12676" spans="17:17" x14ac:dyDescent="0.25">
      <c r="Q12676" s="8"/>
    </row>
    <row r="12677" spans="17:17" x14ac:dyDescent="0.25">
      <c r="Q12677" s="8"/>
    </row>
    <row r="12678" spans="17:17" x14ac:dyDescent="0.25">
      <c r="Q12678" s="8"/>
    </row>
    <row r="12679" spans="17:17" x14ac:dyDescent="0.25">
      <c r="Q12679" s="8"/>
    </row>
    <row r="12680" spans="17:17" x14ac:dyDescent="0.25">
      <c r="Q12680" s="8"/>
    </row>
    <row r="12681" spans="17:17" x14ac:dyDescent="0.25">
      <c r="Q12681" s="8"/>
    </row>
    <row r="12682" spans="17:17" x14ac:dyDescent="0.25">
      <c r="Q12682" s="8"/>
    </row>
    <row r="12683" spans="17:17" x14ac:dyDescent="0.25">
      <c r="Q12683" s="8"/>
    </row>
    <row r="12684" spans="17:17" x14ac:dyDescent="0.25">
      <c r="Q12684" s="8"/>
    </row>
    <row r="12685" spans="17:17" x14ac:dyDescent="0.25">
      <c r="Q12685" s="8"/>
    </row>
    <row r="12686" spans="17:17" x14ac:dyDescent="0.25">
      <c r="Q12686" s="8"/>
    </row>
    <row r="12687" spans="17:17" x14ac:dyDescent="0.25">
      <c r="Q12687" s="8"/>
    </row>
    <row r="12688" spans="17:17" x14ac:dyDescent="0.25">
      <c r="Q12688" s="8"/>
    </row>
    <row r="12689" spans="17:17" x14ac:dyDescent="0.25">
      <c r="Q12689" s="8"/>
    </row>
    <row r="12690" spans="17:17" x14ac:dyDescent="0.25">
      <c r="Q12690" s="8"/>
    </row>
    <row r="12691" spans="17:17" x14ac:dyDescent="0.25">
      <c r="Q12691" s="8"/>
    </row>
    <row r="12692" spans="17:17" x14ac:dyDescent="0.25">
      <c r="Q12692" s="8"/>
    </row>
    <row r="12693" spans="17:17" x14ac:dyDescent="0.25">
      <c r="Q12693" s="8"/>
    </row>
    <row r="12694" spans="17:17" x14ac:dyDescent="0.25">
      <c r="Q12694" s="8"/>
    </row>
    <row r="12695" spans="17:17" x14ac:dyDescent="0.25">
      <c r="Q12695" s="8"/>
    </row>
    <row r="12696" spans="17:17" x14ac:dyDescent="0.25">
      <c r="Q12696" s="8"/>
    </row>
    <row r="12697" spans="17:17" x14ac:dyDescent="0.25">
      <c r="Q12697" s="8"/>
    </row>
    <row r="12698" spans="17:17" x14ac:dyDescent="0.25">
      <c r="Q12698" s="8"/>
    </row>
    <row r="12699" spans="17:17" x14ac:dyDescent="0.25">
      <c r="Q12699" s="8"/>
    </row>
    <row r="12700" spans="17:17" x14ac:dyDescent="0.25">
      <c r="Q12700" s="8"/>
    </row>
    <row r="12701" spans="17:17" x14ac:dyDescent="0.25">
      <c r="Q12701" s="8"/>
    </row>
    <row r="12702" spans="17:17" x14ac:dyDescent="0.25">
      <c r="Q12702" s="8"/>
    </row>
    <row r="12703" spans="17:17" x14ac:dyDescent="0.25">
      <c r="Q12703" s="8"/>
    </row>
    <row r="12704" spans="17:17" x14ac:dyDescent="0.25">
      <c r="Q12704" s="8"/>
    </row>
    <row r="12705" spans="17:17" x14ac:dyDescent="0.25">
      <c r="Q12705" s="8"/>
    </row>
    <row r="12706" spans="17:17" x14ac:dyDescent="0.25">
      <c r="Q12706" s="8"/>
    </row>
    <row r="12707" spans="17:17" x14ac:dyDescent="0.25">
      <c r="Q12707" s="8"/>
    </row>
    <row r="12708" spans="17:17" x14ac:dyDescent="0.25">
      <c r="Q12708" s="8"/>
    </row>
    <row r="12709" spans="17:17" x14ac:dyDescent="0.25">
      <c r="Q12709" s="8"/>
    </row>
    <row r="12710" spans="17:17" x14ac:dyDescent="0.25">
      <c r="Q12710" s="8"/>
    </row>
    <row r="12711" spans="17:17" x14ac:dyDescent="0.25">
      <c r="Q12711" s="8"/>
    </row>
    <row r="12712" spans="17:17" x14ac:dyDescent="0.25">
      <c r="Q12712" s="8"/>
    </row>
    <row r="12713" spans="17:17" x14ac:dyDescent="0.25">
      <c r="Q12713" s="8"/>
    </row>
    <row r="12714" spans="17:17" x14ac:dyDescent="0.25">
      <c r="Q12714" s="8"/>
    </row>
    <row r="12715" spans="17:17" x14ac:dyDescent="0.25">
      <c r="Q12715" s="8"/>
    </row>
    <row r="12716" spans="17:17" x14ac:dyDescent="0.25">
      <c r="Q12716" s="8"/>
    </row>
    <row r="12717" spans="17:17" x14ac:dyDescent="0.25">
      <c r="Q12717" s="8"/>
    </row>
    <row r="12718" spans="17:17" x14ac:dyDescent="0.25">
      <c r="Q12718" s="8"/>
    </row>
    <row r="12719" spans="17:17" x14ac:dyDescent="0.25">
      <c r="Q12719" s="8"/>
    </row>
    <row r="12720" spans="17:17" x14ac:dyDescent="0.25">
      <c r="Q12720" s="8"/>
    </row>
    <row r="12721" spans="17:17" x14ac:dyDescent="0.25">
      <c r="Q12721" s="8"/>
    </row>
    <row r="12722" spans="17:17" x14ac:dyDescent="0.25">
      <c r="Q12722" s="8"/>
    </row>
    <row r="12723" spans="17:17" x14ac:dyDescent="0.25">
      <c r="Q12723" s="8"/>
    </row>
    <row r="12724" spans="17:17" x14ac:dyDescent="0.25">
      <c r="Q12724" s="8"/>
    </row>
    <row r="12725" spans="17:17" x14ac:dyDescent="0.25">
      <c r="Q12725" s="8"/>
    </row>
    <row r="12726" spans="17:17" x14ac:dyDescent="0.25">
      <c r="Q12726" s="8"/>
    </row>
    <row r="12727" spans="17:17" x14ac:dyDescent="0.25">
      <c r="Q12727" s="8"/>
    </row>
    <row r="12728" spans="17:17" x14ac:dyDescent="0.25">
      <c r="Q12728" s="8"/>
    </row>
    <row r="12729" spans="17:17" x14ac:dyDescent="0.25">
      <c r="Q12729" s="8"/>
    </row>
    <row r="12730" spans="17:17" x14ac:dyDescent="0.25">
      <c r="Q12730" s="8"/>
    </row>
    <row r="12731" spans="17:17" x14ac:dyDescent="0.25">
      <c r="Q12731" s="8"/>
    </row>
    <row r="12732" spans="17:17" x14ac:dyDescent="0.25">
      <c r="Q12732" s="8"/>
    </row>
    <row r="12733" spans="17:17" x14ac:dyDescent="0.25">
      <c r="Q12733" s="8"/>
    </row>
    <row r="12734" spans="17:17" x14ac:dyDescent="0.25">
      <c r="Q12734" s="8"/>
    </row>
    <row r="12735" spans="17:17" x14ac:dyDescent="0.25">
      <c r="Q12735" s="8"/>
    </row>
    <row r="12736" spans="17:17" x14ac:dyDescent="0.25">
      <c r="Q12736" s="8"/>
    </row>
    <row r="12737" spans="17:17" x14ac:dyDescent="0.25">
      <c r="Q12737" s="8"/>
    </row>
    <row r="12738" spans="17:17" x14ac:dyDescent="0.25">
      <c r="Q12738" s="8"/>
    </row>
    <row r="12739" spans="17:17" x14ac:dyDescent="0.25">
      <c r="Q12739" s="8"/>
    </row>
    <row r="12740" spans="17:17" x14ac:dyDescent="0.25">
      <c r="Q12740" s="8"/>
    </row>
    <row r="12741" spans="17:17" x14ac:dyDescent="0.25">
      <c r="Q12741" s="8"/>
    </row>
    <row r="12742" spans="17:17" x14ac:dyDescent="0.25">
      <c r="Q12742" s="8"/>
    </row>
    <row r="12743" spans="17:17" x14ac:dyDescent="0.25">
      <c r="Q12743" s="8"/>
    </row>
    <row r="12744" spans="17:17" x14ac:dyDescent="0.25">
      <c r="Q12744" s="8"/>
    </row>
    <row r="12745" spans="17:17" x14ac:dyDescent="0.25">
      <c r="Q12745" s="8"/>
    </row>
    <row r="12746" spans="17:17" x14ac:dyDescent="0.25">
      <c r="Q12746" s="8"/>
    </row>
    <row r="12747" spans="17:17" x14ac:dyDescent="0.25">
      <c r="Q12747" s="8"/>
    </row>
    <row r="12748" spans="17:17" x14ac:dyDescent="0.25">
      <c r="Q12748" s="8"/>
    </row>
    <row r="12749" spans="17:17" x14ac:dyDescent="0.25">
      <c r="Q12749" s="8"/>
    </row>
    <row r="12750" spans="17:17" x14ac:dyDescent="0.25">
      <c r="Q12750" s="8"/>
    </row>
    <row r="12751" spans="17:17" x14ac:dyDescent="0.25">
      <c r="Q12751" s="8"/>
    </row>
    <row r="12752" spans="17:17" x14ac:dyDescent="0.25">
      <c r="Q12752" s="8"/>
    </row>
    <row r="12753" spans="17:17" x14ac:dyDescent="0.25">
      <c r="Q12753" s="8"/>
    </row>
    <row r="12754" spans="17:17" x14ac:dyDescent="0.25">
      <c r="Q12754" s="8"/>
    </row>
    <row r="12755" spans="17:17" x14ac:dyDescent="0.25">
      <c r="Q12755" s="8"/>
    </row>
    <row r="12756" spans="17:17" x14ac:dyDescent="0.25">
      <c r="Q12756" s="8"/>
    </row>
    <row r="12757" spans="17:17" x14ac:dyDescent="0.25">
      <c r="Q12757" s="8"/>
    </row>
    <row r="12758" spans="17:17" x14ac:dyDescent="0.25">
      <c r="Q12758" s="8"/>
    </row>
    <row r="12759" spans="17:17" x14ac:dyDescent="0.25">
      <c r="Q12759" s="8"/>
    </row>
    <row r="12760" spans="17:17" x14ac:dyDescent="0.25">
      <c r="Q12760" s="8"/>
    </row>
    <row r="12761" spans="17:17" x14ac:dyDescent="0.25">
      <c r="Q12761" s="8"/>
    </row>
    <row r="12762" spans="17:17" x14ac:dyDescent="0.25">
      <c r="Q12762" s="8"/>
    </row>
    <row r="12763" spans="17:17" x14ac:dyDescent="0.25">
      <c r="Q12763" s="8"/>
    </row>
    <row r="12764" spans="17:17" x14ac:dyDescent="0.25">
      <c r="Q12764" s="8"/>
    </row>
    <row r="12765" spans="17:17" x14ac:dyDescent="0.25">
      <c r="Q12765" s="8"/>
    </row>
    <row r="12766" spans="17:17" x14ac:dyDescent="0.25">
      <c r="Q12766" s="8"/>
    </row>
    <row r="12767" spans="17:17" x14ac:dyDescent="0.25">
      <c r="Q12767" s="8"/>
    </row>
    <row r="12768" spans="17:17" x14ac:dyDescent="0.25">
      <c r="Q12768" s="8"/>
    </row>
    <row r="12769" spans="17:17" x14ac:dyDescent="0.25">
      <c r="Q12769" s="8"/>
    </row>
    <row r="12770" spans="17:17" x14ac:dyDescent="0.25">
      <c r="Q12770" s="8"/>
    </row>
    <row r="12771" spans="17:17" x14ac:dyDescent="0.25">
      <c r="Q12771" s="8"/>
    </row>
    <row r="12772" spans="17:17" x14ac:dyDescent="0.25">
      <c r="Q12772" s="8"/>
    </row>
    <row r="12773" spans="17:17" x14ac:dyDescent="0.25">
      <c r="Q12773" s="8"/>
    </row>
    <row r="12774" spans="17:17" x14ac:dyDescent="0.25">
      <c r="Q12774" s="8"/>
    </row>
    <row r="12775" spans="17:17" x14ac:dyDescent="0.25">
      <c r="Q12775" s="8"/>
    </row>
    <row r="12776" spans="17:17" x14ac:dyDescent="0.25">
      <c r="Q12776" s="8"/>
    </row>
    <row r="12777" spans="17:17" x14ac:dyDescent="0.25">
      <c r="Q12777" s="8"/>
    </row>
    <row r="12778" spans="17:17" x14ac:dyDescent="0.25">
      <c r="Q12778" s="8"/>
    </row>
    <row r="12779" spans="17:17" x14ac:dyDescent="0.25">
      <c r="Q12779" s="8"/>
    </row>
    <row r="12780" spans="17:17" x14ac:dyDescent="0.25">
      <c r="Q12780" s="8"/>
    </row>
    <row r="12781" spans="17:17" x14ac:dyDescent="0.25">
      <c r="Q12781" s="8"/>
    </row>
    <row r="12782" spans="17:17" x14ac:dyDescent="0.25">
      <c r="Q12782" s="8"/>
    </row>
    <row r="12783" spans="17:17" x14ac:dyDescent="0.25">
      <c r="Q12783" s="8"/>
    </row>
    <row r="12784" spans="17:17" x14ac:dyDescent="0.25">
      <c r="Q12784" s="8"/>
    </row>
    <row r="12785" spans="17:17" x14ac:dyDescent="0.25">
      <c r="Q12785" s="8"/>
    </row>
    <row r="12786" spans="17:17" x14ac:dyDescent="0.25">
      <c r="Q12786" s="8"/>
    </row>
    <row r="12787" spans="17:17" x14ac:dyDescent="0.25">
      <c r="Q12787" s="8"/>
    </row>
    <row r="12788" spans="17:17" x14ac:dyDescent="0.25">
      <c r="Q12788" s="8"/>
    </row>
    <row r="12789" spans="17:17" x14ac:dyDescent="0.25">
      <c r="Q12789" s="8"/>
    </row>
    <row r="12790" spans="17:17" x14ac:dyDescent="0.25">
      <c r="Q12790" s="8"/>
    </row>
    <row r="12791" spans="17:17" x14ac:dyDescent="0.25">
      <c r="Q12791" s="8"/>
    </row>
    <row r="12792" spans="17:17" x14ac:dyDescent="0.25">
      <c r="Q12792" s="8"/>
    </row>
    <row r="12793" spans="17:17" x14ac:dyDescent="0.25">
      <c r="Q12793" s="8"/>
    </row>
    <row r="12794" spans="17:17" x14ac:dyDescent="0.25">
      <c r="Q12794" s="8"/>
    </row>
    <row r="12795" spans="17:17" x14ac:dyDescent="0.25">
      <c r="Q12795" s="8"/>
    </row>
    <row r="12796" spans="17:17" x14ac:dyDescent="0.25">
      <c r="Q12796" s="8"/>
    </row>
    <row r="12797" spans="17:17" x14ac:dyDescent="0.25">
      <c r="Q12797" s="8"/>
    </row>
    <row r="12798" spans="17:17" x14ac:dyDescent="0.25">
      <c r="Q12798" s="8"/>
    </row>
    <row r="12799" spans="17:17" x14ac:dyDescent="0.25">
      <c r="Q12799" s="8"/>
    </row>
    <row r="12800" spans="17:17" x14ac:dyDescent="0.25">
      <c r="Q12800" s="8"/>
    </row>
    <row r="12801" spans="17:17" x14ac:dyDescent="0.25">
      <c r="Q12801" s="8"/>
    </row>
    <row r="12802" spans="17:17" x14ac:dyDescent="0.25">
      <c r="Q12802" s="8"/>
    </row>
    <row r="12803" spans="17:17" x14ac:dyDescent="0.25">
      <c r="Q12803" s="8"/>
    </row>
    <row r="12804" spans="17:17" x14ac:dyDescent="0.25">
      <c r="Q12804" s="8"/>
    </row>
    <row r="12805" spans="17:17" x14ac:dyDescent="0.25">
      <c r="Q12805" s="8"/>
    </row>
    <row r="12806" spans="17:17" x14ac:dyDescent="0.25">
      <c r="Q12806" s="8"/>
    </row>
    <row r="12807" spans="17:17" x14ac:dyDescent="0.25">
      <c r="Q12807" s="8"/>
    </row>
    <row r="12808" spans="17:17" x14ac:dyDescent="0.25">
      <c r="Q12808" s="8"/>
    </row>
    <row r="12809" spans="17:17" x14ac:dyDescent="0.25">
      <c r="Q12809" s="8"/>
    </row>
    <row r="12810" spans="17:17" x14ac:dyDescent="0.25">
      <c r="Q12810" s="8"/>
    </row>
    <row r="12811" spans="17:17" x14ac:dyDescent="0.25">
      <c r="Q12811" s="8"/>
    </row>
    <row r="12812" spans="17:17" x14ac:dyDescent="0.25">
      <c r="Q12812" s="8"/>
    </row>
    <row r="12813" spans="17:17" x14ac:dyDescent="0.25">
      <c r="Q12813" s="8"/>
    </row>
    <row r="12814" spans="17:17" x14ac:dyDescent="0.25">
      <c r="Q12814" s="8"/>
    </row>
    <row r="12815" spans="17:17" x14ac:dyDescent="0.25">
      <c r="Q12815" s="8"/>
    </row>
    <row r="12816" spans="17:17" x14ac:dyDescent="0.25">
      <c r="Q12816" s="8"/>
    </row>
    <row r="12817" spans="17:17" x14ac:dyDescent="0.25">
      <c r="Q12817" s="8"/>
    </row>
    <row r="12818" spans="17:17" x14ac:dyDescent="0.25">
      <c r="Q12818" s="8"/>
    </row>
    <row r="12819" spans="17:17" x14ac:dyDescent="0.25">
      <c r="Q12819" s="8"/>
    </row>
    <row r="12820" spans="17:17" x14ac:dyDescent="0.25">
      <c r="Q12820" s="8"/>
    </row>
    <row r="12821" spans="17:17" x14ac:dyDescent="0.25">
      <c r="Q12821" s="8"/>
    </row>
    <row r="12822" spans="17:17" x14ac:dyDescent="0.25">
      <c r="Q12822" s="8"/>
    </row>
    <row r="12823" spans="17:17" x14ac:dyDescent="0.25">
      <c r="Q12823" s="8"/>
    </row>
    <row r="12824" spans="17:17" x14ac:dyDescent="0.25">
      <c r="Q12824" s="8"/>
    </row>
    <row r="12825" spans="17:17" x14ac:dyDescent="0.25">
      <c r="Q12825" s="8"/>
    </row>
    <row r="12826" spans="17:17" x14ac:dyDescent="0.25">
      <c r="Q12826" s="8"/>
    </row>
    <row r="12827" spans="17:17" x14ac:dyDescent="0.25">
      <c r="Q12827" s="8"/>
    </row>
    <row r="12828" spans="17:17" x14ac:dyDescent="0.25">
      <c r="Q12828" s="8"/>
    </row>
    <row r="12829" spans="17:17" x14ac:dyDescent="0.25">
      <c r="Q12829" s="8"/>
    </row>
    <row r="12830" spans="17:17" x14ac:dyDescent="0.25">
      <c r="Q12830" s="8"/>
    </row>
    <row r="12831" spans="17:17" x14ac:dyDescent="0.25">
      <c r="Q12831" s="8"/>
    </row>
    <row r="12832" spans="17:17" x14ac:dyDescent="0.25">
      <c r="Q12832" s="8"/>
    </row>
    <row r="12833" spans="17:17" x14ac:dyDescent="0.25">
      <c r="Q12833" s="8"/>
    </row>
    <row r="12834" spans="17:17" x14ac:dyDescent="0.25">
      <c r="Q12834" s="8"/>
    </row>
    <row r="12835" spans="17:17" x14ac:dyDescent="0.25">
      <c r="Q12835" s="8"/>
    </row>
    <row r="12836" spans="17:17" x14ac:dyDescent="0.25">
      <c r="Q12836" s="8"/>
    </row>
    <row r="12837" spans="17:17" x14ac:dyDescent="0.25">
      <c r="Q12837" s="8"/>
    </row>
    <row r="12838" spans="17:17" x14ac:dyDescent="0.25">
      <c r="Q12838" s="8"/>
    </row>
    <row r="12839" spans="17:17" x14ac:dyDescent="0.25">
      <c r="Q12839" s="8"/>
    </row>
    <row r="12840" spans="17:17" x14ac:dyDescent="0.25">
      <c r="Q12840" s="8"/>
    </row>
    <row r="12841" spans="17:17" x14ac:dyDescent="0.25">
      <c r="Q12841" s="8"/>
    </row>
    <row r="12842" spans="17:17" x14ac:dyDescent="0.25">
      <c r="Q12842" s="8"/>
    </row>
    <row r="12843" spans="17:17" x14ac:dyDescent="0.25">
      <c r="Q12843" s="8"/>
    </row>
    <row r="12844" spans="17:17" x14ac:dyDescent="0.25">
      <c r="Q12844" s="8"/>
    </row>
    <row r="12845" spans="17:17" x14ac:dyDescent="0.25">
      <c r="Q12845" s="8"/>
    </row>
    <row r="12846" spans="17:17" x14ac:dyDescent="0.25">
      <c r="Q12846" s="8"/>
    </row>
    <row r="12847" spans="17:17" x14ac:dyDescent="0.25">
      <c r="Q12847" s="8"/>
    </row>
    <row r="12848" spans="17:17" x14ac:dyDescent="0.25">
      <c r="Q12848" s="8"/>
    </row>
    <row r="12849" spans="17:17" x14ac:dyDescent="0.25">
      <c r="Q12849" s="8"/>
    </row>
    <row r="12850" spans="17:17" x14ac:dyDescent="0.25">
      <c r="Q12850" s="8"/>
    </row>
    <row r="12851" spans="17:17" x14ac:dyDescent="0.25">
      <c r="Q12851" s="8"/>
    </row>
    <row r="12852" spans="17:17" x14ac:dyDescent="0.25">
      <c r="Q12852" s="8"/>
    </row>
    <row r="12853" spans="17:17" x14ac:dyDescent="0.25">
      <c r="Q12853" s="8"/>
    </row>
    <row r="12854" spans="17:17" x14ac:dyDescent="0.25">
      <c r="Q12854" s="8"/>
    </row>
    <row r="12855" spans="17:17" x14ac:dyDescent="0.25">
      <c r="Q12855" s="8"/>
    </row>
    <row r="12856" spans="17:17" x14ac:dyDescent="0.25">
      <c r="Q12856" s="8"/>
    </row>
    <row r="12857" spans="17:17" x14ac:dyDescent="0.25">
      <c r="Q12857" s="8"/>
    </row>
    <row r="12858" spans="17:17" x14ac:dyDescent="0.25">
      <c r="Q12858" s="8"/>
    </row>
    <row r="12859" spans="17:17" x14ac:dyDescent="0.25">
      <c r="Q12859" s="8"/>
    </row>
    <row r="12860" spans="17:17" x14ac:dyDescent="0.25">
      <c r="Q12860" s="8"/>
    </row>
    <row r="12861" spans="17:17" x14ac:dyDescent="0.25">
      <c r="Q12861" s="8"/>
    </row>
    <row r="12862" spans="17:17" x14ac:dyDescent="0.25">
      <c r="Q12862" s="8"/>
    </row>
    <row r="12863" spans="17:17" x14ac:dyDescent="0.25">
      <c r="Q12863" s="8"/>
    </row>
    <row r="12864" spans="17:17" x14ac:dyDescent="0.25">
      <c r="Q12864" s="8"/>
    </row>
    <row r="12865" spans="17:17" x14ac:dyDescent="0.25">
      <c r="Q12865" s="8"/>
    </row>
    <row r="12866" spans="17:17" x14ac:dyDescent="0.25">
      <c r="Q12866" s="8"/>
    </row>
    <row r="12867" spans="17:17" x14ac:dyDescent="0.25">
      <c r="Q12867" s="8"/>
    </row>
    <row r="12868" spans="17:17" x14ac:dyDescent="0.25">
      <c r="Q12868" s="8"/>
    </row>
    <row r="12869" spans="17:17" x14ac:dyDescent="0.25">
      <c r="Q12869" s="8"/>
    </row>
    <row r="12870" spans="17:17" x14ac:dyDescent="0.25">
      <c r="Q12870" s="8"/>
    </row>
    <row r="12871" spans="17:17" x14ac:dyDescent="0.25">
      <c r="Q12871" s="8"/>
    </row>
    <row r="12872" spans="17:17" x14ac:dyDescent="0.25">
      <c r="Q12872" s="8"/>
    </row>
    <row r="12873" spans="17:17" x14ac:dyDescent="0.25">
      <c r="Q12873" s="8"/>
    </row>
    <row r="12874" spans="17:17" x14ac:dyDescent="0.25">
      <c r="Q12874" s="8"/>
    </row>
    <row r="12875" spans="17:17" x14ac:dyDescent="0.25">
      <c r="Q12875" s="8"/>
    </row>
    <row r="12876" spans="17:17" x14ac:dyDescent="0.25">
      <c r="Q12876" s="8"/>
    </row>
    <row r="12877" spans="17:17" x14ac:dyDescent="0.25">
      <c r="Q12877" s="8"/>
    </row>
    <row r="12878" spans="17:17" x14ac:dyDescent="0.25">
      <c r="Q12878" s="8"/>
    </row>
    <row r="12879" spans="17:17" x14ac:dyDescent="0.25">
      <c r="Q12879" s="8"/>
    </row>
    <row r="12880" spans="17:17" x14ac:dyDescent="0.25">
      <c r="Q12880" s="8"/>
    </row>
    <row r="12881" spans="17:17" x14ac:dyDescent="0.25">
      <c r="Q12881" s="8"/>
    </row>
    <row r="12882" spans="17:17" x14ac:dyDescent="0.25">
      <c r="Q12882" s="8"/>
    </row>
    <row r="12883" spans="17:17" x14ac:dyDescent="0.25">
      <c r="Q12883" s="8"/>
    </row>
    <row r="12884" spans="17:17" x14ac:dyDescent="0.25">
      <c r="Q12884" s="8"/>
    </row>
    <row r="12885" spans="17:17" x14ac:dyDescent="0.25">
      <c r="Q12885" s="8"/>
    </row>
    <row r="12886" spans="17:17" x14ac:dyDescent="0.25">
      <c r="Q12886" s="8"/>
    </row>
    <row r="12887" spans="17:17" x14ac:dyDescent="0.25">
      <c r="Q12887" s="8"/>
    </row>
    <row r="12888" spans="17:17" x14ac:dyDescent="0.25">
      <c r="Q12888" s="8"/>
    </row>
    <row r="12889" spans="17:17" x14ac:dyDescent="0.25">
      <c r="Q12889" s="8"/>
    </row>
    <row r="12890" spans="17:17" x14ac:dyDescent="0.25">
      <c r="Q12890" s="8"/>
    </row>
    <row r="12891" spans="17:17" x14ac:dyDescent="0.25">
      <c r="Q12891" s="8"/>
    </row>
    <row r="12892" spans="17:17" x14ac:dyDescent="0.25">
      <c r="Q12892" s="8"/>
    </row>
    <row r="12893" spans="17:17" x14ac:dyDescent="0.25">
      <c r="Q12893" s="8"/>
    </row>
    <row r="12894" spans="17:17" x14ac:dyDescent="0.25">
      <c r="Q12894" s="8"/>
    </row>
    <row r="12895" spans="17:17" x14ac:dyDescent="0.25">
      <c r="Q12895" s="8"/>
    </row>
    <row r="12896" spans="17:17" x14ac:dyDescent="0.25">
      <c r="Q12896" s="8"/>
    </row>
    <row r="12897" spans="17:17" x14ac:dyDescent="0.25">
      <c r="Q12897" s="8"/>
    </row>
    <row r="12898" spans="17:17" x14ac:dyDescent="0.25">
      <c r="Q12898" s="8"/>
    </row>
    <row r="12899" spans="17:17" x14ac:dyDescent="0.25">
      <c r="Q12899" s="8"/>
    </row>
    <row r="12900" spans="17:17" x14ac:dyDescent="0.25">
      <c r="Q12900" s="8"/>
    </row>
    <row r="12901" spans="17:17" x14ac:dyDescent="0.25">
      <c r="Q12901" s="8"/>
    </row>
    <row r="12902" spans="17:17" x14ac:dyDescent="0.25">
      <c r="Q12902" s="8"/>
    </row>
    <row r="12903" spans="17:17" x14ac:dyDescent="0.25">
      <c r="Q12903" s="8"/>
    </row>
    <row r="12904" spans="17:17" x14ac:dyDescent="0.25">
      <c r="Q12904" s="8"/>
    </row>
    <row r="12905" spans="17:17" x14ac:dyDescent="0.25">
      <c r="Q12905" s="8"/>
    </row>
    <row r="12906" spans="17:17" x14ac:dyDescent="0.25">
      <c r="Q12906" s="8"/>
    </row>
    <row r="12907" spans="17:17" x14ac:dyDescent="0.25">
      <c r="Q12907" s="8"/>
    </row>
    <row r="12908" spans="17:17" x14ac:dyDescent="0.25">
      <c r="Q12908" s="8"/>
    </row>
    <row r="12909" spans="17:17" x14ac:dyDescent="0.25">
      <c r="Q12909" s="8"/>
    </row>
    <row r="12910" spans="17:17" x14ac:dyDescent="0.25">
      <c r="Q12910" s="8"/>
    </row>
    <row r="12911" spans="17:17" x14ac:dyDescent="0.25">
      <c r="Q12911" s="8"/>
    </row>
    <row r="12912" spans="17:17" x14ac:dyDescent="0.25">
      <c r="Q12912" s="8"/>
    </row>
    <row r="12913" spans="17:17" x14ac:dyDescent="0.25">
      <c r="Q12913" s="8"/>
    </row>
    <row r="12914" spans="17:17" x14ac:dyDescent="0.25">
      <c r="Q12914" s="8"/>
    </row>
    <row r="12915" spans="17:17" x14ac:dyDescent="0.25">
      <c r="Q12915" s="8"/>
    </row>
    <row r="12916" spans="17:17" x14ac:dyDescent="0.25">
      <c r="Q12916" s="8"/>
    </row>
    <row r="12917" spans="17:17" x14ac:dyDescent="0.25">
      <c r="Q12917" s="8"/>
    </row>
    <row r="12918" spans="17:17" x14ac:dyDescent="0.25">
      <c r="Q12918" s="8"/>
    </row>
    <row r="12919" spans="17:17" x14ac:dyDescent="0.25">
      <c r="Q12919" s="8"/>
    </row>
    <row r="12920" spans="17:17" x14ac:dyDescent="0.25">
      <c r="Q12920" s="8"/>
    </row>
    <row r="12921" spans="17:17" x14ac:dyDescent="0.25">
      <c r="Q12921" s="8"/>
    </row>
    <row r="12922" spans="17:17" x14ac:dyDescent="0.25">
      <c r="Q12922" s="8"/>
    </row>
    <row r="12923" spans="17:17" x14ac:dyDescent="0.25">
      <c r="Q12923" s="8"/>
    </row>
    <row r="12924" spans="17:17" x14ac:dyDescent="0.25">
      <c r="Q12924" s="8"/>
    </row>
    <row r="12925" spans="17:17" x14ac:dyDescent="0.25">
      <c r="Q12925" s="8"/>
    </row>
    <row r="12926" spans="17:17" x14ac:dyDescent="0.25">
      <c r="Q12926" s="8"/>
    </row>
    <row r="12927" spans="17:17" x14ac:dyDescent="0.25">
      <c r="Q12927" s="8"/>
    </row>
    <row r="12928" spans="17:17" x14ac:dyDescent="0.25">
      <c r="Q12928" s="8"/>
    </row>
    <row r="12929" spans="17:17" x14ac:dyDescent="0.25">
      <c r="Q12929" s="8"/>
    </row>
    <row r="12930" spans="17:17" x14ac:dyDescent="0.25">
      <c r="Q12930" s="8"/>
    </row>
    <row r="12931" spans="17:17" x14ac:dyDescent="0.25">
      <c r="Q12931" s="8"/>
    </row>
    <row r="12932" spans="17:17" x14ac:dyDescent="0.25">
      <c r="Q12932" s="8"/>
    </row>
    <row r="12933" spans="17:17" x14ac:dyDescent="0.25">
      <c r="Q12933" s="8"/>
    </row>
    <row r="12934" spans="17:17" x14ac:dyDescent="0.25">
      <c r="Q12934" s="8"/>
    </row>
    <row r="12935" spans="17:17" x14ac:dyDescent="0.25">
      <c r="Q12935" s="8"/>
    </row>
    <row r="12936" spans="17:17" x14ac:dyDescent="0.25">
      <c r="Q12936" s="8"/>
    </row>
    <row r="12937" spans="17:17" x14ac:dyDescent="0.25">
      <c r="Q12937" s="8"/>
    </row>
    <row r="12938" spans="17:17" x14ac:dyDescent="0.25">
      <c r="Q12938" s="8"/>
    </row>
    <row r="12939" spans="17:17" x14ac:dyDescent="0.25">
      <c r="Q12939" s="8"/>
    </row>
    <row r="12940" spans="17:17" x14ac:dyDescent="0.25">
      <c r="Q12940" s="8"/>
    </row>
    <row r="12941" spans="17:17" x14ac:dyDescent="0.25">
      <c r="Q12941" s="8"/>
    </row>
    <row r="12942" spans="17:17" x14ac:dyDescent="0.25">
      <c r="Q12942" s="8"/>
    </row>
    <row r="12943" spans="17:17" x14ac:dyDescent="0.25">
      <c r="Q12943" s="8"/>
    </row>
    <row r="12944" spans="17:17" x14ac:dyDescent="0.25">
      <c r="Q12944" s="8"/>
    </row>
    <row r="12945" spans="17:17" x14ac:dyDescent="0.25">
      <c r="Q12945" s="8"/>
    </row>
    <row r="12946" spans="17:17" x14ac:dyDescent="0.25">
      <c r="Q12946" s="8"/>
    </row>
    <row r="12947" spans="17:17" x14ac:dyDescent="0.25">
      <c r="Q12947" s="8"/>
    </row>
    <row r="12948" spans="17:17" x14ac:dyDescent="0.25">
      <c r="Q12948" s="8"/>
    </row>
    <row r="12949" spans="17:17" x14ac:dyDescent="0.25">
      <c r="Q12949" s="8"/>
    </row>
    <row r="12950" spans="17:17" x14ac:dyDescent="0.25">
      <c r="Q12950" s="8"/>
    </row>
    <row r="12951" spans="17:17" x14ac:dyDescent="0.25">
      <c r="Q12951" s="8"/>
    </row>
    <row r="12952" spans="17:17" x14ac:dyDescent="0.25">
      <c r="Q12952" s="8"/>
    </row>
    <row r="12953" spans="17:17" x14ac:dyDescent="0.25">
      <c r="Q12953" s="8"/>
    </row>
    <row r="12954" spans="17:17" x14ac:dyDescent="0.25">
      <c r="Q12954" s="8"/>
    </row>
    <row r="12955" spans="17:17" x14ac:dyDescent="0.25">
      <c r="Q12955" s="8"/>
    </row>
    <row r="12956" spans="17:17" x14ac:dyDescent="0.25">
      <c r="Q12956" s="8"/>
    </row>
    <row r="12957" spans="17:17" x14ac:dyDescent="0.25">
      <c r="Q12957" s="8"/>
    </row>
    <row r="12958" spans="17:17" x14ac:dyDescent="0.25">
      <c r="Q12958" s="8"/>
    </row>
    <row r="12959" spans="17:17" x14ac:dyDescent="0.25">
      <c r="Q12959" s="8"/>
    </row>
    <row r="12960" spans="17:17" x14ac:dyDescent="0.25">
      <c r="Q12960" s="8"/>
    </row>
    <row r="12961" spans="17:17" x14ac:dyDescent="0.25">
      <c r="Q12961" s="8"/>
    </row>
    <row r="12962" spans="17:17" x14ac:dyDescent="0.25">
      <c r="Q12962" s="8"/>
    </row>
    <row r="12963" spans="17:17" x14ac:dyDescent="0.25">
      <c r="Q12963" s="8"/>
    </row>
    <row r="12964" spans="17:17" x14ac:dyDescent="0.25">
      <c r="Q12964" s="8"/>
    </row>
    <row r="12965" spans="17:17" x14ac:dyDescent="0.25">
      <c r="Q12965" s="8"/>
    </row>
    <row r="12966" spans="17:17" x14ac:dyDescent="0.25">
      <c r="Q12966" s="8"/>
    </row>
    <row r="12967" spans="17:17" x14ac:dyDescent="0.25">
      <c r="Q12967" s="8"/>
    </row>
    <row r="12968" spans="17:17" x14ac:dyDescent="0.25">
      <c r="Q12968" s="8"/>
    </row>
    <row r="12969" spans="17:17" x14ac:dyDescent="0.25">
      <c r="Q12969" s="8"/>
    </row>
    <row r="12970" spans="17:17" x14ac:dyDescent="0.25">
      <c r="Q12970" s="8"/>
    </row>
    <row r="12971" spans="17:17" x14ac:dyDescent="0.25">
      <c r="Q12971" s="8"/>
    </row>
    <row r="12972" spans="17:17" x14ac:dyDescent="0.25">
      <c r="Q12972" s="8"/>
    </row>
    <row r="12973" spans="17:17" x14ac:dyDescent="0.25">
      <c r="Q12973" s="8"/>
    </row>
    <row r="12974" spans="17:17" x14ac:dyDescent="0.25">
      <c r="Q12974" s="8"/>
    </row>
    <row r="12975" spans="17:17" x14ac:dyDescent="0.25">
      <c r="Q12975" s="8"/>
    </row>
    <row r="12976" spans="17:17" x14ac:dyDescent="0.25">
      <c r="Q12976" s="8"/>
    </row>
    <row r="12977" spans="17:17" x14ac:dyDescent="0.25">
      <c r="Q12977" s="8"/>
    </row>
    <row r="12978" spans="17:17" x14ac:dyDescent="0.25">
      <c r="Q12978" s="8"/>
    </row>
    <row r="12979" spans="17:17" x14ac:dyDescent="0.25">
      <c r="Q12979" s="8"/>
    </row>
    <row r="12980" spans="17:17" x14ac:dyDescent="0.25">
      <c r="Q12980" s="8"/>
    </row>
    <row r="12981" spans="17:17" x14ac:dyDescent="0.25">
      <c r="Q12981" s="8"/>
    </row>
    <row r="12982" spans="17:17" x14ac:dyDescent="0.25">
      <c r="Q12982" s="8"/>
    </row>
    <row r="12983" spans="17:17" x14ac:dyDescent="0.25">
      <c r="Q12983" s="8"/>
    </row>
    <row r="12984" spans="17:17" x14ac:dyDescent="0.25">
      <c r="Q12984" s="8"/>
    </row>
    <row r="12985" spans="17:17" x14ac:dyDescent="0.25">
      <c r="Q12985" s="8"/>
    </row>
    <row r="12986" spans="17:17" x14ac:dyDescent="0.25">
      <c r="Q12986" s="8"/>
    </row>
    <row r="12987" spans="17:17" x14ac:dyDescent="0.25">
      <c r="Q12987" s="8"/>
    </row>
    <row r="12988" spans="17:17" x14ac:dyDescent="0.25">
      <c r="Q12988" s="8"/>
    </row>
    <row r="12989" spans="17:17" x14ac:dyDescent="0.25">
      <c r="Q12989" s="8"/>
    </row>
    <row r="12990" spans="17:17" x14ac:dyDescent="0.25">
      <c r="Q12990" s="8"/>
    </row>
    <row r="12991" spans="17:17" x14ac:dyDescent="0.25">
      <c r="Q12991" s="8"/>
    </row>
    <row r="12992" spans="17:17" x14ac:dyDescent="0.25">
      <c r="Q12992" s="8"/>
    </row>
    <row r="12993" spans="17:17" x14ac:dyDescent="0.25">
      <c r="Q12993" s="8"/>
    </row>
    <row r="12994" spans="17:17" x14ac:dyDescent="0.25">
      <c r="Q12994" s="8"/>
    </row>
    <row r="12995" spans="17:17" x14ac:dyDescent="0.25">
      <c r="Q12995" s="8"/>
    </row>
    <row r="12996" spans="17:17" x14ac:dyDescent="0.25">
      <c r="Q12996" s="8"/>
    </row>
    <row r="12997" spans="17:17" x14ac:dyDescent="0.25">
      <c r="Q12997" s="8"/>
    </row>
    <row r="12998" spans="17:17" x14ac:dyDescent="0.25">
      <c r="Q12998" s="8"/>
    </row>
    <row r="12999" spans="17:17" x14ac:dyDescent="0.25">
      <c r="Q12999" s="8"/>
    </row>
    <row r="13000" spans="17:17" x14ac:dyDescent="0.25">
      <c r="Q13000" s="8"/>
    </row>
    <row r="13001" spans="17:17" x14ac:dyDescent="0.25">
      <c r="Q13001" s="8"/>
    </row>
    <row r="13002" spans="17:17" x14ac:dyDescent="0.25">
      <c r="Q13002" s="8"/>
    </row>
    <row r="13003" spans="17:17" x14ac:dyDescent="0.25">
      <c r="Q13003" s="8"/>
    </row>
    <row r="13004" spans="17:17" x14ac:dyDescent="0.25">
      <c r="Q13004" s="8"/>
    </row>
    <row r="13005" spans="17:17" x14ac:dyDescent="0.25">
      <c r="Q13005" s="8"/>
    </row>
    <row r="13006" spans="17:17" x14ac:dyDescent="0.25">
      <c r="Q13006" s="8"/>
    </row>
    <row r="13007" spans="17:17" x14ac:dyDescent="0.25">
      <c r="Q13007" s="8"/>
    </row>
    <row r="13008" spans="17:17" x14ac:dyDescent="0.25">
      <c r="Q13008" s="8"/>
    </row>
    <row r="13009" spans="17:17" x14ac:dyDescent="0.25">
      <c r="Q13009" s="8"/>
    </row>
    <row r="13010" spans="17:17" x14ac:dyDescent="0.25">
      <c r="Q13010" s="8"/>
    </row>
    <row r="13011" spans="17:17" x14ac:dyDescent="0.25">
      <c r="Q13011" s="8"/>
    </row>
    <row r="13012" spans="17:17" x14ac:dyDescent="0.25">
      <c r="Q13012" s="8"/>
    </row>
    <row r="13013" spans="17:17" x14ac:dyDescent="0.25">
      <c r="Q13013" s="8"/>
    </row>
    <row r="13014" spans="17:17" x14ac:dyDescent="0.25">
      <c r="Q13014" s="8"/>
    </row>
    <row r="13015" spans="17:17" x14ac:dyDescent="0.25">
      <c r="Q13015" s="8"/>
    </row>
    <row r="13016" spans="17:17" x14ac:dyDescent="0.25">
      <c r="Q13016" s="8"/>
    </row>
    <row r="13017" spans="17:17" x14ac:dyDescent="0.25">
      <c r="Q13017" s="8"/>
    </row>
    <row r="13018" spans="17:17" x14ac:dyDescent="0.25">
      <c r="Q13018" s="8"/>
    </row>
    <row r="13019" spans="17:17" x14ac:dyDescent="0.25">
      <c r="Q13019" s="8"/>
    </row>
    <row r="13020" spans="17:17" x14ac:dyDescent="0.25">
      <c r="Q13020" s="8"/>
    </row>
    <row r="13021" spans="17:17" x14ac:dyDescent="0.25">
      <c r="Q13021" s="8"/>
    </row>
    <row r="13022" spans="17:17" x14ac:dyDescent="0.25">
      <c r="Q13022" s="8"/>
    </row>
    <row r="13023" spans="17:17" x14ac:dyDescent="0.25">
      <c r="Q13023" s="8"/>
    </row>
    <row r="13024" spans="17:17" x14ac:dyDescent="0.25">
      <c r="Q13024" s="8"/>
    </row>
    <row r="13025" spans="17:17" x14ac:dyDescent="0.25">
      <c r="Q13025" s="8"/>
    </row>
    <row r="13026" spans="17:17" x14ac:dyDescent="0.25">
      <c r="Q13026" s="8"/>
    </row>
    <row r="13027" spans="17:17" x14ac:dyDescent="0.25">
      <c r="Q13027" s="8"/>
    </row>
    <row r="13028" spans="17:17" x14ac:dyDescent="0.25">
      <c r="Q13028" s="8"/>
    </row>
    <row r="13029" spans="17:17" x14ac:dyDescent="0.25">
      <c r="Q13029" s="8"/>
    </row>
    <row r="13030" spans="17:17" x14ac:dyDescent="0.25">
      <c r="Q13030" s="8"/>
    </row>
    <row r="13031" spans="17:17" x14ac:dyDescent="0.25">
      <c r="Q13031" s="8"/>
    </row>
    <row r="13032" spans="17:17" x14ac:dyDescent="0.25">
      <c r="Q13032" s="8"/>
    </row>
    <row r="13033" spans="17:17" x14ac:dyDescent="0.25">
      <c r="Q13033" s="8"/>
    </row>
    <row r="13034" spans="17:17" x14ac:dyDescent="0.25">
      <c r="Q13034" s="8"/>
    </row>
    <row r="13035" spans="17:17" x14ac:dyDescent="0.25">
      <c r="Q13035" s="8"/>
    </row>
    <row r="13036" spans="17:17" x14ac:dyDescent="0.25">
      <c r="Q13036" s="8"/>
    </row>
    <row r="13037" spans="17:17" x14ac:dyDescent="0.25">
      <c r="Q13037" s="8"/>
    </row>
    <row r="13038" spans="17:17" x14ac:dyDescent="0.25">
      <c r="Q13038" s="8"/>
    </row>
    <row r="13039" spans="17:17" x14ac:dyDescent="0.25">
      <c r="Q13039" s="8"/>
    </row>
    <row r="13040" spans="17:17" x14ac:dyDescent="0.25">
      <c r="Q13040" s="8"/>
    </row>
    <row r="13041" spans="17:17" x14ac:dyDescent="0.25">
      <c r="Q13041" s="8"/>
    </row>
    <row r="13042" spans="17:17" x14ac:dyDescent="0.25">
      <c r="Q13042" s="8"/>
    </row>
    <row r="13043" spans="17:17" x14ac:dyDescent="0.25">
      <c r="Q13043" s="8"/>
    </row>
    <row r="13044" spans="17:17" x14ac:dyDescent="0.25">
      <c r="Q13044" s="8"/>
    </row>
    <row r="13045" spans="17:17" x14ac:dyDescent="0.25">
      <c r="Q13045" s="8"/>
    </row>
    <row r="13046" spans="17:17" x14ac:dyDescent="0.25">
      <c r="Q13046" s="8"/>
    </row>
    <row r="13047" spans="17:17" x14ac:dyDescent="0.25">
      <c r="Q13047" s="8"/>
    </row>
    <row r="13048" spans="17:17" x14ac:dyDescent="0.25">
      <c r="Q13048" s="8"/>
    </row>
    <row r="13049" spans="17:17" x14ac:dyDescent="0.25">
      <c r="Q13049" s="8"/>
    </row>
    <row r="13050" spans="17:17" x14ac:dyDescent="0.25">
      <c r="Q13050" s="8"/>
    </row>
    <row r="13051" spans="17:17" x14ac:dyDescent="0.25">
      <c r="Q13051" s="8"/>
    </row>
    <row r="13052" spans="17:17" x14ac:dyDescent="0.25">
      <c r="Q13052" s="8"/>
    </row>
    <row r="13053" spans="17:17" x14ac:dyDescent="0.25">
      <c r="Q13053" s="8"/>
    </row>
    <row r="13054" spans="17:17" x14ac:dyDescent="0.25">
      <c r="Q13054" s="8"/>
    </row>
    <row r="13055" spans="17:17" x14ac:dyDescent="0.25">
      <c r="Q13055" s="8"/>
    </row>
    <row r="13056" spans="17:17" x14ac:dyDescent="0.25">
      <c r="Q13056" s="8"/>
    </row>
    <row r="13057" spans="17:17" x14ac:dyDescent="0.25">
      <c r="Q13057" s="8"/>
    </row>
    <row r="13058" spans="17:17" x14ac:dyDescent="0.25">
      <c r="Q13058" s="8"/>
    </row>
    <row r="13059" spans="17:17" x14ac:dyDescent="0.25">
      <c r="Q13059" s="8"/>
    </row>
    <row r="13060" spans="17:17" x14ac:dyDescent="0.25">
      <c r="Q13060" s="8"/>
    </row>
    <row r="13061" spans="17:17" x14ac:dyDescent="0.25">
      <c r="Q13061" s="8"/>
    </row>
    <row r="13062" spans="17:17" x14ac:dyDescent="0.25">
      <c r="Q13062" s="8"/>
    </row>
    <row r="13063" spans="17:17" x14ac:dyDescent="0.25">
      <c r="Q13063" s="8"/>
    </row>
    <row r="13064" spans="17:17" x14ac:dyDescent="0.25">
      <c r="Q13064" s="8"/>
    </row>
    <row r="13065" spans="17:17" x14ac:dyDescent="0.25">
      <c r="Q13065" s="8"/>
    </row>
    <row r="13066" spans="17:17" x14ac:dyDescent="0.25">
      <c r="Q13066" s="8"/>
    </row>
    <row r="13067" spans="17:17" x14ac:dyDescent="0.25">
      <c r="Q13067" s="8"/>
    </row>
    <row r="13068" spans="17:17" x14ac:dyDescent="0.25">
      <c r="Q13068" s="8"/>
    </row>
    <row r="13069" spans="17:17" x14ac:dyDescent="0.25">
      <c r="Q13069" s="8"/>
    </row>
    <row r="13070" spans="17:17" x14ac:dyDescent="0.25">
      <c r="Q13070" s="8"/>
    </row>
    <row r="13071" spans="17:17" x14ac:dyDescent="0.25">
      <c r="Q13071" s="8"/>
    </row>
    <row r="13072" spans="17:17" x14ac:dyDescent="0.25">
      <c r="Q13072" s="8"/>
    </row>
    <row r="13073" spans="17:17" x14ac:dyDescent="0.25">
      <c r="Q13073" s="8"/>
    </row>
    <row r="13074" spans="17:17" x14ac:dyDescent="0.25">
      <c r="Q13074" s="8"/>
    </row>
    <row r="13075" spans="17:17" x14ac:dyDescent="0.25">
      <c r="Q13075" s="8"/>
    </row>
    <row r="13076" spans="17:17" x14ac:dyDescent="0.25">
      <c r="Q13076" s="8"/>
    </row>
    <row r="13077" spans="17:17" x14ac:dyDescent="0.25">
      <c r="Q13077" s="8"/>
    </row>
    <row r="13078" spans="17:17" x14ac:dyDescent="0.25">
      <c r="Q13078" s="8"/>
    </row>
    <row r="13079" spans="17:17" x14ac:dyDescent="0.25">
      <c r="Q13079" s="8"/>
    </row>
    <row r="13080" spans="17:17" x14ac:dyDescent="0.25">
      <c r="Q13080" s="8"/>
    </row>
    <row r="13081" spans="17:17" x14ac:dyDescent="0.25">
      <c r="Q13081" s="8"/>
    </row>
    <row r="13082" spans="17:17" x14ac:dyDescent="0.25">
      <c r="Q13082" s="8"/>
    </row>
    <row r="13083" spans="17:17" x14ac:dyDescent="0.25">
      <c r="Q13083" s="8"/>
    </row>
    <row r="13084" spans="17:17" x14ac:dyDescent="0.25">
      <c r="Q13084" s="8"/>
    </row>
    <row r="13085" spans="17:17" x14ac:dyDescent="0.25">
      <c r="Q13085" s="8"/>
    </row>
    <row r="13086" spans="17:17" x14ac:dyDescent="0.25">
      <c r="Q13086" s="8"/>
    </row>
    <row r="13087" spans="17:17" x14ac:dyDescent="0.25">
      <c r="Q13087" s="8"/>
    </row>
    <row r="13088" spans="17:17" x14ac:dyDescent="0.25">
      <c r="Q13088" s="8"/>
    </row>
    <row r="13089" spans="17:17" x14ac:dyDescent="0.25">
      <c r="Q13089" s="8"/>
    </row>
    <row r="13090" spans="17:17" x14ac:dyDescent="0.25">
      <c r="Q13090" s="8"/>
    </row>
    <row r="13091" spans="17:17" x14ac:dyDescent="0.25">
      <c r="Q13091" s="8"/>
    </row>
    <row r="13092" spans="17:17" x14ac:dyDescent="0.25">
      <c r="Q13092" s="8"/>
    </row>
    <row r="13093" spans="17:17" x14ac:dyDescent="0.25">
      <c r="Q13093" s="8"/>
    </row>
    <row r="13094" spans="17:17" x14ac:dyDescent="0.25">
      <c r="Q13094" s="8"/>
    </row>
    <row r="13095" spans="17:17" x14ac:dyDescent="0.25">
      <c r="Q13095" s="8"/>
    </row>
    <row r="13096" spans="17:17" x14ac:dyDescent="0.25">
      <c r="Q13096" s="8"/>
    </row>
    <row r="13097" spans="17:17" x14ac:dyDescent="0.25">
      <c r="Q13097" s="8"/>
    </row>
    <row r="13098" spans="17:17" x14ac:dyDescent="0.25">
      <c r="Q13098" s="8"/>
    </row>
    <row r="13099" spans="17:17" x14ac:dyDescent="0.25">
      <c r="Q13099" s="8"/>
    </row>
    <row r="13100" spans="17:17" x14ac:dyDescent="0.25">
      <c r="Q13100" s="8"/>
    </row>
    <row r="13101" spans="17:17" x14ac:dyDescent="0.25">
      <c r="Q13101" s="8"/>
    </row>
    <row r="13102" spans="17:17" x14ac:dyDescent="0.25">
      <c r="Q13102" s="8"/>
    </row>
    <row r="13103" spans="17:17" x14ac:dyDescent="0.25">
      <c r="Q13103" s="8"/>
    </row>
    <row r="13104" spans="17:17" x14ac:dyDescent="0.25">
      <c r="Q13104" s="8"/>
    </row>
    <row r="13105" spans="17:17" x14ac:dyDescent="0.25">
      <c r="Q13105" s="8"/>
    </row>
    <row r="13106" spans="17:17" x14ac:dyDescent="0.25">
      <c r="Q13106" s="8"/>
    </row>
    <row r="13107" spans="17:17" x14ac:dyDescent="0.25">
      <c r="Q13107" s="8"/>
    </row>
    <row r="13108" spans="17:17" x14ac:dyDescent="0.25">
      <c r="Q13108" s="8"/>
    </row>
    <row r="13109" spans="17:17" x14ac:dyDescent="0.25">
      <c r="Q13109" s="8"/>
    </row>
    <row r="13110" spans="17:17" x14ac:dyDescent="0.25">
      <c r="Q13110" s="8"/>
    </row>
    <row r="13111" spans="17:17" x14ac:dyDescent="0.25">
      <c r="Q13111" s="8"/>
    </row>
    <row r="13112" spans="17:17" x14ac:dyDescent="0.25">
      <c r="Q13112" s="8"/>
    </row>
    <row r="13113" spans="17:17" x14ac:dyDescent="0.25">
      <c r="Q13113" s="8"/>
    </row>
    <row r="13114" spans="17:17" x14ac:dyDescent="0.25">
      <c r="Q13114" s="8"/>
    </row>
    <row r="13115" spans="17:17" x14ac:dyDescent="0.25">
      <c r="Q13115" s="8"/>
    </row>
    <row r="13116" spans="17:17" x14ac:dyDescent="0.25">
      <c r="Q13116" s="8"/>
    </row>
    <row r="13117" spans="17:17" x14ac:dyDescent="0.25">
      <c r="Q13117" s="8"/>
    </row>
    <row r="13118" spans="17:17" x14ac:dyDescent="0.25">
      <c r="Q13118" s="8"/>
    </row>
    <row r="13119" spans="17:17" x14ac:dyDescent="0.25">
      <c r="Q13119" s="8"/>
    </row>
    <row r="13120" spans="17:17" x14ac:dyDescent="0.25">
      <c r="Q13120" s="8"/>
    </row>
    <row r="13121" spans="17:17" x14ac:dyDescent="0.25">
      <c r="Q13121" s="8"/>
    </row>
    <row r="13122" spans="17:17" x14ac:dyDescent="0.25">
      <c r="Q13122" s="8"/>
    </row>
    <row r="13123" spans="17:17" x14ac:dyDescent="0.25">
      <c r="Q13123" s="8"/>
    </row>
    <row r="13124" spans="17:17" x14ac:dyDescent="0.25">
      <c r="Q13124" s="8"/>
    </row>
    <row r="13125" spans="17:17" x14ac:dyDescent="0.25">
      <c r="Q13125" s="8"/>
    </row>
    <row r="13126" spans="17:17" x14ac:dyDescent="0.25">
      <c r="Q13126" s="8"/>
    </row>
    <row r="13127" spans="17:17" x14ac:dyDescent="0.25">
      <c r="Q13127" s="8"/>
    </row>
    <row r="13128" spans="17:17" x14ac:dyDescent="0.25">
      <c r="Q13128" s="8"/>
    </row>
    <row r="13129" spans="17:17" x14ac:dyDescent="0.25">
      <c r="Q13129" s="8"/>
    </row>
    <row r="13130" spans="17:17" x14ac:dyDescent="0.25">
      <c r="Q13130" s="8"/>
    </row>
    <row r="13131" spans="17:17" x14ac:dyDescent="0.25">
      <c r="Q13131" s="8"/>
    </row>
    <row r="13132" spans="17:17" x14ac:dyDescent="0.25">
      <c r="Q13132" s="8"/>
    </row>
    <row r="13133" spans="17:17" x14ac:dyDescent="0.25">
      <c r="Q13133" s="8"/>
    </row>
    <row r="13134" spans="17:17" x14ac:dyDescent="0.25">
      <c r="Q13134" s="8"/>
    </row>
    <row r="13135" spans="17:17" x14ac:dyDescent="0.25">
      <c r="Q13135" s="8"/>
    </row>
    <row r="13136" spans="17:17" x14ac:dyDescent="0.25">
      <c r="Q13136" s="8"/>
    </row>
    <row r="13137" spans="17:17" x14ac:dyDescent="0.25">
      <c r="Q13137" s="8"/>
    </row>
    <row r="13138" spans="17:17" x14ac:dyDescent="0.25">
      <c r="Q13138" s="8"/>
    </row>
    <row r="13139" spans="17:17" x14ac:dyDescent="0.25">
      <c r="Q13139" s="8"/>
    </row>
    <row r="13140" spans="17:17" x14ac:dyDescent="0.25">
      <c r="Q13140" s="8"/>
    </row>
    <row r="13141" spans="17:17" x14ac:dyDescent="0.25">
      <c r="Q13141" s="8"/>
    </row>
    <row r="13142" spans="17:17" x14ac:dyDescent="0.25">
      <c r="Q13142" s="8"/>
    </row>
    <row r="13143" spans="17:17" x14ac:dyDescent="0.25">
      <c r="Q13143" s="8"/>
    </row>
    <row r="13144" spans="17:17" x14ac:dyDescent="0.25">
      <c r="Q13144" s="8"/>
    </row>
    <row r="13145" spans="17:17" x14ac:dyDescent="0.25">
      <c r="Q13145" s="8"/>
    </row>
    <row r="13146" spans="17:17" x14ac:dyDescent="0.25">
      <c r="Q13146" s="8"/>
    </row>
    <row r="13147" spans="17:17" x14ac:dyDescent="0.25">
      <c r="Q13147" s="8"/>
    </row>
    <row r="13148" spans="17:17" x14ac:dyDescent="0.25">
      <c r="Q13148" s="8"/>
    </row>
    <row r="13149" spans="17:17" x14ac:dyDescent="0.25">
      <c r="Q13149" s="8"/>
    </row>
    <row r="13150" spans="17:17" x14ac:dyDescent="0.25">
      <c r="Q13150" s="8"/>
    </row>
    <row r="13151" spans="17:17" x14ac:dyDescent="0.25">
      <c r="Q13151" s="8"/>
    </row>
    <row r="13152" spans="17:17" x14ac:dyDescent="0.25">
      <c r="Q13152" s="8"/>
    </row>
    <row r="13153" spans="17:17" x14ac:dyDescent="0.25">
      <c r="Q13153" s="8"/>
    </row>
    <row r="13154" spans="17:17" x14ac:dyDescent="0.25">
      <c r="Q13154" s="8"/>
    </row>
    <row r="13155" spans="17:17" x14ac:dyDescent="0.25">
      <c r="Q13155" s="8"/>
    </row>
    <row r="13156" spans="17:17" x14ac:dyDescent="0.25">
      <c r="Q13156" s="8"/>
    </row>
    <row r="13157" spans="17:17" x14ac:dyDescent="0.25">
      <c r="Q13157" s="8"/>
    </row>
    <row r="13158" spans="17:17" x14ac:dyDescent="0.25">
      <c r="Q13158" s="8"/>
    </row>
    <row r="13159" spans="17:17" x14ac:dyDescent="0.25">
      <c r="Q13159" s="8"/>
    </row>
    <row r="13160" spans="17:17" x14ac:dyDescent="0.25">
      <c r="Q13160" s="8"/>
    </row>
    <row r="13161" spans="17:17" x14ac:dyDescent="0.25">
      <c r="Q13161" s="8"/>
    </row>
    <row r="13162" spans="17:17" x14ac:dyDescent="0.25">
      <c r="Q13162" s="8"/>
    </row>
    <row r="13163" spans="17:17" x14ac:dyDescent="0.25">
      <c r="Q13163" s="8"/>
    </row>
    <row r="13164" spans="17:17" x14ac:dyDescent="0.25">
      <c r="Q13164" s="8"/>
    </row>
    <row r="13165" spans="17:17" x14ac:dyDescent="0.25">
      <c r="Q13165" s="8"/>
    </row>
    <row r="13166" spans="17:17" x14ac:dyDescent="0.25">
      <c r="Q13166" s="8"/>
    </row>
    <row r="13167" spans="17:17" x14ac:dyDescent="0.25">
      <c r="Q13167" s="8"/>
    </row>
    <row r="13168" spans="17:17" x14ac:dyDescent="0.25">
      <c r="Q13168" s="8"/>
    </row>
    <row r="13169" spans="17:17" x14ac:dyDescent="0.25">
      <c r="Q13169" s="8"/>
    </row>
    <row r="13170" spans="17:17" x14ac:dyDescent="0.25">
      <c r="Q13170" s="8"/>
    </row>
    <row r="13171" spans="17:17" x14ac:dyDescent="0.25">
      <c r="Q13171" s="8"/>
    </row>
    <row r="13172" spans="17:17" x14ac:dyDescent="0.25">
      <c r="Q13172" s="8"/>
    </row>
    <row r="13173" spans="17:17" x14ac:dyDescent="0.25">
      <c r="Q13173" s="8"/>
    </row>
    <row r="13174" spans="17:17" x14ac:dyDescent="0.25">
      <c r="Q13174" s="8"/>
    </row>
    <row r="13175" spans="17:17" x14ac:dyDescent="0.25">
      <c r="Q13175" s="8"/>
    </row>
    <row r="13176" spans="17:17" x14ac:dyDescent="0.25">
      <c r="Q13176" s="8"/>
    </row>
    <row r="13177" spans="17:17" x14ac:dyDescent="0.25">
      <c r="Q13177" s="8"/>
    </row>
    <row r="13178" spans="17:17" x14ac:dyDescent="0.25">
      <c r="Q13178" s="8"/>
    </row>
    <row r="13179" spans="17:17" x14ac:dyDescent="0.25">
      <c r="Q13179" s="8"/>
    </row>
    <row r="13180" spans="17:17" x14ac:dyDescent="0.25">
      <c r="Q13180" s="8"/>
    </row>
    <row r="13181" spans="17:17" x14ac:dyDescent="0.25">
      <c r="Q13181" s="8"/>
    </row>
    <row r="13182" spans="17:17" x14ac:dyDescent="0.25">
      <c r="Q13182" s="8"/>
    </row>
    <row r="13183" spans="17:17" x14ac:dyDescent="0.25">
      <c r="Q13183" s="8"/>
    </row>
    <row r="13184" spans="17:17" x14ac:dyDescent="0.25">
      <c r="Q13184" s="8"/>
    </row>
    <row r="13185" spans="17:17" x14ac:dyDescent="0.25">
      <c r="Q13185" s="8"/>
    </row>
    <row r="13186" spans="17:17" x14ac:dyDescent="0.25">
      <c r="Q13186" s="8"/>
    </row>
    <row r="13187" spans="17:17" x14ac:dyDescent="0.25">
      <c r="Q13187" s="8"/>
    </row>
    <row r="13188" spans="17:17" x14ac:dyDescent="0.25">
      <c r="Q13188" s="8"/>
    </row>
    <row r="13189" spans="17:17" x14ac:dyDescent="0.25">
      <c r="Q13189" s="8"/>
    </row>
    <row r="13190" spans="17:17" x14ac:dyDescent="0.25">
      <c r="Q13190" s="8"/>
    </row>
    <row r="13191" spans="17:17" x14ac:dyDescent="0.25">
      <c r="Q13191" s="8"/>
    </row>
    <row r="13192" spans="17:17" x14ac:dyDescent="0.25">
      <c r="Q13192" s="8"/>
    </row>
    <row r="13193" spans="17:17" x14ac:dyDescent="0.25">
      <c r="Q13193" s="8"/>
    </row>
    <row r="13194" spans="17:17" x14ac:dyDescent="0.25">
      <c r="Q13194" s="8"/>
    </row>
    <row r="13195" spans="17:17" x14ac:dyDescent="0.25">
      <c r="Q13195" s="8"/>
    </row>
    <row r="13196" spans="17:17" x14ac:dyDescent="0.25">
      <c r="Q13196" s="8"/>
    </row>
    <row r="13197" spans="17:17" x14ac:dyDescent="0.25">
      <c r="Q13197" s="8"/>
    </row>
    <row r="13198" spans="17:17" x14ac:dyDescent="0.25">
      <c r="Q13198" s="8"/>
    </row>
    <row r="13199" spans="17:17" x14ac:dyDescent="0.25">
      <c r="Q13199" s="8"/>
    </row>
    <row r="13200" spans="17:17" x14ac:dyDescent="0.25">
      <c r="Q13200" s="8"/>
    </row>
    <row r="13201" spans="17:17" x14ac:dyDescent="0.25">
      <c r="Q13201" s="8"/>
    </row>
    <row r="13202" spans="17:17" x14ac:dyDescent="0.25">
      <c r="Q13202" s="8"/>
    </row>
    <row r="13203" spans="17:17" x14ac:dyDescent="0.25">
      <c r="Q13203" s="8"/>
    </row>
    <row r="13204" spans="17:17" x14ac:dyDescent="0.25">
      <c r="Q13204" s="8"/>
    </row>
    <row r="13205" spans="17:17" x14ac:dyDescent="0.25">
      <c r="Q13205" s="8"/>
    </row>
    <row r="13206" spans="17:17" x14ac:dyDescent="0.25">
      <c r="Q13206" s="8"/>
    </row>
    <row r="13207" spans="17:17" x14ac:dyDescent="0.25">
      <c r="Q13207" s="8"/>
    </row>
    <row r="13208" spans="17:17" x14ac:dyDescent="0.25">
      <c r="Q13208" s="8"/>
    </row>
    <row r="13209" spans="17:17" x14ac:dyDescent="0.25">
      <c r="Q13209" s="8"/>
    </row>
    <row r="13210" spans="17:17" x14ac:dyDescent="0.25">
      <c r="Q13210" s="8"/>
    </row>
    <row r="13211" spans="17:17" x14ac:dyDescent="0.25">
      <c r="Q13211" s="8"/>
    </row>
    <row r="13212" spans="17:17" x14ac:dyDescent="0.25">
      <c r="Q13212" s="8"/>
    </row>
    <row r="13213" spans="17:17" x14ac:dyDescent="0.25">
      <c r="Q13213" s="8"/>
    </row>
    <row r="13214" spans="17:17" x14ac:dyDescent="0.25">
      <c r="Q13214" s="8"/>
    </row>
    <row r="13215" spans="17:17" x14ac:dyDescent="0.25">
      <c r="Q13215" s="8"/>
    </row>
    <row r="13216" spans="17:17" x14ac:dyDescent="0.25">
      <c r="Q13216" s="8"/>
    </row>
    <row r="13217" spans="17:17" x14ac:dyDescent="0.25">
      <c r="Q13217" s="8"/>
    </row>
    <row r="13218" spans="17:17" x14ac:dyDescent="0.25">
      <c r="Q13218" s="8"/>
    </row>
    <row r="13219" spans="17:17" x14ac:dyDescent="0.25">
      <c r="Q13219" s="8"/>
    </row>
    <row r="13220" spans="17:17" x14ac:dyDescent="0.25">
      <c r="Q13220" s="8"/>
    </row>
    <row r="13221" spans="17:17" x14ac:dyDescent="0.25">
      <c r="Q13221" s="8"/>
    </row>
    <row r="13222" spans="17:17" x14ac:dyDescent="0.25">
      <c r="Q13222" s="8"/>
    </row>
    <row r="13223" spans="17:17" x14ac:dyDescent="0.25">
      <c r="Q13223" s="8"/>
    </row>
    <row r="13224" spans="17:17" x14ac:dyDescent="0.25">
      <c r="Q13224" s="8"/>
    </row>
    <row r="13225" spans="17:17" x14ac:dyDescent="0.25">
      <c r="Q13225" s="8"/>
    </row>
    <row r="13226" spans="17:17" x14ac:dyDescent="0.25">
      <c r="Q13226" s="8"/>
    </row>
    <row r="13227" spans="17:17" x14ac:dyDescent="0.25">
      <c r="Q13227" s="8"/>
    </row>
    <row r="13228" spans="17:17" x14ac:dyDescent="0.25">
      <c r="Q13228" s="8"/>
    </row>
    <row r="13229" spans="17:17" x14ac:dyDescent="0.25">
      <c r="Q13229" s="8"/>
    </row>
    <row r="13230" spans="17:17" x14ac:dyDescent="0.25">
      <c r="Q13230" s="8"/>
    </row>
    <row r="13231" spans="17:17" x14ac:dyDescent="0.25">
      <c r="Q13231" s="8"/>
    </row>
    <row r="13232" spans="17:17" x14ac:dyDescent="0.25">
      <c r="Q13232" s="8"/>
    </row>
    <row r="13233" spans="17:17" x14ac:dyDescent="0.25">
      <c r="Q13233" s="8"/>
    </row>
    <row r="13234" spans="17:17" x14ac:dyDescent="0.25">
      <c r="Q13234" s="8"/>
    </row>
    <row r="13235" spans="17:17" x14ac:dyDescent="0.25">
      <c r="Q13235" s="8"/>
    </row>
    <row r="13236" spans="17:17" x14ac:dyDescent="0.25">
      <c r="Q13236" s="8"/>
    </row>
    <row r="13237" spans="17:17" x14ac:dyDescent="0.25">
      <c r="Q13237" s="8"/>
    </row>
    <row r="13238" spans="17:17" x14ac:dyDescent="0.25">
      <c r="Q13238" s="8"/>
    </row>
    <row r="13239" spans="17:17" x14ac:dyDescent="0.25">
      <c r="Q13239" s="8"/>
    </row>
    <row r="13240" spans="17:17" x14ac:dyDescent="0.25">
      <c r="Q13240" s="8"/>
    </row>
    <row r="13241" spans="17:17" x14ac:dyDescent="0.25">
      <c r="Q13241" s="8"/>
    </row>
    <row r="13242" spans="17:17" x14ac:dyDescent="0.25">
      <c r="Q13242" s="8"/>
    </row>
    <row r="13243" spans="17:17" x14ac:dyDescent="0.25">
      <c r="Q13243" s="8"/>
    </row>
    <row r="13244" spans="17:17" x14ac:dyDescent="0.25">
      <c r="Q13244" s="8"/>
    </row>
    <row r="13245" spans="17:17" x14ac:dyDescent="0.25">
      <c r="Q13245" s="8"/>
    </row>
    <row r="13246" spans="17:17" x14ac:dyDescent="0.25">
      <c r="Q13246" s="8"/>
    </row>
    <row r="13247" spans="17:17" x14ac:dyDescent="0.25">
      <c r="Q13247" s="8"/>
    </row>
    <row r="13248" spans="17:17" x14ac:dyDescent="0.25">
      <c r="Q13248" s="8"/>
    </row>
    <row r="13249" spans="17:17" x14ac:dyDescent="0.25">
      <c r="Q13249" s="8"/>
    </row>
    <row r="13250" spans="17:17" x14ac:dyDescent="0.25">
      <c r="Q13250" s="8"/>
    </row>
    <row r="13251" spans="17:17" x14ac:dyDescent="0.25">
      <c r="Q13251" s="8"/>
    </row>
    <row r="13252" spans="17:17" x14ac:dyDescent="0.25">
      <c r="Q13252" s="8"/>
    </row>
    <row r="13253" spans="17:17" x14ac:dyDescent="0.25">
      <c r="Q13253" s="8"/>
    </row>
    <row r="13254" spans="17:17" x14ac:dyDescent="0.25">
      <c r="Q13254" s="8"/>
    </row>
    <row r="13255" spans="17:17" x14ac:dyDescent="0.25">
      <c r="Q13255" s="8"/>
    </row>
    <row r="13256" spans="17:17" x14ac:dyDescent="0.25">
      <c r="Q13256" s="8"/>
    </row>
    <row r="13257" spans="17:17" x14ac:dyDescent="0.25">
      <c r="Q13257" s="8"/>
    </row>
    <row r="13258" spans="17:17" x14ac:dyDescent="0.25">
      <c r="Q13258" s="8"/>
    </row>
    <row r="13259" spans="17:17" x14ac:dyDescent="0.25">
      <c r="Q13259" s="8"/>
    </row>
    <row r="13260" spans="17:17" x14ac:dyDescent="0.25">
      <c r="Q13260" s="8"/>
    </row>
    <row r="13261" spans="17:17" x14ac:dyDescent="0.25">
      <c r="Q13261" s="8"/>
    </row>
    <row r="13262" spans="17:17" x14ac:dyDescent="0.25">
      <c r="Q13262" s="8"/>
    </row>
    <row r="13263" spans="17:17" x14ac:dyDescent="0.25">
      <c r="Q13263" s="8"/>
    </row>
    <row r="13264" spans="17:17" x14ac:dyDescent="0.25">
      <c r="Q13264" s="8"/>
    </row>
    <row r="13265" spans="17:17" x14ac:dyDescent="0.25">
      <c r="Q13265" s="8"/>
    </row>
    <row r="13266" spans="17:17" x14ac:dyDescent="0.25">
      <c r="Q13266" s="8"/>
    </row>
    <row r="13267" spans="17:17" x14ac:dyDescent="0.25">
      <c r="Q13267" s="8"/>
    </row>
    <row r="13268" spans="17:17" x14ac:dyDescent="0.25">
      <c r="Q13268" s="8"/>
    </row>
    <row r="13269" spans="17:17" x14ac:dyDescent="0.25">
      <c r="Q13269" s="8"/>
    </row>
    <row r="13270" spans="17:17" x14ac:dyDescent="0.25">
      <c r="Q13270" s="8"/>
    </row>
    <row r="13271" spans="17:17" x14ac:dyDescent="0.25">
      <c r="Q13271" s="8"/>
    </row>
    <row r="13272" spans="17:17" x14ac:dyDescent="0.25">
      <c r="Q13272" s="8"/>
    </row>
    <row r="13273" spans="17:17" x14ac:dyDescent="0.25">
      <c r="Q13273" s="8"/>
    </row>
    <row r="13274" spans="17:17" x14ac:dyDescent="0.25">
      <c r="Q13274" s="8"/>
    </row>
    <row r="13275" spans="17:17" x14ac:dyDescent="0.25">
      <c r="Q13275" s="8"/>
    </row>
    <row r="13276" spans="17:17" x14ac:dyDescent="0.25">
      <c r="Q13276" s="8"/>
    </row>
    <row r="13277" spans="17:17" x14ac:dyDescent="0.25">
      <c r="Q13277" s="8"/>
    </row>
    <row r="13278" spans="17:17" x14ac:dyDescent="0.25">
      <c r="Q13278" s="8"/>
    </row>
    <row r="13279" spans="17:17" x14ac:dyDescent="0.25">
      <c r="Q13279" s="8"/>
    </row>
    <row r="13280" spans="17:17" x14ac:dyDescent="0.25">
      <c r="Q13280" s="8"/>
    </row>
    <row r="13281" spans="17:17" x14ac:dyDescent="0.25">
      <c r="Q13281" s="8"/>
    </row>
    <row r="13282" spans="17:17" x14ac:dyDescent="0.25">
      <c r="Q13282" s="8"/>
    </row>
    <row r="13283" spans="17:17" x14ac:dyDescent="0.25">
      <c r="Q13283" s="8"/>
    </row>
    <row r="13284" spans="17:17" x14ac:dyDescent="0.25">
      <c r="Q13284" s="8"/>
    </row>
    <row r="13285" spans="17:17" x14ac:dyDescent="0.25">
      <c r="Q13285" s="8"/>
    </row>
    <row r="13286" spans="17:17" x14ac:dyDescent="0.25">
      <c r="Q13286" s="8"/>
    </row>
    <row r="13287" spans="17:17" x14ac:dyDescent="0.25">
      <c r="Q13287" s="8"/>
    </row>
    <row r="13288" spans="17:17" x14ac:dyDescent="0.25">
      <c r="Q13288" s="8"/>
    </row>
    <row r="13289" spans="17:17" x14ac:dyDescent="0.25">
      <c r="Q13289" s="8"/>
    </row>
    <row r="13290" spans="17:17" x14ac:dyDescent="0.25">
      <c r="Q13290" s="8"/>
    </row>
    <row r="13291" spans="17:17" x14ac:dyDescent="0.25">
      <c r="Q13291" s="8"/>
    </row>
    <row r="13292" spans="17:17" x14ac:dyDescent="0.25">
      <c r="Q13292" s="8"/>
    </row>
    <row r="13293" spans="17:17" x14ac:dyDescent="0.25">
      <c r="Q13293" s="8"/>
    </row>
    <row r="13294" spans="17:17" x14ac:dyDescent="0.25">
      <c r="Q13294" s="8"/>
    </row>
    <row r="13295" spans="17:17" x14ac:dyDescent="0.25">
      <c r="Q13295" s="8"/>
    </row>
    <row r="13296" spans="17:17" x14ac:dyDescent="0.25">
      <c r="Q13296" s="8"/>
    </row>
    <row r="13297" spans="17:17" x14ac:dyDescent="0.25">
      <c r="Q13297" s="8"/>
    </row>
    <row r="13298" spans="17:17" x14ac:dyDescent="0.25">
      <c r="Q13298" s="8"/>
    </row>
    <row r="13299" spans="17:17" x14ac:dyDescent="0.25">
      <c r="Q13299" s="8"/>
    </row>
    <row r="13300" spans="17:17" x14ac:dyDescent="0.25">
      <c r="Q13300" s="8"/>
    </row>
    <row r="13301" spans="17:17" x14ac:dyDescent="0.25">
      <c r="Q13301" s="8"/>
    </row>
    <row r="13302" spans="17:17" x14ac:dyDescent="0.25">
      <c r="Q13302" s="8"/>
    </row>
    <row r="13303" spans="17:17" x14ac:dyDescent="0.25">
      <c r="Q13303" s="8"/>
    </row>
    <row r="13304" spans="17:17" x14ac:dyDescent="0.25">
      <c r="Q13304" s="8"/>
    </row>
    <row r="13305" spans="17:17" x14ac:dyDescent="0.25">
      <c r="Q13305" s="8"/>
    </row>
    <row r="13306" spans="17:17" x14ac:dyDescent="0.25">
      <c r="Q13306" s="8"/>
    </row>
    <row r="13307" spans="17:17" x14ac:dyDescent="0.25">
      <c r="Q13307" s="8"/>
    </row>
    <row r="13308" spans="17:17" x14ac:dyDescent="0.25">
      <c r="Q13308" s="8"/>
    </row>
    <row r="13309" spans="17:17" x14ac:dyDescent="0.25">
      <c r="Q13309" s="8"/>
    </row>
    <row r="13310" spans="17:17" x14ac:dyDescent="0.25">
      <c r="Q13310" s="8"/>
    </row>
    <row r="13311" spans="17:17" x14ac:dyDescent="0.25">
      <c r="Q13311" s="8"/>
    </row>
    <row r="13312" spans="17:17" x14ac:dyDescent="0.25">
      <c r="Q13312" s="8"/>
    </row>
    <row r="13313" spans="17:17" x14ac:dyDescent="0.25">
      <c r="Q13313" s="8"/>
    </row>
    <row r="13314" spans="17:17" x14ac:dyDescent="0.25">
      <c r="Q13314" s="8"/>
    </row>
    <row r="13315" spans="17:17" x14ac:dyDescent="0.25">
      <c r="Q13315" s="8"/>
    </row>
    <row r="13316" spans="17:17" x14ac:dyDescent="0.25">
      <c r="Q13316" s="8"/>
    </row>
    <row r="13317" spans="17:17" x14ac:dyDescent="0.25">
      <c r="Q13317" s="8"/>
    </row>
    <row r="13318" spans="17:17" x14ac:dyDescent="0.25">
      <c r="Q13318" s="8"/>
    </row>
    <row r="13319" spans="17:17" x14ac:dyDescent="0.25">
      <c r="Q13319" s="8"/>
    </row>
    <row r="13320" spans="17:17" x14ac:dyDescent="0.25">
      <c r="Q13320" s="8"/>
    </row>
    <row r="13321" spans="17:17" x14ac:dyDescent="0.25">
      <c r="Q13321" s="8"/>
    </row>
    <row r="13322" spans="17:17" x14ac:dyDescent="0.25">
      <c r="Q13322" s="8"/>
    </row>
    <row r="13323" spans="17:17" x14ac:dyDescent="0.25">
      <c r="Q13323" s="8"/>
    </row>
    <row r="13324" spans="17:17" x14ac:dyDescent="0.25">
      <c r="Q13324" s="8"/>
    </row>
    <row r="13325" spans="17:17" x14ac:dyDescent="0.25">
      <c r="Q13325" s="8"/>
    </row>
    <row r="13326" spans="17:17" x14ac:dyDescent="0.25">
      <c r="Q13326" s="8"/>
    </row>
    <row r="13327" spans="17:17" x14ac:dyDescent="0.25">
      <c r="Q13327" s="8"/>
    </row>
    <row r="13328" spans="17:17" x14ac:dyDescent="0.25">
      <c r="Q13328" s="8"/>
    </row>
    <row r="13329" spans="17:17" x14ac:dyDescent="0.25">
      <c r="Q13329" s="8"/>
    </row>
    <row r="13330" spans="17:17" x14ac:dyDescent="0.25">
      <c r="Q13330" s="8"/>
    </row>
    <row r="13331" spans="17:17" x14ac:dyDescent="0.25">
      <c r="Q13331" s="8"/>
    </row>
    <row r="13332" spans="17:17" x14ac:dyDescent="0.25">
      <c r="Q13332" s="8"/>
    </row>
    <row r="13333" spans="17:17" x14ac:dyDescent="0.25">
      <c r="Q13333" s="8"/>
    </row>
    <row r="13334" spans="17:17" x14ac:dyDescent="0.25">
      <c r="Q13334" s="8"/>
    </row>
    <row r="13335" spans="17:17" x14ac:dyDescent="0.25">
      <c r="Q13335" s="8"/>
    </row>
    <row r="13336" spans="17:17" x14ac:dyDescent="0.25">
      <c r="Q13336" s="8"/>
    </row>
    <row r="13337" spans="17:17" x14ac:dyDescent="0.25">
      <c r="Q13337" s="8"/>
    </row>
    <row r="13338" spans="17:17" x14ac:dyDescent="0.25">
      <c r="Q13338" s="8"/>
    </row>
    <row r="13339" spans="17:17" x14ac:dyDescent="0.25">
      <c r="Q13339" s="8"/>
    </row>
    <row r="13340" spans="17:17" x14ac:dyDescent="0.25">
      <c r="Q13340" s="8"/>
    </row>
    <row r="13341" spans="17:17" x14ac:dyDescent="0.25">
      <c r="Q13341" s="8"/>
    </row>
    <row r="13342" spans="17:17" x14ac:dyDescent="0.25">
      <c r="Q13342" s="8"/>
    </row>
    <row r="13343" spans="17:17" x14ac:dyDescent="0.25">
      <c r="Q13343" s="8"/>
    </row>
    <row r="13344" spans="17:17" x14ac:dyDescent="0.25">
      <c r="Q13344" s="8"/>
    </row>
    <row r="13345" spans="17:17" x14ac:dyDescent="0.25">
      <c r="Q13345" s="8"/>
    </row>
    <row r="13346" spans="17:17" x14ac:dyDescent="0.25">
      <c r="Q13346" s="8"/>
    </row>
    <row r="13347" spans="17:17" x14ac:dyDescent="0.25">
      <c r="Q13347" s="8"/>
    </row>
    <row r="13348" spans="17:17" x14ac:dyDescent="0.25">
      <c r="Q13348" s="8"/>
    </row>
    <row r="13349" spans="17:17" x14ac:dyDescent="0.25">
      <c r="Q13349" s="8"/>
    </row>
    <row r="13350" spans="17:17" x14ac:dyDescent="0.25">
      <c r="Q13350" s="8"/>
    </row>
    <row r="13351" spans="17:17" x14ac:dyDescent="0.25">
      <c r="Q13351" s="8"/>
    </row>
    <row r="13352" spans="17:17" x14ac:dyDescent="0.25">
      <c r="Q13352" s="8"/>
    </row>
    <row r="13353" spans="17:17" x14ac:dyDescent="0.25">
      <c r="Q13353" s="8"/>
    </row>
    <row r="13354" spans="17:17" x14ac:dyDescent="0.25">
      <c r="Q13354" s="8"/>
    </row>
    <row r="13355" spans="17:17" x14ac:dyDescent="0.25">
      <c r="Q13355" s="8"/>
    </row>
    <row r="13356" spans="17:17" x14ac:dyDescent="0.25">
      <c r="Q13356" s="8"/>
    </row>
    <row r="13357" spans="17:17" x14ac:dyDescent="0.25">
      <c r="Q13357" s="8"/>
    </row>
    <row r="13358" spans="17:17" x14ac:dyDescent="0.25">
      <c r="Q13358" s="8"/>
    </row>
    <row r="13359" spans="17:17" x14ac:dyDescent="0.25">
      <c r="Q13359" s="8"/>
    </row>
    <row r="13360" spans="17:17" x14ac:dyDescent="0.25">
      <c r="Q13360" s="8"/>
    </row>
    <row r="13361" spans="17:17" x14ac:dyDescent="0.25">
      <c r="Q13361" s="8"/>
    </row>
    <row r="13362" spans="17:17" x14ac:dyDescent="0.25">
      <c r="Q13362" s="8"/>
    </row>
    <row r="13363" spans="17:17" x14ac:dyDescent="0.25">
      <c r="Q13363" s="8"/>
    </row>
    <row r="13364" spans="17:17" x14ac:dyDescent="0.25">
      <c r="Q13364" s="8"/>
    </row>
    <row r="13365" spans="17:17" x14ac:dyDescent="0.25">
      <c r="Q13365" s="8"/>
    </row>
    <row r="13366" spans="17:17" x14ac:dyDescent="0.25">
      <c r="Q13366" s="8"/>
    </row>
    <row r="13367" spans="17:17" x14ac:dyDescent="0.25">
      <c r="Q13367" s="8"/>
    </row>
    <row r="13368" spans="17:17" x14ac:dyDescent="0.25">
      <c r="Q13368" s="8"/>
    </row>
    <row r="13369" spans="17:17" x14ac:dyDescent="0.25">
      <c r="Q13369" s="8"/>
    </row>
    <row r="13370" spans="17:17" x14ac:dyDescent="0.25">
      <c r="Q13370" s="8"/>
    </row>
    <row r="13371" spans="17:17" x14ac:dyDescent="0.25">
      <c r="Q13371" s="8"/>
    </row>
    <row r="13372" spans="17:17" x14ac:dyDescent="0.25">
      <c r="Q13372" s="8"/>
    </row>
    <row r="13373" spans="17:17" x14ac:dyDescent="0.25">
      <c r="Q13373" s="8"/>
    </row>
    <row r="13374" spans="17:17" x14ac:dyDescent="0.25">
      <c r="Q13374" s="8"/>
    </row>
    <row r="13375" spans="17:17" x14ac:dyDescent="0.25">
      <c r="Q13375" s="8"/>
    </row>
    <row r="13376" spans="17:17" x14ac:dyDescent="0.25">
      <c r="Q13376" s="8"/>
    </row>
    <row r="13377" spans="17:17" x14ac:dyDescent="0.25">
      <c r="Q13377" s="8"/>
    </row>
    <row r="13378" spans="17:17" x14ac:dyDescent="0.25">
      <c r="Q13378" s="8"/>
    </row>
    <row r="13379" spans="17:17" x14ac:dyDescent="0.25">
      <c r="Q13379" s="8"/>
    </row>
    <row r="13380" spans="17:17" x14ac:dyDescent="0.25">
      <c r="Q13380" s="8"/>
    </row>
    <row r="13381" spans="17:17" x14ac:dyDescent="0.25">
      <c r="Q13381" s="8"/>
    </row>
    <row r="13382" spans="17:17" x14ac:dyDescent="0.25">
      <c r="Q13382" s="8"/>
    </row>
    <row r="13383" spans="17:17" x14ac:dyDescent="0.25">
      <c r="Q13383" s="8"/>
    </row>
    <row r="13384" spans="17:17" x14ac:dyDescent="0.25">
      <c r="Q13384" s="8"/>
    </row>
    <row r="13385" spans="17:17" x14ac:dyDescent="0.25">
      <c r="Q13385" s="8"/>
    </row>
    <row r="13386" spans="17:17" x14ac:dyDescent="0.25">
      <c r="Q13386" s="8"/>
    </row>
    <row r="13387" spans="17:17" x14ac:dyDescent="0.25">
      <c r="Q13387" s="8"/>
    </row>
    <row r="13388" spans="17:17" x14ac:dyDescent="0.25">
      <c r="Q13388" s="8"/>
    </row>
    <row r="13389" spans="17:17" x14ac:dyDescent="0.25">
      <c r="Q13389" s="8"/>
    </row>
    <row r="13390" spans="17:17" x14ac:dyDescent="0.25">
      <c r="Q13390" s="8"/>
    </row>
    <row r="13391" spans="17:17" x14ac:dyDescent="0.25">
      <c r="Q13391" s="8"/>
    </row>
    <row r="13392" spans="17:17" x14ac:dyDescent="0.25">
      <c r="Q13392" s="8"/>
    </row>
    <row r="13393" spans="17:17" x14ac:dyDescent="0.25">
      <c r="Q13393" s="8"/>
    </row>
    <row r="13394" spans="17:17" x14ac:dyDescent="0.25">
      <c r="Q13394" s="8"/>
    </row>
    <row r="13395" spans="17:17" x14ac:dyDescent="0.25">
      <c r="Q13395" s="8"/>
    </row>
    <row r="13396" spans="17:17" x14ac:dyDescent="0.25">
      <c r="Q13396" s="8"/>
    </row>
    <row r="13397" spans="17:17" x14ac:dyDescent="0.25">
      <c r="Q13397" s="8"/>
    </row>
    <row r="13398" spans="17:17" x14ac:dyDescent="0.25">
      <c r="Q13398" s="8"/>
    </row>
    <row r="13399" spans="17:17" x14ac:dyDescent="0.25">
      <c r="Q13399" s="8"/>
    </row>
    <row r="13400" spans="17:17" x14ac:dyDescent="0.25">
      <c r="Q13400" s="8"/>
    </row>
    <row r="13401" spans="17:17" x14ac:dyDescent="0.25">
      <c r="Q13401" s="8"/>
    </row>
    <row r="13402" spans="17:17" x14ac:dyDescent="0.25">
      <c r="Q13402" s="8"/>
    </row>
    <row r="13403" spans="17:17" x14ac:dyDescent="0.25">
      <c r="Q13403" s="8"/>
    </row>
    <row r="13404" spans="17:17" x14ac:dyDescent="0.25">
      <c r="Q13404" s="8"/>
    </row>
    <row r="13405" spans="17:17" x14ac:dyDescent="0.25">
      <c r="Q13405" s="8"/>
    </row>
    <row r="13406" spans="17:17" x14ac:dyDescent="0.25">
      <c r="Q13406" s="8"/>
    </row>
    <row r="13407" spans="17:17" x14ac:dyDescent="0.25">
      <c r="Q13407" s="8"/>
    </row>
    <row r="13408" spans="17:17" x14ac:dyDescent="0.25">
      <c r="Q13408" s="8"/>
    </row>
    <row r="13409" spans="17:17" x14ac:dyDescent="0.25">
      <c r="Q13409" s="8"/>
    </row>
    <row r="13410" spans="17:17" x14ac:dyDescent="0.25">
      <c r="Q13410" s="8"/>
    </row>
    <row r="13411" spans="17:17" x14ac:dyDescent="0.25">
      <c r="Q13411" s="8"/>
    </row>
    <row r="13412" spans="17:17" x14ac:dyDescent="0.25">
      <c r="Q13412" s="8"/>
    </row>
    <row r="13413" spans="17:17" x14ac:dyDescent="0.25">
      <c r="Q13413" s="8"/>
    </row>
    <row r="13414" spans="17:17" x14ac:dyDescent="0.25">
      <c r="Q13414" s="8"/>
    </row>
    <row r="13415" spans="17:17" x14ac:dyDescent="0.25">
      <c r="Q13415" s="8"/>
    </row>
    <row r="13416" spans="17:17" x14ac:dyDescent="0.25">
      <c r="Q13416" s="8"/>
    </row>
    <row r="13417" spans="17:17" x14ac:dyDescent="0.25">
      <c r="Q13417" s="8"/>
    </row>
    <row r="13418" spans="17:17" x14ac:dyDescent="0.25">
      <c r="Q13418" s="8"/>
    </row>
    <row r="13419" spans="17:17" x14ac:dyDescent="0.25">
      <c r="Q13419" s="8"/>
    </row>
    <row r="13420" spans="17:17" x14ac:dyDescent="0.25">
      <c r="Q13420" s="8"/>
    </row>
    <row r="13421" spans="17:17" x14ac:dyDescent="0.25">
      <c r="Q13421" s="8"/>
    </row>
    <row r="13422" spans="17:17" x14ac:dyDescent="0.25">
      <c r="Q13422" s="8"/>
    </row>
    <row r="13423" spans="17:17" x14ac:dyDescent="0.25">
      <c r="Q13423" s="8"/>
    </row>
    <row r="13424" spans="17:17" x14ac:dyDescent="0.25">
      <c r="Q13424" s="8"/>
    </row>
    <row r="13425" spans="17:17" x14ac:dyDescent="0.25">
      <c r="Q13425" s="8"/>
    </row>
    <row r="13426" spans="17:17" x14ac:dyDescent="0.25">
      <c r="Q13426" s="8"/>
    </row>
    <row r="13427" spans="17:17" x14ac:dyDescent="0.25">
      <c r="Q13427" s="8"/>
    </row>
    <row r="13428" spans="17:17" x14ac:dyDescent="0.25">
      <c r="Q13428" s="8"/>
    </row>
    <row r="13429" spans="17:17" x14ac:dyDescent="0.25">
      <c r="Q13429" s="8"/>
    </row>
    <row r="13430" spans="17:17" x14ac:dyDescent="0.25">
      <c r="Q13430" s="8"/>
    </row>
    <row r="13431" spans="17:17" x14ac:dyDescent="0.25">
      <c r="Q13431" s="8"/>
    </row>
    <row r="13432" spans="17:17" x14ac:dyDescent="0.25">
      <c r="Q13432" s="8"/>
    </row>
    <row r="13433" spans="17:17" x14ac:dyDescent="0.25">
      <c r="Q13433" s="8"/>
    </row>
    <row r="13434" spans="17:17" x14ac:dyDescent="0.25">
      <c r="Q13434" s="8"/>
    </row>
    <row r="13435" spans="17:17" x14ac:dyDescent="0.25">
      <c r="Q13435" s="8"/>
    </row>
    <row r="13436" spans="17:17" x14ac:dyDescent="0.25">
      <c r="Q13436" s="8"/>
    </row>
    <row r="13437" spans="17:17" x14ac:dyDescent="0.25">
      <c r="Q13437" s="8"/>
    </row>
    <row r="13438" spans="17:17" x14ac:dyDescent="0.25">
      <c r="Q13438" s="8"/>
    </row>
    <row r="13439" spans="17:17" x14ac:dyDescent="0.25">
      <c r="Q13439" s="8"/>
    </row>
    <row r="13440" spans="17:17" x14ac:dyDescent="0.25">
      <c r="Q13440" s="8"/>
    </row>
    <row r="13441" spans="17:17" x14ac:dyDescent="0.25">
      <c r="Q13441" s="8"/>
    </row>
    <row r="13442" spans="17:17" x14ac:dyDescent="0.25">
      <c r="Q13442" s="8"/>
    </row>
    <row r="13443" spans="17:17" x14ac:dyDescent="0.25">
      <c r="Q13443" s="8"/>
    </row>
    <row r="13444" spans="17:17" x14ac:dyDescent="0.25">
      <c r="Q13444" s="8"/>
    </row>
    <row r="13445" spans="17:17" x14ac:dyDescent="0.25">
      <c r="Q13445" s="8"/>
    </row>
    <row r="13446" spans="17:17" x14ac:dyDescent="0.25">
      <c r="Q13446" s="8"/>
    </row>
    <row r="13447" spans="17:17" x14ac:dyDescent="0.25">
      <c r="Q13447" s="8"/>
    </row>
    <row r="13448" spans="17:17" x14ac:dyDescent="0.25">
      <c r="Q13448" s="8"/>
    </row>
    <row r="13449" spans="17:17" x14ac:dyDescent="0.25">
      <c r="Q13449" s="8"/>
    </row>
    <row r="13450" spans="17:17" x14ac:dyDescent="0.25">
      <c r="Q13450" s="8"/>
    </row>
    <row r="13451" spans="17:17" x14ac:dyDescent="0.25">
      <c r="Q13451" s="8"/>
    </row>
    <row r="13452" spans="17:17" x14ac:dyDescent="0.25">
      <c r="Q13452" s="8"/>
    </row>
    <row r="13453" spans="17:17" x14ac:dyDescent="0.25">
      <c r="Q13453" s="8"/>
    </row>
    <row r="13454" spans="17:17" x14ac:dyDescent="0.25">
      <c r="Q13454" s="8"/>
    </row>
    <row r="13455" spans="17:17" x14ac:dyDescent="0.25">
      <c r="Q13455" s="8"/>
    </row>
    <row r="13456" spans="17:17" x14ac:dyDescent="0.25">
      <c r="Q13456" s="8"/>
    </row>
    <row r="13457" spans="17:17" x14ac:dyDescent="0.25">
      <c r="Q13457" s="8"/>
    </row>
    <row r="13458" spans="17:17" x14ac:dyDescent="0.25">
      <c r="Q13458" s="8"/>
    </row>
    <row r="13459" spans="17:17" x14ac:dyDescent="0.25">
      <c r="Q13459" s="8"/>
    </row>
    <row r="13460" spans="17:17" x14ac:dyDescent="0.25">
      <c r="Q13460" s="8"/>
    </row>
    <row r="13461" spans="17:17" x14ac:dyDescent="0.25">
      <c r="Q13461" s="8"/>
    </row>
    <row r="13462" spans="17:17" x14ac:dyDescent="0.25">
      <c r="Q13462" s="8"/>
    </row>
    <row r="13463" spans="17:17" x14ac:dyDescent="0.25">
      <c r="Q13463" s="8"/>
    </row>
    <row r="13464" spans="17:17" x14ac:dyDescent="0.25">
      <c r="Q13464" s="8"/>
    </row>
    <row r="13465" spans="17:17" x14ac:dyDescent="0.25">
      <c r="Q13465" s="8"/>
    </row>
    <row r="13466" spans="17:17" x14ac:dyDescent="0.25">
      <c r="Q13466" s="8"/>
    </row>
    <row r="13467" spans="17:17" x14ac:dyDescent="0.25">
      <c r="Q13467" s="8"/>
    </row>
    <row r="13468" spans="17:17" x14ac:dyDescent="0.25">
      <c r="Q13468" s="8"/>
    </row>
    <row r="13469" spans="17:17" x14ac:dyDescent="0.25">
      <c r="Q13469" s="8"/>
    </row>
    <row r="13470" spans="17:17" x14ac:dyDescent="0.25">
      <c r="Q13470" s="8"/>
    </row>
    <row r="13471" spans="17:17" x14ac:dyDescent="0.25">
      <c r="Q13471" s="8"/>
    </row>
    <row r="13472" spans="17:17" x14ac:dyDescent="0.25">
      <c r="Q13472" s="8"/>
    </row>
    <row r="13473" spans="17:17" x14ac:dyDescent="0.25">
      <c r="Q13473" s="8"/>
    </row>
    <row r="13474" spans="17:17" x14ac:dyDescent="0.25">
      <c r="Q13474" s="8"/>
    </row>
    <row r="13475" spans="17:17" x14ac:dyDescent="0.25">
      <c r="Q13475" s="8"/>
    </row>
    <row r="13476" spans="17:17" x14ac:dyDescent="0.25">
      <c r="Q13476" s="8"/>
    </row>
    <row r="13477" spans="17:17" x14ac:dyDescent="0.25">
      <c r="Q13477" s="8"/>
    </row>
    <row r="13478" spans="17:17" x14ac:dyDescent="0.25">
      <c r="Q13478" s="8"/>
    </row>
    <row r="13479" spans="17:17" x14ac:dyDescent="0.25">
      <c r="Q13479" s="8"/>
    </row>
    <row r="13480" spans="17:17" x14ac:dyDescent="0.25">
      <c r="Q13480" s="8"/>
    </row>
    <row r="13481" spans="17:17" x14ac:dyDescent="0.25">
      <c r="Q13481" s="8"/>
    </row>
    <row r="13482" spans="17:17" x14ac:dyDescent="0.25">
      <c r="Q13482" s="8"/>
    </row>
    <row r="13483" spans="17:17" x14ac:dyDescent="0.25">
      <c r="Q13483" s="8"/>
    </row>
    <row r="13484" spans="17:17" x14ac:dyDescent="0.25">
      <c r="Q13484" s="8"/>
    </row>
    <row r="13485" spans="17:17" x14ac:dyDescent="0.25">
      <c r="Q13485" s="8"/>
    </row>
    <row r="13486" spans="17:17" x14ac:dyDescent="0.25">
      <c r="Q13486" s="8"/>
    </row>
    <row r="13487" spans="17:17" x14ac:dyDescent="0.25">
      <c r="Q13487" s="8"/>
    </row>
    <row r="13488" spans="17:17" x14ac:dyDescent="0.25">
      <c r="Q13488" s="8"/>
    </row>
    <row r="13489" spans="17:17" x14ac:dyDescent="0.25">
      <c r="Q13489" s="8"/>
    </row>
    <row r="13490" spans="17:17" x14ac:dyDescent="0.25">
      <c r="Q13490" s="8"/>
    </row>
    <row r="13491" spans="17:17" x14ac:dyDescent="0.25">
      <c r="Q13491" s="8"/>
    </row>
    <row r="13492" spans="17:17" x14ac:dyDescent="0.25">
      <c r="Q13492" s="8"/>
    </row>
    <row r="13493" spans="17:17" x14ac:dyDescent="0.25">
      <c r="Q13493" s="8"/>
    </row>
    <row r="13494" spans="17:17" x14ac:dyDescent="0.25">
      <c r="Q13494" s="8"/>
    </row>
    <row r="13495" spans="17:17" x14ac:dyDescent="0.25">
      <c r="Q13495" s="8"/>
    </row>
    <row r="13496" spans="17:17" x14ac:dyDescent="0.25">
      <c r="Q13496" s="8"/>
    </row>
    <row r="13497" spans="17:17" x14ac:dyDescent="0.25">
      <c r="Q13497" s="8"/>
    </row>
    <row r="13498" spans="17:17" x14ac:dyDescent="0.25">
      <c r="Q13498" s="8"/>
    </row>
    <row r="13499" spans="17:17" x14ac:dyDescent="0.25">
      <c r="Q13499" s="8"/>
    </row>
    <row r="13500" spans="17:17" x14ac:dyDescent="0.25">
      <c r="Q13500" s="8"/>
    </row>
    <row r="13501" spans="17:17" x14ac:dyDescent="0.25">
      <c r="Q13501" s="8"/>
    </row>
    <row r="13502" spans="17:17" x14ac:dyDescent="0.25">
      <c r="Q13502" s="8"/>
    </row>
    <row r="13503" spans="17:17" x14ac:dyDescent="0.25">
      <c r="Q13503" s="8"/>
    </row>
    <row r="13504" spans="17:17" x14ac:dyDescent="0.25">
      <c r="Q13504" s="8"/>
    </row>
    <row r="13505" spans="17:17" x14ac:dyDescent="0.25">
      <c r="Q13505" s="8"/>
    </row>
    <row r="13506" spans="17:17" x14ac:dyDescent="0.25">
      <c r="Q13506" s="8"/>
    </row>
    <row r="13507" spans="17:17" x14ac:dyDescent="0.25">
      <c r="Q13507" s="8"/>
    </row>
    <row r="13508" spans="17:17" x14ac:dyDescent="0.25">
      <c r="Q13508" s="8"/>
    </row>
    <row r="13509" spans="17:17" x14ac:dyDescent="0.25">
      <c r="Q13509" s="8"/>
    </row>
    <row r="13510" spans="17:17" x14ac:dyDescent="0.25">
      <c r="Q13510" s="8"/>
    </row>
    <row r="13511" spans="17:17" x14ac:dyDescent="0.25">
      <c r="Q13511" s="8"/>
    </row>
    <row r="13512" spans="17:17" x14ac:dyDescent="0.25">
      <c r="Q13512" s="8"/>
    </row>
    <row r="13513" spans="17:17" x14ac:dyDescent="0.25">
      <c r="Q13513" s="8"/>
    </row>
    <row r="13514" spans="17:17" x14ac:dyDescent="0.25">
      <c r="Q13514" s="8"/>
    </row>
    <row r="13515" spans="17:17" x14ac:dyDescent="0.25">
      <c r="Q13515" s="8"/>
    </row>
    <row r="13516" spans="17:17" x14ac:dyDescent="0.25">
      <c r="Q13516" s="8"/>
    </row>
    <row r="13517" spans="17:17" x14ac:dyDescent="0.25">
      <c r="Q13517" s="8"/>
    </row>
    <row r="13518" spans="17:17" x14ac:dyDescent="0.25">
      <c r="Q13518" s="8"/>
    </row>
    <row r="13519" spans="17:17" x14ac:dyDescent="0.25">
      <c r="Q13519" s="8"/>
    </row>
    <row r="13520" spans="17:17" x14ac:dyDescent="0.25">
      <c r="Q13520" s="8"/>
    </row>
    <row r="13521" spans="17:17" x14ac:dyDescent="0.25">
      <c r="Q13521" s="8"/>
    </row>
    <row r="13522" spans="17:17" x14ac:dyDescent="0.25">
      <c r="Q13522" s="8"/>
    </row>
    <row r="13523" spans="17:17" x14ac:dyDescent="0.25">
      <c r="Q13523" s="8"/>
    </row>
    <row r="13524" spans="17:17" x14ac:dyDescent="0.25">
      <c r="Q13524" s="8"/>
    </row>
    <row r="13525" spans="17:17" x14ac:dyDescent="0.25">
      <c r="Q13525" s="8"/>
    </row>
    <row r="13526" spans="17:17" x14ac:dyDescent="0.25">
      <c r="Q13526" s="8"/>
    </row>
    <row r="13527" spans="17:17" x14ac:dyDescent="0.25">
      <c r="Q13527" s="8"/>
    </row>
    <row r="13528" spans="17:17" x14ac:dyDescent="0.25">
      <c r="Q13528" s="8"/>
    </row>
    <row r="13529" spans="17:17" x14ac:dyDescent="0.25">
      <c r="Q13529" s="8"/>
    </row>
    <row r="13530" spans="17:17" x14ac:dyDescent="0.25">
      <c r="Q13530" s="8"/>
    </row>
    <row r="13531" spans="17:17" x14ac:dyDescent="0.25">
      <c r="Q13531" s="8"/>
    </row>
    <row r="13532" spans="17:17" x14ac:dyDescent="0.25">
      <c r="Q13532" s="8"/>
    </row>
    <row r="13533" spans="17:17" x14ac:dyDescent="0.25">
      <c r="Q13533" s="8"/>
    </row>
    <row r="13534" spans="17:17" x14ac:dyDescent="0.25">
      <c r="Q13534" s="8"/>
    </row>
    <row r="13535" spans="17:17" x14ac:dyDescent="0.25">
      <c r="Q13535" s="8"/>
    </row>
    <row r="13536" spans="17:17" x14ac:dyDescent="0.25">
      <c r="Q13536" s="8"/>
    </row>
    <row r="13537" spans="17:17" x14ac:dyDescent="0.25">
      <c r="Q13537" s="8"/>
    </row>
    <row r="13538" spans="17:17" x14ac:dyDescent="0.25">
      <c r="Q13538" s="8"/>
    </row>
    <row r="13539" spans="17:17" x14ac:dyDescent="0.25">
      <c r="Q13539" s="8"/>
    </row>
    <row r="13540" spans="17:17" x14ac:dyDescent="0.25">
      <c r="Q13540" s="8"/>
    </row>
    <row r="13541" spans="17:17" x14ac:dyDescent="0.25">
      <c r="Q13541" s="8"/>
    </row>
    <row r="13542" spans="17:17" x14ac:dyDescent="0.25">
      <c r="Q13542" s="8"/>
    </row>
    <row r="13543" spans="17:17" x14ac:dyDescent="0.25">
      <c r="Q13543" s="8"/>
    </row>
    <row r="13544" spans="17:17" x14ac:dyDescent="0.25">
      <c r="Q13544" s="8"/>
    </row>
    <row r="13545" spans="17:17" x14ac:dyDescent="0.25">
      <c r="Q13545" s="8"/>
    </row>
    <row r="13546" spans="17:17" x14ac:dyDescent="0.25">
      <c r="Q13546" s="8"/>
    </row>
    <row r="13547" spans="17:17" x14ac:dyDescent="0.25">
      <c r="Q13547" s="8"/>
    </row>
    <row r="13548" spans="17:17" x14ac:dyDescent="0.25">
      <c r="Q13548" s="8"/>
    </row>
    <row r="13549" spans="17:17" x14ac:dyDescent="0.25">
      <c r="Q13549" s="8"/>
    </row>
    <row r="13550" spans="17:17" x14ac:dyDescent="0.25">
      <c r="Q13550" s="8"/>
    </row>
    <row r="13551" spans="17:17" x14ac:dyDescent="0.25">
      <c r="Q13551" s="8"/>
    </row>
    <row r="13552" spans="17:17" x14ac:dyDescent="0.25">
      <c r="Q13552" s="8"/>
    </row>
    <row r="13553" spans="17:17" x14ac:dyDescent="0.25">
      <c r="Q13553" s="8"/>
    </row>
    <row r="13554" spans="17:17" x14ac:dyDescent="0.25">
      <c r="Q13554" s="8"/>
    </row>
    <row r="13555" spans="17:17" x14ac:dyDescent="0.25">
      <c r="Q13555" s="8"/>
    </row>
    <row r="13556" spans="17:17" x14ac:dyDescent="0.25">
      <c r="Q13556" s="8"/>
    </row>
    <row r="13557" spans="17:17" x14ac:dyDescent="0.25">
      <c r="Q13557" s="8"/>
    </row>
    <row r="13558" spans="17:17" x14ac:dyDescent="0.25">
      <c r="Q13558" s="8"/>
    </row>
    <row r="13559" spans="17:17" x14ac:dyDescent="0.25">
      <c r="Q13559" s="8"/>
    </row>
    <row r="13560" spans="17:17" x14ac:dyDescent="0.25">
      <c r="Q13560" s="8"/>
    </row>
    <row r="13561" spans="17:17" x14ac:dyDescent="0.25">
      <c r="Q13561" s="8"/>
    </row>
    <row r="13562" spans="17:17" x14ac:dyDescent="0.25">
      <c r="Q13562" s="8"/>
    </row>
    <row r="13563" spans="17:17" x14ac:dyDescent="0.25">
      <c r="Q13563" s="8"/>
    </row>
    <row r="13564" spans="17:17" x14ac:dyDescent="0.25">
      <c r="Q13564" s="8"/>
    </row>
    <row r="13565" spans="17:17" x14ac:dyDescent="0.25">
      <c r="Q13565" s="8"/>
    </row>
    <row r="13566" spans="17:17" x14ac:dyDescent="0.25">
      <c r="Q13566" s="8"/>
    </row>
    <row r="13567" spans="17:17" x14ac:dyDescent="0.25">
      <c r="Q13567" s="8"/>
    </row>
    <row r="13568" spans="17:17" x14ac:dyDescent="0.25">
      <c r="Q13568" s="8"/>
    </row>
    <row r="13569" spans="17:17" x14ac:dyDescent="0.25">
      <c r="Q13569" s="8"/>
    </row>
    <row r="13570" spans="17:17" x14ac:dyDescent="0.25">
      <c r="Q13570" s="8"/>
    </row>
    <row r="13571" spans="17:17" x14ac:dyDescent="0.25">
      <c r="Q13571" s="8"/>
    </row>
    <row r="13572" spans="17:17" x14ac:dyDescent="0.25">
      <c r="Q13572" s="8"/>
    </row>
    <row r="13573" spans="17:17" x14ac:dyDescent="0.25">
      <c r="Q13573" s="8"/>
    </row>
    <row r="13574" spans="17:17" x14ac:dyDescent="0.25">
      <c r="Q13574" s="8"/>
    </row>
    <row r="13575" spans="17:17" x14ac:dyDescent="0.25">
      <c r="Q13575" s="8"/>
    </row>
    <row r="13576" spans="17:17" x14ac:dyDescent="0.25">
      <c r="Q13576" s="8"/>
    </row>
    <row r="13577" spans="17:17" x14ac:dyDescent="0.25">
      <c r="Q13577" s="8"/>
    </row>
    <row r="13578" spans="17:17" x14ac:dyDescent="0.25">
      <c r="Q13578" s="8"/>
    </row>
    <row r="13579" spans="17:17" x14ac:dyDescent="0.25">
      <c r="Q13579" s="8"/>
    </row>
    <row r="13580" spans="17:17" x14ac:dyDescent="0.25">
      <c r="Q13580" s="8"/>
    </row>
    <row r="13581" spans="17:17" x14ac:dyDescent="0.25">
      <c r="Q13581" s="8"/>
    </row>
    <row r="13582" spans="17:17" x14ac:dyDescent="0.25">
      <c r="Q13582" s="8"/>
    </row>
    <row r="13583" spans="17:17" x14ac:dyDescent="0.25">
      <c r="Q13583" s="8"/>
    </row>
    <row r="13584" spans="17:17" x14ac:dyDescent="0.25">
      <c r="Q13584" s="8"/>
    </row>
    <row r="13585" spans="17:17" x14ac:dyDescent="0.25">
      <c r="Q13585" s="8"/>
    </row>
    <row r="13586" spans="17:17" x14ac:dyDescent="0.25">
      <c r="Q13586" s="8"/>
    </row>
    <row r="13587" spans="17:17" x14ac:dyDescent="0.25">
      <c r="Q13587" s="8"/>
    </row>
    <row r="13588" spans="17:17" x14ac:dyDescent="0.25">
      <c r="Q13588" s="8"/>
    </row>
    <row r="13589" spans="17:17" x14ac:dyDescent="0.25">
      <c r="Q13589" s="8"/>
    </row>
    <row r="13590" spans="17:17" x14ac:dyDescent="0.25">
      <c r="Q13590" s="8"/>
    </row>
    <row r="13591" spans="17:17" x14ac:dyDescent="0.25">
      <c r="Q13591" s="8"/>
    </row>
    <row r="13592" spans="17:17" x14ac:dyDescent="0.25">
      <c r="Q13592" s="8"/>
    </row>
    <row r="13593" spans="17:17" x14ac:dyDescent="0.25">
      <c r="Q13593" s="8"/>
    </row>
    <row r="13594" spans="17:17" x14ac:dyDescent="0.25">
      <c r="Q13594" s="8"/>
    </row>
    <row r="13595" spans="17:17" x14ac:dyDescent="0.25">
      <c r="Q13595" s="8"/>
    </row>
    <row r="13596" spans="17:17" x14ac:dyDescent="0.25">
      <c r="Q13596" s="8"/>
    </row>
    <row r="13597" spans="17:17" x14ac:dyDescent="0.25">
      <c r="Q13597" s="8"/>
    </row>
    <row r="13598" spans="17:17" x14ac:dyDescent="0.25">
      <c r="Q13598" s="8"/>
    </row>
    <row r="13599" spans="17:17" x14ac:dyDescent="0.25">
      <c r="Q13599" s="8"/>
    </row>
    <row r="13600" spans="17:17" x14ac:dyDescent="0.25">
      <c r="Q13600" s="8"/>
    </row>
    <row r="13601" spans="17:17" x14ac:dyDescent="0.25">
      <c r="Q13601" s="8"/>
    </row>
    <row r="13602" spans="17:17" x14ac:dyDescent="0.25">
      <c r="Q13602" s="8"/>
    </row>
    <row r="13603" spans="17:17" x14ac:dyDescent="0.25">
      <c r="Q13603" s="8"/>
    </row>
    <row r="13604" spans="17:17" x14ac:dyDescent="0.25">
      <c r="Q13604" s="8"/>
    </row>
    <row r="13605" spans="17:17" x14ac:dyDescent="0.25">
      <c r="Q13605" s="8"/>
    </row>
    <row r="13606" spans="17:17" x14ac:dyDescent="0.25">
      <c r="Q13606" s="8"/>
    </row>
    <row r="13607" spans="17:17" x14ac:dyDescent="0.25">
      <c r="Q13607" s="8"/>
    </row>
    <row r="13608" spans="17:17" x14ac:dyDescent="0.25">
      <c r="Q13608" s="8"/>
    </row>
    <row r="13609" spans="17:17" x14ac:dyDescent="0.25">
      <c r="Q13609" s="8"/>
    </row>
    <row r="13610" spans="17:17" x14ac:dyDescent="0.25">
      <c r="Q13610" s="8"/>
    </row>
    <row r="13611" spans="17:17" x14ac:dyDescent="0.25">
      <c r="Q13611" s="8"/>
    </row>
    <row r="13612" spans="17:17" x14ac:dyDescent="0.25">
      <c r="Q13612" s="8"/>
    </row>
    <row r="13613" spans="17:17" x14ac:dyDescent="0.25">
      <c r="Q13613" s="8"/>
    </row>
    <row r="13614" spans="17:17" x14ac:dyDescent="0.25">
      <c r="Q13614" s="8"/>
    </row>
    <row r="13615" spans="17:17" x14ac:dyDescent="0.25">
      <c r="Q13615" s="8"/>
    </row>
    <row r="13616" spans="17:17" x14ac:dyDescent="0.25">
      <c r="Q13616" s="8"/>
    </row>
    <row r="13617" spans="17:17" x14ac:dyDescent="0.25">
      <c r="Q13617" s="8"/>
    </row>
    <row r="13618" spans="17:17" x14ac:dyDescent="0.25">
      <c r="Q13618" s="8"/>
    </row>
    <row r="13619" spans="17:17" x14ac:dyDescent="0.25">
      <c r="Q13619" s="8"/>
    </row>
    <row r="13620" spans="17:17" x14ac:dyDescent="0.25">
      <c r="Q13620" s="8"/>
    </row>
    <row r="13621" spans="17:17" x14ac:dyDescent="0.25">
      <c r="Q13621" s="8"/>
    </row>
    <row r="13622" spans="17:17" x14ac:dyDescent="0.25">
      <c r="Q13622" s="8"/>
    </row>
    <row r="13623" spans="17:17" x14ac:dyDescent="0.25">
      <c r="Q13623" s="8"/>
    </row>
    <row r="13624" spans="17:17" x14ac:dyDescent="0.25">
      <c r="Q13624" s="8"/>
    </row>
    <row r="13625" spans="17:17" x14ac:dyDescent="0.25">
      <c r="Q13625" s="8"/>
    </row>
    <row r="13626" spans="17:17" x14ac:dyDescent="0.25">
      <c r="Q13626" s="8"/>
    </row>
    <row r="13627" spans="17:17" x14ac:dyDescent="0.25">
      <c r="Q13627" s="8"/>
    </row>
    <row r="13628" spans="17:17" x14ac:dyDescent="0.25">
      <c r="Q13628" s="8"/>
    </row>
    <row r="13629" spans="17:17" x14ac:dyDescent="0.25">
      <c r="Q13629" s="8"/>
    </row>
    <row r="13630" spans="17:17" x14ac:dyDescent="0.25">
      <c r="Q13630" s="8"/>
    </row>
    <row r="13631" spans="17:17" x14ac:dyDescent="0.25">
      <c r="Q13631" s="8"/>
    </row>
    <row r="13632" spans="17:17" x14ac:dyDescent="0.25">
      <c r="Q13632" s="8"/>
    </row>
    <row r="13633" spans="17:17" x14ac:dyDescent="0.25">
      <c r="Q13633" s="8"/>
    </row>
    <row r="13634" spans="17:17" x14ac:dyDescent="0.25">
      <c r="Q13634" s="8"/>
    </row>
    <row r="13635" spans="17:17" x14ac:dyDescent="0.25">
      <c r="Q13635" s="8"/>
    </row>
    <row r="13636" spans="17:17" x14ac:dyDescent="0.25">
      <c r="Q13636" s="8"/>
    </row>
    <row r="13637" spans="17:17" x14ac:dyDescent="0.25">
      <c r="Q13637" s="8"/>
    </row>
    <row r="13638" spans="17:17" x14ac:dyDescent="0.25">
      <c r="Q13638" s="8"/>
    </row>
    <row r="13639" spans="17:17" x14ac:dyDescent="0.25">
      <c r="Q13639" s="8"/>
    </row>
    <row r="13640" spans="17:17" x14ac:dyDescent="0.25">
      <c r="Q13640" s="8"/>
    </row>
    <row r="13641" spans="17:17" x14ac:dyDescent="0.25">
      <c r="Q13641" s="8"/>
    </row>
    <row r="13642" spans="17:17" x14ac:dyDescent="0.25">
      <c r="Q13642" s="8"/>
    </row>
    <row r="13643" spans="17:17" x14ac:dyDescent="0.25">
      <c r="Q13643" s="8"/>
    </row>
    <row r="13644" spans="17:17" x14ac:dyDescent="0.25">
      <c r="Q13644" s="8"/>
    </row>
    <row r="13645" spans="17:17" x14ac:dyDescent="0.25">
      <c r="Q13645" s="8"/>
    </row>
    <row r="13646" spans="17:17" x14ac:dyDescent="0.25">
      <c r="Q13646" s="8"/>
    </row>
    <row r="13647" spans="17:17" x14ac:dyDescent="0.25">
      <c r="Q13647" s="8"/>
    </row>
    <row r="13648" spans="17:17" x14ac:dyDescent="0.25">
      <c r="Q13648" s="8"/>
    </row>
    <row r="13649" spans="17:17" x14ac:dyDescent="0.25">
      <c r="Q13649" s="8"/>
    </row>
    <row r="13650" spans="17:17" x14ac:dyDescent="0.25">
      <c r="Q13650" s="8"/>
    </row>
    <row r="13651" spans="17:17" x14ac:dyDescent="0.25">
      <c r="Q13651" s="8"/>
    </row>
    <row r="13652" spans="17:17" x14ac:dyDescent="0.25">
      <c r="Q13652" s="8"/>
    </row>
    <row r="13653" spans="17:17" x14ac:dyDescent="0.25">
      <c r="Q13653" s="8"/>
    </row>
    <row r="13654" spans="17:17" x14ac:dyDescent="0.25">
      <c r="Q13654" s="8"/>
    </row>
    <row r="13655" spans="17:17" x14ac:dyDescent="0.25">
      <c r="Q13655" s="8"/>
    </row>
    <row r="13656" spans="17:17" x14ac:dyDescent="0.25">
      <c r="Q13656" s="8"/>
    </row>
    <row r="13657" spans="17:17" x14ac:dyDescent="0.25">
      <c r="Q13657" s="8"/>
    </row>
    <row r="13658" spans="17:17" x14ac:dyDescent="0.25">
      <c r="Q13658" s="8"/>
    </row>
    <row r="13659" spans="17:17" x14ac:dyDescent="0.25">
      <c r="Q13659" s="8"/>
    </row>
    <row r="13660" spans="17:17" x14ac:dyDescent="0.25">
      <c r="Q13660" s="8"/>
    </row>
    <row r="13661" spans="17:17" x14ac:dyDescent="0.25">
      <c r="Q13661" s="8"/>
    </row>
    <row r="13662" spans="17:17" x14ac:dyDescent="0.25">
      <c r="Q13662" s="8"/>
    </row>
    <row r="13663" spans="17:17" x14ac:dyDescent="0.25">
      <c r="Q13663" s="8"/>
    </row>
    <row r="13664" spans="17:17" x14ac:dyDescent="0.25">
      <c r="Q13664" s="8"/>
    </row>
    <row r="13665" spans="17:17" x14ac:dyDescent="0.25">
      <c r="Q13665" s="8"/>
    </row>
    <row r="13666" spans="17:17" x14ac:dyDescent="0.25">
      <c r="Q13666" s="8"/>
    </row>
    <row r="13667" spans="17:17" x14ac:dyDescent="0.25">
      <c r="Q13667" s="8"/>
    </row>
    <row r="13668" spans="17:17" x14ac:dyDescent="0.25">
      <c r="Q13668" s="8"/>
    </row>
    <row r="13669" spans="17:17" x14ac:dyDescent="0.25">
      <c r="Q13669" s="8"/>
    </row>
    <row r="13670" spans="17:17" x14ac:dyDescent="0.25">
      <c r="Q13670" s="8"/>
    </row>
    <row r="13671" spans="17:17" x14ac:dyDescent="0.25">
      <c r="Q13671" s="8"/>
    </row>
    <row r="13672" spans="17:17" x14ac:dyDescent="0.25">
      <c r="Q13672" s="8"/>
    </row>
    <row r="13673" spans="17:17" x14ac:dyDescent="0.25">
      <c r="Q13673" s="8"/>
    </row>
    <row r="13674" spans="17:17" x14ac:dyDescent="0.25">
      <c r="Q13674" s="8"/>
    </row>
    <row r="13675" spans="17:17" x14ac:dyDescent="0.25">
      <c r="Q13675" s="8"/>
    </row>
    <row r="13676" spans="17:17" x14ac:dyDescent="0.25">
      <c r="Q13676" s="8"/>
    </row>
    <row r="13677" spans="17:17" x14ac:dyDescent="0.25">
      <c r="Q13677" s="8"/>
    </row>
    <row r="13678" spans="17:17" x14ac:dyDescent="0.25">
      <c r="Q13678" s="8"/>
    </row>
    <row r="13679" spans="17:17" x14ac:dyDescent="0.25">
      <c r="Q13679" s="8"/>
    </row>
    <row r="13680" spans="17:17" x14ac:dyDescent="0.25">
      <c r="Q13680" s="8"/>
    </row>
    <row r="13681" spans="17:17" x14ac:dyDescent="0.25">
      <c r="Q13681" s="8"/>
    </row>
    <row r="13682" spans="17:17" x14ac:dyDescent="0.25">
      <c r="Q13682" s="8"/>
    </row>
    <row r="13683" spans="17:17" x14ac:dyDescent="0.25">
      <c r="Q13683" s="8"/>
    </row>
    <row r="13684" spans="17:17" x14ac:dyDescent="0.25">
      <c r="Q13684" s="8"/>
    </row>
    <row r="13685" spans="17:17" x14ac:dyDescent="0.25">
      <c r="Q13685" s="8"/>
    </row>
    <row r="13686" spans="17:17" x14ac:dyDescent="0.25">
      <c r="Q13686" s="8"/>
    </row>
    <row r="13687" spans="17:17" x14ac:dyDescent="0.25">
      <c r="Q13687" s="8"/>
    </row>
    <row r="13688" spans="17:17" x14ac:dyDescent="0.25">
      <c r="Q13688" s="8"/>
    </row>
    <row r="13689" spans="17:17" x14ac:dyDescent="0.25">
      <c r="Q13689" s="8"/>
    </row>
    <row r="13690" spans="17:17" x14ac:dyDescent="0.25">
      <c r="Q13690" s="8"/>
    </row>
    <row r="13691" spans="17:17" x14ac:dyDescent="0.25">
      <c r="Q13691" s="8"/>
    </row>
    <row r="13692" spans="17:17" x14ac:dyDescent="0.25">
      <c r="Q13692" s="8"/>
    </row>
    <row r="13693" spans="17:17" x14ac:dyDescent="0.25">
      <c r="Q13693" s="8"/>
    </row>
    <row r="13694" spans="17:17" x14ac:dyDescent="0.25">
      <c r="Q13694" s="8"/>
    </row>
    <row r="13695" spans="17:17" x14ac:dyDescent="0.25">
      <c r="Q13695" s="8"/>
    </row>
    <row r="13696" spans="17:17" x14ac:dyDescent="0.25">
      <c r="Q13696" s="8"/>
    </row>
    <row r="13697" spans="17:17" x14ac:dyDescent="0.25">
      <c r="Q13697" s="8"/>
    </row>
    <row r="13698" spans="17:17" x14ac:dyDescent="0.25">
      <c r="Q13698" s="8"/>
    </row>
    <row r="13699" spans="17:17" x14ac:dyDescent="0.25">
      <c r="Q13699" s="8"/>
    </row>
    <row r="13700" spans="17:17" x14ac:dyDescent="0.25">
      <c r="Q13700" s="8"/>
    </row>
    <row r="13701" spans="17:17" x14ac:dyDescent="0.25">
      <c r="Q13701" s="8"/>
    </row>
    <row r="13702" spans="17:17" x14ac:dyDescent="0.25">
      <c r="Q13702" s="8"/>
    </row>
    <row r="13703" spans="17:17" x14ac:dyDescent="0.25">
      <c r="Q13703" s="8"/>
    </row>
    <row r="13704" spans="17:17" x14ac:dyDescent="0.25">
      <c r="Q13704" s="8"/>
    </row>
    <row r="13705" spans="17:17" x14ac:dyDescent="0.25">
      <c r="Q13705" s="8"/>
    </row>
    <row r="13706" spans="17:17" x14ac:dyDescent="0.25">
      <c r="Q13706" s="8"/>
    </row>
    <row r="13707" spans="17:17" x14ac:dyDescent="0.25">
      <c r="Q13707" s="8"/>
    </row>
    <row r="13708" spans="17:17" x14ac:dyDescent="0.25">
      <c r="Q13708" s="8"/>
    </row>
    <row r="13709" spans="17:17" x14ac:dyDescent="0.25">
      <c r="Q13709" s="8"/>
    </row>
    <row r="13710" spans="17:17" x14ac:dyDescent="0.25">
      <c r="Q13710" s="8"/>
    </row>
    <row r="13711" spans="17:17" x14ac:dyDescent="0.25">
      <c r="Q13711" s="8"/>
    </row>
    <row r="13712" spans="17:17" x14ac:dyDescent="0.25">
      <c r="Q13712" s="8"/>
    </row>
    <row r="13713" spans="17:17" x14ac:dyDescent="0.25">
      <c r="Q13713" s="8"/>
    </row>
    <row r="13714" spans="17:17" x14ac:dyDescent="0.25">
      <c r="Q13714" s="8"/>
    </row>
    <row r="13715" spans="17:17" x14ac:dyDescent="0.25">
      <c r="Q13715" s="8"/>
    </row>
    <row r="13716" spans="17:17" x14ac:dyDescent="0.25">
      <c r="Q13716" s="8"/>
    </row>
    <row r="13717" spans="17:17" x14ac:dyDescent="0.25">
      <c r="Q13717" s="8"/>
    </row>
    <row r="13718" spans="17:17" x14ac:dyDescent="0.25">
      <c r="Q13718" s="8"/>
    </row>
    <row r="13719" spans="17:17" x14ac:dyDescent="0.25">
      <c r="Q13719" s="8"/>
    </row>
    <row r="13720" spans="17:17" x14ac:dyDescent="0.25">
      <c r="Q13720" s="8"/>
    </row>
    <row r="13721" spans="17:17" x14ac:dyDescent="0.25">
      <c r="Q13721" s="8"/>
    </row>
    <row r="13722" spans="17:17" x14ac:dyDescent="0.25">
      <c r="Q13722" s="8"/>
    </row>
    <row r="13723" spans="17:17" x14ac:dyDescent="0.25">
      <c r="Q13723" s="8"/>
    </row>
    <row r="13724" spans="17:17" x14ac:dyDescent="0.25">
      <c r="Q13724" s="8"/>
    </row>
    <row r="13725" spans="17:17" x14ac:dyDescent="0.25">
      <c r="Q13725" s="8"/>
    </row>
    <row r="13726" spans="17:17" x14ac:dyDescent="0.25">
      <c r="Q13726" s="8"/>
    </row>
    <row r="13727" spans="17:17" x14ac:dyDescent="0.25">
      <c r="Q13727" s="8"/>
    </row>
    <row r="13728" spans="17:17" x14ac:dyDescent="0.25">
      <c r="Q13728" s="8"/>
    </row>
    <row r="13729" spans="17:17" x14ac:dyDescent="0.25">
      <c r="Q13729" s="8"/>
    </row>
    <row r="13730" spans="17:17" x14ac:dyDescent="0.25">
      <c r="Q13730" s="8"/>
    </row>
    <row r="13731" spans="17:17" x14ac:dyDescent="0.25">
      <c r="Q13731" s="8"/>
    </row>
    <row r="13732" spans="17:17" x14ac:dyDescent="0.25">
      <c r="Q13732" s="8"/>
    </row>
    <row r="13733" spans="17:17" x14ac:dyDescent="0.25">
      <c r="Q13733" s="8"/>
    </row>
    <row r="13734" spans="17:17" x14ac:dyDescent="0.25">
      <c r="Q13734" s="8"/>
    </row>
    <row r="13735" spans="17:17" x14ac:dyDescent="0.25">
      <c r="Q13735" s="8"/>
    </row>
    <row r="13736" spans="17:17" x14ac:dyDescent="0.25">
      <c r="Q13736" s="8"/>
    </row>
    <row r="13737" spans="17:17" x14ac:dyDescent="0.25">
      <c r="Q13737" s="8"/>
    </row>
    <row r="13738" spans="17:17" x14ac:dyDescent="0.25">
      <c r="Q13738" s="8"/>
    </row>
    <row r="13739" spans="17:17" x14ac:dyDescent="0.25">
      <c r="Q13739" s="8"/>
    </row>
    <row r="13740" spans="17:17" x14ac:dyDescent="0.25">
      <c r="Q13740" s="8"/>
    </row>
    <row r="13741" spans="17:17" x14ac:dyDescent="0.25">
      <c r="Q13741" s="8"/>
    </row>
    <row r="13742" spans="17:17" x14ac:dyDescent="0.25">
      <c r="Q13742" s="8"/>
    </row>
    <row r="13743" spans="17:17" x14ac:dyDescent="0.25">
      <c r="Q13743" s="8"/>
    </row>
    <row r="13744" spans="17:17" x14ac:dyDescent="0.25">
      <c r="Q13744" s="8"/>
    </row>
    <row r="13745" spans="17:17" x14ac:dyDescent="0.25">
      <c r="Q13745" s="8"/>
    </row>
    <row r="13746" spans="17:17" x14ac:dyDescent="0.25">
      <c r="Q13746" s="8"/>
    </row>
    <row r="13747" spans="17:17" x14ac:dyDescent="0.25">
      <c r="Q13747" s="8"/>
    </row>
    <row r="13748" spans="17:17" x14ac:dyDescent="0.25">
      <c r="Q13748" s="8"/>
    </row>
    <row r="13749" spans="17:17" x14ac:dyDescent="0.25">
      <c r="Q13749" s="8"/>
    </row>
    <row r="13750" spans="17:17" x14ac:dyDescent="0.25">
      <c r="Q13750" s="8"/>
    </row>
    <row r="13751" spans="17:17" x14ac:dyDescent="0.25">
      <c r="Q13751" s="8"/>
    </row>
    <row r="13752" spans="17:17" x14ac:dyDescent="0.25">
      <c r="Q13752" s="8"/>
    </row>
    <row r="13753" spans="17:17" x14ac:dyDescent="0.25">
      <c r="Q13753" s="8"/>
    </row>
    <row r="13754" spans="17:17" x14ac:dyDescent="0.25">
      <c r="Q13754" s="8"/>
    </row>
    <row r="13755" spans="17:17" x14ac:dyDescent="0.25">
      <c r="Q13755" s="8"/>
    </row>
    <row r="13756" spans="17:17" x14ac:dyDescent="0.25">
      <c r="Q13756" s="8"/>
    </row>
    <row r="13757" spans="17:17" x14ac:dyDescent="0.25">
      <c r="Q13757" s="8"/>
    </row>
    <row r="13758" spans="17:17" x14ac:dyDescent="0.25">
      <c r="Q13758" s="8"/>
    </row>
    <row r="13759" spans="17:17" x14ac:dyDescent="0.25">
      <c r="Q13759" s="8"/>
    </row>
    <row r="13760" spans="17:17" x14ac:dyDescent="0.25">
      <c r="Q13760" s="8"/>
    </row>
    <row r="13761" spans="17:17" x14ac:dyDescent="0.25">
      <c r="Q13761" s="8"/>
    </row>
    <row r="13762" spans="17:17" x14ac:dyDescent="0.25">
      <c r="Q13762" s="8"/>
    </row>
    <row r="13763" spans="17:17" x14ac:dyDescent="0.25">
      <c r="Q13763" s="8"/>
    </row>
    <row r="13764" spans="17:17" x14ac:dyDescent="0.25">
      <c r="Q13764" s="8"/>
    </row>
    <row r="13765" spans="17:17" x14ac:dyDescent="0.25">
      <c r="Q13765" s="8"/>
    </row>
    <row r="13766" spans="17:17" x14ac:dyDescent="0.25">
      <c r="Q13766" s="8"/>
    </row>
    <row r="13767" spans="17:17" x14ac:dyDescent="0.25">
      <c r="Q13767" s="8"/>
    </row>
    <row r="13768" spans="17:17" x14ac:dyDescent="0.25">
      <c r="Q13768" s="8"/>
    </row>
    <row r="13769" spans="17:17" x14ac:dyDescent="0.25">
      <c r="Q13769" s="8"/>
    </row>
    <row r="13770" spans="17:17" x14ac:dyDescent="0.25">
      <c r="Q13770" s="8"/>
    </row>
    <row r="13771" spans="17:17" x14ac:dyDescent="0.25">
      <c r="Q13771" s="8"/>
    </row>
    <row r="13772" spans="17:17" x14ac:dyDescent="0.25">
      <c r="Q13772" s="8"/>
    </row>
    <row r="13773" spans="17:17" x14ac:dyDescent="0.25">
      <c r="Q13773" s="8"/>
    </row>
    <row r="13774" spans="17:17" x14ac:dyDescent="0.25">
      <c r="Q13774" s="8"/>
    </row>
    <row r="13775" spans="17:17" x14ac:dyDescent="0.25">
      <c r="Q13775" s="8"/>
    </row>
    <row r="13776" spans="17:17" x14ac:dyDescent="0.25">
      <c r="Q13776" s="8"/>
    </row>
    <row r="13777" spans="17:17" x14ac:dyDescent="0.25">
      <c r="Q13777" s="8"/>
    </row>
    <row r="13778" spans="17:17" x14ac:dyDescent="0.25">
      <c r="Q13778" s="8"/>
    </row>
    <row r="13779" spans="17:17" x14ac:dyDescent="0.25">
      <c r="Q13779" s="8"/>
    </row>
    <row r="13780" spans="17:17" x14ac:dyDescent="0.25">
      <c r="Q13780" s="8"/>
    </row>
    <row r="13781" spans="17:17" x14ac:dyDescent="0.25">
      <c r="Q13781" s="8"/>
    </row>
    <row r="13782" spans="17:17" x14ac:dyDescent="0.25">
      <c r="Q13782" s="8"/>
    </row>
    <row r="13783" spans="17:17" x14ac:dyDescent="0.25">
      <c r="Q13783" s="8"/>
    </row>
    <row r="13784" spans="17:17" x14ac:dyDescent="0.25">
      <c r="Q13784" s="8"/>
    </row>
    <row r="13785" spans="17:17" x14ac:dyDescent="0.25">
      <c r="Q13785" s="8"/>
    </row>
    <row r="13786" spans="17:17" x14ac:dyDescent="0.25">
      <c r="Q13786" s="8"/>
    </row>
    <row r="13787" spans="17:17" x14ac:dyDescent="0.25">
      <c r="Q13787" s="8"/>
    </row>
    <row r="13788" spans="17:17" x14ac:dyDescent="0.25">
      <c r="Q13788" s="8"/>
    </row>
    <row r="13789" spans="17:17" x14ac:dyDescent="0.25">
      <c r="Q13789" s="8"/>
    </row>
    <row r="13790" spans="17:17" x14ac:dyDescent="0.25">
      <c r="Q13790" s="8"/>
    </row>
    <row r="13791" spans="17:17" x14ac:dyDescent="0.25">
      <c r="Q13791" s="8"/>
    </row>
    <row r="13792" spans="17:17" x14ac:dyDescent="0.25">
      <c r="Q13792" s="8"/>
    </row>
    <row r="13793" spans="17:17" x14ac:dyDescent="0.25">
      <c r="Q13793" s="8"/>
    </row>
    <row r="13794" spans="17:17" x14ac:dyDescent="0.25">
      <c r="Q13794" s="8"/>
    </row>
    <row r="13795" spans="17:17" x14ac:dyDescent="0.25">
      <c r="Q13795" s="8"/>
    </row>
    <row r="13796" spans="17:17" x14ac:dyDescent="0.25">
      <c r="Q13796" s="8"/>
    </row>
    <row r="13797" spans="17:17" x14ac:dyDescent="0.25">
      <c r="Q13797" s="8"/>
    </row>
    <row r="13798" spans="17:17" x14ac:dyDescent="0.25">
      <c r="Q13798" s="8"/>
    </row>
    <row r="13799" spans="17:17" x14ac:dyDescent="0.25">
      <c r="Q13799" s="8"/>
    </row>
    <row r="13800" spans="17:17" x14ac:dyDescent="0.25">
      <c r="Q13800" s="8"/>
    </row>
    <row r="13801" spans="17:17" x14ac:dyDescent="0.25">
      <c r="Q13801" s="8"/>
    </row>
    <row r="13802" spans="17:17" x14ac:dyDescent="0.25">
      <c r="Q13802" s="8"/>
    </row>
    <row r="13803" spans="17:17" x14ac:dyDescent="0.25">
      <c r="Q13803" s="8"/>
    </row>
    <row r="13804" spans="17:17" x14ac:dyDescent="0.25">
      <c r="Q13804" s="8"/>
    </row>
    <row r="13805" spans="17:17" x14ac:dyDescent="0.25">
      <c r="Q13805" s="8"/>
    </row>
    <row r="13806" spans="17:17" x14ac:dyDescent="0.25">
      <c r="Q13806" s="8"/>
    </row>
    <row r="13807" spans="17:17" x14ac:dyDescent="0.25">
      <c r="Q13807" s="8"/>
    </row>
    <row r="13808" spans="17:17" x14ac:dyDescent="0.25">
      <c r="Q13808" s="8"/>
    </row>
    <row r="13809" spans="17:17" x14ac:dyDescent="0.25">
      <c r="Q13809" s="8"/>
    </row>
    <row r="13810" spans="17:17" x14ac:dyDescent="0.25">
      <c r="Q13810" s="8"/>
    </row>
    <row r="13811" spans="17:17" x14ac:dyDescent="0.25">
      <c r="Q13811" s="8"/>
    </row>
    <row r="13812" spans="17:17" x14ac:dyDescent="0.25">
      <c r="Q13812" s="8"/>
    </row>
    <row r="13813" spans="17:17" x14ac:dyDescent="0.25">
      <c r="Q13813" s="8"/>
    </row>
    <row r="13814" spans="17:17" x14ac:dyDescent="0.25">
      <c r="Q13814" s="8"/>
    </row>
    <row r="13815" spans="17:17" x14ac:dyDescent="0.25">
      <c r="Q13815" s="8"/>
    </row>
    <row r="13816" spans="17:17" x14ac:dyDescent="0.25">
      <c r="Q13816" s="8"/>
    </row>
    <row r="13817" spans="17:17" x14ac:dyDescent="0.25">
      <c r="Q13817" s="8"/>
    </row>
    <row r="13818" spans="17:17" x14ac:dyDescent="0.25">
      <c r="Q13818" s="8"/>
    </row>
    <row r="13819" spans="17:17" x14ac:dyDescent="0.25">
      <c r="Q13819" s="8"/>
    </row>
    <row r="13820" spans="17:17" x14ac:dyDescent="0.25">
      <c r="Q13820" s="8"/>
    </row>
    <row r="13821" spans="17:17" x14ac:dyDescent="0.25">
      <c r="Q13821" s="8"/>
    </row>
    <row r="13822" spans="17:17" x14ac:dyDescent="0.25">
      <c r="Q13822" s="8"/>
    </row>
    <row r="13823" spans="17:17" x14ac:dyDescent="0.25">
      <c r="Q13823" s="8"/>
    </row>
    <row r="13824" spans="17:17" x14ac:dyDescent="0.25">
      <c r="Q13824" s="8"/>
    </row>
    <row r="13825" spans="17:17" x14ac:dyDescent="0.25">
      <c r="Q13825" s="8"/>
    </row>
    <row r="13826" spans="17:17" x14ac:dyDescent="0.25">
      <c r="Q13826" s="8"/>
    </row>
    <row r="13827" spans="17:17" x14ac:dyDescent="0.25">
      <c r="Q13827" s="8"/>
    </row>
    <row r="13828" spans="17:17" x14ac:dyDescent="0.25">
      <c r="Q13828" s="8"/>
    </row>
    <row r="13829" spans="17:17" x14ac:dyDescent="0.25">
      <c r="Q13829" s="8"/>
    </row>
    <row r="13830" spans="17:17" x14ac:dyDescent="0.25">
      <c r="Q13830" s="8"/>
    </row>
    <row r="13831" spans="17:17" x14ac:dyDescent="0.25">
      <c r="Q13831" s="8"/>
    </row>
    <row r="13832" spans="17:17" x14ac:dyDescent="0.25">
      <c r="Q13832" s="8"/>
    </row>
    <row r="13833" spans="17:17" x14ac:dyDescent="0.25">
      <c r="Q13833" s="8"/>
    </row>
    <row r="13834" spans="17:17" x14ac:dyDescent="0.25">
      <c r="Q13834" s="8"/>
    </row>
    <row r="13835" spans="17:17" x14ac:dyDescent="0.25">
      <c r="Q13835" s="8"/>
    </row>
    <row r="13836" spans="17:17" x14ac:dyDescent="0.25">
      <c r="Q13836" s="8"/>
    </row>
    <row r="13837" spans="17:17" x14ac:dyDescent="0.25">
      <c r="Q13837" s="8"/>
    </row>
    <row r="13838" spans="17:17" x14ac:dyDescent="0.25">
      <c r="Q13838" s="8"/>
    </row>
    <row r="13839" spans="17:17" x14ac:dyDescent="0.25">
      <c r="Q13839" s="8"/>
    </row>
    <row r="13840" spans="17:17" x14ac:dyDescent="0.25">
      <c r="Q13840" s="8"/>
    </row>
    <row r="13841" spans="17:17" x14ac:dyDescent="0.25">
      <c r="Q13841" s="8"/>
    </row>
    <row r="13842" spans="17:17" x14ac:dyDescent="0.25">
      <c r="Q13842" s="8"/>
    </row>
    <row r="13843" spans="17:17" x14ac:dyDescent="0.25">
      <c r="Q13843" s="8"/>
    </row>
    <row r="13844" spans="17:17" x14ac:dyDescent="0.25">
      <c r="Q13844" s="8"/>
    </row>
    <row r="13845" spans="17:17" x14ac:dyDescent="0.25">
      <c r="Q13845" s="8"/>
    </row>
    <row r="13846" spans="17:17" x14ac:dyDescent="0.25">
      <c r="Q13846" s="8"/>
    </row>
    <row r="13847" spans="17:17" x14ac:dyDescent="0.25">
      <c r="Q13847" s="8"/>
    </row>
    <row r="13848" spans="17:17" x14ac:dyDescent="0.25">
      <c r="Q13848" s="8"/>
    </row>
    <row r="13849" spans="17:17" x14ac:dyDescent="0.25">
      <c r="Q13849" s="8"/>
    </row>
    <row r="13850" spans="17:17" x14ac:dyDescent="0.25">
      <c r="Q13850" s="8"/>
    </row>
    <row r="13851" spans="17:17" x14ac:dyDescent="0.25">
      <c r="Q13851" s="8"/>
    </row>
    <row r="13852" spans="17:17" x14ac:dyDescent="0.25">
      <c r="Q13852" s="8"/>
    </row>
    <row r="13853" spans="17:17" x14ac:dyDescent="0.25">
      <c r="Q13853" s="8"/>
    </row>
    <row r="13854" spans="17:17" x14ac:dyDescent="0.25">
      <c r="Q13854" s="8"/>
    </row>
    <row r="13855" spans="17:17" x14ac:dyDescent="0.25">
      <c r="Q13855" s="8"/>
    </row>
    <row r="13856" spans="17:17" x14ac:dyDescent="0.25">
      <c r="Q13856" s="8"/>
    </row>
    <row r="13857" spans="17:17" x14ac:dyDescent="0.25">
      <c r="Q13857" s="8"/>
    </row>
    <row r="13858" spans="17:17" x14ac:dyDescent="0.25">
      <c r="Q13858" s="8"/>
    </row>
    <row r="13859" spans="17:17" x14ac:dyDescent="0.25">
      <c r="Q13859" s="8"/>
    </row>
    <row r="13860" spans="17:17" x14ac:dyDescent="0.25">
      <c r="Q13860" s="8"/>
    </row>
    <row r="13861" spans="17:17" x14ac:dyDescent="0.25">
      <c r="Q13861" s="8"/>
    </row>
    <row r="13862" spans="17:17" x14ac:dyDescent="0.25">
      <c r="Q13862" s="8"/>
    </row>
    <row r="13863" spans="17:17" x14ac:dyDescent="0.25">
      <c r="Q13863" s="8"/>
    </row>
    <row r="13864" spans="17:17" x14ac:dyDescent="0.25">
      <c r="Q13864" s="8"/>
    </row>
    <row r="13865" spans="17:17" x14ac:dyDescent="0.25">
      <c r="Q13865" s="8"/>
    </row>
    <row r="13866" spans="17:17" x14ac:dyDescent="0.25">
      <c r="Q13866" s="8"/>
    </row>
    <row r="13867" spans="17:17" x14ac:dyDescent="0.25">
      <c r="Q13867" s="8"/>
    </row>
    <row r="13868" spans="17:17" x14ac:dyDescent="0.25">
      <c r="Q13868" s="8"/>
    </row>
    <row r="13869" spans="17:17" x14ac:dyDescent="0.25">
      <c r="Q13869" s="8"/>
    </row>
    <row r="13870" spans="17:17" x14ac:dyDescent="0.25">
      <c r="Q13870" s="8"/>
    </row>
    <row r="13871" spans="17:17" x14ac:dyDescent="0.25">
      <c r="Q13871" s="8"/>
    </row>
    <row r="13872" spans="17:17" x14ac:dyDescent="0.25">
      <c r="Q13872" s="8"/>
    </row>
    <row r="13873" spans="17:17" x14ac:dyDescent="0.25">
      <c r="Q13873" s="8"/>
    </row>
    <row r="13874" spans="17:17" x14ac:dyDescent="0.25">
      <c r="Q13874" s="8"/>
    </row>
    <row r="13875" spans="17:17" x14ac:dyDescent="0.25">
      <c r="Q13875" s="8"/>
    </row>
    <row r="13876" spans="17:17" x14ac:dyDescent="0.25">
      <c r="Q13876" s="8"/>
    </row>
    <row r="13877" spans="17:17" x14ac:dyDescent="0.25">
      <c r="Q13877" s="8"/>
    </row>
    <row r="13878" spans="17:17" x14ac:dyDescent="0.25">
      <c r="Q13878" s="8"/>
    </row>
    <row r="13879" spans="17:17" x14ac:dyDescent="0.25">
      <c r="Q13879" s="8"/>
    </row>
    <row r="13880" spans="17:17" x14ac:dyDescent="0.25">
      <c r="Q13880" s="8"/>
    </row>
    <row r="13881" spans="17:17" x14ac:dyDescent="0.25">
      <c r="Q13881" s="8"/>
    </row>
    <row r="13882" spans="17:17" x14ac:dyDescent="0.25">
      <c r="Q13882" s="8"/>
    </row>
    <row r="13883" spans="17:17" x14ac:dyDescent="0.25">
      <c r="Q13883" s="8"/>
    </row>
    <row r="13884" spans="17:17" x14ac:dyDescent="0.25">
      <c r="Q13884" s="8"/>
    </row>
    <row r="13885" spans="17:17" x14ac:dyDescent="0.25">
      <c r="Q13885" s="8"/>
    </row>
    <row r="13886" spans="17:17" x14ac:dyDescent="0.25">
      <c r="Q13886" s="8"/>
    </row>
    <row r="13887" spans="17:17" x14ac:dyDescent="0.25">
      <c r="Q13887" s="8"/>
    </row>
    <row r="13888" spans="17:17" x14ac:dyDescent="0.25">
      <c r="Q13888" s="8"/>
    </row>
    <row r="13889" spans="17:17" x14ac:dyDescent="0.25">
      <c r="Q13889" s="8"/>
    </row>
    <row r="13890" spans="17:17" x14ac:dyDescent="0.25">
      <c r="Q13890" s="8"/>
    </row>
    <row r="13891" spans="17:17" x14ac:dyDescent="0.25">
      <c r="Q13891" s="8"/>
    </row>
    <row r="13892" spans="17:17" x14ac:dyDescent="0.25">
      <c r="Q13892" s="8"/>
    </row>
    <row r="13893" spans="17:17" x14ac:dyDescent="0.25">
      <c r="Q13893" s="8"/>
    </row>
    <row r="13894" spans="17:17" x14ac:dyDescent="0.25">
      <c r="Q13894" s="8"/>
    </row>
    <row r="13895" spans="17:17" x14ac:dyDescent="0.25">
      <c r="Q13895" s="8"/>
    </row>
    <row r="13896" spans="17:17" x14ac:dyDescent="0.25">
      <c r="Q13896" s="8"/>
    </row>
    <row r="13897" spans="17:17" x14ac:dyDescent="0.25">
      <c r="Q13897" s="8"/>
    </row>
    <row r="13898" spans="17:17" x14ac:dyDescent="0.25">
      <c r="Q13898" s="8"/>
    </row>
    <row r="13899" spans="17:17" x14ac:dyDescent="0.25">
      <c r="Q13899" s="8"/>
    </row>
    <row r="13900" spans="17:17" x14ac:dyDescent="0.25">
      <c r="Q13900" s="8"/>
    </row>
    <row r="13901" spans="17:17" x14ac:dyDescent="0.25">
      <c r="Q13901" s="8"/>
    </row>
    <row r="13902" spans="17:17" x14ac:dyDescent="0.25">
      <c r="Q13902" s="8"/>
    </row>
    <row r="13903" spans="17:17" x14ac:dyDescent="0.25">
      <c r="Q13903" s="8"/>
    </row>
    <row r="13904" spans="17:17" x14ac:dyDescent="0.25">
      <c r="Q13904" s="8"/>
    </row>
    <row r="13905" spans="17:17" x14ac:dyDescent="0.25">
      <c r="Q13905" s="8"/>
    </row>
    <row r="13906" spans="17:17" x14ac:dyDescent="0.25">
      <c r="Q13906" s="8"/>
    </row>
    <row r="13907" spans="17:17" x14ac:dyDescent="0.25">
      <c r="Q13907" s="8"/>
    </row>
    <row r="13908" spans="17:17" x14ac:dyDescent="0.25">
      <c r="Q13908" s="8"/>
    </row>
    <row r="13909" spans="17:17" x14ac:dyDescent="0.25">
      <c r="Q13909" s="8"/>
    </row>
    <row r="13910" spans="17:17" x14ac:dyDescent="0.25">
      <c r="Q13910" s="8"/>
    </row>
    <row r="13911" spans="17:17" x14ac:dyDescent="0.25">
      <c r="Q13911" s="8"/>
    </row>
    <row r="13912" spans="17:17" x14ac:dyDescent="0.25">
      <c r="Q13912" s="8"/>
    </row>
    <row r="13913" spans="17:17" x14ac:dyDescent="0.25">
      <c r="Q13913" s="8"/>
    </row>
    <row r="13914" spans="17:17" x14ac:dyDescent="0.25">
      <c r="Q13914" s="8"/>
    </row>
    <row r="13915" spans="17:17" x14ac:dyDescent="0.25">
      <c r="Q13915" s="8"/>
    </row>
    <row r="13916" spans="17:17" x14ac:dyDescent="0.25">
      <c r="Q13916" s="8"/>
    </row>
    <row r="13917" spans="17:17" x14ac:dyDescent="0.25">
      <c r="Q13917" s="8"/>
    </row>
    <row r="13918" spans="17:17" x14ac:dyDescent="0.25">
      <c r="Q13918" s="8"/>
    </row>
    <row r="13919" spans="17:17" x14ac:dyDescent="0.25">
      <c r="Q13919" s="8"/>
    </row>
    <row r="13920" spans="17:17" x14ac:dyDescent="0.25">
      <c r="Q13920" s="8"/>
    </row>
    <row r="13921" spans="17:17" x14ac:dyDescent="0.25">
      <c r="Q13921" s="8"/>
    </row>
    <row r="13922" spans="17:17" x14ac:dyDescent="0.25">
      <c r="Q13922" s="8"/>
    </row>
    <row r="13923" spans="17:17" x14ac:dyDescent="0.25">
      <c r="Q13923" s="8"/>
    </row>
    <row r="13924" spans="17:17" x14ac:dyDescent="0.25">
      <c r="Q13924" s="8"/>
    </row>
    <row r="13925" spans="17:17" x14ac:dyDescent="0.25">
      <c r="Q13925" s="8"/>
    </row>
    <row r="13926" spans="17:17" x14ac:dyDescent="0.25">
      <c r="Q13926" s="8"/>
    </row>
    <row r="13927" spans="17:17" x14ac:dyDescent="0.25">
      <c r="Q13927" s="8"/>
    </row>
    <row r="13928" spans="17:17" x14ac:dyDescent="0.25">
      <c r="Q13928" s="8"/>
    </row>
    <row r="13929" spans="17:17" x14ac:dyDescent="0.25">
      <c r="Q13929" s="8"/>
    </row>
    <row r="13930" spans="17:17" x14ac:dyDescent="0.25">
      <c r="Q13930" s="8"/>
    </row>
    <row r="13931" spans="17:17" x14ac:dyDescent="0.25">
      <c r="Q13931" s="8"/>
    </row>
    <row r="13932" spans="17:17" x14ac:dyDescent="0.25">
      <c r="Q13932" s="8"/>
    </row>
    <row r="13933" spans="17:17" x14ac:dyDescent="0.25">
      <c r="Q13933" s="8"/>
    </row>
    <row r="13934" spans="17:17" x14ac:dyDescent="0.25">
      <c r="Q13934" s="8"/>
    </row>
    <row r="13935" spans="17:17" x14ac:dyDescent="0.25">
      <c r="Q13935" s="8"/>
    </row>
    <row r="13936" spans="17:17" x14ac:dyDescent="0.25">
      <c r="Q13936" s="8"/>
    </row>
    <row r="13937" spans="17:17" x14ac:dyDescent="0.25">
      <c r="Q13937" s="8"/>
    </row>
    <row r="13938" spans="17:17" x14ac:dyDescent="0.25">
      <c r="Q13938" s="8"/>
    </row>
    <row r="13939" spans="17:17" x14ac:dyDescent="0.25">
      <c r="Q13939" s="8"/>
    </row>
    <row r="13940" spans="17:17" x14ac:dyDescent="0.25">
      <c r="Q13940" s="8"/>
    </row>
    <row r="13941" spans="17:17" x14ac:dyDescent="0.25">
      <c r="Q13941" s="8"/>
    </row>
    <row r="13942" spans="17:17" x14ac:dyDescent="0.25">
      <c r="Q13942" s="8"/>
    </row>
    <row r="13943" spans="17:17" x14ac:dyDescent="0.25">
      <c r="Q13943" s="8"/>
    </row>
    <row r="13944" spans="17:17" x14ac:dyDescent="0.25">
      <c r="Q13944" s="8"/>
    </row>
    <row r="13945" spans="17:17" x14ac:dyDescent="0.25">
      <c r="Q13945" s="8"/>
    </row>
    <row r="13946" spans="17:17" x14ac:dyDescent="0.25">
      <c r="Q13946" s="8"/>
    </row>
    <row r="13947" spans="17:17" x14ac:dyDescent="0.25">
      <c r="Q13947" s="8"/>
    </row>
    <row r="13948" spans="17:17" x14ac:dyDescent="0.25">
      <c r="Q13948" s="8"/>
    </row>
    <row r="13949" spans="17:17" x14ac:dyDescent="0.25">
      <c r="Q13949" s="8"/>
    </row>
    <row r="13950" spans="17:17" x14ac:dyDescent="0.25">
      <c r="Q13950" s="8"/>
    </row>
    <row r="13951" spans="17:17" x14ac:dyDescent="0.25">
      <c r="Q13951" s="8"/>
    </row>
    <row r="13952" spans="17:17" x14ac:dyDescent="0.25">
      <c r="Q13952" s="8"/>
    </row>
    <row r="13953" spans="17:17" x14ac:dyDescent="0.25">
      <c r="Q13953" s="8"/>
    </row>
    <row r="13954" spans="17:17" x14ac:dyDescent="0.25">
      <c r="Q13954" s="8"/>
    </row>
    <row r="13955" spans="17:17" x14ac:dyDescent="0.25">
      <c r="Q13955" s="8"/>
    </row>
    <row r="13956" spans="17:17" x14ac:dyDescent="0.25">
      <c r="Q13956" s="8"/>
    </row>
    <row r="13957" spans="17:17" x14ac:dyDescent="0.25">
      <c r="Q13957" s="8"/>
    </row>
    <row r="13958" spans="17:17" x14ac:dyDescent="0.25">
      <c r="Q13958" s="8"/>
    </row>
    <row r="13959" spans="17:17" x14ac:dyDescent="0.25">
      <c r="Q13959" s="8"/>
    </row>
    <row r="13960" spans="17:17" x14ac:dyDescent="0.25">
      <c r="Q13960" s="8"/>
    </row>
    <row r="13961" spans="17:17" x14ac:dyDescent="0.25">
      <c r="Q13961" s="8"/>
    </row>
    <row r="13962" spans="17:17" x14ac:dyDescent="0.25">
      <c r="Q13962" s="8"/>
    </row>
    <row r="13963" spans="17:17" x14ac:dyDescent="0.25">
      <c r="Q13963" s="8"/>
    </row>
    <row r="13964" spans="17:17" x14ac:dyDescent="0.25">
      <c r="Q13964" s="8"/>
    </row>
    <row r="13965" spans="17:17" x14ac:dyDescent="0.25">
      <c r="Q13965" s="8"/>
    </row>
    <row r="13966" spans="17:17" x14ac:dyDescent="0.25">
      <c r="Q13966" s="8"/>
    </row>
    <row r="13967" spans="17:17" x14ac:dyDescent="0.25">
      <c r="Q13967" s="8"/>
    </row>
    <row r="13968" spans="17:17" x14ac:dyDescent="0.25">
      <c r="Q13968" s="8"/>
    </row>
    <row r="13969" spans="17:17" x14ac:dyDescent="0.25">
      <c r="Q13969" s="8"/>
    </row>
    <row r="13970" spans="17:17" x14ac:dyDescent="0.25">
      <c r="Q13970" s="8"/>
    </row>
    <row r="13971" spans="17:17" x14ac:dyDescent="0.25">
      <c r="Q13971" s="8"/>
    </row>
    <row r="13972" spans="17:17" x14ac:dyDescent="0.25">
      <c r="Q13972" s="8"/>
    </row>
    <row r="13973" spans="17:17" x14ac:dyDescent="0.25">
      <c r="Q13973" s="8"/>
    </row>
    <row r="13974" spans="17:17" x14ac:dyDescent="0.25">
      <c r="Q13974" s="8"/>
    </row>
    <row r="13975" spans="17:17" x14ac:dyDescent="0.25">
      <c r="Q13975" s="8"/>
    </row>
    <row r="13976" spans="17:17" x14ac:dyDescent="0.25">
      <c r="Q13976" s="8"/>
    </row>
    <row r="13977" spans="17:17" x14ac:dyDescent="0.25">
      <c r="Q13977" s="8"/>
    </row>
    <row r="13978" spans="17:17" x14ac:dyDescent="0.25">
      <c r="Q13978" s="8"/>
    </row>
    <row r="13979" spans="17:17" x14ac:dyDescent="0.25">
      <c r="Q13979" s="8"/>
    </row>
    <row r="13980" spans="17:17" x14ac:dyDescent="0.25">
      <c r="Q13980" s="8"/>
    </row>
    <row r="13981" spans="17:17" x14ac:dyDescent="0.25">
      <c r="Q13981" s="8"/>
    </row>
    <row r="13982" spans="17:17" x14ac:dyDescent="0.25">
      <c r="Q13982" s="8"/>
    </row>
    <row r="13983" spans="17:17" x14ac:dyDescent="0.25">
      <c r="Q13983" s="8"/>
    </row>
    <row r="13984" spans="17:17" x14ac:dyDescent="0.25">
      <c r="Q13984" s="8"/>
    </row>
    <row r="13985" spans="17:17" x14ac:dyDescent="0.25">
      <c r="Q13985" s="8"/>
    </row>
    <row r="13986" spans="17:17" x14ac:dyDescent="0.25">
      <c r="Q13986" s="8"/>
    </row>
    <row r="13987" spans="17:17" x14ac:dyDescent="0.25">
      <c r="Q13987" s="8"/>
    </row>
    <row r="13988" spans="17:17" x14ac:dyDescent="0.25">
      <c r="Q13988" s="8"/>
    </row>
    <row r="13989" spans="17:17" x14ac:dyDescent="0.25">
      <c r="Q13989" s="8"/>
    </row>
    <row r="13990" spans="17:17" x14ac:dyDescent="0.25">
      <c r="Q13990" s="8"/>
    </row>
    <row r="13991" spans="17:17" x14ac:dyDescent="0.25">
      <c r="Q13991" s="8"/>
    </row>
    <row r="13992" spans="17:17" x14ac:dyDescent="0.25">
      <c r="Q13992" s="8"/>
    </row>
    <row r="13993" spans="17:17" x14ac:dyDescent="0.25">
      <c r="Q13993" s="8"/>
    </row>
    <row r="13994" spans="17:17" x14ac:dyDescent="0.25">
      <c r="Q13994" s="8"/>
    </row>
    <row r="13995" spans="17:17" x14ac:dyDescent="0.25">
      <c r="Q13995" s="8"/>
    </row>
    <row r="13996" spans="17:17" x14ac:dyDescent="0.25">
      <c r="Q13996" s="8"/>
    </row>
    <row r="13997" spans="17:17" x14ac:dyDescent="0.25">
      <c r="Q13997" s="8"/>
    </row>
    <row r="13998" spans="17:17" x14ac:dyDescent="0.25">
      <c r="Q13998" s="8"/>
    </row>
    <row r="13999" spans="17:17" x14ac:dyDescent="0.25">
      <c r="Q13999" s="8"/>
    </row>
    <row r="14000" spans="17:17" x14ac:dyDescent="0.25">
      <c r="Q14000" s="8"/>
    </row>
    <row r="14001" spans="17:17" x14ac:dyDescent="0.25">
      <c r="Q14001" s="8"/>
    </row>
    <row r="14002" spans="17:17" x14ac:dyDescent="0.25">
      <c r="Q14002" s="8"/>
    </row>
    <row r="14003" spans="17:17" x14ac:dyDescent="0.25">
      <c r="Q14003" s="8"/>
    </row>
    <row r="14004" spans="17:17" x14ac:dyDescent="0.25">
      <c r="Q14004" s="8"/>
    </row>
    <row r="14005" spans="17:17" x14ac:dyDescent="0.25">
      <c r="Q14005" s="8"/>
    </row>
    <row r="14006" spans="17:17" x14ac:dyDescent="0.25">
      <c r="Q14006" s="8"/>
    </row>
    <row r="14007" spans="17:17" x14ac:dyDescent="0.25">
      <c r="Q14007" s="8"/>
    </row>
    <row r="14008" spans="17:17" x14ac:dyDescent="0.25">
      <c r="Q14008" s="8"/>
    </row>
    <row r="14009" spans="17:17" x14ac:dyDescent="0.25">
      <c r="Q14009" s="8"/>
    </row>
    <row r="14010" spans="17:17" x14ac:dyDescent="0.25">
      <c r="Q14010" s="8"/>
    </row>
    <row r="14011" spans="17:17" x14ac:dyDescent="0.25">
      <c r="Q14011" s="8"/>
    </row>
    <row r="14012" spans="17:17" x14ac:dyDescent="0.25">
      <c r="Q14012" s="8"/>
    </row>
    <row r="14013" spans="17:17" x14ac:dyDescent="0.25">
      <c r="Q14013" s="8"/>
    </row>
    <row r="14014" spans="17:17" x14ac:dyDescent="0.25">
      <c r="Q14014" s="8"/>
    </row>
    <row r="14015" spans="17:17" x14ac:dyDescent="0.25">
      <c r="Q14015" s="8"/>
    </row>
    <row r="14016" spans="17:17" x14ac:dyDescent="0.25">
      <c r="Q14016" s="8"/>
    </row>
    <row r="14017" spans="17:17" x14ac:dyDescent="0.25">
      <c r="Q14017" s="8"/>
    </row>
    <row r="14018" spans="17:17" x14ac:dyDescent="0.25">
      <c r="Q14018" s="8"/>
    </row>
    <row r="14019" spans="17:17" x14ac:dyDescent="0.25">
      <c r="Q14019" s="8"/>
    </row>
    <row r="14020" spans="17:17" x14ac:dyDescent="0.25">
      <c r="Q14020" s="8"/>
    </row>
    <row r="14021" spans="17:17" x14ac:dyDescent="0.25">
      <c r="Q14021" s="8"/>
    </row>
    <row r="14022" spans="17:17" x14ac:dyDescent="0.25">
      <c r="Q14022" s="8"/>
    </row>
    <row r="14023" spans="17:17" x14ac:dyDescent="0.25">
      <c r="Q14023" s="8"/>
    </row>
    <row r="14024" spans="17:17" x14ac:dyDescent="0.25">
      <c r="Q14024" s="8"/>
    </row>
    <row r="14025" spans="17:17" x14ac:dyDescent="0.25">
      <c r="Q14025" s="8"/>
    </row>
    <row r="14026" spans="17:17" x14ac:dyDescent="0.25">
      <c r="Q14026" s="8"/>
    </row>
    <row r="14027" spans="17:17" x14ac:dyDescent="0.25">
      <c r="Q14027" s="8"/>
    </row>
    <row r="14028" spans="17:17" x14ac:dyDescent="0.25">
      <c r="Q14028" s="8"/>
    </row>
    <row r="14029" spans="17:17" x14ac:dyDescent="0.25">
      <c r="Q14029" s="8"/>
    </row>
    <row r="14030" spans="17:17" x14ac:dyDescent="0.25">
      <c r="Q14030" s="8"/>
    </row>
    <row r="14031" spans="17:17" x14ac:dyDescent="0.25">
      <c r="Q14031" s="8"/>
    </row>
    <row r="14032" spans="17:17" x14ac:dyDescent="0.25">
      <c r="Q14032" s="8"/>
    </row>
    <row r="14033" spans="17:17" x14ac:dyDescent="0.25">
      <c r="Q14033" s="8"/>
    </row>
    <row r="14034" spans="17:17" x14ac:dyDescent="0.25">
      <c r="Q14034" s="8"/>
    </row>
    <row r="14035" spans="17:17" x14ac:dyDescent="0.25">
      <c r="Q14035" s="8"/>
    </row>
    <row r="14036" spans="17:17" x14ac:dyDescent="0.25">
      <c r="Q14036" s="8"/>
    </row>
    <row r="14037" spans="17:17" x14ac:dyDescent="0.25">
      <c r="Q14037" s="8"/>
    </row>
    <row r="14038" spans="17:17" x14ac:dyDescent="0.25">
      <c r="Q14038" s="8"/>
    </row>
    <row r="14039" spans="17:17" x14ac:dyDescent="0.25">
      <c r="Q14039" s="8"/>
    </row>
    <row r="14040" spans="17:17" x14ac:dyDescent="0.25">
      <c r="Q14040" s="8"/>
    </row>
    <row r="14041" spans="17:17" x14ac:dyDescent="0.25">
      <c r="Q14041" s="8"/>
    </row>
    <row r="14042" spans="17:17" x14ac:dyDescent="0.25">
      <c r="Q14042" s="8"/>
    </row>
    <row r="14043" spans="17:17" x14ac:dyDescent="0.25">
      <c r="Q14043" s="8"/>
    </row>
    <row r="14044" spans="17:17" x14ac:dyDescent="0.25">
      <c r="Q14044" s="8"/>
    </row>
    <row r="14045" spans="17:17" x14ac:dyDescent="0.25">
      <c r="Q14045" s="8"/>
    </row>
    <row r="14046" spans="17:17" x14ac:dyDescent="0.25">
      <c r="Q14046" s="8"/>
    </row>
    <row r="14047" spans="17:17" x14ac:dyDescent="0.25">
      <c r="Q14047" s="8"/>
    </row>
    <row r="14048" spans="17:17" x14ac:dyDescent="0.25">
      <c r="Q14048" s="8"/>
    </row>
    <row r="14049" spans="17:17" x14ac:dyDescent="0.25">
      <c r="Q14049" s="8"/>
    </row>
    <row r="14050" spans="17:17" x14ac:dyDescent="0.25">
      <c r="Q14050" s="8"/>
    </row>
    <row r="14051" spans="17:17" x14ac:dyDescent="0.25">
      <c r="Q14051" s="8"/>
    </row>
    <row r="14052" spans="17:17" x14ac:dyDescent="0.25">
      <c r="Q14052" s="8"/>
    </row>
    <row r="14053" spans="17:17" x14ac:dyDescent="0.25">
      <c r="Q14053" s="8"/>
    </row>
    <row r="14054" spans="17:17" x14ac:dyDescent="0.25">
      <c r="Q14054" s="8"/>
    </row>
    <row r="14055" spans="17:17" x14ac:dyDescent="0.25">
      <c r="Q14055" s="8"/>
    </row>
    <row r="14056" spans="17:17" x14ac:dyDescent="0.25">
      <c r="Q14056" s="8"/>
    </row>
    <row r="14057" spans="17:17" x14ac:dyDescent="0.25">
      <c r="Q14057" s="8"/>
    </row>
    <row r="14058" spans="17:17" x14ac:dyDescent="0.25">
      <c r="Q14058" s="8"/>
    </row>
    <row r="14059" spans="17:17" x14ac:dyDescent="0.25">
      <c r="Q14059" s="8"/>
    </row>
    <row r="14060" spans="17:17" x14ac:dyDescent="0.25">
      <c r="Q14060" s="8"/>
    </row>
    <row r="14061" spans="17:17" x14ac:dyDescent="0.25">
      <c r="Q14061" s="8"/>
    </row>
    <row r="14062" spans="17:17" x14ac:dyDescent="0.25">
      <c r="Q14062" s="8"/>
    </row>
    <row r="14063" spans="17:17" x14ac:dyDescent="0.25">
      <c r="Q14063" s="8"/>
    </row>
    <row r="14064" spans="17:17" x14ac:dyDescent="0.25">
      <c r="Q14064" s="8"/>
    </row>
    <row r="14065" spans="17:17" x14ac:dyDescent="0.25">
      <c r="Q14065" s="8"/>
    </row>
    <row r="14066" spans="17:17" x14ac:dyDescent="0.25">
      <c r="Q14066" s="8"/>
    </row>
    <row r="14067" spans="17:17" x14ac:dyDescent="0.25">
      <c r="Q14067" s="8"/>
    </row>
    <row r="14068" spans="17:17" x14ac:dyDescent="0.25">
      <c r="Q14068" s="8"/>
    </row>
    <row r="14069" spans="17:17" x14ac:dyDescent="0.25">
      <c r="Q14069" s="8"/>
    </row>
    <row r="14070" spans="17:17" x14ac:dyDescent="0.25">
      <c r="Q14070" s="8"/>
    </row>
    <row r="14071" spans="17:17" x14ac:dyDescent="0.25">
      <c r="Q14071" s="8"/>
    </row>
    <row r="14072" spans="17:17" x14ac:dyDescent="0.25">
      <c r="Q14072" s="8"/>
    </row>
    <row r="14073" spans="17:17" x14ac:dyDescent="0.25">
      <c r="Q14073" s="8"/>
    </row>
    <row r="14074" spans="17:17" x14ac:dyDescent="0.25">
      <c r="Q14074" s="8"/>
    </row>
    <row r="14075" spans="17:17" x14ac:dyDescent="0.25">
      <c r="Q14075" s="8"/>
    </row>
    <row r="14076" spans="17:17" x14ac:dyDescent="0.25">
      <c r="Q14076" s="8"/>
    </row>
    <row r="14077" spans="17:17" x14ac:dyDescent="0.25">
      <c r="Q14077" s="8"/>
    </row>
    <row r="14078" spans="17:17" x14ac:dyDescent="0.25">
      <c r="Q14078" s="8"/>
    </row>
    <row r="14079" spans="17:17" x14ac:dyDescent="0.25">
      <c r="Q14079" s="8"/>
    </row>
    <row r="14080" spans="17:17" x14ac:dyDescent="0.25">
      <c r="Q14080" s="8"/>
    </row>
    <row r="14081" spans="17:17" x14ac:dyDescent="0.25">
      <c r="Q14081" s="8"/>
    </row>
    <row r="14082" spans="17:17" x14ac:dyDescent="0.25">
      <c r="Q14082" s="8"/>
    </row>
    <row r="14083" spans="17:17" x14ac:dyDescent="0.25">
      <c r="Q14083" s="8"/>
    </row>
    <row r="14084" spans="17:17" x14ac:dyDescent="0.25">
      <c r="Q14084" s="8"/>
    </row>
    <row r="14085" spans="17:17" x14ac:dyDescent="0.25">
      <c r="Q14085" s="8"/>
    </row>
    <row r="14086" spans="17:17" x14ac:dyDescent="0.25">
      <c r="Q14086" s="8"/>
    </row>
    <row r="14087" spans="17:17" x14ac:dyDescent="0.25">
      <c r="Q14087" s="8"/>
    </row>
    <row r="14088" spans="17:17" x14ac:dyDescent="0.25">
      <c r="Q14088" s="8"/>
    </row>
    <row r="14089" spans="17:17" x14ac:dyDescent="0.25">
      <c r="Q14089" s="8"/>
    </row>
    <row r="14090" spans="17:17" x14ac:dyDescent="0.25">
      <c r="Q14090" s="8"/>
    </row>
    <row r="14091" spans="17:17" x14ac:dyDescent="0.25">
      <c r="Q14091" s="8"/>
    </row>
    <row r="14092" spans="17:17" x14ac:dyDescent="0.25">
      <c r="Q14092" s="8"/>
    </row>
    <row r="14093" spans="17:17" x14ac:dyDescent="0.25">
      <c r="Q14093" s="8"/>
    </row>
    <row r="14094" spans="17:17" x14ac:dyDescent="0.25">
      <c r="Q14094" s="8"/>
    </row>
    <row r="14095" spans="17:17" x14ac:dyDescent="0.25">
      <c r="Q14095" s="8"/>
    </row>
    <row r="14096" spans="17:17" x14ac:dyDescent="0.25">
      <c r="Q14096" s="8"/>
    </row>
    <row r="14097" spans="17:17" x14ac:dyDescent="0.25">
      <c r="Q14097" s="8"/>
    </row>
    <row r="14098" spans="17:17" x14ac:dyDescent="0.25">
      <c r="Q14098" s="8"/>
    </row>
    <row r="14099" spans="17:17" x14ac:dyDescent="0.25">
      <c r="Q14099" s="8"/>
    </row>
    <row r="14100" spans="17:17" x14ac:dyDescent="0.25">
      <c r="Q14100" s="8"/>
    </row>
    <row r="14101" spans="17:17" x14ac:dyDescent="0.25">
      <c r="Q14101" s="8"/>
    </row>
    <row r="14102" spans="17:17" x14ac:dyDescent="0.25">
      <c r="Q14102" s="8"/>
    </row>
    <row r="14103" spans="17:17" x14ac:dyDescent="0.25">
      <c r="Q14103" s="8"/>
    </row>
    <row r="14104" spans="17:17" x14ac:dyDescent="0.25">
      <c r="Q14104" s="8"/>
    </row>
    <row r="14105" spans="17:17" x14ac:dyDescent="0.25">
      <c r="Q14105" s="8"/>
    </row>
    <row r="14106" spans="17:17" x14ac:dyDescent="0.25">
      <c r="Q14106" s="8"/>
    </row>
    <row r="14107" spans="17:17" x14ac:dyDescent="0.25">
      <c r="Q14107" s="8"/>
    </row>
    <row r="14108" spans="17:17" x14ac:dyDescent="0.25">
      <c r="Q14108" s="8"/>
    </row>
    <row r="14109" spans="17:17" x14ac:dyDescent="0.25">
      <c r="Q14109" s="8"/>
    </row>
    <row r="14110" spans="17:17" x14ac:dyDescent="0.25">
      <c r="Q14110" s="8"/>
    </row>
    <row r="14111" spans="17:17" x14ac:dyDescent="0.25">
      <c r="Q14111" s="8"/>
    </row>
    <row r="14112" spans="17:17" x14ac:dyDescent="0.25">
      <c r="Q14112" s="8"/>
    </row>
    <row r="14113" spans="17:17" x14ac:dyDescent="0.25">
      <c r="Q14113" s="8"/>
    </row>
    <row r="14114" spans="17:17" x14ac:dyDescent="0.25">
      <c r="Q14114" s="8"/>
    </row>
    <row r="14115" spans="17:17" x14ac:dyDescent="0.25">
      <c r="Q14115" s="8"/>
    </row>
    <row r="14116" spans="17:17" x14ac:dyDescent="0.25">
      <c r="Q14116" s="8"/>
    </row>
    <row r="14117" spans="17:17" x14ac:dyDescent="0.25">
      <c r="Q14117" s="8"/>
    </row>
    <row r="14118" spans="17:17" x14ac:dyDescent="0.25">
      <c r="Q14118" s="8"/>
    </row>
    <row r="14119" spans="17:17" x14ac:dyDescent="0.25">
      <c r="Q14119" s="8"/>
    </row>
    <row r="14120" spans="17:17" x14ac:dyDescent="0.25">
      <c r="Q14120" s="8"/>
    </row>
    <row r="14121" spans="17:17" x14ac:dyDescent="0.25">
      <c r="Q14121" s="8"/>
    </row>
    <row r="14122" spans="17:17" x14ac:dyDescent="0.25">
      <c r="Q14122" s="8"/>
    </row>
    <row r="14123" spans="17:17" x14ac:dyDescent="0.25">
      <c r="Q14123" s="8"/>
    </row>
    <row r="14124" spans="17:17" x14ac:dyDescent="0.25">
      <c r="Q14124" s="8"/>
    </row>
    <row r="14125" spans="17:17" x14ac:dyDescent="0.25">
      <c r="Q14125" s="8"/>
    </row>
    <row r="14126" spans="17:17" x14ac:dyDescent="0.25">
      <c r="Q14126" s="8"/>
    </row>
    <row r="14127" spans="17:17" x14ac:dyDescent="0.25">
      <c r="Q14127" s="8"/>
    </row>
    <row r="14128" spans="17:17" x14ac:dyDescent="0.25">
      <c r="Q14128" s="8"/>
    </row>
    <row r="14129" spans="17:17" x14ac:dyDescent="0.25">
      <c r="Q14129" s="8"/>
    </row>
    <row r="14130" spans="17:17" x14ac:dyDescent="0.25">
      <c r="Q14130" s="8"/>
    </row>
    <row r="14131" spans="17:17" x14ac:dyDescent="0.25">
      <c r="Q14131" s="8"/>
    </row>
    <row r="14132" spans="17:17" x14ac:dyDescent="0.25">
      <c r="Q14132" s="8"/>
    </row>
    <row r="14133" spans="17:17" x14ac:dyDescent="0.25">
      <c r="Q14133" s="8"/>
    </row>
    <row r="14134" spans="17:17" x14ac:dyDescent="0.25">
      <c r="Q14134" s="8"/>
    </row>
    <row r="14135" spans="17:17" x14ac:dyDescent="0.25">
      <c r="Q14135" s="8"/>
    </row>
    <row r="14136" spans="17:17" x14ac:dyDescent="0.25">
      <c r="Q14136" s="8"/>
    </row>
    <row r="14137" spans="17:17" x14ac:dyDescent="0.25">
      <c r="Q14137" s="8"/>
    </row>
    <row r="14138" spans="17:17" x14ac:dyDescent="0.25">
      <c r="Q14138" s="8"/>
    </row>
    <row r="14139" spans="17:17" x14ac:dyDescent="0.25">
      <c r="Q14139" s="8"/>
    </row>
    <row r="14140" spans="17:17" x14ac:dyDescent="0.25">
      <c r="Q14140" s="8"/>
    </row>
    <row r="14141" spans="17:17" x14ac:dyDescent="0.25">
      <c r="Q14141" s="8"/>
    </row>
    <row r="14142" spans="17:17" x14ac:dyDescent="0.25">
      <c r="Q14142" s="8"/>
    </row>
    <row r="14143" spans="17:17" x14ac:dyDescent="0.25">
      <c r="Q14143" s="8"/>
    </row>
    <row r="14144" spans="17:17" x14ac:dyDescent="0.25">
      <c r="Q14144" s="8"/>
    </row>
    <row r="14145" spans="17:17" x14ac:dyDescent="0.25">
      <c r="Q14145" s="8"/>
    </row>
    <row r="14146" spans="17:17" x14ac:dyDescent="0.25">
      <c r="Q14146" s="8"/>
    </row>
    <row r="14147" spans="17:17" x14ac:dyDescent="0.25">
      <c r="Q14147" s="8"/>
    </row>
    <row r="14148" spans="17:17" x14ac:dyDescent="0.25">
      <c r="Q14148" s="8"/>
    </row>
    <row r="14149" spans="17:17" x14ac:dyDescent="0.25">
      <c r="Q14149" s="8"/>
    </row>
    <row r="14150" spans="17:17" x14ac:dyDescent="0.25">
      <c r="Q14150" s="8"/>
    </row>
    <row r="14151" spans="17:17" x14ac:dyDescent="0.25">
      <c r="Q14151" s="8"/>
    </row>
    <row r="14152" spans="17:17" x14ac:dyDescent="0.25">
      <c r="Q14152" s="8"/>
    </row>
    <row r="14153" spans="17:17" x14ac:dyDescent="0.25">
      <c r="Q14153" s="8"/>
    </row>
    <row r="14154" spans="17:17" x14ac:dyDescent="0.25">
      <c r="Q14154" s="8"/>
    </row>
    <row r="14155" spans="17:17" x14ac:dyDescent="0.25">
      <c r="Q14155" s="8"/>
    </row>
    <row r="14156" spans="17:17" x14ac:dyDescent="0.25">
      <c r="Q14156" s="8"/>
    </row>
    <row r="14157" spans="17:17" x14ac:dyDescent="0.25">
      <c r="Q14157" s="8"/>
    </row>
    <row r="14158" spans="17:17" x14ac:dyDescent="0.25">
      <c r="Q14158" s="8"/>
    </row>
    <row r="14159" spans="17:17" x14ac:dyDescent="0.25">
      <c r="Q14159" s="8"/>
    </row>
    <row r="14160" spans="17:17" x14ac:dyDescent="0.25">
      <c r="Q14160" s="8"/>
    </row>
    <row r="14161" spans="17:17" x14ac:dyDescent="0.25">
      <c r="Q14161" s="8"/>
    </row>
    <row r="14162" spans="17:17" x14ac:dyDescent="0.25">
      <c r="Q14162" s="8"/>
    </row>
    <row r="14163" spans="17:17" x14ac:dyDescent="0.25">
      <c r="Q14163" s="8"/>
    </row>
    <row r="14164" spans="17:17" x14ac:dyDescent="0.25">
      <c r="Q14164" s="8"/>
    </row>
    <row r="14165" spans="17:17" x14ac:dyDescent="0.25">
      <c r="Q14165" s="8"/>
    </row>
    <row r="14166" spans="17:17" x14ac:dyDescent="0.25">
      <c r="Q14166" s="8"/>
    </row>
    <row r="14167" spans="17:17" x14ac:dyDescent="0.25">
      <c r="Q14167" s="8"/>
    </row>
    <row r="14168" spans="17:17" x14ac:dyDescent="0.25">
      <c r="Q14168" s="8"/>
    </row>
    <row r="14169" spans="17:17" x14ac:dyDescent="0.25">
      <c r="Q14169" s="8"/>
    </row>
    <row r="14170" spans="17:17" x14ac:dyDescent="0.25">
      <c r="Q14170" s="8"/>
    </row>
    <row r="14171" spans="17:17" x14ac:dyDescent="0.25">
      <c r="Q14171" s="8"/>
    </row>
    <row r="14172" spans="17:17" x14ac:dyDescent="0.25">
      <c r="Q14172" s="8"/>
    </row>
    <row r="14173" spans="17:17" x14ac:dyDescent="0.25">
      <c r="Q14173" s="8"/>
    </row>
    <row r="14174" spans="17:17" x14ac:dyDescent="0.25">
      <c r="Q14174" s="8"/>
    </row>
    <row r="14175" spans="17:17" x14ac:dyDescent="0.25">
      <c r="Q14175" s="8"/>
    </row>
    <row r="14176" spans="17:17" x14ac:dyDescent="0.25">
      <c r="Q14176" s="8"/>
    </row>
    <row r="14177" spans="17:17" x14ac:dyDescent="0.25">
      <c r="Q14177" s="8"/>
    </row>
    <row r="14178" spans="17:17" x14ac:dyDescent="0.25">
      <c r="Q14178" s="8"/>
    </row>
    <row r="14179" spans="17:17" x14ac:dyDescent="0.25">
      <c r="Q14179" s="8"/>
    </row>
    <row r="14180" spans="17:17" x14ac:dyDescent="0.25">
      <c r="Q14180" s="8"/>
    </row>
    <row r="14181" spans="17:17" x14ac:dyDescent="0.25">
      <c r="Q14181" s="8"/>
    </row>
    <row r="14182" spans="17:17" x14ac:dyDescent="0.25">
      <c r="Q14182" s="8"/>
    </row>
    <row r="14183" spans="17:17" x14ac:dyDescent="0.25">
      <c r="Q14183" s="8"/>
    </row>
    <row r="14184" spans="17:17" x14ac:dyDescent="0.25">
      <c r="Q14184" s="8"/>
    </row>
    <row r="14185" spans="17:17" x14ac:dyDescent="0.25">
      <c r="Q14185" s="8"/>
    </row>
    <row r="14186" spans="17:17" x14ac:dyDescent="0.25">
      <c r="Q14186" s="8"/>
    </row>
    <row r="14187" spans="17:17" x14ac:dyDescent="0.25">
      <c r="Q14187" s="8"/>
    </row>
    <row r="14188" spans="17:17" x14ac:dyDescent="0.25">
      <c r="Q14188" s="8"/>
    </row>
    <row r="14189" spans="17:17" x14ac:dyDescent="0.25">
      <c r="Q14189" s="8"/>
    </row>
    <row r="14190" spans="17:17" x14ac:dyDescent="0.25">
      <c r="Q14190" s="8"/>
    </row>
    <row r="14191" spans="17:17" x14ac:dyDescent="0.25">
      <c r="Q14191" s="8"/>
    </row>
    <row r="14192" spans="17:17" x14ac:dyDescent="0.25">
      <c r="Q14192" s="8"/>
    </row>
    <row r="14193" spans="17:17" x14ac:dyDescent="0.25">
      <c r="Q14193" s="8"/>
    </row>
    <row r="14194" spans="17:17" x14ac:dyDescent="0.25">
      <c r="Q14194" s="8"/>
    </row>
    <row r="14195" spans="17:17" x14ac:dyDescent="0.25">
      <c r="Q14195" s="8"/>
    </row>
    <row r="14196" spans="17:17" x14ac:dyDescent="0.25">
      <c r="Q14196" s="8"/>
    </row>
    <row r="14197" spans="17:17" x14ac:dyDescent="0.25">
      <c r="Q14197" s="8"/>
    </row>
    <row r="14198" spans="17:17" x14ac:dyDescent="0.25">
      <c r="Q14198" s="8"/>
    </row>
    <row r="14199" spans="17:17" x14ac:dyDescent="0.25">
      <c r="Q14199" s="8"/>
    </row>
    <row r="14200" spans="17:17" x14ac:dyDescent="0.25">
      <c r="Q14200" s="8"/>
    </row>
    <row r="14201" spans="17:17" x14ac:dyDescent="0.25">
      <c r="Q14201" s="8"/>
    </row>
    <row r="14202" spans="17:17" x14ac:dyDescent="0.25">
      <c r="Q14202" s="8"/>
    </row>
    <row r="14203" spans="17:17" x14ac:dyDescent="0.25">
      <c r="Q14203" s="8"/>
    </row>
    <row r="14204" spans="17:17" x14ac:dyDescent="0.25">
      <c r="Q14204" s="8"/>
    </row>
    <row r="14205" spans="17:17" x14ac:dyDescent="0.25">
      <c r="Q14205" s="8"/>
    </row>
    <row r="14206" spans="17:17" x14ac:dyDescent="0.25">
      <c r="Q14206" s="8"/>
    </row>
    <row r="14207" spans="17:17" x14ac:dyDescent="0.25">
      <c r="Q14207" s="8"/>
    </row>
    <row r="14208" spans="17:17" x14ac:dyDescent="0.25">
      <c r="Q14208" s="8"/>
    </row>
    <row r="14209" spans="17:17" x14ac:dyDescent="0.25">
      <c r="Q14209" s="8"/>
    </row>
    <row r="14210" spans="17:17" x14ac:dyDescent="0.25">
      <c r="Q14210" s="8"/>
    </row>
    <row r="14211" spans="17:17" x14ac:dyDescent="0.25">
      <c r="Q14211" s="8"/>
    </row>
    <row r="14212" spans="17:17" x14ac:dyDescent="0.25">
      <c r="Q14212" s="8"/>
    </row>
    <row r="14213" spans="17:17" x14ac:dyDescent="0.25">
      <c r="Q14213" s="8"/>
    </row>
    <row r="14214" spans="17:17" x14ac:dyDescent="0.25">
      <c r="Q14214" s="8"/>
    </row>
    <row r="14215" spans="17:17" x14ac:dyDescent="0.25">
      <c r="Q14215" s="8"/>
    </row>
    <row r="14216" spans="17:17" x14ac:dyDescent="0.25">
      <c r="Q14216" s="8"/>
    </row>
    <row r="14217" spans="17:17" x14ac:dyDescent="0.25">
      <c r="Q14217" s="8"/>
    </row>
    <row r="14218" spans="17:17" x14ac:dyDescent="0.25">
      <c r="Q14218" s="8"/>
    </row>
    <row r="14219" spans="17:17" x14ac:dyDescent="0.25">
      <c r="Q14219" s="8"/>
    </row>
    <row r="14220" spans="17:17" x14ac:dyDescent="0.25">
      <c r="Q14220" s="8"/>
    </row>
    <row r="14221" spans="17:17" x14ac:dyDescent="0.25">
      <c r="Q14221" s="8"/>
    </row>
    <row r="14222" spans="17:17" x14ac:dyDescent="0.25">
      <c r="Q14222" s="8"/>
    </row>
    <row r="14223" spans="17:17" x14ac:dyDescent="0.25">
      <c r="Q14223" s="8"/>
    </row>
    <row r="14224" spans="17:17" x14ac:dyDescent="0.25">
      <c r="Q14224" s="8"/>
    </row>
    <row r="14225" spans="17:17" x14ac:dyDescent="0.25">
      <c r="Q14225" s="8"/>
    </row>
    <row r="14226" spans="17:17" x14ac:dyDescent="0.25">
      <c r="Q14226" s="8"/>
    </row>
    <row r="14227" spans="17:17" x14ac:dyDescent="0.25">
      <c r="Q14227" s="8"/>
    </row>
    <row r="14228" spans="17:17" x14ac:dyDescent="0.25">
      <c r="Q14228" s="8"/>
    </row>
    <row r="14229" spans="17:17" x14ac:dyDescent="0.25">
      <c r="Q14229" s="8"/>
    </row>
    <row r="14230" spans="17:17" x14ac:dyDescent="0.25">
      <c r="Q14230" s="8"/>
    </row>
    <row r="14231" spans="17:17" x14ac:dyDescent="0.25">
      <c r="Q14231" s="8"/>
    </row>
    <row r="14232" spans="17:17" x14ac:dyDescent="0.25">
      <c r="Q14232" s="8"/>
    </row>
    <row r="14233" spans="17:17" x14ac:dyDescent="0.25">
      <c r="Q14233" s="8"/>
    </row>
    <row r="14234" spans="17:17" x14ac:dyDescent="0.25">
      <c r="Q14234" s="8"/>
    </row>
    <row r="14235" spans="17:17" x14ac:dyDescent="0.25">
      <c r="Q14235" s="8"/>
    </row>
    <row r="14236" spans="17:17" x14ac:dyDescent="0.25">
      <c r="Q14236" s="8"/>
    </row>
    <row r="14237" spans="17:17" x14ac:dyDescent="0.25">
      <c r="Q14237" s="8"/>
    </row>
    <row r="14238" spans="17:17" x14ac:dyDescent="0.25">
      <c r="Q14238" s="8"/>
    </row>
    <row r="14239" spans="17:17" x14ac:dyDescent="0.25">
      <c r="Q14239" s="8"/>
    </row>
    <row r="14240" spans="17:17" x14ac:dyDescent="0.25">
      <c r="Q14240" s="8"/>
    </row>
    <row r="14241" spans="17:17" x14ac:dyDescent="0.25">
      <c r="Q14241" s="8"/>
    </row>
    <row r="14242" spans="17:17" x14ac:dyDescent="0.25">
      <c r="Q14242" s="8"/>
    </row>
    <row r="14243" spans="17:17" x14ac:dyDescent="0.25">
      <c r="Q14243" s="8"/>
    </row>
    <row r="14244" spans="17:17" x14ac:dyDescent="0.25">
      <c r="Q14244" s="8"/>
    </row>
    <row r="14245" spans="17:17" x14ac:dyDescent="0.25">
      <c r="Q14245" s="8"/>
    </row>
    <row r="14246" spans="17:17" x14ac:dyDescent="0.25">
      <c r="Q14246" s="8"/>
    </row>
    <row r="14247" spans="17:17" x14ac:dyDescent="0.25">
      <c r="Q14247" s="8"/>
    </row>
    <row r="14248" spans="17:17" x14ac:dyDescent="0.25">
      <c r="Q14248" s="8"/>
    </row>
    <row r="14249" spans="17:17" x14ac:dyDescent="0.25">
      <c r="Q14249" s="8"/>
    </row>
    <row r="14250" spans="17:17" x14ac:dyDescent="0.25">
      <c r="Q14250" s="8"/>
    </row>
    <row r="14251" spans="17:17" x14ac:dyDescent="0.25">
      <c r="Q14251" s="8"/>
    </row>
    <row r="14252" spans="17:17" x14ac:dyDescent="0.25">
      <c r="Q14252" s="8"/>
    </row>
    <row r="14253" spans="17:17" x14ac:dyDescent="0.25">
      <c r="Q14253" s="8"/>
    </row>
    <row r="14254" spans="17:17" x14ac:dyDescent="0.25">
      <c r="Q14254" s="8"/>
    </row>
    <row r="14255" spans="17:17" x14ac:dyDescent="0.25">
      <c r="Q14255" s="8"/>
    </row>
    <row r="14256" spans="17:17" x14ac:dyDescent="0.25">
      <c r="Q14256" s="8"/>
    </row>
    <row r="14257" spans="17:17" x14ac:dyDescent="0.25">
      <c r="Q14257" s="8"/>
    </row>
    <row r="14258" spans="17:17" x14ac:dyDescent="0.25">
      <c r="Q14258" s="8"/>
    </row>
    <row r="14259" spans="17:17" x14ac:dyDescent="0.25">
      <c r="Q14259" s="8"/>
    </row>
    <row r="14260" spans="17:17" x14ac:dyDescent="0.25">
      <c r="Q14260" s="8"/>
    </row>
    <row r="14261" spans="17:17" x14ac:dyDescent="0.25">
      <c r="Q14261" s="8"/>
    </row>
    <row r="14262" spans="17:17" x14ac:dyDescent="0.25">
      <c r="Q14262" s="8"/>
    </row>
    <row r="14263" spans="17:17" x14ac:dyDescent="0.25">
      <c r="Q14263" s="8"/>
    </row>
    <row r="14264" spans="17:17" x14ac:dyDescent="0.25">
      <c r="Q14264" s="8"/>
    </row>
    <row r="14265" spans="17:17" x14ac:dyDescent="0.25">
      <c r="Q14265" s="8"/>
    </row>
    <row r="14266" spans="17:17" x14ac:dyDescent="0.25">
      <c r="Q14266" s="8"/>
    </row>
    <row r="14267" spans="17:17" x14ac:dyDescent="0.25">
      <c r="Q14267" s="8"/>
    </row>
    <row r="14268" spans="17:17" x14ac:dyDescent="0.25">
      <c r="Q14268" s="8"/>
    </row>
    <row r="14269" spans="17:17" x14ac:dyDescent="0.25">
      <c r="Q14269" s="8"/>
    </row>
    <row r="14270" spans="17:17" x14ac:dyDescent="0.25">
      <c r="Q14270" s="8"/>
    </row>
    <row r="14271" spans="17:17" x14ac:dyDescent="0.25">
      <c r="Q14271" s="8"/>
    </row>
    <row r="14272" spans="17:17" x14ac:dyDescent="0.25">
      <c r="Q14272" s="8"/>
    </row>
    <row r="14273" spans="17:17" x14ac:dyDescent="0.25">
      <c r="Q14273" s="8"/>
    </row>
    <row r="14274" spans="17:17" x14ac:dyDescent="0.25">
      <c r="Q14274" s="8"/>
    </row>
    <row r="14275" spans="17:17" x14ac:dyDescent="0.25">
      <c r="Q14275" s="8"/>
    </row>
    <row r="14276" spans="17:17" x14ac:dyDescent="0.25">
      <c r="Q14276" s="8"/>
    </row>
    <row r="14277" spans="17:17" x14ac:dyDescent="0.25">
      <c r="Q14277" s="8"/>
    </row>
    <row r="14278" spans="17:17" x14ac:dyDescent="0.25">
      <c r="Q14278" s="8"/>
    </row>
    <row r="14279" spans="17:17" x14ac:dyDescent="0.25">
      <c r="Q14279" s="8"/>
    </row>
    <row r="14280" spans="17:17" x14ac:dyDescent="0.25">
      <c r="Q14280" s="8"/>
    </row>
    <row r="14281" spans="17:17" x14ac:dyDescent="0.25">
      <c r="Q14281" s="8"/>
    </row>
    <row r="14282" spans="17:17" x14ac:dyDescent="0.25">
      <c r="Q14282" s="8"/>
    </row>
    <row r="14283" spans="17:17" x14ac:dyDescent="0.25">
      <c r="Q14283" s="8"/>
    </row>
    <row r="14284" spans="17:17" x14ac:dyDescent="0.25">
      <c r="Q14284" s="8"/>
    </row>
    <row r="14285" spans="17:17" x14ac:dyDescent="0.25">
      <c r="Q14285" s="8"/>
    </row>
    <row r="14286" spans="17:17" x14ac:dyDescent="0.25">
      <c r="Q14286" s="8"/>
    </row>
    <row r="14287" spans="17:17" x14ac:dyDescent="0.25">
      <c r="Q14287" s="8"/>
    </row>
    <row r="14288" spans="17:17" x14ac:dyDescent="0.25">
      <c r="Q14288" s="8"/>
    </row>
    <row r="14289" spans="17:17" x14ac:dyDescent="0.25">
      <c r="Q14289" s="8"/>
    </row>
    <row r="14290" spans="17:17" x14ac:dyDescent="0.25">
      <c r="Q14290" s="8"/>
    </row>
    <row r="14291" spans="17:17" x14ac:dyDescent="0.25">
      <c r="Q14291" s="8"/>
    </row>
    <row r="14292" spans="17:17" x14ac:dyDescent="0.25">
      <c r="Q14292" s="8"/>
    </row>
    <row r="14293" spans="17:17" x14ac:dyDescent="0.25">
      <c r="Q14293" s="8"/>
    </row>
    <row r="14294" spans="17:17" x14ac:dyDescent="0.25">
      <c r="Q14294" s="8"/>
    </row>
    <row r="14295" spans="17:17" x14ac:dyDescent="0.25">
      <c r="Q14295" s="8"/>
    </row>
    <row r="14296" spans="17:17" x14ac:dyDescent="0.25">
      <c r="Q14296" s="8"/>
    </row>
    <row r="14297" spans="17:17" x14ac:dyDescent="0.25">
      <c r="Q14297" s="8"/>
    </row>
    <row r="14298" spans="17:17" x14ac:dyDescent="0.25">
      <c r="Q14298" s="8"/>
    </row>
    <row r="14299" spans="17:17" x14ac:dyDescent="0.25">
      <c r="Q14299" s="8"/>
    </row>
    <row r="14300" spans="17:17" x14ac:dyDescent="0.25">
      <c r="Q14300" s="8"/>
    </row>
    <row r="14301" spans="17:17" x14ac:dyDescent="0.25">
      <c r="Q14301" s="8"/>
    </row>
    <row r="14302" spans="17:17" x14ac:dyDescent="0.25">
      <c r="Q14302" s="8"/>
    </row>
    <row r="14303" spans="17:17" x14ac:dyDescent="0.25">
      <c r="Q14303" s="8"/>
    </row>
    <row r="14304" spans="17:17" x14ac:dyDescent="0.25">
      <c r="Q14304" s="8"/>
    </row>
    <row r="14305" spans="17:17" x14ac:dyDescent="0.25">
      <c r="Q14305" s="8"/>
    </row>
    <row r="14306" spans="17:17" x14ac:dyDescent="0.25">
      <c r="Q14306" s="8"/>
    </row>
    <row r="14307" spans="17:17" x14ac:dyDescent="0.25">
      <c r="Q14307" s="8"/>
    </row>
    <row r="14308" spans="17:17" x14ac:dyDescent="0.25">
      <c r="Q14308" s="8"/>
    </row>
    <row r="14309" spans="17:17" x14ac:dyDescent="0.25">
      <c r="Q14309" s="8"/>
    </row>
    <row r="14310" spans="17:17" x14ac:dyDescent="0.25">
      <c r="Q14310" s="8"/>
    </row>
    <row r="14311" spans="17:17" x14ac:dyDescent="0.25">
      <c r="Q14311" s="8"/>
    </row>
    <row r="14312" spans="17:17" x14ac:dyDescent="0.25">
      <c r="Q14312" s="8"/>
    </row>
    <row r="14313" spans="17:17" x14ac:dyDescent="0.25">
      <c r="Q14313" s="8"/>
    </row>
    <row r="14314" spans="17:17" x14ac:dyDescent="0.25">
      <c r="Q14314" s="8"/>
    </row>
    <row r="14315" spans="17:17" x14ac:dyDescent="0.25">
      <c r="Q14315" s="8"/>
    </row>
    <row r="14316" spans="17:17" x14ac:dyDescent="0.25">
      <c r="Q14316" s="8"/>
    </row>
    <row r="14317" spans="17:17" x14ac:dyDescent="0.25">
      <c r="Q14317" s="8"/>
    </row>
    <row r="14318" spans="17:17" x14ac:dyDescent="0.25">
      <c r="Q14318" s="8"/>
    </row>
    <row r="14319" spans="17:17" x14ac:dyDescent="0.25">
      <c r="Q14319" s="8"/>
    </row>
    <row r="14320" spans="17:17" x14ac:dyDescent="0.25">
      <c r="Q14320" s="8"/>
    </row>
    <row r="14321" spans="17:17" x14ac:dyDescent="0.25">
      <c r="Q14321" s="8"/>
    </row>
    <row r="14322" spans="17:17" x14ac:dyDescent="0.25">
      <c r="Q14322" s="8"/>
    </row>
    <row r="14323" spans="17:17" x14ac:dyDescent="0.25">
      <c r="Q14323" s="8"/>
    </row>
    <row r="14324" spans="17:17" x14ac:dyDescent="0.25">
      <c r="Q14324" s="8"/>
    </row>
    <row r="14325" spans="17:17" x14ac:dyDescent="0.25">
      <c r="Q14325" s="8"/>
    </row>
    <row r="14326" spans="17:17" x14ac:dyDescent="0.25">
      <c r="Q14326" s="8"/>
    </row>
    <row r="14327" spans="17:17" x14ac:dyDescent="0.25">
      <c r="Q14327" s="8"/>
    </row>
    <row r="14328" spans="17:17" x14ac:dyDescent="0.25">
      <c r="Q14328" s="8"/>
    </row>
    <row r="14329" spans="17:17" x14ac:dyDescent="0.25">
      <c r="Q14329" s="8"/>
    </row>
    <row r="14330" spans="17:17" x14ac:dyDescent="0.25">
      <c r="Q14330" s="8"/>
    </row>
    <row r="14331" spans="17:17" x14ac:dyDescent="0.25">
      <c r="Q14331" s="8"/>
    </row>
    <row r="14332" spans="17:17" x14ac:dyDescent="0.25">
      <c r="Q14332" s="8"/>
    </row>
    <row r="14333" spans="17:17" x14ac:dyDescent="0.25">
      <c r="Q14333" s="8"/>
    </row>
    <row r="14334" spans="17:17" x14ac:dyDescent="0.25">
      <c r="Q14334" s="8"/>
    </row>
    <row r="14335" spans="17:17" x14ac:dyDescent="0.25">
      <c r="Q14335" s="8"/>
    </row>
    <row r="14336" spans="17:17" x14ac:dyDescent="0.25">
      <c r="Q14336" s="8"/>
    </row>
    <row r="14337" spans="17:17" x14ac:dyDescent="0.25">
      <c r="Q14337" s="8"/>
    </row>
    <row r="14338" spans="17:17" x14ac:dyDescent="0.25">
      <c r="Q14338" s="8"/>
    </row>
    <row r="14339" spans="17:17" x14ac:dyDescent="0.25">
      <c r="Q14339" s="8"/>
    </row>
    <row r="14340" spans="17:17" x14ac:dyDescent="0.25">
      <c r="Q14340" s="8"/>
    </row>
    <row r="14341" spans="17:17" x14ac:dyDescent="0.25">
      <c r="Q14341" s="8"/>
    </row>
    <row r="14342" spans="17:17" x14ac:dyDescent="0.25">
      <c r="Q14342" s="8"/>
    </row>
    <row r="14343" spans="17:17" x14ac:dyDescent="0.25">
      <c r="Q14343" s="8"/>
    </row>
    <row r="14344" spans="17:17" x14ac:dyDescent="0.25">
      <c r="Q14344" s="8"/>
    </row>
    <row r="14345" spans="17:17" x14ac:dyDescent="0.25">
      <c r="Q14345" s="8"/>
    </row>
    <row r="14346" spans="17:17" x14ac:dyDescent="0.25">
      <c r="Q14346" s="8"/>
    </row>
    <row r="14347" spans="17:17" x14ac:dyDescent="0.25">
      <c r="Q14347" s="8"/>
    </row>
    <row r="14348" spans="17:17" x14ac:dyDescent="0.25">
      <c r="Q14348" s="8"/>
    </row>
    <row r="14349" spans="17:17" x14ac:dyDescent="0.25">
      <c r="Q14349" s="8"/>
    </row>
    <row r="14350" spans="17:17" x14ac:dyDescent="0.25">
      <c r="Q14350" s="8"/>
    </row>
    <row r="14351" spans="17:17" x14ac:dyDescent="0.25">
      <c r="Q14351" s="8"/>
    </row>
    <row r="14352" spans="17:17" x14ac:dyDescent="0.25">
      <c r="Q14352" s="8"/>
    </row>
    <row r="14353" spans="17:17" x14ac:dyDescent="0.25">
      <c r="Q14353" s="8"/>
    </row>
    <row r="14354" spans="17:17" x14ac:dyDescent="0.25">
      <c r="Q14354" s="8"/>
    </row>
    <row r="14355" spans="17:17" x14ac:dyDescent="0.25">
      <c r="Q14355" s="8"/>
    </row>
    <row r="14356" spans="17:17" x14ac:dyDescent="0.25">
      <c r="Q14356" s="8"/>
    </row>
    <row r="14357" spans="17:17" x14ac:dyDescent="0.25">
      <c r="Q14357" s="8"/>
    </row>
    <row r="14358" spans="17:17" x14ac:dyDescent="0.25">
      <c r="Q14358" s="8"/>
    </row>
    <row r="14359" spans="17:17" x14ac:dyDescent="0.25">
      <c r="Q14359" s="8"/>
    </row>
    <row r="14360" spans="17:17" x14ac:dyDescent="0.25">
      <c r="Q14360" s="8"/>
    </row>
    <row r="14361" spans="17:17" x14ac:dyDescent="0.25">
      <c r="Q14361" s="8"/>
    </row>
    <row r="14362" spans="17:17" x14ac:dyDescent="0.25">
      <c r="Q14362" s="8"/>
    </row>
    <row r="14363" spans="17:17" x14ac:dyDescent="0.25">
      <c r="Q14363" s="8"/>
    </row>
    <row r="14364" spans="17:17" x14ac:dyDescent="0.25">
      <c r="Q14364" s="8"/>
    </row>
    <row r="14365" spans="17:17" x14ac:dyDescent="0.25">
      <c r="Q14365" s="8"/>
    </row>
    <row r="14366" spans="17:17" x14ac:dyDescent="0.25">
      <c r="Q14366" s="8"/>
    </row>
    <row r="14367" spans="17:17" x14ac:dyDescent="0.25">
      <c r="Q14367" s="8"/>
    </row>
    <row r="14368" spans="17:17" x14ac:dyDescent="0.25">
      <c r="Q14368" s="8"/>
    </row>
    <row r="14369" spans="17:17" x14ac:dyDescent="0.25">
      <c r="Q14369" s="8"/>
    </row>
    <row r="14370" spans="17:17" x14ac:dyDescent="0.25">
      <c r="Q14370" s="8"/>
    </row>
    <row r="14371" spans="17:17" x14ac:dyDescent="0.25">
      <c r="Q14371" s="8"/>
    </row>
    <row r="14372" spans="17:17" x14ac:dyDescent="0.25">
      <c r="Q14372" s="8"/>
    </row>
    <row r="14373" spans="17:17" x14ac:dyDescent="0.25">
      <c r="Q14373" s="8"/>
    </row>
    <row r="14374" spans="17:17" x14ac:dyDescent="0.25">
      <c r="Q14374" s="8"/>
    </row>
    <row r="14375" spans="17:17" x14ac:dyDescent="0.25">
      <c r="Q14375" s="8"/>
    </row>
    <row r="14376" spans="17:17" x14ac:dyDescent="0.25">
      <c r="Q14376" s="8"/>
    </row>
    <row r="14377" spans="17:17" x14ac:dyDescent="0.25">
      <c r="Q14377" s="8"/>
    </row>
    <row r="14378" spans="17:17" x14ac:dyDescent="0.25">
      <c r="Q14378" s="8"/>
    </row>
    <row r="14379" spans="17:17" x14ac:dyDescent="0.25">
      <c r="Q14379" s="8"/>
    </row>
    <row r="14380" spans="17:17" x14ac:dyDescent="0.25">
      <c r="Q14380" s="8"/>
    </row>
    <row r="14381" spans="17:17" x14ac:dyDescent="0.25">
      <c r="Q14381" s="8"/>
    </row>
    <row r="14382" spans="17:17" x14ac:dyDescent="0.25">
      <c r="Q14382" s="8"/>
    </row>
    <row r="14383" spans="17:17" x14ac:dyDescent="0.25">
      <c r="Q14383" s="8"/>
    </row>
    <row r="14384" spans="17:17" x14ac:dyDescent="0.25">
      <c r="Q14384" s="8"/>
    </row>
    <row r="14385" spans="17:17" x14ac:dyDescent="0.25">
      <c r="Q14385" s="8"/>
    </row>
    <row r="14386" spans="17:17" x14ac:dyDescent="0.25">
      <c r="Q14386" s="8"/>
    </row>
    <row r="14387" spans="17:17" x14ac:dyDescent="0.25">
      <c r="Q14387" s="8"/>
    </row>
    <row r="14388" spans="17:17" x14ac:dyDescent="0.25">
      <c r="Q14388" s="8"/>
    </row>
    <row r="14389" spans="17:17" x14ac:dyDescent="0.25">
      <c r="Q14389" s="8"/>
    </row>
    <row r="14390" spans="17:17" x14ac:dyDescent="0.25">
      <c r="Q14390" s="8"/>
    </row>
    <row r="14391" spans="17:17" x14ac:dyDescent="0.25">
      <c r="Q14391" s="8"/>
    </row>
    <row r="14392" spans="17:17" x14ac:dyDescent="0.25">
      <c r="Q14392" s="8"/>
    </row>
    <row r="14393" spans="17:17" x14ac:dyDescent="0.25">
      <c r="Q14393" s="8"/>
    </row>
    <row r="14394" spans="17:17" x14ac:dyDescent="0.25">
      <c r="Q14394" s="8"/>
    </row>
    <row r="14395" spans="17:17" x14ac:dyDescent="0.25">
      <c r="Q14395" s="8"/>
    </row>
    <row r="14396" spans="17:17" x14ac:dyDescent="0.25">
      <c r="Q14396" s="8"/>
    </row>
    <row r="14397" spans="17:17" x14ac:dyDescent="0.25">
      <c r="Q14397" s="8"/>
    </row>
    <row r="14398" spans="17:17" x14ac:dyDescent="0.25">
      <c r="Q14398" s="8"/>
    </row>
    <row r="14399" spans="17:17" x14ac:dyDescent="0.25">
      <c r="Q14399" s="8"/>
    </row>
    <row r="14400" spans="17:17" x14ac:dyDescent="0.25">
      <c r="Q14400" s="8"/>
    </row>
    <row r="14401" spans="17:17" x14ac:dyDescent="0.25">
      <c r="Q14401" s="8"/>
    </row>
    <row r="14402" spans="17:17" x14ac:dyDescent="0.25">
      <c r="Q14402" s="8"/>
    </row>
    <row r="14403" spans="17:17" x14ac:dyDescent="0.25">
      <c r="Q14403" s="8"/>
    </row>
    <row r="14404" spans="17:17" x14ac:dyDescent="0.25">
      <c r="Q14404" s="8"/>
    </row>
    <row r="14405" spans="17:17" x14ac:dyDescent="0.25">
      <c r="Q14405" s="8"/>
    </row>
    <row r="14406" spans="17:17" x14ac:dyDescent="0.25">
      <c r="Q14406" s="8"/>
    </row>
    <row r="14407" spans="17:17" x14ac:dyDescent="0.25">
      <c r="Q14407" s="8"/>
    </row>
    <row r="14408" spans="17:17" x14ac:dyDescent="0.25">
      <c r="Q14408" s="8"/>
    </row>
    <row r="14409" spans="17:17" x14ac:dyDescent="0.25">
      <c r="Q14409" s="8"/>
    </row>
    <row r="14410" spans="17:17" x14ac:dyDescent="0.25">
      <c r="Q14410" s="8"/>
    </row>
    <row r="14411" spans="17:17" x14ac:dyDescent="0.25">
      <c r="Q14411" s="8"/>
    </row>
    <row r="14412" spans="17:17" x14ac:dyDescent="0.25">
      <c r="Q14412" s="8"/>
    </row>
    <row r="14413" spans="17:17" x14ac:dyDescent="0.25">
      <c r="Q14413" s="8"/>
    </row>
    <row r="14414" spans="17:17" x14ac:dyDescent="0.25">
      <c r="Q14414" s="8"/>
    </row>
    <row r="14415" spans="17:17" x14ac:dyDescent="0.25">
      <c r="Q14415" s="8"/>
    </row>
    <row r="14416" spans="17:17" x14ac:dyDescent="0.25">
      <c r="Q14416" s="8"/>
    </row>
    <row r="14417" spans="17:17" x14ac:dyDescent="0.25">
      <c r="Q14417" s="8"/>
    </row>
    <row r="14418" spans="17:17" x14ac:dyDescent="0.25">
      <c r="Q14418" s="8"/>
    </row>
    <row r="14419" spans="17:17" x14ac:dyDescent="0.25">
      <c r="Q14419" s="8"/>
    </row>
    <row r="14420" spans="17:17" x14ac:dyDescent="0.25">
      <c r="Q14420" s="8"/>
    </row>
    <row r="14421" spans="17:17" x14ac:dyDescent="0.25">
      <c r="Q14421" s="8"/>
    </row>
    <row r="14422" spans="17:17" x14ac:dyDescent="0.25">
      <c r="Q14422" s="8"/>
    </row>
    <row r="14423" spans="17:17" x14ac:dyDescent="0.25">
      <c r="Q14423" s="8"/>
    </row>
    <row r="14424" spans="17:17" x14ac:dyDescent="0.25">
      <c r="Q14424" s="8"/>
    </row>
    <row r="14425" spans="17:17" x14ac:dyDescent="0.25">
      <c r="Q14425" s="8"/>
    </row>
    <row r="14426" spans="17:17" x14ac:dyDescent="0.25">
      <c r="Q14426" s="8"/>
    </row>
    <row r="14427" spans="17:17" x14ac:dyDescent="0.25">
      <c r="Q14427" s="8"/>
    </row>
    <row r="14428" spans="17:17" x14ac:dyDescent="0.25">
      <c r="Q14428" s="8"/>
    </row>
    <row r="14429" spans="17:17" x14ac:dyDescent="0.25">
      <c r="Q14429" s="8"/>
    </row>
    <row r="14430" spans="17:17" x14ac:dyDescent="0.25">
      <c r="Q14430" s="8"/>
    </row>
    <row r="14431" spans="17:17" x14ac:dyDescent="0.25">
      <c r="Q14431" s="8"/>
    </row>
    <row r="14432" spans="17:17" x14ac:dyDescent="0.25">
      <c r="Q14432" s="8"/>
    </row>
    <row r="14433" spans="17:17" x14ac:dyDescent="0.25">
      <c r="Q14433" s="8"/>
    </row>
    <row r="14434" spans="17:17" x14ac:dyDescent="0.25">
      <c r="Q14434" s="8"/>
    </row>
    <row r="14435" spans="17:17" x14ac:dyDescent="0.25">
      <c r="Q14435" s="8"/>
    </row>
    <row r="14436" spans="17:17" x14ac:dyDescent="0.25">
      <c r="Q14436" s="8"/>
    </row>
    <row r="14437" spans="17:17" x14ac:dyDescent="0.25">
      <c r="Q14437" s="8"/>
    </row>
    <row r="14438" spans="17:17" x14ac:dyDescent="0.25">
      <c r="Q14438" s="8"/>
    </row>
    <row r="14439" spans="17:17" x14ac:dyDescent="0.25">
      <c r="Q14439" s="8"/>
    </row>
    <row r="14440" spans="17:17" x14ac:dyDescent="0.25">
      <c r="Q14440" s="8"/>
    </row>
    <row r="14441" spans="17:17" x14ac:dyDescent="0.25">
      <c r="Q14441" s="8"/>
    </row>
    <row r="14442" spans="17:17" x14ac:dyDescent="0.25">
      <c r="Q14442" s="8"/>
    </row>
    <row r="14443" spans="17:17" x14ac:dyDescent="0.25">
      <c r="Q14443" s="8"/>
    </row>
    <row r="14444" spans="17:17" x14ac:dyDescent="0.25">
      <c r="Q14444" s="8"/>
    </row>
    <row r="14445" spans="17:17" x14ac:dyDescent="0.25">
      <c r="Q14445" s="8"/>
    </row>
    <row r="14446" spans="17:17" x14ac:dyDescent="0.25">
      <c r="Q14446" s="8"/>
    </row>
    <row r="14447" spans="17:17" x14ac:dyDescent="0.25">
      <c r="Q14447" s="8"/>
    </row>
    <row r="14448" spans="17:17" x14ac:dyDescent="0.25">
      <c r="Q14448" s="8"/>
    </row>
    <row r="14449" spans="17:17" x14ac:dyDescent="0.25">
      <c r="Q14449" s="8"/>
    </row>
    <row r="14450" spans="17:17" x14ac:dyDescent="0.25">
      <c r="Q14450" s="8"/>
    </row>
    <row r="14451" spans="17:17" x14ac:dyDescent="0.25">
      <c r="Q14451" s="8"/>
    </row>
    <row r="14452" spans="17:17" x14ac:dyDescent="0.25">
      <c r="Q14452" s="8"/>
    </row>
    <row r="14453" spans="17:17" x14ac:dyDescent="0.25">
      <c r="Q14453" s="8"/>
    </row>
    <row r="14454" spans="17:17" x14ac:dyDescent="0.25">
      <c r="Q14454" s="8"/>
    </row>
    <row r="14455" spans="17:17" x14ac:dyDescent="0.25">
      <c r="Q14455" s="8"/>
    </row>
    <row r="14456" spans="17:17" x14ac:dyDescent="0.25">
      <c r="Q14456" s="8"/>
    </row>
    <row r="14457" spans="17:17" x14ac:dyDescent="0.25">
      <c r="Q14457" s="8"/>
    </row>
    <row r="14458" spans="17:17" x14ac:dyDescent="0.25">
      <c r="Q14458" s="8"/>
    </row>
    <row r="14459" spans="17:17" x14ac:dyDescent="0.25">
      <c r="Q14459" s="8"/>
    </row>
    <row r="14460" spans="17:17" x14ac:dyDescent="0.25">
      <c r="Q14460" s="8"/>
    </row>
    <row r="14461" spans="17:17" x14ac:dyDescent="0.25">
      <c r="Q14461" s="8"/>
    </row>
    <row r="14462" spans="17:17" x14ac:dyDescent="0.25">
      <c r="Q14462" s="8"/>
    </row>
    <row r="14463" spans="17:17" x14ac:dyDescent="0.25">
      <c r="Q14463" s="8"/>
    </row>
    <row r="14464" spans="17:17" x14ac:dyDescent="0.25">
      <c r="Q14464" s="8"/>
    </row>
    <row r="14465" spans="17:17" x14ac:dyDescent="0.25">
      <c r="Q14465" s="8"/>
    </row>
    <row r="14466" spans="17:17" x14ac:dyDescent="0.25">
      <c r="Q14466" s="8"/>
    </row>
    <row r="14467" spans="17:17" x14ac:dyDescent="0.25">
      <c r="Q14467" s="8"/>
    </row>
    <row r="14468" spans="17:17" x14ac:dyDescent="0.25">
      <c r="Q14468" s="8"/>
    </row>
    <row r="14469" spans="17:17" x14ac:dyDescent="0.25">
      <c r="Q14469" s="8"/>
    </row>
    <row r="14470" spans="17:17" x14ac:dyDescent="0.25">
      <c r="Q14470" s="8"/>
    </row>
    <row r="14471" spans="17:17" x14ac:dyDescent="0.25">
      <c r="Q14471" s="8"/>
    </row>
    <row r="14472" spans="17:17" x14ac:dyDescent="0.25">
      <c r="Q14472" s="8"/>
    </row>
    <row r="14473" spans="17:17" x14ac:dyDescent="0.25">
      <c r="Q14473" s="8"/>
    </row>
    <row r="14474" spans="17:17" x14ac:dyDescent="0.25">
      <c r="Q14474" s="8"/>
    </row>
    <row r="14475" spans="17:17" x14ac:dyDescent="0.25">
      <c r="Q14475" s="8"/>
    </row>
    <row r="14476" spans="17:17" x14ac:dyDescent="0.25">
      <c r="Q14476" s="8"/>
    </row>
    <row r="14477" spans="17:17" x14ac:dyDescent="0.25">
      <c r="Q14477" s="8"/>
    </row>
    <row r="14478" spans="17:17" x14ac:dyDescent="0.25">
      <c r="Q14478" s="8"/>
    </row>
    <row r="14479" spans="17:17" x14ac:dyDescent="0.25">
      <c r="Q14479" s="8"/>
    </row>
    <row r="14480" spans="17:17" x14ac:dyDescent="0.25">
      <c r="Q14480" s="8"/>
    </row>
    <row r="14481" spans="17:17" x14ac:dyDescent="0.25">
      <c r="Q14481" s="8"/>
    </row>
    <row r="14482" spans="17:17" x14ac:dyDescent="0.25">
      <c r="Q14482" s="8"/>
    </row>
    <row r="14483" spans="17:17" x14ac:dyDescent="0.25">
      <c r="Q14483" s="8"/>
    </row>
    <row r="14484" spans="17:17" x14ac:dyDescent="0.25">
      <c r="Q14484" s="8"/>
    </row>
    <row r="14485" spans="17:17" x14ac:dyDescent="0.25">
      <c r="Q14485" s="8"/>
    </row>
    <row r="14486" spans="17:17" x14ac:dyDescent="0.25">
      <c r="Q14486" s="8"/>
    </row>
    <row r="14487" spans="17:17" x14ac:dyDescent="0.25">
      <c r="Q14487" s="8"/>
    </row>
    <row r="14488" spans="17:17" x14ac:dyDescent="0.25">
      <c r="Q14488" s="8"/>
    </row>
    <row r="14489" spans="17:17" x14ac:dyDescent="0.25">
      <c r="Q14489" s="8"/>
    </row>
    <row r="14490" spans="17:17" x14ac:dyDescent="0.25">
      <c r="Q14490" s="8"/>
    </row>
    <row r="14491" spans="17:17" x14ac:dyDescent="0.25">
      <c r="Q14491" s="8"/>
    </row>
    <row r="14492" spans="17:17" x14ac:dyDescent="0.25">
      <c r="Q14492" s="8"/>
    </row>
    <row r="14493" spans="17:17" x14ac:dyDescent="0.25">
      <c r="Q14493" s="8"/>
    </row>
    <row r="14494" spans="17:17" x14ac:dyDescent="0.25">
      <c r="Q14494" s="8"/>
    </row>
    <row r="14495" spans="17:17" x14ac:dyDescent="0.25">
      <c r="Q14495" s="8"/>
    </row>
    <row r="14496" spans="17:17" x14ac:dyDescent="0.25">
      <c r="Q14496" s="8"/>
    </row>
    <row r="14497" spans="17:17" x14ac:dyDescent="0.25">
      <c r="Q14497" s="8"/>
    </row>
    <row r="14498" spans="17:17" x14ac:dyDescent="0.25">
      <c r="Q14498" s="8"/>
    </row>
    <row r="14499" spans="17:17" x14ac:dyDescent="0.25">
      <c r="Q14499" s="8"/>
    </row>
    <row r="14500" spans="17:17" x14ac:dyDescent="0.25">
      <c r="Q14500" s="8"/>
    </row>
    <row r="14501" spans="17:17" x14ac:dyDescent="0.25">
      <c r="Q14501" s="8"/>
    </row>
    <row r="14502" spans="17:17" x14ac:dyDescent="0.25">
      <c r="Q14502" s="8"/>
    </row>
    <row r="14503" spans="17:17" x14ac:dyDescent="0.25">
      <c r="Q14503" s="8"/>
    </row>
    <row r="14504" spans="17:17" x14ac:dyDescent="0.25">
      <c r="Q14504" s="8"/>
    </row>
    <row r="14505" spans="17:17" x14ac:dyDescent="0.25">
      <c r="Q14505" s="8"/>
    </row>
    <row r="14506" spans="17:17" x14ac:dyDescent="0.25">
      <c r="Q14506" s="8"/>
    </row>
    <row r="14507" spans="17:17" x14ac:dyDescent="0.25">
      <c r="Q14507" s="8"/>
    </row>
    <row r="14508" spans="17:17" x14ac:dyDescent="0.25">
      <c r="Q14508" s="8"/>
    </row>
    <row r="14509" spans="17:17" x14ac:dyDescent="0.25">
      <c r="Q14509" s="8"/>
    </row>
    <row r="14510" spans="17:17" x14ac:dyDescent="0.25">
      <c r="Q14510" s="8"/>
    </row>
    <row r="14511" spans="17:17" x14ac:dyDescent="0.25">
      <c r="Q14511" s="8"/>
    </row>
    <row r="14512" spans="17:17" x14ac:dyDescent="0.25">
      <c r="Q14512" s="8"/>
    </row>
    <row r="14513" spans="17:17" x14ac:dyDescent="0.25">
      <c r="Q14513" s="8"/>
    </row>
    <row r="14514" spans="17:17" x14ac:dyDescent="0.25">
      <c r="Q14514" s="8"/>
    </row>
    <row r="14515" spans="17:17" x14ac:dyDescent="0.25">
      <c r="Q14515" s="8"/>
    </row>
    <row r="14516" spans="17:17" x14ac:dyDescent="0.25">
      <c r="Q14516" s="8"/>
    </row>
    <row r="14517" spans="17:17" x14ac:dyDescent="0.25">
      <c r="Q14517" s="8"/>
    </row>
    <row r="14518" spans="17:17" x14ac:dyDescent="0.25">
      <c r="Q14518" s="8"/>
    </row>
    <row r="14519" spans="17:17" x14ac:dyDescent="0.25">
      <c r="Q14519" s="8"/>
    </row>
    <row r="14520" spans="17:17" x14ac:dyDescent="0.25">
      <c r="Q14520" s="8"/>
    </row>
    <row r="14521" spans="17:17" x14ac:dyDescent="0.25">
      <c r="Q14521" s="8"/>
    </row>
    <row r="14522" spans="17:17" x14ac:dyDescent="0.25">
      <c r="Q14522" s="8"/>
    </row>
    <row r="14523" spans="17:17" x14ac:dyDescent="0.25">
      <c r="Q14523" s="8"/>
    </row>
    <row r="14524" spans="17:17" x14ac:dyDescent="0.25">
      <c r="Q14524" s="8"/>
    </row>
    <row r="14525" spans="17:17" x14ac:dyDescent="0.25">
      <c r="Q14525" s="8"/>
    </row>
    <row r="14526" spans="17:17" x14ac:dyDescent="0.25">
      <c r="Q14526" s="8"/>
    </row>
    <row r="14527" spans="17:17" x14ac:dyDescent="0.25">
      <c r="Q14527" s="8"/>
    </row>
    <row r="14528" spans="17:17" x14ac:dyDescent="0.25">
      <c r="Q14528" s="8"/>
    </row>
    <row r="14529" spans="17:17" x14ac:dyDescent="0.25">
      <c r="Q14529" s="8"/>
    </row>
    <row r="14530" spans="17:17" x14ac:dyDescent="0.25">
      <c r="Q14530" s="8"/>
    </row>
    <row r="14531" spans="17:17" x14ac:dyDescent="0.25">
      <c r="Q14531" s="8"/>
    </row>
    <row r="14532" spans="17:17" x14ac:dyDescent="0.25">
      <c r="Q14532" s="8"/>
    </row>
    <row r="14533" spans="17:17" x14ac:dyDescent="0.25">
      <c r="Q14533" s="8"/>
    </row>
    <row r="14534" spans="17:17" x14ac:dyDescent="0.25">
      <c r="Q14534" s="8"/>
    </row>
    <row r="14535" spans="17:17" x14ac:dyDescent="0.25">
      <c r="Q14535" s="8"/>
    </row>
    <row r="14536" spans="17:17" x14ac:dyDescent="0.25">
      <c r="Q14536" s="8"/>
    </row>
    <row r="14537" spans="17:17" x14ac:dyDescent="0.25">
      <c r="Q14537" s="8"/>
    </row>
    <row r="14538" spans="17:17" x14ac:dyDescent="0.25">
      <c r="Q14538" s="8"/>
    </row>
    <row r="14539" spans="17:17" x14ac:dyDescent="0.25">
      <c r="Q14539" s="8"/>
    </row>
    <row r="14540" spans="17:17" x14ac:dyDescent="0.25">
      <c r="Q14540" s="8"/>
    </row>
    <row r="14541" spans="17:17" x14ac:dyDescent="0.25">
      <c r="Q14541" s="8"/>
    </row>
    <row r="14542" spans="17:17" x14ac:dyDescent="0.25">
      <c r="Q14542" s="8"/>
    </row>
    <row r="14543" spans="17:17" x14ac:dyDescent="0.25">
      <c r="Q14543" s="8"/>
    </row>
    <row r="14544" spans="17:17" x14ac:dyDescent="0.25">
      <c r="Q14544" s="8"/>
    </row>
    <row r="14545" spans="17:17" x14ac:dyDescent="0.25">
      <c r="Q14545" s="8"/>
    </row>
    <row r="14546" spans="17:17" x14ac:dyDescent="0.25">
      <c r="Q14546" s="8"/>
    </row>
    <row r="14547" spans="17:17" x14ac:dyDescent="0.25">
      <c r="Q14547" s="8"/>
    </row>
    <row r="14548" spans="17:17" x14ac:dyDescent="0.25">
      <c r="Q14548" s="8"/>
    </row>
    <row r="14549" spans="17:17" x14ac:dyDescent="0.25">
      <c r="Q14549" s="8"/>
    </row>
    <row r="14550" spans="17:17" x14ac:dyDescent="0.25">
      <c r="Q14550" s="8"/>
    </row>
    <row r="14551" spans="17:17" x14ac:dyDescent="0.25">
      <c r="Q14551" s="8"/>
    </row>
    <row r="14552" spans="17:17" x14ac:dyDescent="0.25">
      <c r="Q14552" s="8"/>
    </row>
    <row r="14553" spans="17:17" x14ac:dyDescent="0.25">
      <c r="Q14553" s="8"/>
    </row>
    <row r="14554" spans="17:17" x14ac:dyDescent="0.25">
      <c r="Q14554" s="8"/>
    </row>
    <row r="14555" spans="17:17" x14ac:dyDescent="0.25">
      <c r="Q14555" s="8"/>
    </row>
    <row r="14556" spans="17:17" x14ac:dyDescent="0.25">
      <c r="Q14556" s="8"/>
    </row>
    <row r="14557" spans="17:17" x14ac:dyDescent="0.25">
      <c r="Q14557" s="8"/>
    </row>
    <row r="14558" spans="17:17" x14ac:dyDescent="0.25">
      <c r="Q14558" s="8"/>
    </row>
    <row r="14559" spans="17:17" x14ac:dyDescent="0.25">
      <c r="Q14559" s="8"/>
    </row>
    <row r="14560" spans="17:17" x14ac:dyDescent="0.25">
      <c r="Q14560" s="8"/>
    </row>
    <row r="14561" spans="17:17" x14ac:dyDescent="0.25">
      <c r="Q14561" s="8"/>
    </row>
    <row r="14562" spans="17:17" x14ac:dyDescent="0.25">
      <c r="Q14562" s="8"/>
    </row>
    <row r="14563" spans="17:17" x14ac:dyDescent="0.25">
      <c r="Q14563" s="8"/>
    </row>
    <row r="14564" spans="17:17" x14ac:dyDescent="0.25">
      <c r="Q14564" s="8"/>
    </row>
    <row r="14565" spans="17:17" x14ac:dyDescent="0.25">
      <c r="Q14565" s="8"/>
    </row>
    <row r="14566" spans="17:17" x14ac:dyDescent="0.25">
      <c r="Q14566" s="8"/>
    </row>
    <row r="14567" spans="17:17" x14ac:dyDescent="0.25">
      <c r="Q14567" s="8"/>
    </row>
    <row r="14568" spans="17:17" x14ac:dyDescent="0.25">
      <c r="Q14568" s="8"/>
    </row>
    <row r="14569" spans="17:17" x14ac:dyDescent="0.25">
      <c r="Q14569" s="8"/>
    </row>
    <row r="14570" spans="17:17" x14ac:dyDescent="0.25">
      <c r="Q14570" s="8"/>
    </row>
    <row r="14571" spans="17:17" x14ac:dyDescent="0.25">
      <c r="Q14571" s="8"/>
    </row>
    <row r="14572" spans="17:17" x14ac:dyDescent="0.25">
      <c r="Q14572" s="8"/>
    </row>
    <row r="14573" spans="17:17" x14ac:dyDescent="0.25">
      <c r="Q14573" s="8"/>
    </row>
    <row r="14574" spans="17:17" x14ac:dyDescent="0.25">
      <c r="Q14574" s="8"/>
    </row>
    <row r="14575" spans="17:17" x14ac:dyDescent="0.25">
      <c r="Q14575" s="8"/>
    </row>
    <row r="14576" spans="17:17" x14ac:dyDescent="0.25">
      <c r="Q14576" s="8"/>
    </row>
    <row r="14577" spans="17:17" x14ac:dyDescent="0.25">
      <c r="Q14577" s="8"/>
    </row>
    <row r="14578" spans="17:17" x14ac:dyDescent="0.25">
      <c r="Q14578" s="8"/>
    </row>
    <row r="14579" spans="17:17" x14ac:dyDescent="0.25">
      <c r="Q14579" s="8"/>
    </row>
    <row r="14580" spans="17:17" x14ac:dyDescent="0.25">
      <c r="Q14580" s="8"/>
    </row>
    <row r="14581" spans="17:17" x14ac:dyDescent="0.25">
      <c r="Q14581" s="8"/>
    </row>
    <row r="14582" spans="17:17" x14ac:dyDescent="0.25">
      <c r="Q14582" s="8"/>
    </row>
    <row r="14583" spans="17:17" x14ac:dyDescent="0.25">
      <c r="Q14583" s="8"/>
    </row>
    <row r="14584" spans="17:17" x14ac:dyDescent="0.25">
      <c r="Q14584" s="8"/>
    </row>
    <row r="14585" spans="17:17" x14ac:dyDescent="0.25">
      <c r="Q14585" s="8"/>
    </row>
    <row r="14586" spans="17:17" x14ac:dyDescent="0.25">
      <c r="Q14586" s="8"/>
    </row>
    <row r="14587" spans="17:17" x14ac:dyDescent="0.25">
      <c r="Q14587" s="8"/>
    </row>
    <row r="14588" spans="17:17" x14ac:dyDescent="0.25">
      <c r="Q14588" s="8"/>
    </row>
    <row r="14589" spans="17:17" x14ac:dyDescent="0.25">
      <c r="Q14589" s="8"/>
    </row>
    <row r="14590" spans="17:17" x14ac:dyDescent="0.25">
      <c r="Q14590" s="8"/>
    </row>
    <row r="14591" spans="17:17" x14ac:dyDescent="0.25">
      <c r="Q14591" s="8"/>
    </row>
    <row r="14592" spans="17:17" x14ac:dyDescent="0.25">
      <c r="Q14592" s="8"/>
    </row>
    <row r="14593" spans="17:17" x14ac:dyDescent="0.25">
      <c r="Q14593" s="8"/>
    </row>
    <row r="14594" spans="17:17" x14ac:dyDescent="0.25">
      <c r="Q14594" s="8"/>
    </row>
    <row r="14595" spans="17:17" x14ac:dyDescent="0.25">
      <c r="Q14595" s="8"/>
    </row>
    <row r="14596" spans="17:17" x14ac:dyDescent="0.25">
      <c r="Q14596" s="8"/>
    </row>
    <row r="14597" spans="17:17" x14ac:dyDescent="0.25">
      <c r="Q14597" s="8"/>
    </row>
    <row r="14598" spans="17:17" x14ac:dyDescent="0.25">
      <c r="Q14598" s="8"/>
    </row>
    <row r="14599" spans="17:17" x14ac:dyDescent="0.25">
      <c r="Q14599" s="8"/>
    </row>
    <row r="14600" spans="17:17" x14ac:dyDescent="0.25">
      <c r="Q14600" s="8"/>
    </row>
    <row r="14601" spans="17:17" x14ac:dyDescent="0.25">
      <c r="Q14601" s="8"/>
    </row>
    <row r="14602" spans="17:17" x14ac:dyDescent="0.25">
      <c r="Q14602" s="8"/>
    </row>
    <row r="14603" spans="17:17" x14ac:dyDescent="0.25">
      <c r="Q14603" s="8"/>
    </row>
    <row r="14604" spans="17:17" x14ac:dyDescent="0.25">
      <c r="Q14604" s="8"/>
    </row>
    <row r="14605" spans="17:17" x14ac:dyDescent="0.25">
      <c r="Q14605" s="8"/>
    </row>
    <row r="14606" spans="17:17" x14ac:dyDescent="0.25">
      <c r="Q14606" s="8"/>
    </row>
    <row r="14607" spans="17:17" x14ac:dyDescent="0.25">
      <c r="Q14607" s="8"/>
    </row>
    <row r="14608" spans="17:17" x14ac:dyDescent="0.25">
      <c r="Q14608" s="8"/>
    </row>
    <row r="14609" spans="17:17" x14ac:dyDescent="0.25">
      <c r="Q14609" s="8"/>
    </row>
    <row r="14610" spans="17:17" x14ac:dyDescent="0.25">
      <c r="Q14610" s="8"/>
    </row>
    <row r="14611" spans="17:17" x14ac:dyDescent="0.25">
      <c r="Q14611" s="8"/>
    </row>
    <row r="14612" spans="17:17" x14ac:dyDescent="0.25">
      <c r="Q14612" s="8"/>
    </row>
    <row r="14613" spans="17:17" x14ac:dyDescent="0.25">
      <c r="Q14613" s="8"/>
    </row>
    <row r="14614" spans="17:17" x14ac:dyDescent="0.25">
      <c r="Q14614" s="8"/>
    </row>
    <row r="14615" spans="17:17" x14ac:dyDescent="0.25">
      <c r="Q14615" s="8"/>
    </row>
    <row r="14616" spans="17:17" x14ac:dyDescent="0.25">
      <c r="Q14616" s="8"/>
    </row>
    <row r="14617" spans="17:17" x14ac:dyDescent="0.25">
      <c r="Q14617" s="8"/>
    </row>
    <row r="14618" spans="17:17" x14ac:dyDescent="0.25">
      <c r="Q14618" s="8"/>
    </row>
    <row r="14619" spans="17:17" x14ac:dyDescent="0.25">
      <c r="Q14619" s="8"/>
    </row>
    <row r="14620" spans="17:17" x14ac:dyDescent="0.25">
      <c r="Q14620" s="8"/>
    </row>
    <row r="14621" spans="17:17" x14ac:dyDescent="0.25">
      <c r="Q14621" s="8"/>
    </row>
    <row r="14622" spans="17:17" x14ac:dyDescent="0.25">
      <c r="Q14622" s="8"/>
    </row>
    <row r="14623" spans="17:17" x14ac:dyDescent="0.25">
      <c r="Q14623" s="8"/>
    </row>
    <row r="14624" spans="17:17" x14ac:dyDescent="0.25">
      <c r="Q14624" s="8"/>
    </row>
    <row r="14625" spans="17:17" x14ac:dyDescent="0.25">
      <c r="Q14625" s="8"/>
    </row>
    <row r="14626" spans="17:17" x14ac:dyDescent="0.25">
      <c r="Q14626" s="8"/>
    </row>
    <row r="14627" spans="17:17" x14ac:dyDescent="0.25">
      <c r="Q14627" s="8"/>
    </row>
    <row r="14628" spans="17:17" x14ac:dyDescent="0.25">
      <c r="Q14628" s="8"/>
    </row>
    <row r="14629" spans="17:17" x14ac:dyDescent="0.25">
      <c r="Q14629" s="8"/>
    </row>
    <row r="14630" spans="17:17" x14ac:dyDescent="0.25">
      <c r="Q14630" s="8"/>
    </row>
    <row r="14631" spans="17:17" x14ac:dyDescent="0.25">
      <c r="Q14631" s="8"/>
    </row>
    <row r="14632" spans="17:17" x14ac:dyDescent="0.25">
      <c r="Q14632" s="8"/>
    </row>
    <row r="14633" spans="17:17" x14ac:dyDescent="0.25">
      <c r="Q14633" s="8"/>
    </row>
    <row r="14634" spans="17:17" x14ac:dyDescent="0.25">
      <c r="Q14634" s="8"/>
    </row>
    <row r="14635" spans="17:17" x14ac:dyDescent="0.25">
      <c r="Q14635" s="8"/>
    </row>
    <row r="14636" spans="17:17" x14ac:dyDescent="0.25">
      <c r="Q14636" s="8"/>
    </row>
    <row r="14637" spans="17:17" x14ac:dyDescent="0.25">
      <c r="Q14637" s="8"/>
    </row>
    <row r="14638" spans="17:17" x14ac:dyDescent="0.25">
      <c r="Q14638" s="8"/>
    </row>
    <row r="14639" spans="17:17" x14ac:dyDescent="0.25">
      <c r="Q14639" s="8"/>
    </row>
    <row r="14640" spans="17:17" x14ac:dyDescent="0.25">
      <c r="Q14640" s="8"/>
    </row>
    <row r="14641" spans="17:17" x14ac:dyDescent="0.25">
      <c r="Q14641" s="8"/>
    </row>
    <row r="14642" spans="17:17" x14ac:dyDescent="0.25">
      <c r="Q14642" s="8"/>
    </row>
    <row r="14643" spans="17:17" x14ac:dyDescent="0.25">
      <c r="Q14643" s="8"/>
    </row>
    <row r="14644" spans="17:17" x14ac:dyDescent="0.25">
      <c r="Q14644" s="8"/>
    </row>
    <row r="14645" spans="17:17" x14ac:dyDescent="0.25">
      <c r="Q14645" s="8"/>
    </row>
    <row r="14646" spans="17:17" x14ac:dyDescent="0.25">
      <c r="Q14646" s="8"/>
    </row>
    <row r="14647" spans="17:17" x14ac:dyDescent="0.25">
      <c r="Q14647" s="8"/>
    </row>
    <row r="14648" spans="17:17" x14ac:dyDescent="0.25">
      <c r="Q14648" s="8"/>
    </row>
    <row r="14649" spans="17:17" x14ac:dyDescent="0.25">
      <c r="Q14649" s="8"/>
    </row>
    <row r="14650" spans="17:17" x14ac:dyDescent="0.25">
      <c r="Q14650" s="8"/>
    </row>
    <row r="14651" spans="17:17" x14ac:dyDescent="0.25">
      <c r="Q14651" s="8"/>
    </row>
    <row r="14652" spans="17:17" x14ac:dyDescent="0.25">
      <c r="Q14652" s="8"/>
    </row>
    <row r="14653" spans="17:17" x14ac:dyDescent="0.25">
      <c r="Q14653" s="8"/>
    </row>
    <row r="14654" spans="17:17" x14ac:dyDescent="0.25">
      <c r="Q14654" s="8"/>
    </row>
    <row r="14655" spans="17:17" x14ac:dyDescent="0.25">
      <c r="Q14655" s="8"/>
    </row>
    <row r="14656" spans="17:17" x14ac:dyDescent="0.25">
      <c r="Q14656" s="8"/>
    </row>
    <row r="14657" spans="17:17" x14ac:dyDescent="0.25">
      <c r="Q14657" s="8"/>
    </row>
    <row r="14658" spans="17:17" x14ac:dyDescent="0.25">
      <c r="Q14658" s="8"/>
    </row>
    <row r="14659" spans="17:17" x14ac:dyDescent="0.25">
      <c r="Q14659" s="8"/>
    </row>
    <row r="14660" spans="17:17" x14ac:dyDescent="0.25">
      <c r="Q14660" s="8"/>
    </row>
    <row r="14661" spans="17:17" x14ac:dyDescent="0.25">
      <c r="Q14661" s="8"/>
    </row>
    <row r="14662" spans="17:17" x14ac:dyDescent="0.25">
      <c r="Q14662" s="8"/>
    </row>
    <row r="14663" spans="17:17" x14ac:dyDescent="0.25">
      <c r="Q14663" s="8"/>
    </row>
    <row r="14664" spans="17:17" x14ac:dyDescent="0.25">
      <c r="Q14664" s="8"/>
    </row>
    <row r="14665" spans="17:17" x14ac:dyDescent="0.25">
      <c r="Q14665" s="8"/>
    </row>
    <row r="14666" spans="17:17" x14ac:dyDescent="0.25">
      <c r="Q14666" s="8"/>
    </row>
    <row r="14667" spans="17:17" x14ac:dyDescent="0.25">
      <c r="Q14667" s="8"/>
    </row>
    <row r="14668" spans="17:17" x14ac:dyDescent="0.25">
      <c r="Q14668" s="8"/>
    </row>
    <row r="14669" spans="17:17" x14ac:dyDescent="0.25">
      <c r="Q14669" s="8"/>
    </row>
    <row r="14670" spans="17:17" x14ac:dyDescent="0.25">
      <c r="Q14670" s="8"/>
    </row>
    <row r="14671" spans="17:17" x14ac:dyDescent="0.25">
      <c r="Q14671" s="8"/>
    </row>
    <row r="14672" spans="17:17" x14ac:dyDescent="0.25">
      <c r="Q14672" s="8"/>
    </row>
    <row r="14673" spans="17:17" x14ac:dyDescent="0.25">
      <c r="Q14673" s="8"/>
    </row>
    <row r="14674" spans="17:17" x14ac:dyDescent="0.25">
      <c r="Q14674" s="8"/>
    </row>
    <row r="14675" spans="17:17" x14ac:dyDescent="0.25">
      <c r="Q14675" s="8"/>
    </row>
    <row r="14676" spans="17:17" x14ac:dyDescent="0.25">
      <c r="Q14676" s="8"/>
    </row>
    <row r="14677" spans="17:17" x14ac:dyDescent="0.25">
      <c r="Q14677" s="8"/>
    </row>
    <row r="14678" spans="17:17" x14ac:dyDescent="0.25">
      <c r="Q14678" s="8"/>
    </row>
    <row r="14679" spans="17:17" x14ac:dyDescent="0.25">
      <c r="Q14679" s="8"/>
    </row>
    <row r="14680" spans="17:17" x14ac:dyDescent="0.25">
      <c r="Q14680" s="8"/>
    </row>
    <row r="14681" spans="17:17" x14ac:dyDescent="0.25">
      <c r="Q14681" s="8"/>
    </row>
    <row r="14682" spans="17:17" x14ac:dyDescent="0.25">
      <c r="Q14682" s="8"/>
    </row>
    <row r="14683" spans="17:17" x14ac:dyDescent="0.25">
      <c r="Q14683" s="8"/>
    </row>
    <row r="14684" spans="17:17" x14ac:dyDescent="0.25">
      <c r="Q14684" s="8"/>
    </row>
    <row r="14685" spans="17:17" x14ac:dyDescent="0.25">
      <c r="Q14685" s="8"/>
    </row>
    <row r="14686" spans="17:17" x14ac:dyDescent="0.25">
      <c r="Q14686" s="8"/>
    </row>
    <row r="14687" spans="17:17" x14ac:dyDescent="0.25">
      <c r="Q14687" s="8"/>
    </row>
    <row r="14688" spans="17:17" x14ac:dyDescent="0.25">
      <c r="Q14688" s="8"/>
    </row>
    <row r="14689" spans="17:17" x14ac:dyDescent="0.25">
      <c r="Q14689" s="8"/>
    </row>
    <row r="14690" spans="17:17" x14ac:dyDescent="0.25">
      <c r="Q14690" s="8"/>
    </row>
    <row r="14691" spans="17:17" x14ac:dyDescent="0.25">
      <c r="Q14691" s="8"/>
    </row>
    <row r="14692" spans="17:17" x14ac:dyDescent="0.25">
      <c r="Q14692" s="8"/>
    </row>
    <row r="14693" spans="17:17" x14ac:dyDescent="0.25">
      <c r="Q14693" s="8"/>
    </row>
    <row r="14694" spans="17:17" x14ac:dyDescent="0.25">
      <c r="Q14694" s="8"/>
    </row>
    <row r="14695" spans="17:17" x14ac:dyDescent="0.25">
      <c r="Q14695" s="8"/>
    </row>
    <row r="14696" spans="17:17" x14ac:dyDescent="0.25">
      <c r="Q14696" s="8"/>
    </row>
    <row r="14697" spans="17:17" x14ac:dyDescent="0.25">
      <c r="Q14697" s="8"/>
    </row>
    <row r="14698" spans="17:17" x14ac:dyDescent="0.25">
      <c r="Q14698" s="8"/>
    </row>
    <row r="14699" spans="17:17" x14ac:dyDescent="0.25">
      <c r="Q14699" s="8"/>
    </row>
    <row r="14700" spans="17:17" x14ac:dyDescent="0.25">
      <c r="Q14700" s="8"/>
    </row>
    <row r="14701" spans="17:17" x14ac:dyDescent="0.25">
      <c r="Q14701" s="8"/>
    </row>
    <row r="14702" spans="17:17" x14ac:dyDescent="0.25">
      <c r="Q14702" s="8"/>
    </row>
    <row r="14703" spans="17:17" x14ac:dyDescent="0.25">
      <c r="Q14703" s="8"/>
    </row>
    <row r="14704" spans="17:17" x14ac:dyDescent="0.25">
      <c r="Q14704" s="8"/>
    </row>
    <row r="14705" spans="17:17" x14ac:dyDescent="0.25">
      <c r="Q14705" s="8"/>
    </row>
    <row r="14706" spans="17:17" x14ac:dyDescent="0.25">
      <c r="Q14706" s="8"/>
    </row>
    <row r="14707" spans="17:17" x14ac:dyDescent="0.25">
      <c r="Q14707" s="8"/>
    </row>
    <row r="14708" spans="17:17" x14ac:dyDescent="0.25">
      <c r="Q14708" s="8"/>
    </row>
    <row r="14709" spans="17:17" x14ac:dyDescent="0.25">
      <c r="Q14709" s="8"/>
    </row>
    <row r="14710" spans="17:17" x14ac:dyDescent="0.25">
      <c r="Q14710" s="8"/>
    </row>
    <row r="14711" spans="17:17" x14ac:dyDescent="0.25">
      <c r="Q14711" s="8"/>
    </row>
    <row r="14712" spans="17:17" x14ac:dyDescent="0.25">
      <c r="Q14712" s="8"/>
    </row>
    <row r="14713" spans="17:17" x14ac:dyDescent="0.25">
      <c r="Q14713" s="8"/>
    </row>
    <row r="14714" spans="17:17" x14ac:dyDescent="0.25">
      <c r="Q14714" s="8"/>
    </row>
    <row r="14715" spans="17:17" x14ac:dyDescent="0.25">
      <c r="Q14715" s="8"/>
    </row>
    <row r="14716" spans="17:17" x14ac:dyDescent="0.25">
      <c r="Q14716" s="8"/>
    </row>
    <row r="14717" spans="17:17" x14ac:dyDescent="0.25">
      <c r="Q14717" s="8"/>
    </row>
    <row r="14718" spans="17:17" x14ac:dyDescent="0.25">
      <c r="Q14718" s="8"/>
    </row>
    <row r="14719" spans="17:17" x14ac:dyDescent="0.25">
      <c r="Q14719" s="8"/>
    </row>
    <row r="14720" spans="17:17" x14ac:dyDescent="0.25">
      <c r="Q14720" s="8"/>
    </row>
    <row r="14721" spans="17:17" x14ac:dyDescent="0.25">
      <c r="Q14721" s="8"/>
    </row>
    <row r="14722" spans="17:17" x14ac:dyDescent="0.25">
      <c r="Q14722" s="8"/>
    </row>
    <row r="14723" spans="17:17" x14ac:dyDescent="0.25">
      <c r="Q14723" s="8"/>
    </row>
    <row r="14724" spans="17:17" x14ac:dyDescent="0.25">
      <c r="Q14724" s="8"/>
    </row>
    <row r="14725" spans="17:17" x14ac:dyDescent="0.25">
      <c r="Q14725" s="8"/>
    </row>
    <row r="14726" spans="17:17" x14ac:dyDescent="0.25">
      <c r="Q14726" s="8"/>
    </row>
    <row r="14727" spans="17:17" x14ac:dyDescent="0.25">
      <c r="Q14727" s="8"/>
    </row>
    <row r="14728" spans="17:17" x14ac:dyDescent="0.25">
      <c r="Q14728" s="8"/>
    </row>
    <row r="14729" spans="17:17" x14ac:dyDescent="0.25">
      <c r="Q14729" s="8"/>
    </row>
    <row r="14730" spans="17:17" x14ac:dyDescent="0.25">
      <c r="Q14730" s="8"/>
    </row>
    <row r="14731" spans="17:17" x14ac:dyDescent="0.25">
      <c r="Q14731" s="8"/>
    </row>
    <row r="14732" spans="17:17" x14ac:dyDescent="0.25">
      <c r="Q14732" s="8"/>
    </row>
    <row r="14733" spans="17:17" x14ac:dyDescent="0.25">
      <c r="Q14733" s="8"/>
    </row>
    <row r="14734" spans="17:17" x14ac:dyDescent="0.25">
      <c r="Q14734" s="8"/>
    </row>
    <row r="14735" spans="17:17" x14ac:dyDescent="0.25">
      <c r="Q14735" s="8"/>
    </row>
    <row r="14736" spans="17:17" x14ac:dyDescent="0.25">
      <c r="Q14736" s="8"/>
    </row>
    <row r="14737" spans="17:17" x14ac:dyDescent="0.25">
      <c r="Q14737" s="8"/>
    </row>
    <row r="14738" spans="17:17" x14ac:dyDescent="0.25">
      <c r="Q14738" s="8"/>
    </row>
    <row r="14739" spans="17:17" x14ac:dyDescent="0.25">
      <c r="Q14739" s="8"/>
    </row>
    <row r="14740" spans="17:17" x14ac:dyDescent="0.25">
      <c r="Q14740" s="8"/>
    </row>
    <row r="14741" spans="17:17" x14ac:dyDescent="0.25">
      <c r="Q14741" s="8"/>
    </row>
    <row r="14742" spans="17:17" x14ac:dyDescent="0.25">
      <c r="Q14742" s="8"/>
    </row>
    <row r="14743" spans="17:17" x14ac:dyDescent="0.25">
      <c r="Q14743" s="8"/>
    </row>
    <row r="14744" spans="17:17" x14ac:dyDescent="0.25">
      <c r="Q14744" s="8"/>
    </row>
    <row r="14745" spans="17:17" x14ac:dyDescent="0.25">
      <c r="Q14745" s="8"/>
    </row>
    <row r="14746" spans="17:17" x14ac:dyDescent="0.25">
      <c r="Q14746" s="8"/>
    </row>
    <row r="14747" spans="17:17" x14ac:dyDescent="0.25">
      <c r="Q14747" s="8"/>
    </row>
    <row r="14748" spans="17:17" x14ac:dyDescent="0.25">
      <c r="Q14748" s="8"/>
    </row>
    <row r="14749" spans="17:17" x14ac:dyDescent="0.25">
      <c r="Q14749" s="8"/>
    </row>
    <row r="14750" spans="17:17" x14ac:dyDescent="0.25">
      <c r="Q14750" s="8"/>
    </row>
    <row r="14751" spans="17:17" x14ac:dyDescent="0.25">
      <c r="Q14751" s="8"/>
    </row>
    <row r="14752" spans="17:17" x14ac:dyDescent="0.25">
      <c r="Q14752" s="8"/>
    </row>
    <row r="14753" spans="17:17" x14ac:dyDescent="0.25">
      <c r="Q14753" s="8"/>
    </row>
    <row r="14754" spans="17:17" x14ac:dyDescent="0.25">
      <c r="Q14754" s="8"/>
    </row>
    <row r="14755" spans="17:17" x14ac:dyDescent="0.25">
      <c r="Q14755" s="8"/>
    </row>
    <row r="14756" spans="17:17" x14ac:dyDescent="0.25">
      <c r="Q14756" s="8"/>
    </row>
    <row r="14757" spans="17:17" x14ac:dyDescent="0.25">
      <c r="Q14757" s="8"/>
    </row>
    <row r="14758" spans="17:17" x14ac:dyDescent="0.25">
      <c r="Q14758" s="8"/>
    </row>
    <row r="14759" spans="17:17" x14ac:dyDescent="0.25">
      <c r="Q14759" s="8"/>
    </row>
    <row r="14760" spans="17:17" x14ac:dyDescent="0.25">
      <c r="Q14760" s="8"/>
    </row>
    <row r="14761" spans="17:17" x14ac:dyDescent="0.25">
      <c r="Q14761" s="8"/>
    </row>
    <row r="14762" spans="17:17" x14ac:dyDescent="0.25">
      <c r="Q14762" s="8"/>
    </row>
    <row r="14763" spans="17:17" x14ac:dyDescent="0.25">
      <c r="Q14763" s="8"/>
    </row>
    <row r="14764" spans="17:17" x14ac:dyDescent="0.25">
      <c r="Q14764" s="8"/>
    </row>
    <row r="14765" spans="17:17" x14ac:dyDescent="0.25">
      <c r="Q14765" s="8"/>
    </row>
    <row r="14766" spans="17:17" x14ac:dyDescent="0.25">
      <c r="Q14766" s="8"/>
    </row>
    <row r="14767" spans="17:17" x14ac:dyDescent="0.25">
      <c r="Q14767" s="8"/>
    </row>
    <row r="14768" spans="17:17" x14ac:dyDescent="0.25">
      <c r="Q14768" s="8"/>
    </row>
    <row r="14769" spans="17:17" x14ac:dyDescent="0.25">
      <c r="Q14769" s="8"/>
    </row>
    <row r="14770" spans="17:17" x14ac:dyDescent="0.25">
      <c r="Q14770" s="8"/>
    </row>
    <row r="14771" spans="17:17" x14ac:dyDescent="0.25">
      <c r="Q14771" s="8"/>
    </row>
    <row r="14772" spans="17:17" x14ac:dyDescent="0.25">
      <c r="Q14772" s="8"/>
    </row>
    <row r="14773" spans="17:17" x14ac:dyDescent="0.25">
      <c r="Q14773" s="8"/>
    </row>
    <row r="14774" spans="17:17" x14ac:dyDescent="0.25">
      <c r="Q14774" s="8"/>
    </row>
    <row r="14775" spans="17:17" x14ac:dyDescent="0.25">
      <c r="Q14775" s="8"/>
    </row>
    <row r="14776" spans="17:17" x14ac:dyDescent="0.25">
      <c r="Q14776" s="8"/>
    </row>
    <row r="14777" spans="17:17" x14ac:dyDescent="0.25">
      <c r="Q14777" s="8"/>
    </row>
    <row r="14778" spans="17:17" x14ac:dyDescent="0.25">
      <c r="Q14778" s="8"/>
    </row>
    <row r="14779" spans="17:17" x14ac:dyDescent="0.25">
      <c r="Q14779" s="8"/>
    </row>
    <row r="14780" spans="17:17" x14ac:dyDescent="0.25">
      <c r="Q14780" s="8"/>
    </row>
    <row r="14781" spans="17:17" x14ac:dyDescent="0.25">
      <c r="Q14781" s="8"/>
    </row>
    <row r="14782" spans="17:17" x14ac:dyDescent="0.25">
      <c r="Q14782" s="8"/>
    </row>
    <row r="14783" spans="17:17" x14ac:dyDescent="0.25">
      <c r="Q14783" s="8"/>
    </row>
    <row r="14784" spans="17:17" x14ac:dyDescent="0.25">
      <c r="Q14784" s="8"/>
    </row>
    <row r="14785" spans="17:17" x14ac:dyDescent="0.25">
      <c r="Q14785" s="8"/>
    </row>
    <row r="14786" spans="17:17" x14ac:dyDescent="0.25">
      <c r="Q14786" s="8"/>
    </row>
    <row r="14787" spans="17:17" x14ac:dyDescent="0.25">
      <c r="Q14787" s="8"/>
    </row>
    <row r="14788" spans="17:17" x14ac:dyDescent="0.25">
      <c r="Q14788" s="8"/>
    </row>
    <row r="14789" spans="17:17" x14ac:dyDescent="0.25">
      <c r="Q14789" s="8"/>
    </row>
    <row r="14790" spans="17:17" x14ac:dyDescent="0.25">
      <c r="Q14790" s="8"/>
    </row>
    <row r="14791" spans="17:17" x14ac:dyDescent="0.25">
      <c r="Q14791" s="8"/>
    </row>
    <row r="14792" spans="17:17" x14ac:dyDescent="0.25">
      <c r="Q14792" s="8"/>
    </row>
    <row r="14793" spans="17:17" x14ac:dyDescent="0.25">
      <c r="Q14793" s="8"/>
    </row>
    <row r="14794" spans="17:17" x14ac:dyDescent="0.25">
      <c r="Q14794" s="8"/>
    </row>
    <row r="14795" spans="17:17" x14ac:dyDescent="0.25">
      <c r="Q14795" s="8"/>
    </row>
    <row r="14796" spans="17:17" x14ac:dyDescent="0.25">
      <c r="Q14796" s="8"/>
    </row>
    <row r="14797" spans="17:17" x14ac:dyDescent="0.25">
      <c r="Q14797" s="8"/>
    </row>
    <row r="14798" spans="17:17" x14ac:dyDescent="0.25">
      <c r="Q14798" s="8"/>
    </row>
    <row r="14799" spans="17:17" x14ac:dyDescent="0.25">
      <c r="Q14799" s="8"/>
    </row>
    <row r="14800" spans="17:17" x14ac:dyDescent="0.25">
      <c r="Q14800" s="8"/>
    </row>
    <row r="14801" spans="17:17" x14ac:dyDescent="0.25">
      <c r="Q14801" s="8"/>
    </row>
    <row r="14802" spans="17:17" x14ac:dyDescent="0.25">
      <c r="Q14802" s="8"/>
    </row>
    <row r="14803" spans="17:17" x14ac:dyDescent="0.25">
      <c r="Q14803" s="8"/>
    </row>
    <row r="14804" spans="17:17" x14ac:dyDescent="0.25">
      <c r="Q14804" s="8"/>
    </row>
    <row r="14805" spans="17:17" x14ac:dyDescent="0.25">
      <c r="Q14805" s="8"/>
    </row>
    <row r="14806" spans="17:17" x14ac:dyDescent="0.25">
      <c r="Q14806" s="8"/>
    </row>
    <row r="14807" spans="17:17" x14ac:dyDescent="0.25">
      <c r="Q14807" s="8"/>
    </row>
    <row r="14808" spans="17:17" x14ac:dyDescent="0.25">
      <c r="Q14808" s="8"/>
    </row>
    <row r="14809" spans="17:17" x14ac:dyDescent="0.25">
      <c r="Q14809" s="8"/>
    </row>
    <row r="14810" spans="17:17" x14ac:dyDescent="0.25">
      <c r="Q14810" s="8"/>
    </row>
    <row r="14811" spans="17:17" x14ac:dyDescent="0.25">
      <c r="Q14811" s="8"/>
    </row>
    <row r="14812" spans="17:17" x14ac:dyDescent="0.25">
      <c r="Q14812" s="8"/>
    </row>
    <row r="14813" spans="17:17" x14ac:dyDescent="0.25">
      <c r="Q14813" s="8"/>
    </row>
    <row r="14814" spans="17:17" x14ac:dyDescent="0.25">
      <c r="Q14814" s="8"/>
    </row>
    <row r="14815" spans="17:17" x14ac:dyDescent="0.25">
      <c r="Q14815" s="8"/>
    </row>
    <row r="14816" spans="17:17" x14ac:dyDescent="0.25">
      <c r="Q14816" s="8"/>
    </row>
    <row r="14817" spans="17:17" x14ac:dyDescent="0.25">
      <c r="Q14817" s="8"/>
    </row>
    <row r="14818" spans="17:17" x14ac:dyDescent="0.25">
      <c r="Q14818" s="8"/>
    </row>
    <row r="14819" spans="17:17" x14ac:dyDescent="0.25">
      <c r="Q14819" s="8"/>
    </row>
    <row r="14820" spans="17:17" x14ac:dyDescent="0.25">
      <c r="Q14820" s="8"/>
    </row>
    <row r="14821" spans="17:17" x14ac:dyDescent="0.25">
      <c r="Q14821" s="8"/>
    </row>
    <row r="14822" spans="17:17" x14ac:dyDescent="0.25">
      <c r="Q14822" s="8"/>
    </row>
    <row r="14823" spans="17:17" x14ac:dyDescent="0.25">
      <c r="Q14823" s="8"/>
    </row>
    <row r="14824" spans="17:17" x14ac:dyDescent="0.25">
      <c r="Q14824" s="8"/>
    </row>
    <row r="14825" spans="17:17" x14ac:dyDescent="0.25">
      <c r="Q14825" s="8"/>
    </row>
    <row r="14826" spans="17:17" x14ac:dyDescent="0.25">
      <c r="Q14826" s="8"/>
    </row>
    <row r="14827" spans="17:17" x14ac:dyDescent="0.25">
      <c r="Q14827" s="8"/>
    </row>
    <row r="14828" spans="17:17" x14ac:dyDescent="0.25">
      <c r="Q14828" s="8"/>
    </row>
    <row r="14829" spans="17:17" x14ac:dyDescent="0.25">
      <c r="Q14829" s="8"/>
    </row>
    <row r="14830" spans="17:17" x14ac:dyDescent="0.25">
      <c r="Q14830" s="8"/>
    </row>
    <row r="14831" spans="17:17" x14ac:dyDescent="0.25">
      <c r="Q14831" s="8"/>
    </row>
    <row r="14832" spans="17:17" x14ac:dyDescent="0.25">
      <c r="Q14832" s="8"/>
    </row>
    <row r="14833" spans="17:17" x14ac:dyDescent="0.25">
      <c r="Q14833" s="8"/>
    </row>
    <row r="14834" spans="17:17" x14ac:dyDescent="0.25">
      <c r="Q14834" s="8"/>
    </row>
    <row r="14835" spans="17:17" x14ac:dyDescent="0.25">
      <c r="Q14835" s="8"/>
    </row>
    <row r="14836" spans="17:17" x14ac:dyDescent="0.25">
      <c r="Q14836" s="8"/>
    </row>
    <row r="14837" spans="17:17" x14ac:dyDescent="0.25">
      <c r="Q14837" s="8"/>
    </row>
    <row r="14838" spans="17:17" x14ac:dyDescent="0.25">
      <c r="Q14838" s="8"/>
    </row>
    <row r="14839" spans="17:17" x14ac:dyDescent="0.25">
      <c r="Q14839" s="8"/>
    </row>
    <row r="14840" spans="17:17" x14ac:dyDescent="0.25">
      <c r="Q14840" s="8"/>
    </row>
    <row r="14841" spans="17:17" x14ac:dyDescent="0.25">
      <c r="Q14841" s="8"/>
    </row>
    <row r="14842" spans="17:17" x14ac:dyDescent="0.25">
      <c r="Q14842" s="8"/>
    </row>
    <row r="14843" spans="17:17" x14ac:dyDescent="0.25">
      <c r="Q14843" s="8"/>
    </row>
    <row r="14844" spans="17:17" x14ac:dyDescent="0.25">
      <c r="Q14844" s="8"/>
    </row>
    <row r="14845" spans="17:17" x14ac:dyDescent="0.25">
      <c r="Q14845" s="8"/>
    </row>
    <row r="14846" spans="17:17" x14ac:dyDescent="0.25">
      <c r="Q14846" s="8"/>
    </row>
    <row r="14847" spans="17:17" x14ac:dyDescent="0.25">
      <c r="Q14847" s="8"/>
    </row>
    <row r="14848" spans="17:17" x14ac:dyDescent="0.25">
      <c r="Q14848" s="8"/>
    </row>
    <row r="14849" spans="17:17" x14ac:dyDescent="0.25">
      <c r="Q14849" s="8"/>
    </row>
    <row r="14850" spans="17:17" x14ac:dyDescent="0.25">
      <c r="Q14850" s="8"/>
    </row>
    <row r="14851" spans="17:17" x14ac:dyDescent="0.25">
      <c r="Q14851" s="8"/>
    </row>
    <row r="14852" spans="17:17" x14ac:dyDescent="0.25">
      <c r="Q14852" s="8"/>
    </row>
    <row r="14853" spans="17:17" x14ac:dyDescent="0.25">
      <c r="Q14853" s="8"/>
    </row>
    <row r="14854" spans="17:17" x14ac:dyDescent="0.25">
      <c r="Q14854" s="8"/>
    </row>
    <row r="14855" spans="17:17" x14ac:dyDescent="0.25">
      <c r="Q14855" s="8"/>
    </row>
    <row r="14856" spans="17:17" x14ac:dyDescent="0.25">
      <c r="Q14856" s="8"/>
    </row>
    <row r="14857" spans="17:17" x14ac:dyDescent="0.25">
      <c r="Q14857" s="8"/>
    </row>
    <row r="14858" spans="17:17" x14ac:dyDescent="0.25">
      <c r="Q14858" s="8"/>
    </row>
    <row r="14859" spans="17:17" x14ac:dyDescent="0.25">
      <c r="Q14859" s="8"/>
    </row>
    <row r="14860" spans="17:17" x14ac:dyDescent="0.25">
      <c r="Q14860" s="8"/>
    </row>
    <row r="14861" spans="17:17" x14ac:dyDescent="0.25">
      <c r="Q14861" s="8"/>
    </row>
    <row r="14862" spans="17:17" x14ac:dyDescent="0.25">
      <c r="Q14862" s="8"/>
    </row>
    <row r="14863" spans="17:17" x14ac:dyDescent="0.25">
      <c r="Q14863" s="8"/>
    </row>
    <row r="14864" spans="17:17" x14ac:dyDescent="0.25">
      <c r="Q14864" s="8"/>
    </row>
    <row r="14865" spans="17:17" x14ac:dyDescent="0.25">
      <c r="Q14865" s="8"/>
    </row>
    <row r="14866" spans="17:17" x14ac:dyDescent="0.25">
      <c r="Q14866" s="8"/>
    </row>
    <row r="14867" spans="17:17" x14ac:dyDescent="0.25">
      <c r="Q14867" s="8"/>
    </row>
    <row r="14868" spans="17:17" x14ac:dyDescent="0.25">
      <c r="Q14868" s="8"/>
    </row>
    <row r="14869" spans="17:17" x14ac:dyDescent="0.25">
      <c r="Q14869" s="8"/>
    </row>
    <row r="14870" spans="17:17" x14ac:dyDescent="0.25">
      <c r="Q14870" s="8"/>
    </row>
    <row r="14871" spans="17:17" x14ac:dyDescent="0.25">
      <c r="Q14871" s="8"/>
    </row>
    <row r="14872" spans="17:17" x14ac:dyDescent="0.25">
      <c r="Q14872" s="8"/>
    </row>
    <row r="14873" spans="17:17" x14ac:dyDescent="0.25">
      <c r="Q14873" s="8"/>
    </row>
    <row r="14874" spans="17:17" x14ac:dyDescent="0.25">
      <c r="Q14874" s="8"/>
    </row>
    <row r="14875" spans="17:17" x14ac:dyDescent="0.25">
      <c r="Q14875" s="8"/>
    </row>
    <row r="14876" spans="17:17" x14ac:dyDescent="0.25">
      <c r="Q14876" s="8"/>
    </row>
    <row r="14877" spans="17:17" x14ac:dyDescent="0.25">
      <c r="Q14877" s="8"/>
    </row>
    <row r="14878" spans="17:17" x14ac:dyDescent="0.25">
      <c r="Q14878" s="8"/>
    </row>
    <row r="14879" spans="17:17" x14ac:dyDescent="0.25">
      <c r="Q14879" s="8"/>
    </row>
    <row r="14880" spans="17:17" x14ac:dyDescent="0.25">
      <c r="Q14880" s="8"/>
    </row>
    <row r="14881" spans="17:17" x14ac:dyDescent="0.25">
      <c r="Q14881" s="8"/>
    </row>
    <row r="14882" spans="17:17" x14ac:dyDescent="0.25">
      <c r="Q14882" s="8"/>
    </row>
    <row r="14883" spans="17:17" x14ac:dyDescent="0.25">
      <c r="Q14883" s="8"/>
    </row>
    <row r="14884" spans="17:17" x14ac:dyDescent="0.25">
      <c r="Q14884" s="8"/>
    </row>
    <row r="14885" spans="17:17" x14ac:dyDescent="0.25">
      <c r="Q14885" s="8"/>
    </row>
    <row r="14886" spans="17:17" x14ac:dyDescent="0.25">
      <c r="Q14886" s="8"/>
    </row>
    <row r="14887" spans="17:17" x14ac:dyDescent="0.25">
      <c r="Q14887" s="8"/>
    </row>
    <row r="14888" spans="17:17" x14ac:dyDescent="0.25">
      <c r="Q14888" s="8"/>
    </row>
    <row r="14889" spans="17:17" x14ac:dyDescent="0.25">
      <c r="Q14889" s="8"/>
    </row>
    <row r="14890" spans="17:17" x14ac:dyDescent="0.25">
      <c r="Q14890" s="8"/>
    </row>
    <row r="14891" spans="17:17" x14ac:dyDescent="0.25">
      <c r="Q14891" s="8"/>
    </row>
    <row r="14892" spans="17:17" x14ac:dyDescent="0.25">
      <c r="Q14892" s="8"/>
    </row>
    <row r="14893" spans="17:17" x14ac:dyDescent="0.25">
      <c r="Q14893" s="8"/>
    </row>
    <row r="14894" spans="17:17" x14ac:dyDescent="0.25">
      <c r="Q14894" s="8"/>
    </row>
    <row r="14895" spans="17:17" x14ac:dyDescent="0.25">
      <c r="Q14895" s="8"/>
    </row>
    <row r="14896" spans="17:17" x14ac:dyDescent="0.25">
      <c r="Q14896" s="8"/>
    </row>
    <row r="14897" spans="17:17" x14ac:dyDescent="0.25">
      <c r="Q14897" s="8"/>
    </row>
    <row r="14898" spans="17:17" x14ac:dyDescent="0.25">
      <c r="Q14898" s="8"/>
    </row>
    <row r="14899" spans="17:17" x14ac:dyDescent="0.25">
      <c r="Q14899" s="8"/>
    </row>
    <row r="14900" spans="17:17" x14ac:dyDescent="0.25">
      <c r="Q14900" s="8"/>
    </row>
    <row r="14901" spans="17:17" x14ac:dyDescent="0.25">
      <c r="Q14901" s="8"/>
    </row>
    <row r="14902" spans="17:17" x14ac:dyDescent="0.25">
      <c r="Q14902" s="8"/>
    </row>
    <row r="14903" spans="17:17" x14ac:dyDescent="0.25">
      <c r="Q14903" s="8"/>
    </row>
    <row r="14904" spans="17:17" x14ac:dyDescent="0.25">
      <c r="Q14904" s="8"/>
    </row>
    <row r="14905" spans="17:17" x14ac:dyDescent="0.25">
      <c r="Q14905" s="8"/>
    </row>
    <row r="14906" spans="17:17" x14ac:dyDescent="0.25">
      <c r="Q14906" s="8"/>
    </row>
    <row r="14907" spans="17:17" x14ac:dyDescent="0.25">
      <c r="Q14907" s="8"/>
    </row>
    <row r="14908" spans="17:17" x14ac:dyDescent="0.25">
      <c r="Q14908" s="8"/>
    </row>
    <row r="14909" spans="17:17" x14ac:dyDescent="0.25">
      <c r="Q14909" s="8"/>
    </row>
    <row r="14910" spans="17:17" x14ac:dyDescent="0.25">
      <c r="Q14910" s="8"/>
    </row>
    <row r="14911" spans="17:17" x14ac:dyDescent="0.25">
      <c r="Q14911" s="8"/>
    </row>
    <row r="14912" spans="17:17" x14ac:dyDescent="0.25">
      <c r="Q14912" s="8"/>
    </row>
    <row r="14913" spans="17:17" x14ac:dyDescent="0.25">
      <c r="Q14913" s="8"/>
    </row>
    <row r="14914" spans="17:17" x14ac:dyDescent="0.25">
      <c r="Q14914" s="8"/>
    </row>
    <row r="14915" spans="17:17" x14ac:dyDescent="0.25">
      <c r="Q14915" s="8"/>
    </row>
    <row r="14916" spans="17:17" x14ac:dyDescent="0.25">
      <c r="Q14916" s="8"/>
    </row>
    <row r="14917" spans="17:17" x14ac:dyDescent="0.25">
      <c r="Q14917" s="8"/>
    </row>
    <row r="14918" spans="17:17" x14ac:dyDescent="0.25">
      <c r="Q14918" s="8"/>
    </row>
    <row r="14919" spans="17:17" x14ac:dyDescent="0.25">
      <c r="Q14919" s="8"/>
    </row>
    <row r="14920" spans="17:17" x14ac:dyDescent="0.25">
      <c r="Q14920" s="8"/>
    </row>
    <row r="14921" spans="17:17" x14ac:dyDescent="0.25">
      <c r="Q14921" s="8"/>
    </row>
    <row r="14922" spans="17:17" x14ac:dyDescent="0.25">
      <c r="Q14922" s="8"/>
    </row>
    <row r="14923" spans="17:17" x14ac:dyDescent="0.25">
      <c r="Q14923" s="8"/>
    </row>
    <row r="14924" spans="17:17" x14ac:dyDescent="0.25">
      <c r="Q14924" s="8"/>
    </row>
    <row r="14925" spans="17:17" x14ac:dyDescent="0.25">
      <c r="Q14925" s="8"/>
    </row>
    <row r="14926" spans="17:17" x14ac:dyDescent="0.25">
      <c r="Q14926" s="8"/>
    </row>
    <row r="14927" spans="17:17" x14ac:dyDescent="0.25">
      <c r="Q14927" s="8"/>
    </row>
    <row r="14928" spans="17:17" x14ac:dyDescent="0.25">
      <c r="Q14928" s="8"/>
    </row>
    <row r="14929" spans="17:17" x14ac:dyDescent="0.25">
      <c r="Q14929" s="8"/>
    </row>
    <row r="14930" spans="17:17" x14ac:dyDescent="0.25">
      <c r="Q14930" s="8"/>
    </row>
    <row r="14931" spans="17:17" x14ac:dyDescent="0.25">
      <c r="Q14931" s="8"/>
    </row>
    <row r="14932" spans="17:17" x14ac:dyDescent="0.25">
      <c r="Q14932" s="8"/>
    </row>
    <row r="14933" spans="17:17" x14ac:dyDescent="0.25">
      <c r="Q14933" s="8"/>
    </row>
    <row r="14934" spans="17:17" x14ac:dyDescent="0.25">
      <c r="Q14934" s="8"/>
    </row>
    <row r="14935" spans="17:17" x14ac:dyDescent="0.25">
      <c r="Q14935" s="8"/>
    </row>
    <row r="14936" spans="17:17" x14ac:dyDescent="0.25">
      <c r="Q14936" s="8"/>
    </row>
    <row r="14937" spans="17:17" x14ac:dyDescent="0.25">
      <c r="Q14937" s="8"/>
    </row>
    <row r="14938" spans="17:17" x14ac:dyDescent="0.25">
      <c r="Q14938" s="8"/>
    </row>
    <row r="14939" spans="17:17" x14ac:dyDescent="0.25">
      <c r="Q14939" s="8"/>
    </row>
    <row r="14940" spans="17:17" x14ac:dyDescent="0.25">
      <c r="Q14940" s="8"/>
    </row>
    <row r="14941" spans="17:17" x14ac:dyDescent="0.25">
      <c r="Q14941" s="8"/>
    </row>
    <row r="14942" spans="17:17" x14ac:dyDescent="0.25">
      <c r="Q14942" s="8"/>
    </row>
    <row r="14943" spans="17:17" x14ac:dyDescent="0.25">
      <c r="Q14943" s="8"/>
    </row>
    <row r="14944" spans="17:17" x14ac:dyDescent="0.25">
      <c r="Q14944" s="8"/>
    </row>
    <row r="14945" spans="17:17" x14ac:dyDescent="0.25">
      <c r="Q14945" s="8"/>
    </row>
    <row r="14946" spans="17:17" x14ac:dyDescent="0.25">
      <c r="Q14946" s="8"/>
    </row>
    <row r="14947" spans="17:17" x14ac:dyDescent="0.25">
      <c r="Q14947" s="8"/>
    </row>
    <row r="14948" spans="17:17" x14ac:dyDescent="0.25">
      <c r="Q14948" s="8"/>
    </row>
    <row r="14949" spans="17:17" x14ac:dyDescent="0.25">
      <c r="Q14949" s="8"/>
    </row>
    <row r="14950" spans="17:17" x14ac:dyDescent="0.25">
      <c r="Q14950" s="8"/>
    </row>
    <row r="14951" spans="17:17" x14ac:dyDescent="0.25">
      <c r="Q14951" s="8"/>
    </row>
    <row r="14952" spans="17:17" x14ac:dyDescent="0.25">
      <c r="Q14952" s="8"/>
    </row>
    <row r="14953" spans="17:17" x14ac:dyDescent="0.25">
      <c r="Q14953" s="8"/>
    </row>
    <row r="14954" spans="17:17" x14ac:dyDescent="0.25">
      <c r="Q14954" s="8"/>
    </row>
    <row r="14955" spans="17:17" x14ac:dyDescent="0.25">
      <c r="Q14955" s="8"/>
    </row>
    <row r="14956" spans="17:17" x14ac:dyDescent="0.25">
      <c r="Q14956" s="8"/>
    </row>
    <row r="14957" spans="17:17" x14ac:dyDescent="0.25">
      <c r="Q14957" s="8"/>
    </row>
    <row r="14958" spans="17:17" x14ac:dyDescent="0.25">
      <c r="Q14958" s="8"/>
    </row>
    <row r="14959" spans="17:17" x14ac:dyDescent="0.25">
      <c r="Q14959" s="8"/>
    </row>
    <row r="14960" spans="17:17" x14ac:dyDescent="0.25">
      <c r="Q14960" s="8"/>
    </row>
    <row r="14961" spans="17:17" x14ac:dyDescent="0.25">
      <c r="Q14961" s="8"/>
    </row>
    <row r="14962" spans="17:17" x14ac:dyDescent="0.25">
      <c r="Q14962" s="8"/>
    </row>
    <row r="14963" spans="17:17" x14ac:dyDescent="0.25">
      <c r="Q14963" s="8"/>
    </row>
    <row r="14964" spans="17:17" x14ac:dyDescent="0.25">
      <c r="Q14964" s="8"/>
    </row>
    <row r="14965" spans="17:17" x14ac:dyDescent="0.25">
      <c r="Q14965" s="8"/>
    </row>
    <row r="14966" spans="17:17" x14ac:dyDescent="0.25">
      <c r="Q14966" s="8"/>
    </row>
    <row r="14967" spans="17:17" x14ac:dyDescent="0.25">
      <c r="Q14967" s="8"/>
    </row>
    <row r="14968" spans="17:17" x14ac:dyDescent="0.25">
      <c r="Q14968" s="8"/>
    </row>
    <row r="14969" spans="17:17" x14ac:dyDescent="0.25">
      <c r="Q14969" s="8"/>
    </row>
    <row r="14970" spans="17:17" x14ac:dyDescent="0.25">
      <c r="Q14970" s="8"/>
    </row>
    <row r="14971" spans="17:17" x14ac:dyDescent="0.25">
      <c r="Q14971" s="8"/>
    </row>
    <row r="14972" spans="17:17" x14ac:dyDescent="0.25">
      <c r="Q14972" s="8"/>
    </row>
    <row r="14973" spans="17:17" x14ac:dyDescent="0.25">
      <c r="Q14973" s="8"/>
    </row>
    <row r="14974" spans="17:17" x14ac:dyDescent="0.25">
      <c r="Q14974" s="8"/>
    </row>
    <row r="14975" spans="17:17" x14ac:dyDescent="0.25">
      <c r="Q14975" s="8"/>
    </row>
    <row r="14976" spans="17:17" x14ac:dyDescent="0.25">
      <c r="Q14976" s="8"/>
    </row>
    <row r="14977" spans="17:17" x14ac:dyDescent="0.25">
      <c r="Q14977" s="8"/>
    </row>
    <row r="14978" spans="17:17" x14ac:dyDescent="0.25">
      <c r="Q14978" s="8"/>
    </row>
    <row r="14979" spans="17:17" x14ac:dyDescent="0.25">
      <c r="Q14979" s="8"/>
    </row>
    <row r="14980" spans="17:17" x14ac:dyDescent="0.25">
      <c r="Q14980" s="8"/>
    </row>
    <row r="14981" spans="17:17" x14ac:dyDescent="0.25">
      <c r="Q14981" s="8"/>
    </row>
    <row r="14982" spans="17:17" x14ac:dyDescent="0.25">
      <c r="Q14982" s="8"/>
    </row>
    <row r="14983" spans="17:17" x14ac:dyDescent="0.25">
      <c r="Q14983" s="8"/>
    </row>
    <row r="14984" spans="17:17" x14ac:dyDescent="0.25">
      <c r="Q14984" s="8"/>
    </row>
    <row r="14985" spans="17:17" x14ac:dyDescent="0.25">
      <c r="Q14985" s="8"/>
    </row>
    <row r="14986" spans="17:17" x14ac:dyDescent="0.25">
      <c r="Q14986" s="8"/>
    </row>
    <row r="14987" spans="17:17" x14ac:dyDescent="0.25">
      <c r="Q14987" s="8"/>
    </row>
    <row r="14988" spans="17:17" x14ac:dyDescent="0.25">
      <c r="Q14988" s="8"/>
    </row>
    <row r="14989" spans="17:17" x14ac:dyDescent="0.25">
      <c r="Q14989" s="8"/>
    </row>
    <row r="14990" spans="17:17" x14ac:dyDescent="0.25">
      <c r="Q14990" s="8"/>
    </row>
    <row r="14991" spans="17:17" x14ac:dyDescent="0.25">
      <c r="Q14991" s="8"/>
    </row>
    <row r="14992" spans="17:17" x14ac:dyDescent="0.25">
      <c r="Q14992" s="8"/>
    </row>
    <row r="14993" spans="17:17" x14ac:dyDescent="0.25">
      <c r="Q14993" s="8"/>
    </row>
    <row r="14994" spans="17:17" x14ac:dyDescent="0.25">
      <c r="Q14994" s="8"/>
    </row>
    <row r="14995" spans="17:17" x14ac:dyDescent="0.25">
      <c r="Q14995" s="8"/>
    </row>
    <row r="14996" spans="17:17" x14ac:dyDescent="0.25">
      <c r="Q14996" s="8"/>
    </row>
    <row r="14997" spans="17:17" x14ac:dyDescent="0.25">
      <c r="Q14997" s="8"/>
    </row>
    <row r="14998" spans="17:17" x14ac:dyDescent="0.25">
      <c r="Q14998" s="8"/>
    </row>
    <row r="14999" spans="17:17" x14ac:dyDescent="0.25">
      <c r="Q14999" s="8"/>
    </row>
    <row r="15000" spans="17:17" x14ac:dyDescent="0.25">
      <c r="Q15000" s="8"/>
    </row>
    <row r="15001" spans="17:17" x14ac:dyDescent="0.25">
      <c r="Q15001" s="8"/>
    </row>
    <row r="15002" spans="17:17" x14ac:dyDescent="0.25">
      <c r="Q15002" s="8"/>
    </row>
    <row r="15003" spans="17:17" x14ac:dyDescent="0.25">
      <c r="Q15003" s="8"/>
    </row>
    <row r="15004" spans="17:17" x14ac:dyDescent="0.25">
      <c r="Q15004" s="8"/>
    </row>
    <row r="15005" spans="17:17" x14ac:dyDescent="0.25">
      <c r="Q15005" s="8"/>
    </row>
    <row r="15006" spans="17:17" x14ac:dyDescent="0.25">
      <c r="Q15006" s="8"/>
    </row>
    <row r="15007" spans="17:17" x14ac:dyDescent="0.25">
      <c r="Q15007" s="8"/>
    </row>
    <row r="15008" spans="17:17" x14ac:dyDescent="0.25">
      <c r="Q15008" s="8"/>
    </row>
    <row r="15009" spans="17:17" x14ac:dyDescent="0.25">
      <c r="Q15009" s="8"/>
    </row>
    <row r="15010" spans="17:17" x14ac:dyDescent="0.25">
      <c r="Q15010" s="8"/>
    </row>
    <row r="15011" spans="17:17" x14ac:dyDescent="0.25">
      <c r="Q15011" s="8"/>
    </row>
    <row r="15012" spans="17:17" x14ac:dyDescent="0.25">
      <c r="Q15012" s="8"/>
    </row>
    <row r="15013" spans="17:17" x14ac:dyDescent="0.25">
      <c r="Q15013" s="8"/>
    </row>
    <row r="15014" spans="17:17" x14ac:dyDescent="0.25">
      <c r="Q15014" s="8"/>
    </row>
    <row r="15015" spans="17:17" x14ac:dyDescent="0.25">
      <c r="Q15015" s="8"/>
    </row>
    <row r="15016" spans="17:17" x14ac:dyDescent="0.25">
      <c r="Q15016" s="8"/>
    </row>
    <row r="15017" spans="17:17" x14ac:dyDescent="0.25">
      <c r="Q15017" s="8"/>
    </row>
    <row r="15018" spans="17:17" x14ac:dyDescent="0.25">
      <c r="Q15018" s="8"/>
    </row>
    <row r="15019" spans="17:17" x14ac:dyDescent="0.25">
      <c r="Q15019" s="8"/>
    </row>
    <row r="15020" spans="17:17" x14ac:dyDescent="0.25">
      <c r="Q15020" s="8"/>
    </row>
    <row r="15021" spans="17:17" x14ac:dyDescent="0.25">
      <c r="Q15021" s="8"/>
    </row>
    <row r="15022" spans="17:17" x14ac:dyDescent="0.25">
      <c r="Q15022" s="8"/>
    </row>
    <row r="15023" spans="17:17" x14ac:dyDescent="0.25">
      <c r="Q15023" s="8"/>
    </row>
    <row r="15024" spans="17:17" x14ac:dyDescent="0.25">
      <c r="Q15024" s="8"/>
    </row>
    <row r="15025" spans="17:17" x14ac:dyDescent="0.25">
      <c r="Q15025" s="8"/>
    </row>
    <row r="15026" spans="17:17" x14ac:dyDescent="0.25">
      <c r="Q15026" s="8"/>
    </row>
    <row r="15027" spans="17:17" x14ac:dyDescent="0.25">
      <c r="Q15027" s="8"/>
    </row>
    <row r="15028" spans="17:17" x14ac:dyDescent="0.25">
      <c r="Q15028" s="8"/>
    </row>
    <row r="15029" spans="17:17" x14ac:dyDescent="0.25">
      <c r="Q15029" s="8"/>
    </row>
    <row r="15030" spans="17:17" x14ac:dyDescent="0.25">
      <c r="Q15030" s="8"/>
    </row>
    <row r="15031" spans="17:17" x14ac:dyDescent="0.25">
      <c r="Q15031" s="8"/>
    </row>
    <row r="15032" spans="17:17" x14ac:dyDescent="0.25">
      <c r="Q15032" s="8"/>
    </row>
    <row r="15033" spans="17:17" x14ac:dyDescent="0.25">
      <c r="Q15033" s="8"/>
    </row>
    <row r="15034" spans="17:17" x14ac:dyDescent="0.25">
      <c r="Q15034" s="8"/>
    </row>
    <row r="15035" spans="17:17" x14ac:dyDescent="0.25">
      <c r="Q15035" s="8"/>
    </row>
    <row r="15036" spans="17:17" x14ac:dyDescent="0.25">
      <c r="Q15036" s="8"/>
    </row>
    <row r="15037" spans="17:17" x14ac:dyDescent="0.25">
      <c r="Q15037" s="8"/>
    </row>
    <row r="15038" spans="17:17" x14ac:dyDescent="0.25">
      <c r="Q15038" s="8"/>
    </row>
    <row r="15039" spans="17:17" x14ac:dyDescent="0.25">
      <c r="Q15039" s="8"/>
    </row>
    <row r="15040" spans="17:17" x14ac:dyDescent="0.25">
      <c r="Q15040" s="8"/>
    </row>
    <row r="15041" spans="17:17" x14ac:dyDescent="0.25">
      <c r="Q15041" s="8"/>
    </row>
    <row r="15042" spans="17:17" x14ac:dyDescent="0.25">
      <c r="Q15042" s="8"/>
    </row>
    <row r="15043" spans="17:17" x14ac:dyDescent="0.25">
      <c r="Q15043" s="8"/>
    </row>
    <row r="15044" spans="17:17" x14ac:dyDescent="0.25">
      <c r="Q15044" s="8"/>
    </row>
    <row r="15045" spans="17:17" x14ac:dyDescent="0.25">
      <c r="Q15045" s="8"/>
    </row>
    <row r="15046" spans="17:17" x14ac:dyDescent="0.25">
      <c r="Q15046" s="8"/>
    </row>
    <row r="15047" spans="17:17" x14ac:dyDescent="0.25">
      <c r="Q15047" s="8"/>
    </row>
    <row r="15048" spans="17:17" x14ac:dyDescent="0.25">
      <c r="Q15048" s="8"/>
    </row>
    <row r="15049" spans="17:17" x14ac:dyDescent="0.25">
      <c r="Q15049" s="8"/>
    </row>
    <row r="15050" spans="17:17" x14ac:dyDescent="0.25">
      <c r="Q15050" s="8"/>
    </row>
    <row r="15051" spans="17:17" x14ac:dyDescent="0.25">
      <c r="Q15051" s="8"/>
    </row>
    <row r="15052" spans="17:17" x14ac:dyDescent="0.25">
      <c r="Q15052" s="8"/>
    </row>
    <row r="15053" spans="17:17" x14ac:dyDescent="0.25">
      <c r="Q15053" s="8"/>
    </row>
    <row r="15054" spans="17:17" x14ac:dyDescent="0.25">
      <c r="Q15054" s="8"/>
    </row>
    <row r="15055" spans="17:17" x14ac:dyDescent="0.25">
      <c r="Q15055" s="8"/>
    </row>
    <row r="15056" spans="17:17" x14ac:dyDescent="0.25">
      <c r="Q15056" s="8"/>
    </row>
    <row r="15057" spans="17:17" x14ac:dyDescent="0.25">
      <c r="Q15057" s="8"/>
    </row>
    <row r="15058" spans="17:17" x14ac:dyDescent="0.25">
      <c r="Q15058" s="8"/>
    </row>
    <row r="15059" spans="17:17" x14ac:dyDescent="0.25">
      <c r="Q15059" s="8"/>
    </row>
    <row r="15060" spans="17:17" x14ac:dyDescent="0.25">
      <c r="Q15060" s="8"/>
    </row>
    <row r="15061" spans="17:17" x14ac:dyDescent="0.25">
      <c r="Q15061" s="8"/>
    </row>
    <row r="15062" spans="17:17" x14ac:dyDescent="0.25">
      <c r="Q15062" s="8"/>
    </row>
    <row r="15063" spans="17:17" x14ac:dyDescent="0.25">
      <c r="Q15063" s="8"/>
    </row>
    <row r="15064" spans="17:17" x14ac:dyDescent="0.25">
      <c r="Q15064" s="8"/>
    </row>
    <row r="15065" spans="17:17" x14ac:dyDescent="0.25">
      <c r="Q15065" s="8"/>
    </row>
    <row r="15066" spans="17:17" x14ac:dyDescent="0.25">
      <c r="Q15066" s="8"/>
    </row>
    <row r="15067" spans="17:17" x14ac:dyDescent="0.25">
      <c r="Q15067" s="8"/>
    </row>
    <row r="15068" spans="17:17" x14ac:dyDescent="0.25">
      <c r="Q15068" s="8"/>
    </row>
    <row r="15069" spans="17:17" x14ac:dyDescent="0.25">
      <c r="Q15069" s="8"/>
    </row>
    <row r="15070" spans="17:17" x14ac:dyDescent="0.25">
      <c r="Q15070" s="8"/>
    </row>
    <row r="15071" spans="17:17" x14ac:dyDescent="0.25">
      <c r="Q15071" s="8"/>
    </row>
    <row r="15072" spans="17:17" x14ac:dyDescent="0.25">
      <c r="Q15072" s="8"/>
    </row>
    <row r="15073" spans="17:17" x14ac:dyDescent="0.25">
      <c r="Q15073" s="8"/>
    </row>
    <row r="15074" spans="17:17" x14ac:dyDescent="0.25">
      <c r="Q15074" s="8"/>
    </row>
    <row r="15075" spans="17:17" x14ac:dyDescent="0.25">
      <c r="Q15075" s="8"/>
    </row>
    <row r="15076" spans="17:17" x14ac:dyDescent="0.25">
      <c r="Q15076" s="8"/>
    </row>
    <row r="15077" spans="17:17" x14ac:dyDescent="0.25">
      <c r="Q15077" s="8"/>
    </row>
    <row r="15078" spans="17:17" x14ac:dyDescent="0.25">
      <c r="Q15078" s="8"/>
    </row>
    <row r="15079" spans="17:17" x14ac:dyDescent="0.25">
      <c r="Q15079" s="8"/>
    </row>
    <row r="15080" spans="17:17" x14ac:dyDescent="0.25">
      <c r="Q15080" s="8"/>
    </row>
    <row r="15081" spans="17:17" x14ac:dyDescent="0.25">
      <c r="Q15081" s="8"/>
    </row>
    <row r="15082" spans="17:17" x14ac:dyDescent="0.25">
      <c r="Q15082" s="8"/>
    </row>
    <row r="15083" spans="17:17" x14ac:dyDescent="0.25">
      <c r="Q15083" s="8"/>
    </row>
    <row r="15084" spans="17:17" x14ac:dyDescent="0.25">
      <c r="Q15084" s="8"/>
    </row>
    <row r="15085" spans="17:17" x14ac:dyDescent="0.25">
      <c r="Q15085" s="8"/>
    </row>
    <row r="15086" spans="17:17" x14ac:dyDescent="0.25">
      <c r="Q15086" s="8"/>
    </row>
    <row r="15087" spans="17:17" x14ac:dyDescent="0.25">
      <c r="Q15087" s="8"/>
    </row>
    <row r="15088" spans="17:17" x14ac:dyDescent="0.25">
      <c r="Q15088" s="8"/>
    </row>
    <row r="15089" spans="17:17" x14ac:dyDescent="0.25">
      <c r="Q15089" s="8"/>
    </row>
    <row r="15090" spans="17:17" x14ac:dyDescent="0.25">
      <c r="Q15090" s="8"/>
    </row>
    <row r="15091" spans="17:17" x14ac:dyDescent="0.25">
      <c r="Q15091" s="8"/>
    </row>
    <row r="15092" spans="17:17" x14ac:dyDescent="0.25">
      <c r="Q15092" s="8"/>
    </row>
    <row r="15093" spans="17:17" x14ac:dyDescent="0.25">
      <c r="Q15093" s="8"/>
    </row>
    <row r="15094" spans="17:17" x14ac:dyDescent="0.25">
      <c r="Q15094" s="8"/>
    </row>
    <row r="15095" spans="17:17" x14ac:dyDescent="0.25">
      <c r="Q15095" s="8"/>
    </row>
    <row r="15096" spans="17:17" x14ac:dyDescent="0.25">
      <c r="Q15096" s="8"/>
    </row>
    <row r="15097" spans="17:17" x14ac:dyDescent="0.25">
      <c r="Q15097" s="8"/>
    </row>
    <row r="15098" spans="17:17" x14ac:dyDescent="0.25">
      <c r="Q15098" s="8"/>
    </row>
    <row r="15099" spans="17:17" x14ac:dyDescent="0.25">
      <c r="Q15099" s="8"/>
    </row>
    <row r="15100" spans="17:17" x14ac:dyDescent="0.25">
      <c r="Q15100" s="8"/>
    </row>
    <row r="15101" spans="17:17" x14ac:dyDescent="0.25">
      <c r="Q15101" s="8"/>
    </row>
    <row r="15102" spans="17:17" x14ac:dyDescent="0.25">
      <c r="Q15102" s="8"/>
    </row>
    <row r="15103" spans="17:17" x14ac:dyDescent="0.25">
      <c r="Q15103" s="8"/>
    </row>
    <row r="15104" spans="17:17" x14ac:dyDescent="0.25">
      <c r="Q15104" s="8"/>
    </row>
    <row r="15105" spans="17:17" x14ac:dyDescent="0.25">
      <c r="Q15105" s="8"/>
    </row>
    <row r="15106" spans="17:17" x14ac:dyDescent="0.25">
      <c r="Q15106" s="8"/>
    </row>
    <row r="15107" spans="17:17" x14ac:dyDescent="0.25">
      <c r="Q15107" s="8"/>
    </row>
    <row r="15108" spans="17:17" x14ac:dyDescent="0.25">
      <c r="Q15108" s="8"/>
    </row>
    <row r="15109" spans="17:17" x14ac:dyDescent="0.25">
      <c r="Q15109" s="8"/>
    </row>
    <row r="15110" spans="17:17" x14ac:dyDescent="0.25">
      <c r="Q15110" s="8"/>
    </row>
    <row r="15111" spans="17:17" x14ac:dyDescent="0.25">
      <c r="Q15111" s="8"/>
    </row>
    <row r="15112" spans="17:17" x14ac:dyDescent="0.25">
      <c r="Q15112" s="8"/>
    </row>
    <row r="15113" spans="17:17" x14ac:dyDescent="0.25">
      <c r="Q15113" s="8"/>
    </row>
    <row r="15114" spans="17:17" x14ac:dyDescent="0.25">
      <c r="Q15114" s="8"/>
    </row>
    <row r="15115" spans="17:17" x14ac:dyDescent="0.25">
      <c r="Q15115" s="8"/>
    </row>
    <row r="15116" spans="17:17" x14ac:dyDescent="0.25">
      <c r="Q15116" s="8"/>
    </row>
    <row r="15117" spans="17:17" x14ac:dyDescent="0.25">
      <c r="Q15117" s="8"/>
    </row>
    <row r="15118" spans="17:17" x14ac:dyDescent="0.25">
      <c r="Q15118" s="8"/>
    </row>
    <row r="15119" spans="17:17" x14ac:dyDescent="0.25">
      <c r="Q15119" s="8"/>
    </row>
    <row r="15120" spans="17:17" x14ac:dyDescent="0.25">
      <c r="Q15120" s="8"/>
    </row>
    <row r="15121" spans="17:17" x14ac:dyDescent="0.25">
      <c r="Q15121" s="8"/>
    </row>
    <row r="15122" spans="17:17" x14ac:dyDescent="0.25">
      <c r="Q15122" s="8"/>
    </row>
    <row r="15123" spans="17:17" x14ac:dyDescent="0.25">
      <c r="Q15123" s="8"/>
    </row>
    <row r="15124" spans="17:17" x14ac:dyDescent="0.25">
      <c r="Q15124" s="8"/>
    </row>
    <row r="15125" spans="17:17" x14ac:dyDescent="0.25">
      <c r="Q15125" s="8"/>
    </row>
    <row r="15126" spans="17:17" x14ac:dyDescent="0.25">
      <c r="Q15126" s="8"/>
    </row>
    <row r="15127" spans="17:17" x14ac:dyDescent="0.25">
      <c r="Q15127" s="8"/>
    </row>
    <row r="15128" spans="17:17" x14ac:dyDescent="0.25">
      <c r="Q15128" s="8"/>
    </row>
    <row r="15129" spans="17:17" x14ac:dyDescent="0.25">
      <c r="Q15129" s="8"/>
    </row>
    <row r="15130" spans="17:17" x14ac:dyDescent="0.25">
      <c r="Q15130" s="8"/>
    </row>
    <row r="15131" spans="17:17" x14ac:dyDescent="0.25">
      <c r="Q15131" s="8"/>
    </row>
    <row r="15132" spans="17:17" x14ac:dyDescent="0.25">
      <c r="Q15132" s="8"/>
    </row>
    <row r="15133" spans="17:17" x14ac:dyDescent="0.25">
      <c r="Q15133" s="8"/>
    </row>
    <row r="15134" spans="17:17" x14ac:dyDescent="0.25">
      <c r="Q15134" s="8"/>
    </row>
    <row r="15135" spans="17:17" x14ac:dyDescent="0.25">
      <c r="Q15135" s="8"/>
    </row>
    <row r="15136" spans="17:17" x14ac:dyDescent="0.25">
      <c r="Q15136" s="8"/>
    </row>
    <row r="15137" spans="17:17" x14ac:dyDescent="0.25">
      <c r="Q15137" s="8"/>
    </row>
    <row r="15138" spans="17:17" x14ac:dyDescent="0.25">
      <c r="Q15138" s="8"/>
    </row>
    <row r="15139" spans="17:17" x14ac:dyDescent="0.25">
      <c r="Q15139" s="8"/>
    </row>
    <row r="15140" spans="17:17" x14ac:dyDescent="0.25">
      <c r="Q15140" s="8"/>
    </row>
    <row r="15141" spans="17:17" x14ac:dyDescent="0.25">
      <c r="Q15141" s="8"/>
    </row>
    <row r="15142" spans="17:17" x14ac:dyDescent="0.25">
      <c r="Q15142" s="8"/>
    </row>
    <row r="15143" spans="17:17" x14ac:dyDescent="0.25">
      <c r="Q15143" s="8"/>
    </row>
    <row r="15144" spans="17:17" x14ac:dyDescent="0.25">
      <c r="Q15144" s="8"/>
    </row>
    <row r="15145" spans="17:17" x14ac:dyDescent="0.25">
      <c r="Q15145" s="8"/>
    </row>
    <row r="15146" spans="17:17" x14ac:dyDescent="0.25">
      <c r="Q15146" s="8"/>
    </row>
    <row r="15147" spans="17:17" x14ac:dyDescent="0.25">
      <c r="Q15147" s="8"/>
    </row>
    <row r="15148" spans="17:17" x14ac:dyDescent="0.25">
      <c r="Q15148" s="8"/>
    </row>
    <row r="15149" spans="17:17" x14ac:dyDescent="0.25">
      <c r="Q15149" s="8"/>
    </row>
    <row r="15150" spans="17:17" x14ac:dyDescent="0.25">
      <c r="Q15150" s="8"/>
    </row>
    <row r="15151" spans="17:17" x14ac:dyDescent="0.25">
      <c r="Q15151" s="8"/>
    </row>
    <row r="15152" spans="17:17" x14ac:dyDescent="0.25">
      <c r="Q15152" s="8"/>
    </row>
    <row r="15153" spans="17:17" x14ac:dyDescent="0.25">
      <c r="Q15153" s="8"/>
    </row>
    <row r="15154" spans="17:17" x14ac:dyDescent="0.25">
      <c r="Q15154" s="8"/>
    </row>
    <row r="15155" spans="17:17" x14ac:dyDescent="0.25">
      <c r="Q15155" s="8"/>
    </row>
    <row r="15156" spans="17:17" x14ac:dyDescent="0.25">
      <c r="Q15156" s="8"/>
    </row>
    <row r="15157" spans="17:17" x14ac:dyDescent="0.25">
      <c r="Q15157" s="8"/>
    </row>
    <row r="15158" spans="17:17" x14ac:dyDescent="0.25">
      <c r="Q15158" s="8"/>
    </row>
    <row r="15159" spans="17:17" x14ac:dyDescent="0.25">
      <c r="Q15159" s="8"/>
    </row>
    <row r="15160" spans="17:17" x14ac:dyDescent="0.25">
      <c r="Q15160" s="8"/>
    </row>
    <row r="15161" spans="17:17" x14ac:dyDescent="0.25">
      <c r="Q15161" s="8"/>
    </row>
    <row r="15162" spans="17:17" x14ac:dyDescent="0.25">
      <c r="Q15162" s="8"/>
    </row>
    <row r="15163" spans="17:17" x14ac:dyDescent="0.25">
      <c r="Q15163" s="8"/>
    </row>
    <row r="15164" spans="17:17" x14ac:dyDescent="0.25">
      <c r="Q15164" s="8"/>
    </row>
    <row r="15165" spans="17:17" x14ac:dyDescent="0.25">
      <c r="Q15165" s="8"/>
    </row>
    <row r="15166" spans="17:17" x14ac:dyDescent="0.25">
      <c r="Q15166" s="8"/>
    </row>
    <row r="15167" spans="17:17" x14ac:dyDescent="0.25">
      <c r="Q15167" s="8"/>
    </row>
    <row r="15168" spans="17:17" x14ac:dyDescent="0.25">
      <c r="Q15168" s="8"/>
    </row>
    <row r="15169" spans="17:17" x14ac:dyDescent="0.25">
      <c r="Q15169" s="8"/>
    </row>
    <row r="15170" spans="17:17" x14ac:dyDescent="0.25">
      <c r="Q15170" s="8"/>
    </row>
    <row r="15171" spans="17:17" x14ac:dyDescent="0.25">
      <c r="Q15171" s="8"/>
    </row>
    <row r="15172" spans="17:17" x14ac:dyDescent="0.25">
      <c r="Q15172" s="8"/>
    </row>
    <row r="15173" spans="17:17" x14ac:dyDescent="0.25">
      <c r="Q15173" s="8"/>
    </row>
    <row r="15174" spans="17:17" x14ac:dyDescent="0.25">
      <c r="Q15174" s="8"/>
    </row>
    <row r="15175" spans="17:17" x14ac:dyDescent="0.25">
      <c r="Q15175" s="8"/>
    </row>
    <row r="15176" spans="17:17" x14ac:dyDescent="0.25">
      <c r="Q15176" s="8"/>
    </row>
    <row r="15177" spans="17:17" x14ac:dyDescent="0.25">
      <c r="Q15177" s="8"/>
    </row>
    <row r="15178" spans="17:17" x14ac:dyDescent="0.25">
      <c r="Q15178" s="8"/>
    </row>
    <row r="15179" spans="17:17" x14ac:dyDescent="0.25">
      <c r="Q15179" s="8"/>
    </row>
    <row r="15180" spans="17:17" x14ac:dyDescent="0.25">
      <c r="Q15180" s="8"/>
    </row>
    <row r="15181" spans="17:17" x14ac:dyDescent="0.25">
      <c r="Q15181" s="8"/>
    </row>
    <row r="15182" spans="17:17" x14ac:dyDescent="0.25">
      <c r="Q15182" s="8"/>
    </row>
    <row r="15183" spans="17:17" x14ac:dyDescent="0.25">
      <c r="Q15183" s="8"/>
    </row>
    <row r="15184" spans="17:17" x14ac:dyDescent="0.25">
      <c r="Q15184" s="8"/>
    </row>
    <row r="15185" spans="17:17" x14ac:dyDescent="0.25">
      <c r="Q15185" s="8"/>
    </row>
    <row r="15186" spans="17:17" x14ac:dyDescent="0.25">
      <c r="Q15186" s="8"/>
    </row>
    <row r="15187" spans="17:17" x14ac:dyDescent="0.25">
      <c r="Q15187" s="8"/>
    </row>
    <row r="15188" spans="17:17" x14ac:dyDescent="0.25">
      <c r="Q15188" s="8"/>
    </row>
    <row r="15189" spans="17:17" x14ac:dyDescent="0.25">
      <c r="Q15189" s="8"/>
    </row>
    <row r="15190" spans="17:17" x14ac:dyDescent="0.25">
      <c r="Q15190" s="8"/>
    </row>
    <row r="15191" spans="17:17" x14ac:dyDescent="0.25">
      <c r="Q15191" s="8"/>
    </row>
    <row r="15192" spans="17:17" x14ac:dyDescent="0.25">
      <c r="Q15192" s="8"/>
    </row>
    <row r="15193" spans="17:17" x14ac:dyDescent="0.25">
      <c r="Q15193" s="8"/>
    </row>
    <row r="15194" spans="17:17" x14ac:dyDescent="0.25">
      <c r="Q15194" s="8"/>
    </row>
    <row r="15195" spans="17:17" x14ac:dyDescent="0.25">
      <c r="Q15195" s="8"/>
    </row>
    <row r="15196" spans="17:17" x14ac:dyDescent="0.25">
      <c r="Q15196" s="8"/>
    </row>
    <row r="15197" spans="17:17" x14ac:dyDescent="0.25">
      <c r="Q15197" s="8"/>
    </row>
    <row r="15198" spans="17:17" x14ac:dyDescent="0.25">
      <c r="Q15198" s="8"/>
    </row>
    <row r="15199" spans="17:17" x14ac:dyDescent="0.25">
      <c r="Q15199" s="8"/>
    </row>
    <row r="15200" spans="17:17" x14ac:dyDescent="0.25">
      <c r="Q15200" s="8"/>
    </row>
    <row r="15201" spans="17:17" x14ac:dyDescent="0.25">
      <c r="Q15201" s="8"/>
    </row>
    <row r="15202" spans="17:17" x14ac:dyDescent="0.25">
      <c r="Q15202" s="8"/>
    </row>
    <row r="15203" spans="17:17" x14ac:dyDescent="0.25">
      <c r="Q15203" s="8"/>
    </row>
    <row r="15204" spans="17:17" x14ac:dyDescent="0.25">
      <c r="Q15204" s="8"/>
    </row>
    <row r="15205" spans="17:17" x14ac:dyDescent="0.25">
      <c r="Q15205" s="8"/>
    </row>
    <row r="15206" spans="17:17" x14ac:dyDescent="0.25">
      <c r="Q15206" s="8"/>
    </row>
    <row r="15207" spans="17:17" x14ac:dyDescent="0.25">
      <c r="Q15207" s="8"/>
    </row>
    <row r="15208" spans="17:17" x14ac:dyDescent="0.25">
      <c r="Q15208" s="8"/>
    </row>
    <row r="15209" spans="17:17" x14ac:dyDescent="0.25">
      <c r="Q15209" s="8"/>
    </row>
    <row r="15210" spans="17:17" x14ac:dyDescent="0.25">
      <c r="Q15210" s="8"/>
    </row>
    <row r="15211" spans="17:17" x14ac:dyDescent="0.25">
      <c r="Q15211" s="8"/>
    </row>
    <row r="15212" spans="17:17" x14ac:dyDescent="0.25">
      <c r="Q15212" s="8"/>
    </row>
    <row r="15213" spans="17:17" x14ac:dyDescent="0.25">
      <c r="Q15213" s="8"/>
    </row>
    <row r="15214" spans="17:17" x14ac:dyDescent="0.25">
      <c r="Q15214" s="8"/>
    </row>
    <row r="15215" spans="17:17" x14ac:dyDescent="0.25">
      <c r="Q15215" s="8"/>
    </row>
    <row r="15216" spans="17:17" x14ac:dyDescent="0.25">
      <c r="Q15216" s="8"/>
    </row>
    <row r="15217" spans="17:17" x14ac:dyDescent="0.25">
      <c r="Q15217" s="8"/>
    </row>
    <row r="15218" spans="17:17" x14ac:dyDescent="0.25">
      <c r="Q15218" s="8"/>
    </row>
    <row r="15219" spans="17:17" x14ac:dyDescent="0.25">
      <c r="Q15219" s="8"/>
    </row>
    <row r="15220" spans="17:17" x14ac:dyDescent="0.25">
      <c r="Q15220" s="8"/>
    </row>
    <row r="15221" spans="17:17" x14ac:dyDescent="0.25">
      <c r="Q15221" s="8"/>
    </row>
    <row r="15222" spans="17:17" x14ac:dyDescent="0.25">
      <c r="Q15222" s="8"/>
    </row>
    <row r="15223" spans="17:17" x14ac:dyDescent="0.25">
      <c r="Q15223" s="8"/>
    </row>
    <row r="15224" spans="17:17" x14ac:dyDescent="0.25">
      <c r="Q15224" s="8"/>
    </row>
    <row r="15225" spans="17:17" x14ac:dyDescent="0.25">
      <c r="Q15225" s="8"/>
    </row>
    <row r="15226" spans="17:17" x14ac:dyDescent="0.25">
      <c r="Q15226" s="8"/>
    </row>
    <row r="15227" spans="17:17" x14ac:dyDescent="0.25">
      <c r="Q15227" s="8"/>
    </row>
    <row r="15228" spans="17:17" x14ac:dyDescent="0.25">
      <c r="Q15228" s="8"/>
    </row>
    <row r="15229" spans="17:17" x14ac:dyDescent="0.25">
      <c r="Q15229" s="8"/>
    </row>
    <row r="15230" spans="17:17" x14ac:dyDescent="0.25">
      <c r="Q15230" s="8"/>
    </row>
    <row r="15231" spans="17:17" x14ac:dyDescent="0.25">
      <c r="Q15231" s="8"/>
    </row>
    <row r="15232" spans="17:17" x14ac:dyDescent="0.25">
      <c r="Q15232" s="8"/>
    </row>
    <row r="15233" spans="17:17" x14ac:dyDescent="0.25">
      <c r="Q15233" s="8"/>
    </row>
    <row r="15234" spans="17:17" x14ac:dyDescent="0.25">
      <c r="Q15234" s="8"/>
    </row>
    <row r="15235" spans="17:17" x14ac:dyDescent="0.25">
      <c r="Q15235" s="8"/>
    </row>
    <row r="15236" spans="17:17" x14ac:dyDescent="0.25">
      <c r="Q15236" s="8"/>
    </row>
    <row r="15237" spans="17:17" x14ac:dyDescent="0.25">
      <c r="Q15237" s="8"/>
    </row>
    <row r="15238" spans="17:17" x14ac:dyDescent="0.25">
      <c r="Q15238" s="8"/>
    </row>
    <row r="15239" spans="17:17" x14ac:dyDescent="0.25">
      <c r="Q15239" s="8"/>
    </row>
    <row r="15240" spans="17:17" x14ac:dyDescent="0.25">
      <c r="Q15240" s="8"/>
    </row>
    <row r="15241" spans="17:17" x14ac:dyDescent="0.25">
      <c r="Q15241" s="8"/>
    </row>
    <row r="15242" spans="17:17" x14ac:dyDescent="0.25">
      <c r="Q15242" s="8"/>
    </row>
    <row r="15243" spans="17:17" x14ac:dyDescent="0.25">
      <c r="Q15243" s="8"/>
    </row>
    <row r="15244" spans="17:17" x14ac:dyDescent="0.25">
      <c r="Q15244" s="8"/>
    </row>
    <row r="15245" spans="17:17" x14ac:dyDescent="0.25">
      <c r="Q15245" s="8"/>
    </row>
    <row r="15246" spans="17:17" x14ac:dyDescent="0.25">
      <c r="Q15246" s="8"/>
    </row>
    <row r="15247" spans="17:17" x14ac:dyDescent="0.25">
      <c r="Q15247" s="8"/>
    </row>
    <row r="15248" spans="17:17" x14ac:dyDescent="0.25">
      <c r="Q15248" s="8"/>
    </row>
    <row r="15249" spans="17:17" x14ac:dyDescent="0.25">
      <c r="Q15249" s="8"/>
    </row>
    <row r="15250" spans="17:17" x14ac:dyDescent="0.25">
      <c r="Q15250" s="8"/>
    </row>
    <row r="15251" spans="17:17" x14ac:dyDescent="0.25">
      <c r="Q15251" s="8"/>
    </row>
    <row r="15252" spans="17:17" x14ac:dyDescent="0.25">
      <c r="Q15252" s="8"/>
    </row>
    <row r="15253" spans="17:17" x14ac:dyDescent="0.25">
      <c r="Q15253" s="8"/>
    </row>
    <row r="15254" spans="17:17" x14ac:dyDescent="0.25">
      <c r="Q15254" s="8"/>
    </row>
    <row r="15255" spans="17:17" x14ac:dyDescent="0.25">
      <c r="Q15255" s="8"/>
    </row>
    <row r="15256" spans="17:17" x14ac:dyDescent="0.25">
      <c r="Q15256" s="8"/>
    </row>
    <row r="15257" spans="17:17" x14ac:dyDescent="0.25">
      <c r="Q15257" s="8"/>
    </row>
    <row r="15258" spans="17:17" x14ac:dyDescent="0.25">
      <c r="Q15258" s="8"/>
    </row>
    <row r="15259" spans="17:17" x14ac:dyDescent="0.25">
      <c r="Q15259" s="8"/>
    </row>
    <row r="15260" spans="17:17" x14ac:dyDescent="0.25">
      <c r="Q15260" s="8"/>
    </row>
    <row r="15261" spans="17:17" x14ac:dyDescent="0.25">
      <c r="Q15261" s="8"/>
    </row>
    <row r="15262" spans="17:17" x14ac:dyDescent="0.25">
      <c r="Q15262" s="8"/>
    </row>
    <row r="15263" spans="17:17" x14ac:dyDescent="0.25">
      <c r="Q15263" s="8"/>
    </row>
    <row r="15264" spans="17:17" x14ac:dyDescent="0.25">
      <c r="Q15264" s="8"/>
    </row>
    <row r="15265" spans="17:17" x14ac:dyDescent="0.25">
      <c r="Q15265" s="8"/>
    </row>
    <row r="15266" spans="17:17" x14ac:dyDescent="0.25">
      <c r="Q15266" s="8"/>
    </row>
    <row r="15267" spans="17:17" x14ac:dyDescent="0.25">
      <c r="Q15267" s="8"/>
    </row>
    <row r="15268" spans="17:17" x14ac:dyDescent="0.25">
      <c r="Q15268" s="8"/>
    </row>
    <row r="15269" spans="17:17" x14ac:dyDescent="0.25">
      <c r="Q15269" s="8"/>
    </row>
    <row r="15270" spans="17:17" x14ac:dyDescent="0.25">
      <c r="Q15270" s="8"/>
    </row>
    <row r="15271" spans="17:17" x14ac:dyDescent="0.25">
      <c r="Q15271" s="8"/>
    </row>
    <row r="15272" spans="17:17" x14ac:dyDescent="0.25">
      <c r="Q15272" s="8"/>
    </row>
    <row r="15273" spans="17:17" x14ac:dyDescent="0.25">
      <c r="Q15273" s="8"/>
    </row>
    <row r="15274" spans="17:17" x14ac:dyDescent="0.25">
      <c r="Q15274" s="8"/>
    </row>
    <row r="15275" spans="17:17" x14ac:dyDescent="0.25">
      <c r="Q15275" s="8"/>
    </row>
    <row r="15276" spans="17:17" x14ac:dyDescent="0.25">
      <c r="Q15276" s="8"/>
    </row>
    <row r="15277" spans="17:17" x14ac:dyDescent="0.25">
      <c r="Q15277" s="8"/>
    </row>
    <row r="15278" spans="17:17" x14ac:dyDescent="0.25">
      <c r="Q15278" s="8"/>
    </row>
    <row r="15279" spans="17:17" x14ac:dyDescent="0.25">
      <c r="Q15279" s="8"/>
    </row>
    <row r="15280" spans="17:17" x14ac:dyDescent="0.25">
      <c r="Q15280" s="8"/>
    </row>
    <row r="15281" spans="17:17" x14ac:dyDescent="0.25">
      <c r="Q15281" s="8"/>
    </row>
    <row r="15282" spans="17:17" x14ac:dyDescent="0.25">
      <c r="Q15282" s="8"/>
    </row>
    <row r="15283" spans="17:17" x14ac:dyDescent="0.25">
      <c r="Q15283" s="8"/>
    </row>
    <row r="15284" spans="17:17" x14ac:dyDescent="0.25">
      <c r="Q15284" s="8"/>
    </row>
    <row r="15285" spans="17:17" x14ac:dyDescent="0.25">
      <c r="Q15285" s="8"/>
    </row>
    <row r="15286" spans="17:17" x14ac:dyDescent="0.25">
      <c r="Q15286" s="8"/>
    </row>
    <row r="15287" spans="17:17" x14ac:dyDescent="0.25">
      <c r="Q15287" s="8"/>
    </row>
    <row r="15288" spans="17:17" x14ac:dyDescent="0.25">
      <c r="Q15288" s="8"/>
    </row>
    <row r="15289" spans="17:17" x14ac:dyDescent="0.25">
      <c r="Q15289" s="8"/>
    </row>
    <row r="15290" spans="17:17" x14ac:dyDescent="0.25">
      <c r="Q15290" s="8"/>
    </row>
    <row r="15291" spans="17:17" x14ac:dyDescent="0.25">
      <c r="Q15291" s="8"/>
    </row>
    <row r="15292" spans="17:17" x14ac:dyDescent="0.25">
      <c r="Q15292" s="8"/>
    </row>
    <row r="15293" spans="17:17" x14ac:dyDescent="0.25">
      <c r="Q15293" s="8"/>
    </row>
    <row r="15294" spans="17:17" x14ac:dyDescent="0.25">
      <c r="Q15294" s="8"/>
    </row>
    <row r="15295" spans="17:17" x14ac:dyDescent="0.25">
      <c r="Q15295" s="8"/>
    </row>
    <row r="15296" spans="17:17" x14ac:dyDescent="0.25">
      <c r="Q15296" s="8"/>
    </row>
    <row r="15297" spans="17:17" x14ac:dyDescent="0.25">
      <c r="Q15297" s="8"/>
    </row>
    <row r="15298" spans="17:17" x14ac:dyDescent="0.25">
      <c r="Q15298" s="8"/>
    </row>
    <row r="15299" spans="17:17" x14ac:dyDescent="0.25">
      <c r="Q15299" s="8"/>
    </row>
    <row r="15300" spans="17:17" x14ac:dyDescent="0.25">
      <c r="Q15300" s="8"/>
    </row>
    <row r="15301" spans="17:17" x14ac:dyDescent="0.25">
      <c r="Q15301" s="8"/>
    </row>
    <row r="15302" spans="17:17" x14ac:dyDescent="0.25">
      <c r="Q15302" s="8"/>
    </row>
    <row r="15303" spans="17:17" x14ac:dyDescent="0.25">
      <c r="Q15303" s="8"/>
    </row>
    <row r="15304" spans="17:17" x14ac:dyDescent="0.25">
      <c r="Q15304" s="8"/>
    </row>
    <row r="15305" spans="17:17" x14ac:dyDescent="0.25">
      <c r="Q15305" s="8"/>
    </row>
    <row r="15306" spans="17:17" x14ac:dyDescent="0.25">
      <c r="Q15306" s="8"/>
    </row>
    <row r="15307" spans="17:17" x14ac:dyDescent="0.25">
      <c r="Q15307" s="8"/>
    </row>
    <row r="15308" spans="17:17" x14ac:dyDescent="0.25">
      <c r="Q15308" s="8"/>
    </row>
    <row r="15309" spans="17:17" x14ac:dyDescent="0.25">
      <c r="Q15309" s="8"/>
    </row>
    <row r="15310" spans="17:17" x14ac:dyDescent="0.25">
      <c r="Q15310" s="8"/>
    </row>
    <row r="15311" spans="17:17" x14ac:dyDescent="0.25">
      <c r="Q15311" s="8"/>
    </row>
    <row r="15312" spans="17:17" x14ac:dyDescent="0.25">
      <c r="Q15312" s="8"/>
    </row>
    <row r="15313" spans="17:17" x14ac:dyDescent="0.25">
      <c r="Q15313" s="8"/>
    </row>
    <row r="15314" spans="17:17" x14ac:dyDescent="0.25">
      <c r="Q15314" s="8"/>
    </row>
    <row r="15315" spans="17:17" x14ac:dyDescent="0.25">
      <c r="Q15315" s="8"/>
    </row>
    <row r="15316" spans="17:17" x14ac:dyDescent="0.25">
      <c r="Q15316" s="8"/>
    </row>
    <row r="15317" spans="17:17" x14ac:dyDescent="0.25">
      <c r="Q15317" s="8"/>
    </row>
    <row r="15318" spans="17:17" x14ac:dyDescent="0.25">
      <c r="Q15318" s="8"/>
    </row>
    <row r="15319" spans="17:17" x14ac:dyDescent="0.25">
      <c r="Q15319" s="8"/>
    </row>
    <row r="15320" spans="17:17" x14ac:dyDescent="0.25">
      <c r="Q15320" s="8"/>
    </row>
    <row r="15321" spans="17:17" x14ac:dyDescent="0.25">
      <c r="Q15321" s="8"/>
    </row>
    <row r="15322" spans="17:17" x14ac:dyDescent="0.25">
      <c r="Q15322" s="8"/>
    </row>
    <row r="15323" spans="17:17" x14ac:dyDescent="0.25">
      <c r="Q15323" s="8"/>
    </row>
    <row r="15324" spans="17:17" x14ac:dyDescent="0.25">
      <c r="Q15324" s="8"/>
    </row>
    <row r="15325" spans="17:17" x14ac:dyDescent="0.25">
      <c r="Q15325" s="8"/>
    </row>
    <row r="15326" spans="17:17" x14ac:dyDescent="0.25">
      <c r="Q15326" s="8"/>
    </row>
    <row r="15327" spans="17:17" x14ac:dyDescent="0.25">
      <c r="Q15327" s="8"/>
    </row>
    <row r="15328" spans="17:17" x14ac:dyDescent="0.25">
      <c r="Q15328" s="8"/>
    </row>
    <row r="15329" spans="17:17" x14ac:dyDescent="0.25">
      <c r="Q15329" s="8"/>
    </row>
    <row r="15330" spans="17:17" x14ac:dyDescent="0.25">
      <c r="Q15330" s="8"/>
    </row>
    <row r="15331" spans="17:17" x14ac:dyDescent="0.25">
      <c r="Q15331" s="8"/>
    </row>
    <row r="15332" spans="17:17" x14ac:dyDescent="0.25">
      <c r="Q15332" s="8"/>
    </row>
    <row r="15333" spans="17:17" x14ac:dyDescent="0.25">
      <c r="Q15333" s="8"/>
    </row>
    <row r="15334" spans="17:17" x14ac:dyDescent="0.25">
      <c r="Q15334" s="8"/>
    </row>
    <row r="15335" spans="17:17" x14ac:dyDescent="0.25">
      <c r="Q15335" s="8"/>
    </row>
    <row r="15336" spans="17:17" x14ac:dyDescent="0.25">
      <c r="Q15336" s="8"/>
    </row>
    <row r="15337" spans="17:17" x14ac:dyDescent="0.25">
      <c r="Q15337" s="8"/>
    </row>
    <row r="15338" spans="17:17" x14ac:dyDescent="0.25">
      <c r="Q15338" s="8"/>
    </row>
    <row r="15339" spans="17:17" x14ac:dyDescent="0.25">
      <c r="Q15339" s="8"/>
    </row>
    <row r="15340" spans="17:17" x14ac:dyDescent="0.25">
      <c r="Q15340" s="8"/>
    </row>
    <row r="15341" spans="17:17" x14ac:dyDescent="0.25">
      <c r="Q15341" s="8"/>
    </row>
    <row r="15342" spans="17:17" x14ac:dyDescent="0.25">
      <c r="Q15342" s="8"/>
    </row>
    <row r="15343" spans="17:17" x14ac:dyDescent="0.25">
      <c r="Q15343" s="8"/>
    </row>
    <row r="15344" spans="17:17" x14ac:dyDescent="0.25">
      <c r="Q15344" s="8"/>
    </row>
    <row r="15345" spans="17:17" x14ac:dyDescent="0.25">
      <c r="Q15345" s="8"/>
    </row>
    <row r="15346" spans="17:17" x14ac:dyDescent="0.25">
      <c r="Q15346" s="8"/>
    </row>
    <row r="15347" spans="17:17" x14ac:dyDescent="0.25">
      <c r="Q15347" s="8"/>
    </row>
    <row r="15348" spans="17:17" x14ac:dyDescent="0.25">
      <c r="Q15348" s="8"/>
    </row>
    <row r="15349" spans="17:17" x14ac:dyDescent="0.25">
      <c r="Q15349" s="8"/>
    </row>
    <row r="15350" spans="17:17" x14ac:dyDescent="0.25">
      <c r="Q15350" s="8"/>
    </row>
    <row r="15351" spans="17:17" x14ac:dyDescent="0.25">
      <c r="Q15351" s="8"/>
    </row>
    <row r="15352" spans="17:17" x14ac:dyDescent="0.25">
      <c r="Q15352" s="8"/>
    </row>
    <row r="15353" spans="17:17" x14ac:dyDescent="0.25">
      <c r="Q15353" s="8"/>
    </row>
    <row r="15354" spans="17:17" x14ac:dyDescent="0.25">
      <c r="Q15354" s="8"/>
    </row>
    <row r="15355" spans="17:17" x14ac:dyDescent="0.25">
      <c r="Q15355" s="8"/>
    </row>
    <row r="15356" spans="17:17" x14ac:dyDescent="0.25">
      <c r="Q15356" s="8"/>
    </row>
    <row r="15357" spans="17:17" x14ac:dyDescent="0.25">
      <c r="Q15357" s="8"/>
    </row>
    <row r="15358" spans="17:17" x14ac:dyDescent="0.25">
      <c r="Q15358" s="8"/>
    </row>
    <row r="15359" spans="17:17" x14ac:dyDescent="0.25">
      <c r="Q15359" s="8"/>
    </row>
    <row r="15360" spans="17:17" x14ac:dyDescent="0.25">
      <c r="Q15360" s="8"/>
    </row>
    <row r="15361" spans="17:17" x14ac:dyDescent="0.25">
      <c r="Q15361" s="8"/>
    </row>
    <row r="15362" spans="17:17" x14ac:dyDescent="0.25">
      <c r="Q15362" s="8"/>
    </row>
    <row r="15363" spans="17:17" x14ac:dyDescent="0.25">
      <c r="Q15363" s="8"/>
    </row>
    <row r="15364" spans="17:17" x14ac:dyDescent="0.25">
      <c r="Q15364" s="8"/>
    </row>
    <row r="15365" spans="17:17" x14ac:dyDescent="0.25">
      <c r="Q15365" s="8"/>
    </row>
    <row r="15366" spans="17:17" x14ac:dyDescent="0.25">
      <c r="Q15366" s="8"/>
    </row>
    <row r="15367" spans="17:17" x14ac:dyDescent="0.25">
      <c r="Q15367" s="8"/>
    </row>
    <row r="15368" spans="17:17" x14ac:dyDescent="0.25">
      <c r="Q15368" s="8"/>
    </row>
    <row r="15369" spans="17:17" x14ac:dyDescent="0.25">
      <c r="Q15369" s="8"/>
    </row>
    <row r="15370" spans="17:17" x14ac:dyDescent="0.25">
      <c r="Q15370" s="8"/>
    </row>
    <row r="15371" spans="17:17" x14ac:dyDescent="0.25">
      <c r="Q15371" s="8"/>
    </row>
    <row r="15372" spans="17:17" x14ac:dyDescent="0.25">
      <c r="Q15372" s="8"/>
    </row>
    <row r="15373" spans="17:17" x14ac:dyDescent="0.25">
      <c r="Q15373" s="8"/>
    </row>
    <row r="15374" spans="17:17" x14ac:dyDescent="0.25">
      <c r="Q15374" s="8"/>
    </row>
    <row r="15375" spans="17:17" x14ac:dyDescent="0.25">
      <c r="Q15375" s="8"/>
    </row>
    <row r="15376" spans="17:17" x14ac:dyDescent="0.25">
      <c r="Q15376" s="8"/>
    </row>
    <row r="15377" spans="17:17" x14ac:dyDescent="0.25">
      <c r="Q15377" s="8"/>
    </row>
    <row r="15378" spans="17:17" x14ac:dyDescent="0.25">
      <c r="Q15378" s="8"/>
    </row>
    <row r="15379" spans="17:17" x14ac:dyDescent="0.25">
      <c r="Q15379" s="8"/>
    </row>
    <row r="15380" spans="17:17" x14ac:dyDescent="0.25">
      <c r="Q15380" s="8"/>
    </row>
    <row r="15381" spans="17:17" x14ac:dyDescent="0.25">
      <c r="Q15381" s="8"/>
    </row>
    <row r="15382" spans="17:17" x14ac:dyDescent="0.25">
      <c r="Q15382" s="8"/>
    </row>
    <row r="15383" spans="17:17" x14ac:dyDescent="0.25">
      <c r="Q15383" s="8"/>
    </row>
    <row r="15384" spans="17:17" x14ac:dyDescent="0.25">
      <c r="Q15384" s="8"/>
    </row>
    <row r="15385" spans="17:17" x14ac:dyDescent="0.25">
      <c r="Q15385" s="8"/>
    </row>
    <row r="15386" spans="17:17" x14ac:dyDescent="0.25">
      <c r="Q15386" s="8"/>
    </row>
    <row r="15387" spans="17:17" x14ac:dyDescent="0.25">
      <c r="Q15387" s="8"/>
    </row>
    <row r="15388" spans="17:17" x14ac:dyDescent="0.25">
      <c r="Q15388" s="8"/>
    </row>
    <row r="15389" spans="17:17" x14ac:dyDescent="0.25">
      <c r="Q15389" s="8"/>
    </row>
    <row r="15390" spans="17:17" x14ac:dyDescent="0.25">
      <c r="Q15390" s="8"/>
    </row>
    <row r="15391" spans="17:17" x14ac:dyDescent="0.25">
      <c r="Q15391" s="8"/>
    </row>
    <row r="15392" spans="17:17" x14ac:dyDescent="0.25">
      <c r="Q15392" s="8"/>
    </row>
    <row r="15393" spans="17:17" x14ac:dyDescent="0.25">
      <c r="Q15393" s="8"/>
    </row>
    <row r="15394" spans="17:17" x14ac:dyDescent="0.25">
      <c r="Q15394" s="8"/>
    </row>
    <row r="15395" spans="17:17" x14ac:dyDescent="0.25">
      <c r="Q15395" s="8"/>
    </row>
    <row r="15396" spans="17:17" x14ac:dyDescent="0.25">
      <c r="Q15396" s="8"/>
    </row>
    <row r="15397" spans="17:17" x14ac:dyDescent="0.25">
      <c r="Q15397" s="8"/>
    </row>
    <row r="15398" spans="17:17" x14ac:dyDescent="0.25">
      <c r="Q15398" s="8"/>
    </row>
    <row r="15399" spans="17:17" x14ac:dyDescent="0.25">
      <c r="Q15399" s="8"/>
    </row>
    <row r="15400" spans="17:17" x14ac:dyDescent="0.25">
      <c r="Q15400" s="8"/>
    </row>
    <row r="15401" spans="17:17" x14ac:dyDescent="0.25">
      <c r="Q15401" s="8"/>
    </row>
    <row r="15402" spans="17:17" x14ac:dyDescent="0.25">
      <c r="Q15402" s="8"/>
    </row>
    <row r="15403" spans="17:17" x14ac:dyDescent="0.25">
      <c r="Q15403" s="8"/>
    </row>
    <row r="15404" spans="17:17" x14ac:dyDescent="0.25">
      <c r="Q15404" s="8"/>
    </row>
    <row r="15405" spans="17:17" x14ac:dyDescent="0.25">
      <c r="Q15405" s="8"/>
    </row>
    <row r="15406" spans="17:17" x14ac:dyDescent="0.25">
      <c r="Q15406" s="8"/>
    </row>
    <row r="15407" spans="17:17" x14ac:dyDescent="0.25">
      <c r="Q15407" s="8"/>
    </row>
    <row r="15408" spans="17:17" x14ac:dyDescent="0.25">
      <c r="Q15408" s="8"/>
    </row>
    <row r="15409" spans="17:17" x14ac:dyDescent="0.25">
      <c r="Q15409" s="8"/>
    </row>
    <row r="15410" spans="17:17" x14ac:dyDescent="0.25">
      <c r="Q15410" s="8"/>
    </row>
    <row r="15411" spans="17:17" x14ac:dyDescent="0.25">
      <c r="Q15411" s="8"/>
    </row>
    <row r="15412" spans="17:17" x14ac:dyDescent="0.25">
      <c r="Q15412" s="8"/>
    </row>
    <row r="15413" spans="17:17" x14ac:dyDescent="0.25">
      <c r="Q15413" s="8"/>
    </row>
    <row r="15414" spans="17:17" x14ac:dyDescent="0.25">
      <c r="Q15414" s="8"/>
    </row>
    <row r="15415" spans="17:17" x14ac:dyDescent="0.25">
      <c r="Q15415" s="8"/>
    </row>
    <row r="15416" spans="17:17" x14ac:dyDescent="0.25">
      <c r="Q15416" s="8"/>
    </row>
    <row r="15417" spans="17:17" x14ac:dyDescent="0.25">
      <c r="Q15417" s="8"/>
    </row>
    <row r="15418" spans="17:17" x14ac:dyDescent="0.25">
      <c r="Q15418" s="8"/>
    </row>
    <row r="15419" spans="17:17" x14ac:dyDescent="0.25">
      <c r="Q15419" s="8"/>
    </row>
    <row r="15420" spans="17:17" x14ac:dyDescent="0.25">
      <c r="Q15420" s="8"/>
    </row>
    <row r="15421" spans="17:17" x14ac:dyDescent="0.25">
      <c r="Q15421" s="8"/>
    </row>
    <row r="15422" spans="17:17" x14ac:dyDescent="0.25">
      <c r="Q15422" s="8"/>
    </row>
    <row r="15423" spans="17:17" x14ac:dyDescent="0.25">
      <c r="Q15423" s="8"/>
    </row>
    <row r="15424" spans="17:17" x14ac:dyDescent="0.25">
      <c r="Q15424" s="8"/>
    </row>
    <row r="15425" spans="17:17" x14ac:dyDescent="0.25">
      <c r="Q15425" s="8"/>
    </row>
    <row r="15426" spans="17:17" x14ac:dyDescent="0.25">
      <c r="Q15426" s="8"/>
    </row>
    <row r="15427" spans="17:17" x14ac:dyDescent="0.25">
      <c r="Q15427" s="8"/>
    </row>
    <row r="15428" spans="17:17" x14ac:dyDescent="0.25">
      <c r="Q15428" s="8"/>
    </row>
    <row r="15429" spans="17:17" x14ac:dyDescent="0.25">
      <c r="Q15429" s="8"/>
    </row>
    <row r="15430" spans="17:17" x14ac:dyDescent="0.25">
      <c r="Q15430" s="8"/>
    </row>
    <row r="15431" spans="17:17" x14ac:dyDescent="0.25">
      <c r="Q15431" s="8"/>
    </row>
    <row r="15432" spans="17:17" x14ac:dyDescent="0.25">
      <c r="Q15432" s="8"/>
    </row>
    <row r="15433" spans="17:17" x14ac:dyDescent="0.25">
      <c r="Q15433" s="8"/>
    </row>
    <row r="15434" spans="17:17" x14ac:dyDescent="0.25">
      <c r="Q15434" s="8"/>
    </row>
    <row r="15435" spans="17:17" x14ac:dyDescent="0.25">
      <c r="Q15435" s="8"/>
    </row>
    <row r="15436" spans="17:17" x14ac:dyDescent="0.25">
      <c r="Q15436" s="8"/>
    </row>
    <row r="15437" spans="17:17" x14ac:dyDescent="0.25">
      <c r="Q15437" s="8"/>
    </row>
    <row r="15438" spans="17:17" x14ac:dyDescent="0.25">
      <c r="Q15438" s="8"/>
    </row>
    <row r="15439" spans="17:17" x14ac:dyDescent="0.25">
      <c r="Q15439" s="8"/>
    </row>
    <row r="15440" spans="17:17" x14ac:dyDescent="0.25">
      <c r="Q15440" s="8"/>
    </row>
    <row r="15441" spans="17:17" x14ac:dyDescent="0.25">
      <c r="Q15441" s="8"/>
    </row>
    <row r="15442" spans="17:17" x14ac:dyDescent="0.25">
      <c r="Q15442" s="8"/>
    </row>
    <row r="15443" spans="17:17" x14ac:dyDescent="0.25">
      <c r="Q15443" s="8"/>
    </row>
    <row r="15444" spans="17:17" x14ac:dyDescent="0.25">
      <c r="Q15444" s="8"/>
    </row>
    <row r="15445" spans="17:17" x14ac:dyDescent="0.25">
      <c r="Q15445" s="8"/>
    </row>
    <row r="15446" spans="17:17" x14ac:dyDescent="0.25">
      <c r="Q15446" s="8"/>
    </row>
    <row r="15447" spans="17:17" x14ac:dyDescent="0.25">
      <c r="Q15447" s="8"/>
    </row>
    <row r="15448" spans="17:17" x14ac:dyDescent="0.25">
      <c r="Q15448" s="8"/>
    </row>
    <row r="15449" spans="17:17" x14ac:dyDescent="0.25">
      <c r="Q15449" s="8"/>
    </row>
    <row r="15450" spans="17:17" x14ac:dyDescent="0.25">
      <c r="Q15450" s="8"/>
    </row>
    <row r="15451" spans="17:17" x14ac:dyDescent="0.25">
      <c r="Q15451" s="8"/>
    </row>
    <row r="15452" spans="17:17" x14ac:dyDescent="0.25">
      <c r="Q15452" s="8"/>
    </row>
    <row r="15453" spans="17:17" x14ac:dyDescent="0.25">
      <c r="Q15453" s="8"/>
    </row>
    <row r="15454" spans="17:17" x14ac:dyDescent="0.25">
      <c r="Q15454" s="8"/>
    </row>
    <row r="15455" spans="17:17" x14ac:dyDescent="0.25">
      <c r="Q15455" s="8"/>
    </row>
    <row r="15456" spans="17:17" x14ac:dyDescent="0.25">
      <c r="Q15456" s="8"/>
    </row>
    <row r="15457" spans="17:17" x14ac:dyDescent="0.25">
      <c r="Q15457" s="8"/>
    </row>
    <row r="15458" spans="17:17" x14ac:dyDescent="0.25">
      <c r="Q15458" s="8"/>
    </row>
    <row r="15459" spans="17:17" x14ac:dyDescent="0.25">
      <c r="Q15459" s="8"/>
    </row>
    <row r="15460" spans="17:17" x14ac:dyDescent="0.25">
      <c r="Q15460" s="8"/>
    </row>
    <row r="15461" spans="17:17" x14ac:dyDescent="0.25">
      <c r="Q15461" s="8"/>
    </row>
    <row r="15462" spans="17:17" x14ac:dyDescent="0.25">
      <c r="Q15462" s="8"/>
    </row>
    <row r="15463" spans="17:17" x14ac:dyDescent="0.25">
      <c r="Q15463" s="8"/>
    </row>
    <row r="15464" spans="17:17" x14ac:dyDescent="0.25">
      <c r="Q15464" s="8"/>
    </row>
    <row r="15465" spans="17:17" x14ac:dyDescent="0.25">
      <c r="Q15465" s="8"/>
    </row>
    <row r="15466" spans="17:17" x14ac:dyDescent="0.25">
      <c r="Q15466" s="8"/>
    </row>
    <row r="15467" spans="17:17" x14ac:dyDescent="0.25">
      <c r="Q15467" s="8"/>
    </row>
    <row r="15468" spans="17:17" x14ac:dyDescent="0.25">
      <c r="Q15468" s="8"/>
    </row>
    <row r="15469" spans="17:17" x14ac:dyDescent="0.25">
      <c r="Q15469" s="8"/>
    </row>
    <row r="15470" spans="17:17" x14ac:dyDescent="0.25">
      <c r="Q15470" s="8"/>
    </row>
    <row r="15471" spans="17:17" x14ac:dyDescent="0.25">
      <c r="Q15471" s="8"/>
    </row>
    <row r="15472" spans="17:17" x14ac:dyDescent="0.25">
      <c r="Q15472" s="8"/>
    </row>
    <row r="15473" spans="17:17" x14ac:dyDescent="0.25">
      <c r="Q15473" s="8"/>
    </row>
    <row r="15474" spans="17:17" x14ac:dyDescent="0.25">
      <c r="Q15474" s="8"/>
    </row>
    <row r="15475" spans="17:17" x14ac:dyDescent="0.25">
      <c r="Q15475" s="8"/>
    </row>
    <row r="15476" spans="17:17" x14ac:dyDescent="0.25">
      <c r="Q15476" s="8"/>
    </row>
    <row r="15477" spans="17:17" x14ac:dyDescent="0.25">
      <c r="Q15477" s="8"/>
    </row>
    <row r="15478" spans="17:17" x14ac:dyDescent="0.25">
      <c r="Q15478" s="8"/>
    </row>
    <row r="15479" spans="17:17" x14ac:dyDescent="0.25">
      <c r="Q15479" s="8"/>
    </row>
    <row r="15480" spans="17:17" x14ac:dyDescent="0.25">
      <c r="Q15480" s="8"/>
    </row>
    <row r="15481" spans="17:17" x14ac:dyDescent="0.25">
      <c r="Q15481" s="8"/>
    </row>
    <row r="15482" spans="17:17" x14ac:dyDescent="0.25">
      <c r="Q15482" s="8"/>
    </row>
    <row r="15483" spans="17:17" x14ac:dyDescent="0.25">
      <c r="Q15483" s="8"/>
    </row>
    <row r="15484" spans="17:17" x14ac:dyDescent="0.25">
      <c r="Q15484" s="8"/>
    </row>
    <row r="15485" spans="17:17" x14ac:dyDescent="0.25">
      <c r="Q15485" s="8"/>
    </row>
    <row r="15486" spans="17:17" x14ac:dyDescent="0.25">
      <c r="Q15486" s="8"/>
    </row>
    <row r="15487" spans="17:17" x14ac:dyDescent="0.25">
      <c r="Q15487" s="8"/>
    </row>
    <row r="15488" spans="17:17" x14ac:dyDescent="0.25">
      <c r="Q15488" s="8"/>
    </row>
    <row r="15489" spans="17:17" x14ac:dyDescent="0.25">
      <c r="Q15489" s="8"/>
    </row>
    <row r="15490" spans="17:17" x14ac:dyDescent="0.25">
      <c r="Q15490" s="8"/>
    </row>
    <row r="15491" spans="17:17" x14ac:dyDescent="0.25">
      <c r="Q15491" s="8"/>
    </row>
    <row r="15492" spans="17:17" x14ac:dyDescent="0.25">
      <c r="Q15492" s="8"/>
    </row>
    <row r="15493" spans="17:17" x14ac:dyDescent="0.25">
      <c r="Q15493" s="8"/>
    </row>
    <row r="15494" spans="17:17" x14ac:dyDescent="0.25">
      <c r="Q15494" s="8"/>
    </row>
    <row r="15495" spans="17:17" x14ac:dyDescent="0.25">
      <c r="Q15495" s="8"/>
    </row>
    <row r="15496" spans="17:17" x14ac:dyDescent="0.25">
      <c r="Q15496" s="8"/>
    </row>
    <row r="15497" spans="17:17" x14ac:dyDescent="0.25">
      <c r="Q15497" s="8"/>
    </row>
    <row r="15498" spans="17:17" x14ac:dyDescent="0.25">
      <c r="Q15498" s="8"/>
    </row>
    <row r="15499" spans="17:17" x14ac:dyDescent="0.25">
      <c r="Q15499" s="8"/>
    </row>
    <row r="15500" spans="17:17" x14ac:dyDescent="0.25">
      <c r="Q15500" s="8"/>
    </row>
    <row r="15501" spans="17:17" x14ac:dyDescent="0.25">
      <c r="Q15501" s="8"/>
    </row>
    <row r="15502" spans="17:17" x14ac:dyDescent="0.25">
      <c r="Q15502" s="8"/>
    </row>
    <row r="15503" spans="17:17" x14ac:dyDescent="0.25">
      <c r="Q15503" s="8"/>
    </row>
    <row r="15504" spans="17:17" x14ac:dyDescent="0.25">
      <c r="Q15504" s="8"/>
    </row>
    <row r="15505" spans="17:17" x14ac:dyDescent="0.25">
      <c r="Q15505" s="8"/>
    </row>
    <row r="15506" spans="17:17" x14ac:dyDescent="0.25">
      <c r="Q15506" s="8"/>
    </row>
    <row r="15507" spans="17:17" x14ac:dyDescent="0.25">
      <c r="Q15507" s="8"/>
    </row>
    <row r="15508" spans="17:17" x14ac:dyDescent="0.25">
      <c r="Q15508" s="8"/>
    </row>
    <row r="15509" spans="17:17" x14ac:dyDescent="0.25">
      <c r="Q15509" s="8"/>
    </row>
    <row r="15510" spans="17:17" x14ac:dyDescent="0.25">
      <c r="Q15510" s="8"/>
    </row>
    <row r="15511" spans="17:17" x14ac:dyDescent="0.25">
      <c r="Q15511" s="8"/>
    </row>
    <row r="15512" spans="17:17" x14ac:dyDescent="0.25">
      <c r="Q15512" s="8"/>
    </row>
    <row r="15513" spans="17:17" x14ac:dyDescent="0.25">
      <c r="Q15513" s="8"/>
    </row>
    <row r="15514" spans="17:17" x14ac:dyDescent="0.25">
      <c r="Q15514" s="8"/>
    </row>
    <row r="15515" spans="17:17" x14ac:dyDescent="0.25">
      <c r="Q15515" s="8"/>
    </row>
    <row r="15516" spans="17:17" x14ac:dyDescent="0.25">
      <c r="Q15516" s="8"/>
    </row>
    <row r="15517" spans="17:17" x14ac:dyDescent="0.25">
      <c r="Q15517" s="8"/>
    </row>
    <row r="15518" spans="17:17" x14ac:dyDescent="0.25">
      <c r="Q15518" s="8"/>
    </row>
    <row r="15519" spans="17:17" x14ac:dyDescent="0.25">
      <c r="Q15519" s="8"/>
    </row>
    <row r="15520" spans="17:17" x14ac:dyDescent="0.25">
      <c r="Q15520" s="8"/>
    </row>
    <row r="15521" spans="17:17" x14ac:dyDescent="0.25">
      <c r="Q15521" s="8"/>
    </row>
    <row r="15522" spans="17:17" x14ac:dyDescent="0.25">
      <c r="Q15522" s="8"/>
    </row>
    <row r="15523" spans="17:17" x14ac:dyDescent="0.25">
      <c r="Q15523" s="8"/>
    </row>
    <row r="15524" spans="17:17" x14ac:dyDescent="0.25">
      <c r="Q15524" s="8"/>
    </row>
    <row r="15525" spans="17:17" x14ac:dyDescent="0.25">
      <c r="Q15525" s="8"/>
    </row>
    <row r="15526" spans="17:17" x14ac:dyDescent="0.25">
      <c r="Q15526" s="8"/>
    </row>
    <row r="15527" spans="17:17" x14ac:dyDescent="0.25">
      <c r="Q15527" s="8"/>
    </row>
    <row r="15528" spans="17:17" x14ac:dyDescent="0.25">
      <c r="Q15528" s="8"/>
    </row>
    <row r="15529" spans="17:17" x14ac:dyDescent="0.25">
      <c r="Q15529" s="8"/>
    </row>
    <row r="15530" spans="17:17" x14ac:dyDescent="0.25">
      <c r="Q15530" s="8"/>
    </row>
    <row r="15531" spans="17:17" x14ac:dyDescent="0.25">
      <c r="Q15531" s="8"/>
    </row>
    <row r="15532" spans="17:17" x14ac:dyDescent="0.25">
      <c r="Q15532" s="8"/>
    </row>
    <row r="15533" spans="17:17" x14ac:dyDescent="0.25">
      <c r="Q15533" s="8"/>
    </row>
    <row r="15534" spans="17:17" x14ac:dyDescent="0.25">
      <c r="Q15534" s="8"/>
    </row>
    <row r="15535" spans="17:17" x14ac:dyDescent="0.25">
      <c r="Q15535" s="8"/>
    </row>
    <row r="15536" spans="17:17" x14ac:dyDescent="0.25">
      <c r="Q15536" s="8"/>
    </row>
    <row r="15537" spans="17:17" x14ac:dyDescent="0.25">
      <c r="Q15537" s="8"/>
    </row>
    <row r="15538" spans="17:17" x14ac:dyDescent="0.25">
      <c r="Q15538" s="8"/>
    </row>
    <row r="15539" spans="17:17" x14ac:dyDescent="0.25">
      <c r="Q15539" s="8"/>
    </row>
    <row r="15540" spans="17:17" x14ac:dyDescent="0.25">
      <c r="Q15540" s="8"/>
    </row>
    <row r="15541" spans="17:17" x14ac:dyDescent="0.25">
      <c r="Q15541" s="8"/>
    </row>
    <row r="15542" spans="17:17" x14ac:dyDescent="0.25">
      <c r="Q15542" s="8"/>
    </row>
    <row r="15543" spans="17:17" x14ac:dyDescent="0.25">
      <c r="Q15543" s="8"/>
    </row>
    <row r="15544" spans="17:17" x14ac:dyDescent="0.25">
      <c r="Q15544" s="8"/>
    </row>
    <row r="15545" spans="17:17" x14ac:dyDescent="0.25">
      <c r="Q15545" s="8"/>
    </row>
    <row r="15546" spans="17:17" x14ac:dyDescent="0.25">
      <c r="Q15546" s="8"/>
    </row>
    <row r="15547" spans="17:17" x14ac:dyDescent="0.25">
      <c r="Q15547" s="8"/>
    </row>
    <row r="15548" spans="17:17" x14ac:dyDescent="0.25">
      <c r="Q15548" s="8"/>
    </row>
    <row r="15549" spans="17:17" x14ac:dyDescent="0.25">
      <c r="Q15549" s="8"/>
    </row>
    <row r="15550" spans="17:17" x14ac:dyDescent="0.25">
      <c r="Q15550" s="8"/>
    </row>
    <row r="15551" spans="17:17" x14ac:dyDescent="0.25">
      <c r="Q15551" s="8"/>
    </row>
    <row r="15552" spans="17:17" x14ac:dyDescent="0.25">
      <c r="Q15552" s="8"/>
    </row>
    <row r="15553" spans="17:17" x14ac:dyDescent="0.25">
      <c r="Q15553" s="8"/>
    </row>
    <row r="15554" spans="17:17" x14ac:dyDescent="0.25">
      <c r="Q15554" s="8"/>
    </row>
    <row r="15555" spans="17:17" x14ac:dyDescent="0.25">
      <c r="Q15555" s="8"/>
    </row>
    <row r="15556" spans="17:17" x14ac:dyDescent="0.25">
      <c r="Q15556" s="8"/>
    </row>
    <row r="15557" spans="17:17" x14ac:dyDescent="0.25">
      <c r="Q15557" s="8"/>
    </row>
    <row r="15558" spans="17:17" x14ac:dyDescent="0.25">
      <c r="Q15558" s="8"/>
    </row>
    <row r="15559" spans="17:17" x14ac:dyDescent="0.25">
      <c r="Q15559" s="8"/>
    </row>
    <row r="15560" spans="17:17" x14ac:dyDescent="0.25">
      <c r="Q15560" s="8"/>
    </row>
    <row r="15561" spans="17:17" x14ac:dyDescent="0.25">
      <c r="Q15561" s="8"/>
    </row>
    <row r="15562" spans="17:17" x14ac:dyDescent="0.25">
      <c r="Q15562" s="8"/>
    </row>
    <row r="15563" spans="17:17" x14ac:dyDescent="0.25">
      <c r="Q15563" s="8"/>
    </row>
    <row r="15564" spans="17:17" x14ac:dyDescent="0.25">
      <c r="Q15564" s="8"/>
    </row>
    <row r="15565" spans="17:17" x14ac:dyDescent="0.25">
      <c r="Q15565" s="8"/>
    </row>
    <row r="15566" spans="17:17" x14ac:dyDescent="0.25">
      <c r="Q15566" s="8"/>
    </row>
    <row r="15567" spans="17:17" x14ac:dyDescent="0.25">
      <c r="Q15567" s="8"/>
    </row>
    <row r="15568" spans="17:17" x14ac:dyDescent="0.25">
      <c r="Q15568" s="8"/>
    </row>
    <row r="15569" spans="17:17" x14ac:dyDescent="0.25">
      <c r="Q15569" s="8"/>
    </row>
    <row r="15570" spans="17:17" x14ac:dyDescent="0.25">
      <c r="Q15570" s="8"/>
    </row>
    <row r="15571" spans="17:17" x14ac:dyDescent="0.25">
      <c r="Q15571" s="8"/>
    </row>
    <row r="15572" spans="17:17" x14ac:dyDescent="0.25">
      <c r="Q15572" s="8"/>
    </row>
    <row r="15573" spans="17:17" x14ac:dyDescent="0.25">
      <c r="Q15573" s="8"/>
    </row>
    <row r="15574" spans="17:17" x14ac:dyDescent="0.25">
      <c r="Q15574" s="8"/>
    </row>
    <row r="15575" spans="17:17" x14ac:dyDescent="0.25">
      <c r="Q15575" s="8"/>
    </row>
    <row r="15576" spans="17:17" x14ac:dyDescent="0.25">
      <c r="Q15576" s="8"/>
    </row>
    <row r="15577" spans="17:17" x14ac:dyDescent="0.25">
      <c r="Q15577" s="8"/>
    </row>
    <row r="15578" spans="17:17" x14ac:dyDescent="0.25">
      <c r="Q15578" s="8"/>
    </row>
    <row r="15579" spans="17:17" x14ac:dyDescent="0.25">
      <c r="Q15579" s="8"/>
    </row>
    <row r="15580" spans="17:17" x14ac:dyDescent="0.25">
      <c r="Q15580" s="8"/>
    </row>
    <row r="15581" spans="17:17" x14ac:dyDescent="0.25">
      <c r="Q15581" s="8"/>
    </row>
    <row r="15582" spans="17:17" x14ac:dyDescent="0.25">
      <c r="Q15582" s="8"/>
    </row>
    <row r="15583" spans="17:17" x14ac:dyDescent="0.25">
      <c r="Q15583" s="8"/>
    </row>
    <row r="15584" spans="17:17" x14ac:dyDescent="0.25">
      <c r="Q15584" s="8"/>
    </row>
    <row r="15585" spans="17:17" x14ac:dyDescent="0.25">
      <c r="Q15585" s="8"/>
    </row>
    <row r="15586" spans="17:17" x14ac:dyDescent="0.25">
      <c r="Q15586" s="8"/>
    </row>
    <row r="15587" spans="17:17" x14ac:dyDescent="0.25">
      <c r="Q15587" s="8"/>
    </row>
    <row r="15588" spans="17:17" x14ac:dyDescent="0.25">
      <c r="Q15588" s="8"/>
    </row>
    <row r="15589" spans="17:17" x14ac:dyDescent="0.25">
      <c r="Q15589" s="8"/>
    </row>
    <row r="15590" spans="17:17" x14ac:dyDescent="0.25">
      <c r="Q15590" s="8"/>
    </row>
    <row r="15591" spans="17:17" x14ac:dyDescent="0.25">
      <c r="Q15591" s="8"/>
    </row>
    <row r="15592" spans="17:17" x14ac:dyDescent="0.25">
      <c r="Q15592" s="8"/>
    </row>
    <row r="15593" spans="17:17" x14ac:dyDescent="0.25">
      <c r="Q15593" s="8"/>
    </row>
    <row r="15594" spans="17:17" x14ac:dyDescent="0.25">
      <c r="Q15594" s="8"/>
    </row>
    <row r="15595" spans="17:17" x14ac:dyDescent="0.25">
      <c r="Q15595" s="8"/>
    </row>
    <row r="15596" spans="17:17" x14ac:dyDescent="0.25">
      <c r="Q15596" s="8"/>
    </row>
    <row r="15597" spans="17:17" x14ac:dyDescent="0.25">
      <c r="Q15597" s="8"/>
    </row>
    <row r="15598" spans="17:17" x14ac:dyDescent="0.25">
      <c r="Q15598" s="8"/>
    </row>
    <row r="15599" spans="17:17" x14ac:dyDescent="0.25">
      <c r="Q15599" s="8"/>
    </row>
    <row r="15600" spans="17:17" x14ac:dyDescent="0.25">
      <c r="Q15600" s="8"/>
    </row>
    <row r="15601" spans="17:17" x14ac:dyDescent="0.25">
      <c r="Q15601" s="8"/>
    </row>
    <row r="15602" spans="17:17" x14ac:dyDescent="0.25">
      <c r="Q15602" s="8"/>
    </row>
    <row r="15603" spans="17:17" x14ac:dyDescent="0.25">
      <c r="Q15603" s="8"/>
    </row>
    <row r="15604" spans="17:17" x14ac:dyDescent="0.25">
      <c r="Q15604" s="8"/>
    </row>
    <row r="15605" spans="17:17" x14ac:dyDescent="0.25">
      <c r="Q15605" s="8"/>
    </row>
    <row r="15606" spans="17:17" x14ac:dyDescent="0.25">
      <c r="Q15606" s="8"/>
    </row>
    <row r="15607" spans="17:17" x14ac:dyDescent="0.25">
      <c r="Q15607" s="8"/>
    </row>
    <row r="15608" spans="17:17" x14ac:dyDescent="0.25">
      <c r="Q15608" s="8"/>
    </row>
    <row r="15609" spans="17:17" x14ac:dyDescent="0.25">
      <c r="Q15609" s="8"/>
    </row>
    <row r="15610" spans="17:17" x14ac:dyDescent="0.25">
      <c r="Q15610" s="8"/>
    </row>
    <row r="15611" spans="17:17" x14ac:dyDescent="0.25">
      <c r="Q15611" s="8"/>
    </row>
    <row r="15612" spans="17:17" x14ac:dyDescent="0.25">
      <c r="Q15612" s="8"/>
    </row>
    <row r="15613" spans="17:17" x14ac:dyDescent="0.25">
      <c r="Q15613" s="8"/>
    </row>
    <row r="15614" spans="17:17" x14ac:dyDescent="0.25">
      <c r="Q15614" s="8"/>
    </row>
    <row r="15615" spans="17:17" x14ac:dyDescent="0.25">
      <c r="Q15615" s="8"/>
    </row>
    <row r="15616" spans="17:17" x14ac:dyDescent="0.25">
      <c r="Q15616" s="8"/>
    </row>
    <row r="15617" spans="17:17" x14ac:dyDescent="0.25">
      <c r="Q15617" s="8"/>
    </row>
    <row r="15618" spans="17:17" x14ac:dyDescent="0.25">
      <c r="Q15618" s="8"/>
    </row>
    <row r="15619" spans="17:17" x14ac:dyDescent="0.25">
      <c r="Q15619" s="8"/>
    </row>
    <row r="15620" spans="17:17" x14ac:dyDescent="0.25">
      <c r="Q15620" s="8"/>
    </row>
    <row r="15621" spans="17:17" x14ac:dyDescent="0.25">
      <c r="Q15621" s="8"/>
    </row>
    <row r="15622" spans="17:17" x14ac:dyDescent="0.25">
      <c r="Q15622" s="8"/>
    </row>
    <row r="15623" spans="17:17" x14ac:dyDescent="0.25">
      <c r="Q15623" s="8"/>
    </row>
    <row r="15624" spans="17:17" x14ac:dyDescent="0.25">
      <c r="Q15624" s="8"/>
    </row>
    <row r="15625" spans="17:17" x14ac:dyDescent="0.25">
      <c r="Q15625" s="8"/>
    </row>
    <row r="15626" spans="17:17" x14ac:dyDescent="0.25">
      <c r="Q15626" s="8"/>
    </row>
    <row r="15627" spans="17:17" x14ac:dyDescent="0.25">
      <c r="Q15627" s="8"/>
    </row>
    <row r="15628" spans="17:17" x14ac:dyDescent="0.25">
      <c r="Q15628" s="8"/>
    </row>
    <row r="15629" spans="17:17" x14ac:dyDescent="0.25">
      <c r="Q15629" s="8"/>
    </row>
    <row r="15630" spans="17:17" x14ac:dyDescent="0.25">
      <c r="Q15630" s="8"/>
    </row>
    <row r="15631" spans="17:17" x14ac:dyDescent="0.25">
      <c r="Q15631" s="8"/>
    </row>
    <row r="15632" spans="17:17" x14ac:dyDescent="0.25">
      <c r="Q15632" s="8"/>
    </row>
    <row r="15633" spans="17:17" x14ac:dyDescent="0.25">
      <c r="Q15633" s="8"/>
    </row>
    <row r="15634" spans="17:17" x14ac:dyDescent="0.25">
      <c r="Q15634" s="8"/>
    </row>
    <row r="15635" spans="17:17" x14ac:dyDescent="0.25">
      <c r="Q15635" s="8"/>
    </row>
    <row r="15636" spans="17:17" x14ac:dyDescent="0.25">
      <c r="Q15636" s="8"/>
    </row>
    <row r="15637" spans="17:17" x14ac:dyDescent="0.25">
      <c r="Q15637" s="8"/>
    </row>
    <row r="15638" spans="17:17" x14ac:dyDescent="0.25">
      <c r="Q15638" s="8"/>
    </row>
    <row r="15639" spans="17:17" x14ac:dyDescent="0.25">
      <c r="Q15639" s="8"/>
    </row>
    <row r="15640" spans="17:17" x14ac:dyDescent="0.25">
      <c r="Q15640" s="8"/>
    </row>
    <row r="15641" spans="17:17" x14ac:dyDescent="0.25">
      <c r="Q15641" s="8"/>
    </row>
    <row r="15642" spans="17:17" x14ac:dyDescent="0.25">
      <c r="Q15642" s="8"/>
    </row>
    <row r="15643" spans="17:17" x14ac:dyDescent="0.25">
      <c r="Q15643" s="8"/>
    </row>
    <row r="15644" spans="17:17" x14ac:dyDescent="0.25">
      <c r="Q15644" s="8"/>
    </row>
    <row r="15645" spans="17:17" x14ac:dyDescent="0.25">
      <c r="Q15645" s="8"/>
    </row>
    <row r="15646" spans="17:17" x14ac:dyDescent="0.25">
      <c r="Q15646" s="8"/>
    </row>
    <row r="15647" spans="17:17" x14ac:dyDescent="0.25">
      <c r="Q15647" s="8"/>
    </row>
    <row r="15648" spans="17:17" x14ac:dyDescent="0.25">
      <c r="Q15648" s="8"/>
    </row>
    <row r="15649" spans="17:17" x14ac:dyDescent="0.25">
      <c r="Q15649" s="8"/>
    </row>
    <row r="15650" spans="17:17" x14ac:dyDescent="0.25">
      <c r="Q15650" s="8"/>
    </row>
    <row r="15651" spans="17:17" x14ac:dyDescent="0.25">
      <c r="Q15651" s="8"/>
    </row>
    <row r="15652" spans="17:17" x14ac:dyDescent="0.25">
      <c r="Q15652" s="8"/>
    </row>
    <row r="15653" spans="17:17" x14ac:dyDescent="0.25">
      <c r="Q15653" s="8"/>
    </row>
    <row r="15654" spans="17:17" x14ac:dyDescent="0.25">
      <c r="Q15654" s="8"/>
    </row>
    <row r="15655" spans="17:17" x14ac:dyDescent="0.25">
      <c r="Q15655" s="8"/>
    </row>
    <row r="15656" spans="17:17" x14ac:dyDescent="0.25">
      <c r="Q15656" s="8"/>
    </row>
    <row r="15657" spans="17:17" x14ac:dyDescent="0.25">
      <c r="Q15657" s="8"/>
    </row>
    <row r="15658" spans="17:17" x14ac:dyDescent="0.25">
      <c r="Q15658" s="8"/>
    </row>
    <row r="15659" spans="17:17" x14ac:dyDescent="0.25">
      <c r="Q15659" s="8"/>
    </row>
    <row r="15660" spans="17:17" x14ac:dyDescent="0.25">
      <c r="Q15660" s="8"/>
    </row>
    <row r="15661" spans="17:17" x14ac:dyDescent="0.25">
      <c r="Q15661" s="8"/>
    </row>
    <row r="15662" spans="17:17" x14ac:dyDescent="0.25">
      <c r="Q15662" s="8"/>
    </row>
    <row r="15663" spans="17:17" x14ac:dyDescent="0.25">
      <c r="Q15663" s="8"/>
    </row>
    <row r="15664" spans="17:17" x14ac:dyDescent="0.25">
      <c r="Q15664" s="8"/>
    </row>
    <row r="15665" spans="17:17" x14ac:dyDescent="0.25">
      <c r="Q15665" s="8"/>
    </row>
    <row r="15666" spans="17:17" x14ac:dyDescent="0.25">
      <c r="Q15666" s="8"/>
    </row>
    <row r="15667" spans="17:17" x14ac:dyDescent="0.25">
      <c r="Q15667" s="8"/>
    </row>
    <row r="15668" spans="17:17" x14ac:dyDescent="0.25">
      <c r="Q15668" s="8"/>
    </row>
    <row r="15669" spans="17:17" x14ac:dyDescent="0.25">
      <c r="Q15669" s="8"/>
    </row>
    <row r="15670" spans="17:17" x14ac:dyDescent="0.25">
      <c r="Q15670" s="8"/>
    </row>
    <row r="15671" spans="17:17" x14ac:dyDescent="0.25">
      <c r="Q15671" s="8"/>
    </row>
    <row r="15672" spans="17:17" x14ac:dyDescent="0.25">
      <c r="Q15672" s="8"/>
    </row>
    <row r="15673" spans="17:17" x14ac:dyDescent="0.25">
      <c r="Q15673" s="8"/>
    </row>
    <row r="15674" spans="17:17" x14ac:dyDescent="0.25">
      <c r="Q15674" s="8"/>
    </row>
    <row r="15675" spans="17:17" x14ac:dyDescent="0.25">
      <c r="Q15675" s="8"/>
    </row>
    <row r="15676" spans="17:17" x14ac:dyDescent="0.25">
      <c r="Q15676" s="8"/>
    </row>
    <row r="15677" spans="17:17" x14ac:dyDescent="0.25">
      <c r="Q15677" s="8"/>
    </row>
    <row r="15678" spans="17:17" x14ac:dyDescent="0.25">
      <c r="Q15678" s="8"/>
    </row>
    <row r="15679" spans="17:17" x14ac:dyDescent="0.25">
      <c r="Q15679" s="8"/>
    </row>
    <row r="15680" spans="17:17" x14ac:dyDescent="0.25">
      <c r="Q15680" s="8"/>
    </row>
    <row r="15681" spans="17:17" x14ac:dyDescent="0.25">
      <c r="Q15681" s="8"/>
    </row>
    <row r="15682" spans="17:17" x14ac:dyDescent="0.25">
      <c r="Q15682" s="8"/>
    </row>
    <row r="15683" spans="17:17" x14ac:dyDescent="0.25">
      <c r="Q15683" s="8"/>
    </row>
    <row r="15684" spans="17:17" x14ac:dyDescent="0.25">
      <c r="Q15684" s="8"/>
    </row>
    <row r="15685" spans="17:17" x14ac:dyDescent="0.25">
      <c r="Q15685" s="8"/>
    </row>
    <row r="15686" spans="17:17" x14ac:dyDescent="0.25">
      <c r="Q15686" s="8"/>
    </row>
    <row r="15687" spans="17:17" x14ac:dyDescent="0.25">
      <c r="Q15687" s="8"/>
    </row>
    <row r="15688" spans="17:17" x14ac:dyDescent="0.25">
      <c r="Q15688" s="8"/>
    </row>
    <row r="15689" spans="17:17" x14ac:dyDescent="0.25">
      <c r="Q15689" s="8"/>
    </row>
    <row r="15690" spans="17:17" x14ac:dyDescent="0.25">
      <c r="Q15690" s="8"/>
    </row>
    <row r="15691" spans="17:17" x14ac:dyDescent="0.25">
      <c r="Q15691" s="8"/>
    </row>
    <row r="15692" spans="17:17" x14ac:dyDescent="0.25">
      <c r="Q15692" s="8"/>
    </row>
    <row r="15693" spans="17:17" x14ac:dyDescent="0.25">
      <c r="Q15693" s="8"/>
    </row>
    <row r="15694" spans="17:17" x14ac:dyDescent="0.25">
      <c r="Q15694" s="8"/>
    </row>
    <row r="15695" spans="17:17" x14ac:dyDescent="0.25">
      <c r="Q15695" s="8"/>
    </row>
    <row r="15696" spans="17:17" x14ac:dyDescent="0.25">
      <c r="Q15696" s="8"/>
    </row>
    <row r="15697" spans="17:17" x14ac:dyDescent="0.25">
      <c r="Q15697" s="8"/>
    </row>
    <row r="15698" spans="17:17" x14ac:dyDescent="0.25">
      <c r="Q15698" s="8"/>
    </row>
    <row r="15699" spans="17:17" x14ac:dyDescent="0.25">
      <c r="Q15699" s="8"/>
    </row>
    <row r="15700" spans="17:17" x14ac:dyDescent="0.25">
      <c r="Q15700" s="8"/>
    </row>
    <row r="15701" spans="17:17" x14ac:dyDescent="0.25">
      <c r="Q15701" s="8"/>
    </row>
    <row r="15702" spans="17:17" x14ac:dyDescent="0.25">
      <c r="Q15702" s="8"/>
    </row>
    <row r="15703" spans="17:17" x14ac:dyDescent="0.25">
      <c r="Q15703" s="8"/>
    </row>
    <row r="15704" spans="17:17" x14ac:dyDescent="0.25">
      <c r="Q15704" s="8"/>
    </row>
    <row r="15705" spans="17:17" x14ac:dyDescent="0.25">
      <c r="Q15705" s="8"/>
    </row>
    <row r="15706" spans="17:17" x14ac:dyDescent="0.25">
      <c r="Q15706" s="8"/>
    </row>
    <row r="15707" spans="17:17" x14ac:dyDescent="0.25">
      <c r="Q15707" s="8"/>
    </row>
    <row r="15708" spans="17:17" x14ac:dyDescent="0.25">
      <c r="Q15708" s="8"/>
    </row>
    <row r="15709" spans="17:17" x14ac:dyDescent="0.25">
      <c r="Q15709" s="8"/>
    </row>
    <row r="15710" spans="17:17" x14ac:dyDescent="0.25">
      <c r="Q15710" s="8"/>
    </row>
    <row r="15711" spans="17:17" x14ac:dyDescent="0.25">
      <c r="Q15711" s="8"/>
    </row>
    <row r="15712" spans="17:17" x14ac:dyDescent="0.25">
      <c r="Q15712" s="8"/>
    </row>
    <row r="15713" spans="17:17" x14ac:dyDescent="0.25">
      <c r="Q15713" s="8"/>
    </row>
    <row r="15714" spans="17:17" x14ac:dyDescent="0.25">
      <c r="Q15714" s="8"/>
    </row>
    <row r="15715" spans="17:17" x14ac:dyDescent="0.25">
      <c r="Q15715" s="8"/>
    </row>
    <row r="15716" spans="17:17" x14ac:dyDescent="0.25">
      <c r="Q15716" s="8"/>
    </row>
    <row r="15717" spans="17:17" x14ac:dyDescent="0.25">
      <c r="Q15717" s="8"/>
    </row>
    <row r="15718" spans="17:17" x14ac:dyDescent="0.25">
      <c r="Q15718" s="8"/>
    </row>
    <row r="15719" spans="17:17" x14ac:dyDescent="0.25">
      <c r="Q15719" s="8"/>
    </row>
    <row r="15720" spans="17:17" x14ac:dyDescent="0.25">
      <c r="Q15720" s="8"/>
    </row>
    <row r="15721" spans="17:17" x14ac:dyDescent="0.25">
      <c r="Q15721" s="8"/>
    </row>
    <row r="15722" spans="17:17" x14ac:dyDescent="0.25">
      <c r="Q15722" s="8"/>
    </row>
    <row r="15723" spans="17:17" x14ac:dyDescent="0.25">
      <c r="Q15723" s="8"/>
    </row>
    <row r="15724" spans="17:17" x14ac:dyDescent="0.25">
      <c r="Q15724" s="8"/>
    </row>
    <row r="15725" spans="17:17" x14ac:dyDescent="0.25">
      <c r="Q15725" s="8"/>
    </row>
    <row r="15726" spans="17:17" x14ac:dyDescent="0.25">
      <c r="Q15726" s="8"/>
    </row>
    <row r="15727" spans="17:17" x14ac:dyDescent="0.25">
      <c r="Q15727" s="8"/>
    </row>
    <row r="15728" spans="17:17" x14ac:dyDescent="0.25">
      <c r="Q15728" s="8"/>
    </row>
    <row r="15729" spans="17:17" x14ac:dyDescent="0.25">
      <c r="Q15729" s="8"/>
    </row>
    <row r="15730" spans="17:17" x14ac:dyDescent="0.25">
      <c r="Q15730" s="8"/>
    </row>
    <row r="15731" spans="17:17" x14ac:dyDescent="0.25">
      <c r="Q15731" s="8"/>
    </row>
    <row r="15732" spans="17:17" x14ac:dyDescent="0.25">
      <c r="Q15732" s="8"/>
    </row>
    <row r="15733" spans="17:17" x14ac:dyDescent="0.25">
      <c r="Q15733" s="8"/>
    </row>
    <row r="15734" spans="17:17" x14ac:dyDescent="0.25">
      <c r="Q15734" s="8"/>
    </row>
    <row r="15735" spans="17:17" x14ac:dyDescent="0.25">
      <c r="Q15735" s="8"/>
    </row>
    <row r="15736" spans="17:17" x14ac:dyDescent="0.25">
      <c r="Q15736" s="8"/>
    </row>
    <row r="15737" spans="17:17" x14ac:dyDescent="0.25">
      <c r="Q15737" s="8"/>
    </row>
    <row r="15738" spans="17:17" x14ac:dyDescent="0.25">
      <c r="Q15738" s="8"/>
    </row>
    <row r="15739" spans="17:17" x14ac:dyDescent="0.25">
      <c r="Q15739" s="8"/>
    </row>
    <row r="15740" spans="17:17" x14ac:dyDescent="0.25">
      <c r="Q15740" s="8"/>
    </row>
    <row r="15741" spans="17:17" x14ac:dyDescent="0.25">
      <c r="Q15741" s="8"/>
    </row>
    <row r="15742" spans="17:17" x14ac:dyDescent="0.25">
      <c r="Q15742" s="8"/>
    </row>
    <row r="15743" spans="17:17" x14ac:dyDescent="0.25">
      <c r="Q15743" s="8"/>
    </row>
    <row r="15744" spans="17:17" x14ac:dyDescent="0.25">
      <c r="Q15744" s="8"/>
    </row>
    <row r="15745" spans="17:17" x14ac:dyDescent="0.25">
      <c r="Q15745" s="8"/>
    </row>
    <row r="15746" spans="17:17" x14ac:dyDescent="0.25">
      <c r="Q15746" s="8"/>
    </row>
    <row r="15747" spans="17:17" x14ac:dyDescent="0.25">
      <c r="Q15747" s="8"/>
    </row>
    <row r="15748" spans="17:17" x14ac:dyDescent="0.25">
      <c r="Q15748" s="8"/>
    </row>
    <row r="15749" spans="17:17" x14ac:dyDescent="0.25">
      <c r="Q15749" s="8"/>
    </row>
    <row r="15750" spans="17:17" x14ac:dyDescent="0.25">
      <c r="Q15750" s="8"/>
    </row>
    <row r="15751" spans="17:17" x14ac:dyDescent="0.25">
      <c r="Q15751" s="8"/>
    </row>
    <row r="15752" spans="17:17" x14ac:dyDescent="0.25">
      <c r="Q15752" s="8"/>
    </row>
    <row r="15753" spans="17:17" x14ac:dyDescent="0.25">
      <c r="Q15753" s="8"/>
    </row>
    <row r="15754" spans="17:17" x14ac:dyDescent="0.25">
      <c r="Q15754" s="8"/>
    </row>
    <row r="15755" spans="17:17" x14ac:dyDescent="0.25">
      <c r="Q15755" s="8"/>
    </row>
    <row r="15756" spans="17:17" x14ac:dyDescent="0.25">
      <c r="Q15756" s="8"/>
    </row>
    <row r="15757" spans="17:17" x14ac:dyDescent="0.25">
      <c r="Q15757" s="8"/>
    </row>
    <row r="15758" spans="17:17" x14ac:dyDescent="0.25">
      <c r="Q15758" s="8"/>
    </row>
    <row r="15759" spans="17:17" x14ac:dyDescent="0.25">
      <c r="Q15759" s="8"/>
    </row>
    <row r="15760" spans="17:17" x14ac:dyDescent="0.25">
      <c r="Q15760" s="8"/>
    </row>
    <row r="15761" spans="17:17" x14ac:dyDescent="0.25">
      <c r="Q15761" s="8"/>
    </row>
    <row r="15762" spans="17:17" x14ac:dyDescent="0.25">
      <c r="Q15762" s="8"/>
    </row>
    <row r="15763" spans="17:17" x14ac:dyDescent="0.25">
      <c r="Q15763" s="8"/>
    </row>
    <row r="15764" spans="17:17" x14ac:dyDescent="0.25">
      <c r="Q15764" s="8"/>
    </row>
    <row r="15765" spans="17:17" x14ac:dyDescent="0.25">
      <c r="Q15765" s="8"/>
    </row>
    <row r="15766" spans="17:17" x14ac:dyDescent="0.25">
      <c r="Q15766" s="8"/>
    </row>
    <row r="15767" spans="17:17" x14ac:dyDescent="0.25">
      <c r="Q15767" s="8"/>
    </row>
    <row r="15768" spans="17:17" x14ac:dyDescent="0.25">
      <c r="Q15768" s="8"/>
    </row>
    <row r="15769" spans="17:17" x14ac:dyDescent="0.25">
      <c r="Q15769" s="8"/>
    </row>
    <row r="15770" spans="17:17" x14ac:dyDescent="0.25">
      <c r="Q15770" s="8"/>
    </row>
    <row r="15771" spans="17:17" x14ac:dyDescent="0.25">
      <c r="Q15771" s="8"/>
    </row>
    <row r="15772" spans="17:17" x14ac:dyDescent="0.25">
      <c r="Q15772" s="8"/>
    </row>
    <row r="15773" spans="17:17" x14ac:dyDescent="0.25">
      <c r="Q15773" s="8"/>
    </row>
    <row r="15774" spans="17:17" x14ac:dyDescent="0.25">
      <c r="Q15774" s="8"/>
    </row>
    <row r="15775" spans="17:17" x14ac:dyDescent="0.25">
      <c r="Q15775" s="8"/>
    </row>
    <row r="15776" spans="17:17" x14ac:dyDescent="0.25">
      <c r="Q15776" s="8"/>
    </row>
    <row r="15777" spans="17:17" x14ac:dyDescent="0.25">
      <c r="Q15777" s="8"/>
    </row>
    <row r="15778" spans="17:17" x14ac:dyDescent="0.25">
      <c r="Q15778" s="8"/>
    </row>
    <row r="15779" spans="17:17" x14ac:dyDescent="0.25">
      <c r="Q15779" s="8"/>
    </row>
    <row r="15780" spans="17:17" x14ac:dyDescent="0.25">
      <c r="Q15780" s="8"/>
    </row>
    <row r="15781" spans="17:17" x14ac:dyDescent="0.25">
      <c r="Q15781" s="8"/>
    </row>
    <row r="15782" spans="17:17" x14ac:dyDescent="0.25">
      <c r="Q15782" s="8"/>
    </row>
    <row r="15783" spans="17:17" x14ac:dyDescent="0.25">
      <c r="Q15783" s="8"/>
    </row>
    <row r="15784" spans="17:17" x14ac:dyDescent="0.25">
      <c r="Q15784" s="8"/>
    </row>
    <row r="15785" spans="17:17" x14ac:dyDescent="0.25">
      <c r="Q15785" s="8"/>
    </row>
    <row r="15786" spans="17:17" x14ac:dyDescent="0.25">
      <c r="Q15786" s="8"/>
    </row>
    <row r="15787" spans="17:17" x14ac:dyDescent="0.25">
      <c r="Q15787" s="8"/>
    </row>
    <row r="15788" spans="17:17" x14ac:dyDescent="0.25">
      <c r="Q15788" s="8"/>
    </row>
    <row r="15789" spans="17:17" x14ac:dyDescent="0.25">
      <c r="Q15789" s="8"/>
    </row>
    <row r="15790" spans="17:17" x14ac:dyDescent="0.25">
      <c r="Q15790" s="8"/>
    </row>
    <row r="15791" spans="17:17" x14ac:dyDescent="0.25">
      <c r="Q15791" s="8"/>
    </row>
    <row r="15792" spans="17:17" x14ac:dyDescent="0.25">
      <c r="Q15792" s="8"/>
    </row>
    <row r="15793" spans="17:17" x14ac:dyDescent="0.25">
      <c r="Q15793" s="8"/>
    </row>
    <row r="15794" spans="17:17" x14ac:dyDescent="0.25">
      <c r="Q15794" s="8"/>
    </row>
    <row r="15795" spans="17:17" x14ac:dyDescent="0.25">
      <c r="Q15795" s="8"/>
    </row>
    <row r="15796" spans="17:17" x14ac:dyDescent="0.25">
      <c r="Q15796" s="8"/>
    </row>
    <row r="15797" spans="17:17" x14ac:dyDescent="0.25">
      <c r="Q15797" s="8"/>
    </row>
    <row r="15798" spans="17:17" x14ac:dyDescent="0.25">
      <c r="Q15798" s="8"/>
    </row>
    <row r="15799" spans="17:17" x14ac:dyDescent="0.25">
      <c r="Q15799" s="8"/>
    </row>
    <row r="15800" spans="17:17" x14ac:dyDescent="0.25">
      <c r="Q15800" s="8"/>
    </row>
    <row r="15801" spans="17:17" x14ac:dyDescent="0.25">
      <c r="Q15801" s="8"/>
    </row>
    <row r="15802" spans="17:17" x14ac:dyDescent="0.25">
      <c r="Q15802" s="8"/>
    </row>
    <row r="15803" spans="17:17" x14ac:dyDescent="0.25">
      <c r="Q15803" s="8"/>
    </row>
    <row r="15804" spans="17:17" x14ac:dyDescent="0.25">
      <c r="Q15804" s="8"/>
    </row>
    <row r="15805" spans="17:17" x14ac:dyDescent="0.25">
      <c r="Q15805" s="8"/>
    </row>
    <row r="15806" spans="17:17" x14ac:dyDescent="0.25">
      <c r="Q15806" s="8"/>
    </row>
    <row r="15807" spans="17:17" x14ac:dyDescent="0.25">
      <c r="Q15807" s="8"/>
    </row>
    <row r="15808" spans="17:17" x14ac:dyDescent="0.25">
      <c r="Q15808" s="8"/>
    </row>
    <row r="15809" spans="17:17" x14ac:dyDescent="0.25">
      <c r="Q15809" s="8"/>
    </row>
    <row r="15810" spans="17:17" x14ac:dyDescent="0.25">
      <c r="Q15810" s="8"/>
    </row>
    <row r="15811" spans="17:17" x14ac:dyDescent="0.25">
      <c r="Q15811" s="8"/>
    </row>
    <row r="15812" spans="17:17" x14ac:dyDescent="0.25">
      <c r="Q15812" s="8"/>
    </row>
    <row r="15813" spans="17:17" x14ac:dyDescent="0.25">
      <c r="Q15813" s="8"/>
    </row>
    <row r="15814" spans="17:17" x14ac:dyDescent="0.25">
      <c r="Q15814" s="8"/>
    </row>
    <row r="15815" spans="17:17" x14ac:dyDescent="0.25">
      <c r="Q15815" s="8"/>
    </row>
    <row r="15816" spans="17:17" x14ac:dyDescent="0.25">
      <c r="Q15816" s="8"/>
    </row>
    <row r="15817" spans="17:17" x14ac:dyDescent="0.25">
      <c r="Q15817" s="8"/>
    </row>
    <row r="15818" spans="17:17" x14ac:dyDescent="0.25">
      <c r="Q15818" s="8"/>
    </row>
    <row r="15819" spans="17:17" x14ac:dyDescent="0.25">
      <c r="Q15819" s="8"/>
    </row>
    <row r="15820" spans="17:17" x14ac:dyDescent="0.25">
      <c r="Q15820" s="8"/>
    </row>
    <row r="15821" spans="17:17" x14ac:dyDescent="0.25">
      <c r="Q15821" s="8"/>
    </row>
    <row r="15822" spans="17:17" x14ac:dyDescent="0.25">
      <c r="Q15822" s="8"/>
    </row>
    <row r="15823" spans="17:17" x14ac:dyDescent="0.25">
      <c r="Q15823" s="8"/>
    </row>
    <row r="15824" spans="17:17" x14ac:dyDescent="0.25">
      <c r="Q15824" s="8"/>
    </row>
    <row r="15825" spans="17:17" x14ac:dyDescent="0.25">
      <c r="Q15825" s="8"/>
    </row>
    <row r="15826" spans="17:17" x14ac:dyDescent="0.25">
      <c r="Q15826" s="8"/>
    </row>
    <row r="15827" spans="17:17" x14ac:dyDescent="0.25">
      <c r="Q15827" s="8"/>
    </row>
    <row r="15828" spans="17:17" x14ac:dyDescent="0.25">
      <c r="Q15828" s="8"/>
    </row>
    <row r="15829" spans="17:17" x14ac:dyDescent="0.25">
      <c r="Q15829" s="8"/>
    </row>
    <row r="15830" spans="17:17" x14ac:dyDescent="0.25">
      <c r="Q15830" s="8"/>
    </row>
    <row r="15831" spans="17:17" x14ac:dyDescent="0.25">
      <c r="Q15831" s="8"/>
    </row>
    <row r="15832" spans="17:17" x14ac:dyDescent="0.25">
      <c r="Q15832" s="8"/>
    </row>
    <row r="15833" spans="17:17" x14ac:dyDescent="0.25">
      <c r="Q15833" s="8"/>
    </row>
    <row r="15834" spans="17:17" x14ac:dyDescent="0.25">
      <c r="Q15834" s="8"/>
    </row>
    <row r="15835" spans="17:17" x14ac:dyDescent="0.25">
      <c r="Q15835" s="8"/>
    </row>
    <row r="15836" spans="17:17" x14ac:dyDescent="0.25">
      <c r="Q15836" s="8"/>
    </row>
    <row r="15837" spans="17:17" x14ac:dyDescent="0.25">
      <c r="Q15837" s="8"/>
    </row>
    <row r="15838" spans="17:17" x14ac:dyDescent="0.25">
      <c r="Q15838" s="8"/>
    </row>
    <row r="15839" spans="17:17" x14ac:dyDescent="0.25">
      <c r="Q15839" s="8"/>
    </row>
    <row r="15840" spans="17:17" x14ac:dyDescent="0.25">
      <c r="Q15840" s="8"/>
    </row>
    <row r="15841" spans="17:17" x14ac:dyDescent="0.25">
      <c r="Q15841" s="8"/>
    </row>
    <row r="15842" spans="17:17" x14ac:dyDescent="0.25">
      <c r="Q15842" s="8"/>
    </row>
    <row r="15843" spans="17:17" x14ac:dyDescent="0.25">
      <c r="Q15843" s="8"/>
    </row>
    <row r="15844" spans="17:17" x14ac:dyDescent="0.25">
      <c r="Q15844" s="8"/>
    </row>
    <row r="15845" spans="17:17" x14ac:dyDescent="0.25">
      <c r="Q15845" s="8"/>
    </row>
    <row r="15846" spans="17:17" x14ac:dyDescent="0.25">
      <c r="Q15846" s="8"/>
    </row>
    <row r="15847" spans="17:17" x14ac:dyDescent="0.25">
      <c r="Q15847" s="8"/>
    </row>
    <row r="15848" spans="17:17" x14ac:dyDescent="0.25">
      <c r="Q15848" s="8"/>
    </row>
    <row r="15849" spans="17:17" x14ac:dyDescent="0.25">
      <c r="Q15849" s="8"/>
    </row>
    <row r="15850" spans="17:17" x14ac:dyDescent="0.25">
      <c r="Q15850" s="8"/>
    </row>
    <row r="15851" spans="17:17" x14ac:dyDescent="0.25">
      <c r="Q15851" s="8"/>
    </row>
    <row r="15852" spans="17:17" x14ac:dyDescent="0.25">
      <c r="Q15852" s="8"/>
    </row>
    <row r="15853" spans="17:17" x14ac:dyDescent="0.25">
      <c r="Q15853" s="8"/>
    </row>
    <row r="15854" spans="17:17" x14ac:dyDescent="0.25">
      <c r="Q15854" s="8"/>
    </row>
    <row r="15855" spans="17:17" x14ac:dyDescent="0.25">
      <c r="Q15855" s="8"/>
    </row>
    <row r="15856" spans="17:17" x14ac:dyDescent="0.25">
      <c r="Q15856" s="8"/>
    </row>
    <row r="15857" spans="17:17" x14ac:dyDescent="0.25">
      <c r="Q15857" s="8"/>
    </row>
    <row r="15858" spans="17:17" x14ac:dyDescent="0.25">
      <c r="Q15858" s="8"/>
    </row>
    <row r="15859" spans="17:17" x14ac:dyDescent="0.25">
      <c r="Q15859" s="8"/>
    </row>
    <row r="15860" spans="17:17" x14ac:dyDescent="0.25">
      <c r="Q15860" s="8"/>
    </row>
    <row r="15861" spans="17:17" x14ac:dyDescent="0.25">
      <c r="Q15861" s="8"/>
    </row>
    <row r="15862" spans="17:17" x14ac:dyDescent="0.25">
      <c r="Q15862" s="8"/>
    </row>
    <row r="15863" spans="17:17" x14ac:dyDescent="0.25">
      <c r="Q15863" s="8"/>
    </row>
    <row r="15864" spans="17:17" x14ac:dyDescent="0.25">
      <c r="Q15864" s="8"/>
    </row>
    <row r="15865" spans="17:17" x14ac:dyDescent="0.25">
      <c r="Q15865" s="8"/>
    </row>
    <row r="15866" spans="17:17" x14ac:dyDescent="0.25">
      <c r="Q15866" s="8"/>
    </row>
    <row r="15867" spans="17:17" x14ac:dyDescent="0.25">
      <c r="Q15867" s="8"/>
    </row>
    <row r="15868" spans="17:17" x14ac:dyDescent="0.25">
      <c r="Q15868" s="8"/>
    </row>
    <row r="15869" spans="17:17" x14ac:dyDescent="0.25">
      <c r="Q15869" s="8"/>
    </row>
    <row r="15870" spans="17:17" x14ac:dyDescent="0.25">
      <c r="Q15870" s="8"/>
    </row>
    <row r="15871" spans="17:17" x14ac:dyDescent="0.25">
      <c r="Q15871" s="8"/>
    </row>
    <row r="15872" spans="17:17" x14ac:dyDescent="0.25">
      <c r="Q15872" s="8"/>
    </row>
    <row r="15873" spans="17:17" x14ac:dyDescent="0.25">
      <c r="Q15873" s="8"/>
    </row>
    <row r="15874" spans="17:17" x14ac:dyDescent="0.25">
      <c r="Q15874" s="8"/>
    </row>
    <row r="15875" spans="17:17" x14ac:dyDescent="0.25">
      <c r="Q15875" s="8"/>
    </row>
    <row r="15876" spans="17:17" x14ac:dyDescent="0.25">
      <c r="Q15876" s="8"/>
    </row>
    <row r="15877" spans="17:17" x14ac:dyDescent="0.25">
      <c r="Q15877" s="8"/>
    </row>
    <row r="15878" spans="17:17" x14ac:dyDescent="0.25">
      <c r="Q15878" s="8"/>
    </row>
    <row r="15879" spans="17:17" x14ac:dyDescent="0.25">
      <c r="Q15879" s="8"/>
    </row>
    <row r="15880" spans="17:17" x14ac:dyDescent="0.25">
      <c r="Q15880" s="8"/>
    </row>
    <row r="15881" spans="17:17" x14ac:dyDescent="0.25">
      <c r="Q15881" s="8"/>
    </row>
    <row r="15882" spans="17:17" x14ac:dyDescent="0.25">
      <c r="Q15882" s="8"/>
    </row>
    <row r="15883" spans="17:17" x14ac:dyDescent="0.25">
      <c r="Q15883" s="8"/>
    </row>
    <row r="15884" spans="17:17" x14ac:dyDescent="0.25">
      <c r="Q15884" s="8"/>
    </row>
    <row r="15885" spans="17:17" x14ac:dyDescent="0.25">
      <c r="Q15885" s="8"/>
    </row>
    <row r="15886" spans="17:17" x14ac:dyDescent="0.25">
      <c r="Q15886" s="8"/>
    </row>
    <row r="15887" spans="17:17" x14ac:dyDescent="0.25">
      <c r="Q15887" s="8"/>
    </row>
    <row r="15888" spans="17:17" x14ac:dyDescent="0.25">
      <c r="Q15888" s="8"/>
    </row>
    <row r="15889" spans="17:17" x14ac:dyDescent="0.25">
      <c r="Q15889" s="8"/>
    </row>
    <row r="15890" spans="17:17" x14ac:dyDescent="0.25">
      <c r="Q15890" s="8"/>
    </row>
    <row r="15891" spans="17:17" x14ac:dyDescent="0.25">
      <c r="Q15891" s="8"/>
    </row>
    <row r="15892" spans="17:17" x14ac:dyDescent="0.25">
      <c r="Q15892" s="8"/>
    </row>
    <row r="15893" spans="17:17" x14ac:dyDescent="0.25">
      <c r="Q15893" s="8"/>
    </row>
    <row r="15894" spans="17:17" x14ac:dyDescent="0.25">
      <c r="Q15894" s="8"/>
    </row>
    <row r="15895" spans="17:17" x14ac:dyDescent="0.25">
      <c r="Q15895" s="8"/>
    </row>
    <row r="15896" spans="17:17" x14ac:dyDescent="0.25">
      <c r="Q15896" s="8"/>
    </row>
    <row r="15897" spans="17:17" x14ac:dyDescent="0.25">
      <c r="Q15897" s="8"/>
    </row>
    <row r="15898" spans="17:17" x14ac:dyDescent="0.25">
      <c r="Q15898" s="8"/>
    </row>
    <row r="15899" spans="17:17" x14ac:dyDescent="0.25">
      <c r="Q15899" s="8"/>
    </row>
    <row r="15900" spans="17:17" x14ac:dyDescent="0.25">
      <c r="Q15900" s="8"/>
    </row>
    <row r="15901" spans="17:17" x14ac:dyDescent="0.25">
      <c r="Q15901" s="8"/>
    </row>
    <row r="15902" spans="17:17" x14ac:dyDescent="0.25">
      <c r="Q15902" s="8"/>
    </row>
    <row r="15903" spans="17:17" x14ac:dyDescent="0.25">
      <c r="Q15903" s="8"/>
    </row>
    <row r="15904" spans="17:17" x14ac:dyDescent="0.25">
      <c r="Q15904" s="8"/>
    </row>
    <row r="15905" spans="17:17" x14ac:dyDescent="0.25">
      <c r="Q15905" s="8"/>
    </row>
    <row r="15906" spans="17:17" x14ac:dyDescent="0.25">
      <c r="Q15906" s="8"/>
    </row>
    <row r="15907" spans="17:17" x14ac:dyDescent="0.25">
      <c r="Q15907" s="8"/>
    </row>
    <row r="15908" spans="17:17" x14ac:dyDescent="0.25">
      <c r="Q15908" s="8"/>
    </row>
    <row r="15909" spans="17:17" x14ac:dyDescent="0.25">
      <c r="Q15909" s="8"/>
    </row>
    <row r="15910" spans="17:17" x14ac:dyDescent="0.25">
      <c r="Q15910" s="8"/>
    </row>
    <row r="15911" spans="17:17" x14ac:dyDescent="0.25">
      <c r="Q15911" s="8"/>
    </row>
    <row r="15912" spans="17:17" x14ac:dyDescent="0.25">
      <c r="Q15912" s="8"/>
    </row>
    <row r="15913" spans="17:17" x14ac:dyDescent="0.25">
      <c r="Q15913" s="8"/>
    </row>
    <row r="15914" spans="17:17" x14ac:dyDescent="0.25">
      <c r="Q15914" s="8"/>
    </row>
    <row r="15915" spans="17:17" x14ac:dyDescent="0.25">
      <c r="Q15915" s="8"/>
    </row>
    <row r="15916" spans="17:17" x14ac:dyDescent="0.25">
      <c r="Q15916" s="8"/>
    </row>
    <row r="15917" spans="17:17" x14ac:dyDescent="0.25">
      <c r="Q15917" s="8"/>
    </row>
    <row r="15918" spans="17:17" x14ac:dyDescent="0.25">
      <c r="Q15918" s="8"/>
    </row>
    <row r="15919" spans="17:17" x14ac:dyDescent="0.25">
      <c r="Q15919" s="8"/>
    </row>
    <row r="15920" spans="17:17" x14ac:dyDescent="0.25">
      <c r="Q15920" s="8"/>
    </row>
    <row r="15921" spans="17:17" x14ac:dyDescent="0.25">
      <c r="Q15921" s="8"/>
    </row>
    <row r="15922" spans="17:17" x14ac:dyDescent="0.25">
      <c r="Q15922" s="8"/>
    </row>
    <row r="15923" spans="17:17" x14ac:dyDescent="0.25">
      <c r="Q15923" s="8"/>
    </row>
    <row r="15924" spans="17:17" x14ac:dyDescent="0.25">
      <c r="Q15924" s="8"/>
    </row>
    <row r="15925" spans="17:17" x14ac:dyDescent="0.25">
      <c r="Q15925" s="8"/>
    </row>
    <row r="15926" spans="17:17" x14ac:dyDescent="0.25">
      <c r="Q15926" s="8"/>
    </row>
    <row r="15927" spans="17:17" x14ac:dyDescent="0.25">
      <c r="Q15927" s="8"/>
    </row>
    <row r="15928" spans="17:17" x14ac:dyDescent="0.25">
      <c r="Q15928" s="8"/>
    </row>
    <row r="15929" spans="17:17" x14ac:dyDescent="0.25">
      <c r="Q15929" s="8"/>
    </row>
    <row r="15930" spans="17:17" x14ac:dyDescent="0.25">
      <c r="Q15930" s="8"/>
    </row>
    <row r="15931" spans="17:17" x14ac:dyDescent="0.25">
      <c r="Q15931" s="8"/>
    </row>
    <row r="15932" spans="17:17" x14ac:dyDescent="0.25">
      <c r="Q15932" s="8"/>
    </row>
    <row r="15933" spans="17:17" x14ac:dyDescent="0.25">
      <c r="Q15933" s="8"/>
    </row>
    <row r="15934" spans="17:17" x14ac:dyDescent="0.25">
      <c r="Q15934" s="8"/>
    </row>
    <row r="15935" spans="17:17" x14ac:dyDescent="0.25">
      <c r="Q15935" s="8"/>
    </row>
    <row r="15936" spans="17:17" x14ac:dyDescent="0.25">
      <c r="Q15936" s="8"/>
    </row>
    <row r="15937" spans="17:17" x14ac:dyDescent="0.25">
      <c r="Q15937" s="8"/>
    </row>
    <row r="15938" spans="17:17" x14ac:dyDescent="0.25">
      <c r="Q15938" s="8"/>
    </row>
    <row r="15939" spans="17:17" x14ac:dyDescent="0.25">
      <c r="Q15939" s="8"/>
    </row>
    <row r="15940" spans="17:17" x14ac:dyDescent="0.25">
      <c r="Q15940" s="8"/>
    </row>
    <row r="15941" spans="17:17" x14ac:dyDescent="0.25">
      <c r="Q15941" s="8"/>
    </row>
    <row r="15942" spans="17:17" x14ac:dyDescent="0.25">
      <c r="Q15942" s="8"/>
    </row>
    <row r="15943" spans="17:17" x14ac:dyDescent="0.25">
      <c r="Q15943" s="8"/>
    </row>
    <row r="15944" spans="17:17" x14ac:dyDescent="0.25">
      <c r="Q15944" s="8"/>
    </row>
    <row r="15945" spans="17:17" x14ac:dyDescent="0.25">
      <c r="Q15945" s="8"/>
    </row>
    <row r="15946" spans="17:17" x14ac:dyDescent="0.25">
      <c r="Q15946" s="8"/>
    </row>
    <row r="15947" spans="17:17" x14ac:dyDescent="0.25">
      <c r="Q15947" s="8"/>
    </row>
    <row r="15948" spans="17:17" x14ac:dyDescent="0.25">
      <c r="Q15948" s="8"/>
    </row>
    <row r="15949" spans="17:17" x14ac:dyDescent="0.25">
      <c r="Q15949" s="8"/>
    </row>
    <row r="15950" spans="17:17" x14ac:dyDescent="0.25">
      <c r="Q15950" s="8"/>
    </row>
    <row r="15951" spans="17:17" x14ac:dyDescent="0.25">
      <c r="Q15951" s="8"/>
    </row>
    <row r="15952" spans="17:17" x14ac:dyDescent="0.25">
      <c r="Q15952" s="8"/>
    </row>
    <row r="15953" spans="17:17" x14ac:dyDescent="0.25">
      <c r="Q15953" s="8"/>
    </row>
    <row r="15954" spans="17:17" x14ac:dyDescent="0.25">
      <c r="Q15954" s="8"/>
    </row>
    <row r="15955" spans="17:17" x14ac:dyDescent="0.25">
      <c r="Q15955" s="8"/>
    </row>
    <row r="15956" spans="17:17" x14ac:dyDescent="0.25">
      <c r="Q15956" s="8"/>
    </row>
    <row r="15957" spans="17:17" x14ac:dyDescent="0.25">
      <c r="Q15957" s="8"/>
    </row>
    <row r="15958" spans="17:17" x14ac:dyDescent="0.25">
      <c r="Q15958" s="8"/>
    </row>
    <row r="15959" spans="17:17" x14ac:dyDescent="0.25">
      <c r="Q15959" s="8"/>
    </row>
    <row r="15960" spans="17:17" x14ac:dyDescent="0.25">
      <c r="Q15960" s="8"/>
    </row>
    <row r="15961" spans="17:17" x14ac:dyDescent="0.25">
      <c r="Q15961" s="8"/>
    </row>
    <row r="15962" spans="17:17" x14ac:dyDescent="0.25">
      <c r="Q15962" s="8"/>
    </row>
    <row r="15963" spans="17:17" x14ac:dyDescent="0.25">
      <c r="Q15963" s="8"/>
    </row>
    <row r="15964" spans="17:17" x14ac:dyDescent="0.25">
      <c r="Q15964" s="8"/>
    </row>
    <row r="15965" spans="17:17" x14ac:dyDescent="0.25">
      <c r="Q15965" s="8"/>
    </row>
    <row r="15966" spans="17:17" x14ac:dyDescent="0.25">
      <c r="Q15966" s="8"/>
    </row>
    <row r="15967" spans="17:17" x14ac:dyDescent="0.25">
      <c r="Q15967" s="8"/>
    </row>
    <row r="15968" spans="17:17" x14ac:dyDescent="0.25">
      <c r="Q15968" s="8"/>
    </row>
    <row r="15969" spans="17:17" x14ac:dyDescent="0.25">
      <c r="Q15969" s="8"/>
    </row>
    <row r="15970" spans="17:17" x14ac:dyDescent="0.25">
      <c r="Q15970" s="8"/>
    </row>
    <row r="15971" spans="17:17" x14ac:dyDescent="0.25">
      <c r="Q15971" s="8"/>
    </row>
    <row r="15972" spans="17:17" x14ac:dyDescent="0.25">
      <c r="Q15972" s="8"/>
    </row>
    <row r="15973" spans="17:17" x14ac:dyDescent="0.25">
      <c r="Q15973" s="8"/>
    </row>
    <row r="15974" spans="17:17" x14ac:dyDescent="0.25">
      <c r="Q15974" s="8"/>
    </row>
    <row r="15975" spans="17:17" x14ac:dyDescent="0.25">
      <c r="Q15975" s="8"/>
    </row>
    <row r="15976" spans="17:17" x14ac:dyDescent="0.25">
      <c r="Q15976" s="8"/>
    </row>
    <row r="15977" spans="17:17" x14ac:dyDescent="0.25">
      <c r="Q15977" s="8"/>
    </row>
    <row r="15978" spans="17:17" x14ac:dyDescent="0.25">
      <c r="Q15978" s="8"/>
    </row>
    <row r="15979" spans="17:17" x14ac:dyDescent="0.25">
      <c r="Q15979" s="8"/>
    </row>
    <row r="15980" spans="17:17" x14ac:dyDescent="0.25">
      <c r="Q15980" s="8"/>
    </row>
    <row r="15981" spans="17:17" x14ac:dyDescent="0.25">
      <c r="Q15981" s="8"/>
    </row>
    <row r="15982" spans="17:17" x14ac:dyDescent="0.25">
      <c r="Q15982" s="8"/>
    </row>
    <row r="15983" spans="17:17" x14ac:dyDescent="0.25">
      <c r="Q15983" s="8"/>
    </row>
    <row r="15984" spans="17:17" x14ac:dyDescent="0.25">
      <c r="Q15984" s="8"/>
    </row>
    <row r="15985" spans="17:17" x14ac:dyDescent="0.25">
      <c r="Q15985" s="8"/>
    </row>
    <row r="15986" spans="17:17" x14ac:dyDescent="0.25">
      <c r="Q15986" s="8"/>
    </row>
    <row r="15987" spans="17:17" x14ac:dyDescent="0.25">
      <c r="Q15987" s="8"/>
    </row>
    <row r="15988" spans="17:17" x14ac:dyDescent="0.25">
      <c r="Q15988" s="8"/>
    </row>
    <row r="15989" spans="17:17" x14ac:dyDescent="0.25">
      <c r="Q15989" s="8"/>
    </row>
    <row r="15990" spans="17:17" x14ac:dyDescent="0.25">
      <c r="Q15990" s="8"/>
    </row>
    <row r="15991" spans="17:17" x14ac:dyDescent="0.25">
      <c r="Q15991" s="8"/>
    </row>
    <row r="15992" spans="17:17" x14ac:dyDescent="0.25">
      <c r="Q15992" s="8"/>
    </row>
    <row r="15993" spans="17:17" x14ac:dyDescent="0.25">
      <c r="Q15993" s="8"/>
    </row>
    <row r="15994" spans="17:17" x14ac:dyDescent="0.25">
      <c r="Q15994" s="8"/>
    </row>
    <row r="15995" spans="17:17" x14ac:dyDescent="0.25">
      <c r="Q15995" s="8"/>
    </row>
    <row r="15996" spans="17:17" x14ac:dyDescent="0.25">
      <c r="Q15996" s="8"/>
    </row>
    <row r="15997" spans="17:17" x14ac:dyDescent="0.25">
      <c r="Q15997" s="8"/>
    </row>
    <row r="15998" spans="17:17" x14ac:dyDescent="0.25">
      <c r="Q15998" s="8"/>
    </row>
    <row r="15999" spans="17:17" x14ac:dyDescent="0.25">
      <c r="Q15999" s="8"/>
    </row>
    <row r="16000" spans="17:17" x14ac:dyDescent="0.25">
      <c r="Q16000" s="8"/>
    </row>
    <row r="16001" spans="17:17" x14ac:dyDescent="0.25">
      <c r="Q16001" s="8"/>
    </row>
    <row r="16002" spans="17:17" x14ac:dyDescent="0.25">
      <c r="Q16002" s="8"/>
    </row>
    <row r="16003" spans="17:17" x14ac:dyDescent="0.25">
      <c r="Q16003" s="8"/>
    </row>
    <row r="16004" spans="17:17" x14ac:dyDescent="0.25">
      <c r="Q16004" s="8"/>
    </row>
    <row r="16005" spans="17:17" x14ac:dyDescent="0.25">
      <c r="Q16005" s="8"/>
    </row>
    <row r="16006" spans="17:17" x14ac:dyDescent="0.25">
      <c r="Q16006" s="8"/>
    </row>
    <row r="16007" spans="17:17" x14ac:dyDescent="0.25">
      <c r="Q16007" s="8"/>
    </row>
    <row r="16008" spans="17:17" x14ac:dyDescent="0.25">
      <c r="Q16008" s="8"/>
    </row>
    <row r="16009" spans="17:17" x14ac:dyDescent="0.25">
      <c r="Q16009" s="8"/>
    </row>
    <row r="16010" spans="17:17" x14ac:dyDescent="0.25">
      <c r="Q16010" s="8"/>
    </row>
    <row r="16011" spans="17:17" x14ac:dyDescent="0.25">
      <c r="Q16011" s="8"/>
    </row>
    <row r="16012" spans="17:17" x14ac:dyDescent="0.25">
      <c r="Q16012" s="8"/>
    </row>
    <row r="16013" spans="17:17" x14ac:dyDescent="0.25">
      <c r="Q16013" s="8"/>
    </row>
    <row r="16014" spans="17:17" x14ac:dyDescent="0.25">
      <c r="Q16014" s="8"/>
    </row>
    <row r="16015" spans="17:17" x14ac:dyDescent="0.25">
      <c r="Q16015" s="8"/>
    </row>
    <row r="16016" spans="17:17" x14ac:dyDescent="0.25">
      <c r="Q16016" s="8"/>
    </row>
    <row r="16017" spans="17:17" x14ac:dyDescent="0.25">
      <c r="Q16017" s="8"/>
    </row>
    <row r="16018" spans="17:17" x14ac:dyDescent="0.25">
      <c r="Q16018" s="8"/>
    </row>
    <row r="16019" spans="17:17" x14ac:dyDescent="0.25">
      <c r="Q16019" s="8"/>
    </row>
    <row r="16020" spans="17:17" x14ac:dyDescent="0.25">
      <c r="Q16020" s="8"/>
    </row>
    <row r="16021" spans="17:17" x14ac:dyDescent="0.25">
      <c r="Q16021" s="8"/>
    </row>
    <row r="16022" spans="17:17" x14ac:dyDescent="0.25">
      <c r="Q16022" s="8"/>
    </row>
    <row r="16023" spans="17:17" x14ac:dyDescent="0.25">
      <c r="Q16023" s="8"/>
    </row>
    <row r="16024" spans="17:17" x14ac:dyDescent="0.25">
      <c r="Q16024" s="8"/>
    </row>
    <row r="16025" spans="17:17" x14ac:dyDescent="0.25">
      <c r="Q16025" s="8"/>
    </row>
    <row r="16026" spans="17:17" x14ac:dyDescent="0.25">
      <c r="Q16026" s="8"/>
    </row>
    <row r="16027" spans="17:17" x14ac:dyDescent="0.25">
      <c r="Q16027" s="8"/>
    </row>
    <row r="16028" spans="17:17" x14ac:dyDescent="0.25">
      <c r="Q16028" s="8"/>
    </row>
    <row r="16029" spans="17:17" x14ac:dyDescent="0.25">
      <c r="Q16029" s="8"/>
    </row>
    <row r="16030" spans="17:17" x14ac:dyDescent="0.25">
      <c r="Q16030" s="8"/>
    </row>
    <row r="16031" spans="17:17" x14ac:dyDescent="0.25">
      <c r="Q16031" s="8"/>
    </row>
    <row r="16032" spans="17:17" x14ac:dyDescent="0.25">
      <c r="Q16032" s="8"/>
    </row>
    <row r="16033" spans="17:17" x14ac:dyDescent="0.25">
      <c r="Q16033" s="8"/>
    </row>
    <row r="16034" spans="17:17" x14ac:dyDescent="0.25">
      <c r="Q16034" s="8"/>
    </row>
    <row r="16035" spans="17:17" x14ac:dyDescent="0.25">
      <c r="Q16035" s="8"/>
    </row>
    <row r="16036" spans="17:17" x14ac:dyDescent="0.25">
      <c r="Q16036" s="8"/>
    </row>
    <row r="16037" spans="17:17" x14ac:dyDescent="0.25">
      <c r="Q16037" s="8"/>
    </row>
    <row r="16038" spans="17:17" x14ac:dyDescent="0.25">
      <c r="Q16038" s="8"/>
    </row>
    <row r="16039" spans="17:17" x14ac:dyDescent="0.25">
      <c r="Q16039" s="8"/>
    </row>
    <row r="16040" spans="17:17" x14ac:dyDescent="0.25">
      <c r="Q16040" s="8"/>
    </row>
    <row r="16041" spans="17:17" x14ac:dyDescent="0.25">
      <c r="Q16041" s="8"/>
    </row>
    <row r="16042" spans="17:17" x14ac:dyDescent="0.25">
      <c r="Q16042" s="8"/>
    </row>
    <row r="16043" spans="17:17" x14ac:dyDescent="0.25">
      <c r="Q16043" s="8"/>
    </row>
    <row r="16044" spans="17:17" x14ac:dyDescent="0.25">
      <c r="Q16044" s="8"/>
    </row>
    <row r="16045" spans="17:17" x14ac:dyDescent="0.25">
      <c r="Q16045" s="8"/>
    </row>
    <row r="16046" spans="17:17" x14ac:dyDescent="0.25">
      <c r="Q16046" s="8"/>
    </row>
    <row r="16047" spans="17:17" x14ac:dyDescent="0.25">
      <c r="Q16047" s="8"/>
    </row>
    <row r="16048" spans="17:17" x14ac:dyDescent="0.25">
      <c r="Q16048" s="8"/>
    </row>
    <row r="16049" spans="17:17" x14ac:dyDescent="0.25">
      <c r="Q16049" s="8"/>
    </row>
    <row r="16050" spans="17:17" x14ac:dyDescent="0.25">
      <c r="Q16050" s="8"/>
    </row>
    <row r="16051" spans="17:17" x14ac:dyDescent="0.25">
      <c r="Q16051" s="8"/>
    </row>
    <row r="16052" spans="17:17" x14ac:dyDescent="0.25">
      <c r="Q16052" s="8"/>
    </row>
    <row r="16053" spans="17:17" x14ac:dyDescent="0.25">
      <c r="Q16053" s="8"/>
    </row>
    <row r="16054" spans="17:17" x14ac:dyDescent="0.25">
      <c r="Q16054" s="8"/>
    </row>
    <row r="16055" spans="17:17" x14ac:dyDescent="0.25">
      <c r="Q16055" s="8"/>
    </row>
    <row r="16056" spans="17:17" x14ac:dyDescent="0.25">
      <c r="Q16056" s="8"/>
    </row>
    <row r="16057" spans="17:17" x14ac:dyDescent="0.25">
      <c r="Q16057" s="8"/>
    </row>
    <row r="16058" spans="17:17" x14ac:dyDescent="0.25">
      <c r="Q16058" s="8"/>
    </row>
    <row r="16059" spans="17:17" x14ac:dyDescent="0.25">
      <c r="Q16059" s="8"/>
    </row>
    <row r="16060" spans="17:17" x14ac:dyDescent="0.25">
      <c r="Q16060" s="8"/>
    </row>
    <row r="16061" spans="17:17" x14ac:dyDescent="0.25">
      <c r="Q16061" s="8"/>
    </row>
    <row r="16062" spans="17:17" x14ac:dyDescent="0.25">
      <c r="Q16062" s="8"/>
    </row>
    <row r="16063" spans="17:17" x14ac:dyDescent="0.25">
      <c r="Q16063" s="8"/>
    </row>
    <row r="16064" spans="17:17" x14ac:dyDescent="0.25">
      <c r="Q16064" s="8"/>
    </row>
    <row r="16065" spans="17:17" x14ac:dyDescent="0.25">
      <c r="Q16065" s="8"/>
    </row>
    <row r="16066" spans="17:17" x14ac:dyDescent="0.25">
      <c r="Q16066" s="8"/>
    </row>
    <row r="16067" spans="17:17" x14ac:dyDescent="0.25">
      <c r="Q16067" s="8"/>
    </row>
    <row r="16068" spans="17:17" x14ac:dyDescent="0.25">
      <c r="Q16068" s="8"/>
    </row>
    <row r="16069" spans="17:17" x14ac:dyDescent="0.25">
      <c r="Q16069" s="8"/>
    </row>
    <row r="16070" spans="17:17" x14ac:dyDescent="0.25">
      <c r="Q16070" s="8"/>
    </row>
    <row r="16071" spans="17:17" x14ac:dyDescent="0.25">
      <c r="Q16071" s="8"/>
    </row>
    <row r="16072" spans="17:17" x14ac:dyDescent="0.25">
      <c r="Q16072" s="8"/>
    </row>
    <row r="16073" spans="17:17" x14ac:dyDescent="0.25">
      <c r="Q16073" s="8"/>
    </row>
    <row r="16074" spans="17:17" x14ac:dyDescent="0.25">
      <c r="Q16074" s="8"/>
    </row>
    <row r="16075" spans="17:17" x14ac:dyDescent="0.25">
      <c r="Q16075" s="8"/>
    </row>
    <row r="16076" spans="17:17" x14ac:dyDescent="0.25">
      <c r="Q16076" s="8"/>
    </row>
    <row r="16077" spans="17:17" x14ac:dyDescent="0.25">
      <c r="Q16077" s="8"/>
    </row>
    <row r="16078" spans="17:17" x14ac:dyDescent="0.25">
      <c r="Q16078" s="8"/>
    </row>
    <row r="16079" spans="17:17" x14ac:dyDescent="0.25">
      <c r="Q16079" s="8"/>
    </row>
    <row r="16080" spans="17:17" x14ac:dyDescent="0.25">
      <c r="Q16080" s="8"/>
    </row>
    <row r="16081" spans="17:17" x14ac:dyDescent="0.25">
      <c r="Q16081" s="8"/>
    </row>
    <row r="16082" spans="17:17" x14ac:dyDescent="0.25">
      <c r="Q16082" s="8"/>
    </row>
    <row r="16083" spans="17:17" x14ac:dyDescent="0.25">
      <c r="Q16083" s="8"/>
    </row>
    <row r="16084" spans="17:17" x14ac:dyDescent="0.25">
      <c r="Q16084" s="8"/>
    </row>
    <row r="16085" spans="17:17" x14ac:dyDescent="0.25">
      <c r="Q16085" s="8"/>
    </row>
    <row r="16086" spans="17:17" x14ac:dyDescent="0.25">
      <c r="Q16086" s="8"/>
    </row>
    <row r="16087" spans="17:17" x14ac:dyDescent="0.25">
      <c r="Q16087" s="8"/>
    </row>
    <row r="16088" spans="17:17" x14ac:dyDescent="0.25">
      <c r="Q16088" s="8"/>
    </row>
    <row r="16089" spans="17:17" x14ac:dyDescent="0.25">
      <c r="Q16089" s="8"/>
    </row>
    <row r="16090" spans="17:17" x14ac:dyDescent="0.25">
      <c r="Q16090" s="8"/>
    </row>
    <row r="16091" spans="17:17" x14ac:dyDescent="0.25">
      <c r="Q16091" s="8"/>
    </row>
    <row r="16092" spans="17:17" x14ac:dyDescent="0.25">
      <c r="Q16092" s="8"/>
    </row>
    <row r="16093" spans="17:17" x14ac:dyDescent="0.25">
      <c r="Q16093" s="8"/>
    </row>
    <row r="16094" spans="17:17" x14ac:dyDescent="0.25">
      <c r="Q16094" s="8"/>
    </row>
    <row r="16095" spans="17:17" x14ac:dyDescent="0.25">
      <c r="Q16095" s="8"/>
    </row>
    <row r="16096" spans="17:17" x14ac:dyDescent="0.25">
      <c r="Q16096" s="8"/>
    </row>
    <row r="16097" spans="17:17" x14ac:dyDescent="0.25">
      <c r="Q16097" s="8"/>
    </row>
    <row r="16098" spans="17:17" x14ac:dyDescent="0.25">
      <c r="Q16098" s="8"/>
    </row>
    <row r="16099" spans="17:17" x14ac:dyDescent="0.25">
      <c r="Q16099" s="8"/>
    </row>
    <row r="16100" spans="17:17" x14ac:dyDescent="0.25">
      <c r="Q16100" s="8"/>
    </row>
    <row r="16101" spans="17:17" x14ac:dyDescent="0.25">
      <c r="Q16101" s="8"/>
    </row>
    <row r="16102" spans="17:17" x14ac:dyDescent="0.25">
      <c r="Q16102" s="8"/>
    </row>
    <row r="16103" spans="17:17" x14ac:dyDescent="0.25">
      <c r="Q16103" s="8"/>
    </row>
    <row r="16104" spans="17:17" x14ac:dyDescent="0.25">
      <c r="Q16104" s="8"/>
    </row>
    <row r="16105" spans="17:17" x14ac:dyDescent="0.25">
      <c r="Q16105" s="8"/>
    </row>
    <row r="16106" spans="17:17" x14ac:dyDescent="0.25">
      <c r="Q16106" s="8"/>
    </row>
    <row r="16107" spans="17:17" x14ac:dyDescent="0.25">
      <c r="Q16107" s="8"/>
    </row>
    <row r="16108" spans="17:17" x14ac:dyDescent="0.25">
      <c r="Q16108" s="8"/>
    </row>
    <row r="16109" spans="17:17" x14ac:dyDescent="0.25">
      <c r="Q16109" s="8"/>
    </row>
    <row r="16110" spans="17:17" x14ac:dyDescent="0.25">
      <c r="Q16110" s="8"/>
    </row>
    <row r="16111" spans="17:17" x14ac:dyDescent="0.25">
      <c r="Q16111" s="8"/>
    </row>
    <row r="16112" spans="17:17" x14ac:dyDescent="0.25">
      <c r="Q16112" s="8"/>
    </row>
    <row r="16113" spans="17:17" x14ac:dyDescent="0.25">
      <c r="Q16113" s="8"/>
    </row>
    <row r="16114" spans="17:17" x14ac:dyDescent="0.25">
      <c r="Q16114" s="8"/>
    </row>
    <row r="16115" spans="17:17" x14ac:dyDescent="0.25">
      <c r="Q16115" s="8"/>
    </row>
    <row r="16116" spans="17:17" x14ac:dyDescent="0.25">
      <c r="Q16116" s="8"/>
    </row>
    <row r="16117" spans="17:17" x14ac:dyDescent="0.25">
      <c r="Q16117" s="8"/>
    </row>
    <row r="16118" spans="17:17" x14ac:dyDescent="0.25">
      <c r="Q16118" s="8"/>
    </row>
    <row r="16119" spans="17:17" x14ac:dyDescent="0.25">
      <c r="Q16119" s="8"/>
    </row>
    <row r="16120" spans="17:17" x14ac:dyDescent="0.25">
      <c r="Q16120" s="8"/>
    </row>
    <row r="16121" spans="17:17" x14ac:dyDescent="0.25">
      <c r="Q16121" s="8"/>
    </row>
    <row r="16122" spans="17:17" x14ac:dyDescent="0.25">
      <c r="Q16122" s="8"/>
    </row>
    <row r="16123" spans="17:17" x14ac:dyDescent="0.25">
      <c r="Q16123" s="8"/>
    </row>
    <row r="16124" spans="17:17" x14ac:dyDescent="0.25">
      <c r="Q16124" s="8"/>
    </row>
    <row r="16125" spans="17:17" x14ac:dyDescent="0.25">
      <c r="Q16125" s="8"/>
    </row>
    <row r="16126" spans="17:17" x14ac:dyDescent="0.25">
      <c r="Q16126" s="8"/>
    </row>
    <row r="16127" spans="17:17" x14ac:dyDescent="0.25">
      <c r="Q16127" s="8"/>
    </row>
    <row r="16128" spans="17:17" x14ac:dyDescent="0.25">
      <c r="Q16128" s="8"/>
    </row>
    <row r="16129" spans="17:17" x14ac:dyDescent="0.25">
      <c r="Q16129" s="8"/>
    </row>
    <row r="16130" spans="17:17" x14ac:dyDescent="0.25">
      <c r="Q16130" s="8"/>
    </row>
    <row r="16131" spans="17:17" x14ac:dyDescent="0.25">
      <c r="Q16131" s="8"/>
    </row>
    <row r="16132" spans="17:17" x14ac:dyDescent="0.25">
      <c r="Q16132" s="8"/>
    </row>
    <row r="16133" spans="17:17" x14ac:dyDescent="0.25">
      <c r="Q16133" s="8"/>
    </row>
    <row r="16134" spans="17:17" x14ac:dyDescent="0.25">
      <c r="Q16134" s="8"/>
    </row>
    <row r="16135" spans="17:17" x14ac:dyDescent="0.25">
      <c r="Q16135" s="8"/>
    </row>
    <row r="16136" spans="17:17" x14ac:dyDescent="0.25">
      <c r="Q16136" s="8"/>
    </row>
    <row r="16137" spans="17:17" x14ac:dyDescent="0.25">
      <c r="Q16137" s="8"/>
    </row>
    <row r="16138" spans="17:17" x14ac:dyDescent="0.25">
      <c r="Q16138" s="8"/>
    </row>
    <row r="16139" spans="17:17" x14ac:dyDescent="0.25">
      <c r="Q16139" s="8"/>
    </row>
    <row r="16140" spans="17:17" x14ac:dyDescent="0.25">
      <c r="Q16140" s="8"/>
    </row>
    <row r="16141" spans="17:17" x14ac:dyDescent="0.25">
      <c r="Q16141" s="8"/>
    </row>
    <row r="16142" spans="17:17" x14ac:dyDescent="0.25">
      <c r="Q16142" s="8"/>
    </row>
    <row r="16143" spans="17:17" x14ac:dyDescent="0.25">
      <c r="Q16143" s="8"/>
    </row>
    <row r="16144" spans="17:17" x14ac:dyDescent="0.25">
      <c r="Q16144" s="8"/>
    </row>
    <row r="16145" spans="17:17" x14ac:dyDescent="0.25">
      <c r="Q16145" s="8"/>
    </row>
    <row r="16146" spans="17:17" x14ac:dyDescent="0.25">
      <c r="Q16146" s="8"/>
    </row>
    <row r="16147" spans="17:17" x14ac:dyDescent="0.25">
      <c r="Q16147" s="8"/>
    </row>
    <row r="16148" spans="17:17" x14ac:dyDescent="0.25">
      <c r="Q16148" s="8"/>
    </row>
    <row r="16149" spans="17:17" x14ac:dyDescent="0.25">
      <c r="Q16149" s="8"/>
    </row>
    <row r="16150" spans="17:17" x14ac:dyDescent="0.25">
      <c r="Q16150" s="8"/>
    </row>
    <row r="16151" spans="17:17" x14ac:dyDescent="0.25">
      <c r="Q16151" s="8"/>
    </row>
    <row r="16152" spans="17:17" x14ac:dyDescent="0.25">
      <c r="Q16152" s="8"/>
    </row>
    <row r="16153" spans="17:17" x14ac:dyDescent="0.25">
      <c r="Q16153" s="8"/>
    </row>
    <row r="16154" spans="17:17" x14ac:dyDescent="0.25">
      <c r="Q16154" s="8"/>
    </row>
    <row r="16155" spans="17:17" x14ac:dyDescent="0.25">
      <c r="Q16155" s="8"/>
    </row>
    <row r="16156" spans="17:17" x14ac:dyDescent="0.25">
      <c r="Q16156" s="8"/>
    </row>
    <row r="16157" spans="17:17" x14ac:dyDescent="0.25">
      <c r="Q16157" s="8"/>
    </row>
    <row r="16158" spans="17:17" x14ac:dyDescent="0.25">
      <c r="Q16158" s="8"/>
    </row>
    <row r="16159" spans="17:17" x14ac:dyDescent="0.25">
      <c r="Q16159" s="8"/>
    </row>
    <row r="16160" spans="17:17" x14ac:dyDescent="0.25">
      <c r="Q16160" s="8"/>
    </row>
    <row r="16161" spans="17:17" x14ac:dyDescent="0.25">
      <c r="Q16161" s="8"/>
    </row>
    <row r="16162" spans="17:17" x14ac:dyDescent="0.25">
      <c r="Q16162" s="8"/>
    </row>
    <row r="16163" spans="17:17" x14ac:dyDescent="0.25">
      <c r="Q16163" s="8"/>
    </row>
    <row r="16164" spans="17:17" x14ac:dyDescent="0.25">
      <c r="Q16164" s="8"/>
    </row>
    <row r="16165" spans="17:17" x14ac:dyDescent="0.25">
      <c r="Q16165" s="8"/>
    </row>
    <row r="16166" spans="17:17" x14ac:dyDescent="0.25">
      <c r="Q16166" s="8"/>
    </row>
    <row r="16167" spans="17:17" x14ac:dyDescent="0.25">
      <c r="Q16167" s="8"/>
    </row>
    <row r="16168" spans="17:17" x14ac:dyDescent="0.25">
      <c r="Q16168" s="8"/>
    </row>
    <row r="16169" spans="17:17" x14ac:dyDescent="0.25">
      <c r="Q16169" s="8"/>
    </row>
    <row r="16170" spans="17:17" x14ac:dyDescent="0.25">
      <c r="Q16170" s="8"/>
    </row>
    <row r="16171" spans="17:17" x14ac:dyDescent="0.25">
      <c r="Q16171" s="8"/>
    </row>
    <row r="16172" spans="17:17" x14ac:dyDescent="0.25">
      <c r="Q16172" s="8"/>
    </row>
    <row r="16173" spans="17:17" x14ac:dyDescent="0.25">
      <c r="Q16173" s="8"/>
    </row>
    <row r="16174" spans="17:17" x14ac:dyDescent="0.25">
      <c r="Q16174" s="8"/>
    </row>
    <row r="16175" spans="17:17" x14ac:dyDescent="0.25">
      <c r="Q16175" s="8"/>
    </row>
    <row r="16176" spans="17:17" x14ac:dyDescent="0.25">
      <c r="Q16176" s="8"/>
    </row>
    <row r="16177" spans="17:17" x14ac:dyDescent="0.25">
      <c r="Q16177" s="8"/>
    </row>
    <row r="16178" spans="17:17" x14ac:dyDescent="0.25">
      <c r="Q16178" s="8"/>
    </row>
    <row r="16179" spans="17:17" x14ac:dyDescent="0.25">
      <c r="Q16179" s="8"/>
    </row>
    <row r="16180" spans="17:17" x14ac:dyDescent="0.25">
      <c r="Q16180" s="8"/>
    </row>
    <row r="16181" spans="17:17" x14ac:dyDescent="0.25">
      <c r="Q16181" s="8"/>
    </row>
    <row r="16182" spans="17:17" x14ac:dyDescent="0.25">
      <c r="Q16182" s="8"/>
    </row>
    <row r="16183" spans="17:17" x14ac:dyDescent="0.25">
      <c r="Q16183" s="8"/>
    </row>
    <row r="16184" spans="17:17" x14ac:dyDescent="0.25">
      <c r="Q16184" s="8"/>
    </row>
    <row r="16185" spans="17:17" x14ac:dyDescent="0.25">
      <c r="Q16185" s="8"/>
    </row>
    <row r="16186" spans="17:17" x14ac:dyDescent="0.25">
      <c r="Q16186" s="8"/>
    </row>
    <row r="16187" spans="17:17" x14ac:dyDescent="0.25">
      <c r="Q16187" s="8"/>
    </row>
    <row r="16188" spans="17:17" x14ac:dyDescent="0.25">
      <c r="Q16188" s="8"/>
    </row>
    <row r="16189" spans="17:17" x14ac:dyDescent="0.25">
      <c r="Q16189" s="8"/>
    </row>
    <row r="16190" spans="17:17" x14ac:dyDescent="0.25">
      <c r="Q16190" s="8"/>
    </row>
    <row r="16191" spans="17:17" x14ac:dyDescent="0.25">
      <c r="Q16191" s="8"/>
    </row>
    <row r="16192" spans="17:17" x14ac:dyDescent="0.25">
      <c r="Q16192" s="8"/>
    </row>
    <row r="16193" spans="17:17" x14ac:dyDescent="0.25">
      <c r="Q16193" s="8"/>
    </row>
    <row r="16194" spans="17:17" x14ac:dyDescent="0.25">
      <c r="Q16194" s="8"/>
    </row>
    <row r="16195" spans="17:17" x14ac:dyDescent="0.25">
      <c r="Q16195" s="8"/>
    </row>
    <row r="16196" spans="17:17" x14ac:dyDescent="0.25">
      <c r="Q16196" s="8"/>
    </row>
    <row r="16197" spans="17:17" x14ac:dyDescent="0.25">
      <c r="Q16197" s="8"/>
    </row>
    <row r="16198" spans="17:17" x14ac:dyDescent="0.25">
      <c r="Q16198" s="8"/>
    </row>
    <row r="16199" spans="17:17" x14ac:dyDescent="0.25">
      <c r="Q16199" s="8"/>
    </row>
    <row r="16200" spans="17:17" x14ac:dyDescent="0.25">
      <c r="Q16200" s="8"/>
    </row>
    <row r="16201" spans="17:17" x14ac:dyDescent="0.25">
      <c r="Q16201" s="8"/>
    </row>
    <row r="16202" spans="17:17" x14ac:dyDescent="0.25">
      <c r="Q16202" s="8"/>
    </row>
    <row r="16203" spans="17:17" x14ac:dyDescent="0.25">
      <c r="Q16203" s="8"/>
    </row>
    <row r="16204" spans="17:17" x14ac:dyDescent="0.25">
      <c r="Q16204" s="8"/>
    </row>
    <row r="16205" spans="17:17" x14ac:dyDescent="0.25">
      <c r="Q16205" s="8"/>
    </row>
    <row r="16206" spans="17:17" x14ac:dyDescent="0.25">
      <c r="Q16206" s="8"/>
    </row>
    <row r="16207" spans="17:17" x14ac:dyDescent="0.25">
      <c r="Q16207" s="8"/>
    </row>
    <row r="16208" spans="17:17" x14ac:dyDescent="0.25">
      <c r="Q16208" s="8"/>
    </row>
    <row r="16209" spans="17:17" x14ac:dyDescent="0.25">
      <c r="Q16209" s="8"/>
    </row>
    <row r="16210" spans="17:17" x14ac:dyDescent="0.25">
      <c r="Q16210" s="8"/>
    </row>
    <row r="16211" spans="17:17" x14ac:dyDescent="0.25">
      <c r="Q16211" s="8"/>
    </row>
    <row r="16212" spans="17:17" x14ac:dyDescent="0.25">
      <c r="Q16212" s="8"/>
    </row>
    <row r="16213" spans="17:17" x14ac:dyDescent="0.25">
      <c r="Q16213" s="8"/>
    </row>
    <row r="16214" spans="17:17" x14ac:dyDescent="0.25">
      <c r="Q16214" s="8"/>
    </row>
    <row r="16215" spans="17:17" x14ac:dyDescent="0.25">
      <c r="Q16215" s="8"/>
    </row>
    <row r="16216" spans="17:17" x14ac:dyDescent="0.25">
      <c r="Q16216" s="8"/>
    </row>
    <row r="16217" spans="17:17" x14ac:dyDescent="0.25">
      <c r="Q16217" s="8"/>
    </row>
    <row r="16218" spans="17:17" x14ac:dyDescent="0.25">
      <c r="Q16218" s="8"/>
    </row>
    <row r="16219" spans="17:17" x14ac:dyDescent="0.25">
      <c r="Q16219" s="8"/>
    </row>
    <row r="16220" spans="17:17" x14ac:dyDescent="0.25">
      <c r="Q16220" s="8"/>
    </row>
    <row r="16221" spans="17:17" x14ac:dyDescent="0.25">
      <c r="Q16221" s="8"/>
    </row>
    <row r="16222" spans="17:17" x14ac:dyDescent="0.25">
      <c r="Q16222" s="8"/>
    </row>
    <row r="16223" spans="17:17" x14ac:dyDescent="0.25">
      <c r="Q16223" s="8"/>
    </row>
    <row r="16224" spans="17:17" x14ac:dyDescent="0.25">
      <c r="Q16224" s="8"/>
    </row>
    <row r="16225" spans="17:17" x14ac:dyDescent="0.25">
      <c r="Q16225" s="8"/>
    </row>
    <row r="16226" spans="17:17" x14ac:dyDescent="0.25">
      <c r="Q16226" s="8"/>
    </row>
    <row r="16227" spans="17:17" x14ac:dyDescent="0.25">
      <c r="Q16227" s="8"/>
    </row>
    <row r="16228" spans="17:17" x14ac:dyDescent="0.25">
      <c r="Q16228" s="8"/>
    </row>
    <row r="16229" spans="17:17" x14ac:dyDescent="0.25">
      <c r="Q16229" s="8"/>
    </row>
    <row r="16230" spans="17:17" x14ac:dyDescent="0.25">
      <c r="Q16230" s="8"/>
    </row>
    <row r="16231" spans="17:17" x14ac:dyDescent="0.25">
      <c r="Q16231" s="8"/>
    </row>
    <row r="16232" spans="17:17" x14ac:dyDescent="0.25">
      <c r="Q16232" s="8"/>
    </row>
    <row r="16233" spans="17:17" x14ac:dyDescent="0.25">
      <c r="Q16233" s="8"/>
    </row>
    <row r="16234" spans="17:17" x14ac:dyDescent="0.25">
      <c r="Q16234" s="8"/>
    </row>
    <row r="16235" spans="17:17" x14ac:dyDescent="0.25">
      <c r="Q16235" s="8"/>
    </row>
    <row r="16236" spans="17:17" x14ac:dyDescent="0.25">
      <c r="Q16236" s="8"/>
    </row>
    <row r="16237" spans="17:17" x14ac:dyDescent="0.25">
      <c r="Q16237" s="8"/>
    </row>
    <row r="16238" spans="17:17" x14ac:dyDescent="0.25">
      <c r="Q16238" s="8"/>
    </row>
    <row r="16239" spans="17:17" x14ac:dyDescent="0.25">
      <c r="Q16239" s="8"/>
    </row>
    <row r="16240" spans="17:17" x14ac:dyDescent="0.25">
      <c r="Q16240" s="8"/>
    </row>
    <row r="16241" spans="17:17" x14ac:dyDescent="0.25">
      <c r="Q16241" s="8"/>
    </row>
    <row r="16242" spans="17:17" x14ac:dyDescent="0.25">
      <c r="Q16242" s="8"/>
    </row>
    <row r="16243" spans="17:17" x14ac:dyDescent="0.25">
      <c r="Q16243" s="8"/>
    </row>
    <row r="16244" spans="17:17" x14ac:dyDescent="0.25">
      <c r="Q16244" s="8"/>
    </row>
    <row r="16245" spans="17:17" x14ac:dyDescent="0.25">
      <c r="Q16245" s="8"/>
    </row>
    <row r="16246" spans="17:17" x14ac:dyDescent="0.25">
      <c r="Q16246" s="8"/>
    </row>
    <row r="16247" spans="17:17" x14ac:dyDescent="0.25">
      <c r="Q16247" s="8"/>
    </row>
    <row r="16248" spans="17:17" x14ac:dyDescent="0.25">
      <c r="Q16248" s="8"/>
    </row>
    <row r="16249" spans="17:17" x14ac:dyDescent="0.25">
      <c r="Q16249" s="8"/>
    </row>
    <row r="16250" spans="17:17" x14ac:dyDescent="0.25">
      <c r="Q16250" s="8"/>
    </row>
    <row r="16251" spans="17:17" x14ac:dyDescent="0.25">
      <c r="Q16251" s="8"/>
    </row>
    <row r="16252" spans="17:17" x14ac:dyDescent="0.25">
      <c r="Q16252" s="8"/>
    </row>
    <row r="16253" spans="17:17" x14ac:dyDescent="0.25">
      <c r="Q16253" s="8"/>
    </row>
    <row r="16254" spans="17:17" x14ac:dyDescent="0.25">
      <c r="Q16254" s="8"/>
    </row>
    <row r="16255" spans="17:17" x14ac:dyDescent="0.25">
      <c r="Q16255" s="8"/>
    </row>
    <row r="16256" spans="17:17" x14ac:dyDescent="0.25">
      <c r="Q16256" s="8"/>
    </row>
    <row r="16257" spans="17:17" x14ac:dyDescent="0.25">
      <c r="Q16257" s="8"/>
    </row>
    <row r="16258" spans="17:17" x14ac:dyDescent="0.25">
      <c r="Q16258" s="8"/>
    </row>
    <row r="16259" spans="17:17" x14ac:dyDescent="0.25">
      <c r="Q16259" s="8"/>
    </row>
    <row r="16260" spans="17:17" x14ac:dyDescent="0.25">
      <c r="Q16260" s="8"/>
    </row>
    <row r="16261" spans="17:17" x14ac:dyDescent="0.25">
      <c r="Q16261" s="8"/>
    </row>
    <row r="16262" spans="17:17" x14ac:dyDescent="0.25">
      <c r="Q16262" s="8"/>
    </row>
    <row r="16263" spans="17:17" x14ac:dyDescent="0.25">
      <c r="Q16263" s="8"/>
    </row>
    <row r="16264" spans="17:17" x14ac:dyDescent="0.25">
      <c r="Q16264" s="8"/>
    </row>
    <row r="16265" spans="17:17" x14ac:dyDescent="0.25">
      <c r="Q16265" s="8"/>
    </row>
    <row r="16266" spans="17:17" x14ac:dyDescent="0.25">
      <c r="Q16266" s="8"/>
    </row>
    <row r="16267" spans="17:17" x14ac:dyDescent="0.25">
      <c r="Q16267" s="8"/>
    </row>
    <row r="16268" spans="17:17" x14ac:dyDescent="0.25">
      <c r="Q16268" s="8"/>
    </row>
    <row r="16269" spans="17:17" x14ac:dyDescent="0.25">
      <c r="Q16269" s="8"/>
    </row>
    <row r="16270" spans="17:17" x14ac:dyDescent="0.25">
      <c r="Q16270" s="8"/>
    </row>
    <row r="16271" spans="17:17" x14ac:dyDescent="0.25">
      <c r="Q16271" s="8"/>
    </row>
    <row r="16272" spans="17:17" x14ac:dyDescent="0.25">
      <c r="Q16272" s="8"/>
    </row>
    <row r="16273" spans="17:17" x14ac:dyDescent="0.25">
      <c r="Q16273" s="8"/>
    </row>
    <row r="16274" spans="17:17" x14ac:dyDescent="0.25">
      <c r="Q16274" s="8"/>
    </row>
    <row r="16275" spans="17:17" x14ac:dyDescent="0.25">
      <c r="Q16275" s="8"/>
    </row>
    <row r="16276" spans="17:17" x14ac:dyDescent="0.25">
      <c r="Q16276" s="8"/>
    </row>
    <row r="16277" spans="17:17" x14ac:dyDescent="0.25">
      <c r="Q16277" s="8"/>
    </row>
    <row r="16278" spans="17:17" x14ac:dyDescent="0.25">
      <c r="Q16278" s="8"/>
    </row>
    <row r="16279" spans="17:17" x14ac:dyDescent="0.25">
      <c r="Q16279" s="8"/>
    </row>
    <row r="16280" spans="17:17" x14ac:dyDescent="0.25">
      <c r="Q16280" s="8"/>
    </row>
    <row r="16281" spans="17:17" x14ac:dyDescent="0.25">
      <c r="Q16281" s="8"/>
    </row>
    <row r="16282" spans="17:17" x14ac:dyDescent="0.25">
      <c r="Q16282" s="8"/>
    </row>
    <row r="16283" spans="17:17" x14ac:dyDescent="0.25">
      <c r="Q16283" s="8"/>
    </row>
    <row r="16284" spans="17:17" x14ac:dyDescent="0.25">
      <c r="Q16284" s="8"/>
    </row>
    <row r="16285" spans="17:17" x14ac:dyDescent="0.25">
      <c r="Q16285" s="8"/>
    </row>
    <row r="16286" spans="17:17" x14ac:dyDescent="0.25">
      <c r="Q16286" s="8"/>
    </row>
    <row r="16287" spans="17:17" x14ac:dyDescent="0.25">
      <c r="Q16287" s="8"/>
    </row>
    <row r="16288" spans="17:17" x14ac:dyDescent="0.25">
      <c r="Q16288" s="8"/>
    </row>
    <row r="16289" spans="17:17" x14ac:dyDescent="0.25">
      <c r="Q16289" s="8"/>
    </row>
    <row r="16290" spans="17:17" x14ac:dyDescent="0.25">
      <c r="Q16290" s="8"/>
    </row>
    <row r="16291" spans="17:17" x14ac:dyDescent="0.25">
      <c r="Q16291" s="8"/>
    </row>
    <row r="16292" spans="17:17" x14ac:dyDescent="0.25">
      <c r="Q16292" s="8"/>
    </row>
    <row r="16293" spans="17:17" x14ac:dyDescent="0.25">
      <c r="Q16293" s="8"/>
    </row>
    <row r="16294" spans="17:17" x14ac:dyDescent="0.25">
      <c r="Q16294" s="8"/>
    </row>
    <row r="16295" spans="17:17" x14ac:dyDescent="0.25">
      <c r="Q16295" s="8"/>
    </row>
    <row r="16296" spans="17:17" x14ac:dyDescent="0.25">
      <c r="Q16296" s="8"/>
    </row>
    <row r="16297" spans="17:17" x14ac:dyDescent="0.25">
      <c r="Q16297" s="8"/>
    </row>
    <row r="16298" spans="17:17" x14ac:dyDescent="0.25">
      <c r="Q16298" s="8"/>
    </row>
    <row r="16299" spans="17:17" x14ac:dyDescent="0.25">
      <c r="Q16299" s="8"/>
    </row>
    <row r="16300" spans="17:17" x14ac:dyDescent="0.25">
      <c r="Q16300" s="8"/>
    </row>
    <row r="16301" spans="17:17" x14ac:dyDescent="0.25">
      <c r="Q16301" s="8"/>
    </row>
    <row r="16302" spans="17:17" x14ac:dyDescent="0.25">
      <c r="Q16302" s="8"/>
    </row>
    <row r="16303" spans="17:17" x14ac:dyDescent="0.25">
      <c r="Q16303" s="8"/>
    </row>
    <row r="16304" spans="17:17" x14ac:dyDescent="0.25">
      <c r="Q16304" s="8"/>
    </row>
    <row r="16305" spans="17:17" x14ac:dyDescent="0.25">
      <c r="Q16305" s="8"/>
    </row>
    <row r="16306" spans="17:17" x14ac:dyDescent="0.25">
      <c r="Q16306" s="8"/>
    </row>
    <row r="16307" spans="17:17" x14ac:dyDescent="0.25">
      <c r="Q16307" s="8"/>
    </row>
    <row r="16308" spans="17:17" x14ac:dyDescent="0.25">
      <c r="Q16308" s="8"/>
    </row>
    <row r="16309" spans="17:17" x14ac:dyDescent="0.25">
      <c r="Q16309" s="8"/>
    </row>
    <row r="16310" spans="17:17" x14ac:dyDescent="0.25">
      <c r="Q16310" s="8"/>
    </row>
    <row r="16311" spans="17:17" x14ac:dyDescent="0.25">
      <c r="Q16311" s="8"/>
    </row>
    <row r="16312" spans="17:17" x14ac:dyDescent="0.25">
      <c r="Q16312" s="8"/>
    </row>
    <row r="16313" spans="17:17" x14ac:dyDescent="0.25">
      <c r="Q16313" s="8"/>
    </row>
    <row r="16314" spans="17:17" x14ac:dyDescent="0.25">
      <c r="Q16314" s="8"/>
    </row>
    <row r="16315" spans="17:17" x14ac:dyDescent="0.25">
      <c r="Q16315" s="8"/>
    </row>
    <row r="16316" spans="17:17" x14ac:dyDescent="0.25">
      <c r="Q16316" s="8"/>
    </row>
    <row r="16317" spans="17:17" x14ac:dyDescent="0.25">
      <c r="Q16317" s="8"/>
    </row>
    <row r="16318" spans="17:17" x14ac:dyDescent="0.25">
      <c r="Q16318" s="8"/>
    </row>
    <row r="16319" spans="17:17" x14ac:dyDescent="0.25">
      <c r="Q16319" s="8"/>
    </row>
    <row r="16320" spans="17:17" x14ac:dyDescent="0.25">
      <c r="Q16320" s="8"/>
    </row>
    <row r="16321" spans="17:17" x14ac:dyDescent="0.25">
      <c r="Q16321" s="8"/>
    </row>
    <row r="16322" spans="17:17" x14ac:dyDescent="0.25">
      <c r="Q16322" s="8"/>
    </row>
    <row r="16323" spans="17:17" x14ac:dyDescent="0.25">
      <c r="Q16323" s="8"/>
    </row>
    <row r="16324" spans="17:17" x14ac:dyDescent="0.25">
      <c r="Q16324" s="8"/>
    </row>
    <row r="16325" spans="17:17" x14ac:dyDescent="0.25">
      <c r="Q16325" s="8"/>
    </row>
    <row r="16326" spans="17:17" x14ac:dyDescent="0.25">
      <c r="Q16326" s="8"/>
    </row>
    <row r="16327" spans="17:17" x14ac:dyDescent="0.25">
      <c r="Q16327" s="8"/>
    </row>
    <row r="16328" spans="17:17" x14ac:dyDescent="0.25">
      <c r="Q16328" s="8"/>
    </row>
    <row r="16329" spans="17:17" x14ac:dyDescent="0.25">
      <c r="Q16329" s="8"/>
    </row>
    <row r="16330" spans="17:17" x14ac:dyDescent="0.25">
      <c r="Q16330" s="8"/>
    </row>
    <row r="16331" spans="17:17" x14ac:dyDescent="0.25">
      <c r="Q16331" s="8"/>
    </row>
    <row r="16332" spans="17:17" x14ac:dyDescent="0.25">
      <c r="Q16332" s="8"/>
    </row>
    <row r="16333" spans="17:17" x14ac:dyDescent="0.25">
      <c r="Q16333" s="8"/>
    </row>
    <row r="16334" spans="17:17" x14ac:dyDescent="0.25">
      <c r="Q16334" s="8"/>
    </row>
    <row r="16335" spans="17:17" x14ac:dyDescent="0.25">
      <c r="Q16335" s="8"/>
    </row>
    <row r="16336" spans="17:17" x14ac:dyDescent="0.25">
      <c r="Q16336" s="8"/>
    </row>
    <row r="16337" spans="17:17" x14ac:dyDescent="0.25">
      <c r="Q16337" s="8"/>
    </row>
    <row r="16338" spans="17:17" x14ac:dyDescent="0.25">
      <c r="Q16338" s="8"/>
    </row>
    <row r="16339" spans="17:17" x14ac:dyDescent="0.25">
      <c r="Q16339" s="8"/>
    </row>
    <row r="16340" spans="17:17" x14ac:dyDescent="0.25">
      <c r="Q16340" s="8"/>
    </row>
    <row r="16341" spans="17:17" x14ac:dyDescent="0.25">
      <c r="Q16341" s="8"/>
    </row>
    <row r="16342" spans="17:17" x14ac:dyDescent="0.25">
      <c r="Q16342" s="8"/>
    </row>
    <row r="16343" spans="17:17" x14ac:dyDescent="0.25">
      <c r="Q16343" s="8"/>
    </row>
    <row r="16344" spans="17:17" x14ac:dyDescent="0.25">
      <c r="Q16344" s="8"/>
    </row>
    <row r="16345" spans="17:17" x14ac:dyDescent="0.25">
      <c r="Q16345" s="8"/>
    </row>
    <row r="16346" spans="17:17" x14ac:dyDescent="0.25">
      <c r="Q16346" s="8"/>
    </row>
    <row r="16347" spans="17:17" x14ac:dyDescent="0.25">
      <c r="Q16347" s="8"/>
    </row>
    <row r="16348" spans="17:17" x14ac:dyDescent="0.25">
      <c r="Q16348" s="8"/>
    </row>
    <row r="16349" spans="17:17" x14ac:dyDescent="0.25">
      <c r="Q16349" s="8"/>
    </row>
    <row r="16350" spans="17:17" x14ac:dyDescent="0.25">
      <c r="Q16350" s="8"/>
    </row>
    <row r="16351" spans="17:17" x14ac:dyDescent="0.25">
      <c r="Q16351" s="8"/>
    </row>
    <row r="16352" spans="17:17" x14ac:dyDescent="0.25">
      <c r="Q16352" s="8"/>
    </row>
    <row r="16353" spans="17:17" x14ac:dyDescent="0.25">
      <c r="Q16353" s="8"/>
    </row>
    <row r="16354" spans="17:17" x14ac:dyDescent="0.25">
      <c r="Q16354" s="8"/>
    </row>
    <row r="16355" spans="17:17" x14ac:dyDescent="0.25">
      <c r="Q16355" s="8"/>
    </row>
    <row r="16356" spans="17:17" x14ac:dyDescent="0.25">
      <c r="Q16356" s="8"/>
    </row>
    <row r="16357" spans="17:17" x14ac:dyDescent="0.25">
      <c r="Q16357" s="8"/>
    </row>
    <row r="16358" spans="17:17" x14ac:dyDescent="0.25">
      <c r="Q16358" s="8"/>
    </row>
    <row r="16359" spans="17:17" x14ac:dyDescent="0.25">
      <c r="Q16359" s="8"/>
    </row>
    <row r="16360" spans="17:17" x14ac:dyDescent="0.25">
      <c r="Q16360" s="8"/>
    </row>
    <row r="16361" spans="17:17" x14ac:dyDescent="0.25">
      <c r="Q16361" s="8"/>
    </row>
    <row r="16362" spans="17:17" x14ac:dyDescent="0.25">
      <c r="Q16362" s="8"/>
    </row>
    <row r="16363" spans="17:17" x14ac:dyDescent="0.25">
      <c r="Q16363" s="8"/>
    </row>
    <row r="16364" spans="17:17" x14ac:dyDescent="0.25">
      <c r="Q16364" s="8"/>
    </row>
    <row r="16365" spans="17:17" x14ac:dyDescent="0.25">
      <c r="Q16365" s="8"/>
    </row>
    <row r="16366" spans="17:17" x14ac:dyDescent="0.25">
      <c r="Q16366" s="8"/>
    </row>
    <row r="16367" spans="17:17" x14ac:dyDescent="0.25">
      <c r="Q16367" s="8"/>
    </row>
    <row r="16368" spans="17:17" x14ac:dyDescent="0.25">
      <c r="Q16368" s="8"/>
    </row>
    <row r="16369" spans="17:17" x14ac:dyDescent="0.25">
      <c r="Q16369" s="8"/>
    </row>
    <row r="16370" spans="17:17" x14ac:dyDescent="0.25">
      <c r="Q16370" s="8"/>
    </row>
    <row r="16371" spans="17:17" x14ac:dyDescent="0.25">
      <c r="Q16371" s="8"/>
    </row>
    <row r="16372" spans="17:17" x14ac:dyDescent="0.25">
      <c r="Q16372" s="8"/>
    </row>
    <row r="16373" spans="17:17" x14ac:dyDescent="0.25">
      <c r="Q16373" s="8"/>
    </row>
    <row r="16374" spans="17:17" x14ac:dyDescent="0.25">
      <c r="Q16374" s="8"/>
    </row>
    <row r="16375" spans="17:17" x14ac:dyDescent="0.25">
      <c r="Q16375" s="8"/>
    </row>
    <row r="16376" spans="17:17" x14ac:dyDescent="0.25">
      <c r="Q16376" s="8"/>
    </row>
    <row r="16377" spans="17:17" x14ac:dyDescent="0.25">
      <c r="Q16377" s="8"/>
    </row>
    <row r="16378" spans="17:17" x14ac:dyDescent="0.25">
      <c r="Q16378" s="8"/>
    </row>
    <row r="16379" spans="17:17" x14ac:dyDescent="0.25">
      <c r="Q16379" s="8"/>
    </row>
    <row r="16380" spans="17:17" x14ac:dyDescent="0.25">
      <c r="Q16380" s="8"/>
    </row>
    <row r="16381" spans="17:17" x14ac:dyDescent="0.25">
      <c r="Q16381" s="8"/>
    </row>
    <row r="16382" spans="17:17" x14ac:dyDescent="0.25">
      <c r="Q16382" s="8"/>
    </row>
    <row r="16383" spans="17:17" x14ac:dyDescent="0.25">
      <c r="Q16383" s="8"/>
    </row>
    <row r="16384" spans="17:17" x14ac:dyDescent="0.25">
      <c r="Q16384" s="8"/>
    </row>
    <row r="16385" spans="17:17" x14ac:dyDescent="0.25">
      <c r="Q16385" s="8"/>
    </row>
    <row r="16386" spans="17:17" x14ac:dyDescent="0.25">
      <c r="Q16386" s="8"/>
    </row>
    <row r="16387" spans="17:17" x14ac:dyDescent="0.25">
      <c r="Q16387" s="8"/>
    </row>
    <row r="16388" spans="17:17" x14ac:dyDescent="0.25">
      <c r="Q16388" s="8"/>
    </row>
    <row r="16389" spans="17:17" x14ac:dyDescent="0.25">
      <c r="Q16389" s="8"/>
    </row>
    <row r="16390" spans="17:17" x14ac:dyDescent="0.25">
      <c r="Q16390" s="8"/>
    </row>
    <row r="16391" spans="17:17" x14ac:dyDescent="0.25">
      <c r="Q16391" s="8"/>
    </row>
    <row r="16392" spans="17:17" x14ac:dyDescent="0.25">
      <c r="Q16392" s="8"/>
    </row>
    <row r="16393" spans="17:17" x14ac:dyDescent="0.25">
      <c r="Q16393" s="8"/>
    </row>
    <row r="16394" spans="17:17" x14ac:dyDescent="0.25">
      <c r="Q16394" s="8"/>
    </row>
    <row r="16395" spans="17:17" x14ac:dyDescent="0.25">
      <c r="Q16395" s="8"/>
    </row>
    <row r="16396" spans="17:17" x14ac:dyDescent="0.25">
      <c r="Q16396" s="8"/>
    </row>
    <row r="16397" spans="17:17" x14ac:dyDescent="0.25">
      <c r="Q16397" s="8"/>
    </row>
    <row r="16398" spans="17:17" x14ac:dyDescent="0.25">
      <c r="Q16398" s="8"/>
    </row>
    <row r="16399" spans="17:17" x14ac:dyDescent="0.25">
      <c r="Q16399" s="8"/>
    </row>
    <row r="16400" spans="17:17" x14ac:dyDescent="0.25">
      <c r="Q16400" s="8"/>
    </row>
    <row r="16401" spans="17:17" x14ac:dyDescent="0.25">
      <c r="Q16401" s="8"/>
    </row>
    <row r="16402" spans="17:17" x14ac:dyDescent="0.25">
      <c r="Q16402" s="8"/>
    </row>
    <row r="16403" spans="17:17" x14ac:dyDescent="0.25">
      <c r="Q16403" s="8"/>
    </row>
    <row r="16404" spans="17:17" x14ac:dyDescent="0.25">
      <c r="Q16404" s="8"/>
    </row>
    <row r="16405" spans="17:17" x14ac:dyDescent="0.25">
      <c r="Q16405" s="8"/>
    </row>
    <row r="16406" spans="17:17" x14ac:dyDescent="0.25">
      <c r="Q16406" s="8"/>
    </row>
    <row r="16407" spans="17:17" x14ac:dyDescent="0.25">
      <c r="Q16407" s="8"/>
    </row>
    <row r="16408" spans="17:17" x14ac:dyDescent="0.25">
      <c r="Q16408" s="8"/>
    </row>
    <row r="16409" spans="17:17" x14ac:dyDescent="0.25">
      <c r="Q16409" s="8"/>
    </row>
    <row r="16410" spans="17:17" x14ac:dyDescent="0.25">
      <c r="Q16410" s="8"/>
    </row>
    <row r="16411" spans="17:17" x14ac:dyDescent="0.25">
      <c r="Q16411" s="8"/>
    </row>
    <row r="16412" spans="17:17" x14ac:dyDescent="0.25">
      <c r="Q16412" s="8"/>
    </row>
    <row r="16413" spans="17:17" x14ac:dyDescent="0.25">
      <c r="Q16413" s="8"/>
    </row>
    <row r="16414" spans="17:17" x14ac:dyDescent="0.25">
      <c r="Q16414" s="8"/>
    </row>
    <row r="16415" spans="17:17" x14ac:dyDescent="0.25">
      <c r="Q16415" s="8"/>
    </row>
    <row r="16416" spans="17:17" x14ac:dyDescent="0.25">
      <c r="Q16416" s="8"/>
    </row>
    <row r="16417" spans="17:17" x14ac:dyDescent="0.25">
      <c r="Q16417" s="8"/>
    </row>
    <row r="16418" spans="17:17" x14ac:dyDescent="0.25">
      <c r="Q16418" s="8"/>
    </row>
    <row r="16419" spans="17:17" x14ac:dyDescent="0.25">
      <c r="Q16419" s="8"/>
    </row>
    <row r="16420" spans="17:17" x14ac:dyDescent="0.25">
      <c r="Q16420" s="8"/>
    </row>
    <row r="16421" spans="17:17" x14ac:dyDescent="0.25">
      <c r="Q16421" s="8"/>
    </row>
    <row r="16422" spans="17:17" x14ac:dyDescent="0.25">
      <c r="Q16422" s="8"/>
    </row>
    <row r="16423" spans="17:17" x14ac:dyDescent="0.25">
      <c r="Q16423" s="8"/>
    </row>
    <row r="16424" spans="17:17" x14ac:dyDescent="0.25">
      <c r="Q16424" s="8"/>
    </row>
    <row r="16425" spans="17:17" x14ac:dyDescent="0.25">
      <c r="Q16425" s="8"/>
    </row>
    <row r="16426" spans="17:17" x14ac:dyDescent="0.25">
      <c r="Q16426" s="8"/>
    </row>
    <row r="16427" spans="17:17" x14ac:dyDescent="0.25">
      <c r="Q16427" s="8"/>
    </row>
    <row r="16428" spans="17:17" x14ac:dyDescent="0.25">
      <c r="Q16428" s="8"/>
    </row>
    <row r="16429" spans="17:17" x14ac:dyDescent="0.25">
      <c r="Q16429" s="8"/>
    </row>
    <row r="16430" spans="17:17" x14ac:dyDescent="0.25">
      <c r="Q16430" s="8"/>
    </row>
    <row r="16431" spans="17:17" x14ac:dyDescent="0.25">
      <c r="Q16431" s="8"/>
    </row>
    <row r="16432" spans="17:17" x14ac:dyDescent="0.25">
      <c r="Q16432" s="8"/>
    </row>
    <row r="16433" spans="17:17" x14ac:dyDescent="0.25">
      <c r="Q16433" s="8"/>
    </row>
    <row r="16434" spans="17:17" x14ac:dyDescent="0.25">
      <c r="Q16434" s="8"/>
    </row>
    <row r="16435" spans="17:17" x14ac:dyDescent="0.25">
      <c r="Q16435" s="8"/>
    </row>
    <row r="16436" spans="17:17" x14ac:dyDescent="0.25">
      <c r="Q16436" s="8"/>
    </row>
    <row r="16437" spans="17:17" x14ac:dyDescent="0.25">
      <c r="Q16437" s="8"/>
    </row>
    <row r="16438" spans="17:17" x14ac:dyDescent="0.25">
      <c r="Q16438" s="8"/>
    </row>
    <row r="16439" spans="17:17" x14ac:dyDescent="0.25">
      <c r="Q16439" s="8"/>
    </row>
    <row r="16440" spans="17:17" x14ac:dyDescent="0.25">
      <c r="Q16440" s="8"/>
    </row>
    <row r="16441" spans="17:17" x14ac:dyDescent="0.25">
      <c r="Q16441" s="8"/>
    </row>
    <row r="16442" spans="17:17" x14ac:dyDescent="0.25">
      <c r="Q16442" s="8"/>
    </row>
    <row r="16443" spans="17:17" x14ac:dyDescent="0.25">
      <c r="Q16443" s="8"/>
    </row>
    <row r="16444" spans="17:17" x14ac:dyDescent="0.25">
      <c r="Q16444" s="8"/>
    </row>
    <row r="16445" spans="17:17" x14ac:dyDescent="0.25">
      <c r="Q16445" s="8"/>
    </row>
    <row r="16446" spans="17:17" x14ac:dyDescent="0.25">
      <c r="Q16446" s="8"/>
    </row>
    <row r="16447" spans="17:17" x14ac:dyDescent="0.25">
      <c r="Q16447" s="8"/>
    </row>
    <row r="16448" spans="17:17" x14ac:dyDescent="0.25">
      <c r="Q16448" s="8"/>
    </row>
    <row r="16449" spans="17:17" x14ac:dyDescent="0.25">
      <c r="Q16449" s="8"/>
    </row>
    <row r="16450" spans="17:17" x14ac:dyDescent="0.25">
      <c r="Q16450" s="8"/>
    </row>
    <row r="16451" spans="17:17" x14ac:dyDescent="0.25">
      <c r="Q16451" s="8"/>
    </row>
    <row r="16452" spans="17:17" x14ac:dyDescent="0.25">
      <c r="Q16452" s="8"/>
    </row>
    <row r="16453" spans="17:17" x14ac:dyDescent="0.25">
      <c r="Q16453" s="8"/>
    </row>
    <row r="16454" spans="17:17" x14ac:dyDescent="0.25">
      <c r="Q16454" s="8"/>
    </row>
    <row r="16455" spans="17:17" x14ac:dyDescent="0.25">
      <c r="Q16455" s="8"/>
    </row>
    <row r="16456" spans="17:17" x14ac:dyDescent="0.25">
      <c r="Q16456" s="8"/>
    </row>
    <row r="16457" spans="17:17" x14ac:dyDescent="0.25">
      <c r="Q16457" s="8"/>
    </row>
    <row r="16458" spans="17:17" x14ac:dyDescent="0.25">
      <c r="Q16458" s="8"/>
    </row>
    <row r="16459" spans="17:17" x14ac:dyDescent="0.25">
      <c r="Q16459" s="8"/>
    </row>
    <row r="16460" spans="17:17" x14ac:dyDescent="0.25">
      <c r="Q16460" s="8"/>
    </row>
    <row r="16461" spans="17:17" x14ac:dyDescent="0.25">
      <c r="Q16461" s="8"/>
    </row>
    <row r="16462" spans="17:17" x14ac:dyDescent="0.25">
      <c r="Q16462" s="8"/>
    </row>
    <row r="16463" spans="17:17" x14ac:dyDescent="0.25">
      <c r="Q16463" s="8"/>
    </row>
    <row r="16464" spans="17:17" x14ac:dyDescent="0.25">
      <c r="Q16464" s="8"/>
    </row>
    <row r="16465" spans="17:17" x14ac:dyDescent="0.25">
      <c r="Q16465" s="8"/>
    </row>
    <row r="16466" spans="17:17" x14ac:dyDescent="0.25">
      <c r="Q16466" s="8"/>
    </row>
    <row r="16467" spans="17:17" x14ac:dyDescent="0.25">
      <c r="Q16467" s="8"/>
    </row>
    <row r="16468" spans="17:17" x14ac:dyDescent="0.25">
      <c r="Q16468" s="8"/>
    </row>
    <row r="16469" spans="17:17" x14ac:dyDescent="0.25">
      <c r="Q16469" s="8"/>
    </row>
    <row r="16470" spans="17:17" x14ac:dyDescent="0.25">
      <c r="Q16470" s="8"/>
    </row>
    <row r="16471" spans="17:17" x14ac:dyDescent="0.25">
      <c r="Q16471" s="8"/>
    </row>
    <row r="16472" spans="17:17" x14ac:dyDescent="0.25">
      <c r="Q16472" s="8"/>
    </row>
    <row r="16473" spans="17:17" x14ac:dyDescent="0.25">
      <c r="Q16473" s="8"/>
    </row>
    <row r="16474" spans="17:17" x14ac:dyDescent="0.25">
      <c r="Q16474" s="8"/>
    </row>
    <row r="16475" spans="17:17" x14ac:dyDescent="0.25">
      <c r="Q16475" s="8"/>
    </row>
    <row r="16476" spans="17:17" x14ac:dyDescent="0.25">
      <c r="Q16476" s="8"/>
    </row>
    <row r="16477" spans="17:17" x14ac:dyDescent="0.25">
      <c r="Q16477" s="8"/>
    </row>
    <row r="16478" spans="17:17" x14ac:dyDescent="0.25">
      <c r="Q16478" s="8"/>
    </row>
    <row r="16479" spans="17:17" x14ac:dyDescent="0.25">
      <c r="Q16479" s="8"/>
    </row>
    <row r="16480" spans="17:17" x14ac:dyDescent="0.25">
      <c r="Q16480" s="8"/>
    </row>
    <row r="16481" spans="17:17" x14ac:dyDescent="0.25">
      <c r="Q16481" s="8"/>
    </row>
    <row r="16482" spans="17:17" x14ac:dyDescent="0.25">
      <c r="Q16482" s="8"/>
    </row>
    <row r="16483" spans="17:17" x14ac:dyDescent="0.25">
      <c r="Q16483" s="8"/>
    </row>
    <row r="16484" spans="17:17" x14ac:dyDescent="0.25">
      <c r="Q16484" s="8"/>
    </row>
    <row r="16485" spans="17:17" x14ac:dyDescent="0.25">
      <c r="Q16485" s="8"/>
    </row>
    <row r="16486" spans="17:17" x14ac:dyDescent="0.25">
      <c r="Q16486" s="8"/>
    </row>
    <row r="16487" spans="17:17" x14ac:dyDescent="0.25">
      <c r="Q16487" s="8"/>
    </row>
    <row r="16488" spans="17:17" x14ac:dyDescent="0.25">
      <c r="Q16488" s="8"/>
    </row>
    <row r="16489" spans="17:17" x14ac:dyDescent="0.25">
      <c r="Q16489" s="8"/>
    </row>
    <row r="16490" spans="17:17" x14ac:dyDescent="0.25">
      <c r="Q16490" s="8"/>
    </row>
    <row r="16491" spans="17:17" x14ac:dyDescent="0.25">
      <c r="Q16491" s="8"/>
    </row>
    <row r="16492" spans="17:17" x14ac:dyDescent="0.25">
      <c r="Q16492" s="8"/>
    </row>
    <row r="16493" spans="17:17" x14ac:dyDescent="0.25">
      <c r="Q16493" s="8"/>
    </row>
    <row r="16494" spans="17:17" x14ac:dyDescent="0.25">
      <c r="Q16494" s="8"/>
    </row>
    <row r="16495" spans="17:17" x14ac:dyDescent="0.25">
      <c r="Q16495" s="8"/>
    </row>
    <row r="16496" spans="17:17" x14ac:dyDescent="0.25">
      <c r="Q16496" s="8"/>
    </row>
    <row r="16497" spans="17:17" x14ac:dyDescent="0.25">
      <c r="Q16497" s="8"/>
    </row>
    <row r="16498" spans="17:17" x14ac:dyDescent="0.25">
      <c r="Q16498" s="8"/>
    </row>
    <row r="16499" spans="17:17" x14ac:dyDescent="0.25">
      <c r="Q16499" s="8"/>
    </row>
    <row r="16500" spans="17:17" x14ac:dyDescent="0.25">
      <c r="Q16500" s="8"/>
    </row>
    <row r="16501" spans="17:17" x14ac:dyDescent="0.25">
      <c r="Q16501" s="8"/>
    </row>
    <row r="16502" spans="17:17" x14ac:dyDescent="0.25">
      <c r="Q16502" s="8"/>
    </row>
    <row r="16503" spans="17:17" x14ac:dyDescent="0.25">
      <c r="Q16503" s="8"/>
    </row>
    <row r="16504" spans="17:17" x14ac:dyDescent="0.25">
      <c r="Q16504" s="8"/>
    </row>
    <row r="16505" spans="17:17" x14ac:dyDescent="0.25">
      <c r="Q16505" s="8"/>
    </row>
    <row r="16506" spans="17:17" x14ac:dyDescent="0.25">
      <c r="Q16506" s="8"/>
    </row>
    <row r="16507" spans="17:17" x14ac:dyDescent="0.25">
      <c r="Q16507" s="8"/>
    </row>
    <row r="16508" spans="17:17" x14ac:dyDescent="0.25">
      <c r="Q16508" s="8"/>
    </row>
    <row r="16509" spans="17:17" x14ac:dyDescent="0.25">
      <c r="Q16509" s="8"/>
    </row>
    <row r="16510" spans="17:17" x14ac:dyDescent="0.25">
      <c r="Q16510" s="8"/>
    </row>
    <row r="16511" spans="17:17" x14ac:dyDescent="0.25">
      <c r="Q16511" s="8"/>
    </row>
    <row r="16512" spans="17:17" x14ac:dyDescent="0.25">
      <c r="Q16512" s="8"/>
    </row>
    <row r="16513" spans="17:17" x14ac:dyDescent="0.25">
      <c r="Q16513" s="8"/>
    </row>
    <row r="16514" spans="17:17" x14ac:dyDescent="0.25">
      <c r="Q16514" s="8"/>
    </row>
    <row r="16515" spans="17:17" x14ac:dyDescent="0.25">
      <c r="Q16515" s="8"/>
    </row>
    <row r="16516" spans="17:17" x14ac:dyDescent="0.25">
      <c r="Q16516" s="8"/>
    </row>
    <row r="16517" spans="17:17" x14ac:dyDescent="0.25">
      <c r="Q16517" s="8"/>
    </row>
    <row r="16518" spans="17:17" x14ac:dyDescent="0.25">
      <c r="Q16518" s="8"/>
    </row>
    <row r="16519" spans="17:17" x14ac:dyDescent="0.25">
      <c r="Q16519" s="8"/>
    </row>
    <row r="16520" spans="17:17" x14ac:dyDescent="0.25">
      <c r="Q16520" s="8"/>
    </row>
    <row r="16521" spans="17:17" x14ac:dyDescent="0.25">
      <c r="Q16521" s="8"/>
    </row>
    <row r="16522" spans="17:17" x14ac:dyDescent="0.25">
      <c r="Q16522" s="8"/>
    </row>
    <row r="16523" spans="17:17" x14ac:dyDescent="0.25">
      <c r="Q16523" s="8"/>
    </row>
    <row r="16524" spans="17:17" x14ac:dyDescent="0.25">
      <c r="Q16524" s="8"/>
    </row>
    <row r="16525" spans="17:17" x14ac:dyDescent="0.25">
      <c r="Q16525" s="8"/>
    </row>
    <row r="16526" spans="17:17" x14ac:dyDescent="0.25">
      <c r="Q16526" s="8"/>
    </row>
    <row r="16527" spans="17:17" x14ac:dyDescent="0.25">
      <c r="Q16527" s="8"/>
    </row>
    <row r="16528" spans="17:17" x14ac:dyDescent="0.25">
      <c r="Q16528" s="8"/>
    </row>
    <row r="16529" spans="17:17" x14ac:dyDescent="0.25">
      <c r="Q16529" s="8"/>
    </row>
    <row r="16530" spans="17:17" x14ac:dyDescent="0.25">
      <c r="Q16530" s="8"/>
    </row>
    <row r="16531" spans="17:17" x14ac:dyDescent="0.25">
      <c r="Q16531" s="8"/>
    </row>
    <row r="16532" spans="17:17" x14ac:dyDescent="0.25">
      <c r="Q16532" s="8"/>
    </row>
    <row r="16533" spans="17:17" x14ac:dyDescent="0.25">
      <c r="Q16533" s="8"/>
    </row>
    <row r="16534" spans="17:17" x14ac:dyDescent="0.25">
      <c r="Q16534" s="8"/>
    </row>
    <row r="16535" spans="17:17" x14ac:dyDescent="0.25">
      <c r="Q16535" s="8"/>
    </row>
    <row r="16536" spans="17:17" x14ac:dyDescent="0.25">
      <c r="Q16536" s="8"/>
    </row>
    <row r="16537" spans="17:17" x14ac:dyDescent="0.25">
      <c r="Q16537" s="8"/>
    </row>
    <row r="16538" spans="17:17" x14ac:dyDescent="0.25">
      <c r="Q16538" s="8"/>
    </row>
    <row r="16539" spans="17:17" x14ac:dyDescent="0.25">
      <c r="Q16539" s="8"/>
    </row>
    <row r="16540" spans="17:17" x14ac:dyDescent="0.25">
      <c r="Q16540" s="8"/>
    </row>
    <row r="16541" spans="17:17" x14ac:dyDescent="0.25">
      <c r="Q16541" s="8"/>
    </row>
    <row r="16542" spans="17:17" x14ac:dyDescent="0.25">
      <c r="Q16542" s="8"/>
    </row>
    <row r="16543" spans="17:17" x14ac:dyDescent="0.25">
      <c r="Q16543" s="8"/>
    </row>
    <row r="16544" spans="17:17" x14ac:dyDescent="0.25">
      <c r="Q16544" s="8"/>
    </row>
    <row r="16545" spans="17:17" x14ac:dyDescent="0.25">
      <c r="Q16545" s="8"/>
    </row>
    <row r="16546" spans="17:17" x14ac:dyDescent="0.25">
      <c r="Q16546" s="8"/>
    </row>
    <row r="16547" spans="17:17" x14ac:dyDescent="0.25">
      <c r="Q16547" s="8"/>
    </row>
    <row r="16548" spans="17:17" x14ac:dyDescent="0.25">
      <c r="Q16548" s="8"/>
    </row>
    <row r="16549" spans="17:17" x14ac:dyDescent="0.25">
      <c r="Q16549" s="8"/>
    </row>
    <row r="16550" spans="17:17" x14ac:dyDescent="0.25">
      <c r="Q16550" s="8"/>
    </row>
    <row r="16551" spans="17:17" x14ac:dyDescent="0.25">
      <c r="Q16551" s="8"/>
    </row>
    <row r="16552" spans="17:17" x14ac:dyDescent="0.25">
      <c r="Q16552" s="8"/>
    </row>
    <row r="16553" spans="17:17" x14ac:dyDescent="0.25">
      <c r="Q16553" s="8"/>
    </row>
    <row r="16554" spans="17:17" x14ac:dyDescent="0.25">
      <c r="Q16554" s="8"/>
    </row>
    <row r="16555" spans="17:17" x14ac:dyDescent="0.25">
      <c r="Q16555" s="8"/>
    </row>
    <row r="16556" spans="17:17" x14ac:dyDescent="0.25">
      <c r="Q16556" s="8"/>
    </row>
    <row r="16557" spans="17:17" x14ac:dyDescent="0.25">
      <c r="Q16557" s="8"/>
    </row>
    <row r="16558" spans="17:17" x14ac:dyDescent="0.25">
      <c r="Q16558" s="8"/>
    </row>
    <row r="16559" spans="17:17" x14ac:dyDescent="0.25">
      <c r="Q16559" s="8"/>
    </row>
    <row r="16560" spans="17:17" x14ac:dyDescent="0.25">
      <c r="Q16560" s="8"/>
    </row>
    <row r="16561" spans="17:17" x14ac:dyDescent="0.25">
      <c r="Q16561" s="8"/>
    </row>
    <row r="16562" spans="17:17" x14ac:dyDescent="0.25">
      <c r="Q16562" s="8"/>
    </row>
    <row r="16563" spans="17:17" x14ac:dyDescent="0.25">
      <c r="Q16563" s="8"/>
    </row>
    <row r="16564" spans="17:17" x14ac:dyDescent="0.25">
      <c r="Q16564" s="8"/>
    </row>
    <row r="16565" spans="17:17" x14ac:dyDescent="0.25">
      <c r="Q16565" s="8"/>
    </row>
    <row r="16566" spans="17:17" x14ac:dyDescent="0.25">
      <c r="Q16566" s="8"/>
    </row>
    <row r="16567" spans="17:17" x14ac:dyDescent="0.25">
      <c r="Q16567" s="8"/>
    </row>
    <row r="16568" spans="17:17" x14ac:dyDescent="0.25">
      <c r="Q16568" s="8"/>
    </row>
    <row r="16569" spans="17:17" x14ac:dyDescent="0.25">
      <c r="Q16569" s="8"/>
    </row>
    <row r="16570" spans="17:17" x14ac:dyDescent="0.25">
      <c r="Q16570" s="8"/>
    </row>
    <row r="16571" spans="17:17" x14ac:dyDescent="0.25">
      <c r="Q16571" s="8"/>
    </row>
    <row r="16572" spans="17:17" x14ac:dyDescent="0.25">
      <c r="Q16572" s="8"/>
    </row>
    <row r="16573" spans="17:17" x14ac:dyDescent="0.25">
      <c r="Q16573" s="8"/>
    </row>
    <row r="16574" spans="17:17" x14ac:dyDescent="0.25">
      <c r="Q16574" s="8"/>
    </row>
    <row r="16575" spans="17:17" x14ac:dyDescent="0.25">
      <c r="Q16575" s="8"/>
    </row>
    <row r="16576" spans="17:17" x14ac:dyDescent="0.25">
      <c r="Q16576" s="8"/>
    </row>
    <row r="16577" spans="17:17" x14ac:dyDescent="0.25">
      <c r="Q16577" s="8"/>
    </row>
    <row r="16578" spans="17:17" x14ac:dyDescent="0.25">
      <c r="Q16578" s="8"/>
    </row>
    <row r="16579" spans="17:17" x14ac:dyDescent="0.25">
      <c r="Q16579" s="8"/>
    </row>
    <row r="16580" spans="17:17" x14ac:dyDescent="0.25">
      <c r="Q16580" s="8"/>
    </row>
    <row r="16581" spans="17:17" x14ac:dyDescent="0.25">
      <c r="Q16581" s="8"/>
    </row>
    <row r="16582" spans="17:17" x14ac:dyDescent="0.25">
      <c r="Q16582" s="8"/>
    </row>
    <row r="16583" spans="17:17" x14ac:dyDescent="0.25">
      <c r="Q16583" s="8"/>
    </row>
    <row r="16584" spans="17:17" x14ac:dyDescent="0.25">
      <c r="Q16584" s="8"/>
    </row>
    <row r="16585" spans="17:17" x14ac:dyDescent="0.25">
      <c r="Q16585" s="8"/>
    </row>
    <row r="16586" spans="17:17" x14ac:dyDescent="0.25">
      <c r="Q16586" s="8"/>
    </row>
    <row r="16587" spans="17:17" x14ac:dyDescent="0.25">
      <c r="Q16587" s="8"/>
    </row>
    <row r="16588" spans="17:17" x14ac:dyDescent="0.25">
      <c r="Q16588" s="8"/>
    </row>
    <row r="16589" spans="17:17" x14ac:dyDescent="0.25">
      <c r="Q16589" s="8"/>
    </row>
    <row r="16590" spans="17:17" x14ac:dyDescent="0.25">
      <c r="Q16590" s="8"/>
    </row>
    <row r="16591" spans="17:17" x14ac:dyDescent="0.25">
      <c r="Q16591" s="8"/>
    </row>
    <row r="16592" spans="17:17" x14ac:dyDescent="0.25">
      <c r="Q16592" s="8"/>
    </row>
    <row r="16593" spans="17:17" x14ac:dyDescent="0.25">
      <c r="Q16593" s="8"/>
    </row>
    <row r="16594" spans="17:17" x14ac:dyDescent="0.25">
      <c r="Q16594" s="8"/>
    </row>
    <row r="16595" spans="17:17" x14ac:dyDescent="0.25">
      <c r="Q16595" s="8"/>
    </row>
    <row r="16596" spans="17:17" x14ac:dyDescent="0.25">
      <c r="Q16596" s="8"/>
    </row>
    <row r="16597" spans="17:17" x14ac:dyDescent="0.25">
      <c r="Q16597" s="8"/>
    </row>
    <row r="16598" spans="17:17" x14ac:dyDescent="0.25">
      <c r="Q16598" s="8"/>
    </row>
    <row r="16599" spans="17:17" x14ac:dyDescent="0.25">
      <c r="Q16599" s="8"/>
    </row>
    <row r="16600" spans="17:17" x14ac:dyDescent="0.25">
      <c r="Q16600" s="8"/>
    </row>
    <row r="16601" spans="17:17" x14ac:dyDescent="0.25">
      <c r="Q16601" s="8"/>
    </row>
    <row r="16602" spans="17:17" x14ac:dyDescent="0.25">
      <c r="Q16602" s="8"/>
    </row>
    <row r="16603" spans="17:17" x14ac:dyDescent="0.25">
      <c r="Q16603" s="8"/>
    </row>
    <row r="16604" spans="17:17" x14ac:dyDescent="0.25">
      <c r="Q16604" s="8"/>
    </row>
    <row r="16605" spans="17:17" x14ac:dyDescent="0.25">
      <c r="Q16605" s="8"/>
    </row>
    <row r="16606" spans="17:17" x14ac:dyDescent="0.25">
      <c r="Q16606" s="8"/>
    </row>
    <row r="16607" spans="17:17" x14ac:dyDescent="0.25">
      <c r="Q16607" s="8"/>
    </row>
    <row r="16608" spans="17:17" x14ac:dyDescent="0.25">
      <c r="Q16608" s="8"/>
    </row>
    <row r="16609" spans="17:17" x14ac:dyDescent="0.25">
      <c r="Q16609" s="8"/>
    </row>
    <row r="16610" spans="17:17" x14ac:dyDescent="0.25">
      <c r="Q16610" s="8"/>
    </row>
    <row r="16611" spans="17:17" x14ac:dyDescent="0.25">
      <c r="Q16611" s="8"/>
    </row>
    <row r="16612" spans="17:17" x14ac:dyDescent="0.25">
      <c r="Q16612" s="8"/>
    </row>
    <row r="16613" spans="17:17" x14ac:dyDescent="0.25">
      <c r="Q16613" s="8"/>
    </row>
    <row r="16614" spans="17:17" x14ac:dyDescent="0.25">
      <c r="Q16614" s="8"/>
    </row>
    <row r="16615" spans="17:17" x14ac:dyDescent="0.25">
      <c r="Q16615" s="8"/>
    </row>
    <row r="16616" spans="17:17" x14ac:dyDescent="0.25">
      <c r="Q16616" s="8"/>
    </row>
    <row r="16617" spans="17:17" x14ac:dyDescent="0.25">
      <c r="Q16617" s="8"/>
    </row>
    <row r="16618" spans="17:17" x14ac:dyDescent="0.25">
      <c r="Q16618" s="8"/>
    </row>
    <row r="16619" spans="17:17" x14ac:dyDescent="0.25">
      <c r="Q16619" s="8"/>
    </row>
    <row r="16620" spans="17:17" x14ac:dyDescent="0.25">
      <c r="Q16620" s="8"/>
    </row>
    <row r="16621" spans="17:17" x14ac:dyDescent="0.25">
      <c r="Q16621" s="8"/>
    </row>
    <row r="16622" spans="17:17" x14ac:dyDescent="0.25">
      <c r="Q16622" s="8"/>
    </row>
    <row r="16623" spans="17:17" x14ac:dyDescent="0.25">
      <c r="Q16623" s="8"/>
    </row>
    <row r="16624" spans="17:17" x14ac:dyDescent="0.25">
      <c r="Q16624" s="8"/>
    </row>
    <row r="16625" spans="17:17" x14ac:dyDescent="0.25">
      <c r="Q16625" s="8"/>
    </row>
    <row r="16626" spans="17:17" x14ac:dyDescent="0.25">
      <c r="Q16626" s="8"/>
    </row>
    <row r="16627" spans="17:17" x14ac:dyDescent="0.25">
      <c r="Q16627" s="8"/>
    </row>
    <row r="16628" spans="17:17" x14ac:dyDescent="0.25">
      <c r="Q16628" s="8"/>
    </row>
    <row r="16629" spans="17:17" x14ac:dyDescent="0.25">
      <c r="Q16629" s="8"/>
    </row>
    <row r="16630" spans="17:17" x14ac:dyDescent="0.25">
      <c r="Q16630" s="8"/>
    </row>
    <row r="16631" spans="17:17" x14ac:dyDescent="0.25">
      <c r="Q16631" s="8"/>
    </row>
    <row r="16632" spans="17:17" x14ac:dyDescent="0.25">
      <c r="Q16632" s="8"/>
    </row>
    <row r="16633" spans="17:17" x14ac:dyDescent="0.25">
      <c r="Q16633" s="8"/>
    </row>
    <row r="16634" spans="17:17" x14ac:dyDescent="0.25">
      <c r="Q16634" s="8"/>
    </row>
    <row r="16635" spans="17:17" x14ac:dyDescent="0.25">
      <c r="Q16635" s="8"/>
    </row>
    <row r="16636" spans="17:17" x14ac:dyDescent="0.25">
      <c r="Q16636" s="8"/>
    </row>
    <row r="16637" spans="17:17" x14ac:dyDescent="0.25">
      <c r="Q16637" s="8"/>
    </row>
    <row r="16638" spans="17:17" x14ac:dyDescent="0.25">
      <c r="Q16638" s="8"/>
    </row>
    <row r="16639" spans="17:17" x14ac:dyDescent="0.25">
      <c r="Q16639" s="8"/>
    </row>
    <row r="16640" spans="17:17" x14ac:dyDescent="0.25">
      <c r="Q16640" s="8"/>
    </row>
    <row r="16641" spans="17:17" x14ac:dyDescent="0.25">
      <c r="Q16641" s="8"/>
    </row>
    <row r="16642" spans="17:17" x14ac:dyDescent="0.25">
      <c r="Q16642" s="8"/>
    </row>
    <row r="16643" spans="17:17" x14ac:dyDescent="0.25">
      <c r="Q16643" s="8"/>
    </row>
    <row r="16644" spans="17:17" x14ac:dyDescent="0.25">
      <c r="Q16644" s="8"/>
    </row>
    <row r="16645" spans="17:17" x14ac:dyDescent="0.25">
      <c r="Q16645" s="8"/>
    </row>
    <row r="16646" spans="17:17" x14ac:dyDescent="0.25">
      <c r="Q16646" s="8"/>
    </row>
    <row r="16647" spans="17:17" x14ac:dyDescent="0.25">
      <c r="Q16647" s="8"/>
    </row>
    <row r="16648" spans="17:17" x14ac:dyDescent="0.25">
      <c r="Q16648" s="8"/>
    </row>
    <row r="16649" spans="17:17" x14ac:dyDescent="0.25">
      <c r="Q16649" s="8"/>
    </row>
    <row r="16650" spans="17:17" x14ac:dyDescent="0.25">
      <c r="Q16650" s="8"/>
    </row>
    <row r="16651" spans="17:17" x14ac:dyDescent="0.25">
      <c r="Q16651" s="8"/>
    </row>
    <row r="16652" spans="17:17" x14ac:dyDescent="0.25">
      <c r="Q16652" s="8"/>
    </row>
    <row r="16653" spans="17:17" x14ac:dyDescent="0.25">
      <c r="Q16653" s="8"/>
    </row>
    <row r="16654" spans="17:17" x14ac:dyDescent="0.25">
      <c r="Q16654" s="8"/>
    </row>
    <row r="16655" spans="17:17" x14ac:dyDescent="0.25">
      <c r="Q16655" s="8"/>
    </row>
    <row r="16656" spans="17:17" x14ac:dyDescent="0.25">
      <c r="Q16656" s="8"/>
    </row>
    <row r="16657" spans="17:17" x14ac:dyDescent="0.25">
      <c r="Q16657" s="8"/>
    </row>
    <row r="16658" spans="17:17" x14ac:dyDescent="0.25">
      <c r="Q16658" s="8"/>
    </row>
    <row r="16659" spans="17:17" x14ac:dyDescent="0.25">
      <c r="Q16659" s="8"/>
    </row>
    <row r="16660" spans="17:17" x14ac:dyDescent="0.25">
      <c r="Q16660" s="8"/>
    </row>
    <row r="16661" spans="17:17" x14ac:dyDescent="0.25">
      <c r="Q16661" s="8"/>
    </row>
    <row r="16662" spans="17:17" x14ac:dyDescent="0.25">
      <c r="Q16662" s="8"/>
    </row>
    <row r="16663" spans="17:17" x14ac:dyDescent="0.25">
      <c r="Q16663" s="8"/>
    </row>
    <row r="16664" spans="17:17" x14ac:dyDescent="0.25">
      <c r="Q16664" s="8"/>
    </row>
    <row r="16665" spans="17:17" x14ac:dyDescent="0.25">
      <c r="Q16665" s="8"/>
    </row>
    <row r="16666" spans="17:17" x14ac:dyDescent="0.25">
      <c r="Q16666" s="8"/>
    </row>
    <row r="16667" spans="17:17" x14ac:dyDescent="0.25">
      <c r="Q16667" s="8"/>
    </row>
    <row r="16668" spans="17:17" x14ac:dyDescent="0.25">
      <c r="Q16668" s="8"/>
    </row>
    <row r="16669" spans="17:17" x14ac:dyDescent="0.25">
      <c r="Q16669" s="8"/>
    </row>
    <row r="16670" spans="17:17" x14ac:dyDescent="0.25">
      <c r="Q16670" s="8"/>
    </row>
    <row r="16671" spans="17:17" x14ac:dyDescent="0.25">
      <c r="Q16671" s="8"/>
    </row>
    <row r="16672" spans="17:17" x14ac:dyDescent="0.25">
      <c r="Q16672" s="8"/>
    </row>
    <row r="16673" spans="17:17" x14ac:dyDescent="0.25">
      <c r="Q16673" s="8"/>
    </row>
    <row r="16674" spans="17:17" x14ac:dyDescent="0.25">
      <c r="Q16674" s="8"/>
    </row>
    <row r="16675" spans="17:17" x14ac:dyDescent="0.25">
      <c r="Q16675" s="8"/>
    </row>
    <row r="16676" spans="17:17" x14ac:dyDescent="0.25">
      <c r="Q16676" s="8"/>
    </row>
    <row r="16677" spans="17:17" x14ac:dyDescent="0.25">
      <c r="Q16677" s="8"/>
    </row>
    <row r="16678" spans="17:17" x14ac:dyDescent="0.25">
      <c r="Q16678" s="8"/>
    </row>
    <row r="16679" spans="17:17" x14ac:dyDescent="0.25">
      <c r="Q16679" s="8"/>
    </row>
    <row r="16680" spans="17:17" x14ac:dyDescent="0.25">
      <c r="Q16680" s="8"/>
    </row>
    <row r="16681" spans="17:17" x14ac:dyDescent="0.25">
      <c r="Q16681" s="8"/>
    </row>
    <row r="16682" spans="17:17" x14ac:dyDescent="0.25">
      <c r="Q16682" s="8"/>
    </row>
    <row r="16683" spans="17:17" x14ac:dyDescent="0.25">
      <c r="Q16683" s="8"/>
    </row>
    <row r="16684" spans="17:17" x14ac:dyDescent="0.25">
      <c r="Q16684" s="8"/>
    </row>
    <row r="16685" spans="17:17" x14ac:dyDescent="0.25">
      <c r="Q16685" s="8"/>
    </row>
    <row r="16686" spans="17:17" x14ac:dyDescent="0.25">
      <c r="Q16686" s="8"/>
    </row>
    <row r="16687" spans="17:17" x14ac:dyDescent="0.25">
      <c r="Q16687" s="8"/>
    </row>
    <row r="16688" spans="17:17" x14ac:dyDescent="0.25">
      <c r="Q16688" s="8"/>
    </row>
    <row r="16689" spans="17:17" x14ac:dyDescent="0.25">
      <c r="Q16689" s="8"/>
    </row>
    <row r="16690" spans="17:17" x14ac:dyDescent="0.25">
      <c r="Q16690" s="8"/>
    </row>
    <row r="16691" spans="17:17" x14ac:dyDescent="0.25">
      <c r="Q16691" s="8"/>
    </row>
    <row r="16692" spans="17:17" x14ac:dyDescent="0.25">
      <c r="Q16692" s="8"/>
    </row>
    <row r="16693" spans="17:17" x14ac:dyDescent="0.25">
      <c r="Q16693" s="8"/>
    </row>
    <row r="16694" spans="17:17" x14ac:dyDescent="0.25">
      <c r="Q16694" s="8"/>
    </row>
    <row r="16695" spans="17:17" x14ac:dyDescent="0.25">
      <c r="Q16695" s="8"/>
    </row>
    <row r="16696" spans="17:17" x14ac:dyDescent="0.25">
      <c r="Q16696" s="8"/>
    </row>
    <row r="16697" spans="17:17" x14ac:dyDescent="0.25">
      <c r="Q16697" s="8"/>
    </row>
    <row r="16698" spans="17:17" x14ac:dyDescent="0.25">
      <c r="Q16698" s="8"/>
    </row>
    <row r="16699" spans="17:17" x14ac:dyDescent="0.25">
      <c r="Q16699" s="8"/>
    </row>
    <row r="16700" spans="17:17" x14ac:dyDescent="0.25">
      <c r="Q16700" s="8"/>
    </row>
    <row r="16701" spans="17:17" x14ac:dyDescent="0.25">
      <c r="Q16701" s="8"/>
    </row>
    <row r="16702" spans="17:17" x14ac:dyDescent="0.25">
      <c r="Q16702" s="8"/>
    </row>
    <row r="16703" spans="17:17" x14ac:dyDescent="0.25">
      <c r="Q16703" s="8"/>
    </row>
    <row r="16704" spans="17:17" x14ac:dyDescent="0.25">
      <c r="Q16704" s="8"/>
    </row>
    <row r="16705" spans="17:17" x14ac:dyDescent="0.25">
      <c r="Q16705" s="8"/>
    </row>
    <row r="16706" spans="17:17" x14ac:dyDescent="0.25">
      <c r="Q16706" s="8"/>
    </row>
    <row r="16707" spans="17:17" x14ac:dyDescent="0.25">
      <c r="Q16707" s="8"/>
    </row>
    <row r="16708" spans="17:17" x14ac:dyDescent="0.25">
      <c r="Q16708" s="8"/>
    </row>
    <row r="16709" spans="17:17" x14ac:dyDescent="0.25">
      <c r="Q16709" s="8"/>
    </row>
    <row r="16710" spans="17:17" x14ac:dyDescent="0.25">
      <c r="Q16710" s="8"/>
    </row>
    <row r="16711" spans="17:17" x14ac:dyDescent="0.25">
      <c r="Q16711" s="8"/>
    </row>
    <row r="16712" spans="17:17" x14ac:dyDescent="0.25">
      <c r="Q16712" s="8"/>
    </row>
    <row r="16713" spans="17:17" x14ac:dyDescent="0.25">
      <c r="Q16713" s="8"/>
    </row>
    <row r="16714" spans="17:17" x14ac:dyDescent="0.25">
      <c r="Q16714" s="8"/>
    </row>
    <row r="16715" spans="17:17" x14ac:dyDescent="0.25">
      <c r="Q16715" s="8"/>
    </row>
    <row r="16716" spans="17:17" x14ac:dyDescent="0.25">
      <c r="Q16716" s="8"/>
    </row>
    <row r="16717" spans="17:17" x14ac:dyDescent="0.25">
      <c r="Q16717" s="8"/>
    </row>
    <row r="16718" spans="17:17" x14ac:dyDescent="0.25">
      <c r="Q16718" s="8"/>
    </row>
    <row r="16719" spans="17:17" x14ac:dyDescent="0.25">
      <c r="Q16719" s="8"/>
    </row>
    <row r="16720" spans="17:17" x14ac:dyDescent="0.25">
      <c r="Q16720" s="8"/>
    </row>
    <row r="16721" spans="17:17" x14ac:dyDescent="0.25">
      <c r="Q16721" s="8"/>
    </row>
    <row r="16722" spans="17:17" x14ac:dyDescent="0.25">
      <c r="Q16722" s="8"/>
    </row>
    <row r="16723" spans="17:17" x14ac:dyDescent="0.25">
      <c r="Q16723" s="8"/>
    </row>
    <row r="16724" spans="17:17" x14ac:dyDescent="0.25">
      <c r="Q16724" s="8"/>
    </row>
    <row r="16725" spans="17:17" x14ac:dyDescent="0.25">
      <c r="Q16725" s="8"/>
    </row>
    <row r="16726" spans="17:17" x14ac:dyDescent="0.25">
      <c r="Q16726" s="8"/>
    </row>
    <row r="16727" spans="17:17" x14ac:dyDescent="0.25">
      <c r="Q16727" s="8"/>
    </row>
    <row r="16728" spans="17:17" x14ac:dyDescent="0.25">
      <c r="Q16728" s="8"/>
    </row>
    <row r="16729" spans="17:17" x14ac:dyDescent="0.25">
      <c r="Q16729" s="8"/>
    </row>
    <row r="16730" spans="17:17" x14ac:dyDescent="0.25">
      <c r="Q16730" s="8"/>
    </row>
    <row r="16731" spans="17:17" x14ac:dyDescent="0.25">
      <c r="Q16731" s="8"/>
    </row>
    <row r="16732" spans="17:17" x14ac:dyDescent="0.25">
      <c r="Q16732" s="8"/>
    </row>
    <row r="16733" spans="17:17" x14ac:dyDescent="0.25">
      <c r="Q16733" s="8"/>
    </row>
    <row r="16734" spans="17:17" x14ac:dyDescent="0.25">
      <c r="Q16734" s="8"/>
    </row>
    <row r="16735" spans="17:17" x14ac:dyDescent="0.25">
      <c r="Q16735" s="8"/>
    </row>
    <row r="16736" spans="17:17" x14ac:dyDescent="0.25">
      <c r="Q16736" s="8"/>
    </row>
    <row r="16737" spans="17:17" x14ac:dyDescent="0.25">
      <c r="Q16737" s="8"/>
    </row>
    <row r="16738" spans="17:17" x14ac:dyDescent="0.25">
      <c r="Q16738" s="8"/>
    </row>
    <row r="16739" spans="17:17" x14ac:dyDescent="0.25">
      <c r="Q16739" s="8"/>
    </row>
    <row r="16740" spans="17:17" x14ac:dyDescent="0.25">
      <c r="Q16740" s="8"/>
    </row>
    <row r="16741" spans="17:17" x14ac:dyDescent="0.25">
      <c r="Q16741" s="8"/>
    </row>
    <row r="16742" spans="17:17" x14ac:dyDescent="0.25">
      <c r="Q16742" s="8"/>
    </row>
    <row r="16743" spans="17:17" x14ac:dyDescent="0.25">
      <c r="Q16743" s="8"/>
    </row>
    <row r="16744" spans="17:17" x14ac:dyDescent="0.25">
      <c r="Q16744" s="8"/>
    </row>
    <row r="16745" spans="17:17" x14ac:dyDescent="0.25">
      <c r="Q16745" s="8"/>
    </row>
    <row r="16746" spans="17:17" x14ac:dyDescent="0.25">
      <c r="Q16746" s="8"/>
    </row>
    <row r="16747" spans="17:17" x14ac:dyDescent="0.25">
      <c r="Q16747" s="8"/>
    </row>
    <row r="16748" spans="17:17" x14ac:dyDescent="0.25">
      <c r="Q16748" s="8"/>
    </row>
    <row r="16749" spans="17:17" x14ac:dyDescent="0.25">
      <c r="Q16749" s="8"/>
    </row>
    <row r="16750" spans="17:17" x14ac:dyDescent="0.25">
      <c r="Q16750" s="8"/>
    </row>
    <row r="16751" spans="17:17" x14ac:dyDescent="0.25">
      <c r="Q16751" s="8"/>
    </row>
    <row r="16752" spans="17:17" x14ac:dyDescent="0.25">
      <c r="Q16752" s="8"/>
    </row>
    <row r="16753" spans="17:17" x14ac:dyDescent="0.25">
      <c r="Q16753" s="8"/>
    </row>
    <row r="16754" spans="17:17" x14ac:dyDescent="0.25">
      <c r="Q16754" s="8"/>
    </row>
    <row r="16755" spans="17:17" x14ac:dyDescent="0.25">
      <c r="Q16755" s="8"/>
    </row>
    <row r="16756" spans="17:17" x14ac:dyDescent="0.25">
      <c r="Q16756" s="8"/>
    </row>
    <row r="16757" spans="17:17" x14ac:dyDescent="0.25">
      <c r="Q16757" s="8"/>
    </row>
    <row r="16758" spans="17:17" x14ac:dyDescent="0.25">
      <c r="Q16758" s="8"/>
    </row>
    <row r="16759" spans="17:17" x14ac:dyDescent="0.25">
      <c r="Q16759" s="8"/>
    </row>
    <row r="16760" spans="17:17" x14ac:dyDescent="0.25">
      <c r="Q16760" s="8"/>
    </row>
    <row r="16761" spans="17:17" x14ac:dyDescent="0.25">
      <c r="Q16761" s="8"/>
    </row>
    <row r="16762" spans="17:17" x14ac:dyDescent="0.25">
      <c r="Q16762" s="8"/>
    </row>
    <row r="16763" spans="17:17" x14ac:dyDescent="0.25">
      <c r="Q16763" s="8"/>
    </row>
    <row r="16764" spans="17:17" x14ac:dyDescent="0.25">
      <c r="Q16764" s="8"/>
    </row>
    <row r="16765" spans="17:17" x14ac:dyDescent="0.25">
      <c r="Q16765" s="8"/>
    </row>
    <row r="16766" spans="17:17" x14ac:dyDescent="0.25">
      <c r="Q16766" s="8"/>
    </row>
    <row r="16767" spans="17:17" x14ac:dyDescent="0.25">
      <c r="Q16767" s="8"/>
    </row>
    <row r="16768" spans="17:17" x14ac:dyDescent="0.25">
      <c r="Q16768" s="8"/>
    </row>
    <row r="16769" spans="17:17" x14ac:dyDescent="0.25">
      <c r="Q16769" s="8"/>
    </row>
    <row r="16770" spans="17:17" x14ac:dyDescent="0.25">
      <c r="Q16770" s="8"/>
    </row>
    <row r="16771" spans="17:17" x14ac:dyDescent="0.25">
      <c r="Q16771" s="8"/>
    </row>
    <row r="16772" spans="17:17" x14ac:dyDescent="0.25">
      <c r="Q16772" s="8"/>
    </row>
    <row r="16773" spans="17:17" x14ac:dyDescent="0.25">
      <c r="Q16773" s="8"/>
    </row>
    <row r="16774" spans="17:17" x14ac:dyDescent="0.25">
      <c r="Q16774" s="8"/>
    </row>
    <row r="16775" spans="17:17" x14ac:dyDescent="0.25">
      <c r="Q16775" s="8"/>
    </row>
    <row r="16776" spans="17:17" x14ac:dyDescent="0.25">
      <c r="Q16776" s="8"/>
    </row>
    <row r="16777" spans="17:17" x14ac:dyDescent="0.25">
      <c r="Q16777" s="8"/>
    </row>
    <row r="16778" spans="17:17" x14ac:dyDescent="0.25">
      <c r="Q16778" s="8"/>
    </row>
    <row r="16779" spans="17:17" x14ac:dyDescent="0.25">
      <c r="Q16779" s="8"/>
    </row>
    <row r="16780" spans="17:17" x14ac:dyDescent="0.25">
      <c r="Q16780" s="8"/>
    </row>
    <row r="16781" spans="17:17" x14ac:dyDescent="0.25">
      <c r="Q16781" s="8"/>
    </row>
    <row r="16782" spans="17:17" x14ac:dyDescent="0.25">
      <c r="Q16782" s="8"/>
    </row>
    <row r="16783" spans="17:17" x14ac:dyDescent="0.25">
      <c r="Q16783" s="8"/>
    </row>
    <row r="16784" spans="17:17" x14ac:dyDescent="0.25">
      <c r="Q16784" s="8"/>
    </row>
    <row r="16785" spans="17:17" x14ac:dyDescent="0.25">
      <c r="Q16785" s="8"/>
    </row>
    <row r="16786" spans="17:17" x14ac:dyDescent="0.25">
      <c r="Q16786" s="8"/>
    </row>
    <row r="16787" spans="17:17" x14ac:dyDescent="0.25">
      <c r="Q16787" s="8"/>
    </row>
    <row r="16788" spans="17:17" x14ac:dyDescent="0.25">
      <c r="Q16788" s="8"/>
    </row>
    <row r="16789" spans="17:17" x14ac:dyDescent="0.25">
      <c r="Q16789" s="8"/>
    </row>
    <row r="16790" spans="17:17" x14ac:dyDescent="0.25">
      <c r="Q16790" s="8"/>
    </row>
    <row r="16791" spans="17:17" x14ac:dyDescent="0.25">
      <c r="Q16791" s="8"/>
    </row>
    <row r="16792" spans="17:17" x14ac:dyDescent="0.25">
      <c r="Q16792" s="8"/>
    </row>
    <row r="16793" spans="17:17" x14ac:dyDescent="0.25">
      <c r="Q16793" s="8"/>
    </row>
    <row r="16794" spans="17:17" x14ac:dyDescent="0.25">
      <c r="Q16794" s="8"/>
    </row>
    <row r="16795" spans="17:17" x14ac:dyDescent="0.25">
      <c r="Q16795" s="8"/>
    </row>
    <row r="16796" spans="17:17" x14ac:dyDescent="0.25">
      <c r="Q16796" s="8"/>
    </row>
    <row r="16797" spans="17:17" x14ac:dyDescent="0.25">
      <c r="Q16797" s="8"/>
    </row>
    <row r="16798" spans="17:17" x14ac:dyDescent="0.25">
      <c r="Q16798" s="8"/>
    </row>
    <row r="16799" spans="17:17" x14ac:dyDescent="0.25">
      <c r="Q16799" s="8"/>
    </row>
    <row r="16800" spans="17:17" x14ac:dyDescent="0.25">
      <c r="Q16800" s="8"/>
    </row>
    <row r="16801" spans="17:17" x14ac:dyDescent="0.25">
      <c r="Q16801" s="8"/>
    </row>
    <row r="16802" spans="17:17" x14ac:dyDescent="0.25">
      <c r="Q16802" s="8"/>
    </row>
    <row r="16803" spans="17:17" x14ac:dyDescent="0.25">
      <c r="Q16803" s="8"/>
    </row>
    <row r="16804" spans="17:17" x14ac:dyDescent="0.25">
      <c r="Q16804" s="8"/>
    </row>
    <row r="16805" spans="17:17" x14ac:dyDescent="0.25">
      <c r="Q16805" s="8"/>
    </row>
    <row r="16806" spans="17:17" x14ac:dyDescent="0.25">
      <c r="Q16806" s="8"/>
    </row>
    <row r="16807" spans="17:17" x14ac:dyDescent="0.25">
      <c r="Q16807" s="8"/>
    </row>
    <row r="16808" spans="17:17" x14ac:dyDescent="0.25">
      <c r="Q16808" s="8"/>
    </row>
    <row r="16809" spans="17:17" x14ac:dyDescent="0.25">
      <c r="Q16809" s="8"/>
    </row>
    <row r="16810" spans="17:17" x14ac:dyDescent="0.25">
      <c r="Q16810" s="8"/>
    </row>
    <row r="16811" spans="17:17" x14ac:dyDescent="0.25">
      <c r="Q16811" s="8"/>
    </row>
    <row r="16812" spans="17:17" x14ac:dyDescent="0.25">
      <c r="Q16812" s="8"/>
    </row>
    <row r="16813" spans="17:17" x14ac:dyDescent="0.25">
      <c r="Q16813" s="8"/>
    </row>
    <row r="16814" spans="17:17" x14ac:dyDescent="0.25">
      <c r="Q16814" s="8"/>
    </row>
    <row r="16815" spans="17:17" x14ac:dyDescent="0.25">
      <c r="Q16815" s="8"/>
    </row>
    <row r="16816" spans="17:17" x14ac:dyDescent="0.25">
      <c r="Q16816" s="8"/>
    </row>
    <row r="16817" spans="17:17" x14ac:dyDescent="0.25">
      <c r="Q16817" s="8"/>
    </row>
    <row r="16818" spans="17:17" x14ac:dyDescent="0.25">
      <c r="Q16818" s="8"/>
    </row>
    <row r="16819" spans="17:17" x14ac:dyDescent="0.25">
      <c r="Q16819" s="8"/>
    </row>
    <row r="16820" spans="17:17" x14ac:dyDescent="0.25">
      <c r="Q16820" s="8"/>
    </row>
    <row r="16821" spans="17:17" x14ac:dyDescent="0.25">
      <c r="Q16821" s="8"/>
    </row>
    <row r="16822" spans="17:17" x14ac:dyDescent="0.25">
      <c r="Q16822" s="8"/>
    </row>
    <row r="16823" spans="17:17" x14ac:dyDescent="0.25">
      <c r="Q16823" s="8"/>
    </row>
    <row r="16824" spans="17:17" x14ac:dyDescent="0.25">
      <c r="Q16824" s="8"/>
    </row>
    <row r="16825" spans="17:17" x14ac:dyDescent="0.25">
      <c r="Q16825" s="8"/>
    </row>
    <row r="16826" spans="17:17" x14ac:dyDescent="0.25">
      <c r="Q16826" s="8"/>
    </row>
    <row r="16827" spans="17:17" x14ac:dyDescent="0.25">
      <c r="Q16827" s="8"/>
    </row>
    <row r="16828" spans="17:17" x14ac:dyDescent="0.25">
      <c r="Q16828" s="8"/>
    </row>
    <row r="16829" spans="17:17" x14ac:dyDescent="0.25">
      <c r="Q16829" s="8"/>
    </row>
    <row r="16830" spans="17:17" x14ac:dyDescent="0.25">
      <c r="Q16830" s="8"/>
    </row>
    <row r="16831" spans="17:17" x14ac:dyDescent="0.25">
      <c r="Q16831" s="8"/>
    </row>
    <row r="16832" spans="17:17" x14ac:dyDescent="0.25">
      <c r="Q16832" s="8"/>
    </row>
    <row r="16833" spans="17:17" x14ac:dyDescent="0.25">
      <c r="Q16833" s="8"/>
    </row>
    <row r="16834" spans="17:17" x14ac:dyDescent="0.25">
      <c r="Q16834" s="8"/>
    </row>
    <row r="16835" spans="17:17" x14ac:dyDescent="0.25">
      <c r="Q16835" s="8"/>
    </row>
    <row r="16836" spans="17:17" x14ac:dyDescent="0.25">
      <c r="Q16836" s="8"/>
    </row>
    <row r="16837" spans="17:17" x14ac:dyDescent="0.25">
      <c r="Q16837" s="8"/>
    </row>
    <row r="16838" spans="17:17" x14ac:dyDescent="0.25">
      <c r="Q16838" s="8"/>
    </row>
    <row r="16839" spans="17:17" x14ac:dyDescent="0.25">
      <c r="Q16839" s="8"/>
    </row>
    <row r="16840" spans="17:17" x14ac:dyDescent="0.25">
      <c r="Q16840" s="8"/>
    </row>
    <row r="16841" spans="17:17" x14ac:dyDescent="0.25">
      <c r="Q16841" s="8"/>
    </row>
    <row r="16842" spans="17:17" x14ac:dyDescent="0.25">
      <c r="Q16842" s="8"/>
    </row>
    <row r="16843" spans="17:17" x14ac:dyDescent="0.25">
      <c r="Q16843" s="8"/>
    </row>
    <row r="16844" spans="17:17" x14ac:dyDescent="0.25">
      <c r="Q16844" s="8"/>
    </row>
    <row r="16845" spans="17:17" x14ac:dyDescent="0.25">
      <c r="Q16845" s="8"/>
    </row>
    <row r="16846" spans="17:17" x14ac:dyDescent="0.25">
      <c r="Q16846" s="8"/>
    </row>
    <row r="16847" spans="17:17" x14ac:dyDescent="0.25">
      <c r="Q16847" s="8"/>
    </row>
    <row r="16848" spans="17:17" x14ac:dyDescent="0.25">
      <c r="Q16848" s="8"/>
    </row>
    <row r="16849" spans="17:17" x14ac:dyDescent="0.25">
      <c r="Q16849" s="8"/>
    </row>
    <row r="16850" spans="17:17" x14ac:dyDescent="0.25">
      <c r="Q16850" s="8"/>
    </row>
    <row r="16851" spans="17:17" x14ac:dyDescent="0.25">
      <c r="Q16851" s="8"/>
    </row>
    <row r="16852" spans="17:17" x14ac:dyDescent="0.25">
      <c r="Q16852" s="8"/>
    </row>
    <row r="16853" spans="17:17" x14ac:dyDescent="0.25">
      <c r="Q16853" s="8"/>
    </row>
    <row r="16854" spans="17:17" x14ac:dyDescent="0.25">
      <c r="Q16854" s="8"/>
    </row>
    <row r="16855" spans="17:17" x14ac:dyDescent="0.25">
      <c r="Q16855" s="8"/>
    </row>
    <row r="16856" spans="17:17" x14ac:dyDescent="0.25">
      <c r="Q16856" s="8"/>
    </row>
    <row r="16857" spans="17:17" x14ac:dyDescent="0.25">
      <c r="Q16857" s="8"/>
    </row>
    <row r="16858" spans="17:17" x14ac:dyDescent="0.25">
      <c r="Q16858" s="8"/>
    </row>
    <row r="16859" spans="17:17" x14ac:dyDescent="0.25">
      <c r="Q16859" s="8"/>
    </row>
    <row r="16860" spans="17:17" x14ac:dyDescent="0.25">
      <c r="Q16860" s="8"/>
    </row>
    <row r="16861" spans="17:17" x14ac:dyDescent="0.25">
      <c r="Q16861" s="8"/>
    </row>
    <row r="16862" spans="17:17" x14ac:dyDescent="0.25">
      <c r="Q16862" s="8"/>
    </row>
    <row r="16863" spans="17:17" x14ac:dyDescent="0.25">
      <c r="Q16863" s="8"/>
    </row>
    <row r="16864" spans="17:17" x14ac:dyDescent="0.25">
      <c r="Q16864" s="8"/>
    </row>
    <row r="16865" spans="17:17" x14ac:dyDescent="0.25">
      <c r="Q16865" s="8"/>
    </row>
    <row r="16866" spans="17:17" x14ac:dyDescent="0.25">
      <c r="Q16866" s="8"/>
    </row>
    <row r="16867" spans="17:17" x14ac:dyDescent="0.25">
      <c r="Q16867" s="8"/>
    </row>
    <row r="16868" spans="17:17" x14ac:dyDescent="0.25">
      <c r="Q16868" s="8"/>
    </row>
    <row r="16869" spans="17:17" x14ac:dyDescent="0.25">
      <c r="Q16869" s="8"/>
    </row>
    <row r="16870" spans="17:17" x14ac:dyDescent="0.25">
      <c r="Q16870" s="8"/>
    </row>
    <row r="16871" spans="17:17" x14ac:dyDescent="0.25">
      <c r="Q16871" s="8"/>
    </row>
    <row r="16872" spans="17:17" x14ac:dyDescent="0.25">
      <c r="Q16872" s="8"/>
    </row>
    <row r="16873" spans="17:17" x14ac:dyDescent="0.25">
      <c r="Q16873" s="8"/>
    </row>
    <row r="16874" spans="17:17" x14ac:dyDescent="0.25">
      <c r="Q16874" s="8"/>
    </row>
    <row r="16875" spans="17:17" x14ac:dyDescent="0.25">
      <c r="Q16875" s="8"/>
    </row>
    <row r="16876" spans="17:17" x14ac:dyDescent="0.25">
      <c r="Q16876" s="8"/>
    </row>
    <row r="16877" spans="17:17" x14ac:dyDescent="0.25">
      <c r="Q16877" s="8"/>
    </row>
    <row r="16878" spans="17:17" x14ac:dyDescent="0.25">
      <c r="Q16878" s="8"/>
    </row>
    <row r="16879" spans="17:17" x14ac:dyDescent="0.25">
      <c r="Q16879" s="8"/>
    </row>
    <row r="16880" spans="17:17" x14ac:dyDescent="0.25">
      <c r="Q16880" s="8"/>
    </row>
    <row r="16881" spans="17:17" x14ac:dyDescent="0.25">
      <c r="Q16881" s="8"/>
    </row>
    <row r="16882" spans="17:17" x14ac:dyDescent="0.25">
      <c r="Q16882" s="8"/>
    </row>
    <row r="16883" spans="17:17" x14ac:dyDescent="0.25">
      <c r="Q16883" s="8"/>
    </row>
    <row r="16884" spans="17:17" x14ac:dyDescent="0.25">
      <c r="Q16884" s="8"/>
    </row>
    <row r="16885" spans="17:17" x14ac:dyDescent="0.25">
      <c r="Q16885" s="8"/>
    </row>
    <row r="16886" spans="17:17" x14ac:dyDescent="0.25">
      <c r="Q16886" s="8"/>
    </row>
    <row r="16887" spans="17:17" x14ac:dyDescent="0.25">
      <c r="Q16887" s="8"/>
    </row>
    <row r="16888" spans="17:17" x14ac:dyDescent="0.25">
      <c r="Q16888" s="8"/>
    </row>
    <row r="16889" spans="17:17" x14ac:dyDescent="0.25">
      <c r="Q16889" s="8"/>
    </row>
    <row r="16890" spans="17:17" x14ac:dyDescent="0.25">
      <c r="Q16890" s="8"/>
    </row>
    <row r="16891" spans="17:17" x14ac:dyDescent="0.25">
      <c r="Q16891" s="8"/>
    </row>
    <row r="16892" spans="17:17" x14ac:dyDescent="0.25">
      <c r="Q16892" s="8"/>
    </row>
    <row r="16893" spans="17:17" x14ac:dyDescent="0.25">
      <c r="Q16893" s="8"/>
    </row>
    <row r="16894" spans="17:17" x14ac:dyDescent="0.25">
      <c r="Q16894" s="8"/>
    </row>
    <row r="16895" spans="17:17" x14ac:dyDescent="0.25">
      <c r="Q16895" s="8"/>
    </row>
    <row r="16896" spans="17:17" x14ac:dyDescent="0.25">
      <c r="Q16896" s="8"/>
    </row>
    <row r="16897" spans="17:17" x14ac:dyDescent="0.25">
      <c r="Q16897" s="8"/>
    </row>
    <row r="16898" spans="17:17" x14ac:dyDescent="0.25">
      <c r="Q16898" s="8"/>
    </row>
    <row r="16899" spans="17:17" x14ac:dyDescent="0.25">
      <c r="Q16899" s="8"/>
    </row>
    <row r="16900" spans="17:17" x14ac:dyDescent="0.25">
      <c r="Q16900" s="8"/>
    </row>
    <row r="16901" spans="17:17" x14ac:dyDescent="0.25">
      <c r="Q16901" s="8"/>
    </row>
    <row r="16902" spans="17:17" x14ac:dyDescent="0.25">
      <c r="Q16902" s="8"/>
    </row>
    <row r="16903" spans="17:17" x14ac:dyDescent="0.25">
      <c r="Q16903" s="8"/>
    </row>
    <row r="16904" spans="17:17" x14ac:dyDescent="0.25">
      <c r="Q16904" s="8"/>
    </row>
    <row r="16905" spans="17:17" x14ac:dyDescent="0.25">
      <c r="Q16905" s="8"/>
    </row>
    <row r="16906" spans="17:17" x14ac:dyDescent="0.25">
      <c r="Q16906" s="8"/>
    </row>
    <row r="16907" spans="17:17" x14ac:dyDescent="0.25">
      <c r="Q16907" s="8"/>
    </row>
    <row r="16908" spans="17:17" x14ac:dyDescent="0.25">
      <c r="Q16908" s="8"/>
    </row>
    <row r="16909" spans="17:17" x14ac:dyDescent="0.25">
      <c r="Q16909" s="8"/>
    </row>
    <row r="16910" spans="17:17" x14ac:dyDescent="0.25">
      <c r="Q16910" s="8"/>
    </row>
    <row r="16911" spans="17:17" x14ac:dyDescent="0.25">
      <c r="Q16911" s="8"/>
    </row>
    <row r="16912" spans="17:17" x14ac:dyDescent="0.25">
      <c r="Q16912" s="8"/>
    </row>
    <row r="16913" spans="17:17" x14ac:dyDescent="0.25">
      <c r="Q16913" s="8"/>
    </row>
    <row r="16914" spans="17:17" x14ac:dyDescent="0.25">
      <c r="Q16914" s="8"/>
    </row>
    <row r="16915" spans="17:17" x14ac:dyDescent="0.25">
      <c r="Q16915" s="8"/>
    </row>
    <row r="16916" spans="17:17" x14ac:dyDescent="0.25">
      <c r="Q16916" s="8"/>
    </row>
    <row r="16917" spans="17:17" x14ac:dyDescent="0.25">
      <c r="Q16917" s="8"/>
    </row>
    <row r="16918" spans="17:17" x14ac:dyDescent="0.25">
      <c r="Q16918" s="8"/>
    </row>
    <row r="16919" spans="17:17" x14ac:dyDescent="0.25">
      <c r="Q16919" s="8"/>
    </row>
    <row r="16920" spans="17:17" x14ac:dyDescent="0.25">
      <c r="Q16920" s="8"/>
    </row>
    <row r="16921" spans="17:17" x14ac:dyDescent="0.25">
      <c r="Q16921" s="8"/>
    </row>
    <row r="16922" spans="17:17" x14ac:dyDescent="0.25">
      <c r="Q16922" s="8"/>
    </row>
    <row r="16923" spans="17:17" x14ac:dyDescent="0.25">
      <c r="Q16923" s="8"/>
    </row>
    <row r="16924" spans="17:17" x14ac:dyDescent="0.25">
      <c r="Q16924" s="8"/>
    </row>
    <row r="16925" spans="17:17" x14ac:dyDescent="0.25">
      <c r="Q16925" s="8"/>
    </row>
    <row r="16926" spans="17:17" x14ac:dyDescent="0.25">
      <c r="Q16926" s="8"/>
    </row>
    <row r="16927" spans="17:17" x14ac:dyDescent="0.25">
      <c r="Q16927" s="8"/>
    </row>
    <row r="16928" spans="17:17" x14ac:dyDescent="0.25">
      <c r="Q16928" s="8"/>
    </row>
    <row r="16929" spans="17:17" x14ac:dyDescent="0.25">
      <c r="Q16929" s="8"/>
    </row>
    <row r="16930" spans="17:17" x14ac:dyDescent="0.25">
      <c r="Q16930" s="8"/>
    </row>
    <row r="16931" spans="17:17" x14ac:dyDescent="0.25">
      <c r="Q16931" s="8"/>
    </row>
    <row r="16932" spans="17:17" x14ac:dyDescent="0.25">
      <c r="Q16932" s="8"/>
    </row>
    <row r="16933" spans="17:17" x14ac:dyDescent="0.25">
      <c r="Q16933" s="8"/>
    </row>
    <row r="16934" spans="17:17" x14ac:dyDescent="0.25">
      <c r="Q16934" s="8"/>
    </row>
    <row r="16935" spans="17:17" x14ac:dyDescent="0.25">
      <c r="Q16935" s="8"/>
    </row>
    <row r="16936" spans="17:17" x14ac:dyDescent="0.25">
      <c r="Q16936" s="8"/>
    </row>
    <row r="16937" spans="17:17" x14ac:dyDescent="0.25">
      <c r="Q16937" s="8"/>
    </row>
    <row r="16938" spans="17:17" x14ac:dyDescent="0.25">
      <c r="Q16938" s="8"/>
    </row>
    <row r="16939" spans="17:17" x14ac:dyDescent="0.25">
      <c r="Q16939" s="8"/>
    </row>
    <row r="16940" spans="17:17" x14ac:dyDescent="0.25">
      <c r="Q16940" s="8"/>
    </row>
    <row r="16941" spans="17:17" x14ac:dyDescent="0.25">
      <c r="Q16941" s="8"/>
    </row>
    <row r="16942" spans="17:17" x14ac:dyDescent="0.25">
      <c r="Q16942" s="8"/>
    </row>
    <row r="16943" spans="17:17" x14ac:dyDescent="0.25">
      <c r="Q16943" s="8"/>
    </row>
    <row r="16944" spans="17:17" x14ac:dyDescent="0.25">
      <c r="Q16944" s="8"/>
    </row>
    <row r="16945" spans="17:17" x14ac:dyDescent="0.25">
      <c r="Q16945" s="8"/>
    </row>
    <row r="16946" spans="17:17" x14ac:dyDescent="0.25">
      <c r="Q16946" s="8"/>
    </row>
    <row r="16947" spans="17:17" x14ac:dyDescent="0.25">
      <c r="Q16947" s="8"/>
    </row>
    <row r="16948" spans="17:17" x14ac:dyDescent="0.25">
      <c r="Q16948" s="8"/>
    </row>
    <row r="16949" spans="17:17" x14ac:dyDescent="0.25">
      <c r="Q16949" s="8"/>
    </row>
    <row r="16950" spans="17:17" x14ac:dyDescent="0.25">
      <c r="Q16950" s="8"/>
    </row>
    <row r="16951" spans="17:17" x14ac:dyDescent="0.25">
      <c r="Q16951" s="8"/>
    </row>
    <row r="16952" spans="17:17" x14ac:dyDescent="0.25">
      <c r="Q16952" s="8"/>
    </row>
    <row r="16953" spans="17:17" x14ac:dyDescent="0.25">
      <c r="Q16953" s="8"/>
    </row>
    <row r="16954" spans="17:17" x14ac:dyDescent="0.25">
      <c r="Q16954" s="8"/>
    </row>
    <row r="16955" spans="17:17" x14ac:dyDescent="0.25">
      <c r="Q16955" s="8"/>
    </row>
    <row r="16956" spans="17:17" x14ac:dyDescent="0.25">
      <c r="Q16956" s="8"/>
    </row>
    <row r="16957" spans="17:17" x14ac:dyDescent="0.25">
      <c r="Q16957" s="8"/>
    </row>
    <row r="16958" spans="17:17" x14ac:dyDescent="0.25">
      <c r="Q16958" s="8"/>
    </row>
    <row r="16959" spans="17:17" x14ac:dyDescent="0.25">
      <c r="Q16959" s="8"/>
    </row>
    <row r="16960" spans="17:17" x14ac:dyDescent="0.25">
      <c r="Q16960" s="8"/>
    </row>
    <row r="16961" spans="17:17" x14ac:dyDescent="0.25">
      <c r="Q16961" s="8"/>
    </row>
    <row r="16962" spans="17:17" x14ac:dyDescent="0.25">
      <c r="Q16962" s="8"/>
    </row>
    <row r="16963" spans="17:17" x14ac:dyDescent="0.25">
      <c r="Q16963" s="8"/>
    </row>
    <row r="16964" spans="17:17" x14ac:dyDescent="0.25">
      <c r="Q16964" s="8"/>
    </row>
    <row r="16965" spans="17:17" x14ac:dyDescent="0.25">
      <c r="Q16965" s="8"/>
    </row>
    <row r="16966" spans="17:17" x14ac:dyDescent="0.25">
      <c r="Q16966" s="8"/>
    </row>
    <row r="16967" spans="17:17" x14ac:dyDescent="0.25">
      <c r="Q16967" s="8"/>
    </row>
    <row r="16968" spans="17:17" x14ac:dyDescent="0.25">
      <c r="Q16968" s="8"/>
    </row>
    <row r="16969" spans="17:17" x14ac:dyDescent="0.25">
      <c r="Q16969" s="8"/>
    </row>
    <row r="16970" spans="17:17" x14ac:dyDescent="0.25">
      <c r="Q16970" s="8"/>
    </row>
    <row r="16971" spans="17:17" x14ac:dyDescent="0.25">
      <c r="Q16971" s="8"/>
    </row>
    <row r="16972" spans="17:17" x14ac:dyDescent="0.25">
      <c r="Q16972" s="8"/>
    </row>
    <row r="16973" spans="17:17" x14ac:dyDescent="0.25">
      <c r="Q16973" s="8"/>
    </row>
    <row r="16974" spans="17:17" x14ac:dyDescent="0.25">
      <c r="Q16974" s="8"/>
    </row>
    <row r="16975" spans="17:17" x14ac:dyDescent="0.25">
      <c r="Q16975" s="8"/>
    </row>
    <row r="16976" spans="17:17" x14ac:dyDescent="0.25">
      <c r="Q16976" s="8"/>
    </row>
    <row r="16977" spans="17:17" x14ac:dyDescent="0.25">
      <c r="Q16977" s="8"/>
    </row>
    <row r="16978" spans="17:17" x14ac:dyDescent="0.25">
      <c r="Q16978" s="8"/>
    </row>
    <row r="16979" spans="17:17" x14ac:dyDescent="0.25">
      <c r="Q16979" s="8"/>
    </row>
    <row r="16980" spans="17:17" x14ac:dyDescent="0.25">
      <c r="Q16980" s="8"/>
    </row>
    <row r="16981" spans="17:17" x14ac:dyDescent="0.25">
      <c r="Q16981" s="8"/>
    </row>
    <row r="16982" spans="17:17" x14ac:dyDescent="0.25">
      <c r="Q16982" s="8"/>
    </row>
    <row r="16983" spans="17:17" x14ac:dyDescent="0.25">
      <c r="Q16983" s="8"/>
    </row>
    <row r="16984" spans="17:17" x14ac:dyDescent="0.25">
      <c r="Q16984" s="8"/>
    </row>
    <row r="16985" spans="17:17" x14ac:dyDescent="0.25">
      <c r="Q16985" s="8"/>
    </row>
    <row r="16986" spans="17:17" x14ac:dyDescent="0.25">
      <c r="Q16986" s="8"/>
    </row>
    <row r="16987" spans="17:17" x14ac:dyDescent="0.25">
      <c r="Q16987" s="8"/>
    </row>
    <row r="16988" spans="17:17" x14ac:dyDescent="0.25">
      <c r="Q16988" s="8"/>
    </row>
    <row r="16989" spans="17:17" x14ac:dyDescent="0.25">
      <c r="Q16989" s="8"/>
    </row>
    <row r="16990" spans="17:17" x14ac:dyDescent="0.25">
      <c r="Q16990" s="8"/>
    </row>
    <row r="16991" spans="17:17" x14ac:dyDescent="0.25">
      <c r="Q16991" s="8"/>
    </row>
    <row r="16992" spans="17:17" x14ac:dyDescent="0.25">
      <c r="Q16992" s="8"/>
    </row>
    <row r="16993" spans="17:17" x14ac:dyDescent="0.25">
      <c r="Q16993" s="8"/>
    </row>
    <row r="16994" spans="17:17" x14ac:dyDescent="0.25">
      <c r="Q16994" s="8"/>
    </row>
    <row r="16995" spans="17:17" x14ac:dyDescent="0.25">
      <c r="Q16995" s="8"/>
    </row>
    <row r="16996" spans="17:17" x14ac:dyDescent="0.25">
      <c r="Q16996" s="8"/>
    </row>
    <row r="16997" spans="17:17" x14ac:dyDescent="0.25">
      <c r="Q16997" s="8"/>
    </row>
    <row r="16998" spans="17:17" x14ac:dyDescent="0.25">
      <c r="Q16998" s="8"/>
    </row>
    <row r="16999" spans="17:17" x14ac:dyDescent="0.25">
      <c r="Q16999" s="8"/>
    </row>
    <row r="17000" spans="17:17" x14ac:dyDescent="0.25">
      <c r="Q17000" s="8"/>
    </row>
    <row r="17001" spans="17:17" x14ac:dyDescent="0.25">
      <c r="Q17001" s="8"/>
    </row>
    <row r="17002" spans="17:17" x14ac:dyDescent="0.25">
      <c r="Q17002" s="8"/>
    </row>
    <row r="17003" spans="17:17" x14ac:dyDescent="0.25">
      <c r="Q17003" s="8"/>
    </row>
    <row r="17004" spans="17:17" x14ac:dyDescent="0.25">
      <c r="Q17004" s="8"/>
    </row>
    <row r="17005" spans="17:17" x14ac:dyDescent="0.25">
      <c r="Q17005" s="8"/>
    </row>
    <row r="17006" spans="17:17" x14ac:dyDescent="0.25">
      <c r="Q17006" s="8"/>
    </row>
    <row r="17007" spans="17:17" x14ac:dyDescent="0.25">
      <c r="Q17007" s="8"/>
    </row>
    <row r="17008" spans="17:17" x14ac:dyDescent="0.25">
      <c r="Q17008" s="8"/>
    </row>
    <row r="17009" spans="17:17" x14ac:dyDescent="0.25">
      <c r="Q17009" s="8"/>
    </row>
    <row r="17010" spans="17:17" x14ac:dyDescent="0.25">
      <c r="Q17010" s="8"/>
    </row>
    <row r="17011" spans="17:17" x14ac:dyDescent="0.25">
      <c r="Q17011" s="8"/>
    </row>
    <row r="17012" spans="17:17" x14ac:dyDescent="0.25">
      <c r="Q17012" s="8"/>
    </row>
    <row r="17013" spans="17:17" x14ac:dyDescent="0.25">
      <c r="Q17013" s="8"/>
    </row>
    <row r="17014" spans="17:17" x14ac:dyDescent="0.25">
      <c r="Q17014" s="8"/>
    </row>
    <row r="17015" spans="17:17" x14ac:dyDescent="0.25">
      <c r="Q17015" s="8"/>
    </row>
    <row r="17016" spans="17:17" x14ac:dyDescent="0.25">
      <c r="Q17016" s="8"/>
    </row>
    <row r="17017" spans="17:17" x14ac:dyDescent="0.25">
      <c r="Q17017" s="8"/>
    </row>
    <row r="17018" spans="17:17" x14ac:dyDescent="0.25">
      <c r="Q17018" s="8"/>
    </row>
    <row r="17019" spans="17:17" x14ac:dyDescent="0.25">
      <c r="Q17019" s="8"/>
    </row>
    <row r="17020" spans="17:17" x14ac:dyDescent="0.25">
      <c r="Q17020" s="8"/>
    </row>
    <row r="17021" spans="17:17" x14ac:dyDescent="0.25">
      <c r="Q17021" s="8"/>
    </row>
    <row r="17022" spans="17:17" x14ac:dyDescent="0.25">
      <c r="Q17022" s="8"/>
    </row>
    <row r="17023" spans="17:17" x14ac:dyDescent="0.25">
      <c r="Q17023" s="8"/>
    </row>
    <row r="17024" spans="17:17" x14ac:dyDescent="0.25">
      <c r="Q17024" s="8"/>
    </row>
    <row r="17025" spans="17:17" x14ac:dyDescent="0.25">
      <c r="Q17025" s="8"/>
    </row>
    <row r="17026" spans="17:17" x14ac:dyDescent="0.25">
      <c r="Q17026" s="8"/>
    </row>
    <row r="17027" spans="17:17" x14ac:dyDescent="0.25">
      <c r="Q17027" s="8"/>
    </row>
    <row r="17028" spans="17:17" x14ac:dyDescent="0.25">
      <c r="Q17028" s="8"/>
    </row>
    <row r="17029" spans="17:17" x14ac:dyDescent="0.25">
      <c r="Q17029" s="8"/>
    </row>
    <row r="17030" spans="17:17" x14ac:dyDescent="0.25">
      <c r="Q17030" s="8"/>
    </row>
    <row r="17031" spans="17:17" x14ac:dyDescent="0.25">
      <c r="Q17031" s="8"/>
    </row>
    <row r="17032" spans="17:17" x14ac:dyDescent="0.25">
      <c r="Q17032" s="8"/>
    </row>
    <row r="17033" spans="17:17" x14ac:dyDescent="0.25">
      <c r="Q17033" s="8"/>
    </row>
    <row r="17034" spans="17:17" x14ac:dyDescent="0.25">
      <c r="Q17034" s="8"/>
    </row>
    <row r="17035" spans="17:17" x14ac:dyDescent="0.25">
      <c r="Q17035" s="8"/>
    </row>
    <row r="17036" spans="17:17" x14ac:dyDescent="0.25">
      <c r="Q17036" s="8"/>
    </row>
    <row r="17037" spans="17:17" x14ac:dyDescent="0.25">
      <c r="Q17037" s="8"/>
    </row>
    <row r="17038" spans="17:17" x14ac:dyDescent="0.25">
      <c r="Q17038" s="8"/>
    </row>
    <row r="17039" spans="17:17" x14ac:dyDescent="0.25">
      <c r="Q17039" s="8"/>
    </row>
    <row r="17040" spans="17:17" x14ac:dyDescent="0.25">
      <c r="Q17040" s="8"/>
    </row>
    <row r="17041" spans="17:17" x14ac:dyDescent="0.25">
      <c r="Q17041" s="8"/>
    </row>
    <row r="17042" spans="17:17" x14ac:dyDescent="0.25">
      <c r="Q17042" s="8"/>
    </row>
    <row r="17043" spans="17:17" x14ac:dyDescent="0.25">
      <c r="Q17043" s="8"/>
    </row>
    <row r="17044" spans="17:17" x14ac:dyDescent="0.25">
      <c r="Q17044" s="8"/>
    </row>
    <row r="17045" spans="17:17" x14ac:dyDescent="0.25">
      <c r="Q17045" s="8"/>
    </row>
    <row r="17046" spans="17:17" x14ac:dyDescent="0.25">
      <c r="Q17046" s="8"/>
    </row>
    <row r="17047" spans="17:17" x14ac:dyDescent="0.25">
      <c r="Q17047" s="8"/>
    </row>
    <row r="17048" spans="17:17" x14ac:dyDescent="0.25">
      <c r="Q17048" s="8"/>
    </row>
    <row r="17049" spans="17:17" x14ac:dyDescent="0.25">
      <c r="Q17049" s="8"/>
    </row>
    <row r="17050" spans="17:17" x14ac:dyDescent="0.25">
      <c r="Q17050" s="8"/>
    </row>
    <row r="17051" spans="17:17" x14ac:dyDescent="0.25">
      <c r="Q17051" s="8"/>
    </row>
    <row r="17052" spans="17:17" x14ac:dyDescent="0.25">
      <c r="Q17052" s="8"/>
    </row>
    <row r="17053" spans="17:17" x14ac:dyDescent="0.25">
      <c r="Q17053" s="8"/>
    </row>
    <row r="17054" spans="17:17" x14ac:dyDescent="0.25">
      <c r="Q17054" s="8"/>
    </row>
    <row r="17055" spans="17:17" x14ac:dyDescent="0.25">
      <c r="Q17055" s="8"/>
    </row>
    <row r="17056" spans="17:17" x14ac:dyDescent="0.25">
      <c r="Q17056" s="8"/>
    </row>
    <row r="17057" spans="17:17" x14ac:dyDescent="0.25">
      <c r="Q17057" s="8"/>
    </row>
    <row r="17058" spans="17:17" x14ac:dyDescent="0.25">
      <c r="Q17058" s="8"/>
    </row>
    <row r="17059" spans="17:17" x14ac:dyDescent="0.25">
      <c r="Q17059" s="8"/>
    </row>
    <row r="17060" spans="17:17" x14ac:dyDescent="0.25">
      <c r="Q17060" s="8"/>
    </row>
    <row r="17061" spans="17:17" x14ac:dyDescent="0.25">
      <c r="Q17061" s="8"/>
    </row>
    <row r="17062" spans="17:17" x14ac:dyDescent="0.25">
      <c r="Q17062" s="8"/>
    </row>
    <row r="17063" spans="17:17" x14ac:dyDescent="0.25">
      <c r="Q17063" s="8"/>
    </row>
    <row r="17064" spans="17:17" x14ac:dyDescent="0.25">
      <c r="Q17064" s="8"/>
    </row>
    <row r="17065" spans="17:17" x14ac:dyDescent="0.25">
      <c r="Q17065" s="8"/>
    </row>
    <row r="17066" spans="17:17" x14ac:dyDescent="0.25">
      <c r="Q17066" s="8"/>
    </row>
    <row r="17067" spans="17:17" x14ac:dyDescent="0.25">
      <c r="Q17067" s="8"/>
    </row>
    <row r="17068" spans="17:17" x14ac:dyDescent="0.25">
      <c r="Q17068" s="8"/>
    </row>
    <row r="17069" spans="17:17" x14ac:dyDescent="0.25">
      <c r="Q17069" s="8"/>
    </row>
    <row r="17070" spans="17:17" x14ac:dyDescent="0.25">
      <c r="Q17070" s="8"/>
    </row>
    <row r="17071" spans="17:17" x14ac:dyDescent="0.25">
      <c r="Q17071" s="8"/>
    </row>
    <row r="17072" spans="17:17" x14ac:dyDescent="0.25">
      <c r="Q17072" s="8"/>
    </row>
    <row r="17073" spans="17:17" x14ac:dyDescent="0.25">
      <c r="Q17073" s="8"/>
    </row>
    <row r="17074" spans="17:17" x14ac:dyDescent="0.25">
      <c r="Q17074" s="8"/>
    </row>
    <row r="17075" spans="17:17" x14ac:dyDescent="0.25">
      <c r="Q17075" s="8"/>
    </row>
    <row r="17076" spans="17:17" x14ac:dyDescent="0.25">
      <c r="Q17076" s="8"/>
    </row>
    <row r="17077" spans="17:17" x14ac:dyDescent="0.25">
      <c r="Q17077" s="8"/>
    </row>
    <row r="17078" spans="17:17" x14ac:dyDescent="0.25">
      <c r="Q17078" s="8"/>
    </row>
    <row r="17079" spans="17:17" x14ac:dyDescent="0.25">
      <c r="Q17079" s="8"/>
    </row>
    <row r="17080" spans="17:17" x14ac:dyDescent="0.25">
      <c r="Q17080" s="8"/>
    </row>
    <row r="17081" spans="17:17" x14ac:dyDescent="0.25">
      <c r="Q17081" s="8"/>
    </row>
    <row r="17082" spans="17:17" x14ac:dyDescent="0.25">
      <c r="Q17082" s="8"/>
    </row>
    <row r="17083" spans="17:17" x14ac:dyDescent="0.25">
      <c r="Q17083" s="8"/>
    </row>
    <row r="17084" spans="17:17" x14ac:dyDescent="0.25">
      <c r="Q17084" s="8"/>
    </row>
    <row r="17085" spans="17:17" x14ac:dyDescent="0.25">
      <c r="Q17085" s="8"/>
    </row>
    <row r="17086" spans="17:17" x14ac:dyDescent="0.25">
      <c r="Q17086" s="8"/>
    </row>
    <row r="17087" spans="17:17" x14ac:dyDescent="0.25">
      <c r="Q17087" s="8"/>
    </row>
    <row r="17088" spans="17:17" x14ac:dyDescent="0.25">
      <c r="Q17088" s="8"/>
    </row>
    <row r="17089" spans="17:17" x14ac:dyDescent="0.25">
      <c r="Q17089" s="8"/>
    </row>
    <row r="17090" spans="17:17" x14ac:dyDescent="0.25">
      <c r="Q17090" s="8"/>
    </row>
    <row r="17091" spans="17:17" x14ac:dyDescent="0.25">
      <c r="Q17091" s="8"/>
    </row>
    <row r="17092" spans="17:17" x14ac:dyDescent="0.25">
      <c r="Q17092" s="8"/>
    </row>
    <row r="17093" spans="17:17" x14ac:dyDescent="0.25">
      <c r="Q17093" s="8"/>
    </row>
    <row r="17094" spans="17:17" x14ac:dyDescent="0.25">
      <c r="Q17094" s="8"/>
    </row>
    <row r="17095" spans="17:17" x14ac:dyDescent="0.25">
      <c r="Q17095" s="8"/>
    </row>
    <row r="17096" spans="17:17" x14ac:dyDescent="0.25">
      <c r="Q17096" s="8"/>
    </row>
    <row r="17097" spans="17:17" x14ac:dyDescent="0.25">
      <c r="Q17097" s="8"/>
    </row>
    <row r="17098" spans="17:17" x14ac:dyDescent="0.25">
      <c r="Q17098" s="8"/>
    </row>
    <row r="17099" spans="17:17" x14ac:dyDescent="0.25">
      <c r="Q17099" s="8"/>
    </row>
    <row r="17100" spans="17:17" x14ac:dyDescent="0.25">
      <c r="Q17100" s="8"/>
    </row>
    <row r="17101" spans="17:17" x14ac:dyDescent="0.25">
      <c r="Q17101" s="8"/>
    </row>
    <row r="17102" spans="17:17" x14ac:dyDescent="0.25">
      <c r="Q17102" s="8"/>
    </row>
    <row r="17103" spans="17:17" x14ac:dyDescent="0.25">
      <c r="Q17103" s="8"/>
    </row>
    <row r="17104" spans="17:17" x14ac:dyDescent="0.25">
      <c r="Q17104" s="8"/>
    </row>
    <row r="17105" spans="17:17" x14ac:dyDescent="0.25">
      <c r="Q17105" s="8"/>
    </row>
    <row r="17106" spans="17:17" x14ac:dyDescent="0.25">
      <c r="Q17106" s="8"/>
    </row>
    <row r="17107" spans="17:17" x14ac:dyDescent="0.25">
      <c r="Q17107" s="8"/>
    </row>
    <row r="17108" spans="17:17" x14ac:dyDescent="0.25">
      <c r="Q17108" s="8"/>
    </row>
    <row r="17109" spans="17:17" x14ac:dyDescent="0.25">
      <c r="Q17109" s="8"/>
    </row>
    <row r="17110" spans="17:17" x14ac:dyDescent="0.25">
      <c r="Q17110" s="8"/>
    </row>
    <row r="17111" spans="17:17" x14ac:dyDescent="0.25">
      <c r="Q17111" s="8"/>
    </row>
    <row r="17112" spans="17:17" x14ac:dyDescent="0.25">
      <c r="Q17112" s="8"/>
    </row>
    <row r="17113" spans="17:17" x14ac:dyDescent="0.25">
      <c r="Q17113" s="8"/>
    </row>
    <row r="17114" spans="17:17" x14ac:dyDescent="0.25">
      <c r="Q17114" s="8"/>
    </row>
    <row r="17115" spans="17:17" x14ac:dyDescent="0.25">
      <c r="Q17115" s="8"/>
    </row>
    <row r="17116" spans="17:17" x14ac:dyDescent="0.25">
      <c r="Q17116" s="8"/>
    </row>
    <row r="17117" spans="17:17" x14ac:dyDescent="0.25">
      <c r="Q17117" s="8"/>
    </row>
    <row r="17118" spans="17:17" x14ac:dyDescent="0.25">
      <c r="Q17118" s="8"/>
    </row>
    <row r="17119" spans="17:17" x14ac:dyDescent="0.25">
      <c r="Q17119" s="8"/>
    </row>
    <row r="17120" spans="17:17" x14ac:dyDescent="0.25">
      <c r="Q17120" s="8"/>
    </row>
    <row r="17121" spans="17:17" x14ac:dyDescent="0.25">
      <c r="Q17121" s="8"/>
    </row>
    <row r="17122" spans="17:17" x14ac:dyDescent="0.25">
      <c r="Q17122" s="8"/>
    </row>
    <row r="17123" spans="17:17" x14ac:dyDescent="0.25">
      <c r="Q17123" s="8"/>
    </row>
    <row r="17124" spans="17:17" x14ac:dyDescent="0.25">
      <c r="Q17124" s="8"/>
    </row>
    <row r="17125" spans="17:17" x14ac:dyDescent="0.25">
      <c r="Q17125" s="8"/>
    </row>
    <row r="17126" spans="17:17" x14ac:dyDescent="0.25">
      <c r="Q17126" s="8"/>
    </row>
    <row r="17127" spans="17:17" x14ac:dyDescent="0.25">
      <c r="Q17127" s="8"/>
    </row>
    <row r="17128" spans="17:17" x14ac:dyDescent="0.25">
      <c r="Q17128" s="8"/>
    </row>
    <row r="17129" spans="17:17" x14ac:dyDescent="0.25">
      <c r="Q17129" s="8"/>
    </row>
    <row r="17130" spans="17:17" x14ac:dyDescent="0.25">
      <c r="Q17130" s="8"/>
    </row>
    <row r="17131" spans="17:17" x14ac:dyDescent="0.25">
      <c r="Q17131" s="8"/>
    </row>
    <row r="17132" spans="17:17" x14ac:dyDescent="0.25">
      <c r="Q17132" s="8"/>
    </row>
    <row r="17133" spans="17:17" x14ac:dyDescent="0.25">
      <c r="Q17133" s="8"/>
    </row>
    <row r="17134" spans="17:17" x14ac:dyDescent="0.25">
      <c r="Q17134" s="8"/>
    </row>
    <row r="17135" spans="17:17" x14ac:dyDescent="0.25">
      <c r="Q17135" s="8"/>
    </row>
    <row r="17136" spans="17:17" x14ac:dyDescent="0.25">
      <c r="Q17136" s="8"/>
    </row>
    <row r="17137" spans="17:17" x14ac:dyDescent="0.25">
      <c r="Q17137" s="8"/>
    </row>
    <row r="17138" spans="17:17" x14ac:dyDescent="0.25">
      <c r="Q17138" s="8"/>
    </row>
    <row r="17139" spans="17:17" x14ac:dyDescent="0.25">
      <c r="Q17139" s="8"/>
    </row>
    <row r="17140" spans="17:17" x14ac:dyDescent="0.25">
      <c r="Q17140" s="8"/>
    </row>
    <row r="17141" spans="17:17" x14ac:dyDescent="0.25">
      <c r="Q17141" s="8"/>
    </row>
    <row r="17142" spans="17:17" x14ac:dyDescent="0.25">
      <c r="Q17142" s="8"/>
    </row>
    <row r="17143" spans="17:17" x14ac:dyDescent="0.25">
      <c r="Q17143" s="8"/>
    </row>
    <row r="17144" spans="17:17" x14ac:dyDescent="0.25">
      <c r="Q17144" s="8"/>
    </row>
    <row r="17145" spans="17:17" x14ac:dyDescent="0.25">
      <c r="Q17145" s="8"/>
    </row>
    <row r="17146" spans="17:17" x14ac:dyDescent="0.25">
      <c r="Q17146" s="8"/>
    </row>
    <row r="17147" spans="17:17" x14ac:dyDescent="0.25">
      <c r="Q17147" s="8"/>
    </row>
    <row r="17148" spans="17:17" x14ac:dyDescent="0.25">
      <c r="Q17148" s="8"/>
    </row>
    <row r="17149" spans="17:17" x14ac:dyDescent="0.25">
      <c r="Q17149" s="8"/>
    </row>
    <row r="17150" spans="17:17" x14ac:dyDescent="0.25">
      <c r="Q17150" s="8"/>
    </row>
    <row r="17151" spans="17:17" x14ac:dyDescent="0.25">
      <c r="Q17151" s="8"/>
    </row>
    <row r="17152" spans="17:17" x14ac:dyDescent="0.25">
      <c r="Q17152" s="8"/>
    </row>
    <row r="17153" spans="17:17" x14ac:dyDescent="0.25">
      <c r="Q17153" s="8"/>
    </row>
    <row r="17154" spans="17:17" x14ac:dyDescent="0.25">
      <c r="Q17154" s="8"/>
    </row>
    <row r="17155" spans="17:17" x14ac:dyDescent="0.25">
      <c r="Q17155" s="8"/>
    </row>
    <row r="17156" spans="17:17" x14ac:dyDescent="0.25">
      <c r="Q17156" s="8"/>
    </row>
    <row r="17157" spans="17:17" x14ac:dyDescent="0.25">
      <c r="Q17157" s="8"/>
    </row>
    <row r="17158" spans="17:17" x14ac:dyDescent="0.25">
      <c r="Q17158" s="8"/>
    </row>
    <row r="17159" spans="17:17" x14ac:dyDescent="0.25">
      <c r="Q17159" s="8"/>
    </row>
    <row r="17160" spans="17:17" x14ac:dyDescent="0.25">
      <c r="Q17160" s="8"/>
    </row>
    <row r="17161" spans="17:17" x14ac:dyDescent="0.25">
      <c r="Q17161" s="8"/>
    </row>
    <row r="17162" spans="17:17" x14ac:dyDescent="0.25">
      <c r="Q17162" s="8"/>
    </row>
    <row r="17163" spans="17:17" x14ac:dyDescent="0.25">
      <c r="Q17163" s="8"/>
    </row>
    <row r="17164" spans="17:17" x14ac:dyDescent="0.25">
      <c r="Q17164" s="8"/>
    </row>
    <row r="17165" spans="17:17" x14ac:dyDescent="0.25">
      <c r="Q17165" s="8"/>
    </row>
    <row r="17166" spans="17:17" x14ac:dyDescent="0.25">
      <c r="Q17166" s="8"/>
    </row>
    <row r="17167" spans="17:17" x14ac:dyDescent="0.25">
      <c r="Q17167" s="8"/>
    </row>
    <row r="17168" spans="17:17" x14ac:dyDescent="0.25">
      <c r="Q17168" s="8"/>
    </row>
    <row r="17169" spans="17:17" x14ac:dyDescent="0.25">
      <c r="Q17169" s="8"/>
    </row>
    <row r="17170" spans="17:17" x14ac:dyDescent="0.25">
      <c r="Q17170" s="8"/>
    </row>
    <row r="17171" spans="17:17" x14ac:dyDescent="0.25">
      <c r="Q17171" s="8"/>
    </row>
    <row r="17172" spans="17:17" x14ac:dyDescent="0.25">
      <c r="Q17172" s="8"/>
    </row>
    <row r="17173" spans="17:17" x14ac:dyDescent="0.25">
      <c r="Q17173" s="8"/>
    </row>
    <row r="17174" spans="17:17" x14ac:dyDescent="0.25">
      <c r="Q17174" s="8"/>
    </row>
    <row r="17175" spans="17:17" x14ac:dyDescent="0.25">
      <c r="Q17175" s="8"/>
    </row>
    <row r="17176" spans="17:17" x14ac:dyDescent="0.25">
      <c r="Q17176" s="8"/>
    </row>
    <row r="17177" spans="17:17" x14ac:dyDescent="0.25">
      <c r="Q17177" s="8"/>
    </row>
    <row r="17178" spans="17:17" x14ac:dyDescent="0.25">
      <c r="Q17178" s="8"/>
    </row>
    <row r="17179" spans="17:17" x14ac:dyDescent="0.25">
      <c r="Q17179" s="8"/>
    </row>
    <row r="17180" spans="17:17" x14ac:dyDescent="0.25">
      <c r="Q17180" s="8"/>
    </row>
    <row r="17181" spans="17:17" x14ac:dyDescent="0.25">
      <c r="Q17181" s="8"/>
    </row>
    <row r="17182" spans="17:17" x14ac:dyDescent="0.25">
      <c r="Q17182" s="8"/>
    </row>
    <row r="17183" spans="17:17" x14ac:dyDescent="0.25">
      <c r="Q17183" s="8"/>
    </row>
    <row r="17184" spans="17:17" x14ac:dyDescent="0.25">
      <c r="Q17184" s="8"/>
    </row>
    <row r="17185" spans="17:17" x14ac:dyDescent="0.25">
      <c r="Q17185" s="8"/>
    </row>
    <row r="17186" spans="17:17" x14ac:dyDescent="0.25">
      <c r="Q17186" s="8"/>
    </row>
    <row r="17187" spans="17:17" x14ac:dyDescent="0.25">
      <c r="Q17187" s="8"/>
    </row>
    <row r="17188" spans="17:17" x14ac:dyDescent="0.25">
      <c r="Q17188" s="8"/>
    </row>
    <row r="17189" spans="17:17" x14ac:dyDescent="0.25">
      <c r="Q17189" s="8"/>
    </row>
    <row r="17190" spans="17:17" x14ac:dyDescent="0.25">
      <c r="Q17190" s="8"/>
    </row>
    <row r="17191" spans="17:17" x14ac:dyDescent="0.25">
      <c r="Q17191" s="8"/>
    </row>
    <row r="17192" spans="17:17" x14ac:dyDescent="0.25">
      <c r="Q17192" s="8"/>
    </row>
    <row r="17193" spans="17:17" x14ac:dyDescent="0.25">
      <c r="Q17193" s="8"/>
    </row>
    <row r="17194" spans="17:17" x14ac:dyDescent="0.25">
      <c r="Q17194" s="8"/>
    </row>
    <row r="17195" spans="17:17" x14ac:dyDescent="0.25">
      <c r="Q17195" s="8"/>
    </row>
    <row r="17196" spans="17:17" x14ac:dyDescent="0.25">
      <c r="Q17196" s="8"/>
    </row>
    <row r="17197" spans="17:17" x14ac:dyDescent="0.25">
      <c r="Q17197" s="8"/>
    </row>
    <row r="17198" spans="17:17" x14ac:dyDescent="0.25">
      <c r="Q17198" s="8"/>
    </row>
    <row r="17199" spans="17:17" x14ac:dyDescent="0.25">
      <c r="Q17199" s="8"/>
    </row>
    <row r="17200" spans="17:17" x14ac:dyDescent="0.25">
      <c r="Q17200" s="8"/>
    </row>
    <row r="17201" spans="17:17" x14ac:dyDescent="0.25">
      <c r="Q17201" s="8"/>
    </row>
    <row r="17202" spans="17:17" x14ac:dyDescent="0.25">
      <c r="Q17202" s="8"/>
    </row>
    <row r="17203" spans="17:17" x14ac:dyDescent="0.25">
      <c r="Q17203" s="8"/>
    </row>
    <row r="17204" spans="17:17" x14ac:dyDescent="0.25">
      <c r="Q17204" s="8"/>
    </row>
    <row r="17205" spans="17:17" x14ac:dyDescent="0.25">
      <c r="Q17205" s="8"/>
    </row>
    <row r="17206" spans="17:17" x14ac:dyDescent="0.25">
      <c r="Q17206" s="8"/>
    </row>
    <row r="17207" spans="17:17" x14ac:dyDescent="0.25">
      <c r="Q17207" s="8"/>
    </row>
    <row r="17208" spans="17:17" x14ac:dyDescent="0.25">
      <c r="Q17208" s="8"/>
    </row>
    <row r="17209" spans="17:17" x14ac:dyDescent="0.25">
      <c r="Q17209" s="8"/>
    </row>
    <row r="17210" spans="17:17" x14ac:dyDescent="0.25">
      <c r="Q17210" s="8"/>
    </row>
    <row r="17211" spans="17:17" x14ac:dyDescent="0.25">
      <c r="Q17211" s="8"/>
    </row>
    <row r="17212" spans="17:17" x14ac:dyDescent="0.25">
      <c r="Q17212" s="8"/>
    </row>
    <row r="17213" spans="17:17" x14ac:dyDescent="0.25">
      <c r="Q17213" s="8"/>
    </row>
    <row r="17214" spans="17:17" x14ac:dyDescent="0.25">
      <c r="Q17214" s="8"/>
    </row>
    <row r="17215" spans="17:17" x14ac:dyDescent="0.25">
      <c r="Q17215" s="8"/>
    </row>
    <row r="17216" spans="17:17" x14ac:dyDescent="0.25">
      <c r="Q17216" s="8"/>
    </row>
    <row r="17217" spans="17:17" x14ac:dyDescent="0.25">
      <c r="Q17217" s="8"/>
    </row>
    <row r="17218" spans="17:17" x14ac:dyDescent="0.25">
      <c r="Q17218" s="8"/>
    </row>
    <row r="17219" spans="17:17" x14ac:dyDescent="0.25">
      <c r="Q17219" s="8"/>
    </row>
    <row r="17220" spans="17:17" x14ac:dyDescent="0.25">
      <c r="Q17220" s="8"/>
    </row>
    <row r="17221" spans="17:17" x14ac:dyDescent="0.25">
      <c r="Q17221" s="8"/>
    </row>
    <row r="17222" spans="17:17" x14ac:dyDescent="0.25">
      <c r="Q17222" s="8"/>
    </row>
    <row r="17223" spans="17:17" x14ac:dyDescent="0.25">
      <c r="Q17223" s="8"/>
    </row>
    <row r="17224" spans="17:17" x14ac:dyDescent="0.25">
      <c r="Q17224" s="8"/>
    </row>
    <row r="17225" spans="17:17" x14ac:dyDescent="0.25">
      <c r="Q17225" s="8"/>
    </row>
    <row r="17226" spans="17:17" x14ac:dyDescent="0.25">
      <c r="Q17226" s="8"/>
    </row>
    <row r="17227" spans="17:17" x14ac:dyDescent="0.25">
      <c r="Q17227" s="8"/>
    </row>
    <row r="17228" spans="17:17" x14ac:dyDescent="0.25">
      <c r="Q17228" s="8"/>
    </row>
    <row r="17229" spans="17:17" x14ac:dyDescent="0.25">
      <c r="Q17229" s="8"/>
    </row>
    <row r="17230" spans="17:17" x14ac:dyDescent="0.25">
      <c r="Q17230" s="8"/>
    </row>
    <row r="17231" spans="17:17" x14ac:dyDescent="0.25">
      <c r="Q17231" s="8"/>
    </row>
    <row r="17232" spans="17:17" x14ac:dyDescent="0.25">
      <c r="Q17232" s="8"/>
    </row>
    <row r="17233" spans="17:17" x14ac:dyDescent="0.25">
      <c r="Q17233" s="8"/>
    </row>
    <row r="17234" spans="17:17" x14ac:dyDescent="0.25">
      <c r="Q17234" s="8"/>
    </row>
    <row r="17235" spans="17:17" x14ac:dyDescent="0.25">
      <c r="Q17235" s="8"/>
    </row>
    <row r="17236" spans="17:17" x14ac:dyDescent="0.25">
      <c r="Q17236" s="8"/>
    </row>
    <row r="17237" spans="17:17" x14ac:dyDescent="0.25">
      <c r="Q17237" s="8"/>
    </row>
    <row r="17238" spans="17:17" x14ac:dyDescent="0.25">
      <c r="Q17238" s="8"/>
    </row>
    <row r="17239" spans="17:17" x14ac:dyDescent="0.25">
      <c r="Q17239" s="8"/>
    </row>
    <row r="17240" spans="17:17" x14ac:dyDescent="0.25">
      <c r="Q17240" s="8"/>
    </row>
    <row r="17241" spans="17:17" x14ac:dyDescent="0.25">
      <c r="Q17241" s="8"/>
    </row>
    <row r="17242" spans="17:17" x14ac:dyDescent="0.25">
      <c r="Q17242" s="8"/>
    </row>
    <row r="17243" spans="17:17" x14ac:dyDescent="0.25">
      <c r="Q17243" s="8"/>
    </row>
    <row r="17244" spans="17:17" x14ac:dyDescent="0.25">
      <c r="Q17244" s="8"/>
    </row>
    <row r="17245" spans="17:17" x14ac:dyDescent="0.25">
      <c r="Q17245" s="8"/>
    </row>
    <row r="17246" spans="17:17" x14ac:dyDescent="0.25">
      <c r="Q17246" s="8"/>
    </row>
    <row r="17247" spans="17:17" x14ac:dyDescent="0.25">
      <c r="Q17247" s="8"/>
    </row>
    <row r="17248" spans="17:17" x14ac:dyDescent="0.25">
      <c r="Q17248" s="8"/>
    </row>
    <row r="17249" spans="17:17" x14ac:dyDescent="0.25">
      <c r="Q17249" s="8"/>
    </row>
    <row r="17250" spans="17:17" x14ac:dyDescent="0.25">
      <c r="Q17250" s="8"/>
    </row>
    <row r="17251" spans="17:17" x14ac:dyDescent="0.25">
      <c r="Q17251" s="8"/>
    </row>
    <row r="17252" spans="17:17" x14ac:dyDescent="0.25">
      <c r="Q17252" s="8"/>
    </row>
    <row r="17253" spans="17:17" x14ac:dyDescent="0.25">
      <c r="Q17253" s="8"/>
    </row>
    <row r="17254" spans="17:17" x14ac:dyDescent="0.25">
      <c r="Q17254" s="8"/>
    </row>
    <row r="17255" spans="17:17" x14ac:dyDescent="0.25">
      <c r="Q17255" s="8"/>
    </row>
    <row r="17256" spans="17:17" x14ac:dyDescent="0.25">
      <c r="Q17256" s="8"/>
    </row>
    <row r="17257" spans="17:17" x14ac:dyDescent="0.25">
      <c r="Q17257" s="8"/>
    </row>
    <row r="17258" spans="17:17" x14ac:dyDescent="0.25">
      <c r="Q17258" s="8"/>
    </row>
    <row r="17259" spans="17:17" x14ac:dyDescent="0.25">
      <c r="Q17259" s="8"/>
    </row>
    <row r="17260" spans="17:17" x14ac:dyDescent="0.25">
      <c r="Q17260" s="8"/>
    </row>
    <row r="17261" spans="17:17" x14ac:dyDescent="0.25">
      <c r="Q17261" s="8"/>
    </row>
    <row r="17262" spans="17:17" x14ac:dyDescent="0.25">
      <c r="Q17262" s="8"/>
    </row>
    <row r="17263" spans="17:17" x14ac:dyDescent="0.25">
      <c r="Q17263" s="8"/>
    </row>
    <row r="17264" spans="17:17" x14ac:dyDescent="0.25">
      <c r="Q17264" s="8"/>
    </row>
    <row r="17265" spans="17:17" x14ac:dyDescent="0.25">
      <c r="Q17265" s="8"/>
    </row>
    <row r="17266" spans="17:17" x14ac:dyDescent="0.25">
      <c r="Q17266" s="8"/>
    </row>
    <row r="17267" spans="17:17" x14ac:dyDescent="0.25">
      <c r="Q17267" s="8"/>
    </row>
    <row r="17268" spans="17:17" x14ac:dyDescent="0.25">
      <c r="Q17268" s="8"/>
    </row>
    <row r="17269" spans="17:17" x14ac:dyDescent="0.25">
      <c r="Q17269" s="8"/>
    </row>
    <row r="17270" spans="17:17" x14ac:dyDescent="0.25">
      <c r="Q17270" s="8"/>
    </row>
    <row r="17271" spans="17:17" x14ac:dyDescent="0.25">
      <c r="Q17271" s="8"/>
    </row>
    <row r="17272" spans="17:17" x14ac:dyDescent="0.25">
      <c r="Q17272" s="8"/>
    </row>
    <row r="17273" spans="17:17" x14ac:dyDescent="0.25">
      <c r="Q17273" s="8"/>
    </row>
    <row r="17274" spans="17:17" x14ac:dyDescent="0.25">
      <c r="Q17274" s="8"/>
    </row>
    <row r="17275" spans="17:17" x14ac:dyDescent="0.25">
      <c r="Q17275" s="8"/>
    </row>
    <row r="17276" spans="17:17" x14ac:dyDescent="0.25">
      <c r="Q17276" s="8"/>
    </row>
    <row r="17277" spans="17:17" x14ac:dyDescent="0.25">
      <c r="Q17277" s="8"/>
    </row>
    <row r="17278" spans="17:17" x14ac:dyDescent="0.25">
      <c r="Q17278" s="8"/>
    </row>
    <row r="17279" spans="17:17" x14ac:dyDescent="0.25">
      <c r="Q17279" s="8"/>
    </row>
    <row r="17280" spans="17:17" x14ac:dyDescent="0.25">
      <c r="Q17280" s="8"/>
    </row>
    <row r="17281" spans="17:17" x14ac:dyDescent="0.25">
      <c r="Q17281" s="8"/>
    </row>
    <row r="17282" spans="17:17" x14ac:dyDescent="0.25">
      <c r="Q17282" s="8"/>
    </row>
    <row r="17283" spans="17:17" x14ac:dyDescent="0.25">
      <c r="Q17283" s="8"/>
    </row>
    <row r="17284" spans="17:17" x14ac:dyDescent="0.25">
      <c r="Q17284" s="8"/>
    </row>
    <row r="17285" spans="17:17" x14ac:dyDescent="0.25">
      <c r="Q17285" s="8"/>
    </row>
    <row r="17286" spans="17:17" x14ac:dyDescent="0.25">
      <c r="Q17286" s="8"/>
    </row>
    <row r="17287" spans="17:17" x14ac:dyDescent="0.25">
      <c r="Q17287" s="8"/>
    </row>
    <row r="17288" spans="17:17" x14ac:dyDescent="0.25">
      <c r="Q17288" s="8"/>
    </row>
    <row r="17289" spans="17:17" x14ac:dyDescent="0.25">
      <c r="Q17289" s="8"/>
    </row>
    <row r="17290" spans="17:17" x14ac:dyDescent="0.25">
      <c r="Q17290" s="8"/>
    </row>
    <row r="17291" spans="17:17" x14ac:dyDescent="0.25">
      <c r="Q17291" s="8"/>
    </row>
    <row r="17292" spans="17:17" x14ac:dyDescent="0.25">
      <c r="Q17292" s="8"/>
    </row>
    <row r="17293" spans="17:17" x14ac:dyDescent="0.25">
      <c r="Q17293" s="8"/>
    </row>
    <row r="17294" spans="17:17" x14ac:dyDescent="0.25">
      <c r="Q17294" s="8"/>
    </row>
    <row r="17295" spans="17:17" x14ac:dyDescent="0.25">
      <c r="Q17295" s="8"/>
    </row>
    <row r="17296" spans="17:17" x14ac:dyDescent="0.25">
      <c r="Q17296" s="8"/>
    </row>
    <row r="17297" spans="17:17" x14ac:dyDescent="0.25">
      <c r="Q17297" s="8"/>
    </row>
    <row r="17298" spans="17:17" x14ac:dyDescent="0.25">
      <c r="Q17298" s="8"/>
    </row>
    <row r="17299" spans="17:17" x14ac:dyDescent="0.25">
      <c r="Q17299" s="8"/>
    </row>
    <row r="17300" spans="17:17" x14ac:dyDescent="0.25">
      <c r="Q17300" s="8"/>
    </row>
    <row r="17301" spans="17:17" x14ac:dyDescent="0.25">
      <c r="Q17301" s="8"/>
    </row>
    <row r="17302" spans="17:17" x14ac:dyDescent="0.25">
      <c r="Q17302" s="8"/>
    </row>
    <row r="17303" spans="17:17" x14ac:dyDescent="0.25">
      <c r="Q17303" s="8"/>
    </row>
    <row r="17304" spans="17:17" x14ac:dyDescent="0.25">
      <c r="Q17304" s="8"/>
    </row>
    <row r="17305" spans="17:17" x14ac:dyDescent="0.25">
      <c r="Q17305" s="8"/>
    </row>
    <row r="17306" spans="17:17" x14ac:dyDescent="0.25">
      <c r="Q17306" s="8"/>
    </row>
    <row r="17307" spans="17:17" x14ac:dyDescent="0.25">
      <c r="Q17307" s="8"/>
    </row>
    <row r="17308" spans="17:17" x14ac:dyDescent="0.25">
      <c r="Q17308" s="8"/>
    </row>
    <row r="17309" spans="17:17" x14ac:dyDescent="0.25">
      <c r="Q17309" s="8"/>
    </row>
    <row r="17310" spans="17:17" x14ac:dyDescent="0.25">
      <c r="Q17310" s="8"/>
    </row>
    <row r="17311" spans="17:17" x14ac:dyDescent="0.25">
      <c r="Q17311" s="8"/>
    </row>
    <row r="17312" spans="17:17" x14ac:dyDescent="0.25">
      <c r="Q17312" s="8"/>
    </row>
    <row r="17313" spans="17:17" x14ac:dyDescent="0.25">
      <c r="Q17313" s="8"/>
    </row>
    <row r="17314" spans="17:17" x14ac:dyDescent="0.25">
      <c r="Q17314" s="8"/>
    </row>
    <row r="17315" spans="17:17" x14ac:dyDescent="0.25">
      <c r="Q17315" s="8"/>
    </row>
    <row r="17316" spans="17:17" x14ac:dyDescent="0.25">
      <c r="Q17316" s="8"/>
    </row>
    <row r="17317" spans="17:17" x14ac:dyDescent="0.25">
      <c r="Q17317" s="8"/>
    </row>
    <row r="17318" spans="17:17" x14ac:dyDescent="0.25">
      <c r="Q17318" s="8"/>
    </row>
    <row r="17319" spans="17:17" x14ac:dyDescent="0.25">
      <c r="Q17319" s="8"/>
    </row>
    <row r="17320" spans="17:17" x14ac:dyDescent="0.25">
      <c r="Q17320" s="8"/>
    </row>
    <row r="17321" spans="17:17" x14ac:dyDescent="0.25">
      <c r="Q17321" s="8"/>
    </row>
    <row r="17322" spans="17:17" x14ac:dyDescent="0.25">
      <c r="Q17322" s="8"/>
    </row>
    <row r="17323" spans="17:17" x14ac:dyDescent="0.25">
      <c r="Q17323" s="8"/>
    </row>
    <row r="17324" spans="17:17" x14ac:dyDescent="0.25">
      <c r="Q17324" s="8"/>
    </row>
    <row r="17325" spans="17:17" x14ac:dyDescent="0.25">
      <c r="Q17325" s="8"/>
    </row>
    <row r="17326" spans="17:17" x14ac:dyDescent="0.25">
      <c r="Q17326" s="8"/>
    </row>
    <row r="17327" spans="17:17" x14ac:dyDescent="0.25">
      <c r="Q17327" s="8"/>
    </row>
    <row r="17328" spans="17:17" x14ac:dyDescent="0.25">
      <c r="Q17328" s="8"/>
    </row>
    <row r="17329" spans="17:17" x14ac:dyDescent="0.25">
      <c r="Q17329" s="8"/>
    </row>
    <row r="17330" spans="17:17" x14ac:dyDescent="0.25">
      <c r="Q17330" s="8"/>
    </row>
    <row r="17331" spans="17:17" x14ac:dyDescent="0.25">
      <c r="Q17331" s="8"/>
    </row>
    <row r="17332" spans="17:17" x14ac:dyDescent="0.25">
      <c r="Q17332" s="8"/>
    </row>
    <row r="17333" spans="17:17" x14ac:dyDescent="0.25">
      <c r="Q17333" s="8"/>
    </row>
    <row r="17334" spans="17:17" x14ac:dyDescent="0.25">
      <c r="Q17334" s="8"/>
    </row>
    <row r="17335" spans="17:17" x14ac:dyDescent="0.25">
      <c r="Q17335" s="8"/>
    </row>
    <row r="17336" spans="17:17" x14ac:dyDescent="0.25">
      <c r="Q17336" s="8"/>
    </row>
    <row r="17337" spans="17:17" x14ac:dyDescent="0.25">
      <c r="Q17337" s="8"/>
    </row>
    <row r="17338" spans="17:17" x14ac:dyDescent="0.25">
      <c r="Q17338" s="8"/>
    </row>
    <row r="17339" spans="17:17" x14ac:dyDescent="0.25">
      <c r="Q17339" s="8"/>
    </row>
    <row r="17340" spans="17:17" x14ac:dyDescent="0.25">
      <c r="Q17340" s="8"/>
    </row>
    <row r="17341" spans="17:17" x14ac:dyDescent="0.25">
      <c r="Q17341" s="8"/>
    </row>
    <row r="17342" spans="17:17" x14ac:dyDescent="0.25">
      <c r="Q17342" s="8"/>
    </row>
    <row r="17343" spans="17:17" x14ac:dyDescent="0.25">
      <c r="Q17343" s="8"/>
    </row>
    <row r="17344" spans="17:17" x14ac:dyDescent="0.25">
      <c r="Q17344" s="8"/>
    </row>
    <row r="17345" spans="17:17" x14ac:dyDescent="0.25">
      <c r="Q17345" s="8"/>
    </row>
    <row r="17346" spans="17:17" x14ac:dyDescent="0.25">
      <c r="Q17346" s="8"/>
    </row>
    <row r="17347" spans="17:17" x14ac:dyDescent="0.25">
      <c r="Q17347" s="8"/>
    </row>
    <row r="17348" spans="17:17" x14ac:dyDescent="0.25">
      <c r="Q17348" s="8"/>
    </row>
    <row r="17349" spans="17:17" x14ac:dyDescent="0.25">
      <c r="Q17349" s="8"/>
    </row>
    <row r="17350" spans="17:17" x14ac:dyDescent="0.25">
      <c r="Q17350" s="8"/>
    </row>
    <row r="17351" spans="17:17" x14ac:dyDescent="0.25">
      <c r="Q17351" s="8"/>
    </row>
    <row r="17352" spans="17:17" x14ac:dyDescent="0.25">
      <c r="Q17352" s="8"/>
    </row>
    <row r="17353" spans="17:17" x14ac:dyDescent="0.25">
      <c r="Q17353" s="8"/>
    </row>
    <row r="17354" spans="17:17" x14ac:dyDescent="0.25">
      <c r="Q17354" s="8"/>
    </row>
    <row r="17355" spans="17:17" x14ac:dyDescent="0.25">
      <c r="Q17355" s="8"/>
    </row>
    <row r="17356" spans="17:17" x14ac:dyDescent="0.25">
      <c r="Q17356" s="8"/>
    </row>
    <row r="17357" spans="17:17" x14ac:dyDescent="0.25">
      <c r="Q17357" s="8"/>
    </row>
    <row r="17358" spans="17:17" x14ac:dyDescent="0.25">
      <c r="Q17358" s="8"/>
    </row>
    <row r="17359" spans="17:17" x14ac:dyDescent="0.25">
      <c r="Q17359" s="8"/>
    </row>
    <row r="17360" spans="17:17" x14ac:dyDescent="0.25">
      <c r="Q17360" s="8"/>
    </row>
    <row r="17361" spans="17:17" x14ac:dyDescent="0.25">
      <c r="Q17361" s="8"/>
    </row>
    <row r="17362" spans="17:17" x14ac:dyDescent="0.25">
      <c r="Q17362" s="8"/>
    </row>
    <row r="17363" spans="17:17" x14ac:dyDescent="0.25">
      <c r="Q17363" s="8"/>
    </row>
    <row r="17364" spans="17:17" x14ac:dyDescent="0.25">
      <c r="Q17364" s="8"/>
    </row>
    <row r="17365" spans="17:17" x14ac:dyDescent="0.25">
      <c r="Q17365" s="8"/>
    </row>
    <row r="17366" spans="17:17" x14ac:dyDescent="0.25">
      <c r="Q17366" s="8"/>
    </row>
    <row r="17367" spans="17:17" x14ac:dyDescent="0.25">
      <c r="Q17367" s="8"/>
    </row>
    <row r="17368" spans="17:17" x14ac:dyDescent="0.25">
      <c r="Q17368" s="8"/>
    </row>
    <row r="17369" spans="17:17" x14ac:dyDescent="0.25">
      <c r="Q17369" s="8"/>
    </row>
    <row r="17370" spans="17:17" x14ac:dyDescent="0.25">
      <c r="Q17370" s="8"/>
    </row>
    <row r="17371" spans="17:17" x14ac:dyDescent="0.25">
      <c r="Q17371" s="8"/>
    </row>
    <row r="17372" spans="17:17" x14ac:dyDescent="0.25">
      <c r="Q17372" s="8"/>
    </row>
    <row r="17373" spans="17:17" x14ac:dyDescent="0.25">
      <c r="Q17373" s="8"/>
    </row>
    <row r="17374" spans="17:17" x14ac:dyDescent="0.25">
      <c r="Q17374" s="8"/>
    </row>
    <row r="17375" spans="17:17" x14ac:dyDescent="0.25">
      <c r="Q17375" s="8"/>
    </row>
    <row r="17376" spans="17:17" x14ac:dyDescent="0.25">
      <c r="Q17376" s="8"/>
    </row>
    <row r="17377" spans="17:17" x14ac:dyDescent="0.25">
      <c r="Q17377" s="8"/>
    </row>
    <row r="17378" spans="17:17" x14ac:dyDescent="0.25">
      <c r="Q17378" s="8"/>
    </row>
    <row r="17379" spans="17:17" x14ac:dyDescent="0.25">
      <c r="Q17379" s="8"/>
    </row>
    <row r="17380" spans="17:17" x14ac:dyDescent="0.25">
      <c r="Q17380" s="8"/>
    </row>
    <row r="17381" spans="17:17" x14ac:dyDescent="0.25">
      <c r="Q17381" s="8"/>
    </row>
    <row r="17382" spans="17:17" x14ac:dyDescent="0.25">
      <c r="Q17382" s="8"/>
    </row>
    <row r="17383" spans="17:17" x14ac:dyDescent="0.25">
      <c r="Q17383" s="8"/>
    </row>
    <row r="17384" spans="17:17" x14ac:dyDescent="0.25">
      <c r="Q17384" s="8"/>
    </row>
    <row r="17385" spans="17:17" x14ac:dyDescent="0.25">
      <c r="Q17385" s="8"/>
    </row>
    <row r="17386" spans="17:17" x14ac:dyDescent="0.25">
      <c r="Q17386" s="8"/>
    </row>
    <row r="17387" spans="17:17" x14ac:dyDescent="0.25">
      <c r="Q17387" s="8"/>
    </row>
    <row r="17388" spans="17:17" x14ac:dyDescent="0.25">
      <c r="Q17388" s="8"/>
    </row>
    <row r="17389" spans="17:17" x14ac:dyDescent="0.25">
      <c r="Q17389" s="8"/>
    </row>
    <row r="17390" spans="17:17" x14ac:dyDescent="0.25">
      <c r="Q17390" s="8"/>
    </row>
    <row r="17391" spans="17:17" x14ac:dyDescent="0.25">
      <c r="Q17391" s="8"/>
    </row>
    <row r="17392" spans="17:17" x14ac:dyDescent="0.25">
      <c r="Q17392" s="8"/>
    </row>
    <row r="17393" spans="17:17" x14ac:dyDescent="0.25">
      <c r="Q17393" s="8"/>
    </row>
    <row r="17394" spans="17:17" x14ac:dyDescent="0.25">
      <c r="Q17394" s="8"/>
    </row>
    <row r="17395" spans="17:17" x14ac:dyDescent="0.25">
      <c r="Q17395" s="8"/>
    </row>
    <row r="17396" spans="17:17" x14ac:dyDescent="0.25">
      <c r="Q17396" s="8"/>
    </row>
    <row r="17397" spans="17:17" x14ac:dyDescent="0.25">
      <c r="Q17397" s="8"/>
    </row>
    <row r="17398" spans="17:17" x14ac:dyDescent="0.25">
      <c r="Q17398" s="8"/>
    </row>
    <row r="17399" spans="17:17" x14ac:dyDescent="0.25">
      <c r="Q17399" s="8"/>
    </row>
    <row r="17400" spans="17:17" x14ac:dyDescent="0.25">
      <c r="Q17400" s="8"/>
    </row>
    <row r="17401" spans="17:17" x14ac:dyDescent="0.25">
      <c r="Q17401" s="8"/>
    </row>
    <row r="17402" spans="17:17" x14ac:dyDescent="0.25">
      <c r="Q17402" s="8"/>
    </row>
    <row r="17403" spans="17:17" x14ac:dyDescent="0.25">
      <c r="Q17403" s="8"/>
    </row>
    <row r="17404" spans="17:17" x14ac:dyDescent="0.25">
      <c r="Q17404" s="8"/>
    </row>
    <row r="17405" spans="17:17" x14ac:dyDescent="0.25">
      <c r="Q17405" s="8"/>
    </row>
    <row r="17406" spans="17:17" x14ac:dyDescent="0.25">
      <c r="Q17406" s="8"/>
    </row>
    <row r="17407" spans="17:17" x14ac:dyDescent="0.25">
      <c r="Q17407" s="8"/>
    </row>
    <row r="17408" spans="17:17" x14ac:dyDescent="0.25">
      <c r="Q17408" s="8"/>
    </row>
    <row r="17409" spans="17:17" x14ac:dyDescent="0.25">
      <c r="Q17409" s="8"/>
    </row>
    <row r="17410" spans="17:17" x14ac:dyDescent="0.25">
      <c r="Q17410" s="8"/>
    </row>
    <row r="17411" spans="17:17" x14ac:dyDescent="0.25">
      <c r="Q17411" s="8"/>
    </row>
    <row r="17412" spans="17:17" x14ac:dyDescent="0.25">
      <c r="Q17412" s="8"/>
    </row>
    <row r="17413" spans="17:17" x14ac:dyDescent="0.25">
      <c r="Q17413" s="8"/>
    </row>
    <row r="17414" spans="17:17" x14ac:dyDescent="0.25">
      <c r="Q17414" s="8"/>
    </row>
    <row r="17415" spans="17:17" x14ac:dyDescent="0.25">
      <c r="Q17415" s="8"/>
    </row>
    <row r="17416" spans="17:17" x14ac:dyDescent="0.25">
      <c r="Q17416" s="8"/>
    </row>
    <row r="17417" spans="17:17" x14ac:dyDescent="0.25">
      <c r="Q17417" s="8"/>
    </row>
    <row r="17418" spans="17:17" x14ac:dyDescent="0.25">
      <c r="Q17418" s="8"/>
    </row>
    <row r="17419" spans="17:17" x14ac:dyDescent="0.25">
      <c r="Q17419" s="8"/>
    </row>
    <row r="17420" spans="17:17" x14ac:dyDescent="0.25">
      <c r="Q17420" s="8"/>
    </row>
    <row r="17421" spans="17:17" x14ac:dyDescent="0.25">
      <c r="Q17421" s="8"/>
    </row>
    <row r="17422" spans="17:17" x14ac:dyDescent="0.25">
      <c r="Q17422" s="8"/>
    </row>
    <row r="17423" spans="17:17" x14ac:dyDescent="0.25">
      <c r="Q17423" s="8"/>
    </row>
    <row r="17424" spans="17:17" x14ac:dyDescent="0.25">
      <c r="Q17424" s="8"/>
    </row>
    <row r="17425" spans="17:17" x14ac:dyDescent="0.25">
      <c r="Q17425" s="8"/>
    </row>
    <row r="17426" spans="17:17" x14ac:dyDescent="0.25">
      <c r="Q17426" s="8"/>
    </row>
    <row r="17427" spans="17:17" x14ac:dyDescent="0.25">
      <c r="Q17427" s="8"/>
    </row>
    <row r="17428" spans="17:17" x14ac:dyDescent="0.25">
      <c r="Q17428" s="8"/>
    </row>
    <row r="17429" spans="17:17" x14ac:dyDescent="0.25">
      <c r="Q17429" s="8"/>
    </row>
    <row r="17430" spans="17:17" x14ac:dyDescent="0.25">
      <c r="Q17430" s="8"/>
    </row>
    <row r="17431" spans="17:17" x14ac:dyDescent="0.25">
      <c r="Q17431" s="8"/>
    </row>
    <row r="17432" spans="17:17" x14ac:dyDescent="0.25">
      <c r="Q17432" s="8"/>
    </row>
    <row r="17433" spans="17:17" x14ac:dyDescent="0.25">
      <c r="Q17433" s="8"/>
    </row>
    <row r="17434" spans="17:17" x14ac:dyDescent="0.25">
      <c r="Q17434" s="8"/>
    </row>
    <row r="17435" spans="17:17" x14ac:dyDescent="0.25">
      <c r="Q17435" s="8"/>
    </row>
    <row r="17436" spans="17:17" x14ac:dyDescent="0.25">
      <c r="Q17436" s="8"/>
    </row>
    <row r="17437" spans="17:17" x14ac:dyDescent="0.25">
      <c r="Q17437" s="8"/>
    </row>
    <row r="17438" spans="17:17" x14ac:dyDescent="0.25">
      <c r="Q17438" s="8"/>
    </row>
    <row r="17439" spans="17:17" x14ac:dyDescent="0.25">
      <c r="Q17439" s="8"/>
    </row>
    <row r="17440" spans="17:17" x14ac:dyDescent="0.25">
      <c r="Q17440" s="8"/>
    </row>
    <row r="17441" spans="17:17" x14ac:dyDescent="0.25">
      <c r="Q17441" s="8"/>
    </row>
    <row r="17442" spans="17:17" x14ac:dyDescent="0.25">
      <c r="Q17442" s="8"/>
    </row>
    <row r="17443" spans="17:17" x14ac:dyDescent="0.25">
      <c r="Q17443" s="8"/>
    </row>
    <row r="17444" spans="17:17" x14ac:dyDescent="0.25">
      <c r="Q17444" s="8"/>
    </row>
    <row r="17445" spans="17:17" x14ac:dyDescent="0.25">
      <c r="Q17445" s="8"/>
    </row>
    <row r="17446" spans="17:17" x14ac:dyDescent="0.25">
      <c r="Q17446" s="8"/>
    </row>
    <row r="17447" spans="17:17" x14ac:dyDescent="0.25">
      <c r="Q17447" s="8"/>
    </row>
    <row r="17448" spans="17:17" x14ac:dyDescent="0.25">
      <c r="Q17448" s="8"/>
    </row>
    <row r="17449" spans="17:17" x14ac:dyDescent="0.25">
      <c r="Q17449" s="8"/>
    </row>
    <row r="17450" spans="17:17" x14ac:dyDescent="0.25">
      <c r="Q17450" s="8"/>
    </row>
    <row r="17451" spans="17:17" x14ac:dyDescent="0.25">
      <c r="Q17451" s="8"/>
    </row>
    <row r="17452" spans="17:17" x14ac:dyDescent="0.25">
      <c r="Q17452" s="8"/>
    </row>
    <row r="17453" spans="17:17" x14ac:dyDescent="0.25">
      <c r="Q17453" s="8"/>
    </row>
    <row r="17454" spans="17:17" x14ac:dyDescent="0.25">
      <c r="Q17454" s="8"/>
    </row>
    <row r="17455" spans="17:17" x14ac:dyDescent="0.25">
      <c r="Q17455" s="8"/>
    </row>
    <row r="17456" spans="17:17" x14ac:dyDescent="0.25">
      <c r="Q17456" s="8"/>
    </row>
    <row r="17457" spans="17:17" x14ac:dyDescent="0.25">
      <c r="Q17457" s="8"/>
    </row>
    <row r="17458" spans="17:17" x14ac:dyDescent="0.25">
      <c r="Q17458" s="8"/>
    </row>
    <row r="17459" spans="17:17" x14ac:dyDescent="0.25">
      <c r="Q17459" s="8"/>
    </row>
    <row r="17460" spans="17:17" x14ac:dyDescent="0.25">
      <c r="Q17460" s="8"/>
    </row>
    <row r="17461" spans="17:17" x14ac:dyDescent="0.25">
      <c r="Q17461" s="8"/>
    </row>
    <row r="17462" spans="17:17" x14ac:dyDescent="0.25">
      <c r="Q17462" s="8"/>
    </row>
    <row r="17463" spans="17:17" x14ac:dyDescent="0.25">
      <c r="Q17463" s="8"/>
    </row>
    <row r="17464" spans="17:17" x14ac:dyDescent="0.25">
      <c r="Q17464" s="8"/>
    </row>
    <row r="17465" spans="17:17" x14ac:dyDescent="0.25">
      <c r="Q17465" s="8"/>
    </row>
    <row r="17466" spans="17:17" x14ac:dyDescent="0.25">
      <c r="Q17466" s="8"/>
    </row>
    <row r="17467" spans="17:17" x14ac:dyDescent="0.25">
      <c r="Q17467" s="8"/>
    </row>
    <row r="17468" spans="17:17" x14ac:dyDescent="0.25">
      <c r="Q17468" s="8"/>
    </row>
    <row r="17469" spans="17:17" x14ac:dyDescent="0.25">
      <c r="Q17469" s="8"/>
    </row>
    <row r="17470" spans="17:17" x14ac:dyDescent="0.25">
      <c r="Q17470" s="8"/>
    </row>
    <row r="17471" spans="17:17" x14ac:dyDescent="0.25">
      <c r="Q17471" s="8"/>
    </row>
    <row r="17472" spans="17:17" x14ac:dyDescent="0.25">
      <c r="Q17472" s="8"/>
    </row>
    <row r="17473" spans="17:17" x14ac:dyDescent="0.25">
      <c r="Q17473" s="8"/>
    </row>
    <row r="17474" spans="17:17" x14ac:dyDescent="0.25">
      <c r="Q17474" s="8"/>
    </row>
    <row r="17475" spans="17:17" x14ac:dyDescent="0.25">
      <c r="Q17475" s="8"/>
    </row>
    <row r="17476" spans="17:17" x14ac:dyDescent="0.25">
      <c r="Q17476" s="8"/>
    </row>
    <row r="17477" spans="17:17" x14ac:dyDescent="0.25">
      <c r="Q17477" s="8"/>
    </row>
    <row r="17478" spans="17:17" x14ac:dyDescent="0.25">
      <c r="Q17478" s="8"/>
    </row>
    <row r="17479" spans="17:17" x14ac:dyDescent="0.25">
      <c r="Q17479" s="8"/>
    </row>
    <row r="17480" spans="17:17" x14ac:dyDescent="0.25">
      <c r="Q17480" s="8"/>
    </row>
    <row r="17481" spans="17:17" x14ac:dyDescent="0.25">
      <c r="Q17481" s="8"/>
    </row>
    <row r="17482" spans="17:17" x14ac:dyDescent="0.25">
      <c r="Q17482" s="8"/>
    </row>
    <row r="17483" spans="17:17" x14ac:dyDescent="0.25">
      <c r="Q17483" s="8"/>
    </row>
    <row r="17484" spans="17:17" x14ac:dyDescent="0.25">
      <c r="Q17484" s="8"/>
    </row>
    <row r="17485" spans="17:17" x14ac:dyDescent="0.25">
      <c r="Q17485" s="8"/>
    </row>
    <row r="17486" spans="17:17" x14ac:dyDescent="0.25">
      <c r="Q17486" s="8"/>
    </row>
    <row r="17487" spans="17:17" x14ac:dyDescent="0.25">
      <c r="Q17487" s="8"/>
    </row>
    <row r="17488" spans="17:17" x14ac:dyDescent="0.25">
      <c r="Q17488" s="8"/>
    </row>
    <row r="17489" spans="17:17" x14ac:dyDescent="0.25">
      <c r="Q17489" s="8"/>
    </row>
    <row r="17490" spans="17:17" x14ac:dyDescent="0.25">
      <c r="Q17490" s="8"/>
    </row>
    <row r="17491" spans="17:17" x14ac:dyDescent="0.25">
      <c r="Q17491" s="8"/>
    </row>
    <row r="17492" spans="17:17" x14ac:dyDescent="0.25">
      <c r="Q17492" s="8"/>
    </row>
    <row r="17493" spans="17:17" x14ac:dyDescent="0.25">
      <c r="Q17493" s="8"/>
    </row>
    <row r="17494" spans="17:17" x14ac:dyDescent="0.25">
      <c r="Q17494" s="8"/>
    </row>
    <row r="17495" spans="17:17" x14ac:dyDescent="0.25">
      <c r="Q17495" s="8"/>
    </row>
    <row r="17496" spans="17:17" x14ac:dyDescent="0.25">
      <c r="Q17496" s="8"/>
    </row>
    <row r="17497" spans="17:17" x14ac:dyDescent="0.25">
      <c r="Q17497" s="8"/>
    </row>
    <row r="17498" spans="17:17" x14ac:dyDescent="0.25">
      <c r="Q17498" s="8"/>
    </row>
    <row r="17499" spans="17:17" x14ac:dyDescent="0.25">
      <c r="Q17499" s="8"/>
    </row>
    <row r="17500" spans="17:17" x14ac:dyDescent="0.25">
      <c r="Q17500" s="8"/>
    </row>
    <row r="17501" spans="17:17" x14ac:dyDescent="0.25">
      <c r="Q17501" s="8"/>
    </row>
    <row r="17502" spans="17:17" x14ac:dyDescent="0.25">
      <c r="Q17502" s="8"/>
    </row>
    <row r="17503" spans="17:17" x14ac:dyDescent="0.25">
      <c r="Q17503" s="8"/>
    </row>
    <row r="17504" spans="17:17" x14ac:dyDescent="0.25">
      <c r="Q17504" s="8"/>
    </row>
    <row r="17505" spans="17:17" x14ac:dyDescent="0.25">
      <c r="Q17505" s="8"/>
    </row>
    <row r="17506" spans="17:17" x14ac:dyDescent="0.25">
      <c r="Q17506" s="8"/>
    </row>
    <row r="17507" spans="17:17" x14ac:dyDescent="0.25">
      <c r="Q17507" s="8"/>
    </row>
    <row r="17508" spans="17:17" x14ac:dyDescent="0.25">
      <c r="Q17508" s="8"/>
    </row>
    <row r="17509" spans="17:17" x14ac:dyDescent="0.25">
      <c r="Q17509" s="8"/>
    </row>
    <row r="17510" spans="17:17" x14ac:dyDescent="0.25">
      <c r="Q17510" s="8"/>
    </row>
    <row r="17511" spans="17:17" x14ac:dyDescent="0.25">
      <c r="Q17511" s="8"/>
    </row>
    <row r="17512" spans="17:17" x14ac:dyDescent="0.25">
      <c r="Q17512" s="8"/>
    </row>
    <row r="17513" spans="17:17" x14ac:dyDescent="0.25">
      <c r="Q17513" s="8"/>
    </row>
    <row r="17514" spans="17:17" x14ac:dyDescent="0.25">
      <c r="Q17514" s="8"/>
    </row>
    <row r="17515" spans="17:17" x14ac:dyDescent="0.25">
      <c r="Q17515" s="8"/>
    </row>
    <row r="17516" spans="17:17" x14ac:dyDescent="0.25">
      <c r="Q17516" s="8"/>
    </row>
    <row r="17517" spans="17:17" x14ac:dyDescent="0.25">
      <c r="Q17517" s="8"/>
    </row>
    <row r="17518" spans="17:17" x14ac:dyDescent="0.25">
      <c r="Q17518" s="8"/>
    </row>
    <row r="17519" spans="17:17" x14ac:dyDescent="0.25">
      <c r="Q17519" s="8"/>
    </row>
    <row r="17520" spans="17:17" x14ac:dyDescent="0.25">
      <c r="Q17520" s="8"/>
    </row>
    <row r="17521" spans="17:17" x14ac:dyDescent="0.25">
      <c r="Q17521" s="8"/>
    </row>
    <row r="17522" spans="17:17" x14ac:dyDescent="0.25">
      <c r="Q17522" s="8"/>
    </row>
    <row r="17523" spans="17:17" x14ac:dyDescent="0.25">
      <c r="Q17523" s="8"/>
    </row>
    <row r="17524" spans="17:17" x14ac:dyDescent="0.25">
      <c r="Q17524" s="8"/>
    </row>
    <row r="17525" spans="17:17" x14ac:dyDescent="0.25">
      <c r="Q17525" s="8"/>
    </row>
    <row r="17526" spans="17:17" x14ac:dyDescent="0.25">
      <c r="Q17526" s="8"/>
    </row>
    <row r="17527" spans="17:17" x14ac:dyDescent="0.25">
      <c r="Q17527" s="8"/>
    </row>
    <row r="17528" spans="17:17" x14ac:dyDescent="0.25">
      <c r="Q17528" s="8"/>
    </row>
    <row r="17529" spans="17:17" x14ac:dyDescent="0.25">
      <c r="Q17529" s="8"/>
    </row>
    <row r="17530" spans="17:17" x14ac:dyDescent="0.25">
      <c r="Q17530" s="8"/>
    </row>
    <row r="17531" spans="17:17" x14ac:dyDescent="0.25">
      <c r="Q17531" s="8"/>
    </row>
    <row r="17532" spans="17:17" x14ac:dyDescent="0.25">
      <c r="Q17532" s="8"/>
    </row>
    <row r="17533" spans="17:17" x14ac:dyDescent="0.25">
      <c r="Q17533" s="8"/>
    </row>
    <row r="17534" spans="17:17" x14ac:dyDescent="0.25">
      <c r="Q17534" s="8"/>
    </row>
    <row r="17535" spans="17:17" x14ac:dyDescent="0.25">
      <c r="Q17535" s="8"/>
    </row>
    <row r="17536" spans="17:17" x14ac:dyDescent="0.25">
      <c r="Q17536" s="8"/>
    </row>
    <row r="17537" spans="17:17" x14ac:dyDescent="0.25">
      <c r="Q17537" s="8"/>
    </row>
    <row r="17538" spans="17:17" x14ac:dyDescent="0.25">
      <c r="Q17538" s="8"/>
    </row>
    <row r="17539" spans="17:17" x14ac:dyDescent="0.25">
      <c r="Q17539" s="8"/>
    </row>
    <row r="17540" spans="17:17" x14ac:dyDescent="0.25">
      <c r="Q17540" s="8"/>
    </row>
    <row r="17541" spans="17:17" x14ac:dyDescent="0.25">
      <c r="Q17541" s="8"/>
    </row>
    <row r="17542" spans="17:17" x14ac:dyDescent="0.25">
      <c r="Q17542" s="8"/>
    </row>
    <row r="17543" spans="17:17" x14ac:dyDescent="0.25">
      <c r="Q17543" s="8"/>
    </row>
    <row r="17544" spans="17:17" x14ac:dyDescent="0.25">
      <c r="Q17544" s="8"/>
    </row>
    <row r="17545" spans="17:17" x14ac:dyDescent="0.25">
      <c r="Q17545" s="8"/>
    </row>
    <row r="17546" spans="17:17" x14ac:dyDescent="0.25">
      <c r="Q17546" s="8"/>
    </row>
    <row r="17547" spans="17:17" x14ac:dyDescent="0.25">
      <c r="Q17547" s="8"/>
    </row>
    <row r="17548" spans="17:17" x14ac:dyDescent="0.25">
      <c r="Q17548" s="8"/>
    </row>
    <row r="17549" spans="17:17" x14ac:dyDescent="0.25">
      <c r="Q17549" s="8"/>
    </row>
    <row r="17550" spans="17:17" x14ac:dyDescent="0.25">
      <c r="Q17550" s="8"/>
    </row>
    <row r="17551" spans="17:17" x14ac:dyDescent="0.25">
      <c r="Q17551" s="8"/>
    </row>
    <row r="17552" spans="17:17" x14ac:dyDescent="0.25">
      <c r="Q17552" s="8"/>
    </row>
    <row r="17553" spans="17:17" x14ac:dyDescent="0.25">
      <c r="Q17553" s="8"/>
    </row>
    <row r="17554" spans="17:17" x14ac:dyDescent="0.25">
      <c r="Q17554" s="8"/>
    </row>
    <row r="17555" spans="17:17" x14ac:dyDescent="0.25">
      <c r="Q17555" s="8"/>
    </row>
    <row r="17556" spans="17:17" x14ac:dyDescent="0.25">
      <c r="Q17556" s="8"/>
    </row>
    <row r="17557" spans="17:17" x14ac:dyDescent="0.25">
      <c r="Q17557" s="8"/>
    </row>
    <row r="17558" spans="17:17" x14ac:dyDescent="0.25">
      <c r="Q17558" s="8"/>
    </row>
    <row r="17559" spans="17:17" x14ac:dyDescent="0.25">
      <c r="Q17559" s="8"/>
    </row>
    <row r="17560" spans="17:17" x14ac:dyDescent="0.25">
      <c r="Q17560" s="8"/>
    </row>
    <row r="17561" spans="17:17" x14ac:dyDescent="0.25">
      <c r="Q17561" s="8"/>
    </row>
    <row r="17562" spans="17:17" x14ac:dyDescent="0.25">
      <c r="Q17562" s="8"/>
    </row>
    <row r="17563" spans="17:17" x14ac:dyDescent="0.25">
      <c r="Q17563" s="8"/>
    </row>
    <row r="17564" spans="17:17" x14ac:dyDescent="0.25">
      <c r="Q17564" s="8"/>
    </row>
    <row r="17565" spans="17:17" x14ac:dyDescent="0.25">
      <c r="Q17565" s="8"/>
    </row>
    <row r="17566" spans="17:17" x14ac:dyDescent="0.25">
      <c r="Q17566" s="8"/>
    </row>
    <row r="17567" spans="17:17" x14ac:dyDescent="0.25">
      <c r="Q17567" s="8"/>
    </row>
    <row r="17568" spans="17:17" x14ac:dyDescent="0.25">
      <c r="Q17568" s="8"/>
    </row>
    <row r="17569" spans="17:17" x14ac:dyDescent="0.25">
      <c r="Q17569" s="8"/>
    </row>
    <row r="17570" spans="17:17" x14ac:dyDescent="0.25">
      <c r="Q17570" s="8"/>
    </row>
    <row r="17571" spans="17:17" x14ac:dyDescent="0.25">
      <c r="Q17571" s="8"/>
    </row>
    <row r="17572" spans="17:17" x14ac:dyDescent="0.25">
      <c r="Q17572" s="8"/>
    </row>
    <row r="17573" spans="17:17" x14ac:dyDescent="0.25">
      <c r="Q17573" s="8"/>
    </row>
    <row r="17574" spans="17:17" x14ac:dyDescent="0.25">
      <c r="Q17574" s="8"/>
    </row>
    <row r="17575" spans="17:17" x14ac:dyDescent="0.25">
      <c r="Q17575" s="8"/>
    </row>
    <row r="17576" spans="17:17" x14ac:dyDescent="0.25">
      <c r="Q17576" s="8"/>
    </row>
    <row r="17577" spans="17:17" x14ac:dyDescent="0.25">
      <c r="Q17577" s="8"/>
    </row>
    <row r="17578" spans="17:17" x14ac:dyDescent="0.25">
      <c r="Q17578" s="8"/>
    </row>
    <row r="17579" spans="17:17" x14ac:dyDescent="0.25">
      <c r="Q17579" s="8"/>
    </row>
    <row r="17580" spans="17:17" x14ac:dyDescent="0.25">
      <c r="Q17580" s="8"/>
    </row>
    <row r="17581" spans="17:17" x14ac:dyDescent="0.25">
      <c r="Q17581" s="8"/>
    </row>
    <row r="17582" spans="17:17" x14ac:dyDescent="0.25">
      <c r="Q17582" s="8"/>
    </row>
    <row r="17583" spans="17:17" x14ac:dyDescent="0.25">
      <c r="Q17583" s="8"/>
    </row>
    <row r="17584" spans="17:17" x14ac:dyDescent="0.25">
      <c r="Q17584" s="8"/>
    </row>
    <row r="17585" spans="17:17" x14ac:dyDescent="0.25">
      <c r="Q17585" s="8"/>
    </row>
    <row r="17586" spans="17:17" x14ac:dyDescent="0.25">
      <c r="Q17586" s="8"/>
    </row>
    <row r="17587" spans="17:17" x14ac:dyDescent="0.25">
      <c r="Q17587" s="8"/>
    </row>
    <row r="17588" spans="17:17" x14ac:dyDescent="0.25">
      <c r="Q17588" s="8"/>
    </row>
    <row r="17589" spans="17:17" x14ac:dyDescent="0.25">
      <c r="Q17589" s="8"/>
    </row>
    <row r="17590" spans="17:17" x14ac:dyDescent="0.25">
      <c r="Q17590" s="8"/>
    </row>
    <row r="17591" spans="17:17" x14ac:dyDescent="0.25">
      <c r="Q17591" s="8"/>
    </row>
    <row r="17592" spans="17:17" x14ac:dyDescent="0.25">
      <c r="Q17592" s="8"/>
    </row>
    <row r="17593" spans="17:17" x14ac:dyDescent="0.25">
      <c r="Q17593" s="8"/>
    </row>
    <row r="17594" spans="17:17" x14ac:dyDescent="0.25">
      <c r="Q17594" s="8"/>
    </row>
    <row r="17595" spans="17:17" x14ac:dyDescent="0.25">
      <c r="Q17595" s="8"/>
    </row>
    <row r="17596" spans="17:17" x14ac:dyDescent="0.25">
      <c r="Q17596" s="8"/>
    </row>
    <row r="17597" spans="17:17" x14ac:dyDescent="0.25">
      <c r="Q17597" s="8"/>
    </row>
    <row r="17598" spans="17:17" x14ac:dyDescent="0.25">
      <c r="Q17598" s="8"/>
    </row>
    <row r="17599" spans="17:17" x14ac:dyDescent="0.25">
      <c r="Q17599" s="8"/>
    </row>
    <row r="17600" spans="17:17" x14ac:dyDescent="0.25">
      <c r="Q17600" s="8"/>
    </row>
    <row r="17601" spans="17:17" x14ac:dyDescent="0.25">
      <c r="Q17601" s="8"/>
    </row>
    <row r="17602" spans="17:17" x14ac:dyDescent="0.25">
      <c r="Q17602" s="8"/>
    </row>
    <row r="17603" spans="17:17" x14ac:dyDescent="0.25">
      <c r="Q17603" s="8"/>
    </row>
    <row r="17604" spans="17:17" x14ac:dyDescent="0.25">
      <c r="Q17604" s="8"/>
    </row>
    <row r="17605" spans="17:17" x14ac:dyDescent="0.25">
      <c r="Q17605" s="8"/>
    </row>
    <row r="17606" spans="17:17" x14ac:dyDescent="0.25">
      <c r="Q17606" s="8"/>
    </row>
    <row r="17607" spans="17:17" x14ac:dyDescent="0.25">
      <c r="Q17607" s="8"/>
    </row>
    <row r="17608" spans="17:17" x14ac:dyDescent="0.25">
      <c r="Q17608" s="8"/>
    </row>
    <row r="17609" spans="17:17" x14ac:dyDescent="0.25">
      <c r="Q17609" s="8"/>
    </row>
    <row r="17610" spans="17:17" x14ac:dyDescent="0.25">
      <c r="Q17610" s="8"/>
    </row>
    <row r="17611" spans="17:17" x14ac:dyDescent="0.25">
      <c r="Q17611" s="8"/>
    </row>
    <row r="17612" spans="17:17" x14ac:dyDescent="0.25">
      <c r="Q17612" s="8"/>
    </row>
    <row r="17613" spans="17:17" x14ac:dyDescent="0.25">
      <c r="Q17613" s="8"/>
    </row>
    <row r="17614" spans="17:17" x14ac:dyDescent="0.25">
      <c r="Q17614" s="8"/>
    </row>
    <row r="17615" spans="17:17" x14ac:dyDescent="0.25">
      <c r="Q17615" s="8"/>
    </row>
    <row r="17616" spans="17:17" x14ac:dyDescent="0.25">
      <c r="Q17616" s="8"/>
    </row>
    <row r="17617" spans="17:17" x14ac:dyDescent="0.25">
      <c r="Q17617" s="8"/>
    </row>
    <row r="17618" spans="17:17" x14ac:dyDescent="0.25">
      <c r="Q17618" s="8"/>
    </row>
    <row r="17619" spans="17:17" x14ac:dyDescent="0.25">
      <c r="Q17619" s="8"/>
    </row>
    <row r="17620" spans="17:17" x14ac:dyDescent="0.25">
      <c r="Q17620" s="8"/>
    </row>
    <row r="17621" spans="17:17" x14ac:dyDescent="0.25">
      <c r="Q17621" s="8"/>
    </row>
    <row r="17622" spans="17:17" x14ac:dyDescent="0.25">
      <c r="Q17622" s="8"/>
    </row>
    <row r="17623" spans="17:17" x14ac:dyDescent="0.25">
      <c r="Q17623" s="8"/>
    </row>
    <row r="17624" spans="17:17" x14ac:dyDescent="0.25">
      <c r="Q17624" s="8"/>
    </row>
    <row r="17625" spans="17:17" x14ac:dyDescent="0.25">
      <c r="Q17625" s="8"/>
    </row>
    <row r="17626" spans="17:17" x14ac:dyDescent="0.25">
      <c r="Q17626" s="8"/>
    </row>
    <row r="17627" spans="17:17" x14ac:dyDescent="0.25">
      <c r="Q17627" s="8"/>
    </row>
    <row r="17628" spans="17:17" x14ac:dyDescent="0.25">
      <c r="Q17628" s="8"/>
    </row>
    <row r="17629" spans="17:17" x14ac:dyDescent="0.25">
      <c r="Q17629" s="8"/>
    </row>
    <row r="17630" spans="17:17" x14ac:dyDescent="0.25">
      <c r="Q17630" s="8"/>
    </row>
    <row r="17631" spans="17:17" x14ac:dyDescent="0.25">
      <c r="Q17631" s="8"/>
    </row>
    <row r="17632" spans="17:17" x14ac:dyDescent="0.25">
      <c r="Q17632" s="8"/>
    </row>
    <row r="17633" spans="17:17" x14ac:dyDescent="0.25">
      <c r="Q17633" s="8"/>
    </row>
    <row r="17634" spans="17:17" x14ac:dyDescent="0.25">
      <c r="Q17634" s="8"/>
    </row>
    <row r="17635" spans="17:17" x14ac:dyDescent="0.25">
      <c r="Q17635" s="8"/>
    </row>
    <row r="17636" spans="17:17" x14ac:dyDescent="0.25">
      <c r="Q17636" s="8"/>
    </row>
    <row r="17637" spans="17:17" x14ac:dyDescent="0.25">
      <c r="Q17637" s="8"/>
    </row>
    <row r="17638" spans="17:17" x14ac:dyDescent="0.25">
      <c r="Q17638" s="8"/>
    </row>
    <row r="17639" spans="17:17" x14ac:dyDescent="0.25">
      <c r="Q17639" s="8"/>
    </row>
    <row r="17640" spans="17:17" x14ac:dyDescent="0.25">
      <c r="Q17640" s="8"/>
    </row>
    <row r="17641" spans="17:17" x14ac:dyDescent="0.25">
      <c r="Q17641" s="8"/>
    </row>
    <row r="17642" spans="17:17" x14ac:dyDescent="0.25">
      <c r="Q17642" s="8"/>
    </row>
    <row r="17643" spans="17:17" x14ac:dyDescent="0.25">
      <c r="Q17643" s="8"/>
    </row>
    <row r="17644" spans="17:17" x14ac:dyDescent="0.25">
      <c r="Q17644" s="8"/>
    </row>
    <row r="17645" spans="17:17" x14ac:dyDescent="0.25">
      <c r="Q17645" s="8"/>
    </row>
    <row r="17646" spans="17:17" x14ac:dyDescent="0.25">
      <c r="Q17646" s="8"/>
    </row>
    <row r="17647" spans="17:17" x14ac:dyDescent="0.25">
      <c r="Q17647" s="8"/>
    </row>
    <row r="17648" spans="17:17" x14ac:dyDescent="0.25">
      <c r="Q17648" s="8"/>
    </row>
    <row r="17649" spans="17:17" x14ac:dyDescent="0.25">
      <c r="Q17649" s="8"/>
    </row>
    <row r="17650" spans="17:17" x14ac:dyDescent="0.25">
      <c r="Q17650" s="8"/>
    </row>
    <row r="17651" spans="17:17" x14ac:dyDescent="0.25">
      <c r="Q17651" s="8"/>
    </row>
    <row r="17652" spans="17:17" x14ac:dyDescent="0.25">
      <c r="Q17652" s="8"/>
    </row>
    <row r="17653" spans="17:17" x14ac:dyDescent="0.25">
      <c r="Q17653" s="8"/>
    </row>
    <row r="17654" spans="17:17" x14ac:dyDescent="0.25">
      <c r="Q17654" s="8"/>
    </row>
    <row r="17655" spans="17:17" x14ac:dyDescent="0.25">
      <c r="Q17655" s="8"/>
    </row>
    <row r="17656" spans="17:17" x14ac:dyDescent="0.25">
      <c r="Q17656" s="8"/>
    </row>
    <row r="17657" spans="17:17" x14ac:dyDescent="0.25">
      <c r="Q17657" s="8"/>
    </row>
    <row r="17658" spans="17:17" x14ac:dyDescent="0.25">
      <c r="Q17658" s="8"/>
    </row>
    <row r="17659" spans="17:17" x14ac:dyDescent="0.25">
      <c r="Q17659" s="8"/>
    </row>
    <row r="17660" spans="17:17" x14ac:dyDescent="0.25">
      <c r="Q17660" s="8"/>
    </row>
    <row r="17661" spans="17:17" x14ac:dyDescent="0.25">
      <c r="Q17661" s="8"/>
    </row>
    <row r="17662" spans="17:17" x14ac:dyDescent="0.25">
      <c r="Q17662" s="8"/>
    </row>
    <row r="17663" spans="17:17" x14ac:dyDescent="0.25">
      <c r="Q17663" s="8"/>
    </row>
    <row r="17664" spans="17:17" x14ac:dyDescent="0.25">
      <c r="Q17664" s="8"/>
    </row>
    <row r="17665" spans="17:17" x14ac:dyDescent="0.25">
      <c r="Q17665" s="8"/>
    </row>
    <row r="17666" spans="17:17" x14ac:dyDescent="0.25">
      <c r="Q17666" s="8"/>
    </row>
    <row r="17667" spans="17:17" x14ac:dyDescent="0.25">
      <c r="Q17667" s="8"/>
    </row>
    <row r="17668" spans="17:17" x14ac:dyDescent="0.25">
      <c r="Q17668" s="8"/>
    </row>
    <row r="17669" spans="17:17" x14ac:dyDescent="0.25">
      <c r="Q17669" s="8"/>
    </row>
    <row r="17670" spans="17:17" x14ac:dyDescent="0.25">
      <c r="Q17670" s="8"/>
    </row>
    <row r="17671" spans="17:17" x14ac:dyDescent="0.25">
      <c r="Q17671" s="8"/>
    </row>
    <row r="17672" spans="17:17" x14ac:dyDescent="0.25">
      <c r="Q17672" s="8"/>
    </row>
    <row r="17673" spans="17:17" x14ac:dyDescent="0.25">
      <c r="Q17673" s="8"/>
    </row>
    <row r="17674" spans="17:17" x14ac:dyDescent="0.25">
      <c r="Q17674" s="8"/>
    </row>
    <row r="17675" spans="17:17" x14ac:dyDescent="0.25">
      <c r="Q17675" s="8"/>
    </row>
    <row r="17676" spans="17:17" x14ac:dyDescent="0.25">
      <c r="Q17676" s="8"/>
    </row>
    <row r="17677" spans="17:17" x14ac:dyDescent="0.25">
      <c r="Q17677" s="8"/>
    </row>
    <row r="17678" spans="17:17" x14ac:dyDescent="0.25">
      <c r="Q17678" s="8"/>
    </row>
    <row r="17679" spans="17:17" x14ac:dyDescent="0.25">
      <c r="Q17679" s="8"/>
    </row>
    <row r="17680" spans="17:17" x14ac:dyDescent="0.25">
      <c r="Q17680" s="8"/>
    </row>
    <row r="17681" spans="17:17" x14ac:dyDescent="0.25">
      <c r="Q17681" s="8"/>
    </row>
    <row r="17682" spans="17:17" x14ac:dyDescent="0.25">
      <c r="Q17682" s="8"/>
    </row>
    <row r="17683" spans="17:17" x14ac:dyDescent="0.25">
      <c r="Q17683" s="8"/>
    </row>
    <row r="17684" spans="17:17" x14ac:dyDescent="0.25">
      <c r="Q17684" s="8"/>
    </row>
    <row r="17685" spans="17:17" x14ac:dyDescent="0.25">
      <c r="Q17685" s="8"/>
    </row>
    <row r="17686" spans="17:17" x14ac:dyDescent="0.25">
      <c r="Q17686" s="8"/>
    </row>
    <row r="17687" spans="17:17" x14ac:dyDescent="0.25">
      <c r="Q17687" s="8"/>
    </row>
    <row r="17688" spans="17:17" x14ac:dyDescent="0.25">
      <c r="Q17688" s="8"/>
    </row>
    <row r="17689" spans="17:17" x14ac:dyDescent="0.25">
      <c r="Q17689" s="8"/>
    </row>
    <row r="17690" spans="17:17" x14ac:dyDescent="0.25">
      <c r="Q17690" s="8"/>
    </row>
    <row r="17691" spans="17:17" x14ac:dyDescent="0.25">
      <c r="Q17691" s="8"/>
    </row>
    <row r="17692" spans="17:17" x14ac:dyDescent="0.25">
      <c r="Q17692" s="8"/>
    </row>
    <row r="17693" spans="17:17" x14ac:dyDescent="0.25">
      <c r="Q17693" s="8"/>
    </row>
    <row r="17694" spans="17:17" x14ac:dyDescent="0.25">
      <c r="Q17694" s="8"/>
    </row>
    <row r="17695" spans="17:17" x14ac:dyDescent="0.25">
      <c r="Q17695" s="8"/>
    </row>
    <row r="17696" spans="17:17" x14ac:dyDescent="0.25">
      <c r="Q17696" s="8"/>
    </row>
    <row r="17697" spans="17:17" x14ac:dyDescent="0.25">
      <c r="Q17697" s="8"/>
    </row>
    <row r="17698" spans="17:17" x14ac:dyDescent="0.25">
      <c r="Q17698" s="8"/>
    </row>
    <row r="17699" spans="17:17" x14ac:dyDescent="0.25">
      <c r="Q17699" s="8"/>
    </row>
    <row r="17700" spans="17:17" x14ac:dyDescent="0.25">
      <c r="Q17700" s="8"/>
    </row>
    <row r="17701" spans="17:17" x14ac:dyDescent="0.25">
      <c r="Q17701" s="8"/>
    </row>
    <row r="17702" spans="17:17" x14ac:dyDescent="0.25">
      <c r="Q17702" s="8"/>
    </row>
    <row r="17703" spans="17:17" x14ac:dyDescent="0.25">
      <c r="Q17703" s="8"/>
    </row>
    <row r="17704" spans="17:17" x14ac:dyDescent="0.25">
      <c r="Q17704" s="8"/>
    </row>
    <row r="17705" spans="17:17" x14ac:dyDescent="0.25">
      <c r="Q17705" s="8"/>
    </row>
    <row r="17706" spans="17:17" x14ac:dyDescent="0.25">
      <c r="Q17706" s="8"/>
    </row>
    <row r="17707" spans="17:17" x14ac:dyDescent="0.25">
      <c r="Q17707" s="8"/>
    </row>
    <row r="17708" spans="17:17" x14ac:dyDescent="0.25">
      <c r="Q17708" s="8"/>
    </row>
    <row r="17709" spans="17:17" x14ac:dyDescent="0.25">
      <c r="Q17709" s="8"/>
    </row>
    <row r="17710" spans="17:17" x14ac:dyDescent="0.25">
      <c r="Q17710" s="8"/>
    </row>
    <row r="17711" spans="17:17" x14ac:dyDescent="0.25">
      <c r="Q17711" s="8"/>
    </row>
    <row r="17712" spans="17:17" x14ac:dyDescent="0.25">
      <c r="Q17712" s="8"/>
    </row>
    <row r="17713" spans="17:17" x14ac:dyDescent="0.25">
      <c r="Q17713" s="8"/>
    </row>
    <row r="17714" spans="17:17" x14ac:dyDescent="0.25">
      <c r="Q17714" s="8"/>
    </row>
    <row r="17715" spans="17:17" x14ac:dyDescent="0.25">
      <c r="Q17715" s="8"/>
    </row>
    <row r="17716" spans="17:17" x14ac:dyDescent="0.25">
      <c r="Q17716" s="8"/>
    </row>
    <row r="17717" spans="17:17" x14ac:dyDescent="0.25">
      <c r="Q17717" s="8"/>
    </row>
    <row r="17718" spans="17:17" x14ac:dyDescent="0.25">
      <c r="Q17718" s="8"/>
    </row>
    <row r="17719" spans="17:17" x14ac:dyDescent="0.25">
      <c r="Q17719" s="8"/>
    </row>
    <row r="17720" spans="17:17" x14ac:dyDescent="0.25">
      <c r="Q17720" s="8"/>
    </row>
    <row r="17721" spans="17:17" x14ac:dyDescent="0.25">
      <c r="Q17721" s="8"/>
    </row>
    <row r="17722" spans="17:17" x14ac:dyDescent="0.25">
      <c r="Q17722" s="8"/>
    </row>
    <row r="17723" spans="17:17" x14ac:dyDescent="0.25">
      <c r="Q17723" s="8"/>
    </row>
    <row r="17724" spans="17:17" x14ac:dyDescent="0.25">
      <c r="Q17724" s="8"/>
    </row>
    <row r="17725" spans="17:17" x14ac:dyDescent="0.25">
      <c r="Q17725" s="8"/>
    </row>
    <row r="17726" spans="17:17" x14ac:dyDescent="0.25">
      <c r="Q17726" s="8"/>
    </row>
    <row r="17727" spans="17:17" x14ac:dyDescent="0.25">
      <c r="Q17727" s="8"/>
    </row>
    <row r="17728" spans="17:17" x14ac:dyDescent="0.25">
      <c r="Q17728" s="8"/>
    </row>
    <row r="17729" spans="17:17" x14ac:dyDescent="0.25">
      <c r="Q17729" s="8"/>
    </row>
    <row r="17730" spans="17:17" x14ac:dyDescent="0.25">
      <c r="Q17730" s="8"/>
    </row>
    <row r="17731" spans="17:17" x14ac:dyDescent="0.25">
      <c r="Q17731" s="8"/>
    </row>
    <row r="17732" spans="17:17" x14ac:dyDescent="0.25">
      <c r="Q17732" s="8"/>
    </row>
    <row r="17733" spans="17:17" x14ac:dyDescent="0.25">
      <c r="Q17733" s="8"/>
    </row>
    <row r="17734" spans="17:17" x14ac:dyDescent="0.25">
      <c r="Q17734" s="8"/>
    </row>
    <row r="17735" spans="17:17" x14ac:dyDescent="0.25">
      <c r="Q17735" s="8"/>
    </row>
    <row r="17736" spans="17:17" x14ac:dyDescent="0.25">
      <c r="Q17736" s="8"/>
    </row>
    <row r="17737" spans="17:17" x14ac:dyDescent="0.25">
      <c r="Q17737" s="8"/>
    </row>
    <row r="17738" spans="17:17" x14ac:dyDescent="0.25">
      <c r="Q17738" s="8"/>
    </row>
    <row r="17739" spans="17:17" x14ac:dyDescent="0.25">
      <c r="Q17739" s="8"/>
    </row>
    <row r="17740" spans="17:17" x14ac:dyDescent="0.25">
      <c r="Q17740" s="8"/>
    </row>
    <row r="17741" spans="17:17" x14ac:dyDescent="0.25">
      <c r="Q17741" s="8"/>
    </row>
    <row r="17742" spans="17:17" x14ac:dyDescent="0.25">
      <c r="Q17742" s="8"/>
    </row>
    <row r="17743" spans="17:17" x14ac:dyDescent="0.25">
      <c r="Q17743" s="8"/>
    </row>
    <row r="17744" spans="17:17" x14ac:dyDescent="0.25">
      <c r="Q17744" s="8"/>
    </row>
    <row r="17745" spans="17:17" x14ac:dyDescent="0.25">
      <c r="Q17745" s="8"/>
    </row>
    <row r="17746" spans="17:17" x14ac:dyDescent="0.25">
      <c r="Q17746" s="8"/>
    </row>
    <row r="17747" spans="17:17" x14ac:dyDescent="0.25">
      <c r="Q17747" s="8"/>
    </row>
    <row r="17748" spans="17:17" x14ac:dyDescent="0.25">
      <c r="Q17748" s="8"/>
    </row>
    <row r="17749" spans="17:17" x14ac:dyDescent="0.25">
      <c r="Q17749" s="8"/>
    </row>
    <row r="17750" spans="17:17" x14ac:dyDescent="0.25">
      <c r="Q17750" s="8"/>
    </row>
    <row r="17751" spans="17:17" x14ac:dyDescent="0.25">
      <c r="Q17751" s="8"/>
    </row>
    <row r="17752" spans="17:17" x14ac:dyDescent="0.25">
      <c r="Q17752" s="8"/>
    </row>
    <row r="17753" spans="17:17" x14ac:dyDescent="0.25">
      <c r="Q17753" s="8"/>
    </row>
    <row r="17754" spans="17:17" x14ac:dyDescent="0.25">
      <c r="Q17754" s="8"/>
    </row>
    <row r="17755" spans="17:17" x14ac:dyDescent="0.25">
      <c r="Q17755" s="8"/>
    </row>
    <row r="17756" spans="17:17" x14ac:dyDescent="0.25">
      <c r="Q17756" s="8"/>
    </row>
    <row r="17757" spans="17:17" x14ac:dyDescent="0.25">
      <c r="Q17757" s="8"/>
    </row>
    <row r="17758" spans="17:17" x14ac:dyDescent="0.25">
      <c r="Q17758" s="8"/>
    </row>
    <row r="17759" spans="17:17" x14ac:dyDescent="0.25">
      <c r="Q17759" s="8"/>
    </row>
    <row r="17760" spans="17:17" x14ac:dyDescent="0.25">
      <c r="Q17760" s="8"/>
    </row>
    <row r="17761" spans="17:17" x14ac:dyDescent="0.25">
      <c r="Q17761" s="8"/>
    </row>
    <row r="17762" spans="17:17" x14ac:dyDescent="0.25">
      <c r="Q17762" s="8"/>
    </row>
    <row r="17763" spans="17:17" x14ac:dyDescent="0.25">
      <c r="Q17763" s="8"/>
    </row>
    <row r="17764" spans="17:17" x14ac:dyDescent="0.25">
      <c r="Q17764" s="8"/>
    </row>
    <row r="17765" spans="17:17" x14ac:dyDescent="0.25">
      <c r="Q17765" s="8"/>
    </row>
    <row r="17766" spans="17:17" x14ac:dyDescent="0.25">
      <c r="Q17766" s="8"/>
    </row>
    <row r="17767" spans="17:17" x14ac:dyDescent="0.25">
      <c r="Q17767" s="8"/>
    </row>
    <row r="17768" spans="17:17" x14ac:dyDescent="0.25">
      <c r="Q17768" s="8"/>
    </row>
    <row r="17769" spans="17:17" x14ac:dyDescent="0.25">
      <c r="Q17769" s="8"/>
    </row>
    <row r="17770" spans="17:17" x14ac:dyDescent="0.25">
      <c r="Q17770" s="8"/>
    </row>
    <row r="17771" spans="17:17" x14ac:dyDescent="0.25">
      <c r="Q17771" s="8"/>
    </row>
    <row r="17772" spans="17:17" x14ac:dyDescent="0.25">
      <c r="Q17772" s="8"/>
    </row>
    <row r="17773" spans="17:17" x14ac:dyDescent="0.25">
      <c r="Q17773" s="8"/>
    </row>
    <row r="17774" spans="17:17" x14ac:dyDescent="0.25">
      <c r="Q17774" s="8"/>
    </row>
    <row r="17775" spans="17:17" x14ac:dyDescent="0.25">
      <c r="Q17775" s="8"/>
    </row>
    <row r="17776" spans="17:17" x14ac:dyDescent="0.25">
      <c r="Q17776" s="8"/>
    </row>
    <row r="17777" spans="17:17" x14ac:dyDescent="0.25">
      <c r="Q17777" s="8"/>
    </row>
    <row r="17778" spans="17:17" x14ac:dyDescent="0.25">
      <c r="Q17778" s="8"/>
    </row>
    <row r="17779" spans="17:17" x14ac:dyDescent="0.25">
      <c r="Q17779" s="8"/>
    </row>
    <row r="17780" spans="17:17" x14ac:dyDescent="0.25">
      <c r="Q17780" s="8"/>
    </row>
    <row r="17781" spans="17:17" x14ac:dyDescent="0.25">
      <c r="Q17781" s="8"/>
    </row>
    <row r="17782" spans="17:17" x14ac:dyDescent="0.25">
      <c r="Q17782" s="8"/>
    </row>
    <row r="17783" spans="17:17" x14ac:dyDescent="0.25">
      <c r="Q17783" s="8"/>
    </row>
    <row r="17784" spans="17:17" x14ac:dyDescent="0.25">
      <c r="Q17784" s="8"/>
    </row>
    <row r="17785" spans="17:17" x14ac:dyDescent="0.25">
      <c r="Q17785" s="8"/>
    </row>
    <row r="17786" spans="17:17" x14ac:dyDescent="0.25">
      <c r="Q17786" s="8"/>
    </row>
    <row r="17787" spans="17:17" x14ac:dyDescent="0.25">
      <c r="Q17787" s="8"/>
    </row>
    <row r="17788" spans="17:17" x14ac:dyDescent="0.25">
      <c r="Q17788" s="8"/>
    </row>
    <row r="17789" spans="17:17" x14ac:dyDescent="0.25">
      <c r="Q17789" s="8"/>
    </row>
    <row r="17790" spans="17:17" x14ac:dyDescent="0.25">
      <c r="Q17790" s="8"/>
    </row>
    <row r="17791" spans="17:17" x14ac:dyDescent="0.25">
      <c r="Q17791" s="8"/>
    </row>
    <row r="17792" spans="17:17" x14ac:dyDescent="0.25">
      <c r="Q17792" s="8"/>
    </row>
    <row r="17793" spans="17:17" x14ac:dyDescent="0.25">
      <c r="Q17793" s="8"/>
    </row>
    <row r="17794" spans="17:17" x14ac:dyDescent="0.25">
      <c r="Q17794" s="8"/>
    </row>
    <row r="17795" spans="17:17" x14ac:dyDescent="0.25">
      <c r="Q17795" s="8"/>
    </row>
    <row r="17796" spans="17:17" x14ac:dyDescent="0.25">
      <c r="Q17796" s="8"/>
    </row>
    <row r="17797" spans="17:17" x14ac:dyDescent="0.25">
      <c r="Q17797" s="8"/>
    </row>
    <row r="17798" spans="17:17" x14ac:dyDescent="0.25">
      <c r="Q17798" s="8"/>
    </row>
    <row r="17799" spans="17:17" x14ac:dyDescent="0.25">
      <c r="Q17799" s="8"/>
    </row>
    <row r="17800" spans="17:17" x14ac:dyDescent="0.25">
      <c r="Q17800" s="8"/>
    </row>
    <row r="17801" spans="17:17" x14ac:dyDescent="0.25">
      <c r="Q17801" s="8"/>
    </row>
    <row r="17802" spans="17:17" x14ac:dyDescent="0.25">
      <c r="Q17802" s="8"/>
    </row>
    <row r="17803" spans="17:17" x14ac:dyDescent="0.25">
      <c r="Q17803" s="8"/>
    </row>
    <row r="17804" spans="17:17" x14ac:dyDescent="0.25">
      <c r="Q17804" s="8"/>
    </row>
    <row r="17805" spans="17:17" x14ac:dyDescent="0.25">
      <c r="Q17805" s="8"/>
    </row>
    <row r="17806" spans="17:17" x14ac:dyDescent="0.25">
      <c r="Q17806" s="8"/>
    </row>
    <row r="17807" spans="17:17" x14ac:dyDescent="0.25">
      <c r="Q17807" s="8"/>
    </row>
    <row r="17808" spans="17:17" x14ac:dyDescent="0.25">
      <c r="Q17808" s="8"/>
    </row>
    <row r="17809" spans="17:17" x14ac:dyDescent="0.25">
      <c r="Q17809" s="8"/>
    </row>
    <row r="17810" spans="17:17" x14ac:dyDescent="0.25">
      <c r="Q17810" s="8"/>
    </row>
    <row r="17811" spans="17:17" x14ac:dyDescent="0.25">
      <c r="Q17811" s="8"/>
    </row>
    <row r="17812" spans="17:17" x14ac:dyDescent="0.25">
      <c r="Q17812" s="8"/>
    </row>
    <row r="17813" spans="17:17" x14ac:dyDescent="0.25">
      <c r="Q17813" s="8"/>
    </row>
    <row r="17814" spans="17:17" x14ac:dyDescent="0.25">
      <c r="Q17814" s="8"/>
    </row>
    <row r="17815" spans="17:17" x14ac:dyDescent="0.25">
      <c r="Q17815" s="8"/>
    </row>
    <row r="17816" spans="17:17" x14ac:dyDescent="0.25">
      <c r="Q17816" s="8"/>
    </row>
    <row r="17817" spans="17:17" x14ac:dyDescent="0.25">
      <c r="Q17817" s="8"/>
    </row>
    <row r="17818" spans="17:17" x14ac:dyDescent="0.25">
      <c r="Q17818" s="8"/>
    </row>
    <row r="17819" spans="17:17" x14ac:dyDescent="0.25">
      <c r="Q17819" s="8"/>
    </row>
    <row r="17820" spans="17:17" x14ac:dyDescent="0.25">
      <c r="Q17820" s="8"/>
    </row>
    <row r="17821" spans="17:17" x14ac:dyDescent="0.25">
      <c r="Q17821" s="8"/>
    </row>
    <row r="17822" spans="17:17" x14ac:dyDescent="0.25">
      <c r="Q17822" s="8"/>
    </row>
    <row r="17823" spans="17:17" x14ac:dyDescent="0.25">
      <c r="Q17823" s="8"/>
    </row>
    <row r="17824" spans="17:17" x14ac:dyDescent="0.25">
      <c r="Q17824" s="8"/>
    </row>
    <row r="17825" spans="17:17" x14ac:dyDescent="0.25">
      <c r="Q17825" s="8"/>
    </row>
    <row r="17826" spans="17:17" x14ac:dyDescent="0.25">
      <c r="Q17826" s="8"/>
    </row>
    <row r="17827" spans="17:17" x14ac:dyDescent="0.25">
      <c r="Q17827" s="8"/>
    </row>
    <row r="17828" spans="17:17" x14ac:dyDescent="0.25">
      <c r="Q17828" s="8"/>
    </row>
    <row r="17829" spans="17:17" x14ac:dyDescent="0.25">
      <c r="Q17829" s="8"/>
    </row>
    <row r="17830" spans="17:17" x14ac:dyDescent="0.25">
      <c r="Q17830" s="8"/>
    </row>
    <row r="17831" spans="17:17" x14ac:dyDescent="0.25">
      <c r="Q17831" s="8"/>
    </row>
    <row r="17832" spans="17:17" x14ac:dyDescent="0.25">
      <c r="Q17832" s="8"/>
    </row>
    <row r="17833" spans="17:17" x14ac:dyDescent="0.25">
      <c r="Q17833" s="8"/>
    </row>
    <row r="17834" spans="17:17" x14ac:dyDescent="0.25">
      <c r="Q17834" s="8"/>
    </row>
    <row r="17835" spans="17:17" x14ac:dyDescent="0.25">
      <c r="Q17835" s="8"/>
    </row>
    <row r="17836" spans="17:17" x14ac:dyDescent="0.25">
      <c r="Q17836" s="8"/>
    </row>
    <row r="17837" spans="17:17" x14ac:dyDescent="0.25">
      <c r="Q17837" s="8"/>
    </row>
    <row r="17838" spans="17:17" x14ac:dyDescent="0.25">
      <c r="Q17838" s="8"/>
    </row>
    <row r="17839" spans="17:17" x14ac:dyDescent="0.25">
      <c r="Q17839" s="8"/>
    </row>
    <row r="17840" spans="17:17" x14ac:dyDescent="0.25">
      <c r="Q17840" s="8"/>
    </row>
    <row r="17841" spans="17:17" x14ac:dyDescent="0.25">
      <c r="Q17841" s="8"/>
    </row>
    <row r="17842" spans="17:17" x14ac:dyDescent="0.25">
      <c r="Q17842" s="8"/>
    </row>
    <row r="17843" spans="17:17" x14ac:dyDescent="0.25">
      <c r="Q17843" s="8"/>
    </row>
    <row r="17844" spans="17:17" x14ac:dyDescent="0.25">
      <c r="Q17844" s="8"/>
    </row>
    <row r="17845" spans="17:17" x14ac:dyDescent="0.25">
      <c r="Q17845" s="8"/>
    </row>
    <row r="17846" spans="17:17" x14ac:dyDescent="0.25">
      <c r="Q17846" s="8"/>
    </row>
    <row r="17847" spans="17:17" x14ac:dyDescent="0.25">
      <c r="Q17847" s="8"/>
    </row>
    <row r="17848" spans="17:17" x14ac:dyDescent="0.25">
      <c r="Q17848" s="8"/>
    </row>
    <row r="17849" spans="17:17" x14ac:dyDescent="0.25">
      <c r="Q17849" s="8"/>
    </row>
    <row r="17850" spans="17:17" x14ac:dyDescent="0.25">
      <c r="Q17850" s="8"/>
    </row>
    <row r="17851" spans="17:17" x14ac:dyDescent="0.25">
      <c r="Q17851" s="8"/>
    </row>
    <row r="17852" spans="17:17" x14ac:dyDescent="0.25">
      <c r="Q17852" s="8"/>
    </row>
    <row r="17853" spans="17:17" x14ac:dyDescent="0.25">
      <c r="Q17853" s="8"/>
    </row>
    <row r="17854" spans="17:17" x14ac:dyDescent="0.25">
      <c r="Q17854" s="8"/>
    </row>
    <row r="17855" spans="17:17" x14ac:dyDescent="0.25">
      <c r="Q17855" s="8"/>
    </row>
    <row r="17856" spans="17:17" x14ac:dyDescent="0.25">
      <c r="Q17856" s="8"/>
    </row>
    <row r="17857" spans="17:17" x14ac:dyDescent="0.25">
      <c r="Q17857" s="8"/>
    </row>
    <row r="17858" spans="17:17" x14ac:dyDescent="0.25">
      <c r="Q17858" s="8"/>
    </row>
    <row r="17859" spans="17:17" x14ac:dyDescent="0.25">
      <c r="Q17859" s="8"/>
    </row>
    <row r="17860" spans="17:17" x14ac:dyDescent="0.25">
      <c r="Q17860" s="8"/>
    </row>
    <row r="17861" spans="17:17" x14ac:dyDescent="0.25">
      <c r="Q17861" s="8"/>
    </row>
    <row r="17862" spans="17:17" x14ac:dyDescent="0.25">
      <c r="Q17862" s="8"/>
    </row>
    <row r="17863" spans="17:17" x14ac:dyDescent="0.25">
      <c r="Q17863" s="8"/>
    </row>
    <row r="17864" spans="17:17" x14ac:dyDescent="0.25">
      <c r="Q17864" s="8"/>
    </row>
    <row r="17865" spans="17:17" x14ac:dyDescent="0.25">
      <c r="Q17865" s="8"/>
    </row>
    <row r="17866" spans="17:17" x14ac:dyDescent="0.25">
      <c r="Q17866" s="8"/>
    </row>
    <row r="17867" spans="17:17" x14ac:dyDescent="0.25">
      <c r="Q17867" s="8"/>
    </row>
    <row r="17868" spans="17:17" x14ac:dyDescent="0.25">
      <c r="Q17868" s="8"/>
    </row>
    <row r="17869" spans="17:17" x14ac:dyDescent="0.25">
      <c r="Q17869" s="8"/>
    </row>
    <row r="17870" spans="17:17" x14ac:dyDescent="0.25">
      <c r="Q17870" s="8"/>
    </row>
    <row r="17871" spans="17:17" x14ac:dyDescent="0.25">
      <c r="Q17871" s="8"/>
    </row>
    <row r="17872" spans="17:17" x14ac:dyDescent="0.25">
      <c r="Q17872" s="8"/>
    </row>
    <row r="17873" spans="17:17" x14ac:dyDescent="0.25">
      <c r="Q17873" s="8"/>
    </row>
    <row r="17874" spans="17:17" x14ac:dyDescent="0.25">
      <c r="Q17874" s="8"/>
    </row>
    <row r="17875" spans="17:17" x14ac:dyDescent="0.25">
      <c r="Q17875" s="8"/>
    </row>
    <row r="17876" spans="17:17" x14ac:dyDescent="0.25">
      <c r="Q17876" s="8"/>
    </row>
    <row r="17877" spans="17:17" x14ac:dyDescent="0.25">
      <c r="Q17877" s="8"/>
    </row>
    <row r="17878" spans="17:17" x14ac:dyDescent="0.25">
      <c r="Q17878" s="8"/>
    </row>
    <row r="17879" spans="17:17" x14ac:dyDescent="0.25">
      <c r="Q17879" s="8"/>
    </row>
    <row r="17880" spans="17:17" x14ac:dyDescent="0.25">
      <c r="Q17880" s="8"/>
    </row>
    <row r="17881" spans="17:17" x14ac:dyDescent="0.25">
      <c r="Q17881" s="8"/>
    </row>
    <row r="17882" spans="17:17" x14ac:dyDescent="0.25">
      <c r="Q17882" s="8"/>
    </row>
    <row r="17883" spans="17:17" x14ac:dyDescent="0.25">
      <c r="Q17883" s="8"/>
    </row>
    <row r="17884" spans="17:17" x14ac:dyDescent="0.25">
      <c r="Q17884" s="8"/>
    </row>
    <row r="17885" spans="17:17" x14ac:dyDescent="0.25">
      <c r="Q17885" s="8"/>
    </row>
    <row r="17886" spans="17:17" x14ac:dyDescent="0.25">
      <c r="Q17886" s="8"/>
    </row>
    <row r="17887" spans="17:17" x14ac:dyDescent="0.25">
      <c r="Q17887" s="8"/>
    </row>
    <row r="17888" spans="17:17" x14ac:dyDescent="0.25">
      <c r="Q17888" s="8"/>
    </row>
    <row r="17889" spans="17:17" x14ac:dyDescent="0.25">
      <c r="Q17889" s="8"/>
    </row>
    <row r="17890" spans="17:17" x14ac:dyDescent="0.25">
      <c r="Q17890" s="8"/>
    </row>
    <row r="17891" spans="17:17" x14ac:dyDescent="0.25">
      <c r="Q17891" s="8"/>
    </row>
    <row r="17892" spans="17:17" x14ac:dyDescent="0.25">
      <c r="Q17892" s="8"/>
    </row>
    <row r="17893" spans="17:17" x14ac:dyDescent="0.25">
      <c r="Q17893" s="8"/>
    </row>
    <row r="17894" spans="17:17" x14ac:dyDescent="0.25">
      <c r="Q17894" s="8"/>
    </row>
    <row r="17895" spans="17:17" x14ac:dyDescent="0.25">
      <c r="Q17895" s="8"/>
    </row>
    <row r="17896" spans="17:17" x14ac:dyDescent="0.25">
      <c r="Q17896" s="8"/>
    </row>
    <row r="17897" spans="17:17" x14ac:dyDescent="0.25">
      <c r="Q17897" s="8"/>
    </row>
    <row r="17898" spans="17:17" x14ac:dyDescent="0.25">
      <c r="Q17898" s="8"/>
    </row>
    <row r="17899" spans="17:17" x14ac:dyDescent="0.25">
      <c r="Q17899" s="8"/>
    </row>
    <row r="17900" spans="17:17" x14ac:dyDescent="0.25">
      <c r="Q17900" s="8"/>
    </row>
    <row r="17901" spans="17:17" x14ac:dyDescent="0.25">
      <c r="Q17901" s="8"/>
    </row>
    <row r="17902" spans="17:17" x14ac:dyDescent="0.25">
      <c r="Q17902" s="8"/>
    </row>
    <row r="17903" spans="17:17" x14ac:dyDescent="0.25">
      <c r="Q17903" s="8"/>
    </row>
    <row r="17904" spans="17:17" x14ac:dyDescent="0.25">
      <c r="Q17904" s="8"/>
    </row>
    <row r="17905" spans="17:17" x14ac:dyDescent="0.25">
      <c r="Q17905" s="8"/>
    </row>
    <row r="17906" spans="17:17" x14ac:dyDescent="0.25">
      <c r="Q17906" s="8"/>
    </row>
    <row r="17907" spans="17:17" x14ac:dyDescent="0.25">
      <c r="Q17907" s="8"/>
    </row>
    <row r="17908" spans="17:17" x14ac:dyDescent="0.25">
      <c r="Q17908" s="8"/>
    </row>
    <row r="17909" spans="17:17" x14ac:dyDescent="0.25">
      <c r="Q17909" s="8"/>
    </row>
    <row r="17910" spans="17:17" x14ac:dyDescent="0.25">
      <c r="Q17910" s="8"/>
    </row>
    <row r="17911" spans="17:17" x14ac:dyDescent="0.25">
      <c r="Q17911" s="8"/>
    </row>
    <row r="17912" spans="17:17" x14ac:dyDescent="0.25">
      <c r="Q17912" s="8"/>
    </row>
    <row r="17913" spans="17:17" x14ac:dyDescent="0.25">
      <c r="Q17913" s="8"/>
    </row>
    <row r="17914" spans="17:17" x14ac:dyDescent="0.25">
      <c r="Q17914" s="8"/>
    </row>
    <row r="17915" spans="17:17" x14ac:dyDescent="0.25">
      <c r="Q17915" s="8"/>
    </row>
    <row r="17916" spans="17:17" x14ac:dyDescent="0.25">
      <c r="Q17916" s="8"/>
    </row>
    <row r="17917" spans="17:17" x14ac:dyDescent="0.25">
      <c r="Q17917" s="8"/>
    </row>
    <row r="17918" spans="17:17" x14ac:dyDescent="0.25">
      <c r="Q17918" s="8"/>
    </row>
    <row r="17919" spans="17:17" x14ac:dyDescent="0.25">
      <c r="Q17919" s="8"/>
    </row>
    <row r="17920" spans="17:17" x14ac:dyDescent="0.25">
      <c r="Q17920" s="8"/>
    </row>
    <row r="17921" spans="17:17" x14ac:dyDescent="0.25">
      <c r="Q17921" s="8"/>
    </row>
    <row r="17922" spans="17:17" x14ac:dyDescent="0.25">
      <c r="Q17922" s="8"/>
    </row>
    <row r="17923" spans="17:17" x14ac:dyDescent="0.25">
      <c r="Q17923" s="8"/>
    </row>
    <row r="17924" spans="17:17" x14ac:dyDescent="0.25">
      <c r="Q17924" s="8"/>
    </row>
    <row r="17925" spans="17:17" x14ac:dyDescent="0.25">
      <c r="Q17925" s="8"/>
    </row>
    <row r="17926" spans="17:17" x14ac:dyDescent="0.25">
      <c r="Q17926" s="8"/>
    </row>
    <row r="17927" spans="17:17" x14ac:dyDescent="0.25">
      <c r="Q17927" s="8"/>
    </row>
    <row r="17928" spans="17:17" x14ac:dyDescent="0.25">
      <c r="Q17928" s="8"/>
    </row>
    <row r="17929" spans="17:17" x14ac:dyDescent="0.25">
      <c r="Q17929" s="8"/>
    </row>
    <row r="17930" spans="17:17" x14ac:dyDescent="0.25">
      <c r="Q17930" s="8"/>
    </row>
    <row r="17931" spans="17:17" x14ac:dyDescent="0.25">
      <c r="Q17931" s="8"/>
    </row>
    <row r="17932" spans="17:17" x14ac:dyDescent="0.25">
      <c r="Q17932" s="8"/>
    </row>
    <row r="17933" spans="17:17" x14ac:dyDescent="0.25">
      <c r="Q17933" s="8"/>
    </row>
    <row r="17934" spans="17:17" x14ac:dyDescent="0.25">
      <c r="Q17934" s="8"/>
    </row>
    <row r="17935" spans="17:17" x14ac:dyDescent="0.25">
      <c r="Q17935" s="8"/>
    </row>
    <row r="17936" spans="17:17" x14ac:dyDescent="0.25">
      <c r="Q17936" s="8"/>
    </row>
    <row r="17937" spans="17:17" x14ac:dyDescent="0.25">
      <c r="Q17937" s="8"/>
    </row>
    <row r="17938" spans="17:17" x14ac:dyDescent="0.25">
      <c r="Q17938" s="8"/>
    </row>
    <row r="17939" spans="17:17" x14ac:dyDescent="0.25">
      <c r="Q17939" s="8"/>
    </row>
    <row r="17940" spans="17:17" x14ac:dyDescent="0.25">
      <c r="Q17940" s="8"/>
    </row>
    <row r="17941" spans="17:17" x14ac:dyDescent="0.25">
      <c r="Q17941" s="8"/>
    </row>
    <row r="17942" spans="17:17" x14ac:dyDescent="0.25">
      <c r="Q17942" s="8"/>
    </row>
    <row r="17943" spans="17:17" x14ac:dyDescent="0.25">
      <c r="Q17943" s="8"/>
    </row>
    <row r="17944" spans="17:17" x14ac:dyDescent="0.25">
      <c r="Q17944" s="8"/>
    </row>
    <row r="17945" spans="17:17" x14ac:dyDescent="0.25">
      <c r="Q17945" s="8"/>
    </row>
    <row r="17946" spans="17:17" x14ac:dyDescent="0.25">
      <c r="Q17946" s="8"/>
    </row>
    <row r="17947" spans="17:17" x14ac:dyDescent="0.25">
      <c r="Q17947" s="8"/>
    </row>
    <row r="17948" spans="17:17" x14ac:dyDescent="0.25">
      <c r="Q17948" s="8"/>
    </row>
    <row r="17949" spans="17:17" x14ac:dyDescent="0.25">
      <c r="Q17949" s="8"/>
    </row>
    <row r="17950" spans="17:17" x14ac:dyDescent="0.25">
      <c r="Q17950" s="8"/>
    </row>
    <row r="17951" spans="17:17" x14ac:dyDescent="0.25">
      <c r="Q17951" s="8"/>
    </row>
    <row r="17952" spans="17:17" x14ac:dyDescent="0.25">
      <c r="Q17952" s="8"/>
    </row>
    <row r="17953" spans="17:17" x14ac:dyDescent="0.25">
      <c r="Q17953" s="8"/>
    </row>
    <row r="17954" spans="17:17" x14ac:dyDescent="0.25">
      <c r="Q17954" s="8"/>
    </row>
    <row r="17955" spans="17:17" x14ac:dyDescent="0.25">
      <c r="Q17955" s="8"/>
    </row>
    <row r="17956" spans="17:17" x14ac:dyDescent="0.25">
      <c r="Q17956" s="8"/>
    </row>
    <row r="17957" spans="17:17" x14ac:dyDescent="0.25">
      <c r="Q17957" s="8"/>
    </row>
    <row r="17958" spans="17:17" x14ac:dyDescent="0.25">
      <c r="Q17958" s="8"/>
    </row>
    <row r="17959" spans="17:17" x14ac:dyDescent="0.25">
      <c r="Q17959" s="8"/>
    </row>
    <row r="17960" spans="17:17" x14ac:dyDescent="0.25">
      <c r="Q17960" s="8"/>
    </row>
    <row r="17961" spans="17:17" x14ac:dyDescent="0.25">
      <c r="Q17961" s="8"/>
    </row>
    <row r="17962" spans="17:17" x14ac:dyDescent="0.25">
      <c r="Q17962" s="8"/>
    </row>
    <row r="17963" spans="17:17" x14ac:dyDescent="0.25">
      <c r="Q17963" s="8"/>
    </row>
    <row r="17964" spans="17:17" x14ac:dyDescent="0.25">
      <c r="Q17964" s="8"/>
    </row>
    <row r="17965" spans="17:17" x14ac:dyDescent="0.25">
      <c r="Q17965" s="8"/>
    </row>
    <row r="17966" spans="17:17" x14ac:dyDescent="0.25">
      <c r="Q17966" s="8"/>
    </row>
    <row r="17967" spans="17:17" x14ac:dyDescent="0.25">
      <c r="Q17967" s="8"/>
    </row>
    <row r="17968" spans="17:17" x14ac:dyDescent="0.25">
      <c r="Q17968" s="8"/>
    </row>
    <row r="17969" spans="17:17" x14ac:dyDescent="0.25">
      <c r="Q17969" s="8"/>
    </row>
    <row r="17970" spans="17:17" x14ac:dyDescent="0.25">
      <c r="Q17970" s="8"/>
    </row>
    <row r="17971" spans="17:17" x14ac:dyDescent="0.25">
      <c r="Q17971" s="8"/>
    </row>
    <row r="17972" spans="17:17" x14ac:dyDescent="0.25">
      <c r="Q17972" s="8"/>
    </row>
    <row r="17973" spans="17:17" x14ac:dyDescent="0.25">
      <c r="Q17973" s="8"/>
    </row>
    <row r="17974" spans="17:17" x14ac:dyDescent="0.25">
      <c r="Q17974" s="8"/>
    </row>
    <row r="17975" spans="17:17" x14ac:dyDescent="0.25">
      <c r="Q17975" s="8"/>
    </row>
    <row r="17976" spans="17:17" x14ac:dyDescent="0.25">
      <c r="Q17976" s="8"/>
    </row>
    <row r="17977" spans="17:17" x14ac:dyDescent="0.25">
      <c r="Q17977" s="8"/>
    </row>
    <row r="17978" spans="17:17" x14ac:dyDescent="0.25">
      <c r="Q17978" s="8"/>
    </row>
    <row r="17979" spans="17:17" x14ac:dyDescent="0.25">
      <c r="Q17979" s="8"/>
    </row>
    <row r="17980" spans="17:17" x14ac:dyDescent="0.25">
      <c r="Q17980" s="8"/>
    </row>
    <row r="17981" spans="17:17" x14ac:dyDescent="0.25">
      <c r="Q17981" s="8"/>
    </row>
    <row r="17982" spans="17:17" x14ac:dyDescent="0.25">
      <c r="Q17982" s="8"/>
    </row>
    <row r="17983" spans="17:17" x14ac:dyDescent="0.25">
      <c r="Q17983" s="8"/>
    </row>
    <row r="17984" spans="17:17" x14ac:dyDescent="0.25">
      <c r="Q17984" s="8"/>
    </row>
    <row r="17985" spans="17:17" x14ac:dyDescent="0.25">
      <c r="Q17985" s="8"/>
    </row>
    <row r="17986" spans="17:17" x14ac:dyDescent="0.25">
      <c r="Q17986" s="8"/>
    </row>
    <row r="17987" spans="17:17" x14ac:dyDescent="0.25">
      <c r="Q17987" s="8"/>
    </row>
    <row r="17988" spans="17:17" x14ac:dyDescent="0.25">
      <c r="Q17988" s="8"/>
    </row>
    <row r="17989" spans="17:17" x14ac:dyDescent="0.25">
      <c r="Q17989" s="8"/>
    </row>
    <row r="17990" spans="17:17" x14ac:dyDescent="0.25">
      <c r="Q17990" s="8"/>
    </row>
    <row r="17991" spans="17:17" x14ac:dyDescent="0.25">
      <c r="Q17991" s="8"/>
    </row>
    <row r="17992" spans="17:17" x14ac:dyDescent="0.25">
      <c r="Q17992" s="8"/>
    </row>
    <row r="17993" spans="17:17" x14ac:dyDescent="0.25">
      <c r="Q17993" s="8"/>
    </row>
    <row r="17994" spans="17:17" x14ac:dyDescent="0.25">
      <c r="Q17994" s="8"/>
    </row>
    <row r="17995" spans="17:17" x14ac:dyDescent="0.25">
      <c r="Q17995" s="8"/>
    </row>
    <row r="17996" spans="17:17" x14ac:dyDescent="0.25">
      <c r="Q17996" s="8"/>
    </row>
    <row r="17997" spans="17:17" x14ac:dyDescent="0.25">
      <c r="Q17997" s="8"/>
    </row>
    <row r="17998" spans="17:17" x14ac:dyDescent="0.25">
      <c r="Q17998" s="8"/>
    </row>
    <row r="17999" spans="17:17" x14ac:dyDescent="0.25">
      <c r="Q17999" s="8"/>
    </row>
    <row r="18000" spans="17:17" x14ac:dyDescent="0.25">
      <c r="Q18000" s="8"/>
    </row>
    <row r="18001" spans="17:17" x14ac:dyDescent="0.25">
      <c r="Q18001" s="8"/>
    </row>
    <row r="18002" spans="17:17" x14ac:dyDescent="0.25">
      <c r="Q18002" s="8"/>
    </row>
    <row r="18003" spans="17:17" x14ac:dyDescent="0.25">
      <c r="Q18003" s="8"/>
    </row>
    <row r="18004" spans="17:17" x14ac:dyDescent="0.25">
      <c r="Q18004" s="8"/>
    </row>
    <row r="18005" spans="17:17" x14ac:dyDescent="0.25">
      <c r="Q18005" s="8"/>
    </row>
    <row r="18006" spans="17:17" x14ac:dyDescent="0.25">
      <c r="Q18006" s="8"/>
    </row>
    <row r="18007" spans="17:17" x14ac:dyDescent="0.25">
      <c r="Q18007" s="8"/>
    </row>
    <row r="18008" spans="17:17" x14ac:dyDescent="0.25">
      <c r="Q18008" s="8"/>
    </row>
    <row r="18009" spans="17:17" x14ac:dyDescent="0.25">
      <c r="Q18009" s="8"/>
    </row>
    <row r="18010" spans="17:17" x14ac:dyDescent="0.25">
      <c r="Q18010" s="8"/>
    </row>
    <row r="18011" spans="17:17" x14ac:dyDescent="0.25">
      <c r="Q18011" s="8"/>
    </row>
    <row r="18012" spans="17:17" x14ac:dyDescent="0.25">
      <c r="Q18012" s="8"/>
    </row>
    <row r="18013" spans="17:17" x14ac:dyDescent="0.25">
      <c r="Q18013" s="8"/>
    </row>
    <row r="18014" spans="17:17" x14ac:dyDescent="0.25">
      <c r="Q18014" s="8"/>
    </row>
    <row r="18015" spans="17:17" x14ac:dyDescent="0.25">
      <c r="Q18015" s="8"/>
    </row>
    <row r="18016" spans="17:17" x14ac:dyDescent="0.25">
      <c r="Q18016" s="8"/>
    </row>
    <row r="18017" spans="17:17" x14ac:dyDescent="0.25">
      <c r="Q18017" s="8"/>
    </row>
    <row r="18018" spans="17:17" x14ac:dyDescent="0.25">
      <c r="Q18018" s="8"/>
    </row>
    <row r="18019" spans="17:17" x14ac:dyDescent="0.25">
      <c r="Q18019" s="8"/>
    </row>
    <row r="18020" spans="17:17" x14ac:dyDescent="0.25">
      <c r="Q18020" s="8"/>
    </row>
    <row r="18021" spans="17:17" x14ac:dyDescent="0.25">
      <c r="Q18021" s="8"/>
    </row>
    <row r="18022" spans="17:17" x14ac:dyDescent="0.25">
      <c r="Q18022" s="8"/>
    </row>
    <row r="18023" spans="17:17" x14ac:dyDescent="0.25">
      <c r="Q18023" s="8"/>
    </row>
    <row r="18024" spans="17:17" x14ac:dyDescent="0.25">
      <c r="Q18024" s="8"/>
    </row>
    <row r="18025" spans="17:17" x14ac:dyDescent="0.25">
      <c r="Q18025" s="8"/>
    </row>
    <row r="18026" spans="17:17" x14ac:dyDescent="0.25">
      <c r="Q18026" s="8"/>
    </row>
    <row r="18027" spans="17:17" x14ac:dyDescent="0.25">
      <c r="Q18027" s="8"/>
    </row>
    <row r="18028" spans="17:17" x14ac:dyDescent="0.25">
      <c r="Q18028" s="8"/>
    </row>
    <row r="18029" spans="17:17" x14ac:dyDescent="0.25">
      <c r="Q18029" s="8"/>
    </row>
    <row r="18030" spans="17:17" x14ac:dyDescent="0.25">
      <c r="Q18030" s="8"/>
    </row>
    <row r="18031" spans="17:17" x14ac:dyDescent="0.25">
      <c r="Q18031" s="8"/>
    </row>
    <row r="18032" spans="17:17" x14ac:dyDescent="0.25">
      <c r="Q18032" s="8"/>
    </row>
    <row r="18033" spans="17:17" x14ac:dyDescent="0.25">
      <c r="Q18033" s="8"/>
    </row>
    <row r="18034" spans="17:17" x14ac:dyDescent="0.25">
      <c r="Q18034" s="8"/>
    </row>
    <row r="18035" spans="17:17" x14ac:dyDescent="0.25">
      <c r="Q18035" s="8"/>
    </row>
    <row r="18036" spans="17:17" x14ac:dyDescent="0.25">
      <c r="Q18036" s="8"/>
    </row>
    <row r="18037" spans="17:17" x14ac:dyDescent="0.25">
      <c r="Q18037" s="8"/>
    </row>
    <row r="18038" spans="17:17" x14ac:dyDescent="0.25">
      <c r="Q18038" s="8"/>
    </row>
    <row r="18039" spans="17:17" x14ac:dyDescent="0.25">
      <c r="Q18039" s="8"/>
    </row>
    <row r="18040" spans="17:17" x14ac:dyDescent="0.25">
      <c r="Q18040" s="8"/>
    </row>
    <row r="18041" spans="17:17" x14ac:dyDescent="0.25">
      <c r="Q18041" s="8"/>
    </row>
    <row r="18042" spans="17:17" x14ac:dyDescent="0.25">
      <c r="Q18042" s="8"/>
    </row>
    <row r="18043" spans="17:17" x14ac:dyDescent="0.25">
      <c r="Q18043" s="8"/>
    </row>
    <row r="18044" spans="17:17" x14ac:dyDescent="0.25">
      <c r="Q18044" s="8"/>
    </row>
    <row r="18045" spans="17:17" x14ac:dyDescent="0.25">
      <c r="Q18045" s="8"/>
    </row>
    <row r="18046" spans="17:17" x14ac:dyDescent="0.25">
      <c r="Q18046" s="8"/>
    </row>
    <row r="18047" spans="17:17" x14ac:dyDescent="0.25">
      <c r="Q18047" s="8"/>
    </row>
    <row r="18048" spans="17:17" x14ac:dyDescent="0.25">
      <c r="Q18048" s="8"/>
    </row>
    <row r="18049" spans="17:17" x14ac:dyDescent="0.25">
      <c r="Q18049" s="8"/>
    </row>
    <row r="18050" spans="17:17" x14ac:dyDescent="0.25">
      <c r="Q18050" s="8"/>
    </row>
    <row r="18051" spans="17:17" x14ac:dyDescent="0.25">
      <c r="Q18051" s="8"/>
    </row>
    <row r="18052" spans="17:17" x14ac:dyDescent="0.25">
      <c r="Q18052" s="8"/>
    </row>
    <row r="18053" spans="17:17" x14ac:dyDescent="0.25">
      <c r="Q18053" s="8"/>
    </row>
    <row r="18054" spans="17:17" x14ac:dyDescent="0.25">
      <c r="Q18054" s="8"/>
    </row>
    <row r="18055" spans="17:17" x14ac:dyDescent="0.25">
      <c r="Q18055" s="8"/>
    </row>
    <row r="18056" spans="17:17" x14ac:dyDescent="0.25">
      <c r="Q18056" s="8"/>
    </row>
    <row r="18057" spans="17:17" x14ac:dyDescent="0.25">
      <c r="Q18057" s="8"/>
    </row>
    <row r="18058" spans="17:17" x14ac:dyDescent="0.25">
      <c r="Q18058" s="8"/>
    </row>
    <row r="18059" spans="17:17" x14ac:dyDescent="0.25">
      <c r="Q18059" s="8"/>
    </row>
    <row r="18060" spans="17:17" x14ac:dyDescent="0.25">
      <c r="Q18060" s="8"/>
    </row>
    <row r="18061" spans="17:17" x14ac:dyDescent="0.25">
      <c r="Q18061" s="8"/>
    </row>
    <row r="18062" spans="17:17" x14ac:dyDescent="0.25">
      <c r="Q18062" s="8"/>
    </row>
    <row r="18063" spans="17:17" x14ac:dyDescent="0.25">
      <c r="Q18063" s="8"/>
    </row>
    <row r="18064" spans="17:17" x14ac:dyDescent="0.25">
      <c r="Q18064" s="8"/>
    </row>
    <row r="18065" spans="17:17" x14ac:dyDescent="0.25">
      <c r="Q18065" s="8"/>
    </row>
    <row r="18066" spans="17:17" x14ac:dyDescent="0.25">
      <c r="Q18066" s="8"/>
    </row>
    <row r="18067" spans="17:17" x14ac:dyDescent="0.25">
      <c r="Q18067" s="8"/>
    </row>
    <row r="18068" spans="17:17" x14ac:dyDescent="0.25">
      <c r="Q18068" s="8"/>
    </row>
    <row r="18069" spans="17:17" x14ac:dyDescent="0.25">
      <c r="Q18069" s="8"/>
    </row>
    <row r="18070" spans="17:17" x14ac:dyDescent="0.25">
      <c r="Q18070" s="8"/>
    </row>
    <row r="18071" spans="17:17" x14ac:dyDescent="0.25">
      <c r="Q18071" s="8"/>
    </row>
    <row r="18072" spans="17:17" x14ac:dyDescent="0.25">
      <c r="Q18072" s="8"/>
    </row>
    <row r="18073" spans="17:17" x14ac:dyDescent="0.25">
      <c r="Q18073" s="8"/>
    </row>
    <row r="18074" spans="17:17" x14ac:dyDescent="0.25">
      <c r="Q18074" s="8"/>
    </row>
    <row r="18075" spans="17:17" x14ac:dyDescent="0.25">
      <c r="Q18075" s="8"/>
    </row>
    <row r="18076" spans="17:17" x14ac:dyDescent="0.25">
      <c r="Q18076" s="8"/>
    </row>
    <row r="18077" spans="17:17" x14ac:dyDescent="0.25">
      <c r="Q18077" s="8"/>
    </row>
    <row r="18078" spans="17:17" x14ac:dyDescent="0.25">
      <c r="Q18078" s="8"/>
    </row>
    <row r="18079" spans="17:17" x14ac:dyDescent="0.25">
      <c r="Q18079" s="8"/>
    </row>
    <row r="18080" spans="17:17" x14ac:dyDescent="0.25">
      <c r="Q18080" s="8"/>
    </row>
    <row r="18081" spans="17:17" x14ac:dyDescent="0.25">
      <c r="Q18081" s="8"/>
    </row>
    <row r="18082" spans="17:17" x14ac:dyDescent="0.25">
      <c r="Q18082" s="8"/>
    </row>
    <row r="18083" spans="17:17" x14ac:dyDescent="0.25">
      <c r="Q18083" s="8"/>
    </row>
    <row r="18084" spans="17:17" x14ac:dyDescent="0.25">
      <c r="Q18084" s="8"/>
    </row>
    <row r="18085" spans="17:17" x14ac:dyDescent="0.25">
      <c r="Q18085" s="8"/>
    </row>
    <row r="18086" spans="17:17" x14ac:dyDescent="0.25">
      <c r="Q18086" s="8"/>
    </row>
    <row r="18087" spans="17:17" x14ac:dyDescent="0.25">
      <c r="Q18087" s="8"/>
    </row>
    <row r="18088" spans="17:17" x14ac:dyDescent="0.25">
      <c r="Q18088" s="8"/>
    </row>
    <row r="18089" spans="17:17" x14ac:dyDescent="0.25">
      <c r="Q18089" s="8"/>
    </row>
    <row r="18090" spans="17:17" x14ac:dyDescent="0.25">
      <c r="Q18090" s="8"/>
    </row>
    <row r="18091" spans="17:17" x14ac:dyDescent="0.25">
      <c r="Q18091" s="8"/>
    </row>
    <row r="18092" spans="17:17" x14ac:dyDescent="0.25">
      <c r="Q18092" s="8"/>
    </row>
    <row r="18093" spans="17:17" x14ac:dyDescent="0.25">
      <c r="Q18093" s="8"/>
    </row>
    <row r="18094" spans="17:17" x14ac:dyDescent="0.25">
      <c r="Q18094" s="8"/>
    </row>
    <row r="18095" spans="17:17" x14ac:dyDescent="0.25">
      <c r="Q18095" s="8"/>
    </row>
    <row r="18096" spans="17:17" x14ac:dyDescent="0.25">
      <c r="Q18096" s="8"/>
    </row>
    <row r="18097" spans="17:17" x14ac:dyDescent="0.25">
      <c r="Q18097" s="8"/>
    </row>
    <row r="18098" spans="17:17" x14ac:dyDescent="0.25">
      <c r="Q18098" s="8"/>
    </row>
    <row r="18099" spans="17:17" x14ac:dyDescent="0.25">
      <c r="Q18099" s="8"/>
    </row>
    <row r="18100" spans="17:17" x14ac:dyDescent="0.25">
      <c r="Q18100" s="8"/>
    </row>
    <row r="18101" spans="17:17" x14ac:dyDescent="0.25">
      <c r="Q18101" s="8"/>
    </row>
    <row r="18102" spans="17:17" x14ac:dyDescent="0.25">
      <c r="Q18102" s="8"/>
    </row>
    <row r="18103" spans="17:17" x14ac:dyDescent="0.25">
      <c r="Q18103" s="8"/>
    </row>
    <row r="18104" spans="17:17" x14ac:dyDescent="0.25">
      <c r="Q18104" s="8"/>
    </row>
    <row r="18105" spans="17:17" x14ac:dyDescent="0.25">
      <c r="Q18105" s="8"/>
    </row>
    <row r="18106" spans="17:17" x14ac:dyDescent="0.25">
      <c r="Q18106" s="8"/>
    </row>
    <row r="18107" spans="17:17" x14ac:dyDescent="0.25">
      <c r="Q18107" s="8"/>
    </row>
    <row r="18108" spans="17:17" x14ac:dyDescent="0.25">
      <c r="Q18108" s="8"/>
    </row>
    <row r="18109" spans="17:17" x14ac:dyDescent="0.25">
      <c r="Q18109" s="8"/>
    </row>
    <row r="18110" spans="17:17" x14ac:dyDescent="0.25">
      <c r="Q18110" s="8"/>
    </row>
    <row r="18111" spans="17:17" x14ac:dyDescent="0.25">
      <c r="Q18111" s="8"/>
    </row>
    <row r="18112" spans="17:17" x14ac:dyDescent="0.25">
      <c r="Q18112" s="8"/>
    </row>
    <row r="18113" spans="17:17" x14ac:dyDescent="0.25">
      <c r="Q18113" s="8"/>
    </row>
    <row r="18114" spans="17:17" x14ac:dyDescent="0.25">
      <c r="Q18114" s="8"/>
    </row>
    <row r="18115" spans="17:17" x14ac:dyDescent="0.25">
      <c r="Q18115" s="8"/>
    </row>
    <row r="18116" spans="17:17" x14ac:dyDescent="0.25">
      <c r="Q18116" s="8"/>
    </row>
    <row r="18117" spans="17:17" x14ac:dyDescent="0.25">
      <c r="Q18117" s="8"/>
    </row>
    <row r="18118" spans="17:17" x14ac:dyDescent="0.25">
      <c r="Q18118" s="8"/>
    </row>
    <row r="18119" spans="17:17" x14ac:dyDescent="0.25">
      <c r="Q18119" s="8"/>
    </row>
    <row r="18120" spans="17:17" x14ac:dyDescent="0.25">
      <c r="Q18120" s="8"/>
    </row>
    <row r="18121" spans="17:17" x14ac:dyDescent="0.25">
      <c r="Q18121" s="8"/>
    </row>
    <row r="18122" spans="17:17" x14ac:dyDescent="0.25">
      <c r="Q18122" s="8"/>
    </row>
    <row r="18123" spans="17:17" x14ac:dyDescent="0.25">
      <c r="Q18123" s="8"/>
    </row>
    <row r="18124" spans="17:17" x14ac:dyDescent="0.25">
      <c r="Q18124" s="8"/>
    </row>
    <row r="18125" spans="17:17" x14ac:dyDescent="0.25">
      <c r="Q18125" s="8"/>
    </row>
    <row r="18126" spans="17:17" x14ac:dyDescent="0.25">
      <c r="Q18126" s="8"/>
    </row>
    <row r="18127" spans="17:17" x14ac:dyDescent="0.25">
      <c r="Q18127" s="8"/>
    </row>
    <row r="18128" spans="17:17" x14ac:dyDescent="0.25">
      <c r="Q18128" s="8"/>
    </row>
    <row r="18129" spans="17:17" x14ac:dyDescent="0.25">
      <c r="Q18129" s="8"/>
    </row>
    <row r="18130" spans="17:17" x14ac:dyDescent="0.25">
      <c r="Q18130" s="8"/>
    </row>
    <row r="18131" spans="17:17" x14ac:dyDescent="0.25">
      <c r="Q18131" s="8"/>
    </row>
    <row r="18132" spans="17:17" x14ac:dyDescent="0.25">
      <c r="Q18132" s="8"/>
    </row>
    <row r="18133" spans="17:17" x14ac:dyDescent="0.25">
      <c r="Q18133" s="8"/>
    </row>
    <row r="18134" spans="17:17" x14ac:dyDescent="0.25">
      <c r="Q18134" s="8"/>
    </row>
    <row r="18135" spans="17:17" x14ac:dyDescent="0.25">
      <c r="Q18135" s="8"/>
    </row>
    <row r="18136" spans="17:17" x14ac:dyDescent="0.25">
      <c r="Q18136" s="8"/>
    </row>
    <row r="18137" spans="17:17" x14ac:dyDescent="0.25">
      <c r="Q18137" s="8"/>
    </row>
    <row r="18138" spans="17:17" x14ac:dyDescent="0.25">
      <c r="Q18138" s="8"/>
    </row>
    <row r="18139" spans="17:17" x14ac:dyDescent="0.25">
      <c r="Q18139" s="8"/>
    </row>
    <row r="18140" spans="17:17" x14ac:dyDescent="0.25">
      <c r="Q18140" s="8"/>
    </row>
    <row r="18141" spans="17:17" x14ac:dyDescent="0.25">
      <c r="Q18141" s="8"/>
    </row>
    <row r="18142" spans="17:17" x14ac:dyDescent="0.25">
      <c r="Q18142" s="8"/>
    </row>
    <row r="18143" spans="17:17" x14ac:dyDescent="0.25">
      <c r="Q18143" s="8"/>
    </row>
    <row r="18144" spans="17:17" x14ac:dyDescent="0.25">
      <c r="Q18144" s="8"/>
    </row>
    <row r="18145" spans="17:17" x14ac:dyDescent="0.25">
      <c r="Q18145" s="8"/>
    </row>
    <row r="18146" spans="17:17" x14ac:dyDescent="0.25">
      <c r="Q18146" s="8"/>
    </row>
    <row r="18147" spans="17:17" x14ac:dyDescent="0.25">
      <c r="Q18147" s="8"/>
    </row>
    <row r="18148" spans="17:17" x14ac:dyDescent="0.25">
      <c r="Q18148" s="8"/>
    </row>
    <row r="18149" spans="17:17" x14ac:dyDescent="0.25">
      <c r="Q18149" s="8"/>
    </row>
    <row r="18150" spans="17:17" x14ac:dyDescent="0.25">
      <c r="Q18150" s="8"/>
    </row>
    <row r="18151" spans="17:17" x14ac:dyDescent="0.25">
      <c r="Q18151" s="8"/>
    </row>
    <row r="18152" spans="17:17" x14ac:dyDescent="0.25">
      <c r="Q18152" s="8"/>
    </row>
    <row r="18153" spans="17:17" x14ac:dyDescent="0.25">
      <c r="Q18153" s="8"/>
    </row>
    <row r="18154" spans="17:17" x14ac:dyDescent="0.25">
      <c r="Q18154" s="8"/>
    </row>
    <row r="18155" spans="17:17" x14ac:dyDescent="0.25">
      <c r="Q18155" s="8"/>
    </row>
    <row r="18156" spans="17:17" x14ac:dyDescent="0.25">
      <c r="Q18156" s="8"/>
    </row>
    <row r="18157" spans="17:17" x14ac:dyDescent="0.25">
      <c r="Q18157" s="8"/>
    </row>
    <row r="18158" spans="17:17" x14ac:dyDescent="0.25">
      <c r="Q18158" s="8"/>
    </row>
    <row r="18159" spans="17:17" x14ac:dyDescent="0.25">
      <c r="Q18159" s="8"/>
    </row>
    <row r="18160" spans="17:17" x14ac:dyDescent="0.25">
      <c r="Q18160" s="8"/>
    </row>
    <row r="18161" spans="17:17" x14ac:dyDescent="0.25">
      <c r="Q18161" s="8"/>
    </row>
    <row r="18162" spans="17:17" x14ac:dyDescent="0.25">
      <c r="Q18162" s="8"/>
    </row>
    <row r="18163" spans="17:17" x14ac:dyDescent="0.25">
      <c r="Q18163" s="8"/>
    </row>
    <row r="18164" spans="17:17" x14ac:dyDescent="0.25">
      <c r="Q18164" s="8"/>
    </row>
    <row r="18165" spans="17:17" x14ac:dyDescent="0.25">
      <c r="Q18165" s="8"/>
    </row>
    <row r="18166" spans="17:17" x14ac:dyDescent="0.25">
      <c r="Q18166" s="8"/>
    </row>
    <row r="18167" spans="17:17" x14ac:dyDescent="0.25">
      <c r="Q18167" s="8"/>
    </row>
    <row r="18168" spans="17:17" x14ac:dyDescent="0.25">
      <c r="Q18168" s="8"/>
    </row>
    <row r="18169" spans="17:17" x14ac:dyDescent="0.25">
      <c r="Q18169" s="8"/>
    </row>
    <row r="18170" spans="17:17" x14ac:dyDescent="0.25">
      <c r="Q18170" s="8"/>
    </row>
    <row r="18171" spans="17:17" x14ac:dyDescent="0.25">
      <c r="Q18171" s="8"/>
    </row>
    <row r="18172" spans="17:17" x14ac:dyDescent="0.25">
      <c r="Q18172" s="8"/>
    </row>
    <row r="18173" spans="17:17" x14ac:dyDescent="0.25">
      <c r="Q18173" s="8"/>
    </row>
    <row r="18174" spans="17:17" x14ac:dyDescent="0.25">
      <c r="Q18174" s="8"/>
    </row>
    <row r="18175" spans="17:17" x14ac:dyDescent="0.25">
      <c r="Q18175" s="8"/>
    </row>
    <row r="18176" spans="17:17" x14ac:dyDescent="0.25">
      <c r="Q18176" s="8"/>
    </row>
    <row r="18177" spans="17:17" x14ac:dyDescent="0.25">
      <c r="Q18177" s="8"/>
    </row>
    <row r="18178" spans="17:17" x14ac:dyDescent="0.25">
      <c r="Q18178" s="8"/>
    </row>
    <row r="18179" spans="17:17" x14ac:dyDescent="0.25">
      <c r="Q18179" s="8"/>
    </row>
    <row r="18180" spans="17:17" x14ac:dyDescent="0.25">
      <c r="Q18180" s="8"/>
    </row>
    <row r="18181" spans="17:17" x14ac:dyDescent="0.25">
      <c r="Q18181" s="8"/>
    </row>
    <row r="18182" spans="17:17" x14ac:dyDescent="0.25">
      <c r="Q18182" s="8"/>
    </row>
    <row r="18183" spans="17:17" x14ac:dyDescent="0.25">
      <c r="Q18183" s="8"/>
    </row>
    <row r="18184" spans="17:17" x14ac:dyDescent="0.25">
      <c r="Q18184" s="8"/>
    </row>
    <row r="18185" spans="17:17" x14ac:dyDescent="0.25">
      <c r="Q18185" s="8"/>
    </row>
    <row r="18186" spans="17:17" x14ac:dyDescent="0.25">
      <c r="Q18186" s="8"/>
    </row>
    <row r="18187" spans="17:17" x14ac:dyDescent="0.25">
      <c r="Q18187" s="8"/>
    </row>
    <row r="18188" spans="17:17" x14ac:dyDescent="0.25">
      <c r="Q18188" s="8"/>
    </row>
    <row r="18189" spans="17:17" x14ac:dyDescent="0.25">
      <c r="Q18189" s="8"/>
    </row>
    <row r="18190" spans="17:17" x14ac:dyDescent="0.25">
      <c r="Q18190" s="8"/>
    </row>
    <row r="18191" spans="17:17" x14ac:dyDescent="0.25">
      <c r="Q18191" s="8"/>
    </row>
    <row r="18192" spans="17:17" x14ac:dyDescent="0.25">
      <c r="Q18192" s="8"/>
    </row>
    <row r="18193" spans="17:17" x14ac:dyDescent="0.25">
      <c r="Q18193" s="8"/>
    </row>
    <row r="18194" spans="17:17" x14ac:dyDescent="0.25">
      <c r="Q18194" s="8"/>
    </row>
    <row r="18195" spans="17:17" x14ac:dyDescent="0.25">
      <c r="Q18195" s="8"/>
    </row>
    <row r="18196" spans="17:17" x14ac:dyDescent="0.25">
      <c r="Q18196" s="8"/>
    </row>
    <row r="18197" spans="17:17" x14ac:dyDescent="0.25">
      <c r="Q18197" s="8"/>
    </row>
    <row r="18198" spans="17:17" x14ac:dyDescent="0.25">
      <c r="Q18198" s="8"/>
    </row>
    <row r="18199" spans="17:17" x14ac:dyDescent="0.25">
      <c r="Q18199" s="8"/>
    </row>
    <row r="18200" spans="17:17" x14ac:dyDescent="0.25">
      <c r="Q18200" s="8"/>
    </row>
    <row r="18201" spans="17:17" x14ac:dyDescent="0.25">
      <c r="Q18201" s="8"/>
    </row>
    <row r="18202" spans="17:17" x14ac:dyDescent="0.25">
      <c r="Q18202" s="8"/>
    </row>
    <row r="18203" spans="17:17" x14ac:dyDescent="0.25">
      <c r="Q18203" s="8"/>
    </row>
    <row r="18204" spans="17:17" x14ac:dyDescent="0.25">
      <c r="Q18204" s="8"/>
    </row>
    <row r="18205" spans="17:17" x14ac:dyDescent="0.25">
      <c r="Q18205" s="8"/>
    </row>
    <row r="18206" spans="17:17" x14ac:dyDescent="0.25">
      <c r="Q18206" s="8"/>
    </row>
    <row r="18207" spans="17:17" x14ac:dyDescent="0.25">
      <c r="Q18207" s="8"/>
    </row>
    <row r="18208" spans="17:17" x14ac:dyDescent="0.25">
      <c r="Q18208" s="8"/>
    </row>
    <row r="18209" spans="17:17" x14ac:dyDescent="0.25">
      <c r="Q18209" s="8"/>
    </row>
    <row r="18210" spans="17:17" x14ac:dyDescent="0.25">
      <c r="Q18210" s="8"/>
    </row>
    <row r="18211" spans="17:17" x14ac:dyDescent="0.25">
      <c r="Q18211" s="8"/>
    </row>
    <row r="18212" spans="17:17" x14ac:dyDescent="0.25">
      <c r="Q18212" s="8"/>
    </row>
    <row r="18213" spans="17:17" x14ac:dyDescent="0.25">
      <c r="Q18213" s="8"/>
    </row>
    <row r="18214" spans="17:17" x14ac:dyDescent="0.25">
      <c r="Q18214" s="8"/>
    </row>
    <row r="18215" spans="17:17" x14ac:dyDescent="0.25">
      <c r="Q18215" s="8"/>
    </row>
    <row r="18216" spans="17:17" x14ac:dyDescent="0.25">
      <c r="Q18216" s="8"/>
    </row>
    <row r="18217" spans="17:17" x14ac:dyDescent="0.25">
      <c r="Q18217" s="8"/>
    </row>
    <row r="18218" spans="17:17" x14ac:dyDescent="0.25">
      <c r="Q18218" s="8"/>
    </row>
    <row r="18219" spans="17:17" x14ac:dyDescent="0.25">
      <c r="Q18219" s="8"/>
    </row>
    <row r="18220" spans="17:17" x14ac:dyDescent="0.25">
      <c r="Q18220" s="8"/>
    </row>
    <row r="18221" spans="17:17" x14ac:dyDescent="0.25">
      <c r="Q18221" s="8"/>
    </row>
    <row r="18222" spans="17:17" x14ac:dyDescent="0.25">
      <c r="Q18222" s="8"/>
    </row>
    <row r="18223" spans="17:17" x14ac:dyDescent="0.25">
      <c r="Q18223" s="8"/>
    </row>
    <row r="18224" spans="17:17" x14ac:dyDescent="0.25">
      <c r="Q18224" s="8"/>
    </row>
    <row r="18225" spans="17:17" x14ac:dyDescent="0.25">
      <c r="Q18225" s="8"/>
    </row>
    <row r="18226" spans="17:17" x14ac:dyDescent="0.25">
      <c r="Q18226" s="8"/>
    </row>
    <row r="18227" spans="17:17" x14ac:dyDescent="0.25">
      <c r="Q18227" s="8"/>
    </row>
    <row r="18228" spans="17:17" x14ac:dyDescent="0.25">
      <c r="Q18228" s="8"/>
    </row>
    <row r="18229" spans="17:17" x14ac:dyDescent="0.25">
      <c r="Q18229" s="8"/>
    </row>
    <row r="18230" spans="17:17" x14ac:dyDescent="0.25">
      <c r="Q18230" s="8"/>
    </row>
    <row r="18231" spans="17:17" x14ac:dyDescent="0.25">
      <c r="Q18231" s="8"/>
    </row>
    <row r="18232" spans="17:17" x14ac:dyDescent="0.25">
      <c r="Q18232" s="8"/>
    </row>
    <row r="18233" spans="17:17" x14ac:dyDescent="0.25">
      <c r="Q18233" s="8"/>
    </row>
    <row r="18234" spans="17:17" x14ac:dyDescent="0.25">
      <c r="Q18234" s="8"/>
    </row>
    <row r="18235" spans="17:17" x14ac:dyDescent="0.25">
      <c r="Q18235" s="8"/>
    </row>
    <row r="18236" spans="17:17" x14ac:dyDescent="0.25">
      <c r="Q18236" s="8"/>
    </row>
    <row r="18237" spans="17:17" x14ac:dyDescent="0.25">
      <c r="Q18237" s="8"/>
    </row>
    <row r="18238" spans="17:17" x14ac:dyDescent="0.25">
      <c r="Q18238" s="8"/>
    </row>
    <row r="18239" spans="17:17" x14ac:dyDescent="0.25">
      <c r="Q18239" s="8"/>
    </row>
    <row r="18240" spans="17:17" x14ac:dyDescent="0.25">
      <c r="Q18240" s="8"/>
    </row>
    <row r="18241" spans="17:17" x14ac:dyDescent="0.25">
      <c r="Q18241" s="8"/>
    </row>
    <row r="18242" spans="17:17" x14ac:dyDescent="0.25">
      <c r="Q18242" s="8"/>
    </row>
    <row r="18243" spans="17:17" x14ac:dyDescent="0.25">
      <c r="Q18243" s="8"/>
    </row>
    <row r="18244" spans="17:17" x14ac:dyDescent="0.25">
      <c r="Q18244" s="8"/>
    </row>
    <row r="18245" spans="17:17" x14ac:dyDescent="0.25">
      <c r="Q18245" s="8"/>
    </row>
    <row r="18246" spans="17:17" x14ac:dyDescent="0.25">
      <c r="Q18246" s="8"/>
    </row>
    <row r="18247" spans="17:17" x14ac:dyDescent="0.25">
      <c r="Q18247" s="8"/>
    </row>
    <row r="18248" spans="17:17" x14ac:dyDescent="0.25">
      <c r="Q18248" s="8"/>
    </row>
    <row r="18249" spans="17:17" x14ac:dyDescent="0.25">
      <c r="Q18249" s="8"/>
    </row>
    <row r="18250" spans="17:17" x14ac:dyDescent="0.25">
      <c r="Q18250" s="8"/>
    </row>
    <row r="18251" spans="17:17" x14ac:dyDescent="0.25">
      <c r="Q18251" s="8"/>
    </row>
    <row r="18252" spans="17:17" x14ac:dyDescent="0.25">
      <c r="Q18252" s="8"/>
    </row>
    <row r="18253" spans="17:17" x14ac:dyDescent="0.25">
      <c r="Q18253" s="8"/>
    </row>
    <row r="18254" spans="17:17" x14ac:dyDescent="0.25">
      <c r="Q18254" s="8"/>
    </row>
    <row r="18255" spans="17:17" x14ac:dyDescent="0.25">
      <c r="Q18255" s="8"/>
    </row>
    <row r="18256" spans="17:17" x14ac:dyDescent="0.25">
      <c r="Q18256" s="8"/>
    </row>
    <row r="18257" spans="17:17" x14ac:dyDescent="0.25">
      <c r="Q18257" s="8"/>
    </row>
    <row r="18258" spans="17:17" x14ac:dyDescent="0.25">
      <c r="Q18258" s="8"/>
    </row>
    <row r="18259" spans="17:17" x14ac:dyDescent="0.25">
      <c r="Q18259" s="8"/>
    </row>
    <row r="18260" spans="17:17" x14ac:dyDescent="0.25">
      <c r="Q18260" s="8"/>
    </row>
    <row r="18261" spans="17:17" x14ac:dyDescent="0.25">
      <c r="Q18261" s="8"/>
    </row>
    <row r="18262" spans="17:17" x14ac:dyDescent="0.25">
      <c r="Q18262" s="8"/>
    </row>
    <row r="18263" spans="17:17" x14ac:dyDescent="0.25">
      <c r="Q18263" s="8"/>
    </row>
    <row r="18264" spans="17:17" x14ac:dyDescent="0.25">
      <c r="Q18264" s="8"/>
    </row>
    <row r="18265" spans="17:17" x14ac:dyDescent="0.25">
      <c r="Q18265" s="8"/>
    </row>
    <row r="18266" spans="17:17" x14ac:dyDescent="0.25">
      <c r="Q18266" s="8"/>
    </row>
    <row r="18267" spans="17:17" x14ac:dyDescent="0.25">
      <c r="Q18267" s="8"/>
    </row>
    <row r="18268" spans="17:17" x14ac:dyDescent="0.25">
      <c r="Q18268" s="8"/>
    </row>
    <row r="18269" spans="17:17" x14ac:dyDescent="0.25">
      <c r="Q18269" s="8"/>
    </row>
    <row r="18270" spans="17:17" x14ac:dyDescent="0.25">
      <c r="Q18270" s="8"/>
    </row>
    <row r="18271" spans="17:17" x14ac:dyDescent="0.25">
      <c r="Q18271" s="8"/>
    </row>
    <row r="18272" spans="17:17" x14ac:dyDescent="0.25">
      <c r="Q18272" s="8"/>
    </row>
    <row r="18273" spans="17:17" x14ac:dyDescent="0.25">
      <c r="Q18273" s="8"/>
    </row>
    <row r="18274" spans="17:17" x14ac:dyDescent="0.25">
      <c r="Q18274" s="8"/>
    </row>
    <row r="18275" spans="17:17" x14ac:dyDescent="0.25">
      <c r="Q18275" s="8"/>
    </row>
    <row r="18276" spans="17:17" x14ac:dyDescent="0.25">
      <c r="Q18276" s="8"/>
    </row>
    <row r="18277" spans="17:17" x14ac:dyDescent="0.25">
      <c r="Q18277" s="8"/>
    </row>
    <row r="18278" spans="17:17" x14ac:dyDescent="0.25">
      <c r="Q18278" s="8"/>
    </row>
    <row r="18279" spans="17:17" x14ac:dyDescent="0.25">
      <c r="Q18279" s="8"/>
    </row>
    <row r="18280" spans="17:17" x14ac:dyDescent="0.25">
      <c r="Q18280" s="8"/>
    </row>
    <row r="18281" spans="17:17" x14ac:dyDescent="0.25">
      <c r="Q18281" s="8"/>
    </row>
    <row r="18282" spans="17:17" x14ac:dyDescent="0.25">
      <c r="Q18282" s="8"/>
    </row>
    <row r="18283" spans="17:17" x14ac:dyDescent="0.25">
      <c r="Q18283" s="8"/>
    </row>
    <row r="18284" spans="17:17" x14ac:dyDescent="0.25">
      <c r="Q18284" s="8"/>
    </row>
    <row r="18285" spans="17:17" x14ac:dyDescent="0.25">
      <c r="Q18285" s="8"/>
    </row>
    <row r="18286" spans="17:17" x14ac:dyDescent="0.25">
      <c r="Q18286" s="8"/>
    </row>
    <row r="18287" spans="17:17" x14ac:dyDescent="0.25">
      <c r="Q18287" s="8"/>
    </row>
    <row r="18288" spans="17:17" x14ac:dyDescent="0.25">
      <c r="Q18288" s="8"/>
    </row>
    <row r="18289" spans="17:17" x14ac:dyDescent="0.25">
      <c r="Q18289" s="8"/>
    </row>
    <row r="18290" spans="17:17" x14ac:dyDescent="0.25">
      <c r="Q18290" s="8"/>
    </row>
    <row r="18291" spans="17:17" x14ac:dyDescent="0.25">
      <c r="Q18291" s="8"/>
    </row>
    <row r="18292" spans="17:17" x14ac:dyDescent="0.25">
      <c r="Q18292" s="8"/>
    </row>
    <row r="18293" spans="17:17" x14ac:dyDescent="0.25">
      <c r="Q18293" s="8"/>
    </row>
    <row r="18294" spans="17:17" x14ac:dyDescent="0.25">
      <c r="Q18294" s="8"/>
    </row>
    <row r="18295" spans="17:17" x14ac:dyDescent="0.25">
      <c r="Q18295" s="8"/>
    </row>
    <row r="18296" spans="17:17" x14ac:dyDescent="0.25">
      <c r="Q18296" s="8"/>
    </row>
    <row r="18297" spans="17:17" x14ac:dyDescent="0.25">
      <c r="Q18297" s="8"/>
    </row>
    <row r="18298" spans="17:17" x14ac:dyDescent="0.25">
      <c r="Q18298" s="8"/>
    </row>
    <row r="18299" spans="17:17" x14ac:dyDescent="0.25">
      <c r="Q18299" s="8"/>
    </row>
    <row r="18300" spans="17:17" x14ac:dyDescent="0.25">
      <c r="Q18300" s="8"/>
    </row>
    <row r="18301" spans="17:17" x14ac:dyDescent="0.25">
      <c r="Q18301" s="8"/>
    </row>
    <row r="18302" spans="17:17" x14ac:dyDescent="0.25">
      <c r="Q18302" s="8"/>
    </row>
    <row r="18303" spans="17:17" x14ac:dyDescent="0.25">
      <c r="Q18303" s="8"/>
    </row>
    <row r="18304" spans="17:17" x14ac:dyDescent="0.25">
      <c r="Q18304" s="8"/>
    </row>
    <row r="18305" spans="17:17" x14ac:dyDescent="0.25">
      <c r="Q18305" s="8"/>
    </row>
    <row r="18306" spans="17:17" x14ac:dyDescent="0.25">
      <c r="Q18306" s="8"/>
    </row>
    <row r="18307" spans="17:17" x14ac:dyDescent="0.25">
      <c r="Q18307" s="8"/>
    </row>
    <row r="18308" spans="17:17" x14ac:dyDescent="0.25">
      <c r="Q18308" s="8"/>
    </row>
    <row r="18309" spans="17:17" x14ac:dyDescent="0.25">
      <c r="Q18309" s="8"/>
    </row>
    <row r="18310" spans="17:17" x14ac:dyDescent="0.25">
      <c r="Q18310" s="8"/>
    </row>
    <row r="18311" spans="17:17" x14ac:dyDescent="0.25">
      <c r="Q18311" s="8"/>
    </row>
    <row r="18312" spans="17:17" x14ac:dyDescent="0.25">
      <c r="Q18312" s="8"/>
    </row>
    <row r="18313" spans="17:17" x14ac:dyDescent="0.25">
      <c r="Q18313" s="8"/>
    </row>
    <row r="18314" spans="17:17" x14ac:dyDescent="0.25">
      <c r="Q18314" s="8"/>
    </row>
    <row r="18315" spans="17:17" x14ac:dyDescent="0.25">
      <c r="Q18315" s="8"/>
    </row>
    <row r="18316" spans="17:17" x14ac:dyDescent="0.25">
      <c r="Q18316" s="8"/>
    </row>
    <row r="18317" spans="17:17" x14ac:dyDescent="0.25">
      <c r="Q18317" s="8"/>
    </row>
    <row r="18318" spans="17:17" x14ac:dyDescent="0.25">
      <c r="Q18318" s="8"/>
    </row>
    <row r="18319" spans="17:17" x14ac:dyDescent="0.25">
      <c r="Q18319" s="8"/>
    </row>
    <row r="18320" spans="17:17" x14ac:dyDescent="0.25">
      <c r="Q18320" s="8"/>
    </row>
    <row r="18321" spans="17:17" x14ac:dyDescent="0.25">
      <c r="Q18321" s="8"/>
    </row>
    <row r="18322" spans="17:17" x14ac:dyDescent="0.25">
      <c r="Q18322" s="8"/>
    </row>
    <row r="18323" spans="17:17" x14ac:dyDescent="0.25">
      <c r="Q18323" s="8"/>
    </row>
    <row r="18324" spans="17:17" x14ac:dyDescent="0.25">
      <c r="Q18324" s="8"/>
    </row>
    <row r="18325" spans="17:17" x14ac:dyDescent="0.25">
      <c r="Q18325" s="8"/>
    </row>
    <row r="18326" spans="17:17" x14ac:dyDescent="0.25">
      <c r="Q18326" s="8"/>
    </row>
    <row r="18327" spans="17:17" x14ac:dyDescent="0.25">
      <c r="Q18327" s="8"/>
    </row>
    <row r="18328" spans="17:17" x14ac:dyDescent="0.25">
      <c r="Q18328" s="8"/>
    </row>
    <row r="18329" spans="17:17" x14ac:dyDescent="0.25">
      <c r="Q18329" s="8"/>
    </row>
    <row r="18330" spans="17:17" x14ac:dyDescent="0.25">
      <c r="Q18330" s="8"/>
    </row>
    <row r="18331" spans="17:17" x14ac:dyDescent="0.25">
      <c r="Q18331" s="8"/>
    </row>
    <row r="18332" spans="17:17" x14ac:dyDescent="0.25">
      <c r="Q18332" s="8"/>
    </row>
    <row r="18333" spans="17:17" x14ac:dyDescent="0.25">
      <c r="Q18333" s="8"/>
    </row>
    <row r="18334" spans="17:17" x14ac:dyDescent="0.25">
      <c r="Q18334" s="8"/>
    </row>
    <row r="18335" spans="17:17" x14ac:dyDescent="0.25">
      <c r="Q18335" s="8"/>
    </row>
    <row r="18336" spans="17:17" x14ac:dyDescent="0.25">
      <c r="Q18336" s="8"/>
    </row>
    <row r="18337" spans="17:17" x14ac:dyDescent="0.25">
      <c r="Q18337" s="8"/>
    </row>
    <row r="18338" spans="17:17" x14ac:dyDescent="0.25">
      <c r="Q18338" s="8"/>
    </row>
    <row r="18339" spans="17:17" x14ac:dyDescent="0.25">
      <c r="Q18339" s="8"/>
    </row>
    <row r="18340" spans="17:17" x14ac:dyDescent="0.25">
      <c r="Q18340" s="8"/>
    </row>
    <row r="18341" spans="17:17" x14ac:dyDescent="0.25">
      <c r="Q18341" s="8"/>
    </row>
    <row r="18342" spans="17:17" x14ac:dyDescent="0.25">
      <c r="Q18342" s="8"/>
    </row>
    <row r="18343" spans="17:17" x14ac:dyDescent="0.25">
      <c r="Q18343" s="8"/>
    </row>
    <row r="18344" spans="17:17" x14ac:dyDescent="0.25">
      <c r="Q18344" s="8"/>
    </row>
    <row r="18345" spans="17:17" x14ac:dyDescent="0.25">
      <c r="Q18345" s="8"/>
    </row>
    <row r="18346" spans="17:17" x14ac:dyDescent="0.25">
      <c r="Q18346" s="8"/>
    </row>
    <row r="18347" spans="17:17" x14ac:dyDescent="0.25">
      <c r="Q18347" s="8"/>
    </row>
    <row r="18348" spans="17:17" x14ac:dyDescent="0.25">
      <c r="Q18348" s="8"/>
    </row>
    <row r="18349" spans="17:17" x14ac:dyDescent="0.25">
      <c r="Q18349" s="8"/>
    </row>
    <row r="18350" spans="17:17" x14ac:dyDescent="0.25">
      <c r="Q18350" s="8"/>
    </row>
    <row r="18351" spans="17:17" x14ac:dyDescent="0.25">
      <c r="Q18351" s="8"/>
    </row>
    <row r="18352" spans="17:17" x14ac:dyDescent="0.25">
      <c r="Q18352" s="8"/>
    </row>
    <row r="18353" spans="17:17" x14ac:dyDescent="0.25">
      <c r="Q18353" s="8"/>
    </row>
    <row r="18354" spans="17:17" x14ac:dyDescent="0.25">
      <c r="Q18354" s="8"/>
    </row>
    <row r="18355" spans="17:17" x14ac:dyDescent="0.25">
      <c r="Q18355" s="8"/>
    </row>
    <row r="18356" spans="17:17" x14ac:dyDescent="0.25">
      <c r="Q18356" s="8"/>
    </row>
    <row r="18357" spans="17:17" x14ac:dyDescent="0.25">
      <c r="Q18357" s="8"/>
    </row>
    <row r="18358" spans="17:17" x14ac:dyDescent="0.25">
      <c r="Q18358" s="8"/>
    </row>
    <row r="18359" spans="17:17" x14ac:dyDescent="0.25">
      <c r="Q18359" s="8"/>
    </row>
    <row r="18360" spans="17:17" x14ac:dyDescent="0.25">
      <c r="Q18360" s="8"/>
    </row>
    <row r="18361" spans="17:17" x14ac:dyDescent="0.25">
      <c r="Q18361" s="8"/>
    </row>
    <row r="18362" spans="17:17" x14ac:dyDescent="0.25">
      <c r="Q18362" s="8"/>
    </row>
    <row r="18363" spans="17:17" x14ac:dyDescent="0.25">
      <c r="Q18363" s="8"/>
    </row>
    <row r="18364" spans="17:17" x14ac:dyDescent="0.25">
      <c r="Q18364" s="8"/>
    </row>
    <row r="18365" spans="17:17" x14ac:dyDescent="0.25">
      <c r="Q18365" s="8"/>
    </row>
    <row r="18366" spans="17:17" x14ac:dyDescent="0.25">
      <c r="Q18366" s="8"/>
    </row>
    <row r="18367" spans="17:17" x14ac:dyDescent="0.25">
      <c r="Q18367" s="8"/>
    </row>
    <row r="18368" spans="17:17" x14ac:dyDescent="0.25">
      <c r="Q18368" s="8"/>
    </row>
    <row r="18369" spans="17:17" x14ac:dyDescent="0.25">
      <c r="Q18369" s="8"/>
    </row>
    <row r="18370" spans="17:17" x14ac:dyDescent="0.25">
      <c r="Q18370" s="8"/>
    </row>
    <row r="18371" spans="17:17" x14ac:dyDescent="0.25">
      <c r="Q18371" s="8"/>
    </row>
    <row r="18372" spans="17:17" x14ac:dyDescent="0.25">
      <c r="Q18372" s="8"/>
    </row>
    <row r="18373" spans="17:17" x14ac:dyDescent="0.25">
      <c r="Q18373" s="8"/>
    </row>
    <row r="18374" spans="17:17" x14ac:dyDescent="0.25">
      <c r="Q18374" s="8"/>
    </row>
    <row r="18375" spans="17:17" x14ac:dyDescent="0.25">
      <c r="Q18375" s="8"/>
    </row>
    <row r="18376" spans="17:17" x14ac:dyDescent="0.25">
      <c r="Q18376" s="8"/>
    </row>
    <row r="18377" spans="17:17" x14ac:dyDescent="0.25">
      <c r="Q18377" s="8"/>
    </row>
    <row r="18378" spans="17:17" x14ac:dyDescent="0.25">
      <c r="Q18378" s="8"/>
    </row>
    <row r="18379" spans="17:17" x14ac:dyDescent="0.25">
      <c r="Q18379" s="8"/>
    </row>
    <row r="18380" spans="17:17" x14ac:dyDescent="0.25">
      <c r="Q18380" s="8"/>
    </row>
    <row r="18381" spans="17:17" x14ac:dyDescent="0.25">
      <c r="Q18381" s="8"/>
    </row>
    <row r="18382" spans="17:17" x14ac:dyDescent="0.25">
      <c r="Q18382" s="8"/>
    </row>
    <row r="18383" spans="17:17" x14ac:dyDescent="0.25">
      <c r="Q18383" s="8"/>
    </row>
    <row r="18384" spans="17:17" x14ac:dyDescent="0.25">
      <c r="Q18384" s="8"/>
    </row>
    <row r="18385" spans="17:17" x14ac:dyDescent="0.25">
      <c r="Q18385" s="8"/>
    </row>
    <row r="18386" spans="17:17" x14ac:dyDescent="0.25">
      <c r="Q18386" s="8"/>
    </row>
    <row r="18387" spans="17:17" x14ac:dyDescent="0.25">
      <c r="Q18387" s="8"/>
    </row>
    <row r="18388" spans="17:17" x14ac:dyDescent="0.25">
      <c r="Q18388" s="8"/>
    </row>
    <row r="18389" spans="17:17" x14ac:dyDescent="0.25">
      <c r="Q18389" s="8"/>
    </row>
    <row r="18390" spans="17:17" x14ac:dyDescent="0.25">
      <c r="Q18390" s="8"/>
    </row>
    <row r="18391" spans="17:17" x14ac:dyDescent="0.25">
      <c r="Q18391" s="8"/>
    </row>
    <row r="18392" spans="17:17" x14ac:dyDescent="0.25">
      <c r="Q18392" s="8"/>
    </row>
    <row r="18393" spans="17:17" x14ac:dyDescent="0.25">
      <c r="Q18393" s="8"/>
    </row>
    <row r="18394" spans="17:17" x14ac:dyDescent="0.25">
      <c r="Q18394" s="8"/>
    </row>
    <row r="18395" spans="17:17" x14ac:dyDescent="0.25">
      <c r="Q18395" s="8"/>
    </row>
    <row r="18396" spans="17:17" x14ac:dyDescent="0.25">
      <c r="Q18396" s="8"/>
    </row>
    <row r="18397" spans="17:17" x14ac:dyDescent="0.25">
      <c r="Q18397" s="8"/>
    </row>
    <row r="18398" spans="17:17" x14ac:dyDescent="0.25">
      <c r="Q18398" s="8"/>
    </row>
    <row r="18399" spans="17:17" x14ac:dyDescent="0.25">
      <c r="Q18399" s="8"/>
    </row>
    <row r="18400" spans="17:17" x14ac:dyDescent="0.25">
      <c r="Q18400" s="8"/>
    </row>
    <row r="18401" spans="17:17" x14ac:dyDescent="0.25">
      <c r="Q18401" s="8"/>
    </row>
    <row r="18402" spans="17:17" x14ac:dyDescent="0.25">
      <c r="Q18402" s="8"/>
    </row>
    <row r="18403" spans="17:17" x14ac:dyDescent="0.25">
      <c r="Q18403" s="8"/>
    </row>
    <row r="18404" spans="17:17" x14ac:dyDescent="0.25">
      <c r="Q18404" s="8"/>
    </row>
    <row r="18405" spans="17:17" x14ac:dyDescent="0.25">
      <c r="Q18405" s="8"/>
    </row>
    <row r="18406" spans="17:17" x14ac:dyDescent="0.25">
      <c r="Q18406" s="8"/>
    </row>
    <row r="18407" spans="17:17" x14ac:dyDescent="0.25">
      <c r="Q18407" s="8"/>
    </row>
    <row r="18408" spans="17:17" x14ac:dyDescent="0.25">
      <c r="Q18408" s="8"/>
    </row>
    <row r="18409" spans="17:17" x14ac:dyDescent="0.25">
      <c r="Q18409" s="8"/>
    </row>
    <row r="18410" spans="17:17" x14ac:dyDescent="0.25">
      <c r="Q18410" s="8"/>
    </row>
    <row r="18411" spans="17:17" x14ac:dyDescent="0.25">
      <c r="Q18411" s="8"/>
    </row>
    <row r="18412" spans="17:17" x14ac:dyDescent="0.25">
      <c r="Q18412" s="8"/>
    </row>
    <row r="18413" spans="17:17" x14ac:dyDescent="0.25">
      <c r="Q18413" s="8"/>
    </row>
    <row r="18414" spans="17:17" x14ac:dyDescent="0.25">
      <c r="Q18414" s="8"/>
    </row>
    <row r="18415" spans="17:17" x14ac:dyDescent="0.25">
      <c r="Q18415" s="8"/>
    </row>
    <row r="18416" spans="17:17" x14ac:dyDescent="0.25">
      <c r="Q18416" s="8"/>
    </row>
    <row r="18417" spans="17:17" x14ac:dyDescent="0.25">
      <c r="Q18417" s="8"/>
    </row>
    <row r="18418" spans="17:17" x14ac:dyDescent="0.25">
      <c r="Q18418" s="8"/>
    </row>
    <row r="18419" spans="17:17" x14ac:dyDescent="0.25">
      <c r="Q18419" s="8"/>
    </row>
    <row r="18420" spans="17:17" x14ac:dyDescent="0.25">
      <c r="Q18420" s="8"/>
    </row>
    <row r="18421" spans="17:17" x14ac:dyDescent="0.25">
      <c r="Q18421" s="8"/>
    </row>
    <row r="18422" spans="17:17" x14ac:dyDescent="0.25">
      <c r="Q18422" s="8"/>
    </row>
    <row r="18423" spans="17:17" x14ac:dyDescent="0.25">
      <c r="Q18423" s="8"/>
    </row>
    <row r="18424" spans="17:17" x14ac:dyDescent="0.25">
      <c r="Q18424" s="8"/>
    </row>
    <row r="18425" spans="17:17" x14ac:dyDescent="0.25">
      <c r="Q18425" s="8"/>
    </row>
    <row r="18426" spans="17:17" x14ac:dyDescent="0.25">
      <c r="Q18426" s="8"/>
    </row>
    <row r="18427" spans="17:17" x14ac:dyDescent="0.25">
      <c r="Q18427" s="8"/>
    </row>
    <row r="18428" spans="17:17" x14ac:dyDescent="0.25">
      <c r="Q18428" s="8"/>
    </row>
    <row r="18429" spans="17:17" x14ac:dyDescent="0.25">
      <c r="Q18429" s="8"/>
    </row>
    <row r="18430" spans="17:17" x14ac:dyDescent="0.25">
      <c r="Q18430" s="8"/>
    </row>
    <row r="18431" spans="17:17" x14ac:dyDescent="0.25">
      <c r="Q18431" s="8"/>
    </row>
    <row r="18432" spans="17:17" x14ac:dyDescent="0.25">
      <c r="Q18432" s="8"/>
    </row>
    <row r="18433" spans="17:17" x14ac:dyDescent="0.25">
      <c r="Q18433" s="8"/>
    </row>
    <row r="18434" spans="17:17" x14ac:dyDescent="0.25">
      <c r="Q18434" s="8"/>
    </row>
    <row r="18435" spans="17:17" x14ac:dyDescent="0.25">
      <c r="Q18435" s="8"/>
    </row>
    <row r="18436" spans="17:17" x14ac:dyDescent="0.25">
      <c r="Q18436" s="8"/>
    </row>
    <row r="18437" spans="17:17" x14ac:dyDescent="0.25">
      <c r="Q18437" s="8"/>
    </row>
    <row r="18438" spans="17:17" x14ac:dyDescent="0.25">
      <c r="Q18438" s="8"/>
    </row>
    <row r="18439" spans="17:17" x14ac:dyDescent="0.25">
      <c r="Q18439" s="8"/>
    </row>
    <row r="18440" spans="17:17" x14ac:dyDescent="0.25">
      <c r="Q18440" s="8"/>
    </row>
    <row r="18441" spans="17:17" x14ac:dyDescent="0.25">
      <c r="Q18441" s="8"/>
    </row>
    <row r="18442" spans="17:17" x14ac:dyDescent="0.25">
      <c r="Q18442" s="8"/>
    </row>
    <row r="18443" spans="17:17" x14ac:dyDescent="0.25">
      <c r="Q18443" s="8"/>
    </row>
    <row r="18444" spans="17:17" x14ac:dyDescent="0.25">
      <c r="Q18444" s="8"/>
    </row>
    <row r="18445" spans="17:17" x14ac:dyDescent="0.25">
      <c r="Q18445" s="8"/>
    </row>
    <row r="18446" spans="17:17" x14ac:dyDescent="0.25">
      <c r="Q18446" s="8"/>
    </row>
    <row r="18447" spans="17:17" x14ac:dyDescent="0.25">
      <c r="Q18447" s="8"/>
    </row>
    <row r="18448" spans="17:17" x14ac:dyDescent="0.25">
      <c r="Q18448" s="8"/>
    </row>
    <row r="18449" spans="17:17" x14ac:dyDescent="0.25">
      <c r="Q18449" s="8"/>
    </row>
    <row r="18450" spans="17:17" x14ac:dyDescent="0.25">
      <c r="Q18450" s="8"/>
    </row>
    <row r="18451" spans="17:17" x14ac:dyDescent="0.25">
      <c r="Q18451" s="8"/>
    </row>
    <row r="18452" spans="17:17" x14ac:dyDescent="0.25">
      <c r="Q18452" s="8"/>
    </row>
    <row r="18453" spans="17:17" x14ac:dyDescent="0.25">
      <c r="Q18453" s="8"/>
    </row>
    <row r="18454" spans="17:17" x14ac:dyDescent="0.25">
      <c r="Q18454" s="8"/>
    </row>
    <row r="18455" spans="17:17" x14ac:dyDescent="0.25">
      <c r="Q18455" s="8"/>
    </row>
    <row r="18456" spans="17:17" x14ac:dyDescent="0.25">
      <c r="Q18456" s="8"/>
    </row>
    <row r="18457" spans="17:17" x14ac:dyDescent="0.25">
      <c r="Q18457" s="8"/>
    </row>
    <row r="18458" spans="17:17" x14ac:dyDescent="0.25">
      <c r="Q18458" s="8"/>
    </row>
    <row r="18459" spans="17:17" x14ac:dyDescent="0.25">
      <c r="Q18459" s="8"/>
    </row>
    <row r="18460" spans="17:17" x14ac:dyDescent="0.25">
      <c r="Q18460" s="8"/>
    </row>
    <row r="18461" spans="17:17" x14ac:dyDescent="0.25">
      <c r="Q18461" s="8"/>
    </row>
    <row r="18462" spans="17:17" x14ac:dyDescent="0.25">
      <c r="Q18462" s="8"/>
    </row>
    <row r="18463" spans="17:17" x14ac:dyDescent="0.25">
      <c r="Q18463" s="8"/>
    </row>
    <row r="18464" spans="17:17" x14ac:dyDescent="0.25">
      <c r="Q18464" s="8"/>
    </row>
    <row r="18465" spans="17:17" x14ac:dyDescent="0.25">
      <c r="Q18465" s="8"/>
    </row>
    <row r="18466" spans="17:17" x14ac:dyDescent="0.25">
      <c r="Q18466" s="8"/>
    </row>
    <row r="18467" spans="17:17" x14ac:dyDescent="0.25">
      <c r="Q18467" s="8"/>
    </row>
    <row r="18468" spans="17:17" x14ac:dyDescent="0.25">
      <c r="Q18468" s="8"/>
    </row>
    <row r="18469" spans="17:17" x14ac:dyDescent="0.25">
      <c r="Q18469" s="8"/>
    </row>
    <row r="18470" spans="17:17" x14ac:dyDescent="0.25">
      <c r="Q18470" s="8"/>
    </row>
    <row r="18471" spans="17:17" x14ac:dyDescent="0.25">
      <c r="Q18471" s="8"/>
    </row>
    <row r="18472" spans="17:17" x14ac:dyDescent="0.25">
      <c r="Q18472" s="8"/>
    </row>
    <row r="18473" spans="17:17" x14ac:dyDescent="0.25">
      <c r="Q18473" s="8"/>
    </row>
    <row r="18474" spans="17:17" x14ac:dyDescent="0.25">
      <c r="Q18474" s="8"/>
    </row>
    <row r="18475" spans="17:17" x14ac:dyDescent="0.25">
      <c r="Q18475" s="8"/>
    </row>
    <row r="18476" spans="17:17" x14ac:dyDescent="0.25">
      <c r="Q18476" s="8"/>
    </row>
    <row r="18477" spans="17:17" x14ac:dyDescent="0.25">
      <c r="Q18477" s="8"/>
    </row>
    <row r="18478" spans="17:17" x14ac:dyDescent="0.25">
      <c r="Q18478" s="8"/>
    </row>
    <row r="18479" spans="17:17" x14ac:dyDescent="0.25">
      <c r="Q18479" s="8"/>
    </row>
    <row r="18480" spans="17:17" x14ac:dyDescent="0.25">
      <c r="Q18480" s="8"/>
    </row>
    <row r="18481" spans="17:17" x14ac:dyDescent="0.25">
      <c r="Q18481" s="8"/>
    </row>
    <row r="18482" spans="17:17" x14ac:dyDescent="0.25">
      <c r="Q18482" s="8"/>
    </row>
    <row r="18483" spans="17:17" x14ac:dyDescent="0.25">
      <c r="Q18483" s="8"/>
    </row>
    <row r="18484" spans="17:17" x14ac:dyDescent="0.25">
      <c r="Q18484" s="8"/>
    </row>
    <row r="18485" spans="17:17" x14ac:dyDescent="0.25">
      <c r="Q18485" s="8"/>
    </row>
    <row r="18486" spans="17:17" x14ac:dyDescent="0.25">
      <c r="Q18486" s="8"/>
    </row>
    <row r="18487" spans="17:17" x14ac:dyDescent="0.25">
      <c r="Q18487" s="8"/>
    </row>
    <row r="18488" spans="17:17" x14ac:dyDescent="0.25">
      <c r="Q18488" s="8"/>
    </row>
    <row r="18489" spans="17:17" x14ac:dyDescent="0.25">
      <c r="Q18489" s="8"/>
    </row>
    <row r="18490" spans="17:17" x14ac:dyDescent="0.25">
      <c r="Q18490" s="8"/>
    </row>
    <row r="18491" spans="17:17" x14ac:dyDescent="0.25">
      <c r="Q18491" s="8"/>
    </row>
    <row r="18492" spans="17:17" x14ac:dyDescent="0.25">
      <c r="Q18492" s="8"/>
    </row>
    <row r="18493" spans="17:17" x14ac:dyDescent="0.25">
      <c r="Q18493" s="8"/>
    </row>
    <row r="18494" spans="17:17" x14ac:dyDescent="0.25">
      <c r="Q18494" s="8"/>
    </row>
    <row r="18495" spans="17:17" x14ac:dyDescent="0.25">
      <c r="Q18495" s="8"/>
    </row>
    <row r="18496" spans="17:17" x14ac:dyDescent="0.25">
      <c r="Q18496" s="8"/>
    </row>
    <row r="18497" spans="17:17" x14ac:dyDescent="0.25">
      <c r="Q18497" s="8"/>
    </row>
    <row r="18498" spans="17:17" x14ac:dyDescent="0.25">
      <c r="Q18498" s="8"/>
    </row>
    <row r="18499" spans="17:17" x14ac:dyDescent="0.25">
      <c r="Q18499" s="8"/>
    </row>
    <row r="18500" spans="17:17" x14ac:dyDescent="0.25">
      <c r="Q18500" s="8"/>
    </row>
    <row r="18501" spans="17:17" x14ac:dyDescent="0.25">
      <c r="Q18501" s="8"/>
    </row>
    <row r="18502" spans="17:17" x14ac:dyDescent="0.25">
      <c r="Q18502" s="8"/>
    </row>
    <row r="18503" spans="17:17" x14ac:dyDescent="0.25">
      <c r="Q18503" s="8"/>
    </row>
    <row r="18504" spans="17:17" x14ac:dyDescent="0.25">
      <c r="Q18504" s="8"/>
    </row>
    <row r="18505" spans="17:17" x14ac:dyDescent="0.25">
      <c r="Q18505" s="8"/>
    </row>
    <row r="18506" spans="17:17" x14ac:dyDescent="0.25">
      <c r="Q18506" s="8"/>
    </row>
    <row r="18507" spans="17:17" x14ac:dyDescent="0.25">
      <c r="Q18507" s="8"/>
    </row>
    <row r="18508" spans="17:17" x14ac:dyDescent="0.25">
      <c r="Q18508" s="8"/>
    </row>
    <row r="18509" spans="17:17" x14ac:dyDescent="0.25">
      <c r="Q18509" s="8"/>
    </row>
    <row r="18510" spans="17:17" x14ac:dyDescent="0.25">
      <c r="Q18510" s="8"/>
    </row>
    <row r="18511" spans="17:17" x14ac:dyDescent="0.25">
      <c r="Q18511" s="8"/>
    </row>
    <row r="18512" spans="17:17" x14ac:dyDescent="0.25">
      <c r="Q18512" s="8"/>
    </row>
    <row r="18513" spans="17:17" x14ac:dyDescent="0.25">
      <c r="Q18513" s="8"/>
    </row>
    <row r="18514" spans="17:17" x14ac:dyDescent="0.25">
      <c r="Q18514" s="8"/>
    </row>
    <row r="18515" spans="17:17" x14ac:dyDescent="0.25">
      <c r="Q18515" s="8"/>
    </row>
    <row r="18516" spans="17:17" x14ac:dyDescent="0.25">
      <c r="Q18516" s="8"/>
    </row>
    <row r="18517" spans="17:17" x14ac:dyDescent="0.25">
      <c r="Q18517" s="8"/>
    </row>
    <row r="18518" spans="17:17" x14ac:dyDescent="0.25">
      <c r="Q18518" s="8"/>
    </row>
    <row r="18519" spans="17:17" x14ac:dyDescent="0.25">
      <c r="Q18519" s="8"/>
    </row>
    <row r="18520" spans="17:17" x14ac:dyDescent="0.25">
      <c r="Q18520" s="8"/>
    </row>
    <row r="18521" spans="17:17" x14ac:dyDescent="0.25">
      <c r="Q18521" s="8"/>
    </row>
    <row r="18522" spans="17:17" x14ac:dyDescent="0.25">
      <c r="Q18522" s="8"/>
    </row>
    <row r="18523" spans="17:17" x14ac:dyDescent="0.25">
      <c r="Q18523" s="8"/>
    </row>
    <row r="18524" spans="17:17" x14ac:dyDescent="0.25">
      <c r="Q18524" s="8"/>
    </row>
    <row r="18525" spans="17:17" x14ac:dyDescent="0.25">
      <c r="Q18525" s="8"/>
    </row>
    <row r="18526" spans="17:17" x14ac:dyDescent="0.25">
      <c r="Q18526" s="8"/>
    </row>
    <row r="18527" spans="17:17" x14ac:dyDescent="0.25">
      <c r="Q18527" s="8"/>
    </row>
    <row r="18528" spans="17:17" x14ac:dyDescent="0.25">
      <c r="Q18528" s="8"/>
    </row>
    <row r="18529" spans="17:17" x14ac:dyDescent="0.25">
      <c r="Q18529" s="8"/>
    </row>
    <row r="18530" spans="17:17" x14ac:dyDescent="0.25">
      <c r="Q18530" s="8"/>
    </row>
    <row r="18531" spans="17:17" x14ac:dyDescent="0.25">
      <c r="Q18531" s="8"/>
    </row>
    <row r="18532" spans="17:17" x14ac:dyDescent="0.25">
      <c r="Q18532" s="8"/>
    </row>
    <row r="18533" spans="17:17" x14ac:dyDescent="0.25">
      <c r="Q18533" s="8"/>
    </row>
    <row r="18534" spans="17:17" x14ac:dyDescent="0.25">
      <c r="Q18534" s="8"/>
    </row>
    <row r="18535" spans="17:17" x14ac:dyDescent="0.25">
      <c r="Q18535" s="8"/>
    </row>
    <row r="18536" spans="17:17" x14ac:dyDescent="0.25">
      <c r="Q18536" s="8"/>
    </row>
    <row r="18537" spans="17:17" x14ac:dyDescent="0.25">
      <c r="Q18537" s="8"/>
    </row>
    <row r="18538" spans="17:17" x14ac:dyDescent="0.25">
      <c r="Q18538" s="8"/>
    </row>
    <row r="18539" spans="17:17" x14ac:dyDescent="0.25">
      <c r="Q18539" s="8"/>
    </row>
    <row r="18540" spans="17:17" x14ac:dyDescent="0.25">
      <c r="Q18540" s="8"/>
    </row>
    <row r="18541" spans="17:17" x14ac:dyDescent="0.25">
      <c r="Q18541" s="8"/>
    </row>
    <row r="18542" spans="17:17" x14ac:dyDescent="0.25">
      <c r="Q18542" s="8"/>
    </row>
    <row r="18543" spans="17:17" x14ac:dyDescent="0.25">
      <c r="Q18543" s="8"/>
    </row>
    <row r="18544" spans="17:17" x14ac:dyDescent="0.25">
      <c r="Q18544" s="8"/>
    </row>
    <row r="18545" spans="17:17" x14ac:dyDescent="0.25">
      <c r="Q18545" s="8"/>
    </row>
    <row r="18546" spans="17:17" x14ac:dyDescent="0.25">
      <c r="Q18546" s="8"/>
    </row>
    <row r="18547" spans="17:17" x14ac:dyDescent="0.25">
      <c r="Q18547" s="8"/>
    </row>
    <row r="18548" spans="17:17" x14ac:dyDescent="0.25">
      <c r="Q18548" s="8"/>
    </row>
    <row r="18549" spans="17:17" x14ac:dyDescent="0.25">
      <c r="Q18549" s="8"/>
    </row>
    <row r="18550" spans="17:17" x14ac:dyDescent="0.25">
      <c r="Q18550" s="8"/>
    </row>
    <row r="18551" spans="17:17" x14ac:dyDescent="0.25">
      <c r="Q18551" s="8"/>
    </row>
    <row r="18552" spans="17:17" x14ac:dyDescent="0.25">
      <c r="Q18552" s="8"/>
    </row>
    <row r="18553" spans="17:17" x14ac:dyDescent="0.25">
      <c r="Q18553" s="8"/>
    </row>
    <row r="18554" spans="17:17" x14ac:dyDescent="0.25">
      <c r="Q18554" s="8"/>
    </row>
    <row r="18555" spans="17:17" x14ac:dyDescent="0.25">
      <c r="Q18555" s="8"/>
    </row>
    <row r="18556" spans="17:17" x14ac:dyDescent="0.25">
      <c r="Q18556" s="8"/>
    </row>
    <row r="18557" spans="17:17" x14ac:dyDescent="0.25">
      <c r="Q18557" s="8"/>
    </row>
    <row r="18558" spans="17:17" x14ac:dyDescent="0.25">
      <c r="Q18558" s="8"/>
    </row>
    <row r="18559" spans="17:17" x14ac:dyDescent="0.25">
      <c r="Q18559" s="8"/>
    </row>
    <row r="18560" spans="17:17" x14ac:dyDescent="0.25">
      <c r="Q18560" s="8"/>
    </row>
    <row r="18561" spans="17:17" x14ac:dyDescent="0.25">
      <c r="Q18561" s="8"/>
    </row>
    <row r="18562" spans="17:17" x14ac:dyDescent="0.25">
      <c r="Q18562" s="8"/>
    </row>
    <row r="18563" spans="17:17" x14ac:dyDescent="0.25">
      <c r="Q18563" s="8"/>
    </row>
    <row r="18564" spans="17:17" x14ac:dyDescent="0.25">
      <c r="Q18564" s="8"/>
    </row>
    <row r="18565" spans="17:17" x14ac:dyDescent="0.25">
      <c r="Q18565" s="8"/>
    </row>
    <row r="18566" spans="17:17" x14ac:dyDescent="0.25">
      <c r="Q18566" s="8"/>
    </row>
    <row r="18567" spans="17:17" x14ac:dyDescent="0.25">
      <c r="Q18567" s="8"/>
    </row>
    <row r="18568" spans="17:17" x14ac:dyDescent="0.25">
      <c r="Q18568" s="8"/>
    </row>
    <row r="18569" spans="17:17" x14ac:dyDescent="0.25">
      <c r="Q18569" s="8"/>
    </row>
    <row r="18570" spans="17:17" x14ac:dyDescent="0.25">
      <c r="Q18570" s="8"/>
    </row>
    <row r="18571" spans="17:17" x14ac:dyDescent="0.25">
      <c r="Q18571" s="8"/>
    </row>
    <row r="18572" spans="17:17" x14ac:dyDescent="0.25">
      <c r="Q18572" s="8"/>
    </row>
    <row r="18573" spans="17:17" x14ac:dyDescent="0.25">
      <c r="Q18573" s="8"/>
    </row>
    <row r="18574" spans="17:17" x14ac:dyDescent="0.25">
      <c r="Q18574" s="8"/>
    </row>
    <row r="18575" spans="17:17" x14ac:dyDescent="0.25">
      <c r="Q18575" s="8"/>
    </row>
    <row r="18576" spans="17:17" x14ac:dyDescent="0.25">
      <c r="Q18576" s="8"/>
    </row>
    <row r="18577" spans="17:17" x14ac:dyDescent="0.25">
      <c r="Q18577" s="8"/>
    </row>
    <row r="18578" spans="17:17" x14ac:dyDescent="0.25">
      <c r="Q18578" s="8"/>
    </row>
    <row r="18579" spans="17:17" x14ac:dyDescent="0.25">
      <c r="Q18579" s="8"/>
    </row>
    <row r="18580" spans="17:17" x14ac:dyDescent="0.25">
      <c r="Q18580" s="8"/>
    </row>
    <row r="18581" spans="17:17" x14ac:dyDescent="0.25">
      <c r="Q18581" s="8"/>
    </row>
    <row r="18582" spans="17:17" x14ac:dyDescent="0.25">
      <c r="Q18582" s="8"/>
    </row>
    <row r="18583" spans="17:17" x14ac:dyDescent="0.25">
      <c r="Q18583" s="8"/>
    </row>
    <row r="18584" spans="17:17" x14ac:dyDescent="0.25">
      <c r="Q18584" s="8"/>
    </row>
    <row r="18585" spans="17:17" x14ac:dyDescent="0.25">
      <c r="Q18585" s="8"/>
    </row>
    <row r="18586" spans="17:17" x14ac:dyDescent="0.25">
      <c r="Q18586" s="8"/>
    </row>
    <row r="18587" spans="17:17" x14ac:dyDescent="0.25">
      <c r="Q18587" s="8"/>
    </row>
    <row r="18588" spans="17:17" x14ac:dyDescent="0.25">
      <c r="Q18588" s="8"/>
    </row>
    <row r="18589" spans="17:17" x14ac:dyDescent="0.25">
      <c r="Q18589" s="8"/>
    </row>
    <row r="18590" spans="17:17" x14ac:dyDescent="0.25">
      <c r="Q18590" s="8"/>
    </row>
    <row r="18591" spans="17:17" x14ac:dyDescent="0.25">
      <c r="Q18591" s="8"/>
    </row>
    <row r="18592" spans="17:17" x14ac:dyDescent="0.25">
      <c r="Q18592" s="8"/>
    </row>
    <row r="18593" spans="17:17" x14ac:dyDescent="0.25">
      <c r="Q18593" s="8"/>
    </row>
    <row r="18594" spans="17:17" x14ac:dyDescent="0.25">
      <c r="Q18594" s="8"/>
    </row>
    <row r="18595" spans="17:17" x14ac:dyDescent="0.25">
      <c r="Q18595" s="8"/>
    </row>
    <row r="18596" spans="17:17" x14ac:dyDescent="0.25">
      <c r="Q18596" s="8"/>
    </row>
    <row r="18597" spans="17:17" x14ac:dyDescent="0.25">
      <c r="Q18597" s="8"/>
    </row>
    <row r="18598" spans="17:17" x14ac:dyDescent="0.25">
      <c r="Q18598" s="8"/>
    </row>
    <row r="18599" spans="17:17" x14ac:dyDescent="0.25">
      <c r="Q18599" s="8"/>
    </row>
    <row r="18600" spans="17:17" x14ac:dyDescent="0.25">
      <c r="Q18600" s="8"/>
    </row>
    <row r="18601" spans="17:17" x14ac:dyDescent="0.25">
      <c r="Q18601" s="8"/>
    </row>
    <row r="18602" spans="17:17" x14ac:dyDescent="0.25">
      <c r="Q18602" s="8"/>
    </row>
    <row r="18603" spans="17:17" x14ac:dyDescent="0.25">
      <c r="Q18603" s="8"/>
    </row>
    <row r="18604" spans="17:17" x14ac:dyDescent="0.25">
      <c r="Q18604" s="8"/>
    </row>
    <row r="18605" spans="17:17" x14ac:dyDescent="0.25">
      <c r="Q18605" s="8"/>
    </row>
    <row r="18606" spans="17:17" x14ac:dyDescent="0.25">
      <c r="Q18606" s="8"/>
    </row>
    <row r="18607" spans="17:17" x14ac:dyDescent="0.25">
      <c r="Q18607" s="8"/>
    </row>
    <row r="18608" spans="17:17" x14ac:dyDescent="0.25">
      <c r="Q18608" s="8"/>
    </row>
    <row r="18609" spans="17:17" x14ac:dyDescent="0.25">
      <c r="Q18609" s="8"/>
    </row>
    <row r="18610" spans="17:17" x14ac:dyDescent="0.25">
      <c r="Q18610" s="8"/>
    </row>
    <row r="18611" spans="17:17" x14ac:dyDescent="0.25">
      <c r="Q18611" s="8"/>
    </row>
    <row r="18612" spans="17:17" x14ac:dyDescent="0.25">
      <c r="Q18612" s="8"/>
    </row>
    <row r="18613" spans="17:17" x14ac:dyDescent="0.25">
      <c r="Q18613" s="8"/>
    </row>
    <row r="18614" spans="17:17" x14ac:dyDescent="0.25">
      <c r="Q18614" s="8"/>
    </row>
    <row r="18615" spans="17:17" x14ac:dyDescent="0.25">
      <c r="Q18615" s="8"/>
    </row>
    <row r="18616" spans="17:17" x14ac:dyDescent="0.25">
      <c r="Q18616" s="8"/>
    </row>
    <row r="18617" spans="17:17" x14ac:dyDescent="0.25">
      <c r="Q18617" s="8"/>
    </row>
    <row r="18618" spans="17:17" x14ac:dyDescent="0.25">
      <c r="Q18618" s="8"/>
    </row>
    <row r="18619" spans="17:17" x14ac:dyDescent="0.25">
      <c r="Q18619" s="8"/>
    </row>
    <row r="18620" spans="17:17" x14ac:dyDescent="0.25">
      <c r="Q18620" s="8"/>
    </row>
    <row r="18621" spans="17:17" x14ac:dyDescent="0.25">
      <c r="Q18621" s="8"/>
    </row>
    <row r="18622" spans="17:17" x14ac:dyDescent="0.25">
      <c r="Q18622" s="8"/>
    </row>
    <row r="18623" spans="17:17" x14ac:dyDescent="0.25">
      <c r="Q18623" s="8"/>
    </row>
    <row r="18624" spans="17:17" x14ac:dyDescent="0.25">
      <c r="Q18624" s="8"/>
    </row>
    <row r="18625" spans="17:17" x14ac:dyDescent="0.25">
      <c r="Q18625" s="8"/>
    </row>
    <row r="18626" spans="17:17" x14ac:dyDescent="0.25">
      <c r="Q18626" s="8"/>
    </row>
    <row r="18627" spans="17:17" x14ac:dyDescent="0.25">
      <c r="Q18627" s="8"/>
    </row>
    <row r="18628" spans="17:17" x14ac:dyDescent="0.25">
      <c r="Q18628" s="8"/>
    </row>
    <row r="18629" spans="17:17" x14ac:dyDescent="0.25">
      <c r="Q18629" s="8"/>
    </row>
    <row r="18630" spans="17:17" x14ac:dyDescent="0.25">
      <c r="Q18630" s="8"/>
    </row>
    <row r="18631" spans="17:17" x14ac:dyDescent="0.25">
      <c r="Q18631" s="8"/>
    </row>
    <row r="18632" spans="17:17" x14ac:dyDescent="0.25">
      <c r="Q18632" s="8"/>
    </row>
    <row r="18633" spans="17:17" x14ac:dyDescent="0.25">
      <c r="Q18633" s="8"/>
    </row>
    <row r="18634" spans="17:17" x14ac:dyDescent="0.25">
      <c r="Q18634" s="8"/>
    </row>
    <row r="18635" spans="17:17" x14ac:dyDescent="0.25">
      <c r="Q18635" s="8"/>
    </row>
    <row r="18636" spans="17:17" x14ac:dyDescent="0.25">
      <c r="Q18636" s="8"/>
    </row>
    <row r="18637" spans="17:17" x14ac:dyDescent="0.25">
      <c r="Q18637" s="8"/>
    </row>
    <row r="18638" spans="17:17" x14ac:dyDescent="0.25">
      <c r="Q18638" s="8"/>
    </row>
    <row r="18639" spans="17:17" x14ac:dyDescent="0.25">
      <c r="Q18639" s="8"/>
    </row>
    <row r="18640" spans="17:17" x14ac:dyDescent="0.25">
      <c r="Q18640" s="8"/>
    </row>
    <row r="18641" spans="17:17" x14ac:dyDescent="0.25">
      <c r="Q18641" s="8"/>
    </row>
    <row r="18642" spans="17:17" x14ac:dyDescent="0.25">
      <c r="Q18642" s="8"/>
    </row>
    <row r="18643" spans="17:17" x14ac:dyDescent="0.25">
      <c r="Q18643" s="8"/>
    </row>
    <row r="18644" spans="17:17" x14ac:dyDescent="0.25">
      <c r="Q18644" s="8"/>
    </row>
    <row r="18645" spans="17:17" x14ac:dyDescent="0.25">
      <c r="Q18645" s="8"/>
    </row>
    <row r="18646" spans="17:17" x14ac:dyDescent="0.25">
      <c r="Q18646" s="8"/>
    </row>
    <row r="18647" spans="17:17" x14ac:dyDescent="0.25">
      <c r="Q18647" s="8"/>
    </row>
    <row r="18648" spans="17:17" x14ac:dyDescent="0.25">
      <c r="Q18648" s="8"/>
    </row>
    <row r="18649" spans="17:17" x14ac:dyDescent="0.25">
      <c r="Q18649" s="8"/>
    </row>
    <row r="18650" spans="17:17" x14ac:dyDescent="0.25">
      <c r="Q18650" s="8"/>
    </row>
    <row r="18651" spans="17:17" x14ac:dyDescent="0.25">
      <c r="Q18651" s="8"/>
    </row>
    <row r="18652" spans="17:17" x14ac:dyDescent="0.25">
      <c r="Q18652" s="8"/>
    </row>
    <row r="18653" spans="17:17" x14ac:dyDescent="0.25">
      <c r="Q18653" s="8"/>
    </row>
    <row r="18654" spans="17:17" x14ac:dyDescent="0.25">
      <c r="Q18654" s="8"/>
    </row>
    <row r="18655" spans="17:17" x14ac:dyDescent="0.25">
      <c r="Q18655" s="8"/>
    </row>
    <row r="18656" spans="17:17" x14ac:dyDescent="0.25">
      <c r="Q18656" s="8"/>
    </row>
    <row r="18657" spans="17:17" x14ac:dyDescent="0.25">
      <c r="Q18657" s="8"/>
    </row>
    <row r="18658" spans="17:17" x14ac:dyDescent="0.25">
      <c r="Q18658" s="8"/>
    </row>
    <row r="18659" spans="17:17" x14ac:dyDescent="0.25">
      <c r="Q18659" s="8"/>
    </row>
    <row r="18660" spans="17:17" x14ac:dyDescent="0.25">
      <c r="Q18660" s="8"/>
    </row>
    <row r="18661" spans="17:17" x14ac:dyDescent="0.25">
      <c r="Q18661" s="8"/>
    </row>
    <row r="18662" spans="17:17" x14ac:dyDescent="0.25">
      <c r="Q18662" s="8"/>
    </row>
    <row r="18663" spans="17:17" x14ac:dyDescent="0.25">
      <c r="Q18663" s="8"/>
    </row>
    <row r="18664" spans="17:17" x14ac:dyDescent="0.25">
      <c r="Q18664" s="8"/>
    </row>
    <row r="18665" spans="17:17" x14ac:dyDescent="0.25">
      <c r="Q18665" s="8"/>
    </row>
    <row r="18666" spans="17:17" x14ac:dyDescent="0.25">
      <c r="Q18666" s="8"/>
    </row>
    <row r="18667" spans="17:17" x14ac:dyDescent="0.25">
      <c r="Q18667" s="8"/>
    </row>
    <row r="18668" spans="17:17" x14ac:dyDescent="0.25">
      <c r="Q18668" s="8"/>
    </row>
    <row r="18669" spans="17:17" x14ac:dyDescent="0.25">
      <c r="Q18669" s="8"/>
    </row>
    <row r="18670" spans="17:17" x14ac:dyDescent="0.25">
      <c r="Q18670" s="8"/>
    </row>
    <row r="18671" spans="17:17" x14ac:dyDescent="0.25">
      <c r="Q18671" s="8"/>
    </row>
    <row r="18672" spans="17:17" x14ac:dyDescent="0.25">
      <c r="Q18672" s="8"/>
    </row>
    <row r="18673" spans="17:17" x14ac:dyDescent="0.25">
      <c r="Q18673" s="8"/>
    </row>
    <row r="18674" spans="17:17" x14ac:dyDescent="0.25">
      <c r="Q18674" s="8"/>
    </row>
    <row r="18675" spans="17:17" x14ac:dyDescent="0.25">
      <c r="Q18675" s="8"/>
    </row>
    <row r="18676" spans="17:17" x14ac:dyDescent="0.25">
      <c r="Q18676" s="8"/>
    </row>
    <row r="18677" spans="17:17" x14ac:dyDescent="0.25">
      <c r="Q18677" s="8"/>
    </row>
    <row r="18678" spans="17:17" x14ac:dyDescent="0.25">
      <c r="Q18678" s="8"/>
    </row>
    <row r="18679" spans="17:17" x14ac:dyDescent="0.25">
      <c r="Q18679" s="8"/>
    </row>
    <row r="18680" spans="17:17" x14ac:dyDescent="0.25">
      <c r="Q18680" s="8"/>
    </row>
    <row r="18681" spans="17:17" x14ac:dyDescent="0.25">
      <c r="Q18681" s="8"/>
    </row>
    <row r="18682" spans="17:17" x14ac:dyDescent="0.25">
      <c r="Q18682" s="8"/>
    </row>
    <row r="18683" spans="17:17" x14ac:dyDescent="0.25">
      <c r="Q18683" s="8"/>
    </row>
    <row r="18684" spans="17:17" x14ac:dyDescent="0.25">
      <c r="Q18684" s="8"/>
    </row>
    <row r="18685" spans="17:17" x14ac:dyDescent="0.25">
      <c r="Q18685" s="8"/>
    </row>
    <row r="18686" spans="17:17" x14ac:dyDescent="0.25">
      <c r="Q18686" s="8"/>
    </row>
    <row r="18687" spans="17:17" x14ac:dyDescent="0.25">
      <c r="Q18687" s="8"/>
    </row>
    <row r="18688" spans="17:17" x14ac:dyDescent="0.25">
      <c r="Q18688" s="8"/>
    </row>
    <row r="18689" spans="17:17" x14ac:dyDescent="0.25">
      <c r="Q18689" s="8"/>
    </row>
    <row r="18690" spans="17:17" x14ac:dyDescent="0.25">
      <c r="Q18690" s="8"/>
    </row>
    <row r="18691" spans="17:17" x14ac:dyDescent="0.25">
      <c r="Q18691" s="8"/>
    </row>
    <row r="18692" spans="17:17" x14ac:dyDescent="0.25">
      <c r="Q18692" s="8"/>
    </row>
    <row r="18693" spans="17:17" x14ac:dyDescent="0.25">
      <c r="Q18693" s="8"/>
    </row>
    <row r="18694" spans="17:17" x14ac:dyDescent="0.25">
      <c r="Q18694" s="8"/>
    </row>
    <row r="18695" spans="17:17" x14ac:dyDescent="0.25">
      <c r="Q18695" s="8"/>
    </row>
    <row r="18696" spans="17:17" x14ac:dyDescent="0.25">
      <c r="Q18696" s="8"/>
    </row>
    <row r="18697" spans="17:17" x14ac:dyDescent="0.25">
      <c r="Q18697" s="8"/>
    </row>
    <row r="18698" spans="17:17" x14ac:dyDescent="0.25">
      <c r="Q18698" s="8"/>
    </row>
    <row r="18699" spans="17:17" x14ac:dyDescent="0.25">
      <c r="Q18699" s="8"/>
    </row>
    <row r="18700" spans="17:17" x14ac:dyDescent="0.25">
      <c r="Q18700" s="8"/>
    </row>
    <row r="18701" spans="17:17" x14ac:dyDescent="0.25">
      <c r="Q18701" s="8"/>
    </row>
    <row r="18702" spans="17:17" x14ac:dyDescent="0.25">
      <c r="Q18702" s="8"/>
    </row>
    <row r="18703" spans="17:17" x14ac:dyDescent="0.25">
      <c r="Q18703" s="8"/>
    </row>
    <row r="18704" spans="17:17" x14ac:dyDescent="0.25">
      <c r="Q18704" s="8"/>
    </row>
    <row r="18705" spans="17:17" x14ac:dyDescent="0.25">
      <c r="Q18705" s="8"/>
    </row>
    <row r="18706" spans="17:17" x14ac:dyDescent="0.25">
      <c r="Q18706" s="8"/>
    </row>
    <row r="18707" spans="17:17" x14ac:dyDescent="0.25">
      <c r="Q18707" s="8"/>
    </row>
    <row r="18708" spans="17:17" x14ac:dyDescent="0.25">
      <c r="Q18708" s="8"/>
    </row>
    <row r="18709" spans="17:17" x14ac:dyDescent="0.25">
      <c r="Q18709" s="8"/>
    </row>
    <row r="18710" spans="17:17" x14ac:dyDescent="0.25">
      <c r="Q18710" s="8"/>
    </row>
    <row r="18711" spans="17:17" x14ac:dyDescent="0.25">
      <c r="Q18711" s="8"/>
    </row>
    <row r="18712" spans="17:17" x14ac:dyDescent="0.25">
      <c r="Q18712" s="8"/>
    </row>
    <row r="18713" spans="17:17" x14ac:dyDescent="0.25">
      <c r="Q18713" s="8"/>
    </row>
    <row r="18714" spans="17:17" x14ac:dyDescent="0.25">
      <c r="Q18714" s="8"/>
    </row>
    <row r="18715" spans="17:17" x14ac:dyDescent="0.25">
      <c r="Q18715" s="8"/>
    </row>
    <row r="18716" spans="17:17" x14ac:dyDescent="0.25">
      <c r="Q18716" s="8"/>
    </row>
    <row r="18717" spans="17:17" x14ac:dyDescent="0.25">
      <c r="Q18717" s="8"/>
    </row>
    <row r="18718" spans="17:17" x14ac:dyDescent="0.25">
      <c r="Q18718" s="8"/>
    </row>
    <row r="18719" spans="17:17" x14ac:dyDescent="0.25">
      <c r="Q18719" s="8"/>
    </row>
    <row r="18720" spans="17:17" x14ac:dyDescent="0.25">
      <c r="Q18720" s="8"/>
    </row>
    <row r="18721" spans="17:17" x14ac:dyDescent="0.25">
      <c r="Q18721" s="8"/>
    </row>
    <row r="18722" spans="17:17" x14ac:dyDescent="0.25">
      <c r="Q18722" s="8"/>
    </row>
    <row r="18723" spans="17:17" x14ac:dyDescent="0.25">
      <c r="Q18723" s="8"/>
    </row>
    <row r="18724" spans="17:17" x14ac:dyDescent="0.25">
      <c r="Q18724" s="8"/>
    </row>
    <row r="18725" spans="17:17" x14ac:dyDescent="0.25">
      <c r="Q18725" s="8"/>
    </row>
    <row r="18726" spans="17:17" x14ac:dyDescent="0.25">
      <c r="Q18726" s="8"/>
    </row>
    <row r="18727" spans="17:17" x14ac:dyDescent="0.25">
      <c r="Q18727" s="8"/>
    </row>
    <row r="18728" spans="17:17" x14ac:dyDescent="0.25">
      <c r="Q18728" s="8"/>
    </row>
    <row r="18729" spans="17:17" x14ac:dyDescent="0.25">
      <c r="Q18729" s="8"/>
    </row>
    <row r="18730" spans="17:17" x14ac:dyDescent="0.25">
      <c r="Q18730" s="8"/>
    </row>
    <row r="18731" spans="17:17" x14ac:dyDescent="0.25">
      <c r="Q18731" s="8"/>
    </row>
    <row r="18732" spans="17:17" x14ac:dyDescent="0.25">
      <c r="Q18732" s="8"/>
    </row>
    <row r="18733" spans="17:17" x14ac:dyDescent="0.25">
      <c r="Q18733" s="8"/>
    </row>
    <row r="18734" spans="17:17" x14ac:dyDescent="0.25">
      <c r="Q18734" s="8"/>
    </row>
    <row r="18735" spans="17:17" x14ac:dyDescent="0.25">
      <c r="Q18735" s="8"/>
    </row>
    <row r="18736" spans="17:17" x14ac:dyDescent="0.25">
      <c r="Q18736" s="8"/>
    </row>
    <row r="18737" spans="17:17" x14ac:dyDescent="0.25">
      <c r="Q18737" s="8"/>
    </row>
    <row r="18738" spans="17:17" x14ac:dyDescent="0.25">
      <c r="Q18738" s="8"/>
    </row>
    <row r="18739" spans="17:17" x14ac:dyDescent="0.25">
      <c r="Q18739" s="8"/>
    </row>
    <row r="18740" spans="17:17" x14ac:dyDescent="0.25">
      <c r="Q18740" s="8"/>
    </row>
    <row r="18741" spans="17:17" x14ac:dyDescent="0.25">
      <c r="Q18741" s="8"/>
    </row>
    <row r="18742" spans="17:17" x14ac:dyDescent="0.25">
      <c r="Q18742" s="8"/>
    </row>
    <row r="18743" spans="17:17" x14ac:dyDescent="0.25">
      <c r="Q18743" s="8"/>
    </row>
    <row r="18744" spans="17:17" x14ac:dyDescent="0.25">
      <c r="Q18744" s="8"/>
    </row>
    <row r="18745" spans="17:17" x14ac:dyDescent="0.25">
      <c r="Q18745" s="8"/>
    </row>
    <row r="18746" spans="17:17" x14ac:dyDescent="0.25">
      <c r="Q18746" s="8"/>
    </row>
    <row r="18747" spans="17:17" x14ac:dyDescent="0.25">
      <c r="Q18747" s="8"/>
    </row>
    <row r="18748" spans="17:17" x14ac:dyDescent="0.25">
      <c r="Q18748" s="8"/>
    </row>
    <row r="18749" spans="17:17" x14ac:dyDescent="0.25">
      <c r="Q18749" s="8"/>
    </row>
    <row r="18750" spans="17:17" x14ac:dyDescent="0.25">
      <c r="Q18750" s="8"/>
    </row>
    <row r="18751" spans="17:17" x14ac:dyDescent="0.25">
      <c r="Q18751" s="8"/>
    </row>
    <row r="18752" spans="17:17" x14ac:dyDescent="0.25">
      <c r="Q18752" s="8"/>
    </row>
    <row r="18753" spans="17:17" x14ac:dyDescent="0.25">
      <c r="Q18753" s="8"/>
    </row>
    <row r="18754" spans="17:17" x14ac:dyDescent="0.25">
      <c r="Q18754" s="8"/>
    </row>
    <row r="18755" spans="17:17" x14ac:dyDescent="0.25">
      <c r="Q18755" s="8"/>
    </row>
    <row r="18756" spans="17:17" x14ac:dyDescent="0.25">
      <c r="Q18756" s="8"/>
    </row>
    <row r="18757" spans="17:17" x14ac:dyDescent="0.25">
      <c r="Q18757" s="8"/>
    </row>
    <row r="18758" spans="17:17" x14ac:dyDescent="0.25">
      <c r="Q18758" s="8"/>
    </row>
    <row r="18759" spans="17:17" x14ac:dyDescent="0.25">
      <c r="Q18759" s="8"/>
    </row>
    <row r="18760" spans="17:17" x14ac:dyDescent="0.25">
      <c r="Q18760" s="8"/>
    </row>
    <row r="18761" spans="17:17" x14ac:dyDescent="0.25">
      <c r="Q18761" s="8"/>
    </row>
    <row r="18762" spans="17:17" x14ac:dyDescent="0.25">
      <c r="Q18762" s="8"/>
    </row>
    <row r="18763" spans="17:17" x14ac:dyDescent="0.25">
      <c r="Q18763" s="8"/>
    </row>
    <row r="18764" spans="17:17" x14ac:dyDescent="0.25">
      <c r="Q18764" s="8"/>
    </row>
    <row r="18765" spans="17:17" x14ac:dyDescent="0.25">
      <c r="Q18765" s="8"/>
    </row>
    <row r="18766" spans="17:17" x14ac:dyDescent="0.25">
      <c r="Q18766" s="8"/>
    </row>
    <row r="18767" spans="17:17" x14ac:dyDescent="0.25">
      <c r="Q18767" s="8"/>
    </row>
    <row r="18768" spans="17:17" x14ac:dyDescent="0.25">
      <c r="Q18768" s="8"/>
    </row>
    <row r="18769" spans="17:17" x14ac:dyDescent="0.25">
      <c r="Q18769" s="8"/>
    </row>
    <row r="18770" spans="17:17" x14ac:dyDescent="0.25">
      <c r="Q18770" s="8"/>
    </row>
    <row r="18771" spans="17:17" x14ac:dyDescent="0.25">
      <c r="Q18771" s="8"/>
    </row>
    <row r="18772" spans="17:17" x14ac:dyDescent="0.25">
      <c r="Q18772" s="8"/>
    </row>
    <row r="18773" spans="17:17" x14ac:dyDescent="0.25">
      <c r="Q18773" s="8"/>
    </row>
    <row r="18774" spans="17:17" x14ac:dyDescent="0.25">
      <c r="Q18774" s="8"/>
    </row>
    <row r="18775" spans="17:17" x14ac:dyDescent="0.25">
      <c r="Q18775" s="8"/>
    </row>
    <row r="18776" spans="17:17" x14ac:dyDescent="0.25">
      <c r="Q18776" s="8"/>
    </row>
    <row r="18777" spans="17:17" x14ac:dyDescent="0.25">
      <c r="Q18777" s="8"/>
    </row>
    <row r="18778" spans="17:17" x14ac:dyDescent="0.25">
      <c r="Q18778" s="8"/>
    </row>
    <row r="18779" spans="17:17" x14ac:dyDescent="0.25">
      <c r="Q18779" s="8"/>
    </row>
    <row r="18780" spans="17:17" x14ac:dyDescent="0.25">
      <c r="Q18780" s="8"/>
    </row>
    <row r="18781" spans="17:17" x14ac:dyDescent="0.25">
      <c r="Q18781" s="8"/>
    </row>
    <row r="18782" spans="17:17" x14ac:dyDescent="0.25">
      <c r="Q18782" s="8"/>
    </row>
    <row r="18783" spans="17:17" x14ac:dyDescent="0.25">
      <c r="Q18783" s="8"/>
    </row>
    <row r="18784" spans="17:17" x14ac:dyDescent="0.25">
      <c r="Q18784" s="8"/>
    </row>
    <row r="18785" spans="17:17" x14ac:dyDescent="0.25">
      <c r="Q18785" s="8"/>
    </row>
    <row r="18786" spans="17:17" x14ac:dyDescent="0.25">
      <c r="Q18786" s="8"/>
    </row>
    <row r="18787" spans="17:17" x14ac:dyDescent="0.25">
      <c r="Q18787" s="8"/>
    </row>
    <row r="18788" spans="17:17" x14ac:dyDescent="0.25">
      <c r="Q18788" s="8"/>
    </row>
    <row r="18789" spans="17:17" x14ac:dyDescent="0.25">
      <c r="Q18789" s="8"/>
    </row>
    <row r="18790" spans="17:17" x14ac:dyDescent="0.25">
      <c r="Q18790" s="8"/>
    </row>
    <row r="18791" spans="17:17" x14ac:dyDescent="0.25">
      <c r="Q18791" s="8"/>
    </row>
    <row r="18792" spans="17:17" x14ac:dyDescent="0.25">
      <c r="Q18792" s="8"/>
    </row>
    <row r="18793" spans="17:17" x14ac:dyDescent="0.25">
      <c r="Q18793" s="8"/>
    </row>
    <row r="18794" spans="17:17" x14ac:dyDescent="0.25">
      <c r="Q18794" s="8"/>
    </row>
    <row r="18795" spans="17:17" x14ac:dyDescent="0.25">
      <c r="Q18795" s="8"/>
    </row>
    <row r="18796" spans="17:17" x14ac:dyDescent="0.25">
      <c r="Q18796" s="8"/>
    </row>
    <row r="18797" spans="17:17" x14ac:dyDescent="0.25">
      <c r="Q18797" s="8"/>
    </row>
    <row r="18798" spans="17:17" x14ac:dyDescent="0.25">
      <c r="Q18798" s="8"/>
    </row>
    <row r="18799" spans="17:17" x14ac:dyDescent="0.25">
      <c r="Q18799" s="8"/>
    </row>
    <row r="18800" spans="17:17" x14ac:dyDescent="0.25">
      <c r="Q18800" s="8"/>
    </row>
    <row r="18801" spans="17:17" x14ac:dyDescent="0.25">
      <c r="Q18801" s="8"/>
    </row>
    <row r="18802" spans="17:17" x14ac:dyDescent="0.25">
      <c r="Q18802" s="8"/>
    </row>
    <row r="18803" spans="17:17" x14ac:dyDescent="0.25">
      <c r="Q18803" s="8"/>
    </row>
    <row r="18804" spans="17:17" x14ac:dyDescent="0.25">
      <c r="Q18804" s="8"/>
    </row>
    <row r="18805" spans="17:17" x14ac:dyDescent="0.25">
      <c r="Q18805" s="8"/>
    </row>
    <row r="18806" spans="17:17" x14ac:dyDescent="0.25">
      <c r="Q18806" s="8"/>
    </row>
    <row r="18807" spans="17:17" x14ac:dyDescent="0.25">
      <c r="Q18807" s="8"/>
    </row>
    <row r="18808" spans="17:17" x14ac:dyDescent="0.25">
      <c r="Q18808" s="8"/>
    </row>
    <row r="18809" spans="17:17" x14ac:dyDescent="0.25">
      <c r="Q18809" s="8"/>
    </row>
    <row r="18810" spans="17:17" x14ac:dyDescent="0.25">
      <c r="Q18810" s="8"/>
    </row>
    <row r="18811" spans="17:17" x14ac:dyDescent="0.25">
      <c r="Q18811" s="8"/>
    </row>
    <row r="18812" spans="17:17" x14ac:dyDescent="0.25">
      <c r="Q18812" s="8"/>
    </row>
    <row r="18813" spans="17:17" x14ac:dyDescent="0.25">
      <c r="Q18813" s="8"/>
    </row>
    <row r="18814" spans="17:17" x14ac:dyDescent="0.25">
      <c r="Q18814" s="8"/>
    </row>
    <row r="18815" spans="17:17" x14ac:dyDescent="0.25">
      <c r="Q18815" s="8"/>
    </row>
    <row r="18816" spans="17:17" x14ac:dyDescent="0.25">
      <c r="Q18816" s="8"/>
    </row>
    <row r="18817" spans="17:17" x14ac:dyDescent="0.25">
      <c r="Q18817" s="8"/>
    </row>
    <row r="18818" spans="17:17" x14ac:dyDescent="0.25">
      <c r="Q18818" s="8"/>
    </row>
    <row r="18819" spans="17:17" x14ac:dyDescent="0.25">
      <c r="Q18819" s="8"/>
    </row>
    <row r="18820" spans="17:17" x14ac:dyDescent="0.25">
      <c r="Q18820" s="8"/>
    </row>
    <row r="18821" spans="17:17" x14ac:dyDescent="0.25">
      <c r="Q18821" s="8"/>
    </row>
    <row r="18822" spans="17:17" x14ac:dyDescent="0.25">
      <c r="Q18822" s="8"/>
    </row>
    <row r="18823" spans="17:17" x14ac:dyDescent="0.25">
      <c r="Q18823" s="8"/>
    </row>
    <row r="18824" spans="17:17" x14ac:dyDescent="0.25">
      <c r="Q18824" s="8"/>
    </row>
    <row r="18825" spans="17:17" x14ac:dyDescent="0.25">
      <c r="Q18825" s="8"/>
    </row>
    <row r="18826" spans="17:17" x14ac:dyDescent="0.25">
      <c r="Q18826" s="8"/>
    </row>
    <row r="18827" spans="17:17" x14ac:dyDescent="0.25">
      <c r="Q18827" s="8"/>
    </row>
    <row r="18828" spans="17:17" x14ac:dyDescent="0.25">
      <c r="Q18828" s="8"/>
    </row>
    <row r="18829" spans="17:17" x14ac:dyDescent="0.25">
      <c r="Q18829" s="8"/>
    </row>
    <row r="18830" spans="17:17" x14ac:dyDescent="0.25">
      <c r="Q18830" s="8"/>
    </row>
    <row r="18831" spans="17:17" x14ac:dyDescent="0.25">
      <c r="Q18831" s="8"/>
    </row>
    <row r="18832" spans="17:17" x14ac:dyDescent="0.25">
      <c r="Q18832" s="8"/>
    </row>
    <row r="18833" spans="17:17" x14ac:dyDescent="0.25">
      <c r="Q18833" s="8"/>
    </row>
    <row r="18834" spans="17:17" x14ac:dyDescent="0.25">
      <c r="Q18834" s="8"/>
    </row>
    <row r="18835" spans="17:17" x14ac:dyDescent="0.25">
      <c r="Q18835" s="8"/>
    </row>
    <row r="18836" spans="17:17" x14ac:dyDescent="0.25">
      <c r="Q18836" s="8"/>
    </row>
    <row r="18837" spans="17:17" x14ac:dyDescent="0.25">
      <c r="Q18837" s="8"/>
    </row>
    <row r="18838" spans="17:17" x14ac:dyDescent="0.25">
      <c r="Q18838" s="8"/>
    </row>
    <row r="18839" spans="17:17" x14ac:dyDescent="0.25">
      <c r="Q18839" s="8"/>
    </row>
    <row r="18840" spans="17:17" x14ac:dyDescent="0.25">
      <c r="Q18840" s="8"/>
    </row>
    <row r="18841" spans="17:17" x14ac:dyDescent="0.25">
      <c r="Q18841" s="8"/>
    </row>
    <row r="18842" spans="17:17" x14ac:dyDescent="0.25">
      <c r="Q18842" s="8"/>
    </row>
    <row r="18843" spans="17:17" x14ac:dyDescent="0.25">
      <c r="Q18843" s="8"/>
    </row>
    <row r="18844" spans="17:17" x14ac:dyDescent="0.25">
      <c r="Q18844" s="8"/>
    </row>
    <row r="18845" spans="17:17" x14ac:dyDescent="0.25">
      <c r="Q18845" s="8"/>
    </row>
    <row r="18846" spans="17:17" x14ac:dyDescent="0.25">
      <c r="Q18846" s="8"/>
    </row>
    <row r="18847" spans="17:17" x14ac:dyDescent="0.25">
      <c r="Q18847" s="8"/>
    </row>
    <row r="18848" spans="17:17" x14ac:dyDescent="0.25">
      <c r="Q18848" s="8"/>
    </row>
    <row r="18849" spans="17:17" x14ac:dyDescent="0.25">
      <c r="Q18849" s="8"/>
    </row>
    <row r="18850" spans="17:17" x14ac:dyDescent="0.25">
      <c r="Q18850" s="8"/>
    </row>
    <row r="18851" spans="17:17" x14ac:dyDescent="0.25">
      <c r="Q18851" s="8"/>
    </row>
    <row r="18852" spans="17:17" x14ac:dyDescent="0.25">
      <c r="Q18852" s="8"/>
    </row>
    <row r="18853" spans="17:17" x14ac:dyDescent="0.25">
      <c r="Q18853" s="8"/>
    </row>
    <row r="18854" spans="17:17" x14ac:dyDescent="0.25">
      <c r="Q18854" s="8"/>
    </row>
    <row r="18855" spans="17:17" x14ac:dyDescent="0.25">
      <c r="Q18855" s="8"/>
    </row>
    <row r="18856" spans="17:17" x14ac:dyDescent="0.25">
      <c r="Q18856" s="8"/>
    </row>
    <row r="18857" spans="17:17" x14ac:dyDescent="0.25">
      <c r="Q18857" s="8"/>
    </row>
    <row r="18858" spans="17:17" x14ac:dyDescent="0.25">
      <c r="Q18858" s="8"/>
    </row>
    <row r="18859" spans="17:17" x14ac:dyDescent="0.25">
      <c r="Q18859" s="8"/>
    </row>
    <row r="18860" spans="17:17" x14ac:dyDescent="0.25">
      <c r="Q18860" s="8"/>
    </row>
    <row r="18861" spans="17:17" x14ac:dyDescent="0.25">
      <c r="Q18861" s="8"/>
    </row>
    <row r="18862" spans="17:17" x14ac:dyDescent="0.25">
      <c r="Q18862" s="8"/>
    </row>
    <row r="18863" spans="17:17" x14ac:dyDescent="0.25">
      <c r="Q18863" s="8"/>
    </row>
    <row r="18864" spans="17:17" x14ac:dyDescent="0.25">
      <c r="Q18864" s="8"/>
    </row>
    <row r="18865" spans="17:17" x14ac:dyDescent="0.25">
      <c r="Q18865" s="8"/>
    </row>
    <row r="18866" spans="17:17" x14ac:dyDescent="0.25">
      <c r="Q18866" s="8"/>
    </row>
    <row r="18867" spans="17:17" x14ac:dyDescent="0.25">
      <c r="Q18867" s="8"/>
    </row>
    <row r="18868" spans="17:17" x14ac:dyDescent="0.25">
      <c r="Q18868" s="8"/>
    </row>
    <row r="18869" spans="17:17" x14ac:dyDescent="0.25">
      <c r="Q18869" s="8"/>
    </row>
    <row r="18870" spans="17:17" x14ac:dyDescent="0.25">
      <c r="Q18870" s="8"/>
    </row>
    <row r="18871" spans="17:17" x14ac:dyDescent="0.25">
      <c r="Q18871" s="8"/>
    </row>
    <row r="18872" spans="17:17" x14ac:dyDescent="0.25">
      <c r="Q18872" s="8"/>
    </row>
    <row r="18873" spans="17:17" x14ac:dyDescent="0.25">
      <c r="Q18873" s="8"/>
    </row>
    <row r="18874" spans="17:17" x14ac:dyDescent="0.25">
      <c r="Q18874" s="8"/>
    </row>
    <row r="18875" spans="17:17" x14ac:dyDescent="0.25">
      <c r="Q18875" s="8"/>
    </row>
    <row r="18876" spans="17:17" x14ac:dyDescent="0.25">
      <c r="Q18876" s="8"/>
    </row>
    <row r="18877" spans="17:17" x14ac:dyDescent="0.25">
      <c r="Q18877" s="8"/>
    </row>
    <row r="18878" spans="17:17" x14ac:dyDescent="0.25">
      <c r="Q18878" s="8"/>
    </row>
    <row r="18879" spans="17:17" x14ac:dyDescent="0.25">
      <c r="Q18879" s="8"/>
    </row>
    <row r="18880" spans="17:17" x14ac:dyDescent="0.25">
      <c r="Q18880" s="8"/>
    </row>
    <row r="18881" spans="17:17" x14ac:dyDescent="0.25">
      <c r="Q18881" s="8"/>
    </row>
    <row r="18882" spans="17:17" x14ac:dyDescent="0.25">
      <c r="Q18882" s="8"/>
    </row>
    <row r="18883" spans="17:17" x14ac:dyDescent="0.25">
      <c r="Q18883" s="8"/>
    </row>
    <row r="18884" spans="17:17" x14ac:dyDescent="0.25">
      <c r="Q18884" s="8"/>
    </row>
    <row r="18885" spans="17:17" x14ac:dyDescent="0.25">
      <c r="Q18885" s="8"/>
    </row>
    <row r="18886" spans="17:17" x14ac:dyDescent="0.25">
      <c r="Q18886" s="8"/>
    </row>
    <row r="18887" spans="17:17" x14ac:dyDescent="0.25">
      <c r="Q18887" s="8"/>
    </row>
    <row r="18888" spans="17:17" x14ac:dyDescent="0.25">
      <c r="Q18888" s="8"/>
    </row>
    <row r="18889" spans="17:17" x14ac:dyDescent="0.25">
      <c r="Q18889" s="8"/>
    </row>
    <row r="18890" spans="17:17" x14ac:dyDescent="0.25">
      <c r="Q18890" s="8"/>
    </row>
    <row r="18891" spans="17:17" x14ac:dyDescent="0.25">
      <c r="Q18891" s="8"/>
    </row>
    <row r="18892" spans="17:17" x14ac:dyDescent="0.25">
      <c r="Q18892" s="8"/>
    </row>
    <row r="18893" spans="17:17" x14ac:dyDescent="0.25">
      <c r="Q18893" s="8"/>
    </row>
    <row r="18894" spans="17:17" x14ac:dyDescent="0.25">
      <c r="Q18894" s="8"/>
    </row>
    <row r="18895" spans="17:17" x14ac:dyDescent="0.25">
      <c r="Q18895" s="8"/>
    </row>
    <row r="18896" spans="17:17" x14ac:dyDescent="0.25">
      <c r="Q18896" s="8"/>
    </row>
    <row r="18897" spans="17:17" x14ac:dyDescent="0.25">
      <c r="Q18897" s="8"/>
    </row>
    <row r="18898" spans="17:17" x14ac:dyDescent="0.25">
      <c r="Q18898" s="8"/>
    </row>
    <row r="18899" spans="17:17" x14ac:dyDescent="0.25">
      <c r="Q18899" s="8"/>
    </row>
    <row r="18900" spans="17:17" x14ac:dyDescent="0.25">
      <c r="Q18900" s="8"/>
    </row>
    <row r="18901" spans="17:17" x14ac:dyDescent="0.25">
      <c r="Q18901" s="8"/>
    </row>
    <row r="18902" spans="17:17" x14ac:dyDescent="0.25">
      <c r="Q18902" s="8"/>
    </row>
    <row r="18903" spans="17:17" x14ac:dyDescent="0.25">
      <c r="Q18903" s="8"/>
    </row>
    <row r="18904" spans="17:17" x14ac:dyDescent="0.25">
      <c r="Q18904" s="8"/>
    </row>
    <row r="18905" spans="17:17" x14ac:dyDescent="0.25">
      <c r="Q18905" s="8"/>
    </row>
    <row r="18906" spans="17:17" x14ac:dyDescent="0.25">
      <c r="Q18906" s="8"/>
    </row>
    <row r="18907" spans="17:17" x14ac:dyDescent="0.25">
      <c r="Q18907" s="8"/>
    </row>
    <row r="18908" spans="17:17" x14ac:dyDescent="0.25">
      <c r="Q18908" s="8"/>
    </row>
    <row r="18909" spans="17:17" x14ac:dyDescent="0.25">
      <c r="Q18909" s="8"/>
    </row>
    <row r="18910" spans="17:17" x14ac:dyDescent="0.25">
      <c r="Q18910" s="8"/>
    </row>
    <row r="18911" spans="17:17" x14ac:dyDescent="0.25">
      <c r="Q18911" s="8"/>
    </row>
    <row r="18912" spans="17:17" x14ac:dyDescent="0.25">
      <c r="Q18912" s="8"/>
    </row>
    <row r="18913" spans="17:17" x14ac:dyDescent="0.25">
      <c r="Q18913" s="8"/>
    </row>
    <row r="18914" spans="17:17" x14ac:dyDescent="0.25">
      <c r="Q18914" s="8"/>
    </row>
    <row r="18915" spans="17:17" x14ac:dyDescent="0.25">
      <c r="Q18915" s="8"/>
    </row>
    <row r="18916" spans="17:17" x14ac:dyDescent="0.25">
      <c r="Q18916" s="8"/>
    </row>
    <row r="18917" spans="17:17" x14ac:dyDescent="0.25">
      <c r="Q18917" s="8"/>
    </row>
    <row r="18918" spans="17:17" x14ac:dyDescent="0.25">
      <c r="Q18918" s="8"/>
    </row>
    <row r="18919" spans="17:17" x14ac:dyDescent="0.25">
      <c r="Q18919" s="8"/>
    </row>
    <row r="18920" spans="17:17" x14ac:dyDescent="0.25">
      <c r="Q18920" s="8"/>
    </row>
    <row r="18921" spans="17:17" x14ac:dyDescent="0.25">
      <c r="Q18921" s="8"/>
    </row>
    <row r="18922" spans="17:17" x14ac:dyDescent="0.25">
      <c r="Q18922" s="8"/>
    </row>
    <row r="18923" spans="17:17" x14ac:dyDescent="0.25">
      <c r="Q18923" s="8"/>
    </row>
    <row r="18924" spans="17:17" x14ac:dyDescent="0.25">
      <c r="Q18924" s="8"/>
    </row>
    <row r="18925" spans="17:17" x14ac:dyDescent="0.25">
      <c r="Q18925" s="8"/>
    </row>
    <row r="18926" spans="17:17" x14ac:dyDescent="0.25">
      <c r="Q18926" s="8"/>
    </row>
    <row r="18927" spans="17:17" x14ac:dyDescent="0.25">
      <c r="Q18927" s="8"/>
    </row>
    <row r="18928" spans="17:17" x14ac:dyDescent="0.25">
      <c r="Q18928" s="8"/>
    </row>
    <row r="18929" spans="17:17" x14ac:dyDescent="0.25">
      <c r="Q18929" s="8"/>
    </row>
    <row r="18930" spans="17:17" x14ac:dyDescent="0.25">
      <c r="Q18930" s="8"/>
    </row>
    <row r="18931" spans="17:17" x14ac:dyDescent="0.25">
      <c r="Q18931" s="8"/>
    </row>
    <row r="18932" spans="17:17" x14ac:dyDescent="0.25">
      <c r="Q18932" s="8"/>
    </row>
    <row r="18933" spans="17:17" x14ac:dyDescent="0.25">
      <c r="Q18933" s="8"/>
    </row>
    <row r="18934" spans="17:17" x14ac:dyDescent="0.25">
      <c r="Q18934" s="8"/>
    </row>
    <row r="18935" spans="17:17" x14ac:dyDescent="0.25">
      <c r="Q18935" s="8"/>
    </row>
    <row r="18936" spans="17:17" x14ac:dyDescent="0.25">
      <c r="Q18936" s="8"/>
    </row>
    <row r="18937" spans="17:17" x14ac:dyDescent="0.25">
      <c r="Q18937" s="8"/>
    </row>
    <row r="18938" spans="17:17" x14ac:dyDescent="0.25">
      <c r="Q18938" s="8"/>
    </row>
    <row r="18939" spans="17:17" x14ac:dyDescent="0.25">
      <c r="Q18939" s="8"/>
    </row>
    <row r="18940" spans="17:17" x14ac:dyDescent="0.25">
      <c r="Q18940" s="8"/>
    </row>
    <row r="18941" spans="17:17" x14ac:dyDescent="0.25">
      <c r="Q18941" s="8"/>
    </row>
    <row r="18942" spans="17:17" x14ac:dyDescent="0.25">
      <c r="Q18942" s="8"/>
    </row>
    <row r="18943" spans="17:17" x14ac:dyDescent="0.25">
      <c r="Q18943" s="8"/>
    </row>
    <row r="18944" spans="17:17" x14ac:dyDescent="0.25">
      <c r="Q18944" s="8"/>
    </row>
    <row r="18945" spans="17:17" x14ac:dyDescent="0.25">
      <c r="Q18945" s="8"/>
    </row>
    <row r="18946" spans="17:17" x14ac:dyDescent="0.25">
      <c r="Q18946" s="8"/>
    </row>
    <row r="18947" spans="17:17" x14ac:dyDescent="0.25">
      <c r="Q18947" s="8"/>
    </row>
    <row r="18948" spans="17:17" x14ac:dyDescent="0.25">
      <c r="Q18948" s="8"/>
    </row>
    <row r="18949" spans="17:17" x14ac:dyDescent="0.25">
      <c r="Q18949" s="8"/>
    </row>
    <row r="18950" spans="17:17" x14ac:dyDescent="0.25">
      <c r="Q18950" s="8"/>
    </row>
    <row r="18951" spans="17:17" x14ac:dyDescent="0.25">
      <c r="Q18951" s="8"/>
    </row>
    <row r="18952" spans="17:17" x14ac:dyDescent="0.25">
      <c r="Q18952" s="8"/>
    </row>
    <row r="18953" spans="17:17" x14ac:dyDescent="0.25">
      <c r="Q18953" s="8"/>
    </row>
    <row r="18954" spans="17:17" x14ac:dyDescent="0.25">
      <c r="Q18954" s="8"/>
    </row>
    <row r="18955" spans="17:17" x14ac:dyDescent="0.25">
      <c r="Q18955" s="8"/>
    </row>
    <row r="18956" spans="17:17" x14ac:dyDescent="0.25">
      <c r="Q18956" s="8"/>
    </row>
    <row r="18957" spans="17:17" x14ac:dyDescent="0.25">
      <c r="Q18957" s="8"/>
    </row>
    <row r="18958" spans="17:17" x14ac:dyDescent="0.25">
      <c r="Q18958" s="8"/>
    </row>
    <row r="18959" spans="17:17" x14ac:dyDescent="0.25">
      <c r="Q18959" s="8"/>
    </row>
    <row r="18960" spans="17:17" x14ac:dyDescent="0.25">
      <c r="Q18960" s="8"/>
    </row>
    <row r="18961" spans="17:17" x14ac:dyDescent="0.25">
      <c r="Q18961" s="8"/>
    </row>
    <row r="18962" spans="17:17" x14ac:dyDescent="0.25">
      <c r="Q18962" s="8"/>
    </row>
    <row r="18963" spans="17:17" x14ac:dyDescent="0.25">
      <c r="Q18963" s="8"/>
    </row>
    <row r="18964" spans="17:17" x14ac:dyDescent="0.25">
      <c r="Q18964" s="8"/>
    </row>
    <row r="18965" spans="17:17" x14ac:dyDescent="0.25">
      <c r="Q18965" s="8"/>
    </row>
    <row r="18966" spans="17:17" x14ac:dyDescent="0.25">
      <c r="Q18966" s="8"/>
    </row>
    <row r="18967" spans="17:17" x14ac:dyDescent="0.25">
      <c r="Q18967" s="8"/>
    </row>
    <row r="18968" spans="17:17" x14ac:dyDescent="0.25">
      <c r="Q18968" s="8"/>
    </row>
    <row r="18969" spans="17:17" x14ac:dyDescent="0.25">
      <c r="Q18969" s="8"/>
    </row>
    <row r="18970" spans="17:17" x14ac:dyDescent="0.25">
      <c r="Q18970" s="8"/>
    </row>
    <row r="18971" spans="17:17" x14ac:dyDescent="0.25">
      <c r="Q18971" s="8"/>
    </row>
    <row r="18972" spans="17:17" x14ac:dyDescent="0.25">
      <c r="Q18972" s="8"/>
    </row>
    <row r="18973" spans="17:17" x14ac:dyDescent="0.25">
      <c r="Q18973" s="8"/>
    </row>
    <row r="18974" spans="17:17" x14ac:dyDescent="0.25">
      <c r="Q18974" s="8"/>
    </row>
    <row r="18975" spans="17:17" x14ac:dyDescent="0.25">
      <c r="Q18975" s="8"/>
    </row>
    <row r="18976" spans="17:17" x14ac:dyDescent="0.25">
      <c r="Q18976" s="8"/>
    </row>
    <row r="18977" spans="17:17" x14ac:dyDescent="0.25">
      <c r="Q18977" s="8"/>
    </row>
    <row r="18978" spans="17:17" x14ac:dyDescent="0.25">
      <c r="Q18978" s="8"/>
    </row>
    <row r="18979" spans="17:17" x14ac:dyDescent="0.25">
      <c r="Q18979" s="8"/>
    </row>
    <row r="18980" spans="17:17" x14ac:dyDescent="0.25">
      <c r="Q18980" s="8"/>
    </row>
    <row r="18981" spans="17:17" x14ac:dyDescent="0.25">
      <c r="Q18981" s="8"/>
    </row>
    <row r="18982" spans="17:17" x14ac:dyDescent="0.25">
      <c r="Q18982" s="8"/>
    </row>
    <row r="18983" spans="17:17" x14ac:dyDescent="0.25">
      <c r="Q18983" s="8"/>
    </row>
    <row r="18984" spans="17:17" x14ac:dyDescent="0.25">
      <c r="Q18984" s="8"/>
    </row>
    <row r="18985" spans="17:17" x14ac:dyDescent="0.25">
      <c r="Q18985" s="8"/>
    </row>
    <row r="18986" spans="17:17" x14ac:dyDescent="0.25">
      <c r="Q18986" s="8"/>
    </row>
    <row r="18987" spans="17:17" x14ac:dyDescent="0.25">
      <c r="Q18987" s="8"/>
    </row>
    <row r="18988" spans="17:17" x14ac:dyDescent="0.25">
      <c r="Q18988" s="8"/>
    </row>
    <row r="18989" spans="17:17" x14ac:dyDescent="0.25">
      <c r="Q18989" s="8"/>
    </row>
    <row r="18990" spans="17:17" x14ac:dyDescent="0.25">
      <c r="Q18990" s="8"/>
    </row>
    <row r="18991" spans="17:17" x14ac:dyDescent="0.25">
      <c r="Q18991" s="8"/>
    </row>
    <row r="18992" spans="17:17" x14ac:dyDescent="0.25">
      <c r="Q18992" s="8"/>
    </row>
    <row r="18993" spans="17:17" x14ac:dyDescent="0.25">
      <c r="Q18993" s="8"/>
    </row>
    <row r="18994" spans="17:17" x14ac:dyDescent="0.25">
      <c r="Q18994" s="8"/>
    </row>
    <row r="18995" spans="17:17" x14ac:dyDescent="0.25">
      <c r="Q18995" s="8"/>
    </row>
    <row r="18996" spans="17:17" x14ac:dyDescent="0.25">
      <c r="Q18996" s="8"/>
    </row>
    <row r="18997" spans="17:17" x14ac:dyDescent="0.25">
      <c r="Q18997" s="8"/>
    </row>
    <row r="18998" spans="17:17" x14ac:dyDescent="0.25">
      <c r="Q18998" s="8"/>
    </row>
    <row r="18999" spans="17:17" x14ac:dyDescent="0.25">
      <c r="Q18999" s="8"/>
    </row>
    <row r="19000" spans="17:17" x14ac:dyDescent="0.25">
      <c r="Q19000" s="8"/>
    </row>
    <row r="19001" spans="17:17" x14ac:dyDescent="0.25">
      <c r="Q19001" s="8"/>
    </row>
    <row r="19002" spans="17:17" x14ac:dyDescent="0.25">
      <c r="Q19002" s="8"/>
    </row>
    <row r="19003" spans="17:17" x14ac:dyDescent="0.25">
      <c r="Q19003" s="8"/>
    </row>
    <row r="19004" spans="17:17" x14ac:dyDescent="0.25">
      <c r="Q19004" s="8"/>
    </row>
    <row r="19005" spans="17:17" x14ac:dyDescent="0.25">
      <c r="Q19005" s="8"/>
    </row>
    <row r="19006" spans="17:17" x14ac:dyDescent="0.25">
      <c r="Q19006" s="8"/>
    </row>
    <row r="19007" spans="17:17" x14ac:dyDescent="0.25">
      <c r="Q19007" s="8"/>
    </row>
    <row r="19008" spans="17:17" x14ac:dyDescent="0.25">
      <c r="Q19008" s="8"/>
    </row>
    <row r="19009" spans="17:17" x14ac:dyDescent="0.25">
      <c r="Q19009" s="8"/>
    </row>
    <row r="19010" spans="17:17" x14ac:dyDescent="0.25">
      <c r="Q19010" s="8"/>
    </row>
    <row r="19011" spans="17:17" x14ac:dyDescent="0.25">
      <c r="Q19011" s="8"/>
    </row>
    <row r="19012" spans="17:17" x14ac:dyDescent="0.25">
      <c r="Q19012" s="8"/>
    </row>
    <row r="19013" spans="17:17" x14ac:dyDescent="0.25">
      <c r="Q19013" s="8"/>
    </row>
    <row r="19014" spans="17:17" x14ac:dyDescent="0.25">
      <c r="Q19014" s="8"/>
    </row>
    <row r="19015" spans="17:17" x14ac:dyDescent="0.25">
      <c r="Q19015" s="8"/>
    </row>
    <row r="19016" spans="17:17" x14ac:dyDescent="0.25">
      <c r="Q19016" s="8"/>
    </row>
    <row r="19017" spans="17:17" x14ac:dyDescent="0.25">
      <c r="Q19017" s="8"/>
    </row>
    <row r="19018" spans="17:17" x14ac:dyDescent="0.25">
      <c r="Q19018" s="8"/>
    </row>
    <row r="19019" spans="17:17" x14ac:dyDescent="0.25">
      <c r="Q19019" s="8"/>
    </row>
    <row r="19020" spans="17:17" x14ac:dyDescent="0.25">
      <c r="Q19020" s="8"/>
    </row>
    <row r="19021" spans="17:17" x14ac:dyDescent="0.25">
      <c r="Q19021" s="8"/>
    </row>
    <row r="19022" spans="17:17" x14ac:dyDescent="0.25">
      <c r="Q19022" s="8"/>
    </row>
    <row r="19023" spans="17:17" x14ac:dyDescent="0.25">
      <c r="Q19023" s="8"/>
    </row>
    <row r="19024" spans="17:17" x14ac:dyDescent="0.25">
      <c r="Q19024" s="8"/>
    </row>
    <row r="19025" spans="17:17" x14ac:dyDescent="0.25">
      <c r="Q19025" s="8"/>
    </row>
    <row r="19026" spans="17:17" x14ac:dyDescent="0.25">
      <c r="Q19026" s="8"/>
    </row>
    <row r="19027" spans="17:17" x14ac:dyDescent="0.25">
      <c r="Q19027" s="8"/>
    </row>
    <row r="19028" spans="17:17" x14ac:dyDescent="0.25">
      <c r="Q19028" s="8"/>
    </row>
    <row r="19029" spans="17:17" x14ac:dyDescent="0.25">
      <c r="Q19029" s="8"/>
    </row>
    <row r="19030" spans="17:17" x14ac:dyDescent="0.25">
      <c r="Q19030" s="8"/>
    </row>
    <row r="19031" spans="17:17" x14ac:dyDescent="0.25">
      <c r="Q19031" s="8"/>
    </row>
    <row r="19032" spans="17:17" x14ac:dyDescent="0.25">
      <c r="Q19032" s="8"/>
    </row>
    <row r="19033" spans="17:17" x14ac:dyDescent="0.25">
      <c r="Q19033" s="8"/>
    </row>
    <row r="19034" spans="17:17" x14ac:dyDescent="0.25">
      <c r="Q19034" s="8"/>
    </row>
    <row r="19035" spans="17:17" x14ac:dyDescent="0.25">
      <c r="Q19035" s="8"/>
    </row>
    <row r="19036" spans="17:17" x14ac:dyDescent="0.25">
      <c r="Q19036" s="8"/>
    </row>
    <row r="19037" spans="17:17" x14ac:dyDescent="0.25">
      <c r="Q19037" s="8"/>
    </row>
    <row r="19038" spans="17:17" x14ac:dyDescent="0.25">
      <c r="Q19038" s="8"/>
    </row>
    <row r="19039" spans="17:17" x14ac:dyDescent="0.25">
      <c r="Q19039" s="8"/>
    </row>
    <row r="19040" spans="17:17" x14ac:dyDescent="0.25">
      <c r="Q19040" s="8"/>
    </row>
    <row r="19041" spans="17:17" x14ac:dyDescent="0.25">
      <c r="Q19041" s="8"/>
    </row>
    <row r="19042" spans="17:17" x14ac:dyDescent="0.25">
      <c r="Q19042" s="8"/>
    </row>
    <row r="19043" spans="17:17" x14ac:dyDescent="0.25">
      <c r="Q19043" s="8"/>
    </row>
    <row r="19044" spans="17:17" x14ac:dyDescent="0.25">
      <c r="Q19044" s="8"/>
    </row>
    <row r="19045" spans="17:17" x14ac:dyDescent="0.25">
      <c r="Q19045" s="8"/>
    </row>
    <row r="19046" spans="17:17" x14ac:dyDescent="0.25">
      <c r="Q19046" s="8"/>
    </row>
    <row r="19047" spans="17:17" x14ac:dyDescent="0.25">
      <c r="Q19047" s="8"/>
    </row>
    <row r="19048" spans="17:17" x14ac:dyDescent="0.25">
      <c r="Q19048" s="8"/>
    </row>
    <row r="19049" spans="17:17" x14ac:dyDescent="0.25">
      <c r="Q19049" s="8"/>
    </row>
    <row r="19050" spans="17:17" x14ac:dyDescent="0.25">
      <c r="Q19050" s="8"/>
    </row>
    <row r="19051" spans="17:17" x14ac:dyDescent="0.25">
      <c r="Q19051" s="8"/>
    </row>
    <row r="19052" spans="17:17" x14ac:dyDescent="0.25">
      <c r="Q19052" s="8"/>
    </row>
    <row r="19053" spans="17:17" x14ac:dyDescent="0.25">
      <c r="Q19053" s="8"/>
    </row>
    <row r="19054" spans="17:17" x14ac:dyDescent="0.25">
      <c r="Q19054" s="8"/>
    </row>
    <row r="19055" spans="17:17" x14ac:dyDescent="0.25">
      <c r="Q19055" s="8"/>
    </row>
    <row r="19056" spans="17:17" x14ac:dyDescent="0.25">
      <c r="Q19056" s="8"/>
    </row>
    <row r="19057" spans="17:17" x14ac:dyDescent="0.25">
      <c r="Q19057" s="8"/>
    </row>
    <row r="19058" spans="17:17" x14ac:dyDescent="0.25">
      <c r="Q19058" s="8"/>
    </row>
    <row r="19059" spans="17:17" x14ac:dyDescent="0.25">
      <c r="Q19059" s="8"/>
    </row>
    <row r="19060" spans="17:17" x14ac:dyDescent="0.25">
      <c r="Q19060" s="8"/>
    </row>
    <row r="19061" spans="17:17" x14ac:dyDescent="0.25">
      <c r="Q19061" s="8"/>
    </row>
    <row r="19062" spans="17:17" x14ac:dyDescent="0.25">
      <c r="Q19062" s="8"/>
    </row>
    <row r="19063" spans="17:17" x14ac:dyDescent="0.25">
      <c r="Q19063" s="8"/>
    </row>
    <row r="19064" spans="17:17" x14ac:dyDescent="0.25">
      <c r="Q19064" s="8"/>
    </row>
    <row r="19065" spans="17:17" x14ac:dyDescent="0.25">
      <c r="Q19065" s="8"/>
    </row>
    <row r="19066" spans="17:17" x14ac:dyDescent="0.25">
      <c r="Q19066" s="8"/>
    </row>
    <row r="19067" spans="17:17" x14ac:dyDescent="0.25">
      <c r="Q19067" s="8"/>
    </row>
    <row r="19068" spans="17:17" x14ac:dyDescent="0.25">
      <c r="Q19068" s="8"/>
    </row>
    <row r="19069" spans="17:17" x14ac:dyDescent="0.25">
      <c r="Q19069" s="8"/>
    </row>
    <row r="19070" spans="17:17" x14ac:dyDescent="0.25">
      <c r="Q19070" s="8"/>
    </row>
    <row r="19071" spans="17:17" x14ac:dyDescent="0.25">
      <c r="Q19071" s="8"/>
    </row>
    <row r="19072" spans="17:17" x14ac:dyDescent="0.25">
      <c r="Q19072" s="8"/>
    </row>
    <row r="19073" spans="17:17" x14ac:dyDescent="0.25">
      <c r="Q19073" s="8"/>
    </row>
    <row r="19074" spans="17:17" x14ac:dyDescent="0.25">
      <c r="Q19074" s="8"/>
    </row>
    <row r="19075" spans="17:17" x14ac:dyDescent="0.25">
      <c r="Q19075" s="8"/>
    </row>
    <row r="19076" spans="17:17" x14ac:dyDescent="0.25">
      <c r="Q19076" s="8"/>
    </row>
    <row r="19077" spans="17:17" x14ac:dyDescent="0.25">
      <c r="Q19077" s="8"/>
    </row>
    <row r="19078" spans="17:17" x14ac:dyDescent="0.25">
      <c r="Q19078" s="8"/>
    </row>
    <row r="19079" spans="17:17" x14ac:dyDescent="0.25">
      <c r="Q19079" s="8"/>
    </row>
    <row r="19080" spans="17:17" x14ac:dyDescent="0.25">
      <c r="Q19080" s="8"/>
    </row>
    <row r="19081" spans="17:17" x14ac:dyDescent="0.25">
      <c r="Q19081" s="8"/>
    </row>
    <row r="19082" spans="17:17" x14ac:dyDescent="0.25">
      <c r="Q19082" s="8"/>
    </row>
    <row r="19083" spans="17:17" x14ac:dyDescent="0.25">
      <c r="Q19083" s="8"/>
    </row>
    <row r="19084" spans="17:17" x14ac:dyDescent="0.25">
      <c r="Q19084" s="8"/>
    </row>
    <row r="19085" spans="17:17" x14ac:dyDescent="0.25">
      <c r="Q19085" s="8"/>
    </row>
    <row r="19086" spans="17:17" x14ac:dyDescent="0.25">
      <c r="Q19086" s="8"/>
    </row>
    <row r="19087" spans="17:17" x14ac:dyDescent="0.25">
      <c r="Q19087" s="8"/>
    </row>
    <row r="19088" spans="17:17" x14ac:dyDescent="0.25">
      <c r="Q19088" s="8"/>
    </row>
    <row r="19089" spans="17:17" x14ac:dyDescent="0.25">
      <c r="Q19089" s="8"/>
    </row>
    <row r="19090" spans="17:17" x14ac:dyDescent="0.25">
      <c r="Q19090" s="8"/>
    </row>
    <row r="19091" spans="17:17" x14ac:dyDescent="0.25">
      <c r="Q19091" s="8"/>
    </row>
    <row r="19092" spans="17:17" x14ac:dyDescent="0.25">
      <c r="Q19092" s="8"/>
    </row>
    <row r="19093" spans="17:17" x14ac:dyDescent="0.25">
      <c r="Q19093" s="8"/>
    </row>
    <row r="19094" spans="17:17" x14ac:dyDescent="0.25">
      <c r="Q19094" s="8"/>
    </row>
    <row r="19095" spans="17:17" x14ac:dyDescent="0.25">
      <c r="Q19095" s="8"/>
    </row>
    <row r="19096" spans="17:17" x14ac:dyDescent="0.25">
      <c r="Q19096" s="8"/>
    </row>
    <row r="19097" spans="17:17" x14ac:dyDescent="0.25">
      <c r="Q19097" s="8"/>
    </row>
    <row r="19098" spans="17:17" x14ac:dyDescent="0.25">
      <c r="Q19098" s="8"/>
    </row>
    <row r="19099" spans="17:17" x14ac:dyDescent="0.25">
      <c r="Q19099" s="8"/>
    </row>
    <row r="19100" spans="17:17" x14ac:dyDescent="0.25">
      <c r="Q19100" s="8"/>
    </row>
    <row r="19101" spans="17:17" x14ac:dyDescent="0.25">
      <c r="Q19101" s="8"/>
    </row>
    <row r="19102" spans="17:17" x14ac:dyDescent="0.25">
      <c r="Q19102" s="8"/>
    </row>
    <row r="19103" spans="17:17" x14ac:dyDescent="0.25">
      <c r="Q19103" s="8"/>
    </row>
    <row r="19104" spans="17:17" x14ac:dyDescent="0.25">
      <c r="Q19104" s="8"/>
    </row>
    <row r="19105" spans="17:17" x14ac:dyDescent="0.25">
      <c r="Q19105" s="8"/>
    </row>
    <row r="19106" spans="17:17" x14ac:dyDescent="0.25">
      <c r="Q19106" s="8"/>
    </row>
    <row r="19107" spans="17:17" x14ac:dyDescent="0.25">
      <c r="Q19107" s="8"/>
    </row>
    <row r="19108" spans="17:17" x14ac:dyDescent="0.25">
      <c r="Q19108" s="8"/>
    </row>
    <row r="19109" spans="17:17" x14ac:dyDescent="0.25">
      <c r="Q19109" s="8"/>
    </row>
    <row r="19110" spans="17:17" x14ac:dyDescent="0.25">
      <c r="Q19110" s="8"/>
    </row>
    <row r="19111" spans="17:17" x14ac:dyDescent="0.25">
      <c r="Q19111" s="8"/>
    </row>
    <row r="19112" spans="17:17" x14ac:dyDescent="0.25">
      <c r="Q19112" s="8"/>
    </row>
    <row r="19113" spans="17:17" x14ac:dyDescent="0.25">
      <c r="Q19113" s="8"/>
    </row>
    <row r="19114" spans="17:17" x14ac:dyDescent="0.25">
      <c r="Q19114" s="8"/>
    </row>
    <row r="19115" spans="17:17" x14ac:dyDescent="0.25">
      <c r="Q19115" s="8"/>
    </row>
    <row r="19116" spans="17:17" x14ac:dyDescent="0.25">
      <c r="Q19116" s="8"/>
    </row>
    <row r="19117" spans="17:17" x14ac:dyDescent="0.25">
      <c r="Q19117" s="8"/>
    </row>
    <row r="19118" spans="17:17" x14ac:dyDescent="0.25">
      <c r="Q19118" s="8"/>
    </row>
    <row r="19119" spans="17:17" x14ac:dyDescent="0.25">
      <c r="Q19119" s="8"/>
    </row>
    <row r="19120" spans="17:17" x14ac:dyDescent="0.25">
      <c r="Q19120" s="8"/>
    </row>
    <row r="19121" spans="17:17" x14ac:dyDescent="0.25">
      <c r="Q19121" s="8"/>
    </row>
    <row r="19122" spans="17:17" x14ac:dyDescent="0.25">
      <c r="Q19122" s="8"/>
    </row>
    <row r="19123" spans="17:17" x14ac:dyDescent="0.25">
      <c r="Q19123" s="8"/>
    </row>
    <row r="19124" spans="17:17" x14ac:dyDescent="0.25">
      <c r="Q19124" s="8"/>
    </row>
    <row r="19125" spans="17:17" x14ac:dyDescent="0.25">
      <c r="Q19125" s="8"/>
    </row>
    <row r="19126" spans="17:17" x14ac:dyDescent="0.25">
      <c r="Q19126" s="8"/>
    </row>
    <row r="19127" spans="17:17" x14ac:dyDescent="0.25">
      <c r="Q19127" s="8"/>
    </row>
    <row r="19128" spans="17:17" x14ac:dyDescent="0.25">
      <c r="Q19128" s="8"/>
    </row>
    <row r="19129" spans="17:17" x14ac:dyDescent="0.25">
      <c r="Q19129" s="8"/>
    </row>
    <row r="19130" spans="17:17" x14ac:dyDescent="0.25">
      <c r="Q19130" s="8"/>
    </row>
    <row r="19131" spans="17:17" x14ac:dyDescent="0.25">
      <c r="Q19131" s="8"/>
    </row>
    <row r="19132" spans="17:17" x14ac:dyDescent="0.25">
      <c r="Q19132" s="8"/>
    </row>
    <row r="19133" spans="17:17" x14ac:dyDescent="0.25">
      <c r="Q19133" s="8"/>
    </row>
    <row r="19134" spans="17:17" x14ac:dyDescent="0.25">
      <c r="Q19134" s="8"/>
    </row>
    <row r="19135" spans="17:17" x14ac:dyDescent="0.25">
      <c r="Q19135" s="8"/>
    </row>
    <row r="19136" spans="17:17" x14ac:dyDescent="0.25">
      <c r="Q19136" s="8"/>
    </row>
    <row r="19137" spans="17:17" x14ac:dyDescent="0.25">
      <c r="Q19137" s="8"/>
    </row>
    <row r="19138" spans="17:17" x14ac:dyDescent="0.25">
      <c r="Q19138" s="8"/>
    </row>
    <row r="19139" spans="17:17" x14ac:dyDescent="0.25">
      <c r="Q19139" s="8"/>
    </row>
    <row r="19140" spans="17:17" x14ac:dyDescent="0.25">
      <c r="Q19140" s="8"/>
    </row>
    <row r="19141" spans="17:17" x14ac:dyDescent="0.25">
      <c r="Q19141" s="8"/>
    </row>
    <row r="19142" spans="17:17" x14ac:dyDescent="0.25">
      <c r="Q19142" s="8"/>
    </row>
    <row r="19143" spans="17:17" x14ac:dyDescent="0.25">
      <c r="Q19143" s="8"/>
    </row>
    <row r="19144" spans="17:17" x14ac:dyDescent="0.25">
      <c r="Q19144" s="8"/>
    </row>
    <row r="19145" spans="17:17" x14ac:dyDescent="0.25">
      <c r="Q19145" s="8"/>
    </row>
    <row r="19146" spans="17:17" x14ac:dyDescent="0.25">
      <c r="Q19146" s="8"/>
    </row>
    <row r="19147" spans="17:17" x14ac:dyDescent="0.25">
      <c r="Q19147" s="8"/>
    </row>
    <row r="19148" spans="17:17" x14ac:dyDescent="0.25">
      <c r="Q19148" s="8"/>
    </row>
    <row r="19149" spans="17:17" x14ac:dyDescent="0.25">
      <c r="Q19149" s="8"/>
    </row>
    <row r="19150" spans="17:17" x14ac:dyDescent="0.25">
      <c r="Q19150" s="8"/>
    </row>
    <row r="19151" spans="17:17" x14ac:dyDescent="0.25">
      <c r="Q19151" s="8"/>
    </row>
    <row r="19152" spans="17:17" x14ac:dyDescent="0.25">
      <c r="Q19152" s="8"/>
    </row>
    <row r="19153" spans="17:17" x14ac:dyDescent="0.25">
      <c r="Q19153" s="8"/>
    </row>
    <row r="19154" spans="17:17" x14ac:dyDescent="0.25">
      <c r="Q19154" s="8"/>
    </row>
    <row r="19155" spans="17:17" x14ac:dyDescent="0.25">
      <c r="Q19155" s="8"/>
    </row>
    <row r="19156" spans="17:17" x14ac:dyDescent="0.25">
      <c r="Q19156" s="8"/>
    </row>
    <row r="19157" spans="17:17" x14ac:dyDescent="0.25">
      <c r="Q19157" s="8"/>
    </row>
    <row r="19158" spans="17:17" x14ac:dyDescent="0.25">
      <c r="Q19158" s="8"/>
    </row>
    <row r="19159" spans="17:17" x14ac:dyDescent="0.25">
      <c r="Q19159" s="8"/>
    </row>
    <row r="19160" spans="17:17" x14ac:dyDescent="0.25">
      <c r="Q19160" s="8"/>
    </row>
    <row r="19161" spans="17:17" x14ac:dyDescent="0.25">
      <c r="Q19161" s="8"/>
    </row>
    <row r="19162" spans="17:17" x14ac:dyDescent="0.25">
      <c r="Q19162" s="8"/>
    </row>
    <row r="19163" spans="17:17" x14ac:dyDescent="0.25">
      <c r="Q19163" s="8"/>
    </row>
    <row r="19164" spans="17:17" x14ac:dyDescent="0.25">
      <c r="Q19164" s="8"/>
    </row>
    <row r="19165" spans="17:17" x14ac:dyDescent="0.25">
      <c r="Q19165" s="8"/>
    </row>
    <row r="19166" spans="17:17" x14ac:dyDescent="0.25">
      <c r="Q19166" s="8"/>
    </row>
    <row r="19167" spans="17:17" x14ac:dyDescent="0.25">
      <c r="Q19167" s="8"/>
    </row>
    <row r="19168" spans="17:17" x14ac:dyDescent="0.25">
      <c r="Q19168" s="8"/>
    </row>
    <row r="19169" spans="17:17" x14ac:dyDescent="0.25">
      <c r="Q19169" s="8"/>
    </row>
    <row r="19170" spans="17:17" x14ac:dyDescent="0.25">
      <c r="Q19170" s="8"/>
    </row>
    <row r="19171" spans="17:17" x14ac:dyDescent="0.25">
      <c r="Q19171" s="8"/>
    </row>
    <row r="19172" spans="17:17" x14ac:dyDescent="0.25">
      <c r="Q19172" s="8"/>
    </row>
    <row r="19173" spans="17:17" x14ac:dyDescent="0.25">
      <c r="Q19173" s="8"/>
    </row>
    <row r="19174" spans="17:17" x14ac:dyDescent="0.25">
      <c r="Q19174" s="8"/>
    </row>
    <row r="19175" spans="17:17" x14ac:dyDescent="0.25">
      <c r="Q19175" s="8"/>
    </row>
    <row r="19176" spans="17:17" x14ac:dyDescent="0.25">
      <c r="Q19176" s="8"/>
    </row>
    <row r="19177" spans="17:17" x14ac:dyDescent="0.25">
      <c r="Q19177" s="8"/>
    </row>
    <row r="19178" spans="17:17" x14ac:dyDescent="0.25">
      <c r="Q19178" s="8"/>
    </row>
    <row r="19179" spans="17:17" x14ac:dyDescent="0.25">
      <c r="Q19179" s="8"/>
    </row>
    <row r="19180" spans="17:17" x14ac:dyDescent="0.25">
      <c r="Q19180" s="8"/>
    </row>
    <row r="19181" spans="17:17" x14ac:dyDescent="0.25">
      <c r="Q19181" s="8"/>
    </row>
    <row r="19182" spans="17:17" x14ac:dyDescent="0.25">
      <c r="Q19182" s="8"/>
    </row>
    <row r="19183" spans="17:17" x14ac:dyDescent="0.25">
      <c r="Q19183" s="8"/>
    </row>
    <row r="19184" spans="17:17" x14ac:dyDescent="0.25">
      <c r="Q19184" s="8"/>
    </row>
    <row r="19185" spans="17:17" x14ac:dyDescent="0.25">
      <c r="Q19185" s="8"/>
    </row>
    <row r="19186" spans="17:17" x14ac:dyDescent="0.25">
      <c r="Q19186" s="8"/>
    </row>
    <row r="19187" spans="17:17" x14ac:dyDescent="0.25">
      <c r="Q19187" s="8"/>
    </row>
    <row r="19188" spans="17:17" x14ac:dyDescent="0.25">
      <c r="Q19188" s="8"/>
    </row>
    <row r="19189" spans="17:17" x14ac:dyDescent="0.25">
      <c r="Q19189" s="8"/>
    </row>
    <row r="19190" spans="17:17" x14ac:dyDescent="0.25">
      <c r="Q19190" s="8"/>
    </row>
    <row r="19191" spans="17:17" x14ac:dyDescent="0.25">
      <c r="Q19191" s="8"/>
    </row>
    <row r="19192" spans="17:17" x14ac:dyDescent="0.25">
      <c r="Q19192" s="8"/>
    </row>
    <row r="19193" spans="17:17" x14ac:dyDescent="0.25">
      <c r="Q19193" s="8"/>
    </row>
    <row r="19194" spans="17:17" x14ac:dyDescent="0.25">
      <c r="Q19194" s="8"/>
    </row>
    <row r="19195" spans="17:17" x14ac:dyDescent="0.25">
      <c r="Q19195" s="8"/>
    </row>
    <row r="19196" spans="17:17" x14ac:dyDescent="0.25">
      <c r="Q19196" s="8"/>
    </row>
    <row r="19197" spans="17:17" x14ac:dyDescent="0.25">
      <c r="Q19197" s="8"/>
    </row>
    <row r="19198" spans="17:17" x14ac:dyDescent="0.25">
      <c r="Q19198" s="8"/>
    </row>
    <row r="19199" spans="17:17" x14ac:dyDescent="0.25">
      <c r="Q19199" s="8"/>
    </row>
    <row r="19200" spans="17:17" x14ac:dyDescent="0.25">
      <c r="Q19200" s="8"/>
    </row>
    <row r="19201" spans="17:17" x14ac:dyDescent="0.25">
      <c r="Q19201" s="8"/>
    </row>
    <row r="19202" spans="17:17" x14ac:dyDescent="0.25">
      <c r="Q19202" s="8"/>
    </row>
    <row r="19203" spans="17:17" x14ac:dyDescent="0.25">
      <c r="Q19203" s="8"/>
    </row>
    <row r="19204" spans="17:17" x14ac:dyDescent="0.25">
      <c r="Q19204" s="8"/>
    </row>
    <row r="19205" spans="17:17" x14ac:dyDescent="0.25">
      <c r="Q19205" s="8"/>
    </row>
    <row r="19206" spans="17:17" x14ac:dyDescent="0.25">
      <c r="Q19206" s="8"/>
    </row>
    <row r="19207" spans="17:17" x14ac:dyDescent="0.25">
      <c r="Q19207" s="8"/>
    </row>
    <row r="19208" spans="17:17" x14ac:dyDescent="0.25">
      <c r="Q19208" s="8"/>
    </row>
    <row r="19209" spans="17:17" x14ac:dyDescent="0.25">
      <c r="Q19209" s="8"/>
    </row>
    <row r="19210" spans="17:17" x14ac:dyDescent="0.25">
      <c r="Q19210" s="8"/>
    </row>
    <row r="19211" spans="17:17" x14ac:dyDescent="0.25">
      <c r="Q19211" s="8"/>
    </row>
    <row r="19212" spans="17:17" x14ac:dyDescent="0.25">
      <c r="Q19212" s="8"/>
    </row>
    <row r="19213" spans="17:17" x14ac:dyDescent="0.25">
      <c r="Q19213" s="8"/>
    </row>
    <row r="19214" spans="17:17" x14ac:dyDescent="0.25">
      <c r="Q19214" s="8"/>
    </row>
    <row r="19215" spans="17:17" x14ac:dyDescent="0.25">
      <c r="Q19215" s="8"/>
    </row>
    <row r="19216" spans="17:17" x14ac:dyDescent="0.25">
      <c r="Q19216" s="8"/>
    </row>
    <row r="19217" spans="17:17" x14ac:dyDescent="0.25">
      <c r="Q19217" s="8"/>
    </row>
    <row r="19218" spans="17:17" x14ac:dyDescent="0.25">
      <c r="Q19218" s="8"/>
    </row>
    <row r="19219" spans="17:17" x14ac:dyDescent="0.25">
      <c r="Q19219" s="8"/>
    </row>
    <row r="19220" spans="17:17" x14ac:dyDescent="0.25">
      <c r="Q19220" s="8"/>
    </row>
    <row r="19221" spans="17:17" x14ac:dyDescent="0.25">
      <c r="Q19221" s="8"/>
    </row>
    <row r="19222" spans="17:17" x14ac:dyDescent="0.25">
      <c r="Q19222" s="8"/>
    </row>
    <row r="19223" spans="17:17" x14ac:dyDescent="0.25">
      <c r="Q19223" s="8"/>
    </row>
    <row r="19224" spans="17:17" x14ac:dyDescent="0.25">
      <c r="Q19224" s="8"/>
    </row>
    <row r="19225" spans="17:17" x14ac:dyDescent="0.25">
      <c r="Q19225" s="8"/>
    </row>
    <row r="19226" spans="17:17" x14ac:dyDescent="0.25">
      <c r="Q19226" s="8"/>
    </row>
    <row r="19227" spans="17:17" x14ac:dyDescent="0.25">
      <c r="Q19227" s="8"/>
    </row>
    <row r="19228" spans="17:17" x14ac:dyDescent="0.25">
      <c r="Q19228" s="8"/>
    </row>
    <row r="19229" spans="17:17" x14ac:dyDescent="0.25">
      <c r="Q19229" s="8"/>
    </row>
    <row r="19230" spans="17:17" x14ac:dyDescent="0.25">
      <c r="Q19230" s="8"/>
    </row>
    <row r="19231" spans="17:17" x14ac:dyDescent="0.25">
      <c r="Q19231" s="8"/>
    </row>
    <row r="19232" spans="17:17" x14ac:dyDescent="0.25">
      <c r="Q19232" s="8"/>
    </row>
    <row r="19233" spans="17:17" x14ac:dyDescent="0.25">
      <c r="Q19233" s="8"/>
    </row>
    <row r="19234" spans="17:17" x14ac:dyDescent="0.25">
      <c r="Q19234" s="8"/>
    </row>
    <row r="19235" spans="17:17" x14ac:dyDescent="0.25">
      <c r="Q19235" s="8"/>
    </row>
    <row r="19236" spans="17:17" x14ac:dyDescent="0.25">
      <c r="Q19236" s="8"/>
    </row>
    <row r="19237" spans="17:17" x14ac:dyDescent="0.25">
      <c r="Q19237" s="8"/>
    </row>
    <row r="19238" spans="17:17" x14ac:dyDescent="0.25">
      <c r="Q19238" s="8"/>
    </row>
    <row r="19239" spans="17:17" x14ac:dyDescent="0.25">
      <c r="Q19239" s="8"/>
    </row>
    <row r="19240" spans="17:17" x14ac:dyDescent="0.25">
      <c r="Q19240" s="8"/>
    </row>
    <row r="19241" spans="17:17" x14ac:dyDescent="0.25">
      <c r="Q19241" s="8"/>
    </row>
    <row r="19242" spans="17:17" x14ac:dyDescent="0.25">
      <c r="Q19242" s="8"/>
    </row>
    <row r="19243" spans="17:17" x14ac:dyDescent="0.25">
      <c r="Q19243" s="8"/>
    </row>
    <row r="19244" spans="17:17" x14ac:dyDescent="0.25">
      <c r="Q19244" s="8"/>
    </row>
    <row r="19245" spans="17:17" x14ac:dyDescent="0.25">
      <c r="Q19245" s="8"/>
    </row>
    <row r="19246" spans="17:17" x14ac:dyDescent="0.25">
      <c r="Q19246" s="8"/>
    </row>
    <row r="19247" spans="17:17" x14ac:dyDescent="0.25">
      <c r="Q19247" s="8"/>
    </row>
    <row r="19248" spans="17:17" x14ac:dyDescent="0.25">
      <c r="Q19248" s="8"/>
    </row>
    <row r="19249" spans="17:17" x14ac:dyDescent="0.25">
      <c r="Q19249" s="8"/>
    </row>
    <row r="19250" spans="17:17" x14ac:dyDescent="0.25">
      <c r="Q19250" s="8"/>
    </row>
    <row r="19251" spans="17:17" x14ac:dyDescent="0.25">
      <c r="Q19251" s="8"/>
    </row>
    <row r="19252" spans="17:17" x14ac:dyDescent="0.25">
      <c r="Q19252" s="8"/>
    </row>
    <row r="19253" spans="17:17" x14ac:dyDescent="0.25">
      <c r="Q19253" s="8"/>
    </row>
    <row r="19254" spans="17:17" x14ac:dyDescent="0.25">
      <c r="Q19254" s="8"/>
    </row>
    <row r="19255" spans="17:17" x14ac:dyDescent="0.25">
      <c r="Q19255" s="8"/>
    </row>
    <row r="19256" spans="17:17" x14ac:dyDescent="0.25">
      <c r="Q19256" s="8"/>
    </row>
    <row r="19257" spans="17:17" x14ac:dyDescent="0.25">
      <c r="Q19257" s="8"/>
    </row>
    <row r="19258" spans="17:17" x14ac:dyDescent="0.25">
      <c r="Q19258" s="8"/>
    </row>
    <row r="19259" spans="17:17" x14ac:dyDescent="0.25">
      <c r="Q19259" s="8"/>
    </row>
    <row r="19260" spans="17:17" x14ac:dyDescent="0.25">
      <c r="Q19260" s="8"/>
    </row>
    <row r="19261" spans="17:17" x14ac:dyDescent="0.25">
      <c r="Q19261" s="8"/>
    </row>
    <row r="19262" spans="17:17" x14ac:dyDescent="0.25">
      <c r="Q19262" s="8"/>
    </row>
    <row r="19263" spans="17:17" x14ac:dyDescent="0.25">
      <c r="Q19263" s="8"/>
    </row>
    <row r="19264" spans="17:17" x14ac:dyDescent="0.25">
      <c r="Q19264" s="8"/>
    </row>
    <row r="19265" spans="17:17" x14ac:dyDescent="0.25">
      <c r="Q19265" s="8"/>
    </row>
    <row r="19266" spans="17:17" x14ac:dyDescent="0.25">
      <c r="Q19266" s="8"/>
    </row>
    <row r="19267" spans="17:17" x14ac:dyDescent="0.25">
      <c r="Q19267" s="8"/>
    </row>
    <row r="19268" spans="17:17" x14ac:dyDescent="0.25">
      <c r="Q19268" s="8"/>
    </row>
    <row r="19269" spans="17:17" x14ac:dyDescent="0.25">
      <c r="Q19269" s="8"/>
    </row>
    <row r="19270" spans="17:17" x14ac:dyDescent="0.25">
      <c r="Q19270" s="8"/>
    </row>
    <row r="19271" spans="17:17" x14ac:dyDescent="0.25">
      <c r="Q19271" s="8"/>
    </row>
    <row r="19272" spans="17:17" x14ac:dyDescent="0.25">
      <c r="Q19272" s="8"/>
    </row>
    <row r="19273" spans="17:17" x14ac:dyDescent="0.25">
      <c r="Q19273" s="8"/>
    </row>
    <row r="19274" spans="17:17" x14ac:dyDescent="0.25">
      <c r="Q19274" s="8"/>
    </row>
    <row r="19275" spans="17:17" x14ac:dyDescent="0.25">
      <c r="Q19275" s="8"/>
    </row>
    <row r="19276" spans="17:17" x14ac:dyDescent="0.25">
      <c r="Q19276" s="8"/>
    </row>
    <row r="19277" spans="17:17" x14ac:dyDescent="0.25">
      <c r="Q19277" s="8"/>
    </row>
    <row r="19278" spans="17:17" x14ac:dyDescent="0.25">
      <c r="Q19278" s="8"/>
    </row>
    <row r="19279" spans="17:17" x14ac:dyDescent="0.25">
      <c r="Q19279" s="8"/>
    </row>
    <row r="19280" spans="17:17" x14ac:dyDescent="0.25">
      <c r="Q19280" s="8"/>
    </row>
    <row r="19281" spans="17:17" x14ac:dyDescent="0.25">
      <c r="Q19281" s="8"/>
    </row>
    <row r="19282" spans="17:17" x14ac:dyDescent="0.25">
      <c r="Q19282" s="8"/>
    </row>
    <row r="19283" spans="17:17" x14ac:dyDescent="0.25">
      <c r="Q19283" s="8"/>
    </row>
    <row r="19284" spans="17:17" x14ac:dyDescent="0.25">
      <c r="Q19284" s="8"/>
    </row>
    <row r="19285" spans="17:17" x14ac:dyDescent="0.25">
      <c r="Q19285" s="8"/>
    </row>
    <row r="19286" spans="17:17" x14ac:dyDescent="0.25">
      <c r="Q19286" s="8"/>
    </row>
    <row r="19287" spans="17:17" x14ac:dyDescent="0.25">
      <c r="Q19287" s="8"/>
    </row>
    <row r="19288" spans="17:17" x14ac:dyDescent="0.25">
      <c r="Q19288" s="8"/>
    </row>
    <row r="19289" spans="17:17" x14ac:dyDescent="0.25">
      <c r="Q19289" s="8"/>
    </row>
    <row r="19290" spans="17:17" x14ac:dyDescent="0.25">
      <c r="Q19290" s="8"/>
    </row>
    <row r="19291" spans="17:17" x14ac:dyDescent="0.25">
      <c r="Q19291" s="8"/>
    </row>
    <row r="19292" spans="17:17" x14ac:dyDescent="0.25">
      <c r="Q19292" s="8"/>
    </row>
    <row r="19293" spans="17:17" x14ac:dyDescent="0.25">
      <c r="Q19293" s="8"/>
    </row>
    <row r="19294" spans="17:17" x14ac:dyDescent="0.25">
      <c r="Q19294" s="8"/>
    </row>
    <row r="19295" spans="17:17" x14ac:dyDescent="0.25">
      <c r="Q19295" s="8"/>
    </row>
    <row r="19296" spans="17:17" x14ac:dyDescent="0.25">
      <c r="Q19296" s="8"/>
    </row>
    <row r="19297" spans="17:17" x14ac:dyDescent="0.25">
      <c r="Q19297" s="8"/>
    </row>
    <row r="19298" spans="17:17" x14ac:dyDescent="0.25">
      <c r="Q19298" s="8"/>
    </row>
    <row r="19299" spans="17:17" x14ac:dyDescent="0.25">
      <c r="Q19299" s="8"/>
    </row>
    <row r="19300" spans="17:17" x14ac:dyDescent="0.25">
      <c r="Q19300" s="8"/>
    </row>
    <row r="19301" spans="17:17" x14ac:dyDescent="0.25">
      <c r="Q19301" s="8"/>
    </row>
    <row r="19302" spans="17:17" x14ac:dyDescent="0.25">
      <c r="Q19302" s="8"/>
    </row>
    <row r="19303" spans="17:17" x14ac:dyDescent="0.25">
      <c r="Q19303" s="8"/>
    </row>
    <row r="19304" spans="17:17" x14ac:dyDescent="0.25">
      <c r="Q19304" s="8"/>
    </row>
    <row r="19305" spans="17:17" x14ac:dyDescent="0.25">
      <c r="Q19305" s="8"/>
    </row>
    <row r="19306" spans="17:17" x14ac:dyDescent="0.25">
      <c r="Q19306" s="8"/>
    </row>
    <row r="19307" spans="17:17" x14ac:dyDescent="0.25">
      <c r="Q19307" s="8"/>
    </row>
    <row r="19308" spans="17:17" x14ac:dyDescent="0.25">
      <c r="Q19308" s="8"/>
    </row>
    <row r="19309" spans="17:17" x14ac:dyDescent="0.25">
      <c r="Q19309" s="8"/>
    </row>
    <row r="19310" spans="17:17" x14ac:dyDescent="0.25">
      <c r="Q19310" s="8"/>
    </row>
    <row r="19311" spans="17:17" x14ac:dyDescent="0.25">
      <c r="Q19311" s="8"/>
    </row>
    <row r="19312" spans="17:17" x14ac:dyDescent="0.25">
      <c r="Q19312" s="8"/>
    </row>
    <row r="19313" spans="17:17" x14ac:dyDescent="0.25">
      <c r="Q19313" s="8"/>
    </row>
    <row r="19314" spans="17:17" x14ac:dyDescent="0.25">
      <c r="Q19314" s="8"/>
    </row>
    <row r="19315" spans="17:17" x14ac:dyDescent="0.25">
      <c r="Q19315" s="8"/>
    </row>
    <row r="19316" spans="17:17" x14ac:dyDescent="0.25">
      <c r="Q19316" s="8"/>
    </row>
    <row r="19317" spans="17:17" x14ac:dyDescent="0.25">
      <c r="Q19317" s="8"/>
    </row>
    <row r="19318" spans="17:17" x14ac:dyDescent="0.25">
      <c r="Q19318" s="8"/>
    </row>
    <row r="19319" spans="17:17" x14ac:dyDescent="0.25">
      <c r="Q19319" s="8"/>
    </row>
    <row r="19320" spans="17:17" x14ac:dyDescent="0.25">
      <c r="Q19320" s="8"/>
    </row>
    <row r="19321" spans="17:17" x14ac:dyDescent="0.25">
      <c r="Q19321" s="8"/>
    </row>
    <row r="19322" spans="17:17" x14ac:dyDescent="0.25">
      <c r="Q19322" s="8"/>
    </row>
    <row r="19323" spans="17:17" x14ac:dyDescent="0.25">
      <c r="Q19323" s="8"/>
    </row>
    <row r="19324" spans="17:17" x14ac:dyDescent="0.25">
      <c r="Q19324" s="8"/>
    </row>
    <row r="19325" spans="17:17" x14ac:dyDescent="0.25">
      <c r="Q19325" s="8"/>
    </row>
    <row r="19326" spans="17:17" x14ac:dyDescent="0.25">
      <c r="Q19326" s="8"/>
    </row>
    <row r="19327" spans="17:17" x14ac:dyDescent="0.25">
      <c r="Q19327" s="8"/>
    </row>
    <row r="19328" spans="17:17" x14ac:dyDescent="0.25">
      <c r="Q19328" s="8"/>
    </row>
    <row r="19329" spans="17:17" x14ac:dyDescent="0.25">
      <c r="Q19329" s="8"/>
    </row>
    <row r="19330" spans="17:17" x14ac:dyDescent="0.25">
      <c r="Q19330" s="8"/>
    </row>
    <row r="19331" spans="17:17" x14ac:dyDescent="0.25">
      <c r="Q19331" s="8"/>
    </row>
    <row r="19332" spans="17:17" x14ac:dyDescent="0.25">
      <c r="Q19332" s="8"/>
    </row>
    <row r="19333" spans="17:17" x14ac:dyDescent="0.25">
      <c r="Q19333" s="8"/>
    </row>
    <row r="19334" spans="17:17" x14ac:dyDescent="0.25">
      <c r="Q19334" s="8"/>
    </row>
    <row r="19335" spans="17:17" x14ac:dyDescent="0.25">
      <c r="Q19335" s="8"/>
    </row>
    <row r="19336" spans="17:17" x14ac:dyDescent="0.25">
      <c r="Q19336" s="8"/>
    </row>
    <row r="19337" spans="17:17" x14ac:dyDescent="0.25">
      <c r="Q19337" s="8"/>
    </row>
    <row r="19338" spans="17:17" x14ac:dyDescent="0.25">
      <c r="Q19338" s="8"/>
    </row>
    <row r="19339" spans="17:17" x14ac:dyDescent="0.25">
      <c r="Q19339" s="8"/>
    </row>
    <row r="19340" spans="17:17" x14ac:dyDescent="0.25">
      <c r="Q19340" s="8"/>
    </row>
    <row r="19341" spans="17:17" x14ac:dyDescent="0.25">
      <c r="Q19341" s="8"/>
    </row>
    <row r="19342" spans="17:17" x14ac:dyDescent="0.25">
      <c r="Q19342" s="8"/>
    </row>
    <row r="19343" spans="17:17" x14ac:dyDescent="0.25">
      <c r="Q19343" s="8"/>
    </row>
    <row r="19344" spans="17:17" x14ac:dyDescent="0.25">
      <c r="Q19344" s="8"/>
    </row>
    <row r="19345" spans="17:17" x14ac:dyDescent="0.25">
      <c r="Q19345" s="8"/>
    </row>
    <row r="19346" spans="17:17" x14ac:dyDescent="0.25">
      <c r="Q19346" s="8"/>
    </row>
    <row r="19347" spans="17:17" x14ac:dyDescent="0.25">
      <c r="Q19347" s="8"/>
    </row>
    <row r="19348" spans="17:17" x14ac:dyDescent="0.25">
      <c r="Q19348" s="8"/>
    </row>
    <row r="19349" spans="17:17" x14ac:dyDescent="0.25">
      <c r="Q19349" s="8"/>
    </row>
    <row r="19350" spans="17:17" x14ac:dyDescent="0.25">
      <c r="Q19350" s="8"/>
    </row>
    <row r="19351" spans="17:17" x14ac:dyDescent="0.25">
      <c r="Q19351" s="8"/>
    </row>
    <row r="19352" spans="17:17" x14ac:dyDescent="0.25">
      <c r="Q19352" s="8"/>
    </row>
    <row r="19353" spans="17:17" x14ac:dyDescent="0.25">
      <c r="Q19353" s="8"/>
    </row>
    <row r="19354" spans="17:17" x14ac:dyDescent="0.25">
      <c r="Q19354" s="8"/>
    </row>
    <row r="19355" spans="17:17" x14ac:dyDescent="0.25">
      <c r="Q19355" s="8"/>
    </row>
    <row r="19356" spans="17:17" x14ac:dyDescent="0.25">
      <c r="Q19356" s="8"/>
    </row>
    <row r="19357" spans="17:17" x14ac:dyDescent="0.25">
      <c r="Q19357" s="8"/>
    </row>
    <row r="19358" spans="17:17" x14ac:dyDescent="0.25">
      <c r="Q19358" s="8"/>
    </row>
    <row r="19359" spans="17:17" x14ac:dyDescent="0.25">
      <c r="Q19359" s="8"/>
    </row>
    <row r="19360" spans="17:17" x14ac:dyDescent="0.25">
      <c r="Q19360" s="8"/>
    </row>
    <row r="19361" spans="17:17" x14ac:dyDescent="0.25">
      <c r="Q19361" s="8"/>
    </row>
    <row r="19362" spans="17:17" x14ac:dyDescent="0.25">
      <c r="Q19362" s="8"/>
    </row>
    <row r="19363" spans="17:17" x14ac:dyDescent="0.25">
      <c r="Q19363" s="8"/>
    </row>
    <row r="19364" spans="17:17" x14ac:dyDescent="0.25">
      <c r="Q19364" s="8"/>
    </row>
    <row r="19365" spans="17:17" x14ac:dyDescent="0.25">
      <c r="Q19365" s="8"/>
    </row>
    <row r="19366" spans="17:17" x14ac:dyDescent="0.25">
      <c r="Q19366" s="8"/>
    </row>
    <row r="19367" spans="17:17" x14ac:dyDescent="0.25">
      <c r="Q19367" s="8"/>
    </row>
    <row r="19368" spans="17:17" x14ac:dyDescent="0.25">
      <c r="Q19368" s="8"/>
    </row>
    <row r="19369" spans="17:17" x14ac:dyDescent="0.25">
      <c r="Q19369" s="8"/>
    </row>
    <row r="19370" spans="17:17" x14ac:dyDescent="0.25">
      <c r="Q19370" s="8"/>
    </row>
    <row r="19371" spans="17:17" x14ac:dyDescent="0.25">
      <c r="Q19371" s="8"/>
    </row>
    <row r="19372" spans="17:17" x14ac:dyDescent="0.25">
      <c r="Q19372" s="8"/>
    </row>
    <row r="19373" spans="17:17" x14ac:dyDescent="0.25">
      <c r="Q19373" s="8"/>
    </row>
    <row r="19374" spans="17:17" x14ac:dyDescent="0.25">
      <c r="Q19374" s="8"/>
    </row>
    <row r="19375" spans="17:17" x14ac:dyDescent="0.25">
      <c r="Q19375" s="8"/>
    </row>
    <row r="19376" spans="17:17" x14ac:dyDescent="0.25">
      <c r="Q19376" s="8"/>
    </row>
    <row r="19377" spans="17:17" x14ac:dyDescent="0.25">
      <c r="Q19377" s="8"/>
    </row>
    <row r="19378" spans="17:17" x14ac:dyDescent="0.25">
      <c r="Q19378" s="8"/>
    </row>
    <row r="19379" spans="17:17" x14ac:dyDescent="0.25">
      <c r="Q19379" s="8"/>
    </row>
    <row r="19380" spans="17:17" x14ac:dyDescent="0.25">
      <c r="Q19380" s="8"/>
    </row>
    <row r="19381" spans="17:17" x14ac:dyDescent="0.25">
      <c r="Q19381" s="8"/>
    </row>
    <row r="19382" spans="17:17" x14ac:dyDescent="0.25">
      <c r="Q19382" s="8"/>
    </row>
    <row r="19383" spans="17:17" x14ac:dyDescent="0.25">
      <c r="Q19383" s="8"/>
    </row>
    <row r="19384" spans="17:17" x14ac:dyDescent="0.25">
      <c r="Q19384" s="8"/>
    </row>
    <row r="19385" spans="17:17" x14ac:dyDescent="0.25">
      <c r="Q19385" s="8"/>
    </row>
    <row r="19386" spans="17:17" x14ac:dyDescent="0.25">
      <c r="Q19386" s="8"/>
    </row>
    <row r="19387" spans="17:17" x14ac:dyDescent="0.25">
      <c r="Q19387" s="8"/>
    </row>
    <row r="19388" spans="17:17" x14ac:dyDescent="0.25">
      <c r="Q19388" s="8"/>
    </row>
    <row r="19389" spans="17:17" x14ac:dyDescent="0.25">
      <c r="Q19389" s="8"/>
    </row>
    <row r="19390" spans="17:17" x14ac:dyDescent="0.25">
      <c r="Q19390" s="8"/>
    </row>
    <row r="19391" spans="17:17" x14ac:dyDescent="0.25">
      <c r="Q19391" s="8"/>
    </row>
    <row r="19392" spans="17:17" x14ac:dyDescent="0.25">
      <c r="Q19392" s="8"/>
    </row>
    <row r="19393" spans="17:17" x14ac:dyDescent="0.25">
      <c r="Q19393" s="8"/>
    </row>
    <row r="19394" spans="17:17" x14ac:dyDescent="0.25">
      <c r="Q19394" s="8"/>
    </row>
    <row r="19395" spans="17:17" x14ac:dyDescent="0.25">
      <c r="Q19395" s="8"/>
    </row>
    <row r="19396" spans="17:17" x14ac:dyDescent="0.25">
      <c r="Q19396" s="8"/>
    </row>
    <row r="19397" spans="17:17" x14ac:dyDescent="0.25">
      <c r="Q19397" s="8"/>
    </row>
    <row r="19398" spans="17:17" x14ac:dyDescent="0.25">
      <c r="Q19398" s="8"/>
    </row>
    <row r="19399" spans="17:17" x14ac:dyDescent="0.25">
      <c r="Q19399" s="8"/>
    </row>
    <row r="19400" spans="17:17" x14ac:dyDescent="0.25">
      <c r="Q19400" s="8"/>
    </row>
    <row r="19401" spans="17:17" x14ac:dyDescent="0.25">
      <c r="Q19401" s="8"/>
    </row>
    <row r="19402" spans="17:17" x14ac:dyDescent="0.25">
      <c r="Q19402" s="8"/>
    </row>
    <row r="19403" spans="17:17" x14ac:dyDescent="0.25">
      <c r="Q19403" s="8"/>
    </row>
    <row r="19404" spans="17:17" x14ac:dyDescent="0.25">
      <c r="Q19404" s="8"/>
    </row>
    <row r="19405" spans="17:17" x14ac:dyDescent="0.25">
      <c r="Q19405" s="8"/>
    </row>
    <row r="19406" spans="17:17" x14ac:dyDescent="0.25">
      <c r="Q19406" s="8"/>
    </row>
    <row r="19407" spans="17:17" x14ac:dyDescent="0.25">
      <c r="Q19407" s="8"/>
    </row>
    <row r="19408" spans="17:17" x14ac:dyDescent="0.25">
      <c r="Q19408" s="8"/>
    </row>
    <row r="19409" spans="17:17" x14ac:dyDescent="0.25">
      <c r="Q19409" s="8"/>
    </row>
    <row r="19410" spans="17:17" x14ac:dyDescent="0.25">
      <c r="Q19410" s="8"/>
    </row>
    <row r="19411" spans="17:17" x14ac:dyDescent="0.25">
      <c r="Q19411" s="8"/>
    </row>
    <row r="19412" spans="17:17" x14ac:dyDescent="0.25">
      <c r="Q19412" s="8"/>
    </row>
    <row r="19413" spans="17:17" x14ac:dyDescent="0.25">
      <c r="Q19413" s="8"/>
    </row>
    <row r="19414" spans="17:17" x14ac:dyDescent="0.25">
      <c r="Q19414" s="8"/>
    </row>
    <row r="19415" spans="17:17" x14ac:dyDescent="0.25">
      <c r="Q19415" s="8"/>
    </row>
    <row r="19416" spans="17:17" x14ac:dyDescent="0.25">
      <c r="Q19416" s="8"/>
    </row>
    <row r="19417" spans="17:17" x14ac:dyDescent="0.25">
      <c r="Q19417" s="8"/>
    </row>
    <row r="19418" spans="17:17" x14ac:dyDescent="0.25">
      <c r="Q19418" s="8"/>
    </row>
    <row r="19419" spans="17:17" x14ac:dyDescent="0.25">
      <c r="Q19419" s="8"/>
    </row>
    <row r="19420" spans="17:17" x14ac:dyDescent="0.25">
      <c r="Q19420" s="8"/>
    </row>
    <row r="19421" spans="17:17" x14ac:dyDescent="0.25">
      <c r="Q19421" s="8"/>
    </row>
    <row r="19422" spans="17:17" x14ac:dyDescent="0.25">
      <c r="Q19422" s="8"/>
    </row>
    <row r="19423" spans="17:17" x14ac:dyDescent="0.25">
      <c r="Q19423" s="8"/>
    </row>
    <row r="19424" spans="17:17" x14ac:dyDescent="0.25">
      <c r="Q19424" s="8"/>
    </row>
    <row r="19425" spans="17:17" x14ac:dyDescent="0.25">
      <c r="Q19425" s="8"/>
    </row>
    <row r="19426" spans="17:17" x14ac:dyDescent="0.25">
      <c r="Q19426" s="8"/>
    </row>
    <row r="19427" spans="17:17" x14ac:dyDescent="0.25">
      <c r="Q19427" s="8"/>
    </row>
    <row r="19428" spans="17:17" x14ac:dyDescent="0.25">
      <c r="Q19428" s="8"/>
    </row>
    <row r="19429" spans="17:17" x14ac:dyDescent="0.25">
      <c r="Q19429" s="8"/>
    </row>
    <row r="19430" spans="17:17" x14ac:dyDescent="0.25">
      <c r="Q19430" s="8"/>
    </row>
    <row r="19431" spans="17:17" x14ac:dyDescent="0.25">
      <c r="Q19431" s="8"/>
    </row>
    <row r="19432" spans="17:17" x14ac:dyDescent="0.25">
      <c r="Q19432" s="8"/>
    </row>
    <row r="19433" spans="17:17" x14ac:dyDescent="0.25">
      <c r="Q19433" s="8"/>
    </row>
    <row r="19434" spans="17:17" x14ac:dyDescent="0.25">
      <c r="Q19434" s="8"/>
    </row>
    <row r="19435" spans="17:17" x14ac:dyDescent="0.25">
      <c r="Q19435" s="8"/>
    </row>
    <row r="19436" spans="17:17" x14ac:dyDescent="0.25">
      <c r="Q19436" s="8"/>
    </row>
    <row r="19437" spans="17:17" x14ac:dyDescent="0.25">
      <c r="Q19437" s="8"/>
    </row>
    <row r="19438" spans="17:17" x14ac:dyDescent="0.25">
      <c r="Q19438" s="8"/>
    </row>
    <row r="19439" spans="17:17" x14ac:dyDescent="0.25">
      <c r="Q19439" s="8"/>
    </row>
    <row r="19440" spans="17:17" x14ac:dyDescent="0.25">
      <c r="Q19440" s="8"/>
    </row>
    <row r="19441" spans="17:17" x14ac:dyDescent="0.25">
      <c r="Q19441" s="8"/>
    </row>
    <row r="19442" spans="17:17" x14ac:dyDescent="0.25">
      <c r="Q19442" s="8"/>
    </row>
    <row r="19443" spans="17:17" x14ac:dyDescent="0.25">
      <c r="Q19443" s="8"/>
    </row>
    <row r="19444" spans="17:17" x14ac:dyDescent="0.25">
      <c r="Q19444" s="8"/>
    </row>
    <row r="19445" spans="17:17" x14ac:dyDescent="0.25">
      <c r="Q19445" s="8"/>
    </row>
    <row r="19446" spans="17:17" x14ac:dyDescent="0.25">
      <c r="Q19446" s="8"/>
    </row>
    <row r="19447" spans="17:17" x14ac:dyDescent="0.25">
      <c r="Q19447" s="8"/>
    </row>
    <row r="19448" spans="17:17" x14ac:dyDescent="0.25">
      <c r="Q19448" s="8"/>
    </row>
    <row r="19449" spans="17:17" x14ac:dyDescent="0.25">
      <c r="Q19449" s="8"/>
    </row>
    <row r="19450" spans="17:17" x14ac:dyDescent="0.25">
      <c r="Q19450" s="8"/>
    </row>
    <row r="19451" spans="17:17" x14ac:dyDescent="0.25">
      <c r="Q19451" s="8"/>
    </row>
    <row r="19452" spans="17:17" x14ac:dyDescent="0.25">
      <c r="Q19452" s="8"/>
    </row>
    <row r="19453" spans="17:17" x14ac:dyDescent="0.25">
      <c r="Q19453" s="8"/>
    </row>
    <row r="19454" spans="17:17" x14ac:dyDescent="0.25">
      <c r="Q19454" s="8"/>
    </row>
    <row r="19455" spans="17:17" x14ac:dyDescent="0.25">
      <c r="Q19455" s="8"/>
    </row>
    <row r="19456" spans="17:17" x14ac:dyDescent="0.25">
      <c r="Q19456" s="8"/>
    </row>
    <row r="19457" spans="17:17" x14ac:dyDescent="0.25">
      <c r="Q19457" s="8"/>
    </row>
    <row r="19458" spans="17:17" x14ac:dyDescent="0.25">
      <c r="Q19458" s="8"/>
    </row>
    <row r="19459" spans="17:17" x14ac:dyDescent="0.25">
      <c r="Q19459" s="8"/>
    </row>
    <row r="19460" spans="17:17" x14ac:dyDescent="0.25">
      <c r="Q19460" s="8"/>
    </row>
    <row r="19461" spans="17:17" x14ac:dyDescent="0.25">
      <c r="Q19461" s="8"/>
    </row>
    <row r="19462" spans="17:17" x14ac:dyDescent="0.25">
      <c r="Q19462" s="8"/>
    </row>
    <row r="19463" spans="17:17" x14ac:dyDescent="0.25">
      <c r="Q19463" s="8"/>
    </row>
    <row r="19464" spans="17:17" x14ac:dyDescent="0.25">
      <c r="Q19464" s="8"/>
    </row>
    <row r="19465" spans="17:17" x14ac:dyDescent="0.25">
      <c r="Q19465" s="8"/>
    </row>
    <row r="19466" spans="17:17" x14ac:dyDescent="0.25">
      <c r="Q19466" s="8"/>
    </row>
    <row r="19467" spans="17:17" x14ac:dyDescent="0.25">
      <c r="Q19467" s="8"/>
    </row>
    <row r="19468" spans="17:17" x14ac:dyDescent="0.25">
      <c r="Q19468" s="8"/>
    </row>
    <row r="19469" spans="17:17" x14ac:dyDescent="0.25">
      <c r="Q19469" s="8"/>
    </row>
    <row r="19470" spans="17:17" x14ac:dyDescent="0.25">
      <c r="Q19470" s="8"/>
    </row>
    <row r="19471" spans="17:17" x14ac:dyDescent="0.25">
      <c r="Q19471" s="8"/>
    </row>
    <row r="19472" spans="17:17" x14ac:dyDescent="0.25">
      <c r="Q19472" s="8"/>
    </row>
    <row r="19473" spans="17:17" x14ac:dyDescent="0.25">
      <c r="Q19473" s="8"/>
    </row>
    <row r="19474" spans="17:17" x14ac:dyDescent="0.25">
      <c r="Q19474" s="8"/>
    </row>
    <row r="19475" spans="17:17" x14ac:dyDescent="0.25">
      <c r="Q19475" s="8"/>
    </row>
    <row r="19476" spans="17:17" x14ac:dyDescent="0.25">
      <c r="Q19476" s="8"/>
    </row>
    <row r="19477" spans="17:17" x14ac:dyDescent="0.25">
      <c r="Q19477" s="8"/>
    </row>
    <row r="19478" spans="17:17" x14ac:dyDescent="0.25">
      <c r="Q19478" s="8"/>
    </row>
    <row r="19479" spans="17:17" x14ac:dyDescent="0.25">
      <c r="Q19479" s="8"/>
    </row>
    <row r="19480" spans="17:17" x14ac:dyDescent="0.25">
      <c r="Q19480" s="8"/>
    </row>
    <row r="19481" spans="17:17" x14ac:dyDescent="0.25">
      <c r="Q19481" s="8"/>
    </row>
    <row r="19482" spans="17:17" x14ac:dyDescent="0.25">
      <c r="Q19482" s="8"/>
    </row>
    <row r="19483" spans="17:17" x14ac:dyDescent="0.25">
      <c r="Q19483" s="8"/>
    </row>
    <row r="19484" spans="17:17" x14ac:dyDescent="0.25">
      <c r="Q19484" s="8"/>
    </row>
    <row r="19485" spans="17:17" x14ac:dyDescent="0.25">
      <c r="Q19485" s="8"/>
    </row>
    <row r="19486" spans="17:17" x14ac:dyDescent="0.25">
      <c r="Q19486" s="8"/>
    </row>
    <row r="19487" spans="17:17" x14ac:dyDescent="0.25">
      <c r="Q19487" s="8"/>
    </row>
    <row r="19488" spans="17:17" x14ac:dyDescent="0.25">
      <c r="Q19488" s="8"/>
    </row>
    <row r="19489" spans="17:17" x14ac:dyDescent="0.25">
      <c r="Q19489" s="8"/>
    </row>
    <row r="19490" spans="17:17" x14ac:dyDescent="0.25">
      <c r="Q19490" s="8"/>
    </row>
    <row r="19491" spans="17:17" x14ac:dyDescent="0.25">
      <c r="Q19491" s="8"/>
    </row>
    <row r="19492" spans="17:17" x14ac:dyDescent="0.25">
      <c r="Q19492" s="8"/>
    </row>
    <row r="19493" spans="17:17" x14ac:dyDescent="0.25">
      <c r="Q19493" s="8"/>
    </row>
    <row r="19494" spans="17:17" x14ac:dyDescent="0.25">
      <c r="Q19494" s="8"/>
    </row>
    <row r="19495" spans="17:17" x14ac:dyDescent="0.25">
      <c r="Q19495" s="8"/>
    </row>
    <row r="19496" spans="17:17" x14ac:dyDescent="0.25">
      <c r="Q19496" s="8"/>
    </row>
    <row r="19497" spans="17:17" x14ac:dyDescent="0.25">
      <c r="Q19497" s="8"/>
    </row>
    <row r="19498" spans="17:17" x14ac:dyDescent="0.25">
      <c r="Q19498" s="8"/>
    </row>
    <row r="19499" spans="17:17" x14ac:dyDescent="0.25">
      <c r="Q19499" s="8"/>
    </row>
    <row r="19500" spans="17:17" x14ac:dyDescent="0.25">
      <c r="Q19500" s="8"/>
    </row>
    <row r="19501" spans="17:17" x14ac:dyDescent="0.25">
      <c r="Q19501" s="8"/>
    </row>
    <row r="19502" spans="17:17" x14ac:dyDescent="0.25">
      <c r="Q19502" s="8"/>
    </row>
    <row r="19503" spans="17:17" x14ac:dyDescent="0.25">
      <c r="Q19503" s="8"/>
    </row>
    <row r="19504" spans="17:17" x14ac:dyDescent="0.25">
      <c r="Q19504" s="8"/>
    </row>
    <row r="19505" spans="17:17" x14ac:dyDescent="0.25">
      <c r="Q19505" s="8"/>
    </row>
    <row r="19506" spans="17:17" x14ac:dyDescent="0.25">
      <c r="Q19506" s="8"/>
    </row>
    <row r="19507" spans="17:17" x14ac:dyDescent="0.25">
      <c r="Q19507" s="8"/>
    </row>
    <row r="19508" spans="17:17" x14ac:dyDescent="0.25">
      <c r="Q19508" s="8"/>
    </row>
    <row r="19509" spans="17:17" x14ac:dyDescent="0.25">
      <c r="Q19509" s="8"/>
    </row>
    <row r="19510" spans="17:17" x14ac:dyDescent="0.25">
      <c r="Q19510" s="8"/>
    </row>
    <row r="19511" spans="17:17" x14ac:dyDescent="0.25">
      <c r="Q19511" s="8"/>
    </row>
    <row r="19512" spans="17:17" x14ac:dyDescent="0.25">
      <c r="Q19512" s="8"/>
    </row>
    <row r="19513" spans="17:17" x14ac:dyDescent="0.25">
      <c r="Q19513" s="8"/>
    </row>
    <row r="19514" spans="17:17" x14ac:dyDescent="0.25">
      <c r="Q19514" s="8"/>
    </row>
    <row r="19515" spans="17:17" x14ac:dyDescent="0.25">
      <c r="Q19515" s="8"/>
    </row>
    <row r="19516" spans="17:17" x14ac:dyDescent="0.25">
      <c r="Q19516" s="8"/>
    </row>
    <row r="19517" spans="17:17" x14ac:dyDescent="0.25">
      <c r="Q19517" s="8"/>
    </row>
    <row r="19518" spans="17:17" x14ac:dyDescent="0.25">
      <c r="Q19518" s="8"/>
    </row>
    <row r="19519" spans="17:17" x14ac:dyDescent="0.25">
      <c r="Q19519" s="8"/>
    </row>
    <row r="19520" spans="17:17" x14ac:dyDescent="0.25">
      <c r="Q19520" s="8"/>
    </row>
    <row r="19521" spans="17:17" x14ac:dyDescent="0.25">
      <c r="Q19521" s="8"/>
    </row>
    <row r="19522" spans="17:17" x14ac:dyDescent="0.25">
      <c r="Q19522" s="8"/>
    </row>
    <row r="19523" spans="17:17" x14ac:dyDescent="0.25">
      <c r="Q19523" s="8"/>
    </row>
    <row r="19524" spans="17:17" x14ac:dyDescent="0.25">
      <c r="Q19524" s="8"/>
    </row>
    <row r="19525" spans="17:17" x14ac:dyDescent="0.25">
      <c r="Q19525" s="8"/>
    </row>
    <row r="19526" spans="17:17" x14ac:dyDescent="0.25">
      <c r="Q19526" s="8"/>
    </row>
    <row r="19527" spans="17:17" x14ac:dyDescent="0.25">
      <c r="Q19527" s="8"/>
    </row>
    <row r="19528" spans="17:17" x14ac:dyDescent="0.25">
      <c r="Q19528" s="8"/>
    </row>
    <row r="19529" spans="17:17" x14ac:dyDescent="0.25">
      <c r="Q19529" s="8"/>
    </row>
    <row r="19530" spans="17:17" x14ac:dyDescent="0.25">
      <c r="Q19530" s="8"/>
    </row>
    <row r="19531" spans="17:17" x14ac:dyDescent="0.25">
      <c r="Q19531" s="8"/>
    </row>
    <row r="19532" spans="17:17" x14ac:dyDescent="0.25">
      <c r="Q19532" s="8"/>
    </row>
    <row r="19533" spans="17:17" x14ac:dyDescent="0.25">
      <c r="Q19533" s="8"/>
    </row>
    <row r="19534" spans="17:17" x14ac:dyDescent="0.25">
      <c r="Q19534" s="8"/>
    </row>
    <row r="19535" spans="17:17" x14ac:dyDescent="0.25">
      <c r="Q19535" s="8"/>
    </row>
    <row r="19536" spans="17:17" x14ac:dyDescent="0.25">
      <c r="Q19536" s="8"/>
    </row>
    <row r="19537" spans="17:17" x14ac:dyDescent="0.25">
      <c r="Q19537" s="8"/>
    </row>
    <row r="19538" spans="17:17" x14ac:dyDescent="0.25">
      <c r="Q19538" s="8"/>
    </row>
    <row r="19539" spans="17:17" x14ac:dyDescent="0.25">
      <c r="Q19539" s="8"/>
    </row>
    <row r="19540" spans="17:17" x14ac:dyDescent="0.25">
      <c r="Q19540" s="8"/>
    </row>
    <row r="19541" spans="17:17" x14ac:dyDescent="0.25">
      <c r="Q19541" s="8"/>
    </row>
    <row r="19542" spans="17:17" x14ac:dyDescent="0.25">
      <c r="Q19542" s="8"/>
    </row>
    <row r="19543" spans="17:17" x14ac:dyDescent="0.25">
      <c r="Q19543" s="8"/>
    </row>
    <row r="19544" spans="17:17" x14ac:dyDescent="0.25">
      <c r="Q19544" s="8"/>
    </row>
    <row r="19545" spans="17:17" x14ac:dyDescent="0.25">
      <c r="Q19545" s="8"/>
    </row>
    <row r="19546" spans="17:17" x14ac:dyDescent="0.25">
      <c r="Q19546" s="8"/>
    </row>
    <row r="19547" spans="17:17" x14ac:dyDescent="0.25">
      <c r="Q19547" s="8"/>
    </row>
    <row r="19548" spans="17:17" x14ac:dyDescent="0.25">
      <c r="Q19548" s="8"/>
    </row>
    <row r="19549" spans="17:17" x14ac:dyDescent="0.25">
      <c r="Q19549" s="8"/>
    </row>
    <row r="19550" spans="17:17" x14ac:dyDescent="0.25">
      <c r="Q19550" s="8"/>
    </row>
    <row r="19551" spans="17:17" x14ac:dyDescent="0.25">
      <c r="Q19551" s="8"/>
    </row>
    <row r="19552" spans="17:17" x14ac:dyDescent="0.25">
      <c r="Q19552" s="8"/>
    </row>
    <row r="19553" spans="17:17" x14ac:dyDescent="0.25">
      <c r="Q19553" s="8"/>
    </row>
    <row r="19554" spans="17:17" x14ac:dyDescent="0.25">
      <c r="Q19554" s="8"/>
    </row>
    <row r="19555" spans="17:17" x14ac:dyDescent="0.25">
      <c r="Q19555" s="8"/>
    </row>
    <row r="19556" spans="17:17" x14ac:dyDescent="0.25">
      <c r="Q19556" s="8"/>
    </row>
    <row r="19557" spans="17:17" x14ac:dyDescent="0.25">
      <c r="Q19557" s="8"/>
    </row>
    <row r="19558" spans="17:17" x14ac:dyDescent="0.25">
      <c r="Q19558" s="8"/>
    </row>
    <row r="19559" spans="17:17" x14ac:dyDescent="0.25">
      <c r="Q19559" s="8"/>
    </row>
    <row r="19560" spans="17:17" x14ac:dyDescent="0.25">
      <c r="Q19560" s="8"/>
    </row>
    <row r="19561" spans="17:17" x14ac:dyDescent="0.25">
      <c r="Q19561" s="8"/>
    </row>
    <row r="19562" spans="17:17" x14ac:dyDescent="0.25">
      <c r="Q19562" s="8"/>
    </row>
    <row r="19563" spans="17:17" x14ac:dyDescent="0.25">
      <c r="Q19563" s="8"/>
    </row>
    <row r="19564" spans="17:17" x14ac:dyDescent="0.25">
      <c r="Q19564" s="8"/>
    </row>
    <row r="19565" spans="17:17" x14ac:dyDescent="0.25">
      <c r="Q19565" s="8"/>
    </row>
    <row r="19566" spans="17:17" x14ac:dyDescent="0.25">
      <c r="Q19566" s="8"/>
    </row>
    <row r="19567" spans="17:17" x14ac:dyDescent="0.25">
      <c r="Q19567" s="8"/>
    </row>
    <row r="19568" spans="17:17" x14ac:dyDescent="0.25">
      <c r="Q19568" s="8"/>
    </row>
    <row r="19569" spans="17:17" x14ac:dyDescent="0.25">
      <c r="Q19569" s="8"/>
    </row>
    <row r="19570" spans="17:17" x14ac:dyDescent="0.25">
      <c r="Q19570" s="8"/>
    </row>
    <row r="19571" spans="17:17" x14ac:dyDescent="0.25">
      <c r="Q19571" s="8"/>
    </row>
    <row r="19572" spans="17:17" x14ac:dyDescent="0.25">
      <c r="Q19572" s="8"/>
    </row>
    <row r="19573" spans="17:17" x14ac:dyDescent="0.25">
      <c r="Q19573" s="8"/>
    </row>
    <row r="19574" spans="17:17" x14ac:dyDescent="0.25">
      <c r="Q19574" s="8"/>
    </row>
    <row r="19575" spans="17:17" x14ac:dyDescent="0.25">
      <c r="Q19575" s="8"/>
    </row>
    <row r="19576" spans="17:17" x14ac:dyDescent="0.25">
      <c r="Q19576" s="8"/>
    </row>
    <row r="19577" spans="17:17" x14ac:dyDescent="0.25">
      <c r="Q19577" s="8"/>
    </row>
    <row r="19578" spans="17:17" x14ac:dyDescent="0.25">
      <c r="Q19578" s="8"/>
    </row>
    <row r="19579" spans="17:17" x14ac:dyDescent="0.25">
      <c r="Q19579" s="8"/>
    </row>
    <row r="19580" spans="17:17" x14ac:dyDescent="0.25">
      <c r="Q19580" s="8"/>
    </row>
    <row r="19581" spans="17:17" x14ac:dyDescent="0.25">
      <c r="Q19581" s="8"/>
    </row>
    <row r="19582" spans="17:17" x14ac:dyDescent="0.25">
      <c r="Q19582" s="8"/>
    </row>
    <row r="19583" spans="17:17" x14ac:dyDescent="0.25">
      <c r="Q19583" s="8"/>
    </row>
    <row r="19584" spans="17:17" x14ac:dyDescent="0.25">
      <c r="Q19584" s="8"/>
    </row>
    <row r="19585" spans="17:17" x14ac:dyDescent="0.25">
      <c r="Q19585" s="8"/>
    </row>
    <row r="19586" spans="17:17" x14ac:dyDescent="0.25">
      <c r="Q19586" s="8"/>
    </row>
    <row r="19587" spans="17:17" x14ac:dyDescent="0.25">
      <c r="Q19587" s="8"/>
    </row>
    <row r="19588" spans="17:17" x14ac:dyDescent="0.25">
      <c r="Q19588" s="8"/>
    </row>
    <row r="19589" spans="17:17" x14ac:dyDescent="0.25">
      <c r="Q19589" s="8"/>
    </row>
    <row r="19590" spans="17:17" x14ac:dyDescent="0.25">
      <c r="Q19590" s="8"/>
    </row>
    <row r="19591" spans="17:17" x14ac:dyDescent="0.25">
      <c r="Q19591" s="8"/>
    </row>
    <row r="19592" spans="17:17" x14ac:dyDescent="0.25">
      <c r="Q19592" s="8"/>
    </row>
    <row r="19593" spans="17:17" x14ac:dyDescent="0.25">
      <c r="Q19593" s="8"/>
    </row>
    <row r="19594" spans="17:17" x14ac:dyDescent="0.25">
      <c r="Q19594" s="8"/>
    </row>
    <row r="19595" spans="17:17" x14ac:dyDescent="0.25">
      <c r="Q19595" s="8"/>
    </row>
    <row r="19596" spans="17:17" x14ac:dyDescent="0.25">
      <c r="Q19596" s="8"/>
    </row>
    <row r="19597" spans="17:17" x14ac:dyDescent="0.25">
      <c r="Q19597" s="8"/>
    </row>
    <row r="19598" spans="17:17" x14ac:dyDescent="0.25">
      <c r="Q19598" s="8"/>
    </row>
    <row r="19599" spans="17:17" x14ac:dyDescent="0.25">
      <c r="Q19599" s="8"/>
    </row>
    <row r="19600" spans="17:17" x14ac:dyDescent="0.25">
      <c r="Q19600" s="8"/>
    </row>
    <row r="19601" spans="17:17" x14ac:dyDescent="0.25">
      <c r="Q19601" s="8"/>
    </row>
    <row r="19602" spans="17:17" x14ac:dyDescent="0.25">
      <c r="Q19602" s="8"/>
    </row>
    <row r="19603" spans="17:17" x14ac:dyDescent="0.25">
      <c r="Q19603" s="8"/>
    </row>
    <row r="19604" spans="17:17" x14ac:dyDescent="0.25">
      <c r="Q19604" s="8"/>
    </row>
    <row r="19605" spans="17:17" x14ac:dyDescent="0.25">
      <c r="Q19605" s="8"/>
    </row>
    <row r="19606" spans="17:17" x14ac:dyDescent="0.25">
      <c r="Q19606" s="8"/>
    </row>
    <row r="19607" spans="17:17" x14ac:dyDescent="0.25">
      <c r="Q19607" s="8"/>
    </row>
    <row r="19608" spans="17:17" x14ac:dyDescent="0.25">
      <c r="Q19608" s="8"/>
    </row>
    <row r="19609" spans="17:17" x14ac:dyDescent="0.25">
      <c r="Q19609" s="8"/>
    </row>
    <row r="19610" spans="17:17" x14ac:dyDescent="0.25">
      <c r="Q19610" s="8"/>
    </row>
    <row r="19611" spans="17:17" x14ac:dyDescent="0.25">
      <c r="Q19611" s="8"/>
    </row>
    <row r="19612" spans="17:17" x14ac:dyDescent="0.25">
      <c r="Q19612" s="8"/>
    </row>
    <row r="19613" spans="17:17" x14ac:dyDescent="0.25">
      <c r="Q19613" s="8"/>
    </row>
    <row r="19614" spans="17:17" x14ac:dyDescent="0.25">
      <c r="Q19614" s="8"/>
    </row>
    <row r="19615" spans="17:17" x14ac:dyDescent="0.25">
      <c r="Q19615" s="8"/>
    </row>
    <row r="19616" spans="17:17" x14ac:dyDescent="0.25">
      <c r="Q19616" s="8"/>
    </row>
    <row r="19617" spans="17:17" x14ac:dyDescent="0.25">
      <c r="Q19617" s="8"/>
    </row>
    <row r="19618" spans="17:17" x14ac:dyDescent="0.25">
      <c r="Q19618" s="8"/>
    </row>
    <row r="19619" spans="17:17" x14ac:dyDescent="0.25">
      <c r="Q19619" s="8"/>
    </row>
    <row r="19620" spans="17:17" x14ac:dyDescent="0.25">
      <c r="Q19620" s="8"/>
    </row>
    <row r="19621" spans="17:17" x14ac:dyDescent="0.25">
      <c r="Q19621" s="8"/>
    </row>
    <row r="19622" spans="17:17" x14ac:dyDescent="0.25">
      <c r="Q19622" s="8"/>
    </row>
    <row r="19623" spans="17:17" x14ac:dyDescent="0.25">
      <c r="Q19623" s="8"/>
    </row>
    <row r="19624" spans="17:17" x14ac:dyDescent="0.25">
      <c r="Q19624" s="8"/>
    </row>
    <row r="19625" spans="17:17" x14ac:dyDescent="0.25">
      <c r="Q19625" s="8"/>
    </row>
    <row r="19626" spans="17:17" x14ac:dyDescent="0.25">
      <c r="Q19626" s="8"/>
    </row>
    <row r="19627" spans="17:17" x14ac:dyDescent="0.25">
      <c r="Q19627" s="8"/>
    </row>
    <row r="19628" spans="17:17" x14ac:dyDescent="0.25">
      <c r="Q19628" s="8"/>
    </row>
    <row r="19629" spans="17:17" x14ac:dyDescent="0.25">
      <c r="Q19629" s="8"/>
    </row>
    <row r="19630" spans="17:17" x14ac:dyDescent="0.25">
      <c r="Q19630" s="8"/>
    </row>
    <row r="19631" spans="17:17" x14ac:dyDescent="0.25">
      <c r="Q19631" s="8"/>
    </row>
    <row r="19632" spans="17:17" x14ac:dyDescent="0.25">
      <c r="Q19632" s="8"/>
    </row>
    <row r="19633" spans="17:17" x14ac:dyDescent="0.25">
      <c r="Q19633" s="8"/>
    </row>
    <row r="19634" spans="17:17" x14ac:dyDescent="0.25">
      <c r="Q19634" s="8"/>
    </row>
    <row r="19635" spans="17:17" x14ac:dyDescent="0.25">
      <c r="Q19635" s="8"/>
    </row>
    <row r="19636" spans="17:17" x14ac:dyDescent="0.25">
      <c r="Q19636" s="8"/>
    </row>
    <row r="19637" spans="17:17" x14ac:dyDescent="0.25">
      <c r="Q19637" s="8"/>
    </row>
    <row r="19638" spans="17:17" x14ac:dyDescent="0.25">
      <c r="Q19638" s="8"/>
    </row>
    <row r="19639" spans="17:17" x14ac:dyDescent="0.25">
      <c r="Q19639" s="8"/>
    </row>
    <row r="19640" spans="17:17" x14ac:dyDescent="0.25">
      <c r="Q19640" s="8"/>
    </row>
    <row r="19641" spans="17:17" x14ac:dyDescent="0.25">
      <c r="Q19641" s="8"/>
    </row>
    <row r="19642" spans="17:17" x14ac:dyDescent="0.25">
      <c r="Q19642" s="8"/>
    </row>
    <row r="19643" spans="17:17" x14ac:dyDescent="0.25">
      <c r="Q19643" s="8"/>
    </row>
    <row r="19644" spans="17:17" x14ac:dyDescent="0.25">
      <c r="Q19644" s="8"/>
    </row>
    <row r="19645" spans="17:17" x14ac:dyDescent="0.25">
      <c r="Q19645" s="8"/>
    </row>
    <row r="19646" spans="17:17" x14ac:dyDescent="0.25">
      <c r="Q19646" s="8"/>
    </row>
    <row r="19647" spans="17:17" x14ac:dyDescent="0.25">
      <c r="Q19647" s="8"/>
    </row>
    <row r="19648" spans="17:17" x14ac:dyDescent="0.25">
      <c r="Q19648" s="8"/>
    </row>
    <row r="19649" spans="17:17" x14ac:dyDescent="0.25">
      <c r="Q19649" s="8"/>
    </row>
    <row r="19650" spans="17:17" x14ac:dyDescent="0.25">
      <c r="Q19650" s="8"/>
    </row>
    <row r="19651" spans="17:17" x14ac:dyDescent="0.25">
      <c r="Q19651" s="8"/>
    </row>
    <row r="19652" spans="17:17" x14ac:dyDescent="0.25">
      <c r="Q19652" s="8"/>
    </row>
    <row r="19653" spans="17:17" x14ac:dyDescent="0.25">
      <c r="Q19653" s="8"/>
    </row>
    <row r="19654" spans="17:17" x14ac:dyDescent="0.25">
      <c r="Q19654" s="8"/>
    </row>
    <row r="19655" spans="17:17" x14ac:dyDescent="0.25">
      <c r="Q19655" s="8"/>
    </row>
    <row r="19656" spans="17:17" x14ac:dyDescent="0.25">
      <c r="Q19656" s="8"/>
    </row>
    <row r="19657" spans="17:17" x14ac:dyDescent="0.25">
      <c r="Q19657" s="8"/>
    </row>
    <row r="19658" spans="17:17" x14ac:dyDescent="0.25">
      <c r="Q19658" s="8"/>
    </row>
    <row r="19659" spans="17:17" x14ac:dyDescent="0.25">
      <c r="Q19659" s="8"/>
    </row>
    <row r="19660" spans="17:17" x14ac:dyDescent="0.25">
      <c r="Q19660" s="8"/>
    </row>
    <row r="19661" spans="17:17" x14ac:dyDescent="0.25">
      <c r="Q19661" s="8"/>
    </row>
    <row r="19662" spans="17:17" x14ac:dyDescent="0.25">
      <c r="Q19662" s="8"/>
    </row>
    <row r="19663" spans="17:17" x14ac:dyDescent="0.25">
      <c r="Q19663" s="8"/>
    </row>
    <row r="19664" spans="17:17" x14ac:dyDescent="0.25">
      <c r="Q19664" s="8"/>
    </row>
    <row r="19665" spans="17:17" x14ac:dyDescent="0.25">
      <c r="Q19665" s="8"/>
    </row>
    <row r="19666" spans="17:17" x14ac:dyDescent="0.25">
      <c r="Q19666" s="8"/>
    </row>
    <row r="19667" spans="17:17" x14ac:dyDescent="0.25">
      <c r="Q19667" s="8"/>
    </row>
    <row r="19668" spans="17:17" x14ac:dyDescent="0.25">
      <c r="Q19668" s="8"/>
    </row>
    <row r="19669" spans="17:17" x14ac:dyDescent="0.25">
      <c r="Q19669" s="8"/>
    </row>
    <row r="19670" spans="17:17" x14ac:dyDescent="0.25">
      <c r="Q19670" s="8"/>
    </row>
    <row r="19671" spans="17:17" x14ac:dyDescent="0.25">
      <c r="Q19671" s="8"/>
    </row>
    <row r="19672" spans="17:17" x14ac:dyDescent="0.25">
      <c r="Q19672" s="8"/>
    </row>
    <row r="19673" spans="17:17" x14ac:dyDescent="0.25">
      <c r="Q19673" s="8"/>
    </row>
    <row r="19674" spans="17:17" x14ac:dyDescent="0.25">
      <c r="Q19674" s="8"/>
    </row>
    <row r="19675" spans="17:17" x14ac:dyDescent="0.25">
      <c r="Q19675" s="8"/>
    </row>
    <row r="19676" spans="17:17" x14ac:dyDescent="0.25">
      <c r="Q19676" s="8"/>
    </row>
    <row r="19677" spans="17:17" x14ac:dyDescent="0.25">
      <c r="Q19677" s="8"/>
    </row>
    <row r="19678" spans="17:17" x14ac:dyDescent="0.25">
      <c r="Q19678" s="8"/>
    </row>
    <row r="19679" spans="17:17" x14ac:dyDescent="0.25">
      <c r="Q19679" s="8"/>
    </row>
    <row r="19680" spans="17:17" x14ac:dyDescent="0.25">
      <c r="Q19680" s="8"/>
    </row>
    <row r="19681" spans="17:17" x14ac:dyDescent="0.25">
      <c r="Q19681" s="8"/>
    </row>
    <row r="19682" spans="17:17" x14ac:dyDescent="0.25">
      <c r="Q19682" s="8"/>
    </row>
    <row r="19683" spans="17:17" x14ac:dyDescent="0.25">
      <c r="Q19683" s="8"/>
    </row>
    <row r="19684" spans="17:17" x14ac:dyDescent="0.25">
      <c r="Q19684" s="8"/>
    </row>
    <row r="19685" spans="17:17" x14ac:dyDescent="0.25">
      <c r="Q19685" s="8"/>
    </row>
    <row r="19686" spans="17:17" x14ac:dyDescent="0.25">
      <c r="Q19686" s="8"/>
    </row>
    <row r="19687" spans="17:17" x14ac:dyDescent="0.25">
      <c r="Q19687" s="8"/>
    </row>
    <row r="19688" spans="17:17" x14ac:dyDescent="0.25">
      <c r="Q19688" s="8"/>
    </row>
    <row r="19689" spans="17:17" x14ac:dyDescent="0.25">
      <c r="Q19689" s="8"/>
    </row>
    <row r="19690" spans="17:17" x14ac:dyDescent="0.25">
      <c r="Q19690" s="8"/>
    </row>
    <row r="19691" spans="17:17" x14ac:dyDescent="0.25">
      <c r="Q19691" s="8"/>
    </row>
    <row r="19692" spans="17:17" x14ac:dyDescent="0.25">
      <c r="Q19692" s="8"/>
    </row>
    <row r="19693" spans="17:17" x14ac:dyDescent="0.25">
      <c r="Q19693" s="8"/>
    </row>
    <row r="19694" spans="17:17" x14ac:dyDescent="0.25">
      <c r="Q19694" s="8"/>
    </row>
    <row r="19695" spans="17:17" x14ac:dyDescent="0.25">
      <c r="Q19695" s="8"/>
    </row>
    <row r="19696" spans="17:17" x14ac:dyDescent="0.25">
      <c r="Q19696" s="8"/>
    </row>
    <row r="19697" spans="17:17" x14ac:dyDescent="0.25">
      <c r="Q19697" s="8"/>
    </row>
    <row r="19698" spans="17:17" x14ac:dyDescent="0.25">
      <c r="Q19698" s="8"/>
    </row>
    <row r="19699" spans="17:17" x14ac:dyDescent="0.25">
      <c r="Q19699" s="8"/>
    </row>
    <row r="19700" spans="17:17" x14ac:dyDescent="0.25">
      <c r="Q19700" s="8"/>
    </row>
    <row r="19701" spans="17:17" x14ac:dyDescent="0.25">
      <c r="Q19701" s="8"/>
    </row>
    <row r="19702" spans="17:17" x14ac:dyDescent="0.25">
      <c r="Q19702" s="8"/>
    </row>
    <row r="19703" spans="17:17" x14ac:dyDescent="0.25">
      <c r="Q19703" s="8"/>
    </row>
    <row r="19704" spans="17:17" x14ac:dyDescent="0.25">
      <c r="Q19704" s="8"/>
    </row>
    <row r="19705" spans="17:17" x14ac:dyDescent="0.25">
      <c r="Q19705" s="8"/>
    </row>
    <row r="19706" spans="17:17" x14ac:dyDescent="0.25">
      <c r="Q19706" s="8"/>
    </row>
    <row r="19707" spans="17:17" x14ac:dyDescent="0.25">
      <c r="Q19707" s="8"/>
    </row>
    <row r="19708" spans="17:17" x14ac:dyDescent="0.25">
      <c r="Q19708" s="8"/>
    </row>
    <row r="19709" spans="17:17" x14ac:dyDescent="0.25">
      <c r="Q19709" s="8"/>
    </row>
    <row r="19710" spans="17:17" x14ac:dyDescent="0.25">
      <c r="Q19710" s="8"/>
    </row>
    <row r="19711" spans="17:17" x14ac:dyDescent="0.25">
      <c r="Q19711" s="8"/>
    </row>
    <row r="19712" spans="17:17" x14ac:dyDescent="0.25">
      <c r="Q19712" s="8"/>
    </row>
    <row r="19713" spans="17:17" x14ac:dyDescent="0.25">
      <c r="Q19713" s="8"/>
    </row>
    <row r="19714" spans="17:17" x14ac:dyDescent="0.25">
      <c r="Q19714" s="8"/>
    </row>
    <row r="19715" spans="17:17" x14ac:dyDescent="0.25">
      <c r="Q19715" s="8"/>
    </row>
    <row r="19716" spans="17:17" x14ac:dyDescent="0.25">
      <c r="Q19716" s="8"/>
    </row>
    <row r="19717" spans="17:17" x14ac:dyDescent="0.25">
      <c r="Q19717" s="8"/>
    </row>
    <row r="19718" spans="17:17" x14ac:dyDescent="0.25">
      <c r="Q19718" s="8"/>
    </row>
    <row r="19719" spans="17:17" x14ac:dyDescent="0.25">
      <c r="Q19719" s="8"/>
    </row>
    <row r="19720" spans="17:17" x14ac:dyDescent="0.25">
      <c r="Q19720" s="8"/>
    </row>
    <row r="19721" spans="17:17" x14ac:dyDescent="0.25">
      <c r="Q19721" s="8"/>
    </row>
    <row r="19722" spans="17:17" x14ac:dyDescent="0.25">
      <c r="Q19722" s="8"/>
    </row>
    <row r="19723" spans="17:17" x14ac:dyDescent="0.25">
      <c r="Q19723" s="8"/>
    </row>
    <row r="19724" spans="17:17" x14ac:dyDescent="0.25">
      <c r="Q19724" s="8"/>
    </row>
    <row r="19725" spans="17:17" x14ac:dyDescent="0.25">
      <c r="Q19725" s="8"/>
    </row>
    <row r="19726" spans="17:17" x14ac:dyDescent="0.25">
      <c r="Q19726" s="8"/>
    </row>
    <row r="19727" spans="17:17" x14ac:dyDescent="0.25">
      <c r="Q19727" s="8"/>
    </row>
    <row r="19728" spans="17:17" x14ac:dyDescent="0.25">
      <c r="Q19728" s="8"/>
    </row>
    <row r="19729" spans="17:17" x14ac:dyDescent="0.25">
      <c r="Q19729" s="8"/>
    </row>
    <row r="19730" spans="17:17" x14ac:dyDescent="0.25">
      <c r="Q19730" s="8"/>
    </row>
    <row r="19731" spans="17:17" x14ac:dyDescent="0.25">
      <c r="Q19731" s="8"/>
    </row>
    <row r="19732" spans="17:17" x14ac:dyDescent="0.25">
      <c r="Q19732" s="8"/>
    </row>
    <row r="19733" spans="17:17" x14ac:dyDescent="0.25">
      <c r="Q19733" s="8"/>
    </row>
    <row r="19734" spans="17:17" x14ac:dyDescent="0.25">
      <c r="Q19734" s="8"/>
    </row>
    <row r="19735" spans="17:17" x14ac:dyDescent="0.25">
      <c r="Q19735" s="8"/>
    </row>
    <row r="19736" spans="17:17" x14ac:dyDescent="0.25">
      <c r="Q19736" s="8"/>
    </row>
    <row r="19737" spans="17:17" x14ac:dyDescent="0.25">
      <c r="Q19737" s="8"/>
    </row>
    <row r="19738" spans="17:17" x14ac:dyDescent="0.25">
      <c r="Q19738" s="8"/>
    </row>
    <row r="19739" spans="17:17" x14ac:dyDescent="0.25">
      <c r="Q19739" s="8"/>
    </row>
    <row r="19740" spans="17:17" x14ac:dyDescent="0.25">
      <c r="Q19740" s="8"/>
    </row>
    <row r="19741" spans="17:17" x14ac:dyDescent="0.25">
      <c r="Q19741" s="8"/>
    </row>
    <row r="19742" spans="17:17" x14ac:dyDescent="0.25">
      <c r="Q19742" s="8"/>
    </row>
    <row r="19743" spans="17:17" x14ac:dyDescent="0.25">
      <c r="Q19743" s="8"/>
    </row>
    <row r="19744" spans="17:17" x14ac:dyDescent="0.25">
      <c r="Q19744" s="8"/>
    </row>
    <row r="19745" spans="17:17" x14ac:dyDescent="0.25">
      <c r="Q19745" s="8"/>
    </row>
    <row r="19746" spans="17:17" x14ac:dyDescent="0.25">
      <c r="Q19746" s="8"/>
    </row>
    <row r="19747" spans="17:17" x14ac:dyDescent="0.25">
      <c r="Q19747" s="8"/>
    </row>
    <row r="19748" spans="17:17" x14ac:dyDescent="0.25">
      <c r="Q19748" s="8"/>
    </row>
    <row r="19749" spans="17:17" x14ac:dyDescent="0.25">
      <c r="Q19749" s="8"/>
    </row>
    <row r="19750" spans="17:17" x14ac:dyDescent="0.25">
      <c r="Q19750" s="8"/>
    </row>
    <row r="19751" spans="17:17" x14ac:dyDescent="0.25">
      <c r="Q19751" s="8"/>
    </row>
    <row r="19752" spans="17:17" x14ac:dyDescent="0.25">
      <c r="Q19752" s="8"/>
    </row>
    <row r="19753" spans="17:17" x14ac:dyDescent="0.25">
      <c r="Q19753" s="8"/>
    </row>
    <row r="19754" spans="17:17" x14ac:dyDescent="0.25">
      <c r="Q19754" s="8"/>
    </row>
    <row r="19755" spans="17:17" x14ac:dyDescent="0.25">
      <c r="Q19755" s="8"/>
    </row>
    <row r="19756" spans="17:17" x14ac:dyDescent="0.25">
      <c r="Q19756" s="8"/>
    </row>
    <row r="19757" spans="17:17" x14ac:dyDescent="0.25">
      <c r="Q19757" s="8"/>
    </row>
    <row r="19758" spans="17:17" x14ac:dyDescent="0.25">
      <c r="Q19758" s="8"/>
    </row>
    <row r="19759" spans="17:17" x14ac:dyDescent="0.25">
      <c r="Q19759" s="8"/>
    </row>
    <row r="19760" spans="17:17" x14ac:dyDescent="0.25">
      <c r="Q19760" s="8"/>
    </row>
    <row r="19761" spans="17:17" x14ac:dyDescent="0.25">
      <c r="Q19761" s="8"/>
    </row>
    <row r="19762" spans="17:17" x14ac:dyDescent="0.25">
      <c r="Q19762" s="8"/>
    </row>
    <row r="19763" spans="17:17" x14ac:dyDescent="0.25">
      <c r="Q19763" s="8"/>
    </row>
    <row r="19764" spans="17:17" x14ac:dyDescent="0.25">
      <c r="Q19764" s="8"/>
    </row>
    <row r="19765" spans="17:17" x14ac:dyDescent="0.25">
      <c r="Q19765" s="8"/>
    </row>
    <row r="19766" spans="17:17" x14ac:dyDescent="0.25">
      <c r="Q19766" s="8"/>
    </row>
    <row r="19767" spans="17:17" x14ac:dyDescent="0.25">
      <c r="Q19767" s="8"/>
    </row>
    <row r="19768" spans="17:17" x14ac:dyDescent="0.25">
      <c r="Q19768" s="8"/>
    </row>
    <row r="19769" spans="17:17" x14ac:dyDescent="0.25">
      <c r="Q19769" s="8"/>
    </row>
    <row r="19770" spans="17:17" x14ac:dyDescent="0.25">
      <c r="Q19770" s="8"/>
    </row>
    <row r="19771" spans="17:17" x14ac:dyDescent="0.25">
      <c r="Q19771" s="8"/>
    </row>
    <row r="19772" spans="17:17" x14ac:dyDescent="0.25">
      <c r="Q19772" s="8"/>
    </row>
    <row r="19773" spans="17:17" x14ac:dyDescent="0.25">
      <c r="Q19773" s="8"/>
    </row>
    <row r="19774" spans="17:17" x14ac:dyDescent="0.25">
      <c r="Q19774" s="8"/>
    </row>
    <row r="19775" spans="17:17" x14ac:dyDescent="0.25">
      <c r="Q19775" s="8"/>
    </row>
    <row r="19776" spans="17:17" x14ac:dyDescent="0.25">
      <c r="Q19776" s="8"/>
    </row>
    <row r="19777" spans="17:17" x14ac:dyDescent="0.25">
      <c r="Q19777" s="8"/>
    </row>
    <row r="19778" spans="17:17" x14ac:dyDescent="0.25">
      <c r="Q19778" s="8"/>
    </row>
    <row r="19779" spans="17:17" x14ac:dyDescent="0.25">
      <c r="Q19779" s="8"/>
    </row>
    <row r="19780" spans="17:17" x14ac:dyDescent="0.25">
      <c r="Q19780" s="8"/>
    </row>
    <row r="19781" spans="17:17" x14ac:dyDescent="0.25">
      <c r="Q19781" s="8"/>
    </row>
    <row r="19782" spans="17:17" x14ac:dyDescent="0.25">
      <c r="Q19782" s="8"/>
    </row>
    <row r="19783" spans="17:17" x14ac:dyDescent="0.25">
      <c r="Q19783" s="8"/>
    </row>
    <row r="19784" spans="17:17" x14ac:dyDescent="0.25">
      <c r="Q19784" s="8"/>
    </row>
    <row r="19785" spans="17:17" x14ac:dyDescent="0.25">
      <c r="Q19785" s="8"/>
    </row>
    <row r="19786" spans="17:17" x14ac:dyDescent="0.25">
      <c r="Q19786" s="8"/>
    </row>
    <row r="19787" spans="17:17" x14ac:dyDescent="0.25">
      <c r="Q19787" s="8"/>
    </row>
    <row r="19788" spans="17:17" x14ac:dyDescent="0.25">
      <c r="Q19788" s="8"/>
    </row>
    <row r="19789" spans="17:17" x14ac:dyDescent="0.25">
      <c r="Q19789" s="8"/>
    </row>
    <row r="19790" spans="17:17" x14ac:dyDescent="0.25">
      <c r="Q19790" s="8"/>
    </row>
    <row r="19791" spans="17:17" x14ac:dyDescent="0.25">
      <c r="Q19791" s="8"/>
    </row>
    <row r="19792" spans="17:17" x14ac:dyDescent="0.25">
      <c r="Q19792" s="8"/>
    </row>
    <row r="19793" spans="17:17" x14ac:dyDescent="0.25">
      <c r="Q19793" s="8"/>
    </row>
    <row r="19794" spans="17:17" x14ac:dyDescent="0.25">
      <c r="Q19794" s="8"/>
    </row>
    <row r="19795" spans="17:17" x14ac:dyDescent="0.25">
      <c r="Q19795" s="8"/>
    </row>
    <row r="19796" spans="17:17" x14ac:dyDescent="0.25">
      <c r="Q19796" s="8"/>
    </row>
    <row r="19797" spans="17:17" x14ac:dyDescent="0.25">
      <c r="Q19797" s="8"/>
    </row>
    <row r="19798" spans="17:17" x14ac:dyDescent="0.25">
      <c r="Q19798" s="8"/>
    </row>
    <row r="19799" spans="17:17" x14ac:dyDescent="0.25">
      <c r="Q19799" s="8"/>
    </row>
    <row r="19800" spans="17:17" x14ac:dyDescent="0.25">
      <c r="Q19800" s="8"/>
    </row>
    <row r="19801" spans="17:17" x14ac:dyDescent="0.25">
      <c r="Q19801" s="8"/>
    </row>
    <row r="19802" spans="17:17" x14ac:dyDescent="0.25">
      <c r="Q19802" s="8"/>
    </row>
    <row r="19803" spans="17:17" x14ac:dyDescent="0.25">
      <c r="Q19803" s="8"/>
    </row>
    <row r="19804" spans="17:17" x14ac:dyDescent="0.25">
      <c r="Q19804" s="8"/>
    </row>
    <row r="19805" spans="17:17" x14ac:dyDescent="0.25">
      <c r="Q19805" s="8"/>
    </row>
    <row r="19806" spans="17:17" x14ac:dyDescent="0.25">
      <c r="Q19806" s="8"/>
    </row>
    <row r="19807" spans="17:17" x14ac:dyDescent="0.25">
      <c r="Q19807" s="8"/>
    </row>
    <row r="19808" spans="17:17" x14ac:dyDescent="0.25">
      <c r="Q19808" s="8"/>
    </row>
    <row r="19809" spans="17:17" x14ac:dyDescent="0.25">
      <c r="Q19809" s="8"/>
    </row>
    <row r="19810" spans="17:17" x14ac:dyDescent="0.25">
      <c r="Q19810" s="8"/>
    </row>
    <row r="19811" spans="17:17" x14ac:dyDescent="0.25">
      <c r="Q19811" s="8"/>
    </row>
    <row r="19812" spans="17:17" x14ac:dyDescent="0.25">
      <c r="Q19812" s="8"/>
    </row>
    <row r="19813" spans="17:17" x14ac:dyDescent="0.25">
      <c r="Q19813" s="8"/>
    </row>
    <row r="19814" spans="17:17" x14ac:dyDescent="0.25">
      <c r="Q19814" s="8"/>
    </row>
    <row r="19815" spans="17:17" x14ac:dyDescent="0.25">
      <c r="Q19815" s="8"/>
    </row>
    <row r="19816" spans="17:17" x14ac:dyDescent="0.25">
      <c r="Q19816" s="8"/>
    </row>
    <row r="19817" spans="17:17" x14ac:dyDescent="0.25">
      <c r="Q19817" s="8"/>
    </row>
    <row r="19818" spans="17:17" x14ac:dyDescent="0.25">
      <c r="Q19818" s="8"/>
    </row>
    <row r="19819" spans="17:17" x14ac:dyDescent="0.25">
      <c r="Q19819" s="8"/>
    </row>
    <row r="19820" spans="17:17" x14ac:dyDescent="0.25">
      <c r="Q19820" s="8"/>
    </row>
    <row r="19821" spans="17:17" x14ac:dyDescent="0.25">
      <c r="Q19821" s="8"/>
    </row>
    <row r="19822" spans="17:17" x14ac:dyDescent="0.25">
      <c r="Q19822" s="8"/>
    </row>
    <row r="19823" spans="17:17" x14ac:dyDescent="0.25">
      <c r="Q19823" s="8"/>
    </row>
    <row r="19824" spans="17:17" x14ac:dyDescent="0.25">
      <c r="Q19824" s="8"/>
    </row>
    <row r="19825" spans="17:17" x14ac:dyDescent="0.25">
      <c r="Q19825" s="8"/>
    </row>
    <row r="19826" spans="17:17" x14ac:dyDescent="0.25">
      <c r="Q19826" s="8"/>
    </row>
    <row r="19827" spans="17:17" x14ac:dyDescent="0.25">
      <c r="Q19827" s="8"/>
    </row>
    <row r="19828" spans="17:17" x14ac:dyDescent="0.25">
      <c r="Q19828" s="8"/>
    </row>
    <row r="19829" spans="17:17" x14ac:dyDescent="0.25">
      <c r="Q19829" s="8"/>
    </row>
    <row r="19830" spans="17:17" x14ac:dyDescent="0.25">
      <c r="Q19830" s="8"/>
    </row>
    <row r="19831" spans="17:17" x14ac:dyDescent="0.25">
      <c r="Q19831" s="8"/>
    </row>
    <row r="19832" spans="17:17" x14ac:dyDescent="0.25">
      <c r="Q19832" s="8"/>
    </row>
    <row r="19833" spans="17:17" x14ac:dyDescent="0.25">
      <c r="Q19833" s="8"/>
    </row>
    <row r="19834" spans="17:17" x14ac:dyDescent="0.25">
      <c r="Q19834" s="8"/>
    </row>
    <row r="19835" spans="17:17" x14ac:dyDescent="0.25">
      <c r="Q19835" s="8"/>
    </row>
    <row r="19836" spans="17:17" x14ac:dyDescent="0.25">
      <c r="Q19836" s="8"/>
    </row>
    <row r="19837" spans="17:17" x14ac:dyDescent="0.25">
      <c r="Q19837" s="8"/>
    </row>
    <row r="19838" spans="17:17" x14ac:dyDescent="0.25">
      <c r="Q19838" s="8"/>
    </row>
    <row r="19839" spans="17:17" x14ac:dyDescent="0.25">
      <c r="Q19839" s="8"/>
    </row>
    <row r="19840" spans="17:17" x14ac:dyDescent="0.25">
      <c r="Q19840" s="8"/>
    </row>
    <row r="19841" spans="17:17" x14ac:dyDescent="0.25">
      <c r="Q19841" s="8"/>
    </row>
    <row r="19842" spans="17:17" x14ac:dyDescent="0.25">
      <c r="Q19842" s="8"/>
    </row>
    <row r="19843" spans="17:17" x14ac:dyDescent="0.25">
      <c r="Q19843" s="8"/>
    </row>
    <row r="19844" spans="17:17" x14ac:dyDescent="0.25">
      <c r="Q19844" s="8"/>
    </row>
    <row r="19845" spans="17:17" x14ac:dyDescent="0.25">
      <c r="Q19845" s="8"/>
    </row>
    <row r="19846" spans="17:17" x14ac:dyDescent="0.25">
      <c r="Q19846" s="8"/>
    </row>
    <row r="19847" spans="17:17" x14ac:dyDescent="0.25">
      <c r="Q19847" s="8"/>
    </row>
    <row r="19848" spans="17:17" x14ac:dyDescent="0.25">
      <c r="Q19848" s="8"/>
    </row>
    <row r="19849" spans="17:17" x14ac:dyDescent="0.25">
      <c r="Q19849" s="8"/>
    </row>
    <row r="19850" spans="17:17" x14ac:dyDescent="0.25">
      <c r="Q19850" s="8"/>
    </row>
    <row r="19851" spans="17:17" x14ac:dyDescent="0.25">
      <c r="Q19851" s="8"/>
    </row>
    <row r="19852" spans="17:17" x14ac:dyDescent="0.25">
      <c r="Q19852" s="8"/>
    </row>
    <row r="19853" spans="17:17" x14ac:dyDescent="0.25">
      <c r="Q19853" s="8"/>
    </row>
    <row r="19854" spans="17:17" x14ac:dyDescent="0.25">
      <c r="Q19854" s="8"/>
    </row>
    <row r="19855" spans="17:17" x14ac:dyDescent="0.25">
      <c r="Q19855" s="8"/>
    </row>
    <row r="19856" spans="17:17" x14ac:dyDescent="0.25">
      <c r="Q19856" s="8"/>
    </row>
    <row r="19857" spans="17:17" x14ac:dyDescent="0.25">
      <c r="Q19857" s="8"/>
    </row>
    <row r="19858" spans="17:17" x14ac:dyDescent="0.25">
      <c r="Q19858" s="8"/>
    </row>
    <row r="19859" spans="17:17" x14ac:dyDescent="0.25">
      <c r="Q19859" s="8"/>
    </row>
    <row r="19860" spans="17:17" x14ac:dyDescent="0.25">
      <c r="Q19860" s="8"/>
    </row>
    <row r="19861" spans="17:17" x14ac:dyDescent="0.25">
      <c r="Q19861" s="8"/>
    </row>
    <row r="19862" spans="17:17" x14ac:dyDescent="0.25">
      <c r="Q19862" s="8"/>
    </row>
    <row r="19863" spans="17:17" x14ac:dyDescent="0.25">
      <c r="Q19863" s="8"/>
    </row>
    <row r="19864" spans="17:17" x14ac:dyDescent="0.25">
      <c r="Q19864" s="8"/>
    </row>
    <row r="19865" spans="17:17" x14ac:dyDescent="0.25">
      <c r="Q19865" s="8"/>
    </row>
    <row r="19866" spans="17:17" x14ac:dyDescent="0.25">
      <c r="Q19866" s="8"/>
    </row>
    <row r="19867" spans="17:17" x14ac:dyDescent="0.25">
      <c r="Q19867" s="8"/>
    </row>
    <row r="19868" spans="17:17" x14ac:dyDescent="0.25">
      <c r="Q19868" s="8"/>
    </row>
    <row r="19869" spans="17:17" x14ac:dyDescent="0.25">
      <c r="Q19869" s="8"/>
    </row>
    <row r="19870" spans="17:17" x14ac:dyDescent="0.25">
      <c r="Q19870" s="8"/>
    </row>
    <row r="19871" spans="17:17" x14ac:dyDescent="0.25">
      <c r="Q19871" s="8"/>
    </row>
    <row r="19872" spans="17:17" x14ac:dyDescent="0.25">
      <c r="Q19872" s="8"/>
    </row>
    <row r="19873" spans="17:17" x14ac:dyDescent="0.25">
      <c r="Q19873" s="8"/>
    </row>
    <row r="19874" spans="17:17" x14ac:dyDescent="0.25">
      <c r="Q19874" s="8"/>
    </row>
    <row r="19875" spans="17:17" x14ac:dyDescent="0.25">
      <c r="Q19875" s="8"/>
    </row>
    <row r="19876" spans="17:17" x14ac:dyDescent="0.25">
      <c r="Q19876" s="8"/>
    </row>
    <row r="19877" spans="17:17" x14ac:dyDescent="0.25">
      <c r="Q19877" s="8"/>
    </row>
    <row r="19878" spans="17:17" x14ac:dyDescent="0.25">
      <c r="Q19878" s="8"/>
    </row>
    <row r="19879" spans="17:17" x14ac:dyDescent="0.25">
      <c r="Q19879" s="8"/>
    </row>
    <row r="19880" spans="17:17" x14ac:dyDescent="0.25">
      <c r="Q19880" s="8"/>
    </row>
    <row r="19881" spans="17:17" x14ac:dyDescent="0.25">
      <c r="Q19881" s="8"/>
    </row>
    <row r="19882" spans="17:17" x14ac:dyDescent="0.25">
      <c r="Q19882" s="8"/>
    </row>
    <row r="19883" spans="17:17" x14ac:dyDescent="0.25">
      <c r="Q19883" s="8"/>
    </row>
    <row r="19884" spans="17:17" x14ac:dyDescent="0.25">
      <c r="Q19884" s="8"/>
    </row>
    <row r="19885" spans="17:17" x14ac:dyDescent="0.25">
      <c r="Q19885" s="8"/>
    </row>
    <row r="19886" spans="17:17" x14ac:dyDescent="0.25">
      <c r="Q19886" s="8"/>
    </row>
    <row r="19887" spans="17:17" x14ac:dyDescent="0.25">
      <c r="Q19887" s="8"/>
    </row>
    <row r="19888" spans="17:17" x14ac:dyDescent="0.25">
      <c r="Q19888" s="8"/>
    </row>
    <row r="19889" spans="17:17" x14ac:dyDescent="0.25">
      <c r="Q19889" s="8"/>
    </row>
    <row r="19890" spans="17:17" x14ac:dyDescent="0.25">
      <c r="Q19890" s="8"/>
    </row>
    <row r="19891" spans="17:17" x14ac:dyDescent="0.25">
      <c r="Q19891" s="8"/>
    </row>
    <row r="19892" spans="17:17" x14ac:dyDescent="0.25">
      <c r="Q19892" s="8"/>
    </row>
    <row r="19893" spans="17:17" x14ac:dyDescent="0.25">
      <c r="Q19893" s="8"/>
    </row>
    <row r="19894" spans="17:17" x14ac:dyDescent="0.25">
      <c r="Q19894" s="8"/>
    </row>
    <row r="19895" spans="17:17" x14ac:dyDescent="0.25">
      <c r="Q19895" s="8"/>
    </row>
    <row r="19896" spans="17:17" x14ac:dyDescent="0.25">
      <c r="Q19896" s="8"/>
    </row>
    <row r="19897" spans="17:17" x14ac:dyDescent="0.25">
      <c r="Q19897" s="8"/>
    </row>
    <row r="19898" spans="17:17" x14ac:dyDescent="0.25">
      <c r="Q19898" s="8"/>
    </row>
    <row r="19899" spans="17:17" x14ac:dyDescent="0.25">
      <c r="Q19899" s="8"/>
    </row>
    <row r="19900" spans="17:17" x14ac:dyDescent="0.25">
      <c r="Q19900" s="8"/>
    </row>
    <row r="19901" spans="17:17" x14ac:dyDescent="0.25">
      <c r="Q19901" s="8"/>
    </row>
    <row r="19902" spans="17:17" x14ac:dyDescent="0.25">
      <c r="Q19902" s="8"/>
    </row>
    <row r="19903" spans="17:17" x14ac:dyDescent="0.25">
      <c r="Q19903" s="8"/>
    </row>
    <row r="19904" spans="17:17" x14ac:dyDescent="0.25">
      <c r="Q19904" s="8"/>
    </row>
    <row r="19905" spans="17:17" x14ac:dyDescent="0.25">
      <c r="Q19905" s="8"/>
    </row>
    <row r="19906" spans="17:17" x14ac:dyDescent="0.25">
      <c r="Q19906" s="8"/>
    </row>
    <row r="19907" spans="17:17" x14ac:dyDescent="0.25">
      <c r="Q19907" s="8"/>
    </row>
    <row r="19908" spans="17:17" x14ac:dyDescent="0.25">
      <c r="Q19908" s="8"/>
    </row>
    <row r="19909" spans="17:17" x14ac:dyDescent="0.25">
      <c r="Q19909" s="8"/>
    </row>
    <row r="19910" spans="17:17" x14ac:dyDescent="0.25">
      <c r="Q19910" s="8"/>
    </row>
    <row r="19911" spans="17:17" x14ac:dyDescent="0.25">
      <c r="Q19911" s="8"/>
    </row>
    <row r="19912" spans="17:17" x14ac:dyDescent="0.25">
      <c r="Q19912" s="8"/>
    </row>
    <row r="19913" spans="17:17" x14ac:dyDescent="0.25">
      <c r="Q19913" s="8"/>
    </row>
    <row r="19914" spans="17:17" x14ac:dyDescent="0.25">
      <c r="Q19914" s="8"/>
    </row>
    <row r="19915" spans="17:17" x14ac:dyDescent="0.25">
      <c r="Q19915" s="8"/>
    </row>
    <row r="19916" spans="17:17" x14ac:dyDescent="0.25">
      <c r="Q19916" s="8"/>
    </row>
    <row r="19917" spans="17:17" x14ac:dyDescent="0.25">
      <c r="Q19917" s="8"/>
    </row>
    <row r="19918" spans="17:17" x14ac:dyDescent="0.25">
      <c r="Q19918" s="8"/>
    </row>
    <row r="19919" spans="17:17" x14ac:dyDescent="0.25">
      <c r="Q19919" s="8"/>
    </row>
    <row r="19920" spans="17:17" x14ac:dyDescent="0.25">
      <c r="Q19920" s="8"/>
    </row>
    <row r="19921" spans="17:17" x14ac:dyDescent="0.25">
      <c r="Q19921" s="8"/>
    </row>
    <row r="19922" spans="17:17" x14ac:dyDescent="0.25">
      <c r="Q19922" s="8"/>
    </row>
    <row r="19923" spans="17:17" x14ac:dyDescent="0.25">
      <c r="Q19923" s="8"/>
    </row>
    <row r="19924" spans="17:17" x14ac:dyDescent="0.25">
      <c r="Q19924" s="8"/>
    </row>
    <row r="19925" spans="17:17" x14ac:dyDescent="0.25">
      <c r="Q19925" s="8"/>
    </row>
    <row r="19926" spans="17:17" x14ac:dyDescent="0.25">
      <c r="Q19926" s="8"/>
    </row>
    <row r="19927" spans="17:17" x14ac:dyDescent="0.25">
      <c r="Q19927" s="8"/>
    </row>
    <row r="19928" spans="17:17" x14ac:dyDescent="0.25">
      <c r="Q19928" s="8"/>
    </row>
    <row r="19929" spans="17:17" x14ac:dyDescent="0.25">
      <c r="Q19929" s="8"/>
    </row>
    <row r="19930" spans="17:17" x14ac:dyDescent="0.25">
      <c r="Q19930" s="8"/>
    </row>
    <row r="19931" spans="17:17" x14ac:dyDescent="0.25">
      <c r="Q19931" s="8"/>
    </row>
    <row r="19932" spans="17:17" x14ac:dyDescent="0.25">
      <c r="Q19932" s="8"/>
    </row>
    <row r="19933" spans="17:17" x14ac:dyDescent="0.25">
      <c r="Q19933" s="8"/>
    </row>
    <row r="19934" spans="17:17" x14ac:dyDescent="0.25">
      <c r="Q19934" s="8"/>
    </row>
    <row r="19935" spans="17:17" x14ac:dyDescent="0.25">
      <c r="Q19935" s="8"/>
    </row>
    <row r="19936" spans="17:17" x14ac:dyDescent="0.25">
      <c r="Q19936" s="8"/>
    </row>
    <row r="19937" spans="17:17" x14ac:dyDescent="0.25">
      <c r="Q19937" s="8"/>
    </row>
    <row r="19938" spans="17:17" x14ac:dyDescent="0.25">
      <c r="Q19938" s="8"/>
    </row>
    <row r="19939" spans="17:17" x14ac:dyDescent="0.25">
      <c r="Q19939" s="8"/>
    </row>
    <row r="19940" spans="17:17" x14ac:dyDescent="0.25">
      <c r="Q19940" s="8"/>
    </row>
    <row r="19941" spans="17:17" x14ac:dyDescent="0.25">
      <c r="Q19941" s="8"/>
    </row>
    <row r="19942" spans="17:17" x14ac:dyDescent="0.25">
      <c r="Q19942" s="8"/>
    </row>
    <row r="19943" spans="17:17" x14ac:dyDescent="0.25">
      <c r="Q19943" s="8"/>
    </row>
    <row r="19944" spans="17:17" x14ac:dyDescent="0.25">
      <c r="Q19944" s="8"/>
    </row>
    <row r="19945" spans="17:17" x14ac:dyDescent="0.25">
      <c r="Q19945" s="8"/>
    </row>
    <row r="19946" spans="17:17" x14ac:dyDescent="0.25">
      <c r="Q19946" s="8"/>
    </row>
    <row r="19947" spans="17:17" x14ac:dyDescent="0.25">
      <c r="Q19947" s="8"/>
    </row>
    <row r="19948" spans="17:17" x14ac:dyDescent="0.25">
      <c r="Q19948" s="8"/>
    </row>
    <row r="19949" spans="17:17" x14ac:dyDescent="0.25">
      <c r="Q19949" s="8"/>
    </row>
    <row r="19950" spans="17:17" x14ac:dyDescent="0.25">
      <c r="Q19950" s="8"/>
    </row>
    <row r="19951" spans="17:17" x14ac:dyDescent="0.25">
      <c r="Q19951" s="8"/>
    </row>
    <row r="19952" spans="17:17" x14ac:dyDescent="0.25">
      <c r="Q19952" s="8"/>
    </row>
    <row r="19953" spans="17:17" x14ac:dyDescent="0.25">
      <c r="Q19953" s="8"/>
    </row>
    <row r="19954" spans="17:17" x14ac:dyDescent="0.25">
      <c r="Q19954" s="8"/>
    </row>
    <row r="19955" spans="17:17" x14ac:dyDescent="0.25">
      <c r="Q19955" s="8"/>
    </row>
    <row r="19956" spans="17:17" x14ac:dyDescent="0.25">
      <c r="Q19956" s="8"/>
    </row>
    <row r="19957" spans="17:17" x14ac:dyDescent="0.25">
      <c r="Q19957" s="8"/>
    </row>
    <row r="19958" spans="17:17" x14ac:dyDescent="0.25">
      <c r="Q19958" s="8"/>
    </row>
    <row r="19959" spans="17:17" x14ac:dyDescent="0.25">
      <c r="Q19959" s="8"/>
    </row>
    <row r="19960" spans="17:17" x14ac:dyDescent="0.25">
      <c r="Q19960" s="8"/>
    </row>
    <row r="19961" spans="17:17" x14ac:dyDescent="0.25">
      <c r="Q19961" s="8"/>
    </row>
    <row r="19962" spans="17:17" x14ac:dyDescent="0.25">
      <c r="Q19962" s="8"/>
    </row>
    <row r="19963" spans="17:17" x14ac:dyDescent="0.25">
      <c r="Q19963" s="8"/>
    </row>
    <row r="19964" spans="17:17" x14ac:dyDescent="0.25">
      <c r="Q19964" s="8"/>
    </row>
    <row r="19965" spans="17:17" x14ac:dyDescent="0.25">
      <c r="Q19965" s="8"/>
    </row>
    <row r="19966" spans="17:17" x14ac:dyDescent="0.25">
      <c r="Q19966" s="8"/>
    </row>
    <row r="19967" spans="17:17" x14ac:dyDescent="0.25">
      <c r="Q19967" s="8"/>
    </row>
    <row r="19968" spans="17:17" x14ac:dyDescent="0.25">
      <c r="Q19968" s="8"/>
    </row>
    <row r="19969" spans="17:17" x14ac:dyDescent="0.25">
      <c r="Q19969" s="8"/>
    </row>
    <row r="19970" spans="17:17" x14ac:dyDescent="0.25">
      <c r="Q19970" s="8"/>
    </row>
    <row r="19971" spans="17:17" x14ac:dyDescent="0.25">
      <c r="Q19971" s="8"/>
    </row>
    <row r="19972" spans="17:17" x14ac:dyDescent="0.25">
      <c r="Q19972" s="8"/>
    </row>
    <row r="19973" spans="17:17" x14ac:dyDescent="0.25">
      <c r="Q19973" s="8"/>
    </row>
    <row r="19974" spans="17:17" x14ac:dyDescent="0.25">
      <c r="Q19974" s="8"/>
    </row>
    <row r="19975" spans="17:17" x14ac:dyDescent="0.25">
      <c r="Q19975" s="8"/>
    </row>
    <row r="19976" spans="17:17" x14ac:dyDescent="0.25">
      <c r="Q19976" s="8"/>
    </row>
    <row r="19977" spans="17:17" x14ac:dyDescent="0.25">
      <c r="Q19977" s="8"/>
    </row>
    <row r="19978" spans="17:17" x14ac:dyDescent="0.25">
      <c r="Q19978" s="8"/>
    </row>
    <row r="19979" spans="17:17" x14ac:dyDescent="0.25">
      <c r="Q19979" s="8"/>
    </row>
    <row r="19980" spans="17:17" x14ac:dyDescent="0.25">
      <c r="Q19980" s="8"/>
    </row>
    <row r="19981" spans="17:17" x14ac:dyDescent="0.25">
      <c r="Q19981" s="8"/>
    </row>
    <row r="19982" spans="17:17" x14ac:dyDescent="0.25">
      <c r="Q19982" s="8"/>
    </row>
    <row r="19983" spans="17:17" x14ac:dyDescent="0.25">
      <c r="Q19983" s="8"/>
    </row>
    <row r="19984" spans="17:17" x14ac:dyDescent="0.25">
      <c r="Q19984" s="8"/>
    </row>
    <row r="19985" spans="17:17" x14ac:dyDescent="0.25">
      <c r="Q19985" s="8"/>
    </row>
    <row r="19986" spans="17:17" x14ac:dyDescent="0.25">
      <c r="Q19986" s="8"/>
    </row>
    <row r="19987" spans="17:17" x14ac:dyDescent="0.25">
      <c r="Q19987" s="8"/>
    </row>
    <row r="19988" spans="17:17" x14ac:dyDescent="0.25">
      <c r="Q19988" s="8"/>
    </row>
    <row r="19989" spans="17:17" x14ac:dyDescent="0.25">
      <c r="Q19989" s="8"/>
    </row>
    <row r="19990" spans="17:17" x14ac:dyDescent="0.25">
      <c r="Q19990" s="8"/>
    </row>
    <row r="19991" spans="17:17" x14ac:dyDescent="0.25">
      <c r="Q19991" s="8"/>
    </row>
    <row r="19992" spans="17:17" x14ac:dyDescent="0.25">
      <c r="Q19992" s="8"/>
    </row>
    <row r="19993" spans="17:17" x14ac:dyDescent="0.25">
      <c r="Q19993" s="8"/>
    </row>
    <row r="19994" spans="17:17" x14ac:dyDescent="0.25">
      <c r="Q19994" s="8"/>
    </row>
    <row r="19995" spans="17:17" x14ac:dyDescent="0.25">
      <c r="Q19995" s="8"/>
    </row>
    <row r="19996" spans="17:17" x14ac:dyDescent="0.25">
      <c r="Q19996" s="8"/>
    </row>
    <row r="19997" spans="17:17" x14ac:dyDescent="0.25">
      <c r="Q19997" s="8"/>
    </row>
    <row r="19998" spans="17:17" x14ac:dyDescent="0.25">
      <c r="Q19998" s="8"/>
    </row>
    <row r="19999" spans="17:17" x14ac:dyDescent="0.25">
      <c r="Q19999" s="8"/>
    </row>
    <row r="20000" spans="17:17" x14ac:dyDescent="0.25">
      <c r="Q20000" s="8"/>
    </row>
    <row r="20001" spans="17:17" x14ac:dyDescent="0.25">
      <c r="Q20001" s="8"/>
    </row>
    <row r="20002" spans="17:17" x14ac:dyDescent="0.25">
      <c r="Q20002" s="8"/>
    </row>
    <row r="20003" spans="17:17" x14ac:dyDescent="0.25">
      <c r="Q20003" s="8"/>
    </row>
    <row r="20004" spans="17:17" x14ac:dyDescent="0.25">
      <c r="Q20004" s="8"/>
    </row>
    <row r="20005" spans="17:17" x14ac:dyDescent="0.25">
      <c r="Q20005" s="8"/>
    </row>
    <row r="20006" spans="17:17" x14ac:dyDescent="0.25">
      <c r="Q20006" s="8"/>
    </row>
    <row r="20007" spans="17:17" x14ac:dyDescent="0.25">
      <c r="Q20007" s="8"/>
    </row>
    <row r="20008" spans="17:17" x14ac:dyDescent="0.25">
      <c r="Q20008" s="8"/>
    </row>
    <row r="20009" spans="17:17" x14ac:dyDescent="0.25">
      <c r="Q20009" s="8"/>
    </row>
    <row r="20010" spans="17:17" x14ac:dyDescent="0.25">
      <c r="Q20010" s="8"/>
    </row>
    <row r="20011" spans="17:17" x14ac:dyDescent="0.25">
      <c r="Q20011" s="8"/>
    </row>
    <row r="20012" spans="17:17" x14ac:dyDescent="0.25">
      <c r="Q20012" s="8"/>
    </row>
    <row r="20013" spans="17:17" x14ac:dyDescent="0.25">
      <c r="Q20013" s="8"/>
    </row>
    <row r="20014" spans="17:17" x14ac:dyDescent="0.25">
      <c r="Q20014" s="8"/>
    </row>
    <row r="20015" spans="17:17" x14ac:dyDescent="0.25">
      <c r="Q20015" s="8"/>
    </row>
    <row r="20016" spans="17:17" x14ac:dyDescent="0.25">
      <c r="Q20016" s="8"/>
    </row>
    <row r="20017" spans="17:17" x14ac:dyDescent="0.25">
      <c r="Q20017" s="8"/>
    </row>
    <row r="20018" spans="17:17" x14ac:dyDescent="0.25">
      <c r="Q20018" s="8"/>
    </row>
    <row r="20019" spans="17:17" x14ac:dyDescent="0.25">
      <c r="Q20019" s="8"/>
    </row>
    <row r="20020" spans="17:17" x14ac:dyDescent="0.25">
      <c r="Q20020" s="8"/>
    </row>
    <row r="20021" spans="17:17" x14ac:dyDescent="0.25">
      <c r="Q20021" s="8"/>
    </row>
    <row r="20022" spans="17:17" x14ac:dyDescent="0.25">
      <c r="Q20022" s="8"/>
    </row>
    <row r="20023" spans="17:17" x14ac:dyDescent="0.25">
      <c r="Q20023" s="8"/>
    </row>
    <row r="20024" spans="17:17" x14ac:dyDescent="0.25">
      <c r="Q20024" s="8"/>
    </row>
    <row r="20025" spans="17:17" x14ac:dyDescent="0.25">
      <c r="Q20025" s="8"/>
    </row>
    <row r="20026" spans="17:17" x14ac:dyDescent="0.25">
      <c r="Q20026" s="8"/>
    </row>
    <row r="20027" spans="17:17" x14ac:dyDescent="0.25">
      <c r="Q20027" s="8"/>
    </row>
    <row r="20028" spans="17:17" x14ac:dyDescent="0.25">
      <c r="Q20028" s="8"/>
    </row>
    <row r="20029" spans="17:17" x14ac:dyDescent="0.25">
      <c r="Q20029" s="8"/>
    </row>
    <row r="20030" spans="17:17" x14ac:dyDescent="0.25">
      <c r="Q20030" s="8"/>
    </row>
    <row r="20031" spans="17:17" x14ac:dyDescent="0.25">
      <c r="Q20031" s="8"/>
    </row>
    <row r="20032" spans="17:17" x14ac:dyDescent="0.25">
      <c r="Q20032" s="8"/>
    </row>
    <row r="20033" spans="17:17" x14ac:dyDescent="0.25">
      <c r="Q20033" s="8"/>
    </row>
    <row r="20034" spans="17:17" x14ac:dyDescent="0.25">
      <c r="Q20034" s="8"/>
    </row>
    <row r="20035" spans="17:17" x14ac:dyDescent="0.25">
      <c r="Q20035" s="8"/>
    </row>
    <row r="20036" spans="17:17" x14ac:dyDescent="0.25">
      <c r="Q20036" s="8"/>
    </row>
    <row r="20037" spans="17:17" x14ac:dyDescent="0.25">
      <c r="Q20037" s="8"/>
    </row>
    <row r="20038" spans="17:17" x14ac:dyDescent="0.25">
      <c r="Q20038" s="8"/>
    </row>
    <row r="20039" spans="17:17" x14ac:dyDescent="0.25">
      <c r="Q20039" s="8"/>
    </row>
    <row r="20040" spans="17:17" x14ac:dyDescent="0.25">
      <c r="Q20040" s="8"/>
    </row>
    <row r="20041" spans="17:17" x14ac:dyDescent="0.25">
      <c r="Q20041" s="8"/>
    </row>
    <row r="20042" spans="17:17" x14ac:dyDescent="0.25">
      <c r="Q20042" s="8"/>
    </row>
    <row r="20043" spans="17:17" x14ac:dyDescent="0.25">
      <c r="Q20043" s="8"/>
    </row>
    <row r="20044" spans="17:17" x14ac:dyDescent="0.25">
      <c r="Q20044" s="8"/>
    </row>
    <row r="20045" spans="17:17" x14ac:dyDescent="0.25">
      <c r="Q20045" s="8"/>
    </row>
    <row r="20046" spans="17:17" x14ac:dyDescent="0.25">
      <c r="Q20046" s="8"/>
    </row>
    <row r="20047" spans="17:17" x14ac:dyDescent="0.25">
      <c r="Q20047" s="8"/>
    </row>
    <row r="20048" spans="17:17" x14ac:dyDescent="0.25">
      <c r="Q20048" s="8"/>
    </row>
    <row r="20049" spans="17:17" x14ac:dyDescent="0.25">
      <c r="Q20049" s="8"/>
    </row>
    <row r="20050" spans="17:17" x14ac:dyDescent="0.25">
      <c r="Q20050" s="8"/>
    </row>
    <row r="20051" spans="17:17" x14ac:dyDescent="0.25">
      <c r="Q20051" s="8"/>
    </row>
    <row r="20052" spans="17:17" x14ac:dyDescent="0.25">
      <c r="Q20052" s="8"/>
    </row>
    <row r="20053" spans="17:17" x14ac:dyDescent="0.25">
      <c r="Q20053" s="8"/>
    </row>
    <row r="20054" spans="17:17" x14ac:dyDescent="0.25">
      <c r="Q20054" s="8"/>
    </row>
    <row r="20055" spans="17:17" x14ac:dyDescent="0.25">
      <c r="Q20055" s="8"/>
    </row>
    <row r="20056" spans="17:17" x14ac:dyDescent="0.25">
      <c r="Q20056" s="8"/>
    </row>
    <row r="20057" spans="17:17" x14ac:dyDescent="0.25">
      <c r="Q20057" s="8"/>
    </row>
    <row r="20058" spans="17:17" x14ac:dyDescent="0.25">
      <c r="Q20058" s="8"/>
    </row>
    <row r="20059" spans="17:17" x14ac:dyDescent="0.25">
      <c r="Q20059" s="8"/>
    </row>
    <row r="20060" spans="17:17" x14ac:dyDescent="0.25">
      <c r="Q20060" s="8"/>
    </row>
    <row r="20061" spans="17:17" x14ac:dyDescent="0.25">
      <c r="Q20061" s="8"/>
    </row>
    <row r="20062" spans="17:17" x14ac:dyDescent="0.25">
      <c r="Q20062" s="8"/>
    </row>
    <row r="20063" spans="17:17" x14ac:dyDescent="0.25">
      <c r="Q20063" s="8"/>
    </row>
    <row r="20064" spans="17:17" x14ac:dyDescent="0.25">
      <c r="Q20064" s="8"/>
    </row>
    <row r="20065" spans="17:17" x14ac:dyDescent="0.25">
      <c r="Q20065" s="8"/>
    </row>
    <row r="20066" spans="17:17" x14ac:dyDescent="0.25">
      <c r="Q20066" s="8"/>
    </row>
    <row r="20067" spans="17:17" x14ac:dyDescent="0.25">
      <c r="Q20067" s="8"/>
    </row>
    <row r="20068" spans="17:17" x14ac:dyDescent="0.25">
      <c r="Q20068" s="8"/>
    </row>
    <row r="20069" spans="17:17" x14ac:dyDescent="0.25">
      <c r="Q20069" s="8"/>
    </row>
    <row r="20070" spans="17:17" x14ac:dyDescent="0.25">
      <c r="Q20070" s="8"/>
    </row>
    <row r="20071" spans="17:17" x14ac:dyDescent="0.25">
      <c r="Q20071" s="8"/>
    </row>
    <row r="20072" spans="17:17" x14ac:dyDescent="0.25">
      <c r="Q20072" s="8"/>
    </row>
    <row r="20073" spans="17:17" x14ac:dyDescent="0.25">
      <c r="Q20073" s="8"/>
    </row>
    <row r="20074" spans="17:17" x14ac:dyDescent="0.25">
      <c r="Q20074" s="8"/>
    </row>
    <row r="20075" spans="17:17" x14ac:dyDescent="0.25">
      <c r="Q20075" s="8"/>
    </row>
    <row r="20076" spans="17:17" x14ac:dyDescent="0.25">
      <c r="Q20076" s="8"/>
    </row>
    <row r="20077" spans="17:17" x14ac:dyDescent="0.25">
      <c r="Q20077" s="8"/>
    </row>
    <row r="20078" spans="17:17" x14ac:dyDescent="0.25">
      <c r="Q20078" s="8"/>
    </row>
    <row r="20079" spans="17:17" x14ac:dyDescent="0.25">
      <c r="Q20079" s="8"/>
    </row>
    <row r="20080" spans="17:17" x14ac:dyDescent="0.25">
      <c r="Q20080" s="8"/>
    </row>
    <row r="20081" spans="17:17" x14ac:dyDescent="0.25">
      <c r="Q20081" s="8"/>
    </row>
    <row r="20082" spans="17:17" x14ac:dyDescent="0.25">
      <c r="Q20082" s="8"/>
    </row>
    <row r="20083" spans="17:17" x14ac:dyDescent="0.25">
      <c r="Q20083" s="8"/>
    </row>
    <row r="20084" spans="17:17" x14ac:dyDescent="0.25">
      <c r="Q20084" s="8"/>
    </row>
    <row r="20085" spans="17:17" x14ac:dyDescent="0.25">
      <c r="Q20085" s="8"/>
    </row>
    <row r="20086" spans="17:17" x14ac:dyDescent="0.25">
      <c r="Q20086" s="8"/>
    </row>
    <row r="20087" spans="17:17" x14ac:dyDescent="0.25">
      <c r="Q20087" s="8"/>
    </row>
    <row r="20088" spans="17:17" x14ac:dyDescent="0.25">
      <c r="Q20088" s="8"/>
    </row>
    <row r="20089" spans="17:17" x14ac:dyDescent="0.25">
      <c r="Q20089" s="8"/>
    </row>
    <row r="20090" spans="17:17" x14ac:dyDescent="0.25">
      <c r="Q20090" s="8"/>
    </row>
    <row r="20091" spans="17:17" x14ac:dyDescent="0.25">
      <c r="Q20091" s="8"/>
    </row>
    <row r="20092" spans="17:17" x14ac:dyDescent="0.25">
      <c r="Q20092" s="8"/>
    </row>
    <row r="20093" spans="17:17" x14ac:dyDescent="0.25">
      <c r="Q20093" s="8"/>
    </row>
    <row r="20094" spans="17:17" x14ac:dyDescent="0.25">
      <c r="Q20094" s="8"/>
    </row>
    <row r="20095" spans="17:17" x14ac:dyDescent="0.25">
      <c r="Q20095" s="8"/>
    </row>
    <row r="20096" spans="17:17" x14ac:dyDescent="0.25">
      <c r="Q20096" s="8"/>
    </row>
    <row r="20097" spans="17:17" x14ac:dyDescent="0.25">
      <c r="Q20097" s="8"/>
    </row>
    <row r="20098" spans="17:17" x14ac:dyDescent="0.25">
      <c r="Q20098" s="8"/>
    </row>
    <row r="20099" spans="17:17" x14ac:dyDescent="0.25">
      <c r="Q20099" s="8"/>
    </row>
    <row r="20100" spans="17:17" x14ac:dyDescent="0.25">
      <c r="Q20100" s="8"/>
    </row>
    <row r="20101" spans="17:17" x14ac:dyDescent="0.25">
      <c r="Q20101" s="8"/>
    </row>
    <row r="20102" spans="17:17" x14ac:dyDescent="0.25">
      <c r="Q20102" s="8"/>
    </row>
    <row r="20103" spans="17:17" x14ac:dyDescent="0.25">
      <c r="Q20103" s="8"/>
    </row>
    <row r="20104" spans="17:17" x14ac:dyDescent="0.25">
      <c r="Q20104" s="8"/>
    </row>
    <row r="20105" spans="17:17" x14ac:dyDescent="0.25">
      <c r="Q20105" s="8"/>
    </row>
    <row r="20106" spans="17:17" x14ac:dyDescent="0.25">
      <c r="Q20106" s="8"/>
    </row>
    <row r="20107" spans="17:17" x14ac:dyDescent="0.25">
      <c r="Q20107" s="8"/>
    </row>
    <row r="20108" spans="17:17" x14ac:dyDescent="0.25">
      <c r="Q20108" s="8"/>
    </row>
    <row r="20109" spans="17:17" x14ac:dyDescent="0.25">
      <c r="Q20109" s="8"/>
    </row>
    <row r="20110" spans="17:17" x14ac:dyDescent="0.25">
      <c r="Q20110" s="8"/>
    </row>
    <row r="20111" spans="17:17" x14ac:dyDescent="0.25">
      <c r="Q20111" s="8"/>
    </row>
    <row r="20112" spans="17:17" x14ac:dyDescent="0.25">
      <c r="Q20112" s="8"/>
    </row>
    <row r="20113" spans="17:17" x14ac:dyDescent="0.25">
      <c r="Q20113" s="8"/>
    </row>
    <row r="20114" spans="17:17" x14ac:dyDescent="0.25">
      <c r="Q20114" s="8"/>
    </row>
    <row r="20115" spans="17:17" x14ac:dyDescent="0.25">
      <c r="Q20115" s="8"/>
    </row>
    <row r="20116" spans="17:17" x14ac:dyDescent="0.25">
      <c r="Q20116" s="8"/>
    </row>
    <row r="20117" spans="17:17" x14ac:dyDescent="0.25">
      <c r="Q20117" s="8"/>
    </row>
    <row r="20118" spans="17:17" x14ac:dyDescent="0.25">
      <c r="Q20118" s="8"/>
    </row>
    <row r="20119" spans="17:17" x14ac:dyDescent="0.25">
      <c r="Q20119" s="8"/>
    </row>
    <row r="20120" spans="17:17" x14ac:dyDescent="0.25">
      <c r="Q20120" s="8"/>
    </row>
    <row r="20121" spans="17:17" x14ac:dyDescent="0.25">
      <c r="Q20121" s="8"/>
    </row>
    <row r="20122" spans="17:17" x14ac:dyDescent="0.25">
      <c r="Q20122" s="8"/>
    </row>
    <row r="20123" spans="17:17" x14ac:dyDescent="0.25">
      <c r="Q20123" s="8"/>
    </row>
    <row r="20124" spans="17:17" x14ac:dyDescent="0.25">
      <c r="Q20124" s="8"/>
    </row>
    <row r="20125" spans="17:17" x14ac:dyDescent="0.25">
      <c r="Q20125" s="8"/>
    </row>
    <row r="20126" spans="17:17" x14ac:dyDescent="0.25">
      <c r="Q20126" s="8"/>
    </row>
    <row r="20127" spans="17:17" x14ac:dyDescent="0.25">
      <c r="Q20127" s="8"/>
    </row>
    <row r="20128" spans="17:17" x14ac:dyDescent="0.25">
      <c r="Q20128" s="8"/>
    </row>
    <row r="20129" spans="17:17" x14ac:dyDescent="0.25">
      <c r="Q20129" s="8"/>
    </row>
    <row r="20130" spans="17:17" x14ac:dyDescent="0.25">
      <c r="Q20130" s="8"/>
    </row>
    <row r="20131" spans="17:17" x14ac:dyDescent="0.25">
      <c r="Q20131" s="8"/>
    </row>
    <row r="20132" spans="17:17" x14ac:dyDescent="0.25">
      <c r="Q20132" s="8"/>
    </row>
    <row r="20133" spans="17:17" x14ac:dyDescent="0.25">
      <c r="Q20133" s="8"/>
    </row>
    <row r="20134" spans="17:17" x14ac:dyDescent="0.25">
      <c r="Q20134" s="8"/>
    </row>
    <row r="20135" spans="17:17" x14ac:dyDescent="0.25">
      <c r="Q20135" s="8"/>
    </row>
    <row r="20136" spans="17:17" x14ac:dyDescent="0.25">
      <c r="Q20136" s="8"/>
    </row>
    <row r="20137" spans="17:17" x14ac:dyDescent="0.25">
      <c r="Q20137" s="8"/>
    </row>
    <row r="20138" spans="17:17" x14ac:dyDescent="0.25">
      <c r="Q20138" s="8"/>
    </row>
    <row r="20139" spans="17:17" x14ac:dyDescent="0.25">
      <c r="Q20139" s="8"/>
    </row>
    <row r="20140" spans="17:17" x14ac:dyDescent="0.25">
      <c r="Q20140" s="8"/>
    </row>
    <row r="20141" spans="17:17" x14ac:dyDescent="0.25">
      <c r="Q20141" s="8"/>
    </row>
    <row r="20142" spans="17:17" x14ac:dyDescent="0.25">
      <c r="Q20142" s="8"/>
    </row>
    <row r="20143" spans="17:17" x14ac:dyDescent="0.25">
      <c r="Q20143" s="8"/>
    </row>
    <row r="20144" spans="17:17" x14ac:dyDescent="0.25">
      <c r="Q20144" s="8"/>
    </row>
    <row r="20145" spans="17:17" x14ac:dyDescent="0.25">
      <c r="Q20145" s="8"/>
    </row>
    <row r="20146" spans="17:17" x14ac:dyDescent="0.25">
      <c r="Q20146" s="8"/>
    </row>
    <row r="20147" spans="17:17" x14ac:dyDescent="0.25">
      <c r="Q20147" s="8"/>
    </row>
    <row r="20148" spans="17:17" x14ac:dyDescent="0.25">
      <c r="Q20148" s="8"/>
    </row>
    <row r="20149" spans="17:17" x14ac:dyDescent="0.25">
      <c r="Q20149" s="8"/>
    </row>
    <row r="20150" spans="17:17" x14ac:dyDescent="0.25">
      <c r="Q20150" s="8"/>
    </row>
    <row r="20151" spans="17:17" x14ac:dyDescent="0.25">
      <c r="Q20151" s="8"/>
    </row>
    <row r="20152" spans="17:17" x14ac:dyDescent="0.25">
      <c r="Q20152" s="8"/>
    </row>
    <row r="20153" spans="17:17" x14ac:dyDescent="0.25">
      <c r="Q20153" s="8"/>
    </row>
    <row r="20154" spans="17:17" x14ac:dyDescent="0.25">
      <c r="Q20154" s="8"/>
    </row>
    <row r="20155" spans="17:17" x14ac:dyDescent="0.25">
      <c r="Q20155" s="8"/>
    </row>
    <row r="20156" spans="17:17" x14ac:dyDescent="0.25">
      <c r="Q20156" s="8"/>
    </row>
    <row r="20157" spans="17:17" x14ac:dyDescent="0.25">
      <c r="Q20157" s="8"/>
    </row>
    <row r="20158" spans="17:17" x14ac:dyDescent="0.25">
      <c r="Q20158" s="8"/>
    </row>
    <row r="20159" spans="17:17" x14ac:dyDescent="0.25">
      <c r="Q20159" s="8"/>
    </row>
    <row r="20160" spans="17:17" x14ac:dyDescent="0.25">
      <c r="Q20160" s="8"/>
    </row>
    <row r="20161" spans="17:17" x14ac:dyDescent="0.25">
      <c r="Q20161" s="8"/>
    </row>
    <row r="20162" spans="17:17" x14ac:dyDescent="0.25">
      <c r="Q20162" s="8"/>
    </row>
    <row r="20163" spans="17:17" x14ac:dyDescent="0.25">
      <c r="Q20163" s="8"/>
    </row>
    <row r="20164" spans="17:17" x14ac:dyDescent="0.25">
      <c r="Q20164" s="8"/>
    </row>
    <row r="20165" spans="17:17" x14ac:dyDescent="0.25">
      <c r="Q20165" s="8"/>
    </row>
    <row r="20166" spans="17:17" x14ac:dyDescent="0.25">
      <c r="Q20166" s="8"/>
    </row>
    <row r="20167" spans="17:17" x14ac:dyDescent="0.25">
      <c r="Q20167" s="8"/>
    </row>
    <row r="20168" spans="17:17" x14ac:dyDescent="0.25">
      <c r="Q20168" s="8"/>
    </row>
    <row r="20169" spans="17:17" x14ac:dyDescent="0.25">
      <c r="Q20169" s="8"/>
    </row>
    <row r="20170" spans="17:17" x14ac:dyDescent="0.25">
      <c r="Q20170" s="8"/>
    </row>
    <row r="20171" spans="17:17" x14ac:dyDescent="0.25">
      <c r="Q20171" s="8"/>
    </row>
    <row r="20172" spans="17:17" x14ac:dyDescent="0.25">
      <c r="Q20172" s="8"/>
    </row>
    <row r="20173" spans="17:17" x14ac:dyDescent="0.25">
      <c r="Q20173" s="8"/>
    </row>
    <row r="20174" spans="17:17" x14ac:dyDescent="0.25">
      <c r="Q20174" s="8"/>
    </row>
    <row r="20175" spans="17:17" x14ac:dyDescent="0.25">
      <c r="Q20175" s="8"/>
    </row>
    <row r="20176" spans="17:17" x14ac:dyDescent="0.25">
      <c r="Q20176" s="8"/>
    </row>
    <row r="20177" spans="17:17" x14ac:dyDescent="0.25">
      <c r="Q20177" s="8"/>
    </row>
    <row r="20178" spans="17:17" x14ac:dyDescent="0.25">
      <c r="Q20178" s="8"/>
    </row>
    <row r="20179" spans="17:17" x14ac:dyDescent="0.25">
      <c r="Q20179" s="8"/>
    </row>
    <row r="20180" spans="17:17" x14ac:dyDescent="0.25">
      <c r="Q20180" s="8"/>
    </row>
    <row r="20181" spans="17:17" x14ac:dyDescent="0.25">
      <c r="Q20181" s="8"/>
    </row>
    <row r="20182" spans="17:17" x14ac:dyDescent="0.25">
      <c r="Q20182" s="8"/>
    </row>
    <row r="20183" spans="17:17" x14ac:dyDescent="0.25">
      <c r="Q20183" s="8"/>
    </row>
    <row r="20184" spans="17:17" x14ac:dyDescent="0.25">
      <c r="Q20184" s="8"/>
    </row>
    <row r="20185" spans="17:17" x14ac:dyDescent="0.25">
      <c r="Q20185" s="8"/>
    </row>
    <row r="20186" spans="17:17" x14ac:dyDescent="0.25">
      <c r="Q20186" s="8"/>
    </row>
    <row r="20187" spans="17:17" x14ac:dyDescent="0.25">
      <c r="Q20187" s="8"/>
    </row>
    <row r="20188" spans="17:17" x14ac:dyDescent="0.25">
      <c r="Q20188" s="8"/>
    </row>
    <row r="20189" spans="17:17" x14ac:dyDescent="0.25">
      <c r="Q20189" s="8"/>
    </row>
    <row r="20190" spans="17:17" x14ac:dyDescent="0.25">
      <c r="Q20190" s="8"/>
    </row>
    <row r="20191" spans="17:17" x14ac:dyDescent="0.25">
      <c r="Q20191" s="8"/>
    </row>
    <row r="20192" spans="17:17" x14ac:dyDescent="0.25">
      <c r="Q20192" s="8"/>
    </row>
    <row r="20193" spans="17:17" x14ac:dyDescent="0.25">
      <c r="Q20193" s="8"/>
    </row>
    <row r="20194" spans="17:17" x14ac:dyDescent="0.25">
      <c r="Q20194" s="8"/>
    </row>
    <row r="20195" spans="17:17" x14ac:dyDescent="0.25">
      <c r="Q20195" s="8"/>
    </row>
    <row r="20196" spans="17:17" x14ac:dyDescent="0.25">
      <c r="Q20196" s="8"/>
    </row>
    <row r="20197" spans="17:17" x14ac:dyDescent="0.25">
      <c r="Q20197" s="8"/>
    </row>
    <row r="20198" spans="17:17" x14ac:dyDescent="0.25">
      <c r="Q20198" s="8"/>
    </row>
    <row r="20199" spans="17:17" x14ac:dyDescent="0.25">
      <c r="Q20199" s="8"/>
    </row>
    <row r="20200" spans="17:17" x14ac:dyDescent="0.25">
      <c r="Q20200" s="8"/>
    </row>
    <row r="20201" spans="17:17" x14ac:dyDescent="0.25">
      <c r="Q20201" s="8"/>
    </row>
    <row r="20202" spans="17:17" x14ac:dyDescent="0.25">
      <c r="Q20202" s="8"/>
    </row>
    <row r="20203" spans="17:17" x14ac:dyDescent="0.25">
      <c r="Q20203" s="8"/>
    </row>
    <row r="20204" spans="17:17" x14ac:dyDescent="0.25">
      <c r="Q20204" s="8"/>
    </row>
    <row r="20205" spans="17:17" x14ac:dyDescent="0.25">
      <c r="Q20205" s="8"/>
    </row>
    <row r="20206" spans="17:17" x14ac:dyDescent="0.25">
      <c r="Q20206" s="8"/>
    </row>
    <row r="20207" spans="17:17" x14ac:dyDescent="0.25">
      <c r="Q20207" s="8"/>
    </row>
    <row r="20208" spans="17:17" x14ac:dyDescent="0.25">
      <c r="Q20208" s="8"/>
    </row>
    <row r="20209" spans="17:17" x14ac:dyDescent="0.25">
      <c r="Q20209" s="8"/>
    </row>
    <row r="20210" spans="17:17" x14ac:dyDescent="0.25">
      <c r="Q20210" s="8"/>
    </row>
    <row r="20211" spans="17:17" x14ac:dyDescent="0.25">
      <c r="Q20211" s="8"/>
    </row>
    <row r="20212" spans="17:17" x14ac:dyDescent="0.25">
      <c r="Q20212" s="8"/>
    </row>
    <row r="20213" spans="17:17" x14ac:dyDescent="0.25">
      <c r="Q20213" s="8"/>
    </row>
    <row r="20214" spans="17:17" x14ac:dyDescent="0.25">
      <c r="Q20214" s="8"/>
    </row>
    <row r="20215" spans="17:17" x14ac:dyDescent="0.25">
      <c r="Q20215" s="8"/>
    </row>
    <row r="20216" spans="17:17" x14ac:dyDescent="0.25">
      <c r="Q20216" s="8"/>
    </row>
    <row r="20217" spans="17:17" x14ac:dyDescent="0.25">
      <c r="Q20217" s="8"/>
    </row>
    <row r="20218" spans="17:17" x14ac:dyDescent="0.25">
      <c r="Q20218" s="8"/>
    </row>
    <row r="20219" spans="17:17" x14ac:dyDescent="0.25">
      <c r="Q20219" s="8"/>
    </row>
    <row r="20220" spans="17:17" x14ac:dyDescent="0.25">
      <c r="Q20220" s="8"/>
    </row>
    <row r="20221" spans="17:17" x14ac:dyDescent="0.25">
      <c r="Q20221" s="8"/>
    </row>
    <row r="20222" spans="17:17" x14ac:dyDescent="0.25">
      <c r="Q20222" s="8"/>
    </row>
    <row r="20223" spans="17:17" x14ac:dyDescent="0.25">
      <c r="Q20223" s="8"/>
    </row>
    <row r="20224" spans="17:17" x14ac:dyDescent="0.25">
      <c r="Q20224" s="8"/>
    </row>
    <row r="20225" spans="17:17" x14ac:dyDescent="0.25">
      <c r="Q20225" s="8"/>
    </row>
    <row r="20226" spans="17:17" x14ac:dyDescent="0.25">
      <c r="Q20226" s="8"/>
    </row>
    <row r="20227" spans="17:17" x14ac:dyDescent="0.25">
      <c r="Q20227" s="8"/>
    </row>
    <row r="20228" spans="17:17" x14ac:dyDescent="0.25">
      <c r="Q20228" s="8"/>
    </row>
    <row r="20229" spans="17:17" x14ac:dyDescent="0.25">
      <c r="Q20229" s="8"/>
    </row>
    <row r="20230" spans="17:17" x14ac:dyDescent="0.25">
      <c r="Q20230" s="8"/>
    </row>
    <row r="20231" spans="17:17" x14ac:dyDescent="0.25">
      <c r="Q20231" s="8"/>
    </row>
    <row r="20232" spans="17:17" x14ac:dyDescent="0.25">
      <c r="Q20232" s="8"/>
    </row>
    <row r="20233" spans="17:17" x14ac:dyDescent="0.25">
      <c r="Q20233" s="8"/>
    </row>
    <row r="20234" spans="17:17" x14ac:dyDescent="0.25">
      <c r="Q20234" s="8"/>
    </row>
    <row r="20235" spans="17:17" x14ac:dyDescent="0.25">
      <c r="Q20235" s="8"/>
    </row>
    <row r="20236" spans="17:17" x14ac:dyDescent="0.25">
      <c r="Q20236" s="8"/>
    </row>
    <row r="20237" spans="17:17" x14ac:dyDescent="0.25">
      <c r="Q20237" s="8"/>
    </row>
    <row r="20238" spans="17:17" x14ac:dyDescent="0.25">
      <c r="Q20238" s="8"/>
    </row>
    <row r="20239" spans="17:17" x14ac:dyDescent="0.25">
      <c r="Q20239" s="8"/>
    </row>
    <row r="20240" spans="17:17" x14ac:dyDescent="0.25">
      <c r="Q20240" s="8"/>
    </row>
    <row r="20241" spans="17:17" x14ac:dyDescent="0.25">
      <c r="Q20241" s="8"/>
    </row>
    <row r="20242" spans="17:17" x14ac:dyDescent="0.25">
      <c r="Q20242" s="8"/>
    </row>
    <row r="20243" spans="17:17" x14ac:dyDescent="0.25">
      <c r="Q20243" s="8"/>
    </row>
    <row r="20244" spans="17:17" x14ac:dyDescent="0.25">
      <c r="Q20244" s="8"/>
    </row>
    <row r="20245" spans="17:17" x14ac:dyDescent="0.25">
      <c r="Q20245" s="8"/>
    </row>
    <row r="20246" spans="17:17" x14ac:dyDescent="0.25">
      <c r="Q20246" s="8"/>
    </row>
    <row r="20247" spans="17:17" x14ac:dyDescent="0.25">
      <c r="Q20247" s="8"/>
    </row>
    <row r="20248" spans="17:17" x14ac:dyDescent="0.25">
      <c r="Q20248" s="8"/>
    </row>
    <row r="20249" spans="17:17" x14ac:dyDescent="0.25">
      <c r="Q20249" s="8"/>
    </row>
    <row r="20250" spans="17:17" x14ac:dyDescent="0.25">
      <c r="Q20250" s="8"/>
    </row>
    <row r="20251" spans="17:17" x14ac:dyDescent="0.25">
      <c r="Q20251" s="8"/>
    </row>
    <row r="20252" spans="17:17" x14ac:dyDescent="0.25">
      <c r="Q20252" s="8"/>
    </row>
    <row r="20253" spans="17:17" x14ac:dyDescent="0.25">
      <c r="Q20253" s="8"/>
    </row>
    <row r="20254" spans="17:17" x14ac:dyDescent="0.25">
      <c r="Q20254" s="8"/>
    </row>
    <row r="20255" spans="17:17" x14ac:dyDescent="0.25">
      <c r="Q20255" s="8"/>
    </row>
    <row r="20256" spans="17:17" x14ac:dyDescent="0.25">
      <c r="Q20256" s="8"/>
    </row>
    <row r="20257" spans="17:17" x14ac:dyDescent="0.25">
      <c r="Q20257" s="8"/>
    </row>
    <row r="20258" spans="17:17" x14ac:dyDescent="0.25">
      <c r="Q20258" s="8"/>
    </row>
    <row r="20259" spans="17:17" x14ac:dyDescent="0.25">
      <c r="Q20259" s="8"/>
    </row>
    <row r="20260" spans="17:17" x14ac:dyDescent="0.25">
      <c r="Q20260" s="8"/>
    </row>
    <row r="20261" spans="17:17" x14ac:dyDescent="0.25">
      <c r="Q20261" s="8"/>
    </row>
    <row r="20262" spans="17:17" x14ac:dyDescent="0.25">
      <c r="Q20262" s="8"/>
    </row>
    <row r="20263" spans="17:17" x14ac:dyDescent="0.25">
      <c r="Q20263" s="8"/>
    </row>
    <row r="20264" spans="17:17" x14ac:dyDescent="0.25">
      <c r="Q20264" s="8"/>
    </row>
    <row r="20265" spans="17:17" x14ac:dyDescent="0.25">
      <c r="Q20265" s="8"/>
    </row>
    <row r="20266" spans="17:17" x14ac:dyDescent="0.25">
      <c r="Q20266" s="8"/>
    </row>
    <row r="20267" spans="17:17" x14ac:dyDescent="0.25">
      <c r="Q20267" s="8"/>
    </row>
    <row r="20268" spans="17:17" x14ac:dyDescent="0.25">
      <c r="Q20268" s="8"/>
    </row>
    <row r="20269" spans="17:17" x14ac:dyDescent="0.25">
      <c r="Q20269" s="8"/>
    </row>
    <row r="20270" spans="17:17" x14ac:dyDescent="0.25">
      <c r="Q20270" s="8"/>
    </row>
    <row r="20271" spans="17:17" x14ac:dyDescent="0.25">
      <c r="Q20271" s="8"/>
    </row>
    <row r="20272" spans="17:17" x14ac:dyDescent="0.25">
      <c r="Q20272" s="8"/>
    </row>
    <row r="20273" spans="17:17" x14ac:dyDescent="0.25">
      <c r="Q20273" s="8"/>
    </row>
    <row r="20274" spans="17:17" x14ac:dyDescent="0.25">
      <c r="Q20274" s="8"/>
    </row>
    <row r="20275" spans="17:17" x14ac:dyDescent="0.25">
      <c r="Q20275" s="8"/>
    </row>
    <row r="20276" spans="17:17" x14ac:dyDescent="0.25">
      <c r="Q20276" s="8"/>
    </row>
    <row r="20277" spans="17:17" x14ac:dyDescent="0.25">
      <c r="Q20277" s="8"/>
    </row>
    <row r="20278" spans="17:17" x14ac:dyDescent="0.25">
      <c r="Q20278" s="8"/>
    </row>
    <row r="20279" spans="17:17" x14ac:dyDescent="0.25">
      <c r="Q20279" s="8"/>
    </row>
    <row r="20280" spans="17:17" x14ac:dyDescent="0.25">
      <c r="Q20280" s="8"/>
    </row>
    <row r="20281" spans="17:17" x14ac:dyDescent="0.25">
      <c r="Q20281" s="8"/>
    </row>
    <row r="20282" spans="17:17" x14ac:dyDescent="0.25">
      <c r="Q20282" s="8"/>
    </row>
    <row r="20283" spans="17:17" x14ac:dyDescent="0.25">
      <c r="Q20283" s="8"/>
    </row>
    <row r="20284" spans="17:17" x14ac:dyDescent="0.25">
      <c r="Q20284" s="8"/>
    </row>
    <row r="20285" spans="17:17" x14ac:dyDescent="0.25">
      <c r="Q20285" s="8"/>
    </row>
    <row r="20286" spans="17:17" x14ac:dyDescent="0.25">
      <c r="Q20286" s="8"/>
    </row>
    <row r="20287" spans="17:17" x14ac:dyDescent="0.25">
      <c r="Q20287" s="8"/>
    </row>
    <row r="20288" spans="17:17" x14ac:dyDescent="0.25">
      <c r="Q20288" s="8"/>
    </row>
    <row r="20289" spans="17:17" x14ac:dyDescent="0.25">
      <c r="Q20289" s="8"/>
    </row>
    <row r="20290" spans="17:17" x14ac:dyDescent="0.25">
      <c r="Q20290" s="8"/>
    </row>
    <row r="20291" spans="17:17" x14ac:dyDescent="0.25">
      <c r="Q20291" s="8"/>
    </row>
    <row r="20292" spans="17:17" x14ac:dyDescent="0.25">
      <c r="Q20292" s="8"/>
    </row>
    <row r="20293" spans="17:17" x14ac:dyDescent="0.25">
      <c r="Q20293" s="8"/>
    </row>
    <row r="20294" spans="17:17" x14ac:dyDescent="0.25">
      <c r="Q20294" s="8"/>
    </row>
    <row r="20295" spans="17:17" x14ac:dyDescent="0.25">
      <c r="Q20295" s="8"/>
    </row>
    <row r="20296" spans="17:17" x14ac:dyDescent="0.25">
      <c r="Q20296" s="8"/>
    </row>
    <row r="20297" spans="17:17" x14ac:dyDescent="0.25">
      <c r="Q20297" s="8"/>
    </row>
    <row r="20298" spans="17:17" x14ac:dyDescent="0.25">
      <c r="Q20298" s="8"/>
    </row>
    <row r="20299" spans="17:17" x14ac:dyDescent="0.25">
      <c r="Q20299" s="8"/>
    </row>
    <row r="20300" spans="17:17" x14ac:dyDescent="0.25">
      <c r="Q20300" s="8"/>
    </row>
    <row r="20301" spans="17:17" x14ac:dyDescent="0.25">
      <c r="Q20301" s="8"/>
    </row>
    <row r="20302" spans="17:17" x14ac:dyDescent="0.25">
      <c r="Q20302" s="8"/>
    </row>
    <row r="20303" spans="17:17" x14ac:dyDescent="0.25">
      <c r="Q20303" s="8"/>
    </row>
    <row r="20304" spans="17:17" x14ac:dyDescent="0.25">
      <c r="Q20304" s="8"/>
    </row>
    <row r="20305" spans="17:17" x14ac:dyDescent="0.25">
      <c r="Q20305" s="8"/>
    </row>
    <row r="20306" spans="17:17" x14ac:dyDescent="0.25">
      <c r="Q20306" s="8"/>
    </row>
    <row r="20307" spans="17:17" x14ac:dyDescent="0.25">
      <c r="Q20307" s="8"/>
    </row>
    <row r="20308" spans="17:17" x14ac:dyDescent="0.25">
      <c r="Q20308" s="8"/>
    </row>
    <row r="20309" spans="17:17" x14ac:dyDescent="0.25">
      <c r="Q20309" s="8"/>
    </row>
    <row r="20310" spans="17:17" x14ac:dyDescent="0.25">
      <c r="Q20310" s="8"/>
    </row>
    <row r="20311" spans="17:17" x14ac:dyDescent="0.25">
      <c r="Q20311" s="8"/>
    </row>
    <row r="20312" spans="17:17" x14ac:dyDescent="0.25">
      <c r="Q20312" s="8"/>
    </row>
    <row r="20313" spans="17:17" x14ac:dyDescent="0.25">
      <c r="Q20313" s="8"/>
    </row>
    <row r="20314" spans="17:17" x14ac:dyDescent="0.25">
      <c r="Q20314" s="8"/>
    </row>
    <row r="20315" spans="17:17" x14ac:dyDescent="0.25">
      <c r="Q20315" s="8"/>
    </row>
    <row r="20316" spans="17:17" x14ac:dyDescent="0.25">
      <c r="Q20316" s="8"/>
    </row>
    <row r="20317" spans="17:17" x14ac:dyDescent="0.25">
      <c r="Q20317" s="8"/>
    </row>
    <row r="20318" spans="17:17" x14ac:dyDescent="0.25">
      <c r="Q20318" s="8"/>
    </row>
    <row r="20319" spans="17:17" x14ac:dyDescent="0.25">
      <c r="Q20319" s="8"/>
    </row>
    <row r="20320" spans="17:17" x14ac:dyDescent="0.25">
      <c r="Q20320" s="8"/>
    </row>
    <row r="20321" spans="17:17" x14ac:dyDescent="0.25">
      <c r="Q20321" s="8"/>
    </row>
    <row r="20322" spans="17:17" x14ac:dyDescent="0.25">
      <c r="Q20322" s="8"/>
    </row>
    <row r="20323" spans="17:17" x14ac:dyDescent="0.25">
      <c r="Q20323" s="8"/>
    </row>
    <row r="20324" spans="17:17" x14ac:dyDescent="0.25">
      <c r="Q20324" s="8"/>
    </row>
    <row r="20325" spans="17:17" x14ac:dyDescent="0.25">
      <c r="Q20325" s="8"/>
    </row>
    <row r="20326" spans="17:17" x14ac:dyDescent="0.25">
      <c r="Q20326" s="8"/>
    </row>
    <row r="20327" spans="17:17" x14ac:dyDescent="0.25">
      <c r="Q20327" s="8"/>
    </row>
    <row r="20328" spans="17:17" x14ac:dyDescent="0.25">
      <c r="Q20328" s="8"/>
    </row>
    <row r="20329" spans="17:17" x14ac:dyDescent="0.25">
      <c r="Q20329" s="8"/>
    </row>
    <row r="20330" spans="17:17" x14ac:dyDescent="0.25">
      <c r="Q20330" s="8"/>
    </row>
    <row r="20331" spans="17:17" x14ac:dyDescent="0.25">
      <c r="Q20331" s="8"/>
    </row>
    <row r="20332" spans="17:17" x14ac:dyDescent="0.25">
      <c r="Q20332" s="8"/>
    </row>
    <row r="20333" spans="17:17" x14ac:dyDescent="0.25">
      <c r="Q20333" s="8"/>
    </row>
    <row r="20334" spans="17:17" x14ac:dyDescent="0.25">
      <c r="Q20334" s="8"/>
    </row>
    <row r="20335" spans="17:17" x14ac:dyDescent="0.25">
      <c r="Q20335" s="8"/>
    </row>
    <row r="20336" spans="17:17" x14ac:dyDescent="0.25">
      <c r="Q20336" s="8"/>
    </row>
    <row r="20337" spans="17:17" x14ac:dyDescent="0.25">
      <c r="Q20337" s="8"/>
    </row>
    <row r="20338" spans="17:17" x14ac:dyDescent="0.25">
      <c r="Q20338" s="8"/>
    </row>
    <row r="20339" spans="17:17" x14ac:dyDescent="0.25">
      <c r="Q20339" s="8"/>
    </row>
    <row r="20340" spans="17:17" x14ac:dyDescent="0.25">
      <c r="Q20340" s="8"/>
    </row>
    <row r="20341" spans="17:17" x14ac:dyDescent="0.25">
      <c r="Q20341" s="8"/>
    </row>
    <row r="20342" spans="17:17" x14ac:dyDescent="0.25">
      <c r="Q20342" s="8"/>
    </row>
    <row r="20343" spans="17:17" x14ac:dyDescent="0.25">
      <c r="Q20343" s="8"/>
    </row>
    <row r="20344" spans="17:17" x14ac:dyDescent="0.25">
      <c r="Q20344" s="8"/>
    </row>
    <row r="20345" spans="17:17" x14ac:dyDescent="0.25">
      <c r="Q20345" s="8"/>
    </row>
    <row r="20346" spans="17:17" x14ac:dyDescent="0.25">
      <c r="Q20346" s="8"/>
    </row>
    <row r="20347" spans="17:17" x14ac:dyDescent="0.25">
      <c r="Q20347" s="8"/>
    </row>
    <row r="20348" spans="17:17" x14ac:dyDescent="0.25">
      <c r="Q20348" s="8"/>
    </row>
    <row r="20349" spans="17:17" x14ac:dyDescent="0.25">
      <c r="Q20349" s="8"/>
    </row>
    <row r="20350" spans="17:17" x14ac:dyDescent="0.25">
      <c r="Q20350" s="8"/>
    </row>
    <row r="20351" spans="17:17" x14ac:dyDescent="0.25">
      <c r="Q20351" s="8"/>
    </row>
    <row r="20352" spans="17:17" x14ac:dyDescent="0.25">
      <c r="Q20352" s="8"/>
    </row>
    <row r="20353" spans="17:17" x14ac:dyDescent="0.25">
      <c r="Q20353" s="8"/>
    </row>
    <row r="20354" spans="17:17" x14ac:dyDescent="0.25">
      <c r="Q20354" s="8"/>
    </row>
    <row r="20355" spans="17:17" x14ac:dyDescent="0.25">
      <c r="Q20355" s="8"/>
    </row>
    <row r="20356" spans="17:17" x14ac:dyDescent="0.25">
      <c r="Q20356" s="8"/>
    </row>
    <row r="20357" spans="17:17" x14ac:dyDescent="0.25">
      <c r="Q20357" s="8"/>
    </row>
    <row r="20358" spans="17:17" x14ac:dyDescent="0.25">
      <c r="Q20358" s="8"/>
    </row>
    <row r="20359" spans="17:17" x14ac:dyDescent="0.25">
      <c r="Q20359" s="8"/>
    </row>
    <row r="20360" spans="17:17" x14ac:dyDescent="0.25">
      <c r="Q20360" s="8"/>
    </row>
    <row r="20361" spans="17:17" x14ac:dyDescent="0.25">
      <c r="Q20361" s="8"/>
    </row>
    <row r="20362" spans="17:17" x14ac:dyDescent="0.25">
      <c r="Q20362" s="8"/>
    </row>
    <row r="20363" spans="17:17" x14ac:dyDescent="0.25">
      <c r="Q20363" s="8"/>
    </row>
    <row r="20364" spans="17:17" x14ac:dyDescent="0.25">
      <c r="Q20364" s="8"/>
    </row>
    <row r="20365" spans="17:17" x14ac:dyDescent="0.25">
      <c r="Q20365" s="8"/>
    </row>
    <row r="20366" spans="17:17" x14ac:dyDescent="0.25">
      <c r="Q20366" s="8"/>
    </row>
    <row r="20367" spans="17:17" x14ac:dyDescent="0.25">
      <c r="Q20367" s="8"/>
    </row>
    <row r="20368" spans="17:17" x14ac:dyDescent="0.25">
      <c r="Q20368" s="8"/>
    </row>
    <row r="20369" spans="17:17" x14ac:dyDescent="0.25">
      <c r="Q20369" s="8"/>
    </row>
    <row r="20370" spans="17:17" x14ac:dyDescent="0.25">
      <c r="Q20370" s="8"/>
    </row>
    <row r="20371" spans="17:17" x14ac:dyDescent="0.25">
      <c r="Q20371" s="8"/>
    </row>
    <row r="20372" spans="17:17" x14ac:dyDescent="0.25">
      <c r="Q20372" s="8"/>
    </row>
    <row r="20373" spans="17:17" x14ac:dyDescent="0.25">
      <c r="Q20373" s="8"/>
    </row>
    <row r="20374" spans="17:17" x14ac:dyDescent="0.25">
      <c r="Q20374" s="8"/>
    </row>
    <row r="20375" spans="17:17" x14ac:dyDescent="0.25">
      <c r="Q20375" s="8"/>
    </row>
    <row r="20376" spans="17:17" x14ac:dyDescent="0.25">
      <c r="Q20376" s="8"/>
    </row>
    <row r="20377" spans="17:17" x14ac:dyDescent="0.25">
      <c r="Q20377" s="8"/>
    </row>
    <row r="20378" spans="17:17" x14ac:dyDescent="0.25">
      <c r="Q20378" s="8"/>
    </row>
    <row r="20379" spans="17:17" x14ac:dyDescent="0.25">
      <c r="Q20379" s="8"/>
    </row>
    <row r="20380" spans="17:17" x14ac:dyDescent="0.25">
      <c r="Q20380" s="8"/>
    </row>
    <row r="20381" spans="17:17" x14ac:dyDescent="0.25">
      <c r="Q20381" s="8"/>
    </row>
    <row r="20382" spans="17:17" x14ac:dyDescent="0.25">
      <c r="Q20382" s="8"/>
    </row>
    <row r="20383" spans="17:17" x14ac:dyDescent="0.25">
      <c r="Q20383" s="8"/>
    </row>
    <row r="20384" spans="17:17" x14ac:dyDescent="0.25">
      <c r="Q20384" s="8"/>
    </row>
    <row r="20385" spans="17:17" x14ac:dyDescent="0.25">
      <c r="Q20385" s="8"/>
    </row>
    <row r="20386" spans="17:17" x14ac:dyDescent="0.25">
      <c r="Q20386" s="8"/>
    </row>
    <row r="20387" spans="17:17" x14ac:dyDescent="0.25">
      <c r="Q20387" s="8"/>
    </row>
    <row r="20388" spans="17:17" x14ac:dyDescent="0.25">
      <c r="Q20388" s="8"/>
    </row>
    <row r="20389" spans="17:17" x14ac:dyDescent="0.25">
      <c r="Q20389" s="8"/>
    </row>
    <row r="20390" spans="17:17" x14ac:dyDescent="0.25">
      <c r="Q20390" s="8"/>
    </row>
    <row r="20391" spans="17:17" x14ac:dyDescent="0.25">
      <c r="Q20391" s="8"/>
    </row>
    <row r="20392" spans="17:17" x14ac:dyDescent="0.25">
      <c r="Q20392" s="8"/>
    </row>
    <row r="20393" spans="17:17" x14ac:dyDescent="0.25">
      <c r="Q20393" s="8"/>
    </row>
    <row r="20394" spans="17:17" x14ac:dyDescent="0.25">
      <c r="Q20394" s="8"/>
    </row>
    <row r="20395" spans="17:17" x14ac:dyDescent="0.25">
      <c r="Q20395" s="8"/>
    </row>
    <row r="20396" spans="17:17" x14ac:dyDescent="0.25">
      <c r="Q20396" s="8"/>
    </row>
    <row r="20397" spans="17:17" x14ac:dyDescent="0.25">
      <c r="Q20397" s="8"/>
    </row>
    <row r="20398" spans="17:17" x14ac:dyDescent="0.25">
      <c r="Q20398" s="8"/>
    </row>
    <row r="20399" spans="17:17" x14ac:dyDescent="0.25">
      <c r="Q20399" s="8"/>
    </row>
    <row r="20400" spans="17:17" x14ac:dyDescent="0.25">
      <c r="Q20400" s="8"/>
    </row>
    <row r="20401" spans="17:17" x14ac:dyDescent="0.25">
      <c r="Q20401" s="8"/>
    </row>
    <row r="20402" spans="17:17" x14ac:dyDescent="0.25">
      <c r="Q20402" s="8"/>
    </row>
    <row r="20403" spans="17:17" x14ac:dyDescent="0.25">
      <c r="Q20403" s="8"/>
    </row>
    <row r="20404" spans="17:17" x14ac:dyDescent="0.25">
      <c r="Q20404" s="8"/>
    </row>
    <row r="20405" spans="17:17" x14ac:dyDescent="0.25">
      <c r="Q20405" s="8"/>
    </row>
    <row r="20406" spans="17:17" x14ac:dyDescent="0.25">
      <c r="Q20406" s="8"/>
    </row>
    <row r="20407" spans="17:17" x14ac:dyDescent="0.25">
      <c r="Q20407" s="8"/>
    </row>
    <row r="20408" spans="17:17" x14ac:dyDescent="0.25">
      <c r="Q20408" s="8"/>
    </row>
    <row r="20409" spans="17:17" x14ac:dyDescent="0.25">
      <c r="Q20409" s="8"/>
    </row>
    <row r="20410" spans="17:17" x14ac:dyDescent="0.25">
      <c r="Q20410" s="8"/>
    </row>
    <row r="20411" spans="17:17" x14ac:dyDescent="0.25">
      <c r="Q20411" s="8"/>
    </row>
    <row r="20412" spans="17:17" x14ac:dyDescent="0.25">
      <c r="Q20412" s="8"/>
    </row>
    <row r="20413" spans="17:17" x14ac:dyDescent="0.25">
      <c r="Q20413" s="8"/>
    </row>
    <row r="20414" spans="17:17" x14ac:dyDescent="0.25">
      <c r="Q20414" s="8"/>
    </row>
    <row r="20415" spans="17:17" x14ac:dyDescent="0.25">
      <c r="Q20415" s="8"/>
    </row>
    <row r="20416" spans="17:17" x14ac:dyDescent="0.25">
      <c r="Q20416" s="8"/>
    </row>
    <row r="20417" spans="17:17" x14ac:dyDescent="0.25">
      <c r="Q20417" s="8"/>
    </row>
    <row r="20418" spans="17:17" x14ac:dyDescent="0.25">
      <c r="Q20418" s="8"/>
    </row>
    <row r="20419" spans="17:17" x14ac:dyDescent="0.25">
      <c r="Q20419" s="8"/>
    </row>
    <row r="20420" spans="17:17" x14ac:dyDescent="0.25">
      <c r="Q20420" s="8"/>
    </row>
    <row r="20421" spans="17:17" x14ac:dyDescent="0.25">
      <c r="Q20421" s="8"/>
    </row>
    <row r="20422" spans="17:17" x14ac:dyDescent="0.25">
      <c r="Q20422" s="8"/>
    </row>
    <row r="20423" spans="17:17" x14ac:dyDescent="0.25">
      <c r="Q20423" s="8"/>
    </row>
    <row r="20424" spans="17:17" x14ac:dyDescent="0.25">
      <c r="Q20424" s="8"/>
    </row>
    <row r="20425" spans="17:17" x14ac:dyDescent="0.25">
      <c r="Q20425" s="8"/>
    </row>
    <row r="20426" spans="17:17" x14ac:dyDescent="0.25">
      <c r="Q20426" s="8"/>
    </row>
    <row r="20427" spans="17:17" x14ac:dyDescent="0.25">
      <c r="Q20427" s="8"/>
    </row>
    <row r="20428" spans="17:17" x14ac:dyDescent="0.25">
      <c r="Q20428" s="8"/>
    </row>
    <row r="20429" spans="17:17" x14ac:dyDescent="0.25">
      <c r="Q20429" s="8"/>
    </row>
    <row r="20430" spans="17:17" x14ac:dyDescent="0.25">
      <c r="Q20430" s="8"/>
    </row>
    <row r="20431" spans="17:17" x14ac:dyDescent="0.25">
      <c r="Q20431" s="8"/>
    </row>
    <row r="20432" spans="17:17" x14ac:dyDescent="0.25">
      <c r="Q20432" s="8"/>
    </row>
    <row r="20433" spans="17:17" x14ac:dyDescent="0.25">
      <c r="Q20433" s="8"/>
    </row>
    <row r="20434" spans="17:17" x14ac:dyDescent="0.25">
      <c r="Q20434" s="8"/>
    </row>
    <row r="20435" spans="17:17" x14ac:dyDescent="0.25">
      <c r="Q20435" s="8"/>
    </row>
    <row r="20436" spans="17:17" x14ac:dyDescent="0.25">
      <c r="Q20436" s="8"/>
    </row>
    <row r="20437" spans="17:17" x14ac:dyDescent="0.25">
      <c r="Q20437" s="8"/>
    </row>
    <row r="20438" spans="17:17" x14ac:dyDescent="0.25">
      <c r="Q20438" s="8"/>
    </row>
    <row r="20439" spans="17:17" x14ac:dyDescent="0.25">
      <c r="Q20439" s="8"/>
    </row>
    <row r="20440" spans="17:17" x14ac:dyDescent="0.25">
      <c r="Q20440" s="8"/>
    </row>
    <row r="20441" spans="17:17" x14ac:dyDescent="0.25">
      <c r="Q20441" s="8"/>
    </row>
    <row r="20442" spans="17:17" x14ac:dyDescent="0.25">
      <c r="Q20442" s="8"/>
    </row>
    <row r="20443" spans="17:17" x14ac:dyDescent="0.25">
      <c r="Q20443" s="8"/>
    </row>
    <row r="20444" spans="17:17" x14ac:dyDescent="0.25">
      <c r="Q20444" s="8"/>
    </row>
    <row r="20445" spans="17:17" x14ac:dyDescent="0.25">
      <c r="Q20445" s="8"/>
    </row>
    <row r="20446" spans="17:17" x14ac:dyDescent="0.25">
      <c r="Q20446" s="8"/>
    </row>
    <row r="20447" spans="17:17" x14ac:dyDescent="0.25">
      <c r="Q20447" s="8"/>
    </row>
    <row r="20448" spans="17:17" x14ac:dyDescent="0.25">
      <c r="Q20448" s="8"/>
    </row>
    <row r="20449" spans="17:17" x14ac:dyDescent="0.25">
      <c r="Q20449" s="8"/>
    </row>
    <row r="20450" spans="17:17" x14ac:dyDescent="0.25">
      <c r="Q20450" s="8"/>
    </row>
    <row r="20451" spans="17:17" x14ac:dyDescent="0.25">
      <c r="Q20451" s="8"/>
    </row>
    <row r="20452" spans="17:17" x14ac:dyDescent="0.25">
      <c r="Q20452" s="8"/>
    </row>
    <row r="20453" spans="17:17" x14ac:dyDescent="0.25">
      <c r="Q20453" s="8"/>
    </row>
    <row r="20454" spans="17:17" x14ac:dyDescent="0.25">
      <c r="Q20454" s="8"/>
    </row>
    <row r="20455" spans="17:17" x14ac:dyDescent="0.25">
      <c r="Q20455" s="8"/>
    </row>
    <row r="20456" spans="17:17" x14ac:dyDescent="0.25">
      <c r="Q20456" s="8"/>
    </row>
    <row r="20457" spans="17:17" x14ac:dyDescent="0.25">
      <c r="Q20457" s="8"/>
    </row>
    <row r="20458" spans="17:17" x14ac:dyDescent="0.25">
      <c r="Q20458" s="8"/>
    </row>
    <row r="20459" spans="17:17" x14ac:dyDescent="0.25">
      <c r="Q20459" s="8"/>
    </row>
    <row r="20460" spans="17:17" x14ac:dyDescent="0.25">
      <c r="Q20460" s="8"/>
    </row>
    <row r="20461" spans="17:17" x14ac:dyDescent="0.25">
      <c r="Q20461" s="8"/>
    </row>
    <row r="20462" spans="17:17" x14ac:dyDescent="0.25">
      <c r="Q20462" s="8"/>
    </row>
    <row r="20463" spans="17:17" x14ac:dyDescent="0.25">
      <c r="Q20463" s="8"/>
    </row>
    <row r="20464" spans="17:17" x14ac:dyDescent="0.25">
      <c r="Q20464" s="8"/>
    </row>
    <row r="20465" spans="17:17" x14ac:dyDescent="0.25">
      <c r="Q20465" s="8"/>
    </row>
    <row r="20466" spans="17:17" x14ac:dyDescent="0.25">
      <c r="Q20466" s="8"/>
    </row>
    <row r="20467" spans="17:17" x14ac:dyDescent="0.25">
      <c r="Q20467" s="8"/>
    </row>
    <row r="20468" spans="17:17" x14ac:dyDescent="0.25">
      <c r="Q20468" s="8"/>
    </row>
    <row r="20469" spans="17:17" x14ac:dyDescent="0.25">
      <c r="Q20469" s="8"/>
    </row>
    <row r="20470" spans="17:17" x14ac:dyDescent="0.25">
      <c r="Q20470" s="8"/>
    </row>
    <row r="20471" spans="17:17" x14ac:dyDescent="0.25">
      <c r="Q20471" s="8"/>
    </row>
    <row r="20472" spans="17:17" x14ac:dyDescent="0.25">
      <c r="Q20472" s="8"/>
    </row>
    <row r="20473" spans="17:17" x14ac:dyDescent="0.25">
      <c r="Q20473" s="8"/>
    </row>
    <row r="20474" spans="17:17" x14ac:dyDescent="0.25">
      <c r="Q20474" s="8"/>
    </row>
    <row r="20475" spans="17:17" x14ac:dyDescent="0.25">
      <c r="Q20475" s="8"/>
    </row>
    <row r="20476" spans="17:17" x14ac:dyDescent="0.25">
      <c r="Q20476" s="8"/>
    </row>
    <row r="20477" spans="17:17" x14ac:dyDescent="0.25">
      <c r="Q20477" s="8"/>
    </row>
    <row r="20478" spans="17:17" x14ac:dyDescent="0.25">
      <c r="Q20478" s="8"/>
    </row>
    <row r="20479" spans="17:17" x14ac:dyDescent="0.25">
      <c r="Q20479" s="8"/>
    </row>
    <row r="20480" spans="17:17" x14ac:dyDescent="0.25">
      <c r="Q20480" s="8"/>
    </row>
    <row r="20481" spans="17:17" x14ac:dyDescent="0.25">
      <c r="Q20481" s="8"/>
    </row>
    <row r="20482" spans="17:17" x14ac:dyDescent="0.25">
      <c r="Q20482" s="8"/>
    </row>
    <row r="20483" spans="17:17" x14ac:dyDescent="0.25">
      <c r="Q20483" s="8"/>
    </row>
    <row r="20484" spans="17:17" x14ac:dyDescent="0.25">
      <c r="Q20484" s="8"/>
    </row>
    <row r="20485" spans="17:17" x14ac:dyDescent="0.25">
      <c r="Q20485" s="8"/>
    </row>
    <row r="20486" spans="17:17" x14ac:dyDescent="0.25">
      <c r="Q20486" s="8"/>
    </row>
    <row r="20487" spans="17:17" x14ac:dyDescent="0.25">
      <c r="Q20487" s="8"/>
    </row>
    <row r="20488" spans="17:17" x14ac:dyDescent="0.25">
      <c r="Q20488" s="8"/>
    </row>
    <row r="20489" spans="17:17" x14ac:dyDescent="0.25">
      <c r="Q20489" s="8"/>
    </row>
    <row r="20490" spans="17:17" x14ac:dyDescent="0.25">
      <c r="Q20490" s="8"/>
    </row>
    <row r="20491" spans="17:17" x14ac:dyDescent="0.25">
      <c r="Q20491" s="8"/>
    </row>
    <row r="20492" spans="17:17" x14ac:dyDescent="0.25">
      <c r="Q20492" s="8"/>
    </row>
    <row r="20493" spans="17:17" x14ac:dyDescent="0.25">
      <c r="Q20493" s="8"/>
    </row>
    <row r="20494" spans="17:17" x14ac:dyDescent="0.25">
      <c r="Q20494" s="8"/>
    </row>
    <row r="20495" spans="17:17" x14ac:dyDescent="0.25">
      <c r="Q20495" s="8"/>
    </row>
    <row r="20496" spans="17:17" x14ac:dyDescent="0.25">
      <c r="Q20496" s="8"/>
    </row>
    <row r="20497" spans="17:17" x14ac:dyDescent="0.25">
      <c r="Q20497" s="8"/>
    </row>
    <row r="20498" spans="17:17" x14ac:dyDescent="0.25">
      <c r="Q20498" s="8"/>
    </row>
    <row r="20499" spans="17:17" x14ac:dyDescent="0.25">
      <c r="Q20499" s="8"/>
    </row>
    <row r="20500" spans="17:17" x14ac:dyDescent="0.25">
      <c r="Q20500" s="8"/>
    </row>
    <row r="20501" spans="17:17" x14ac:dyDescent="0.25">
      <c r="Q20501" s="8"/>
    </row>
    <row r="20502" spans="17:17" x14ac:dyDescent="0.25">
      <c r="Q20502" s="8"/>
    </row>
    <row r="20503" spans="17:17" x14ac:dyDescent="0.25">
      <c r="Q20503" s="8"/>
    </row>
    <row r="20504" spans="17:17" x14ac:dyDescent="0.25">
      <c r="Q20504" s="8"/>
    </row>
    <row r="20505" spans="17:17" x14ac:dyDescent="0.25">
      <c r="Q20505" s="8"/>
    </row>
    <row r="20506" spans="17:17" x14ac:dyDescent="0.25">
      <c r="Q20506" s="8"/>
    </row>
    <row r="20507" spans="17:17" x14ac:dyDescent="0.25">
      <c r="Q20507" s="8"/>
    </row>
    <row r="20508" spans="17:17" x14ac:dyDescent="0.25">
      <c r="Q20508" s="8"/>
    </row>
    <row r="20509" spans="17:17" x14ac:dyDescent="0.25">
      <c r="Q20509" s="8"/>
    </row>
    <row r="20510" spans="17:17" x14ac:dyDescent="0.25">
      <c r="Q20510" s="8"/>
    </row>
    <row r="20511" spans="17:17" x14ac:dyDescent="0.25">
      <c r="Q20511" s="8"/>
    </row>
    <row r="20512" spans="17:17" x14ac:dyDescent="0.25">
      <c r="Q20512" s="8"/>
    </row>
    <row r="20513" spans="17:17" x14ac:dyDescent="0.25">
      <c r="Q20513" s="8"/>
    </row>
    <row r="20514" spans="17:17" x14ac:dyDescent="0.25">
      <c r="Q20514" s="8"/>
    </row>
    <row r="20515" spans="17:17" x14ac:dyDescent="0.25">
      <c r="Q20515" s="8"/>
    </row>
    <row r="20516" spans="17:17" x14ac:dyDescent="0.25">
      <c r="Q20516" s="8"/>
    </row>
    <row r="20517" spans="17:17" x14ac:dyDescent="0.25">
      <c r="Q20517" s="8"/>
    </row>
    <row r="20518" spans="17:17" x14ac:dyDescent="0.25">
      <c r="Q20518" s="8"/>
    </row>
    <row r="20519" spans="17:17" x14ac:dyDescent="0.25">
      <c r="Q20519" s="8"/>
    </row>
    <row r="20520" spans="17:17" x14ac:dyDescent="0.25">
      <c r="Q20520" s="8"/>
    </row>
    <row r="20521" spans="17:17" x14ac:dyDescent="0.25">
      <c r="Q20521" s="8"/>
    </row>
    <row r="20522" spans="17:17" x14ac:dyDescent="0.25">
      <c r="Q20522" s="8"/>
    </row>
    <row r="20523" spans="17:17" x14ac:dyDescent="0.25">
      <c r="Q20523" s="8"/>
    </row>
    <row r="20524" spans="17:17" x14ac:dyDescent="0.25">
      <c r="Q20524" s="8"/>
    </row>
    <row r="20525" spans="17:17" x14ac:dyDescent="0.25">
      <c r="Q20525" s="8"/>
    </row>
    <row r="20526" spans="17:17" x14ac:dyDescent="0.25">
      <c r="Q20526" s="8"/>
    </row>
    <row r="20527" spans="17:17" x14ac:dyDescent="0.25">
      <c r="Q20527" s="8"/>
    </row>
    <row r="20528" spans="17:17" x14ac:dyDescent="0.25">
      <c r="Q20528" s="8"/>
    </row>
    <row r="20529" spans="17:17" x14ac:dyDescent="0.25">
      <c r="Q20529" s="8"/>
    </row>
    <row r="20530" spans="17:17" x14ac:dyDescent="0.25">
      <c r="Q20530" s="8"/>
    </row>
    <row r="20531" spans="17:17" x14ac:dyDescent="0.25">
      <c r="Q20531" s="8"/>
    </row>
    <row r="20532" spans="17:17" x14ac:dyDescent="0.25">
      <c r="Q20532" s="8"/>
    </row>
    <row r="20533" spans="17:17" x14ac:dyDescent="0.25">
      <c r="Q20533" s="8"/>
    </row>
    <row r="20534" spans="17:17" x14ac:dyDescent="0.25">
      <c r="Q20534" s="8"/>
    </row>
    <row r="20535" spans="17:17" x14ac:dyDescent="0.25">
      <c r="Q20535" s="8"/>
    </row>
    <row r="20536" spans="17:17" x14ac:dyDescent="0.25">
      <c r="Q20536" s="8"/>
    </row>
    <row r="20537" spans="17:17" x14ac:dyDescent="0.25">
      <c r="Q20537" s="8"/>
    </row>
    <row r="20538" spans="17:17" x14ac:dyDescent="0.25">
      <c r="Q20538" s="8"/>
    </row>
    <row r="20539" spans="17:17" x14ac:dyDescent="0.25">
      <c r="Q20539" s="8"/>
    </row>
    <row r="20540" spans="17:17" x14ac:dyDescent="0.25">
      <c r="Q20540" s="8"/>
    </row>
    <row r="20541" spans="17:17" x14ac:dyDescent="0.25">
      <c r="Q20541" s="8"/>
    </row>
    <row r="20542" spans="17:17" x14ac:dyDescent="0.25">
      <c r="Q20542" s="8"/>
    </row>
    <row r="20543" spans="17:17" x14ac:dyDescent="0.25">
      <c r="Q20543" s="8"/>
    </row>
    <row r="20544" spans="17:17" x14ac:dyDescent="0.25">
      <c r="Q20544" s="8"/>
    </row>
    <row r="20545" spans="17:17" x14ac:dyDescent="0.25">
      <c r="Q20545" s="8"/>
    </row>
    <row r="20546" spans="17:17" x14ac:dyDescent="0.25">
      <c r="Q20546" s="8"/>
    </row>
    <row r="20547" spans="17:17" x14ac:dyDescent="0.25">
      <c r="Q20547" s="8"/>
    </row>
    <row r="20548" spans="17:17" x14ac:dyDescent="0.25">
      <c r="Q20548" s="8"/>
    </row>
    <row r="20549" spans="17:17" x14ac:dyDescent="0.25">
      <c r="Q20549" s="8"/>
    </row>
    <row r="20550" spans="17:17" x14ac:dyDescent="0.25">
      <c r="Q20550" s="8"/>
    </row>
    <row r="20551" spans="17:17" x14ac:dyDescent="0.25">
      <c r="Q20551" s="8"/>
    </row>
    <row r="20552" spans="17:17" x14ac:dyDescent="0.25">
      <c r="Q20552" s="8"/>
    </row>
    <row r="20553" spans="17:17" x14ac:dyDescent="0.25">
      <c r="Q20553" s="8"/>
    </row>
    <row r="20554" spans="17:17" x14ac:dyDescent="0.25">
      <c r="Q20554" s="8"/>
    </row>
    <row r="20555" spans="17:17" x14ac:dyDescent="0.25">
      <c r="Q20555" s="8"/>
    </row>
    <row r="20556" spans="17:17" x14ac:dyDescent="0.25">
      <c r="Q20556" s="8"/>
    </row>
    <row r="20557" spans="17:17" x14ac:dyDescent="0.25">
      <c r="Q20557" s="8"/>
    </row>
    <row r="20558" spans="17:17" x14ac:dyDescent="0.25">
      <c r="Q20558" s="8"/>
    </row>
    <row r="20559" spans="17:17" x14ac:dyDescent="0.25">
      <c r="Q20559" s="8"/>
    </row>
    <row r="20560" spans="17:17" x14ac:dyDescent="0.25">
      <c r="Q20560" s="8"/>
    </row>
    <row r="20561" spans="17:17" x14ac:dyDescent="0.25">
      <c r="Q20561" s="8"/>
    </row>
    <row r="20562" spans="17:17" x14ac:dyDescent="0.25">
      <c r="Q20562" s="8"/>
    </row>
    <row r="20563" spans="17:17" x14ac:dyDescent="0.25">
      <c r="Q20563" s="8"/>
    </row>
    <row r="20564" spans="17:17" x14ac:dyDescent="0.25">
      <c r="Q20564" s="8"/>
    </row>
    <row r="20565" spans="17:17" x14ac:dyDescent="0.25">
      <c r="Q20565" s="8"/>
    </row>
    <row r="20566" spans="17:17" x14ac:dyDescent="0.25">
      <c r="Q20566" s="8"/>
    </row>
    <row r="20567" spans="17:17" x14ac:dyDescent="0.25">
      <c r="Q20567" s="8"/>
    </row>
    <row r="20568" spans="17:17" x14ac:dyDescent="0.25">
      <c r="Q20568" s="8"/>
    </row>
    <row r="20569" spans="17:17" x14ac:dyDescent="0.25">
      <c r="Q20569" s="8"/>
    </row>
    <row r="20570" spans="17:17" x14ac:dyDescent="0.25">
      <c r="Q20570" s="8"/>
    </row>
    <row r="20571" spans="17:17" x14ac:dyDescent="0.25">
      <c r="Q20571" s="8"/>
    </row>
    <row r="20572" spans="17:17" x14ac:dyDescent="0.25">
      <c r="Q20572" s="8"/>
    </row>
    <row r="20573" spans="17:17" x14ac:dyDescent="0.25">
      <c r="Q20573" s="8"/>
    </row>
    <row r="20574" spans="17:17" x14ac:dyDescent="0.25">
      <c r="Q20574" s="8"/>
    </row>
    <row r="20575" spans="17:17" x14ac:dyDescent="0.25">
      <c r="Q20575" s="8"/>
    </row>
    <row r="20576" spans="17:17" x14ac:dyDescent="0.25">
      <c r="Q20576" s="8"/>
    </row>
    <row r="20577" spans="17:17" x14ac:dyDescent="0.25">
      <c r="Q20577" s="8"/>
    </row>
    <row r="20578" spans="17:17" x14ac:dyDescent="0.25">
      <c r="Q20578" s="8"/>
    </row>
    <row r="20579" spans="17:17" x14ac:dyDescent="0.25">
      <c r="Q20579" s="8"/>
    </row>
    <row r="20580" spans="17:17" x14ac:dyDescent="0.25">
      <c r="Q20580" s="8"/>
    </row>
    <row r="20581" spans="17:17" x14ac:dyDescent="0.25">
      <c r="Q20581" s="8"/>
    </row>
    <row r="20582" spans="17:17" x14ac:dyDescent="0.25">
      <c r="Q20582" s="8"/>
    </row>
    <row r="20583" spans="17:17" x14ac:dyDescent="0.25">
      <c r="Q20583" s="8"/>
    </row>
    <row r="20584" spans="17:17" x14ac:dyDescent="0.25">
      <c r="Q20584" s="8"/>
    </row>
    <row r="20585" spans="17:17" x14ac:dyDescent="0.25">
      <c r="Q20585" s="8"/>
    </row>
    <row r="20586" spans="17:17" x14ac:dyDescent="0.25">
      <c r="Q20586" s="8"/>
    </row>
    <row r="20587" spans="17:17" x14ac:dyDescent="0.25">
      <c r="Q20587" s="8"/>
    </row>
    <row r="20588" spans="17:17" x14ac:dyDescent="0.25">
      <c r="Q20588" s="8"/>
    </row>
    <row r="20589" spans="17:17" x14ac:dyDescent="0.25">
      <c r="Q20589" s="8"/>
    </row>
    <row r="20590" spans="17:17" x14ac:dyDescent="0.25">
      <c r="Q20590" s="8"/>
    </row>
    <row r="20591" spans="17:17" x14ac:dyDescent="0.25">
      <c r="Q20591" s="8"/>
    </row>
    <row r="20592" spans="17:17" x14ac:dyDescent="0.25">
      <c r="Q20592" s="8"/>
    </row>
    <row r="20593" spans="17:17" x14ac:dyDescent="0.25">
      <c r="Q20593" s="8"/>
    </row>
    <row r="20594" spans="17:17" x14ac:dyDescent="0.25">
      <c r="Q20594" s="8"/>
    </row>
    <row r="20595" spans="17:17" x14ac:dyDescent="0.25">
      <c r="Q20595" s="8"/>
    </row>
    <row r="20596" spans="17:17" x14ac:dyDescent="0.25">
      <c r="Q20596" s="8"/>
    </row>
    <row r="20597" spans="17:17" x14ac:dyDescent="0.25">
      <c r="Q20597" s="8"/>
    </row>
    <row r="20598" spans="17:17" x14ac:dyDescent="0.25">
      <c r="Q20598" s="8"/>
    </row>
    <row r="20599" spans="17:17" x14ac:dyDescent="0.25">
      <c r="Q20599" s="8"/>
    </row>
    <row r="20600" spans="17:17" x14ac:dyDescent="0.25">
      <c r="Q20600" s="8"/>
    </row>
    <row r="20601" spans="17:17" x14ac:dyDescent="0.25">
      <c r="Q20601" s="8"/>
    </row>
    <row r="20602" spans="17:17" x14ac:dyDescent="0.25">
      <c r="Q20602" s="8"/>
    </row>
    <row r="20603" spans="17:17" x14ac:dyDescent="0.25">
      <c r="Q20603" s="8"/>
    </row>
    <row r="20604" spans="17:17" x14ac:dyDescent="0.25">
      <c r="Q20604" s="8"/>
    </row>
    <row r="20605" spans="17:17" x14ac:dyDescent="0.25">
      <c r="Q20605" s="8"/>
    </row>
    <row r="20606" spans="17:17" x14ac:dyDescent="0.25">
      <c r="Q20606" s="8"/>
    </row>
    <row r="20607" spans="17:17" x14ac:dyDescent="0.25">
      <c r="Q20607" s="8"/>
    </row>
    <row r="20608" spans="17:17" x14ac:dyDescent="0.25">
      <c r="Q20608" s="8"/>
    </row>
    <row r="20609" spans="17:17" x14ac:dyDescent="0.25">
      <c r="Q20609" s="8"/>
    </row>
    <row r="20610" spans="17:17" x14ac:dyDescent="0.25">
      <c r="Q20610" s="8"/>
    </row>
    <row r="20611" spans="17:17" x14ac:dyDescent="0.25">
      <c r="Q20611" s="8"/>
    </row>
    <row r="20612" spans="17:17" x14ac:dyDescent="0.25">
      <c r="Q20612" s="8"/>
    </row>
    <row r="20613" spans="17:17" x14ac:dyDescent="0.25">
      <c r="Q20613" s="8"/>
    </row>
    <row r="20614" spans="17:17" x14ac:dyDescent="0.25">
      <c r="Q20614" s="8"/>
    </row>
    <row r="20615" spans="17:17" x14ac:dyDescent="0.25">
      <c r="Q20615" s="8"/>
    </row>
    <row r="20616" spans="17:17" x14ac:dyDescent="0.25">
      <c r="Q20616" s="8"/>
    </row>
    <row r="20617" spans="17:17" x14ac:dyDescent="0.25">
      <c r="Q20617" s="8"/>
    </row>
    <row r="20618" spans="17:17" x14ac:dyDescent="0.25">
      <c r="Q20618" s="8"/>
    </row>
    <row r="20619" spans="17:17" x14ac:dyDescent="0.25">
      <c r="Q20619" s="8"/>
    </row>
    <row r="20620" spans="17:17" x14ac:dyDescent="0.25">
      <c r="Q20620" s="8"/>
    </row>
    <row r="20621" spans="17:17" x14ac:dyDescent="0.25">
      <c r="Q20621" s="8"/>
    </row>
    <row r="20622" spans="17:17" x14ac:dyDescent="0.25">
      <c r="Q20622" s="8"/>
    </row>
    <row r="20623" spans="17:17" x14ac:dyDescent="0.25">
      <c r="Q20623" s="8"/>
    </row>
    <row r="20624" spans="17:17" x14ac:dyDescent="0.25">
      <c r="Q20624" s="8"/>
    </row>
    <row r="20625" spans="17:17" x14ac:dyDescent="0.25">
      <c r="Q20625" s="8"/>
    </row>
    <row r="20626" spans="17:17" x14ac:dyDescent="0.25">
      <c r="Q20626" s="8"/>
    </row>
    <row r="20627" spans="17:17" x14ac:dyDescent="0.25">
      <c r="Q20627" s="8"/>
    </row>
    <row r="20628" spans="17:17" x14ac:dyDescent="0.25">
      <c r="Q20628" s="8"/>
    </row>
    <row r="20629" spans="17:17" x14ac:dyDescent="0.25">
      <c r="Q20629" s="8"/>
    </row>
    <row r="20630" spans="17:17" x14ac:dyDescent="0.25">
      <c r="Q20630" s="8"/>
    </row>
    <row r="20631" spans="17:17" x14ac:dyDescent="0.25">
      <c r="Q20631" s="8"/>
    </row>
    <row r="20632" spans="17:17" x14ac:dyDescent="0.25">
      <c r="Q20632" s="8"/>
    </row>
    <row r="20633" spans="17:17" x14ac:dyDescent="0.25">
      <c r="Q20633" s="8"/>
    </row>
    <row r="20634" spans="17:17" x14ac:dyDescent="0.25">
      <c r="Q20634" s="8"/>
    </row>
    <row r="20635" spans="17:17" x14ac:dyDescent="0.25">
      <c r="Q20635" s="8"/>
    </row>
    <row r="20636" spans="17:17" x14ac:dyDescent="0.25">
      <c r="Q20636" s="8"/>
    </row>
    <row r="20637" spans="17:17" x14ac:dyDescent="0.25">
      <c r="Q20637" s="8"/>
    </row>
    <row r="20638" spans="17:17" x14ac:dyDescent="0.25">
      <c r="Q20638" s="8"/>
    </row>
    <row r="20639" spans="17:17" x14ac:dyDescent="0.25">
      <c r="Q20639" s="8"/>
    </row>
    <row r="20640" spans="17:17" x14ac:dyDescent="0.25">
      <c r="Q20640" s="8"/>
    </row>
    <row r="20641" spans="17:17" x14ac:dyDescent="0.25">
      <c r="Q20641" s="8"/>
    </row>
    <row r="20642" spans="17:17" x14ac:dyDescent="0.25">
      <c r="Q20642" s="8"/>
    </row>
    <row r="20643" spans="17:17" x14ac:dyDescent="0.25">
      <c r="Q20643" s="8"/>
    </row>
    <row r="20644" spans="17:17" x14ac:dyDescent="0.25">
      <c r="Q20644" s="8"/>
    </row>
    <row r="20645" spans="17:17" x14ac:dyDescent="0.25">
      <c r="Q20645" s="8"/>
    </row>
    <row r="20646" spans="17:17" x14ac:dyDescent="0.25">
      <c r="Q20646" s="8"/>
    </row>
    <row r="20647" spans="17:17" x14ac:dyDescent="0.25">
      <c r="Q20647" s="8"/>
    </row>
    <row r="20648" spans="17:17" x14ac:dyDescent="0.25">
      <c r="Q20648" s="8"/>
    </row>
    <row r="20649" spans="17:17" x14ac:dyDescent="0.25">
      <c r="Q20649" s="8"/>
    </row>
    <row r="20650" spans="17:17" x14ac:dyDescent="0.25">
      <c r="Q20650" s="8"/>
    </row>
    <row r="20651" spans="17:17" x14ac:dyDescent="0.25">
      <c r="Q20651" s="8"/>
    </row>
    <row r="20652" spans="17:17" x14ac:dyDescent="0.25">
      <c r="Q20652" s="8"/>
    </row>
    <row r="20653" spans="17:17" x14ac:dyDescent="0.25">
      <c r="Q20653" s="8"/>
    </row>
    <row r="20654" spans="17:17" x14ac:dyDescent="0.25">
      <c r="Q20654" s="8"/>
    </row>
    <row r="20655" spans="17:17" x14ac:dyDescent="0.25">
      <c r="Q20655" s="8"/>
    </row>
    <row r="20656" spans="17:17" x14ac:dyDescent="0.25">
      <c r="Q20656" s="8"/>
    </row>
    <row r="20657" spans="17:17" x14ac:dyDescent="0.25">
      <c r="Q20657" s="8"/>
    </row>
    <row r="20658" spans="17:17" x14ac:dyDescent="0.25">
      <c r="Q20658" s="8"/>
    </row>
    <row r="20659" spans="17:17" x14ac:dyDescent="0.25">
      <c r="Q20659" s="8"/>
    </row>
    <row r="20660" spans="17:17" x14ac:dyDescent="0.25">
      <c r="Q20660" s="8"/>
    </row>
    <row r="20661" spans="17:17" x14ac:dyDescent="0.25">
      <c r="Q20661" s="8"/>
    </row>
    <row r="20662" spans="17:17" x14ac:dyDescent="0.25">
      <c r="Q20662" s="8"/>
    </row>
    <row r="20663" spans="17:17" x14ac:dyDescent="0.25">
      <c r="Q20663" s="8"/>
    </row>
    <row r="20664" spans="17:17" x14ac:dyDescent="0.25">
      <c r="Q20664" s="8"/>
    </row>
    <row r="20665" spans="17:17" x14ac:dyDescent="0.25">
      <c r="Q20665" s="8"/>
    </row>
    <row r="20666" spans="17:17" x14ac:dyDescent="0.25">
      <c r="Q20666" s="8"/>
    </row>
    <row r="20667" spans="17:17" x14ac:dyDescent="0.25">
      <c r="Q20667" s="8"/>
    </row>
    <row r="20668" spans="17:17" x14ac:dyDescent="0.25">
      <c r="Q20668" s="8"/>
    </row>
    <row r="20669" spans="17:17" x14ac:dyDescent="0.25">
      <c r="Q20669" s="8"/>
    </row>
    <row r="20670" spans="17:17" x14ac:dyDescent="0.25">
      <c r="Q20670" s="8"/>
    </row>
    <row r="20671" spans="17:17" x14ac:dyDescent="0.25">
      <c r="Q20671" s="8"/>
    </row>
    <row r="20672" spans="17:17" x14ac:dyDescent="0.25">
      <c r="Q20672" s="8"/>
    </row>
    <row r="20673" spans="17:17" x14ac:dyDescent="0.25">
      <c r="Q20673" s="8"/>
    </row>
    <row r="20674" spans="17:17" x14ac:dyDescent="0.25">
      <c r="Q20674" s="8"/>
    </row>
    <row r="20675" spans="17:17" x14ac:dyDescent="0.25">
      <c r="Q20675" s="8"/>
    </row>
    <row r="20676" spans="17:17" x14ac:dyDescent="0.25">
      <c r="Q20676" s="8"/>
    </row>
    <row r="20677" spans="17:17" x14ac:dyDescent="0.25">
      <c r="Q20677" s="8"/>
    </row>
    <row r="20678" spans="17:17" x14ac:dyDescent="0.25">
      <c r="Q20678" s="8"/>
    </row>
    <row r="20679" spans="17:17" x14ac:dyDescent="0.25">
      <c r="Q20679" s="8"/>
    </row>
    <row r="20680" spans="17:17" x14ac:dyDescent="0.25">
      <c r="Q20680" s="8"/>
    </row>
    <row r="20681" spans="17:17" x14ac:dyDescent="0.25">
      <c r="Q20681" s="8"/>
    </row>
    <row r="20682" spans="17:17" x14ac:dyDescent="0.25">
      <c r="Q20682" s="8"/>
    </row>
    <row r="20683" spans="17:17" x14ac:dyDescent="0.25">
      <c r="Q20683" s="8"/>
    </row>
    <row r="20684" spans="17:17" x14ac:dyDescent="0.25">
      <c r="Q20684" s="8"/>
    </row>
    <row r="20685" spans="17:17" x14ac:dyDescent="0.25">
      <c r="Q20685" s="8"/>
    </row>
    <row r="20686" spans="17:17" x14ac:dyDescent="0.25">
      <c r="Q20686" s="8"/>
    </row>
    <row r="20687" spans="17:17" x14ac:dyDescent="0.25">
      <c r="Q20687" s="8"/>
    </row>
    <row r="20688" spans="17:17" x14ac:dyDescent="0.25">
      <c r="Q20688" s="8"/>
    </row>
    <row r="20689" spans="17:17" x14ac:dyDescent="0.25">
      <c r="Q20689" s="8"/>
    </row>
    <row r="20690" spans="17:17" x14ac:dyDescent="0.25">
      <c r="Q20690" s="8"/>
    </row>
    <row r="20691" spans="17:17" x14ac:dyDescent="0.25">
      <c r="Q20691" s="8"/>
    </row>
    <row r="20692" spans="17:17" x14ac:dyDescent="0.25">
      <c r="Q20692" s="8"/>
    </row>
    <row r="20693" spans="17:17" x14ac:dyDescent="0.25">
      <c r="Q20693" s="8"/>
    </row>
    <row r="20694" spans="17:17" x14ac:dyDescent="0.25">
      <c r="Q20694" s="8"/>
    </row>
    <row r="20695" spans="17:17" x14ac:dyDescent="0.25">
      <c r="Q20695" s="8"/>
    </row>
    <row r="20696" spans="17:17" x14ac:dyDescent="0.25">
      <c r="Q20696" s="8"/>
    </row>
    <row r="20697" spans="17:17" x14ac:dyDescent="0.25">
      <c r="Q20697" s="8"/>
    </row>
    <row r="20698" spans="17:17" x14ac:dyDescent="0.25">
      <c r="Q20698" s="8"/>
    </row>
    <row r="20699" spans="17:17" x14ac:dyDescent="0.25">
      <c r="Q20699" s="8"/>
    </row>
    <row r="20700" spans="17:17" x14ac:dyDescent="0.25">
      <c r="Q20700" s="8"/>
    </row>
    <row r="20701" spans="17:17" x14ac:dyDescent="0.25">
      <c r="Q20701" s="8"/>
    </row>
    <row r="20702" spans="17:17" x14ac:dyDescent="0.25">
      <c r="Q20702" s="8"/>
    </row>
    <row r="20703" spans="17:17" x14ac:dyDescent="0.25">
      <c r="Q20703" s="8"/>
    </row>
    <row r="20704" spans="17:17" x14ac:dyDescent="0.25">
      <c r="Q20704" s="8"/>
    </row>
    <row r="20705" spans="17:17" x14ac:dyDescent="0.25">
      <c r="Q20705" s="8"/>
    </row>
    <row r="20706" spans="17:17" x14ac:dyDescent="0.25">
      <c r="Q20706" s="8"/>
    </row>
    <row r="20707" spans="17:17" x14ac:dyDescent="0.25">
      <c r="Q20707" s="8"/>
    </row>
    <row r="20708" spans="17:17" x14ac:dyDescent="0.25">
      <c r="Q20708" s="8"/>
    </row>
    <row r="20709" spans="17:17" x14ac:dyDescent="0.25">
      <c r="Q20709" s="8"/>
    </row>
    <row r="20710" spans="17:17" x14ac:dyDescent="0.25">
      <c r="Q20710" s="8"/>
    </row>
    <row r="20711" spans="17:17" x14ac:dyDescent="0.25">
      <c r="Q20711" s="8"/>
    </row>
    <row r="20712" spans="17:17" x14ac:dyDescent="0.25">
      <c r="Q20712" s="8"/>
    </row>
    <row r="20713" spans="17:17" x14ac:dyDescent="0.25">
      <c r="Q20713" s="8"/>
    </row>
    <row r="20714" spans="17:17" x14ac:dyDescent="0.25">
      <c r="Q20714" s="8"/>
    </row>
    <row r="20715" spans="17:17" x14ac:dyDescent="0.25">
      <c r="Q20715" s="8"/>
    </row>
    <row r="20716" spans="17:17" x14ac:dyDescent="0.25">
      <c r="Q20716" s="8"/>
    </row>
    <row r="20717" spans="17:17" x14ac:dyDescent="0.25">
      <c r="Q20717" s="8"/>
    </row>
    <row r="20718" spans="17:17" x14ac:dyDescent="0.25">
      <c r="Q20718" s="8"/>
    </row>
    <row r="20719" spans="17:17" x14ac:dyDescent="0.25">
      <c r="Q20719" s="8"/>
    </row>
    <row r="20720" spans="17:17" x14ac:dyDescent="0.25">
      <c r="Q20720" s="8"/>
    </row>
    <row r="20721" spans="17:17" x14ac:dyDescent="0.25">
      <c r="Q20721" s="8"/>
    </row>
    <row r="20722" spans="17:17" x14ac:dyDescent="0.25">
      <c r="Q20722" s="8"/>
    </row>
    <row r="20723" spans="17:17" x14ac:dyDescent="0.25">
      <c r="Q20723" s="8"/>
    </row>
    <row r="20724" spans="17:17" x14ac:dyDescent="0.25">
      <c r="Q20724" s="8"/>
    </row>
    <row r="20725" spans="17:17" x14ac:dyDescent="0.25">
      <c r="Q20725" s="8"/>
    </row>
    <row r="20726" spans="17:17" x14ac:dyDescent="0.25">
      <c r="Q20726" s="8"/>
    </row>
    <row r="20727" spans="17:17" x14ac:dyDescent="0.25">
      <c r="Q20727" s="8"/>
    </row>
    <row r="20728" spans="17:17" x14ac:dyDescent="0.25">
      <c r="Q20728" s="8"/>
    </row>
    <row r="20729" spans="17:17" x14ac:dyDescent="0.25">
      <c r="Q20729" s="8"/>
    </row>
    <row r="20730" spans="17:17" x14ac:dyDescent="0.25">
      <c r="Q20730" s="8"/>
    </row>
    <row r="20731" spans="17:17" x14ac:dyDescent="0.25">
      <c r="Q20731" s="8"/>
    </row>
    <row r="20732" spans="17:17" x14ac:dyDescent="0.25">
      <c r="Q20732" s="8"/>
    </row>
    <row r="20733" spans="17:17" x14ac:dyDescent="0.25">
      <c r="Q20733" s="8"/>
    </row>
    <row r="20734" spans="17:17" x14ac:dyDescent="0.25">
      <c r="Q20734" s="8"/>
    </row>
    <row r="20735" spans="17:17" x14ac:dyDescent="0.25">
      <c r="Q20735" s="8"/>
    </row>
    <row r="20736" spans="17:17" x14ac:dyDescent="0.25">
      <c r="Q20736" s="8"/>
    </row>
    <row r="20737" spans="17:17" x14ac:dyDescent="0.25">
      <c r="Q20737" s="8"/>
    </row>
    <row r="20738" spans="17:17" x14ac:dyDescent="0.25">
      <c r="Q20738" s="8"/>
    </row>
    <row r="20739" spans="17:17" x14ac:dyDescent="0.25">
      <c r="Q20739" s="8"/>
    </row>
    <row r="20740" spans="17:17" x14ac:dyDescent="0.25">
      <c r="Q20740" s="8"/>
    </row>
    <row r="20741" spans="17:17" x14ac:dyDescent="0.25">
      <c r="Q20741" s="8"/>
    </row>
    <row r="20742" spans="17:17" x14ac:dyDescent="0.25">
      <c r="Q20742" s="8"/>
    </row>
    <row r="20743" spans="17:17" x14ac:dyDescent="0.25">
      <c r="Q20743" s="8"/>
    </row>
    <row r="20744" spans="17:17" x14ac:dyDescent="0.25">
      <c r="Q20744" s="8"/>
    </row>
    <row r="20745" spans="17:17" x14ac:dyDescent="0.25">
      <c r="Q20745" s="8"/>
    </row>
    <row r="20746" spans="17:17" x14ac:dyDescent="0.25">
      <c r="Q20746" s="8"/>
    </row>
    <row r="20747" spans="17:17" x14ac:dyDescent="0.25">
      <c r="Q20747" s="8"/>
    </row>
    <row r="20748" spans="17:17" x14ac:dyDescent="0.25">
      <c r="Q20748" s="8"/>
    </row>
    <row r="20749" spans="17:17" x14ac:dyDescent="0.25">
      <c r="Q20749" s="8"/>
    </row>
    <row r="20750" spans="17:17" x14ac:dyDescent="0.25">
      <c r="Q20750" s="8"/>
    </row>
    <row r="20751" spans="17:17" x14ac:dyDescent="0.25">
      <c r="Q20751" s="8"/>
    </row>
    <row r="20752" spans="17:17" x14ac:dyDescent="0.25">
      <c r="Q20752" s="8"/>
    </row>
    <row r="20753" spans="17:17" x14ac:dyDescent="0.25">
      <c r="Q20753" s="8"/>
    </row>
    <row r="20754" spans="17:17" x14ac:dyDescent="0.25">
      <c r="Q20754" s="8"/>
    </row>
    <row r="20755" spans="17:17" x14ac:dyDescent="0.25">
      <c r="Q20755" s="8"/>
    </row>
    <row r="20756" spans="17:17" x14ac:dyDescent="0.25">
      <c r="Q20756" s="8"/>
    </row>
    <row r="20757" spans="17:17" x14ac:dyDescent="0.25">
      <c r="Q20757" s="8"/>
    </row>
    <row r="20758" spans="17:17" x14ac:dyDescent="0.25">
      <c r="Q20758" s="8"/>
    </row>
    <row r="20759" spans="17:17" x14ac:dyDescent="0.25">
      <c r="Q20759" s="8"/>
    </row>
    <row r="20760" spans="17:17" x14ac:dyDescent="0.25">
      <c r="Q20760" s="8"/>
    </row>
    <row r="20761" spans="17:17" x14ac:dyDescent="0.25">
      <c r="Q20761" s="8"/>
    </row>
    <row r="20762" spans="17:17" x14ac:dyDescent="0.25">
      <c r="Q20762" s="8"/>
    </row>
    <row r="20763" spans="17:17" x14ac:dyDescent="0.25">
      <c r="Q20763" s="8"/>
    </row>
    <row r="20764" spans="17:17" x14ac:dyDescent="0.25">
      <c r="Q20764" s="8"/>
    </row>
    <row r="20765" spans="17:17" x14ac:dyDescent="0.25">
      <c r="Q20765" s="8"/>
    </row>
    <row r="20766" spans="17:17" x14ac:dyDescent="0.25">
      <c r="Q20766" s="8"/>
    </row>
    <row r="20767" spans="17:17" x14ac:dyDescent="0.25">
      <c r="Q20767" s="8"/>
    </row>
    <row r="20768" spans="17:17" x14ac:dyDescent="0.25">
      <c r="Q20768" s="8"/>
    </row>
    <row r="20769" spans="17:17" x14ac:dyDescent="0.25">
      <c r="Q20769" s="8"/>
    </row>
    <row r="20770" spans="17:17" x14ac:dyDescent="0.25">
      <c r="Q20770" s="8"/>
    </row>
    <row r="20771" spans="17:17" x14ac:dyDescent="0.25">
      <c r="Q20771" s="8"/>
    </row>
    <row r="20772" spans="17:17" x14ac:dyDescent="0.25">
      <c r="Q20772" s="8"/>
    </row>
    <row r="20773" spans="17:17" x14ac:dyDescent="0.25">
      <c r="Q20773" s="8"/>
    </row>
    <row r="20774" spans="17:17" x14ac:dyDescent="0.25">
      <c r="Q20774" s="8"/>
    </row>
    <row r="20775" spans="17:17" x14ac:dyDescent="0.25">
      <c r="Q20775" s="8"/>
    </row>
    <row r="20776" spans="17:17" x14ac:dyDescent="0.25">
      <c r="Q20776" s="8"/>
    </row>
    <row r="20777" spans="17:17" x14ac:dyDescent="0.25">
      <c r="Q20777" s="8"/>
    </row>
    <row r="20778" spans="17:17" x14ac:dyDescent="0.25">
      <c r="Q20778" s="8"/>
    </row>
    <row r="20779" spans="17:17" x14ac:dyDescent="0.25">
      <c r="Q20779" s="8"/>
    </row>
    <row r="20780" spans="17:17" x14ac:dyDescent="0.25">
      <c r="Q20780" s="8"/>
    </row>
    <row r="20781" spans="17:17" x14ac:dyDescent="0.25">
      <c r="Q20781" s="8"/>
    </row>
    <row r="20782" spans="17:17" x14ac:dyDescent="0.25">
      <c r="Q20782" s="8"/>
    </row>
    <row r="20783" spans="17:17" x14ac:dyDescent="0.25">
      <c r="Q20783" s="8"/>
    </row>
    <row r="20784" spans="17:17" x14ac:dyDescent="0.25">
      <c r="Q20784" s="8"/>
    </row>
    <row r="20785" spans="17:17" x14ac:dyDescent="0.25">
      <c r="Q20785" s="8"/>
    </row>
    <row r="20786" spans="17:17" x14ac:dyDescent="0.25">
      <c r="Q20786" s="8"/>
    </row>
    <row r="20787" spans="17:17" x14ac:dyDescent="0.25">
      <c r="Q20787" s="8"/>
    </row>
    <row r="20788" spans="17:17" x14ac:dyDescent="0.25">
      <c r="Q20788" s="8"/>
    </row>
    <row r="20789" spans="17:17" x14ac:dyDescent="0.25">
      <c r="Q20789" s="8"/>
    </row>
    <row r="20790" spans="17:17" x14ac:dyDescent="0.25">
      <c r="Q20790" s="8"/>
    </row>
    <row r="20791" spans="17:17" x14ac:dyDescent="0.25">
      <c r="Q20791" s="8"/>
    </row>
    <row r="20792" spans="17:17" x14ac:dyDescent="0.25">
      <c r="Q20792" s="8"/>
    </row>
    <row r="20793" spans="17:17" x14ac:dyDescent="0.25">
      <c r="Q20793" s="8"/>
    </row>
    <row r="20794" spans="17:17" x14ac:dyDescent="0.25">
      <c r="Q20794" s="8"/>
    </row>
    <row r="20795" spans="17:17" x14ac:dyDescent="0.25">
      <c r="Q20795" s="8"/>
    </row>
    <row r="20796" spans="17:17" x14ac:dyDescent="0.25">
      <c r="Q20796" s="8"/>
    </row>
    <row r="20797" spans="17:17" x14ac:dyDescent="0.25">
      <c r="Q20797" s="8"/>
    </row>
    <row r="20798" spans="17:17" x14ac:dyDescent="0.25">
      <c r="Q20798" s="8"/>
    </row>
    <row r="20799" spans="17:17" x14ac:dyDescent="0.25">
      <c r="Q20799" s="8"/>
    </row>
    <row r="20800" spans="17:17" x14ac:dyDescent="0.25">
      <c r="Q20800" s="8"/>
    </row>
    <row r="20801" spans="17:17" x14ac:dyDescent="0.25">
      <c r="Q20801" s="8"/>
    </row>
    <row r="20802" spans="17:17" x14ac:dyDescent="0.25">
      <c r="Q20802" s="8"/>
    </row>
    <row r="20803" spans="17:17" x14ac:dyDescent="0.25">
      <c r="Q20803" s="8"/>
    </row>
    <row r="20804" spans="17:17" x14ac:dyDescent="0.25">
      <c r="Q20804" s="8"/>
    </row>
    <row r="20805" spans="17:17" x14ac:dyDescent="0.25">
      <c r="Q20805" s="8"/>
    </row>
    <row r="20806" spans="17:17" x14ac:dyDescent="0.25">
      <c r="Q20806" s="8"/>
    </row>
    <row r="20807" spans="17:17" x14ac:dyDescent="0.25">
      <c r="Q20807" s="8"/>
    </row>
    <row r="20808" spans="17:17" x14ac:dyDescent="0.25">
      <c r="Q20808" s="8"/>
    </row>
    <row r="20809" spans="17:17" x14ac:dyDescent="0.25">
      <c r="Q20809" s="8"/>
    </row>
    <row r="20810" spans="17:17" x14ac:dyDescent="0.25">
      <c r="Q20810" s="8"/>
    </row>
    <row r="20811" spans="17:17" x14ac:dyDescent="0.25">
      <c r="Q20811" s="8"/>
    </row>
    <row r="20812" spans="17:17" x14ac:dyDescent="0.25">
      <c r="Q20812" s="8"/>
    </row>
    <row r="20813" spans="17:17" x14ac:dyDescent="0.25">
      <c r="Q20813" s="8"/>
    </row>
    <row r="20814" spans="17:17" x14ac:dyDescent="0.25">
      <c r="Q20814" s="8"/>
    </row>
    <row r="20815" spans="17:17" x14ac:dyDescent="0.25">
      <c r="Q20815" s="8"/>
    </row>
    <row r="20816" spans="17:17" x14ac:dyDescent="0.25">
      <c r="Q20816" s="8"/>
    </row>
    <row r="20817" spans="17:17" x14ac:dyDescent="0.25">
      <c r="Q20817" s="8"/>
    </row>
    <row r="20818" spans="17:17" x14ac:dyDescent="0.25">
      <c r="Q20818" s="8"/>
    </row>
    <row r="20819" spans="17:17" x14ac:dyDescent="0.25">
      <c r="Q20819" s="8"/>
    </row>
    <row r="20820" spans="17:17" x14ac:dyDescent="0.25">
      <c r="Q20820" s="8"/>
    </row>
    <row r="20821" spans="17:17" x14ac:dyDescent="0.25">
      <c r="Q20821" s="8"/>
    </row>
    <row r="20822" spans="17:17" x14ac:dyDescent="0.25">
      <c r="Q20822" s="8"/>
    </row>
    <row r="20823" spans="17:17" x14ac:dyDescent="0.25">
      <c r="Q20823" s="8"/>
    </row>
    <row r="20824" spans="17:17" x14ac:dyDescent="0.25">
      <c r="Q20824" s="8"/>
    </row>
    <row r="20825" spans="17:17" x14ac:dyDescent="0.25">
      <c r="Q20825" s="8"/>
    </row>
    <row r="20826" spans="17:17" x14ac:dyDescent="0.25">
      <c r="Q20826" s="8"/>
    </row>
    <row r="20827" spans="17:17" x14ac:dyDescent="0.25">
      <c r="Q20827" s="8"/>
    </row>
    <row r="20828" spans="17:17" x14ac:dyDescent="0.25">
      <c r="Q20828" s="8"/>
    </row>
    <row r="20829" spans="17:17" x14ac:dyDescent="0.25">
      <c r="Q20829" s="8"/>
    </row>
    <row r="20830" spans="17:17" x14ac:dyDescent="0.25">
      <c r="Q20830" s="8"/>
    </row>
    <row r="20831" spans="17:17" x14ac:dyDescent="0.25">
      <c r="Q20831" s="8"/>
    </row>
    <row r="20832" spans="17:17" x14ac:dyDescent="0.25">
      <c r="Q20832" s="8"/>
    </row>
    <row r="20833" spans="17:17" x14ac:dyDescent="0.25">
      <c r="Q20833" s="8"/>
    </row>
    <row r="20834" spans="17:17" x14ac:dyDescent="0.25">
      <c r="Q20834" s="8"/>
    </row>
    <row r="20835" spans="17:17" x14ac:dyDescent="0.25">
      <c r="Q20835" s="8"/>
    </row>
    <row r="20836" spans="17:17" x14ac:dyDescent="0.25">
      <c r="Q20836" s="8"/>
    </row>
    <row r="20837" spans="17:17" x14ac:dyDescent="0.25">
      <c r="Q20837" s="8"/>
    </row>
    <row r="20838" spans="17:17" x14ac:dyDescent="0.25">
      <c r="Q20838" s="8"/>
    </row>
    <row r="20839" spans="17:17" x14ac:dyDescent="0.25">
      <c r="Q20839" s="8"/>
    </row>
    <row r="20840" spans="17:17" x14ac:dyDescent="0.25">
      <c r="Q20840" s="8"/>
    </row>
    <row r="20841" spans="17:17" x14ac:dyDescent="0.25">
      <c r="Q20841" s="8"/>
    </row>
    <row r="20842" spans="17:17" x14ac:dyDescent="0.25">
      <c r="Q20842" s="8"/>
    </row>
    <row r="20843" spans="17:17" x14ac:dyDescent="0.25">
      <c r="Q20843" s="8"/>
    </row>
    <row r="20844" spans="17:17" x14ac:dyDescent="0.25">
      <c r="Q20844" s="8"/>
    </row>
    <row r="20845" spans="17:17" x14ac:dyDescent="0.25">
      <c r="Q20845" s="8"/>
    </row>
    <row r="20846" spans="17:17" x14ac:dyDescent="0.25">
      <c r="Q20846" s="8"/>
    </row>
    <row r="20847" spans="17:17" x14ac:dyDescent="0.25">
      <c r="Q20847" s="8"/>
    </row>
    <row r="20848" spans="17:17" x14ac:dyDescent="0.25">
      <c r="Q20848" s="8"/>
    </row>
    <row r="20849" spans="17:17" x14ac:dyDescent="0.25">
      <c r="Q20849" s="8"/>
    </row>
    <row r="20850" spans="17:17" x14ac:dyDescent="0.25">
      <c r="Q20850" s="8"/>
    </row>
    <row r="20851" spans="17:17" x14ac:dyDescent="0.25">
      <c r="Q20851" s="8"/>
    </row>
    <row r="20852" spans="17:17" x14ac:dyDescent="0.25">
      <c r="Q20852" s="8"/>
    </row>
    <row r="20853" spans="17:17" x14ac:dyDescent="0.25">
      <c r="Q20853" s="8"/>
    </row>
    <row r="20854" spans="17:17" x14ac:dyDescent="0.25">
      <c r="Q20854" s="8"/>
    </row>
    <row r="20855" spans="17:17" x14ac:dyDescent="0.25">
      <c r="Q20855" s="8"/>
    </row>
    <row r="20856" spans="17:17" x14ac:dyDescent="0.25">
      <c r="Q20856" s="8"/>
    </row>
    <row r="20857" spans="17:17" x14ac:dyDescent="0.25">
      <c r="Q20857" s="8"/>
    </row>
    <row r="20858" spans="17:17" x14ac:dyDescent="0.25">
      <c r="Q20858" s="8"/>
    </row>
    <row r="20859" spans="17:17" x14ac:dyDescent="0.25">
      <c r="Q20859" s="8"/>
    </row>
    <row r="20860" spans="17:17" x14ac:dyDescent="0.25">
      <c r="Q20860" s="8"/>
    </row>
    <row r="20861" spans="17:17" x14ac:dyDescent="0.25">
      <c r="Q20861" s="8"/>
    </row>
    <row r="20862" spans="17:17" x14ac:dyDescent="0.25">
      <c r="Q20862" s="8"/>
    </row>
    <row r="20863" spans="17:17" x14ac:dyDescent="0.25">
      <c r="Q20863" s="8"/>
    </row>
    <row r="20864" spans="17:17" x14ac:dyDescent="0.25">
      <c r="Q20864" s="8"/>
    </row>
    <row r="20865" spans="17:17" x14ac:dyDescent="0.25">
      <c r="Q20865" s="8"/>
    </row>
    <row r="20866" spans="17:17" x14ac:dyDescent="0.25">
      <c r="Q20866" s="8"/>
    </row>
    <row r="20867" spans="17:17" x14ac:dyDescent="0.25">
      <c r="Q20867" s="8"/>
    </row>
    <row r="20868" spans="17:17" x14ac:dyDescent="0.25">
      <c r="Q20868" s="8"/>
    </row>
    <row r="20869" spans="17:17" x14ac:dyDescent="0.25">
      <c r="Q20869" s="8"/>
    </row>
    <row r="20870" spans="17:17" x14ac:dyDescent="0.25">
      <c r="Q20870" s="8"/>
    </row>
    <row r="20871" spans="17:17" x14ac:dyDescent="0.25">
      <c r="Q20871" s="8"/>
    </row>
    <row r="20872" spans="17:17" x14ac:dyDescent="0.25">
      <c r="Q20872" s="8"/>
    </row>
    <row r="20873" spans="17:17" x14ac:dyDescent="0.25">
      <c r="Q20873" s="8"/>
    </row>
    <row r="20874" spans="17:17" x14ac:dyDescent="0.25">
      <c r="Q20874" s="8"/>
    </row>
    <row r="20875" spans="17:17" x14ac:dyDescent="0.25">
      <c r="Q20875" s="8"/>
    </row>
    <row r="20876" spans="17:17" x14ac:dyDescent="0.25">
      <c r="Q20876" s="8"/>
    </row>
    <row r="20877" spans="17:17" x14ac:dyDescent="0.25">
      <c r="Q20877" s="8"/>
    </row>
    <row r="20878" spans="17:17" x14ac:dyDescent="0.25">
      <c r="Q20878" s="8"/>
    </row>
    <row r="20879" spans="17:17" x14ac:dyDescent="0.25">
      <c r="Q20879" s="8"/>
    </row>
    <row r="20880" spans="17:17" x14ac:dyDescent="0.25">
      <c r="Q20880" s="8"/>
    </row>
    <row r="20881" spans="17:17" x14ac:dyDescent="0.25">
      <c r="Q20881" s="8"/>
    </row>
    <row r="20882" spans="17:17" x14ac:dyDescent="0.25">
      <c r="Q20882" s="8"/>
    </row>
    <row r="20883" spans="17:17" x14ac:dyDescent="0.25">
      <c r="Q20883" s="8"/>
    </row>
    <row r="20884" spans="17:17" x14ac:dyDescent="0.25">
      <c r="Q20884" s="8"/>
    </row>
    <row r="20885" spans="17:17" x14ac:dyDescent="0.25">
      <c r="Q20885" s="8"/>
    </row>
    <row r="20886" spans="17:17" x14ac:dyDescent="0.25">
      <c r="Q20886" s="8"/>
    </row>
    <row r="20887" spans="17:17" x14ac:dyDescent="0.25">
      <c r="Q20887" s="8"/>
    </row>
    <row r="20888" spans="17:17" x14ac:dyDescent="0.25">
      <c r="Q20888" s="8"/>
    </row>
    <row r="20889" spans="17:17" x14ac:dyDescent="0.25">
      <c r="Q20889" s="8"/>
    </row>
    <row r="20890" spans="17:17" x14ac:dyDescent="0.25">
      <c r="Q20890" s="8"/>
    </row>
    <row r="20891" spans="17:17" x14ac:dyDescent="0.25">
      <c r="Q20891" s="8"/>
    </row>
    <row r="20892" spans="17:17" x14ac:dyDescent="0.25">
      <c r="Q20892" s="8"/>
    </row>
    <row r="20893" spans="17:17" x14ac:dyDescent="0.25">
      <c r="Q20893" s="8"/>
    </row>
    <row r="20894" spans="17:17" x14ac:dyDescent="0.25">
      <c r="Q20894" s="8"/>
    </row>
    <row r="20895" spans="17:17" x14ac:dyDescent="0.25">
      <c r="Q20895" s="8"/>
    </row>
    <row r="20896" spans="17:17" x14ac:dyDescent="0.25">
      <c r="Q20896" s="8"/>
    </row>
    <row r="20897" spans="17:17" x14ac:dyDescent="0.25">
      <c r="Q20897" s="8"/>
    </row>
    <row r="20898" spans="17:17" x14ac:dyDescent="0.25">
      <c r="Q20898" s="8"/>
    </row>
    <row r="20899" spans="17:17" x14ac:dyDescent="0.25">
      <c r="Q20899" s="8"/>
    </row>
    <row r="20900" spans="17:17" x14ac:dyDescent="0.25">
      <c r="Q20900" s="8"/>
    </row>
    <row r="20901" spans="17:17" x14ac:dyDescent="0.25">
      <c r="Q20901" s="8"/>
    </row>
    <row r="20902" spans="17:17" x14ac:dyDescent="0.25">
      <c r="Q20902" s="8"/>
    </row>
    <row r="20903" spans="17:17" x14ac:dyDescent="0.25">
      <c r="Q20903" s="8"/>
    </row>
    <row r="20904" spans="17:17" x14ac:dyDescent="0.25">
      <c r="Q20904" s="8"/>
    </row>
    <row r="20905" spans="17:17" x14ac:dyDescent="0.25">
      <c r="Q20905" s="8"/>
    </row>
    <row r="20906" spans="17:17" x14ac:dyDescent="0.25">
      <c r="Q20906" s="8"/>
    </row>
    <row r="20907" spans="17:17" x14ac:dyDescent="0.25">
      <c r="Q20907" s="8"/>
    </row>
    <row r="20908" spans="17:17" x14ac:dyDescent="0.25">
      <c r="Q20908" s="8"/>
    </row>
    <row r="20909" spans="17:17" x14ac:dyDescent="0.25">
      <c r="Q20909" s="8"/>
    </row>
    <row r="20910" spans="17:17" x14ac:dyDescent="0.25">
      <c r="Q20910" s="8"/>
    </row>
    <row r="20911" spans="17:17" x14ac:dyDescent="0.25">
      <c r="Q20911" s="8"/>
    </row>
    <row r="20912" spans="17:17" x14ac:dyDescent="0.25">
      <c r="Q20912" s="8"/>
    </row>
    <row r="20913" spans="17:17" x14ac:dyDescent="0.25">
      <c r="Q20913" s="8"/>
    </row>
    <row r="20914" spans="17:17" x14ac:dyDescent="0.25">
      <c r="Q20914" s="8"/>
    </row>
    <row r="20915" spans="17:17" x14ac:dyDescent="0.25">
      <c r="Q20915" s="8"/>
    </row>
    <row r="20916" spans="17:17" x14ac:dyDescent="0.25">
      <c r="Q20916" s="8"/>
    </row>
    <row r="20917" spans="17:17" x14ac:dyDescent="0.25">
      <c r="Q20917" s="8"/>
    </row>
    <row r="20918" spans="17:17" x14ac:dyDescent="0.25">
      <c r="Q20918" s="8"/>
    </row>
    <row r="20919" spans="17:17" x14ac:dyDescent="0.25">
      <c r="Q20919" s="8"/>
    </row>
    <row r="20920" spans="17:17" x14ac:dyDescent="0.25">
      <c r="Q20920" s="8"/>
    </row>
    <row r="20921" spans="17:17" x14ac:dyDescent="0.25">
      <c r="Q20921" s="8"/>
    </row>
    <row r="20922" spans="17:17" x14ac:dyDescent="0.25">
      <c r="Q20922" s="8"/>
    </row>
    <row r="20923" spans="17:17" x14ac:dyDescent="0.25">
      <c r="Q20923" s="8"/>
    </row>
    <row r="20924" spans="17:17" x14ac:dyDescent="0.25">
      <c r="Q20924" s="8"/>
    </row>
    <row r="20925" spans="17:17" x14ac:dyDescent="0.25">
      <c r="Q20925" s="8"/>
    </row>
    <row r="20926" spans="17:17" x14ac:dyDescent="0.25">
      <c r="Q20926" s="8"/>
    </row>
    <row r="20927" spans="17:17" x14ac:dyDescent="0.25">
      <c r="Q20927" s="8"/>
    </row>
    <row r="20928" spans="17:17" x14ac:dyDescent="0.25">
      <c r="Q20928" s="8"/>
    </row>
    <row r="20929" spans="17:17" x14ac:dyDescent="0.25">
      <c r="Q20929" s="8"/>
    </row>
    <row r="20930" spans="17:17" x14ac:dyDescent="0.25">
      <c r="Q20930" s="8"/>
    </row>
    <row r="20931" spans="17:17" x14ac:dyDescent="0.25">
      <c r="Q20931" s="8"/>
    </row>
    <row r="20932" spans="17:17" x14ac:dyDescent="0.25">
      <c r="Q20932" s="8"/>
    </row>
    <row r="20933" spans="17:17" x14ac:dyDescent="0.25">
      <c r="Q20933" s="8"/>
    </row>
    <row r="20934" spans="17:17" x14ac:dyDescent="0.25">
      <c r="Q20934" s="8"/>
    </row>
    <row r="20935" spans="17:17" x14ac:dyDescent="0.25">
      <c r="Q20935" s="8"/>
    </row>
    <row r="20936" spans="17:17" x14ac:dyDescent="0.25">
      <c r="Q20936" s="8"/>
    </row>
    <row r="20937" spans="17:17" x14ac:dyDescent="0.25">
      <c r="Q20937" s="8"/>
    </row>
    <row r="20938" spans="17:17" x14ac:dyDescent="0.25">
      <c r="Q20938" s="8"/>
    </row>
    <row r="20939" spans="17:17" x14ac:dyDescent="0.25">
      <c r="Q20939" s="8"/>
    </row>
    <row r="20940" spans="17:17" x14ac:dyDescent="0.25">
      <c r="Q20940" s="8"/>
    </row>
    <row r="20941" spans="17:17" x14ac:dyDescent="0.25">
      <c r="Q20941" s="8"/>
    </row>
    <row r="20942" spans="17:17" x14ac:dyDescent="0.25">
      <c r="Q20942" s="8"/>
    </row>
    <row r="20943" spans="17:17" x14ac:dyDescent="0.25">
      <c r="Q20943" s="8"/>
    </row>
    <row r="20944" spans="17:17" x14ac:dyDescent="0.25">
      <c r="Q20944" s="8"/>
    </row>
    <row r="20945" spans="17:17" x14ac:dyDescent="0.25">
      <c r="Q20945" s="8"/>
    </row>
    <row r="20946" spans="17:17" x14ac:dyDescent="0.25">
      <c r="Q20946" s="8"/>
    </row>
    <row r="20947" spans="17:17" x14ac:dyDescent="0.25">
      <c r="Q20947" s="8"/>
    </row>
    <row r="20948" spans="17:17" x14ac:dyDescent="0.25">
      <c r="Q20948" s="8"/>
    </row>
    <row r="20949" spans="17:17" x14ac:dyDescent="0.25">
      <c r="Q20949" s="8"/>
    </row>
    <row r="20950" spans="17:17" x14ac:dyDescent="0.25">
      <c r="Q20950" s="8"/>
    </row>
    <row r="20951" spans="17:17" x14ac:dyDescent="0.25">
      <c r="Q20951" s="8"/>
    </row>
    <row r="20952" spans="17:17" x14ac:dyDescent="0.25">
      <c r="Q20952" s="8"/>
    </row>
    <row r="20953" spans="17:17" x14ac:dyDescent="0.25">
      <c r="Q20953" s="8"/>
    </row>
    <row r="20954" spans="17:17" x14ac:dyDescent="0.25">
      <c r="Q20954" s="8"/>
    </row>
    <row r="20955" spans="17:17" x14ac:dyDescent="0.25">
      <c r="Q20955" s="8"/>
    </row>
    <row r="20956" spans="17:17" x14ac:dyDescent="0.25">
      <c r="Q20956" s="8"/>
    </row>
    <row r="20957" spans="17:17" x14ac:dyDescent="0.25">
      <c r="Q20957" s="8"/>
    </row>
    <row r="20958" spans="17:17" x14ac:dyDescent="0.25">
      <c r="Q20958" s="8"/>
    </row>
    <row r="20959" spans="17:17" x14ac:dyDescent="0.25">
      <c r="Q20959" s="8"/>
    </row>
    <row r="20960" spans="17:17" x14ac:dyDescent="0.25">
      <c r="Q20960" s="8"/>
    </row>
    <row r="20961" spans="17:17" x14ac:dyDescent="0.25">
      <c r="Q20961" s="8"/>
    </row>
    <row r="20962" spans="17:17" x14ac:dyDescent="0.25">
      <c r="Q20962" s="8"/>
    </row>
    <row r="20963" spans="17:17" x14ac:dyDescent="0.25">
      <c r="Q20963" s="8"/>
    </row>
    <row r="20964" spans="17:17" x14ac:dyDescent="0.25">
      <c r="Q20964" s="8"/>
    </row>
    <row r="20965" spans="17:17" x14ac:dyDescent="0.25">
      <c r="Q20965" s="8"/>
    </row>
    <row r="20966" spans="17:17" x14ac:dyDescent="0.25">
      <c r="Q20966" s="8"/>
    </row>
    <row r="20967" spans="17:17" x14ac:dyDescent="0.25">
      <c r="Q20967" s="8"/>
    </row>
    <row r="20968" spans="17:17" x14ac:dyDescent="0.25">
      <c r="Q20968" s="8"/>
    </row>
    <row r="20969" spans="17:17" x14ac:dyDescent="0.25">
      <c r="Q20969" s="8"/>
    </row>
    <row r="20970" spans="17:17" x14ac:dyDescent="0.25">
      <c r="Q20970" s="8"/>
    </row>
    <row r="20971" spans="17:17" x14ac:dyDescent="0.25">
      <c r="Q20971" s="8"/>
    </row>
    <row r="20972" spans="17:17" x14ac:dyDescent="0.25">
      <c r="Q20972" s="8"/>
    </row>
    <row r="20973" spans="17:17" x14ac:dyDescent="0.25">
      <c r="Q20973" s="8"/>
    </row>
    <row r="20974" spans="17:17" x14ac:dyDescent="0.25">
      <c r="Q20974" s="8"/>
    </row>
    <row r="20975" spans="17:17" x14ac:dyDescent="0.25">
      <c r="Q20975" s="8"/>
    </row>
    <row r="20976" spans="17:17" x14ac:dyDescent="0.25">
      <c r="Q20976" s="8"/>
    </row>
    <row r="20977" spans="17:17" x14ac:dyDescent="0.25">
      <c r="Q20977" s="8"/>
    </row>
    <row r="20978" spans="17:17" x14ac:dyDescent="0.25">
      <c r="Q20978" s="8"/>
    </row>
    <row r="20979" spans="17:17" x14ac:dyDescent="0.25">
      <c r="Q20979" s="8"/>
    </row>
    <row r="20980" spans="17:17" x14ac:dyDescent="0.25">
      <c r="Q20980" s="8"/>
    </row>
    <row r="20981" spans="17:17" x14ac:dyDescent="0.25">
      <c r="Q20981" s="8"/>
    </row>
    <row r="20982" spans="17:17" x14ac:dyDescent="0.25">
      <c r="Q20982" s="8"/>
    </row>
    <row r="20983" spans="17:17" x14ac:dyDescent="0.25">
      <c r="Q20983" s="8"/>
    </row>
    <row r="20984" spans="17:17" x14ac:dyDescent="0.25">
      <c r="Q20984" s="8"/>
    </row>
    <row r="20985" spans="17:17" x14ac:dyDescent="0.25">
      <c r="Q20985" s="8"/>
    </row>
    <row r="20986" spans="17:17" x14ac:dyDescent="0.25">
      <c r="Q20986" s="8"/>
    </row>
    <row r="20987" spans="17:17" x14ac:dyDescent="0.25">
      <c r="Q20987" s="8"/>
    </row>
    <row r="20988" spans="17:17" x14ac:dyDescent="0.25">
      <c r="Q20988" s="8"/>
    </row>
    <row r="20989" spans="17:17" x14ac:dyDescent="0.25">
      <c r="Q20989" s="8"/>
    </row>
    <row r="20990" spans="17:17" x14ac:dyDescent="0.25">
      <c r="Q20990" s="8"/>
    </row>
    <row r="20991" spans="17:17" x14ac:dyDescent="0.25">
      <c r="Q20991" s="8"/>
    </row>
    <row r="20992" spans="17:17" x14ac:dyDescent="0.25">
      <c r="Q20992" s="8"/>
    </row>
    <row r="20993" spans="17:17" x14ac:dyDescent="0.25">
      <c r="Q20993" s="8"/>
    </row>
    <row r="20994" spans="17:17" x14ac:dyDescent="0.25">
      <c r="Q20994" s="8"/>
    </row>
    <row r="20995" spans="17:17" x14ac:dyDescent="0.25">
      <c r="Q20995" s="8"/>
    </row>
    <row r="20996" spans="17:17" x14ac:dyDescent="0.25">
      <c r="Q20996" s="8"/>
    </row>
    <row r="20997" spans="17:17" x14ac:dyDescent="0.25">
      <c r="Q20997" s="8"/>
    </row>
    <row r="20998" spans="17:17" x14ac:dyDescent="0.25">
      <c r="Q20998" s="8"/>
    </row>
    <row r="20999" spans="17:17" x14ac:dyDescent="0.25">
      <c r="Q20999" s="8"/>
    </row>
    <row r="21000" spans="17:17" x14ac:dyDescent="0.25">
      <c r="Q21000" s="8"/>
    </row>
    <row r="21001" spans="17:17" x14ac:dyDescent="0.25">
      <c r="Q21001" s="8"/>
    </row>
    <row r="21002" spans="17:17" x14ac:dyDescent="0.25">
      <c r="Q21002" s="8"/>
    </row>
    <row r="21003" spans="17:17" x14ac:dyDescent="0.25">
      <c r="Q21003" s="8"/>
    </row>
    <row r="21004" spans="17:17" x14ac:dyDescent="0.25">
      <c r="Q21004" s="8"/>
    </row>
    <row r="21005" spans="17:17" x14ac:dyDescent="0.25">
      <c r="Q21005" s="8"/>
    </row>
    <row r="21006" spans="17:17" x14ac:dyDescent="0.25">
      <c r="Q21006" s="8"/>
    </row>
    <row r="21007" spans="17:17" x14ac:dyDescent="0.25">
      <c r="Q21007" s="8"/>
    </row>
    <row r="21008" spans="17:17" x14ac:dyDescent="0.25">
      <c r="Q21008" s="8"/>
    </row>
    <row r="21009" spans="17:17" x14ac:dyDescent="0.25">
      <c r="Q21009" s="8"/>
    </row>
    <row r="21010" spans="17:17" x14ac:dyDescent="0.25">
      <c r="Q21010" s="8"/>
    </row>
    <row r="21011" spans="17:17" x14ac:dyDescent="0.25">
      <c r="Q21011" s="8"/>
    </row>
    <row r="21012" spans="17:17" x14ac:dyDescent="0.25">
      <c r="Q21012" s="8"/>
    </row>
    <row r="21013" spans="17:17" x14ac:dyDescent="0.25">
      <c r="Q21013" s="8"/>
    </row>
    <row r="21014" spans="17:17" x14ac:dyDescent="0.25">
      <c r="Q21014" s="8"/>
    </row>
    <row r="21015" spans="17:17" x14ac:dyDescent="0.25">
      <c r="Q21015" s="8"/>
    </row>
    <row r="21016" spans="17:17" x14ac:dyDescent="0.25">
      <c r="Q21016" s="8"/>
    </row>
    <row r="21017" spans="17:17" x14ac:dyDescent="0.25">
      <c r="Q21017" s="8"/>
    </row>
    <row r="21018" spans="17:17" x14ac:dyDescent="0.25">
      <c r="Q21018" s="8"/>
    </row>
    <row r="21019" spans="17:17" x14ac:dyDescent="0.25">
      <c r="Q21019" s="8"/>
    </row>
    <row r="21020" spans="17:17" x14ac:dyDescent="0.25">
      <c r="Q21020" s="8"/>
    </row>
    <row r="21021" spans="17:17" x14ac:dyDescent="0.25">
      <c r="Q21021" s="8"/>
    </row>
    <row r="21022" spans="17:17" x14ac:dyDescent="0.25">
      <c r="Q21022" s="8"/>
    </row>
    <row r="21023" spans="17:17" x14ac:dyDescent="0.25">
      <c r="Q21023" s="8"/>
    </row>
    <row r="21024" spans="17:17" x14ac:dyDescent="0.25">
      <c r="Q21024" s="8"/>
    </row>
    <row r="21025" spans="17:17" x14ac:dyDescent="0.25">
      <c r="Q21025" s="8"/>
    </row>
    <row r="21026" spans="17:17" x14ac:dyDescent="0.25">
      <c r="Q21026" s="8"/>
    </row>
    <row r="21027" spans="17:17" x14ac:dyDescent="0.25">
      <c r="Q21027" s="8"/>
    </row>
    <row r="21028" spans="17:17" x14ac:dyDescent="0.25">
      <c r="Q21028" s="8"/>
    </row>
    <row r="21029" spans="17:17" x14ac:dyDescent="0.25">
      <c r="Q21029" s="8"/>
    </row>
    <row r="21030" spans="17:17" x14ac:dyDescent="0.25">
      <c r="Q21030" s="8"/>
    </row>
    <row r="21031" spans="17:17" x14ac:dyDescent="0.25">
      <c r="Q21031" s="8"/>
    </row>
    <row r="21032" spans="17:17" x14ac:dyDescent="0.25">
      <c r="Q21032" s="8"/>
    </row>
    <row r="21033" spans="17:17" x14ac:dyDescent="0.25">
      <c r="Q21033" s="8"/>
    </row>
    <row r="21034" spans="17:17" x14ac:dyDescent="0.25">
      <c r="Q21034" s="8"/>
    </row>
    <row r="21035" spans="17:17" x14ac:dyDescent="0.25">
      <c r="Q21035" s="8"/>
    </row>
    <row r="21036" spans="17:17" x14ac:dyDescent="0.25">
      <c r="Q21036" s="8"/>
    </row>
    <row r="21037" spans="17:17" x14ac:dyDescent="0.25">
      <c r="Q21037" s="8"/>
    </row>
    <row r="21038" spans="17:17" x14ac:dyDescent="0.25">
      <c r="Q21038" s="8"/>
    </row>
    <row r="21039" spans="17:17" x14ac:dyDescent="0.25">
      <c r="Q21039" s="8"/>
    </row>
    <row r="21040" spans="17:17" x14ac:dyDescent="0.25">
      <c r="Q21040" s="8"/>
    </row>
    <row r="21041" spans="17:17" x14ac:dyDescent="0.25">
      <c r="Q21041" s="8"/>
    </row>
    <row r="21042" spans="17:17" x14ac:dyDescent="0.25">
      <c r="Q21042" s="8"/>
    </row>
    <row r="21043" spans="17:17" x14ac:dyDescent="0.25">
      <c r="Q21043" s="8"/>
    </row>
    <row r="21044" spans="17:17" x14ac:dyDescent="0.25">
      <c r="Q21044" s="8"/>
    </row>
    <row r="21045" spans="17:17" x14ac:dyDescent="0.25">
      <c r="Q21045" s="8"/>
    </row>
    <row r="21046" spans="17:17" x14ac:dyDescent="0.25">
      <c r="Q21046" s="8"/>
    </row>
    <row r="21047" spans="17:17" x14ac:dyDescent="0.25">
      <c r="Q21047" s="8"/>
    </row>
    <row r="21048" spans="17:17" x14ac:dyDescent="0.25">
      <c r="Q21048" s="8"/>
    </row>
    <row r="21049" spans="17:17" x14ac:dyDescent="0.25">
      <c r="Q21049" s="8"/>
    </row>
    <row r="21050" spans="17:17" x14ac:dyDescent="0.25">
      <c r="Q21050" s="8"/>
    </row>
    <row r="21051" spans="17:17" x14ac:dyDescent="0.25">
      <c r="Q21051" s="8"/>
    </row>
    <row r="21052" spans="17:17" x14ac:dyDescent="0.25">
      <c r="Q21052" s="8"/>
    </row>
    <row r="21053" spans="17:17" x14ac:dyDescent="0.25">
      <c r="Q21053" s="8"/>
    </row>
    <row r="21054" spans="17:17" x14ac:dyDescent="0.25">
      <c r="Q21054" s="8"/>
    </row>
    <row r="21055" spans="17:17" x14ac:dyDescent="0.25">
      <c r="Q21055" s="8"/>
    </row>
    <row r="21056" spans="17:17" x14ac:dyDescent="0.25">
      <c r="Q21056" s="8"/>
    </row>
    <row r="21057" spans="17:17" x14ac:dyDescent="0.25">
      <c r="Q21057" s="8"/>
    </row>
    <row r="21058" spans="17:17" x14ac:dyDescent="0.25">
      <c r="Q21058" s="8"/>
    </row>
    <row r="21059" spans="17:17" x14ac:dyDescent="0.25">
      <c r="Q21059" s="8"/>
    </row>
    <row r="21060" spans="17:17" x14ac:dyDescent="0.25">
      <c r="Q21060" s="8"/>
    </row>
    <row r="21061" spans="17:17" x14ac:dyDescent="0.25">
      <c r="Q21061" s="8"/>
    </row>
    <row r="21062" spans="17:17" x14ac:dyDescent="0.25">
      <c r="Q21062" s="8"/>
    </row>
    <row r="21063" spans="17:17" x14ac:dyDescent="0.25">
      <c r="Q21063" s="8"/>
    </row>
    <row r="21064" spans="17:17" x14ac:dyDescent="0.25">
      <c r="Q21064" s="8"/>
    </row>
    <row r="21065" spans="17:17" x14ac:dyDescent="0.25">
      <c r="Q21065" s="8"/>
    </row>
    <row r="21066" spans="17:17" x14ac:dyDescent="0.25">
      <c r="Q21066" s="8"/>
    </row>
    <row r="21067" spans="17:17" x14ac:dyDescent="0.25">
      <c r="Q21067" s="8"/>
    </row>
    <row r="21068" spans="17:17" x14ac:dyDescent="0.25">
      <c r="Q21068" s="8"/>
    </row>
    <row r="21069" spans="17:17" x14ac:dyDescent="0.25">
      <c r="Q21069" s="8"/>
    </row>
    <row r="21070" spans="17:17" x14ac:dyDescent="0.25">
      <c r="Q21070" s="8"/>
    </row>
    <row r="21071" spans="17:17" x14ac:dyDescent="0.25">
      <c r="Q21071" s="8"/>
    </row>
    <row r="21072" spans="17:17" x14ac:dyDescent="0.25">
      <c r="Q21072" s="8"/>
    </row>
    <row r="21073" spans="17:17" x14ac:dyDescent="0.25">
      <c r="Q21073" s="8"/>
    </row>
    <row r="21074" spans="17:17" x14ac:dyDescent="0.25">
      <c r="Q21074" s="8"/>
    </row>
    <row r="21075" spans="17:17" x14ac:dyDescent="0.25">
      <c r="Q21075" s="8"/>
    </row>
    <row r="21076" spans="17:17" x14ac:dyDescent="0.25">
      <c r="Q21076" s="8"/>
    </row>
    <row r="21077" spans="17:17" x14ac:dyDescent="0.25">
      <c r="Q21077" s="8"/>
    </row>
    <row r="21078" spans="17:17" x14ac:dyDescent="0.25">
      <c r="Q21078" s="8"/>
    </row>
    <row r="21079" spans="17:17" x14ac:dyDescent="0.25">
      <c r="Q21079" s="8"/>
    </row>
    <row r="21080" spans="17:17" x14ac:dyDescent="0.25">
      <c r="Q21080" s="8"/>
    </row>
    <row r="21081" spans="17:17" x14ac:dyDescent="0.25">
      <c r="Q21081" s="8"/>
    </row>
    <row r="21082" spans="17:17" x14ac:dyDescent="0.25">
      <c r="Q21082" s="8"/>
    </row>
    <row r="21083" spans="17:17" x14ac:dyDescent="0.25">
      <c r="Q21083" s="8"/>
    </row>
    <row r="21084" spans="17:17" x14ac:dyDescent="0.25">
      <c r="Q21084" s="8"/>
    </row>
    <row r="21085" spans="17:17" x14ac:dyDescent="0.25">
      <c r="Q21085" s="8"/>
    </row>
    <row r="21086" spans="17:17" x14ac:dyDescent="0.25">
      <c r="Q21086" s="8"/>
    </row>
    <row r="21087" spans="17:17" x14ac:dyDescent="0.25">
      <c r="Q21087" s="8"/>
    </row>
    <row r="21088" spans="17:17" x14ac:dyDescent="0.25">
      <c r="Q21088" s="8"/>
    </row>
    <row r="21089" spans="17:17" x14ac:dyDescent="0.25">
      <c r="Q21089" s="8"/>
    </row>
    <row r="21090" spans="17:17" x14ac:dyDescent="0.25">
      <c r="Q21090" s="8"/>
    </row>
    <row r="21091" spans="17:17" x14ac:dyDescent="0.25">
      <c r="Q21091" s="8"/>
    </row>
    <row r="21092" spans="17:17" x14ac:dyDescent="0.25">
      <c r="Q21092" s="8"/>
    </row>
    <row r="21093" spans="17:17" x14ac:dyDescent="0.25">
      <c r="Q21093" s="8"/>
    </row>
    <row r="21094" spans="17:17" x14ac:dyDescent="0.25">
      <c r="Q21094" s="8"/>
    </row>
    <row r="21095" spans="17:17" x14ac:dyDescent="0.25">
      <c r="Q21095" s="8"/>
    </row>
    <row r="21096" spans="17:17" x14ac:dyDescent="0.25">
      <c r="Q21096" s="8"/>
    </row>
    <row r="21097" spans="17:17" x14ac:dyDescent="0.25">
      <c r="Q21097" s="8"/>
    </row>
    <row r="21098" spans="17:17" x14ac:dyDescent="0.25">
      <c r="Q21098" s="8"/>
    </row>
    <row r="21099" spans="17:17" x14ac:dyDescent="0.25">
      <c r="Q21099" s="8"/>
    </row>
    <row r="21100" spans="17:17" x14ac:dyDescent="0.25">
      <c r="Q21100" s="8"/>
    </row>
    <row r="21101" spans="17:17" x14ac:dyDescent="0.25">
      <c r="Q21101" s="8"/>
    </row>
    <row r="21102" spans="17:17" x14ac:dyDescent="0.25">
      <c r="Q21102" s="8"/>
    </row>
    <row r="21103" spans="17:17" x14ac:dyDescent="0.25">
      <c r="Q21103" s="8"/>
    </row>
    <row r="21104" spans="17:17" x14ac:dyDescent="0.25">
      <c r="Q21104" s="8"/>
    </row>
    <row r="21105" spans="17:17" x14ac:dyDescent="0.25">
      <c r="Q21105" s="8"/>
    </row>
    <row r="21106" spans="17:17" x14ac:dyDescent="0.25">
      <c r="Q21106" s="8"/>
    </row>
    <row r="21107" spans="17:17" x14ac:dyDescent="0.25">
      <c r="Q21107" s="8"/>
    </row>
    <row r="21108" spans="17:17" x14ac:dyDescent="0.25">
      <c r="Q21108" s="8"/>
    </row>
    <row r="21109" spans="17:17" x14ac:dyDescent="0.25">
      <c r="Q21109" s="8"/>
    </row>
    <row r="21110" spans="17:17" x14ac:dyDescent="0.25">
      <c r="Q21110" s="8"/>
    </row>
    <row r="21111" spans="17:17" x14ac:dyDescent="0.25">
      <c r="Q21111" s="8"/>
    </row>
    <row r="21112" spans="17:17" x14ac:dyDescent="0.25">
      <c r="Q21112" s="8"/>
    </row>
    <row r="21113" spans="17:17" x14ac:dyDescent="0.25">
      <c r="Q21113" s="8"/>
    </row>
    <row r="21114" spans="17:17" x14ac:dyDescent="0.25">
      <c r="Q21114" s="8"/>
    </row>
    <row r="21115" spans="17:17" x14ac:dyDescent="0.25">
      <c r="Q21115" s="8"/>
    </row>
    <row r="21116" spans="17:17" x14ac:dyDescent="0.25">
      <c r="Q21116" s="8"/>
    </row>
    <row r="21117" spans="17:17" x14ac:dyDescent="0.25">
      <c r="Q21117" s="8"/>
    </row>
    <row r="21118" spans="17:17" x14ac:dyDescent="0.25">
      <c r="Q21118" s="8"/>
    </row>
    <row r="21119" spans="17:17" x14ac:dyDescent="0.25">
      <c r="Q21119" s="8"/>
    </row>
    <row r="21120" spans="17:17" x14ac:dyDescent="0.25">
      <c r="Q21120" s="8"/>
    </row>
    <row r="21121" spans="17:17" x14ac:dyDescent="0.25">
      <c r="Q21121" s="8"/>
    </row>
    <row r="21122" spans="17:17" x14ac:dyDescent="0.25">
      <c r="Q21122" s="8"/>
    </row>
    <row r="21123" spans="17:17" x14ac:dyDescent="0.25">
      <c r="Q21123" s="8"/>
    </row>
    <row r="21124" spans="17:17" x14ac:dyDescent="0.25">
      <c r="Q21124" s="8"/>
    </row>
    <row r="21125" spans="17:17" x14ac:dyDescent="0.25">
      <c r="Q21125" s="8"/>
    </row>
    <row r="21126" spans="17:17" x14ac:dyDescent="0.25">
      <c r="Q21126" s="8"/>
    </row>
    <row r="21127" spans="17:17" x14ac:dyDescent="0.25">
      <c r="Q21127" s="8"/>
    </row>
    <row r="21128" spans="17:17" x14ac:dyDescent="0.25">
      <c r="Q21128" s="8"/>
    </row>
    <row r="21129" spans="17:17" x14ac:dyDescent="0.25">
      <c r="Q21129" s="8"/>
    </row>
    <row r="21130" spans="17:17" x14ac:dyDescent="0.25">
      <c r="Q21130" s="8"/>
    </row>
    <row r="21131" spans="17:17" x14ac:dyDescent="0.25">
      <c r="Q21131" s="8"/>
    </row>
    <row r="21132" spans="17:17" x14ac:dyDescent="0.25">
      <c r="Q21132" s="8"/>
    </row>
    <row r="21133" spans="17:17" x14ac:dyDescent="0.25">
      <c r="Q21133" s="8"/>
    </row>
    <row r="21134" spans="17:17" x14ac:dyDescent="0.25">
      <c r="Q21134" s="8"/>
    </row>
    <row r="21135" spans="17:17" x14ac:dyDescent="0.25">
      <c r="Q21135" s="8"/>
    </row>
    <row r="21136" spans="17:17" x14ac:dyDescent="0.25">
      <c r="Q21136" s="8"/>
    </row>
    <row r="21137" spans="17:17" x14ac:dyDescent="0.25">
      <c r="Q21137" s="8"/>
    </row>
    <row r="21138" spans="17:17" x14ac:dyDescent="0.25">
      <c r="Q21138" s="8"/>
    </row>
    <row r="21139" spans="17:17" x14ac:dyDescent="0.25">
      <c r="Q21139" s="8"/>
    </row>
    <row r="21140" spans="17:17" x14ac:dyDescent="0.25">
      <c r="Q21140" s="8"/>
    </row>
    <row r="21141" spans="17:17" x14ac:dyDescent="0.25">
      <c r="Q21141" s="8"/>
    </row>
    <row r="21142" spans="17:17" x14ac:dyDescent="0.25">
      <c r="Q21142" s="8"/>
    </row>
    <row r="21143" spans="17:17" x14ac:dyDescent="0.25">
      <c r="Q21143" s="8"/>
    </row>
    <row r="21144" spans="17:17" x14ac:dyDescent="0.25">
      <c r="Q21144" s="8"/>
    </row>
    <row r="21145" spans="17:17" x14ac:dyDescent="0.25">
      <c r="Q21145" s="8"/>
    </row>
    <row r="21146" spans="17:17" x14ac:dyDescent="0.25">
      <c r="Q21146" s="8"/>
    </row>
    <row r="21147" spans="17:17" x14ac:dyDescent="0.25">
      <c r="Q21147" s="8"/>
    </row>
    <row r="21148" spans="17:17" x14ac:dyDescent="0.25">
      <c r="Q21148" s="8"/>
    </row>
    <row r="21149" spans="17:17" x14ac:dyDescent="0.25">
      <c r="Q21149" s="8"/>
    </row>
    <row r="21150" spans="17:17" x14ac:dyDescent="0.25">
      <c r="Q21150" s="8"/>
    </row>
    <row r="21151" spans="17:17" x14ac:dyDescent="0.25">
      <c r="Q21151" s="8"/>
    </row>
    <row r="21152" spans="17:17" x14ac:dyDescent="0.25">
      <c r="Q21152" s="8"/>
    </row>
    <row r="21153" spans="17:17" x14ac:dyDescent="0.25">
      <c r="Q21153" s="8"/>
    </row>
    <row r="21154" spans="17:17" x14ac:dyDescent="0.25">
      <c r="Q21154" s="8"/>
    </row>
    <row r="21155" spans="17:17" x14ac:dyDescent="0.25">
      <c r="Q21155" s="8"/>
    </row>
    <row r="21156" spans="17:17" x14ac:dyDescent="0.25">
      <c r="Q21156" s="8"/>
    </row>
    <row r="21157" spans="17:17" x14ac:dyDescent="0.25">
      <c r="Q21157" s="8"/>
    </row>
    <row r="21158" spans="17:17" x14ac:dyDescent="0.25">
      <c r="Q21158" s="8"/>
    </row>
    <row r="21159" spans="17:17" x14ac:dyDescent="0.25">
      <c r="Q21159" s="8"/>
    </row>
    <row r="21160" spans="17:17" x14ac:dyDescent="0.25">
      <c r="Q21160" s="8"/>
    </row>
    <row r="21161" spans="17:17" x14ac:dyDescent="0.25">
      <c r="Q21161" s="8"/>
    </row>
    <row r="21162" spans="17:17" x14ac:dyDescent="0.25">
      <c r="Q21162" s="8"/>
    </row>
    <row r="21163" spans="17:17" x14ac:dyDescent="0.25">
      <c r="Q21163" s="8"/>
    </row>
    <row r="21164" spans="17:17" x14ac:dyDescent="0.25">
      <c r="Q21164" s="8"/>
    </row>
    <row r="21165" spans="17:17" x14ac:dyDescent="0.25">
      <c r="Q21165" s="8"/>
    </row>
    <row r="21166" spans="17:17" x14ac:dyDescent="0.25">
      <c r="Q21166" s="8"/>
    </row>
    <row r="21167" spans="17:17" x14ac:dyDescent="0.25">
      <c r="Q21167" s="8"/>
    </row>
    <row r="21168" spans="17:17" x14ac:dyDescent="0.25">
      <c r="Q21168" s="8"/>
    </row>
    <row r="21169" spans="17:17" x14ac:dyDescent="0.25">
      <c r="Q21169" s="8"/>
    </row>
    <row r="21170" spans="17:17" x14ac:dyDescent="0.25">
      <c r="Q21170" s="8"/>
    </row>
    <row r="21171" spans="17:17" x14ac:dyDescent="0.25">
      <c r="Q21171" s="8"/>
    </row>
    <row r="21172" spans="17:17" x14ac:dyDescent="0.25">
      <c r="Q21172" s="8"/>
    </row>
    <row r="21173" spans="17:17" x14ac:dyDescent="0.25">
      <c r="Q21173" s="8"/>
    </row>
    <row r="21174" spans="17:17" x14ac:dyDescent="0.25">
      <c r="Q21174" s="8"/>
    </row>
    <row r="21175" spans="17:17" x14ac:dyDescent="0.25">
      <c r="Q21175" s="8"/>
    </row>
    <row r="21176" spans="17:17" x14ac:dyDescent="0.25">
      <c r="Q21176" s="8"/>
    </row>
    <row r="21177" spans="17:17" x14ac:dyDescent="0.25">
      <c r="Q21177" s="8"/>
    </row>
    <row r="21178" spans="17:17" x14ac:dyDescent="0.25">
      <c r="Q21178" s="8"/>
    </row>
    <row r="21179" spans="17:17" x14ac:dyDescent="0.25">
      <c r="Q21179" s="8"/>
    </row>
    <row r="21180" spans="17:17" x14ac:dyDescent="0.25">
      <c r="Q21180" s="8"/>
    </row>
    <row r="21181" spans="17:17" x14ac:dyDescent="0.25">
      <c r="Q21181" s="8"/>
    </row>
    <row r="21182" spans="17:17" x14ac:dyDescent="0.25">
      <c r="Q21182" s="8"/>
    </row>
    <row r="21183" spans="17:17" x14ac:dyDescent="0.25">
      <c r="Q21183" s="8"/>
    </row>
    <row r="21184" spans="17:17" x14ac:dyDescent="0.25">
      <c r="Q21184" s="8"/>
    </row>
    <row r="21185" spans="17:17" x14ac:dyDescent="0.25">
      <c r="Q21185" s="8"/>
    </row>
    <row r="21186" spans="17:17" x14ac:dyDescent="0.25">
      <c r="Q21186" s="8"/>
    </row>
    <row r="21187" spans="17:17" x14ac:dyDescent="0.25">
      <c r="Q21187" s="8"/>
    </row>
    <row r="21188" spans="17:17" x14ac:dyDescent="0.25">
      <c r="Q21188" s="8"/>
    </row>
    <row r="21189" spans="17:17" x14ac:dyDescent="0.25">
      <c r="Q21189" s="8"/>
    </row>
    <row r="21190" spans="17:17" x14ac:dyDescent="0.25">
      <c r="Q21190" s="8"/>
    </row>
    <row r="21191" spans="17:17" x14ac:dyDescent="0.25">
      <c r="Q21191" s="8"/>
    </row>
    <row r="21192" spans="17:17" x14ac:dyDescent="0.25">
      <c r="Q21192" s="8"/>
    </row>
    <row r="21193" spans="17:17" x14ac:dyDescent="0.25">
      <c r="Q21193" s="8"/>
    </row>
    <row r="21194" spans="17:17" x14ac:dyDescent="0.25">
      <c r="Q21194" s="8"/>
    </row>
    <row r="21195" spans="17:17" x14ac:dyDescent="0.25">
      <c r="Q21195" s="8"/>
    </row>
    <row r="21196" spans="17:17" x14ac:dyDescent="0.25">
      <c r="Q21196" s="8"/>
    </row>
    <row r="21197" spans="17:17" x14ac:dyDescent="0.25">
      <c r="Q21197" s="8"/>
    </row>
    <row r="21198" spans="17:17" x14ac:dyDescent="0.25">
      <c r="Q21198" s="8"/>
    </row>
    <row r="21199" spans="17:17" x14ac:dyDescent="0.25">
      <c r="Q21199" s="8"/>
    </row>
    <row r="21200" spans="17:17" x14ac:dyDescent="0.25">
      <c r="Q21200" s="8"/>
    </row>
    <row r="21201" spans="17:17" x14ac:dyDescent="0.25">
      <c r="Q21201" s="8"/>
    </row>
    <row r="21202" spans="17:17" x14ac:dyDescent="0.25">
      <c r="Q21202" s="8"/>
    </row>
    <row r="21203" spans="17:17" x14ac:dyDescent="0.25">
      <c r="Q21203" s="8"/>
    </row>
    <row r="21204" spans="17:17" x14ac:dyDescent="0.25">
      <c r="Q21204" s="8"/>
    </row>
    <row r="21205" spans="17:17" x14ac:dyDescent="0.25">
      <c r="Q21205" s="8"/>
    </row>
    <row r="21206" spans="17:17" x14ac:dyDescent="0.25">
      <c r="Q21206" s="8"/>
    </row>
    <row r="21207" spans="17:17" x14ac:dyDescent="0.25">
      <c r="Q21207" s="8"/>
    </row>
    <row r="21208" spans="17:17" x14ac:dyDescent="0.25">
      <c r="Q21208" s="8"/>
    </row>
    <row r="21209" spans="17:17" x14ac:dyDescent="0.25">
      <c r="Q21209" s="8"/>
    </row>
    <row r="21210" spans="17:17" x14ac:dyDescent="0.25">
      <c r="Q21210" s="8"/>
    </row>
    <row r="21211" spans="17:17" x14ac:dyDescent="0.25">
      <c r="Q21211" s="8"/>
    </row>
    <row r="21212" spans="17:17" x14ac:dyDescent="0.25">
      <c r="Q21212" s="8"/>
    </row>
    <row r="21213" spans="17:17" x14ac:dyDescent="0.25">
      <c r="Q21213" s="8"/>
    </row>
    <row r="21214" spans="17:17" x14ac:dyDescent="0.25">
      <c r="Q21214" s="8"/>
    </row>
    <row r="21215" spans="17:17" x14ac:dyDescent="0.25">
      <c r="Q21215" s="8"/>
    </row>
    <row r="21216" spans="17:17" x14ac:dyDescent="0.25">
      <c r="Q21216" s="8"/>
    </row>
    <row r="21217" spans="17:17" x14ac:dyDescent="0.25">
      <c r="Q21217" s="8"/>
    </row>
    <row r="21218" spans="17:17" x14ac:dyDescent="0.25">
      <c r="Q21218" s="8"/>
    </row>
    <row r="21219" spans="17:17" x14ac:dyDescent="0.25">
      <c r="Q21219" s="8"/>
    </row>
    <row r="21220" spans="17:17" x14ac:dyDescent="0.25">
      <c r="Q21220" s="8"/>
    </row>
    <row r="21221" spans="17:17" x14ac:dyDescent="0.25">
      <c r="Q21221" s="8"/>
    </row>
    <row r="21222" spans="17:17" x14ac:dyDescent="0.25">
      <c r="Q21222" s="8"/>
    </row>
    <row r="21223" spans="17:17" x14ac:dyDescent="0.25">
      <c r="Q21223" s="8"/>
    </row>
    <row r="21224" spans="17:17" x14ac:dyDescent="0.25">
      <c r="Q21224" s="8"/>
    </row>
    <row r="21225" spans="17:17" x14ac:dyDescent="0.25">
      <c r="Q21225" s="8"/>
    </row>
    <row r="21226" spans="17:17" x14ac:dyDescent="0.25">
      <c r="Q21226" s="8"/>
    </row>
    <row r="21227" spans="17:17" x14ac:dyDescent="0.25">
      <c r="Q21227" s="8"/>
    </row>
    <row r="21228" spans="17:17" x14ac:dyDescent="0.25">
      <c r="Q21228" s="8"/>
    </row>
    <row r="21229" spans="17:17" x14ac:dyDescent="0.25">
      <c r="Q21229" s="8"/>
    </row>
    <row r="21230" spans="17:17" x14ac:dyDescent="0.25">
      <c r="Q21230" s="8"/>
    </row>
    <row r="21231" spans="17:17" x14ac:dyDescent="0.25">
      <c r="Q21231" s="8"/>
    </row>
    <row r="21232" spans="17:17" x14ac:dyDescent="0.25">
      <c r="Q21232" s="8"/>
    </row>
    <row r="21233" spans="17:17" x14ac:dyDescent="0.25">
      <c r="Q21233" s="8"/>
    </row>
    <row r="21234" spans="17:17" x14ac:dyDescent="0.25">
      <c r="Q21234" s="8"/>
    </row>
    <row r="21235" spans="17:17" x14ac:dyDescent="0.25">
      <c r="Q21235" s="8"/>
    </row>
    <row r="21236" spans="17:17" x14ac:dyDescent="0.25">
      <c r="Q21236" s="8"/>
    </row>
    <row r="21237" spans="17:17" x14ac:dyDescent="0.25">
      <c r="Q21237" s="8"/>
    </row>
    <row r="21238" spans="17:17" x14ac:dyDescent="0.25">
      <c r="Q21238" s="8"/>
    </row>
    <row r="21239" spans="17:17" x14ac:dyDescent="0.25">
      <c r="Q21239" s="8"/>
    </row>
    <row r="21240" spans="17:17" x14ac:dyDescent="0.25">
      <c r="Q21240" s="8"/>
    </row>
    <row r="21241" spans="17:17" x14ac:dyDescent="0.25">
      <c r="Q21241" s="8"/>
    </row>
    <row r="21242" spans="17:17" x14ac:dyDescent="0.25">
      <c r="Q21242" s="8"/>
    </row>
    <row r="21243" spans="17:17" x14ac:dyDescent="0.25">
      <c r="Q21243" s="8"/>
    </row>
    <row r="21244" spans="17:17" x14ac:dyDescent="0.25">
      <c r="Q21244" s="8"/>
    </row>
    <row r="21245" spans="17:17" x14ac:dyDescent="0.25">
      <c r="Q21245" s="8"/>
    </row>
    <row r="21246" spans="17:17" x14ac:dyDescent="0.25">
      <c r="Q21246" s="8"/>
    </row>
    <row r="21247" spans="17:17" x14ac:dyDescent="0.25">
      <c r="Q21247" s="8"/>
    </row>
    <row r="21248" spans="17:17" x14ac:dyDescent="0.25">
      <c r="Q21248" s="8"/>
    </row>
    <row r="21249" spans="17:17" x14ac:dyDescent="0.25">
      <c r="Q21249" s="8"/>
    </row>
    <row r="21250" spans="17:17" x14ac:dyDescent="0.25">
      <c r="Q21250" s="8"/>
    </row>
    <row r="21251" spans="17:17" x14ac:dyDescent="0.25">
      <c r="Q21251" s="8"/>
    </row>
    <row r="21252" spans="17:17" x14ac:dyDescent="0.25">
      <c r="Q21252" s="8"/>
    </row>
    <row r="21253" spans="17:17" x14ac:dyDescent="0.25">
      <c r="Q21253" s="8"/>
    </row>
    <row r="21254" spans="17:17" x14ac:dyDescent="0.25">
      <c r="Q21254" s="8"/>
    </row>
    <row r="21255" spans="17:17" x14ac:dyDescent="0.25">
      <c r="Q21255" s="8"/>
    </row>
    <row r="21256" spans="17:17" x14ac:dyDescent="0.25">
      <c r="Q21256" s="8"/>
    </row>
    <row r="21257" spans="17:17" x14ac:dyDescent="0.25">
      <c r="Q21257" s="8"/>
    </row>
    <row r="21258" spans="17:17" x14ac:dyDescent="0.25">
      <c r="Q21258" s="8"/>
    </row>
    <row r="21259" spans="17:17" x14ac:dyDescent="0.25">
      <c r="Q21259" s="8"/>
    </row>
    <row r="21260" spans="17:17" x14ac:dyDescent="0.25">
      <c r="Q21260" s="8"/>
    </row>
    <row r="21261" spans="17:17" x14ac:dyDescent="0.25">
      <c r="Q21261" s="8"/>
    </row>
    <row r="21262" spans="17:17" x14ac:dyDescent="0.25">
      <c r="Q21262" s="8"/>
    </row>
    <row r="21263" spans="17:17" x14ac:dyDescent="0.25">
      <c r="Q21263" s="8"/>
    </row>
    <row r="21264" spans="17:17" x14ac:dyDescent="0.25">
      <c r="Q21264" s="8"/>
    </row>
    <row r="21265" spans="17:17" x14ac:dyDescent="0.25">
      <c r="Q21265" s="8"/>
    </row>
    <row r="21266" spans="17:17" x14ac:dyDescent="0.25">
      <c r="Q21266" s="8"/>
    </row>
    <row r="21267" spans="17:17" x14ac:dyDescent="0.25">
      <c r="Q21267" s="8"/>
    </row>
    <row r="21268" spans="17:17" x14ac:dyDescent="0.25">
      <c r="Q21268" s="8"/>
    </row>
    <row r="21269" spans="17:17" x14ac:dyDescent="0.25">
      <c r="Q21269" s="8"/>
    </row>
    <row r="21270" spans="17:17" x14ac:dyDescent="0.25">
      <c r="Q21270" s="8"/>
    </row>
    <row r="21271" spans="17:17" x14ac:dyDescent="0.25">
      <c r="Q21271" s="8"/>
    </row>
    <row r="21272" spans="17:17" x14ac:dyDescent="0.25">
      <c r="Q21272" s="8"/>
    </row>
    <row r="21273" spans="17:17" x14ac:dyDescent="0.25">
      <c r="Q21273" s="8"/>
    </row>
    <row r="21274" spans="17:17" x14ac:dyDescent="0.25">
      <c r="Q21274" s="8"/>
    </row>
    <row r="21275" spans="17:17" x14ac:dyDescent="0.25">
      <c r="Q21275" s="8"/>
    </row>
    <row r="21276" spans="17:17" x14ac:dyDescent="0.25">
      <c r="Q21276" s="8"/>
    </row>
    <row r="21277" spans="17:17" x14ac:dyDescent="0.25">
      <c r="Q21277" s="8"/>
    </row>
    <row r="21278" spans="17:17" x14ac:dyDescent="0.25">
      <c r="Q21278" s="8"/>
    </row>
    <row r="21279" spans="17:17" x14ac:dyDescent="0.25">
      <c r="Q21279" s="8"/>
    </row>
    <row r="21280" spans="17:17" x14ac:dyDescent="0.25">
      <c r="Q21280" s="8"/>
    </row>
    <row r="21281" spans="17:17" x14ac:dyDescent="0.25">
      <c r="Q21281" s="8"/>
    </row>
    <row r="21282" spans="17:17" x14ac:dyDescent="0.25">
      <c r="Q21282" s="8"/>
    </row>
    <row r="21283" spans="17:17" x14ac:dyDescent="0.25">
      <c r="Q21283" s="8"/>
    </row>
    <row r="21284" spans="17:17" x14ac:dyDescent="0.25">
      <c r="Q21284" s="8"/>
    </row>
    <row r="21285" spans="17:17" x14ac:dyDescent="0.25">
      <c r="Q21285" s="8"/>
    </row>
    <row r="21286" spans="17:17" x14ac:dyDescent="0.25">
      <c r="Q21286" s="8"/>
    </row>
    <row r="21287" spans="17:17" x14ac:dyDescent="0.25">
      <c r="Q21287" s="8"/>
    </row>
    <row r="21288" spans="17:17" x14ac:dyDescent="0.25">
      <c r="Q21288" s="8"/>
    </row>
    <row r="21289" spans="17:17" x14ac:dyDescent="0.25">
      <c r="Q21289" s="8"/>
    </row>
    <row r="21290" spans="17:17" x14ac:dyDescent="0.25">
      <c r="Q21290" s="8"/>
    </row>
    <row r="21291" spans="17:17" x14ac:dyDescent="0.25">
      <c r="Q21291" s="8"/>
    </row>
    <row r="21292" spans="17:17" x14ac:dyDescent="0.25">
      <c r="Q21292" s="8"/>
    </row>
    <row r="21293" spans="17:17" x14ac:dyDescent="0.25">
      <c r="Q21293" s="8"/>
    </row>
    <row r="21294" spans="17:17" x14ac:dyDescent="0.25">
      <c r="Q21294" s="8"/>
    </row>
    <row r="21295" spans="17:17" x14ac:dyDescent="0.25">
      <c r="Q21295" s="8"/>
    </row>
    <row r="21296" spans="17:17" x14ac:dyDescent="0.25">
      <c r="Q21296" s="8"/>
    </row>
    <row r="21297" spans="17:17" x14ac:dyDescent="0.25">
      <c r="Q21297" s="8"/>
    </row>
    <row r="21298" spans="17:17" x14ac:dyDescent="0.25">
      <c r="Q21298" s="8"/>
    </row>
    <row r="21299" spans="17:17" x14ac:dyDescent="0.25">
      <c r="Q21299" s="8"/>
    </row>
    <row r="21300" spans="17:17" x14ac:dyDescent="0.25">
      <c r="Q21300" s="8"/>
    </row>
    <row r="21301" spans="17:17" x14ac:dyDescent="0.25">
      <c r="Q21301" s="8"/>
    </row>
    <row r="21302" spans="17:17" x14ac:dyDescent="0.25">
      <c r="Q21302" s="8"/>
    </row>
    <row r="21303" spans="17:17" x14ac:dyDescent="0.25">
      <c r="Q21303" s="8"/>
    </row>
    <row r="21304" spans="17:17" x14ac:dyDescent="0.25">
      <c r="Q21304" s="8"/>
    </row>
    <row r="21305" spans="17:17" x14ac:dyDescent="0.25">
      <c r="Q21305" s="8"/>
    </row>
    <row r="21306" spans="17:17" x14ac:dyDescent="0.25">
      <c r="Q21306" s="8"/>
    </row>
    <row r="21307" spans="17:17" x14ac:dyDescent="0.25">
      <c r="Q21307" s="8"/>
    </row>
    <row r="21308" spans="17:17" x14ac:dyDescent="0.25">
      <c r="Q21308" s="8"/>
    </row>
    <row r="21309" spans="17:17" x14ac:dyDescent="0.25">
      <c r="Q21309" s="8"/>
    </row>
    <row r="21310" spans="17:17" x14ac:dyDescent="0.25">
      <c r="Q21310" s="8"/>
    </row>
    <row r="21311" spans="17:17" x14ac:dyDescent="0.25">
      <c r="Q21311" s="8"/>
    </row>
    <row r="21312" spans="17:17" x14ac:dyDescent="0.25">
      <c r="Q21312" s="8"/>
    </row>
    <row r="21313" spans="17:17" x14ac:dyDescent="0.25">
      <c r="Q21313" s="8"/>
    </row>
    <row r="21314" spans="17:17" x14ac:dyDescent="0.25">
      <c r="Q21314" s="8"/>
    </row>
    <row r="21315" spans="17:17" x14ac:dyDescent="0.25">
      <c r="Q21315" s="8"/>
    </row>
    <row r="21316" spans="17:17" x14ac:dyDescent="0.25">
      <c r="Q21316" s="8"/>
    </row>
    <row r="21317" spans="17:17" x14ac:dyDescent="0.25">
      <c r="Q21317" s="8"/>
    </row>
    <row r="21318" spans="17:17" x14ac:dyDescent="0.25">
      <c r="Q21318" s="8"/>
    </row>
    <row r="21319" spans="17:17" x14ac:dyDescent="0.25">
      <c r="Q21319" s="8"/>
    </row>
    <row r="21320" spans="17:17" x14ac:dyDescent="0.25">
      <c r="Q21320" s="8"/>
    </row>
    <row r="21321" spans="17:17" x14ac:dyDescent="0.25">
      <c r="Q21321" s="8"/>
    </row>
    <row r="21322" spans="17:17" x14ac:dyDescent="0.25">
      <c r="Q21322" s="8"/>
    </row>
    <row r="21323" spans="17:17" x14ac:dyDescent="0.25">
      <c r="Q21323" s="8"/>
    </row>
    <row r="21324" spans="17:17" x14ac:dyDescent="0.25">
      <c r="Q21324" s="8"/>
    </row>
    <row r="21325" spans="17:17" x14ac:dyDescent="0.25">
      <c r="Q21325" s="8"/>
    </row>
    <row r="21326" spans="17:17" x14ac:dyDescent="0.25">
      <c r="Q21326" s="8"/>
    </row>
    <row r="21327" spans="17:17" x14ac:dyDescent="0.25">
      <c r="Q21327" s="8"/>
    </row>
    <row r="21328" spans="17:17" x14ac:dyDescent="0.25">
      <c r="Q21328" s="8"/>
    </row>
    <row r="21329" spans="17:17" x14ac:dyDescent="0.25">
      <c r="Q21329" s="8"/>
    </row>
    <row r="21330" spans="17:17" x14ac:dyDescent="0.25">
      <c r="Q21330" s="8"/>
    </row>
    <row r="21331" spans="17:17" x14ac:dyDescent="0.25">
      <c r="Q21331" s="8"/>
    </row>
    <row r="21332" spans="17:17" x14ac:dyDescent="0.25">
      <c r="Q21332" s="8"/>
    </row>
    <row r="21333" spans="17:17" x14ac:dyDescent="0.25">
      <c r="Q21333" s="8"/>
    </row>
    <row r="21334" spans="17:17" x14ac:dyDescent="0.25">
      <c r="Q21334" s="8"/>
    </row>
    <row r="21335" spans="17:17" x14ac:dyDescent="0.25">
      <c r="Q21335" s="8"/>
    </row>
    <row r="21336" spans="17:17" x14ac:dyDescent="0.25">
      <c r="Q21336" s="8"/>
    </row>
    <row r="21337" spans="17:17" x14ac:dyDescent="0.25">
      <c r="Q21337" s="8"/>
    </row>
    <row r="21338" spans="17:17" x14ac:dyDescent="0.25">
      <c r="Q21338" s="8"/>
    </row>
    <row r="21339" spans="17:17" x14ac:dyDescent="0.25">
      <c r="Q21339" s="8"/>
    </row>
    <row r="21340" spans="17:17" x14ac:dyDescent="0.25">
      <c r="Q21340" s="8"/>
    </row>
    <row r="21341" spans="17:17" x14ac:dyDescent="0.25">
      <c r="Q21341" s="8"/>
    </row>
    <row r="21342" spans="17:17" x14ac:dyDescent="0.25">
      <c r="Q21342" s="8"/>
    </row>
    <row r="21343" spans="17:17" x14ac:dyDescent="0.25">
      <c r="Q21343" s="8"/>
    </row>
    <row r="21344" spans="17:17" x14ac:dyDescent="0.25">
      <c r="Q21344" s="8"/>
    </row>
    <row r="21345" spans="17:17" x14ac:dyDescent="0.25">
      <c r="Q21345" s="8"/>
    </row>
    <row r="21346" spans="17:17" x14ac:dyDescent="0.25">
      <c r="Q21346" s="8"/>
    </row>
    <row r="21347" spans="17:17" x14ac:dyDescent="0.25">
      <c r="Q21347" s="8"/>
    </row>
    <row r="21348" spans="17:17" x14ac:dyDescent="0.25">
      <c r="Q21348" s="8"/>
    </row>
    <row r="21349" spans="17:17" x14ac:dyDescent="0.25">
      <c r="Q21349" s="8"/>
    </row>
    <row r="21350" spans="17:17" x14ac:dyDescent="0.25">
      <c r="Q21350" s="8"/>
    </row>
    <row r="21351" spans="17:17" x14ac:dyDescent="0.25">
      <c r="Q21351" s="8"/>
    </row>
    <row r="21352" spans="17:17" x14ac:dyDescent="0.25">
      <c r="Q21352" s="8"/>
    </row>
    <row r="21353" spans="17:17" x14ac:dyDescent="0.25">
      <c r="Q21353" s="8"/>
    </row>
    <row r="21354" spans="17:17" x14ac:dyDescent="0.25">
      <c r="Q21354" s="8"/>
    </row>
    <row r="21355" spans="17:17" x14ac:dyDescent="0.25">
      <c r="Q21355" s="8"/>
    </row>
    <row r="21356" spans="17:17" x14ac:dyDescent="0.25">
      <c r="Q21356" s="8"/>
    </row>
    <row r="21357" spans="17:17" x14ac:dyDescent="0.25">
      <c r="Q21357" s="8"/>
    </row>
    <row r="21358" spans="17:17" x14ac:dyDescent="0.25">
      <c r="Q21358" s="8"/>
    </row>
    <row r="21359" spans="17:17" x14ac:dyDescent="0.25">
      <c r="Q21359" s="8"/>
    </row>
    <row r="21360" spans="17:17" x14ac:dyDescent="0.25">
      <c r="Q21360" s="8"/>
    </row>
    <row r="21361" spans="17:17" x14ac:dyDescent="0.25">
      <c r="Q21361" s="8"/>
    </row>
    <row r="21362" spans="17:17" x14ac:dyDescent="0.25">
      <c r="Q21362" s="8"/>
    </row>
    <row r="21363" spans="17:17" x14ac:dyDescent="0.25">
      <c r="Q21363" s="8"/>
    </row>
    <row r="21364" spans="17:17" x14ac:dyDescent="0.25">
      <c r="Q21364" s="8"/>
    </row>
    <row r="21365" spans="17:17" x14ac:dyDescent="0.25">
      <c r="Q21365" s="8"/>
    </row>
    <row r="21366" spans="17:17" x14ac:dyDescent="0.25">
      <c r="Q21366" s="8"/>
    </row>
    <row r="21367" spans="17:17" x14ac:dyDescent="0.25">
      <c r="Q21367" s="8"/>
    </row>
    <row r="21368" spans="17:17" x14ac:dyDescent="0.25">
      <c r="Q21368" s="8"/>
    </row>
    <row r="21369" spans="17:17" x14ac:dyDescent="0.25">
      <c r="Q21369" s="8"/>
    </row>
    <row r="21370" spans="17:17" x14ac:dyDescent="0.25">
      <c r="Q21370" s="8"/>
    </row>
    <row r="21371" spans="17:17" x14ac:dyDescent="0.25">
      <c r="Q21371" s="8"/>
    </row>
    <row r="21372" spans="17:17" x14ac:dyDescent="0.25">
      <c r="Q21372" s="8"/>
    </row>
    <row r="21373" spans="17:17" x14ac:dyDescent="0.25">
      <c r="Q21373" s="8"/>
    </row>
    <row r="21374" spans="17:17" x14ac:dyDescent="0.25">
      <c r="Q21374" s="8"/>
    </row>
    <row r="21375" spans="17:17" x14ac:dyDescent="0.25">
      <c r="Q21375" s="8"/>
    </row>
    <row r="21376" spans="17:17" x14ac:dyDescent="0.25">
      <c r="Q21376" s="8"/>
    </row>
    <row r="21377" spans="17:17" x14ac:dyDescent="0.25">
      <c r="Q21377" s="8"/>
    </row>
    <row r="21378" spans="17:17" x14ac:dyDescent="0.25">
      <c r="Q21378" s="8"/>
    </row>
    <row r="21379" spans="17:17" x14ac:dyDescent="0.25">
      <c r="Q21379" s="8"/>
    </row>
    <row r="21380" spans="17:17" x14ac:dyDescent="0.25">
      <c r="Q21380" s="8"/>
    </row>
    <row r="21381" spans="17:17" x14ac:dyDescent="0.25">
      <c r="Q21381" s="8"/>
    </row>
    <row r="21382" spans="17:17" x14ac:dyDescent="0.25">
      <c r="Q21382" s="8"/>
    </row>
    <row r="21383" spans="17:17" x14ac:dyDescent="0.25">
      <c r="Q21383" s="8"/>
    </row>
    <row r="21384" spans="17:17" x14ac:dyDescent="0.25">
      <c r="Q21384" s="8"/>
    </row>
    <row r="21385" spans="17:17" x14ac:dyDescent="0.25">
      <c r="Q21385" s="8"/>
    </row>
    <row r="21386" spans="17:17" x14ac:dyDescent="0.25">
      <c r="Q21386" s="8"/>
    </row>
    <row r="21387" spans="17:17" x14ac:dyDescent="0.25">
      <c r="Q21387" s="8"/>
    </row>
    <row r="21388" spans="17:17" x14ac:dyDescent="0.25">
      <c r="Q21388" s="8"/>
    </row>
    <row r="21389" spans="17:17" x14ac:dyDescent="0.25">
      <c r="Q21389" s="8"/>
    </row>
    <row r="21390" spans="17:17" x14ac:dyDescent="0.25">
      <c r="Q21390" s="8"/>
    </row>
    <row r="21391" spans="17:17" x14ac:dyDescent="0.25">
      <c r="Q21391" s="8"/>
    </row>
    <row r="21392" spans="17:17" x14ac:dyDescent="0.25">
      <c r="Q21392" s="8"/>
    </row>
    <row r="21393" spans="17:17" x14ac:dyDescent="0.25">
      <c r="Q21393" s="8"/>
    </row>
    <row r="21394" spans="17:17" x14ac:dyDescent="0.25">
      <c r="Q21394" s="8"/>
    </row>
    <row r="21395" spans="17:17" x14ac:dyDescent="0.25">
      <c r="Q21395" s="8"/>
    </row>
    <row r="21396" spans="17:17" x14ac:dyDescent="0.25">
      <c r="Q21396" s="8"/>
    </row>
    <row r="21397" spans="17:17" x14ac:dyDescent="0.25">
      <c r="Q21397" s="8"/>
    </row>
    <row r="21398" spans="17:17" x14ac:dyDescent="0.25">
      <c r="Q21398" s="8"/>
    </row>
    <row r="21399" spans="17:17" x14ac:dyDescent="0.25">
      <c r="Q21399" s="8"/>
    </row>
    <row r="21400" spans="17:17" x14ac:dyDescent="0.25">
      <c r="Q21400" s="8"/>
    </row>
    <row r="21401" spans="17:17" x14ac:dyDescent="0.25">
      <c r="Q21401" s="8"/>
    </row>
    <row r="21402" spans="17:17" x14ac:dyDescent="0.25">
      <c r="Q21402" s="8"/>
    </row>
    <row r="21403" spans="17:17" x14ac:dyDescent="0.25">
      <c r="Q21403" s="8"/>
    </row>
    <row r="21404" spans="17:17" x14ac:dyDescent="0.25">
      <c r="Q21404" s="8"/>
    </row>
    <row r="21405" spans="17:17" x14ac:dyDescent="0.25">
      <c r="Q21405" s="8"/>
    </row>
    <row r="21406" spans="17:17" x14ac:dyDescent="0.25">
      <c r="Q21406" s="8"/>
    </row>
    <row r="21407" spans="17:17" x14ac:dyDescent="0.25">
      <c r="Q21407" s="8"/>
    </row>
    <row r="21408" spans="17:17" x14ac:dyDescent="0.25">
      <c r="Q21408" s="8"/>
    </row>
    <row r="21409" spans="17:17" x14ac:dyDescent="0.25">
      <c r="Q21409" s="8"/>
    </row>
    <row r="21410" spans="17:17" x14ac:dyDescent="0.25">
      <c r="Q21410" s="8"/>
    </row>
    <row r="21411" spans="17:17" x14ac:dyDescent="0.25">
      <c r="Q21411" s="8"/>
    </row>
    <row r="21412" spans="17:17" x14ac:dyDescent="0.25">
      <c r="Q21412" s="8"/>
    </row>
    <row r="21413" spans="17:17" x14ac:dyDescent="0.25">
      <c r="Q21413" s="8"/>
    </row>
    <row r="21414" spans="17:17" x14ac:dyDescent="0.25">
      <c r="Q21414" s="8"/>
    </row>
    <row r="21415" spans="17:17" x14ac:dyDescent="0.25">
      <c r="Q21415" s="8"/>
    </row>
    <row r="21416" spans="17:17" x14ac:dyDescent="0.25">
      <c r="Q21416" s="8"/>
    </row>
    <row r="21417" spans="17:17" x14ac:dyDescent="0.25">
      <c r="Q21417" s="8"/>
    </row>
    <row r="21418" spans="17:17" x14ac:dyDescent="0.25">
      <c r="Q21418" s="8"/>
    </row>
    <row r="21419" spans="17:17" x14ac:dyDescent="0.25">
      <c r="Q21419" s="8"/>
    </row>
    <row r="21420" spans="17:17" x14ac:dyDescent="0.25">
      <c r="Q21420" s="8"/>
    </row>
    <row r="21421" spans="17:17" x14ac:dyDescent="0.25">
      <c r="Q21421" s="8"/>
    </row>
    <row r="21422" spans="17:17" x14ac:dyDescent="0.25">
      <c r="Q21422" s="8"/>
    </row>
    <row r="21423" spans="17:17" x14ac:dyDescent="0.25">
      <c r="Q21423" s="8"/>
    </row>
    <row r="21424" spans="17:17" x14ac:dyDescent="0.25">
      <c r="Q21424" s="8"/>
    </row>
    <row r="21425" spans="17:17" x14ac:dyDescent="0.25">
      <c r="Q21425" s="8"/>
    </row>
    <row r="21426" spans="17:17" x14ac:dyDescent="0.25">
      <c r="Q21426" s="8"/>
    </row>
    <row r="21427" spans="17:17" x14ac:dyDescent="0.25">
      <c r="Q21427" s="8"/>
    </row>
    <row r="21428" spans="17:17" x14ac:dyDescent="0.25">
      <c r="Q21428" s="8"/>
    </row>
    <row r="21429" spans="17:17" x14ac:dyDescent="0.25">
      <c r="Q21429" s="8"/>
    </row>
    <row r="21430" spans="17:17" x14ac:dyDescent="0.25">
      <c r="Q21430" s="8"/>
    </row>
    <row r="21431" spans="17:17" x14ac:dyDescent="0.25">
      <c r="Q21431" s="8"/>
    </row>
    <row r="21432" spans="17:17" x14ac:dyDescent="0.25">
      <c r="Q21432" s="8"/>
    </row>
    <row r="21433" spans="17:17" x14ac:dyDescent="0.25">
      <c r="Q21433" s="8"/>
    </row>
    <row r="21434" spans="17:17" x14ac:dyDescent="0.25">
      <c r="Q21434" s="8"/>
    </row>
    <row r="21435" spans="17:17" x14ac:dyDescent="0.25">
      <c r="Q21435" s="8"/>
    </row>
    <row r="21436" spans="17:17" x14ac:dyDescent="0.25">
      <c r="Q21436" s="8"/>
    </row>
    <row r="21437" spans="17:17" x14ac:dyDescent="0.25">
      <c r="Q21437" s="8"/>
    </row>
    <row r="21438" spans="17:17" x14ac:dyDescent="0.25">
      <c r="Q21438" s="8"/>
    </row>
    <row r="21439" spans="17:17" x14ac:dyDescent="0.25">
      <c r="Q21439" s="8"/>
    </row>
    <row r="21440" spans="17:17" x14ac:dyDescent="0.25">
      <c r="Q21440" s="8"/>
    </row>
    <row r="21441" spans="17:17" x14ac:dyDescent="0.25">
      <c r="Q21441" s="8"/>
    </row>
    <row r="21442" spans="17:17" x14ac:dyDescent="0.25">
      <c r="Q21442" s="8"/>
    </row>
    <row r="21443" spans="17:17" x14ac:dyDescent="0.25">
      <c r="Q21443" s="8"/>
    </row>
    <row r="21444" spans="17:17" x14ac:dyDescent="0.25">
      <c r="Q21444" s="8"/>
    </row>
    <row r="21445" spans="17:17" x14ac:dyDescent="0.25">
      <c r="Q21445" s="8"/>
    </row>
    <row r="21446" spans="17:17" x14ac:dyDescent="0.25">
      <c r="Q21446" s="8"/>
    </row>
    <row r="21447" spans="17:17" x14ac:dyDescent="0.25">
      <c r="Q21447" s="8"/>
    </row>
    <row r="21448" spans="17:17" x14ac:dyDescent="0.25">
      <c r="Q21448" s="8"/>
    </row>
    <row r="21449" spans="17:17" x14ac:dyDescent="0.25">
      <c r="Q21449" s="8"/>
    </row>
    <row r="21450" spans="17:17" x14ac:dyDescent="0.25">
      <c r="Q21450" s="8"/>
    </row>
    <row r="21451" spans="17:17" x14ac:dyDescent="0.25">
      <c r="Q21451" s="8"/>
    </row>
    <row r="21452" spans="17:17" x14ac:dyDescent="0.25">
      <c r="Q21452" s="8"/>
    </row>
    <row r="21453" spans="17:17" x14ac:dyDescent="0.25">
      <c r="Q21453" s="8"/>
    </row>
    <row r="21454" spans="17:17" x14ac:dyDescent="0.25">
      <c r="Q21454" s="8"/>
    </row>
    <row r="21455" spans="17:17" x14ac:dyDescent="0.25">
      <c r="Q21455" s="8"/>
    </row>
    <row r="21456" spans="17:17" x14ac:dyDescent="0.25">
      <c r="Q21456" s="8"/>
    </row>
    <row r="21457" spans="17:17" x14ac:dyDescent="0.25">
      <c r="Q21457" s="8"/>
    </row>
    <row r="21458" spans="17:17" x14ac:dyDescent="0.25">
      <c r="Q21458" s="8"/>
    </row>
    <row r="21459" spans="17:17" x14ac:dyDescent="0.25">
      <c r="Q21459" s="8"/>
    </row>
    <row r="21460" spans="17:17" x14ac:dyDescent="0.25">
      <c r="Q21460" s="8"/>
    </row>
    <row r="21461" spans="17:17" x14ac:dyDescent="0.25">
      <c r="Q21461" s="8"/>
    </row>
    <row r="21462" spans="17:17" x14ac:dyDescent="0.25">
      <c r="Q21462" s="8"/>
    </row>
    <row r="21463" spans="17:17" x14ac:dyDescent="0.25">
      <c r="Q21463" s="8"/>
    </row>
    <row r="21464" spans="17:17" x14ac:dyDescent="0.25">
      <c r="Q21464" s="8"/>
    </row>
    <row r="21465" spans="17:17" x14ac:dyDescent="0.25">
      <c r="Q21465" s="8"/>
    </row>
    <row r="21466" spans="17:17" x14ac:dyDescent="0.25">
      <c r="Q21466" s="8"/>
    </row>
    <row r="21467" spans="17:17" x14ac:dyDescent="0.25">
      <c r="Q21467" s="8"/>
    </row>
    <row r="21468" spans="17:17" x14ac:dyDescent="0.25">
      <c r="Q21468" s="8"/>
    </row>
    <row r="21469" spans="17:17" x14ac:dyDescent="0.25">
      <c r="Q21469" s="8"/>
    </row>
    <row r="21470" spans="17:17" x14ac:dyDescent="0.25">
      <c r="Q21470" s="8"/>
    </row>
    <row r="21471" spans="17:17" x14ac:dyDescent="0.25">
      <c r="Q21471" s="8"/>
    </row>
    <row r="21472" spans="17:17" x14ac:dyDescent="0.25">
      <c r="Q21472" s="8"/>
    </row>
    <row r="21473" spans="17:17" x14ac:dyDescent="0.25">
      <c r="Q21473" s="8"/>
    </row>
    <row r="21474" spans="17:17" x14ac:dyDescent="0.25">
      <c r="Q21474" s="8"/>
    </row>
    <row r="21475" spans="17:17" x14ac:dyDescent="0.25">
      <c r="Q21475" s="8"/>
    </row>
    <row r="21476" spans="17:17" x14ac:dyDescent="0.25">
      <c r="Q21476" s="8"/>
    </row>
    <row r="21477" spans="17:17" x14ac:dyDescent="0.25">
      <c r="Q21477" s="8"/>
    </row>
    <row r="21478" spans="17:17" x14ac:dyDescent="0.25">
      <c r="Q21478" s="8"/>
    </row>
    <row r="21479" spans="17:17" x14ac:dyDescent="0.25">
      <c r="Q21479" s="8"/>
    </row>
    <row r="21480" spans="17:17" x14ac:dyDescent="0.25">
      <c r="Q21480" s="8"/>
    </row>
    <row r="21481" spans="17:17" x14ac:dyDescent="0.25">
      <c r="Q21481" s="8"/>
    </row>
    <row r="21482" spans="17:17" x14ac:dyDescent="0.25">
      <c r="Q21482" s="8"/>
    </row>
    <row r="21483" spans="17:17" x14ac:dyDescent="0.25">
      <c r="Q21483" s="8"/>
    </row>
    <row r="21484" spans="17:17" x14ac:dyDescent="0.25">
      <c r="Q21484" s="8"/>
    </row>
    <row r="21485" spans="17:17" x14ac:dyDescent="0.25">
      <c r="Q21485" s="8"/>
    </row>
    <row r="21486" spans="17:17" x14ac:dyDescent="0.25">
      <c r="Q21486" s="8"/>
    </row>
    <row r="21487" spans="17:17" x14ac:dyDescent="0.25">
      <c r="Q21487" s="8"/>
    </row>
    <row r="21488" spans="17:17" x14ac:dyDescent="0.25">
      <c r="Q21488" s="8"/>
    </row>
    <row r="21489" spans="17:17" x14ac:dyDescent="0.25">
      <c r="Q21489" s="8"/>
    </row>
    <row r="21490" spans="17:17" x14ac:dyDescent="0.25">
      <c r="Q21490" s="8"/>
    </row>
    <row r="21491" spans="17:17" x14ac:dyDescent="0.25">
      <c r="Q21491" s="8"/>
    </row>
    <row r="21492" spans="17:17" x14ac:dyDescent="0.25">
      <c r="Q21492" s="8"/>
    </row>
    <row r="21493" spans="17:17" x14ac:dyDescent="0.25">
      <c r="Q21493" s="8"/>
    </row>
    <row r="21494" spans="17:17" x14ac:dyDescent="0.25">
      <c r="Q21494" s="8"/>
    </row>
    <row r="21495" spans="17:17" x14ac:dyDescent="0.25">
      <c r="Q21495" s="8"/>
    </row>
    <row r="21496" spans="17:17" x14ac:dyDescent="0.25">
      <c r="Q21496" s="8"/>
    </row>
    <row r="21497" spans="17:17" x14ac:dyDescent="0.25">
      <c r="Q21497" s="8"/>
    </row>
    <row r="21498" spans="17:17" x14ac:dyDescent="0.25">
      <c r="Q21498" s="8"/>
    </row>
    <row r="21499" spans="17:17" x14ac:dyDescent="0.25">
      <c r="Q21499" s="8"/>
    </row>
    <row r="21500" spans="17:17" x14ac:dyDescent="0.25">
      <c r="Q21500" s="8"/>
    </row>
    <row r="21501" spans="17:17" x14ac:dyDescent="0.25">
      <c r="Q21501" s="8"/>
    </row>
    <row r="21502" spans="17:17" x14ac:dyDescent="0.25">
      <c r="Q21502" s="8"/>
    </row>
    <row r="21503" spans="17:17" x14ac:dyDescent="0.25">
      <c r="Q21503" s="8"/>
    </row>
    <row r="21504" spans="17:17" x14ac:dyDescent="0.25">
      <c r="Q21504" s="8"/>
    </row>
    <row r="21505" spans="17:17" x14ac:dyDescent="0.25">
      <c r="Q21505" s="8"/>
    </row>
    <row r="21506" spans="17:17" x14ac:dyDescent="0.25">
      <c r="Q21506" s="8"/>
    </row>
    <row r="21507" spans="17:17" x14ac:dyDescent="0.25">
      <c r="Q21507" s="8"/>
    </row>
    <row r="21508" spans="17:17" x14ac:dyDescent="0.25">
      <c r="Q21508" s="8"/>
    </row>
    <row r="21509" spans="17:17" x14ac:dyDescent="0.25">
      <c r="Q21509" s="8"/>
    </row>
    <row r="21510" spans="17:17" x14ac:dyDescent="0.25">
      <c r="Q21510" s="8"/>
    </row>
    <row r="21511" spans="17:17" x14ac:dyDescent="0.25">
      <c r="Q21511" s="8"/>
    </row>
    <row r="21512" spans="17:17" x14ac:dyDescent="0.25">
      <c r="Q21512" s="8"/>
    </row>
    <row r="21513" spans="17:17" x14ac:dyDescent="0.25">
      <c r="Q21513" s="8"/>
    </row>
    <row r="21514" spans="17:17" x14ac:dyDescent="0.25">
      <c r="Q21514" s="8"/>
    </row>
    <row r="21515" spans="17:17" x14ac:dyDescent="0.25">
      <c r="Q21515" s="8"/>
    </row>
    <row r="21516" spans="17:17" x14ac:dyDescent="0.25">
      <c r="Q21516" s="8"/>
    </row>
    <row r="21517" spans="17:17" x14ac:dyDescent="0.25">
      <c r="Q21517" s="8"/>
    </row>
    <row r="21518" spans="17:17" x14ac:dyDescent="0.25">
      <c r="Q21518" s="8"/>
    </row>
    <row r="21519" spans="17:17" x14ac:dyDescent="0.25">
      <c r="Q21519" s="8"/>
    </row>
    <row r="21520" spans="17:17" x14ac:dyDescent="0.25">
      <c r="Q21520" s="8"/>
    </row>
    <row r="21521" spans="17:17" x14ac:dyDescent="0.25">
      <c r="Q21521" s="8"/>
    </row>
    <row r="21522" spans="17:17" x14ac:dyDescent="0.25">
      <c r="Q21522" s="8"/>
    </row>
    <row r="21523" spans="17:17" x14ac:dyDescent="0.25">
      <c r="Q21523" s="8"/>
    </row>
    <row r="21524" spans="17:17" x14ac:dyDescent="0.25">
      <c r="Q21524" s="8"/>
    </row>
    <row r="21525" spans="17:17" x14ac:dyDescent="0.25">
      <c r="Q21525" s="8"/>
    </row>
    <row r="21526" spans="17:17" x14ac:dyDescent="0.25">
      <c r="Q21526" s="8"/>
    </row>
    <row r="21527" spans="17:17" x14ac:dyDescent="0.25">
      <c r="Q21527" s="8"/>
    </row>
    <row r="21528" spans="17:17" x14ac:dyDescent="0.25">
      <c r="Q21528" s="8"/>
    </row>
    <row r="21529" spans="17:17" x14ac:dyDescent="0.25">
      <c r="Q21529" s="8"/>
    </row>
    <row r="21530" spans="17:17" x14ac:dyDescent="0.25">
      <c r="Q21530" s="8"/>
    </row>
    <row r="21531" spans="17:17" x14ac:dyDescent="0.25">
      <c r="Q21531" s="8"/>
    </row>
    <row r="21532" spans="17:17" x14ac:dyDescent="0.25">
      <c r="Q21532" s="8"/>
    </row>
    <row r="21533" spans="17:17" x14ac:dyDescent="0.25">
      <c r="Q21533" s="8"/>
    </row>
    <row r="21534" spans="17:17" x14ac:dyDescent="0.25">
      <c r="Q21534" s="8"/>
    </row>
    <row r="21535" spans="17:17" x14ac:dyDescent="0.25">
      <c r="Q21535" s="8"/>
    </row>
    <row r="21536" spans="17:17" x14ac:dyDescent="0.25">
      <c r="Q21536" s="8"/>
    </row>
    <row r="21537" spans="17:17" x14ac:dyDescent="0.25">
      <c r="Q21537" s="8"/>
    </row>
    <row r="21538" spans="17:17" x14ac:dyDescent="0.25">
      <c r="Q21538" s="8"/>
    </row>
    <row r="21539" spans="17:17" x14ac:dyDescent="0.25">
      <c r="Q21539" s="8"/>
    </row>
    <row r="21540" spans="17:17" x14ac:dyDescent="0.25">
      <c r="Q21540" s="8"/>
    </row>
    <row r="21541" spans="17:17" x14ac:dyDescent="0.25">
      <c r="Q21541" s="8"/>
    </row>
    <row r="21542" spans="17:17" x14ac:dyDescent="0.25">
      <c r="Q21542" s="8"/>
    </row>
    <row r="21543" spans="17:17" x14ac:dyDescent="0.25">
      <c r="Q21543" s="8"/>
    </row>
    <row r="21544" spans="17:17" x14ac:dyDescent="0.25">
      <c r="Q21544" s="8"/>
    </row>
    <row r="21545" spans="17:17" x14ac:dyDescent="0.25">
      <c r="Q21545" s="8"/>
    </row>
    <row r="21546" spans="17:17" x14ac:dyDescent="0.25">
      <c r="Q21546" s="8"/>
    </row>
    <row r="21547" spans="17:17" x14ac:dyDescent="0.25">
      <c r="Q21547" s="8"/>
    </row>
    <row r="21548" spans="17:17" x14ac:dyDescent="0.25">
      <c r="Q21548" s="8"/>
    </row>
    <row r="21549" spans="17:17" x14ac:dyDescent="0.25">
      <c r="Q21549" s="8"/>
    </row>
    <row r="21550" spans="17:17" x14ac:dyDescent="0.25">
      <c r="Q21550" s="8"/>
    </row>
    <row r="21551" spans="17:17" x14ac:dyDescent="0.25">
      <c r="Q21551" s="8"/>
    </row>
    <row r="21552" spans="17:17" x14ac:dyDescent="0.25">
      <c r="Q21552" s="8"/>
    </row>
    <row r="21553" spans="17:17" x14ac:dyDescent="0.25">
      <c r="Q21553" s="8"/>
    </row>
    <row r="21554" spans="17:17" x14ac:dyDescent="0.25">
      <c r="Q21554" s="8"/>
    </row>
    <row r="21555" spans="17:17" x14ac:dyDescent="0.25">
      <c r="Q21555" s="8"/>
    </row>
    <row r="21556" spans="17:17" x14ac:dyDescent="0.25">
      <c r="Q21556" s="8"/>
    </row>
    <row r="21557" spans="17:17" x14ac:dyDescent="0.25">
      <c r="Q21557" s="8"/>
    </row>
    <row r="21558" spans="17:17" x14ac:dyDescent="0.25">
      <c r="Q21558" s="8"/>
    </row>
    <row r="21559" spans="17:17" x14ac:dyDescent="0.25">
      <c r="Q21559" s="8"/>
    </row>
    <row r="21560" spans="17:17" x14ac:dyDescent="0.25">
      <c r="Q21560" s="8"/>
    </row>
    <row r="21561" spans="17:17" x14ac:dyDescent="0.25">
      <c r="Q21561" s="8"/>
    </row>
    <row r="21562" spans="17:17" x14ac:dyDescent="0.25">
      <c r="Q21562" s="8"/>
    </row>
    <row r="21563" spans="17:17" x14ac:dyDescent="0.25">
      <c r="Q21563" s="8"/>
    </row>
    <row r="21564" spans="17:17" x14ac:dyDescent="0.25">
      <c r="Q21564" s="8"/>
    </row>
    <row r="21565" spans="17:17" x14ac:dyDescent="0.25">
      <c r="Q21565" s="8"/>
    </row>
    <row r="21566" spans="17:17" x14ac:dyDescent="0.25">
      <c r="Q21566" s="8"/>
    </row>
    <row r="21567" spans="17:17" x14ac:dyDescent="0.25">
      <c r="Q21567" s="8"/>
    </row>
    <row r="21568" spans="17:17" x14ac:dyDescent="0.25">
      <c r="Q21568" s="8"/>
    </row>
    <row r="21569" spans="17:17" x14ac:dyDescent="0.25">
      <c r="Q21569" s="8"/>
    </row>
    <row r="21570" spans="17:17" x14ac:dyDescent="0.25">
      <c r="Q21570" s="8"/>
    </row>
    <row r="21571" spans="17:17" x14ac:dyDescent="0.25">
      <c r="Q21571" s="8"/>
    </row>
    <row r="21572" spans="17:17" x14ac:dyDescent="0.25">
      <c r="Q21572" s="8"/>
    </row>
    <row r="21573" spans="17:17" x14ac:dyDescent="0.25">
      <c r="Q21573" s="8"/>
    </row>
    <row r="21574" spans="17:17" x14ac:dyDescent="0.25">
      <c r="Q21574" s="8"/>
    </row>
    <row r="21575" spans="17:17" x14ac:dyDescent="0.25">
      <c r="Q21575" s="8"/>
    </row>
    <row r="21576" spans="17:17" x14ac:dyDescent="0.25">
      <c r="Q21576" s="8"/>
    </row>
    <row r="21577" spans="17:17" x14ac:dyDescent="0.25">
      <c r="Q21577" s="8"/>
    </row>
    <row r="21578" spans="17:17" x14ac:dyDescent="0.25">
      <c r="Q21578" s="8"/>
    </row>
    <row r="21579" spans="17:17" x14ac:dyDescent="0.25">
      <c r="Q21579" s="8"/>
    </row>
    <row r="21580" spans="17:17" x14ac:dyDescent="0.25">
      <c r="Q21580" s="8"/>
    </row>
    <row r="21581" spans="17:17" x14ac:dyDescent="0.25">
      <c r="Q21581" s="8"/>
    </row>
    <row r="21582" spans="17:17" x14ac:dyDescent="0.25">
      <c r="Q21582" s="8"/>
    </row>
    <row r="21583" spans="17:17" x14ac:dyDescent="0.25">
      <c r="Q21583" s="8"/>
    </row>
    <row r="21584" spans="17:17" x14ac:dyDescent="0.25">
      <c r="Q21584" s="8"/>
    </row>
    <row r="21585" spans="17:17" x14ac:dyDescent="0.25">
      <c r="Q21585" s="8"/>
    </row>
    <row r="21586" spans="17:17" x14ac:dyDescent="0.25">
      <c r="Q21586" s="8"/>
    </row>
    <row r="21587" spans="17:17" x14ac:dyDescent="0.25">
      <c r="Q21587" s="8"/>
    </row>
    <row r="21588" spans="17:17" x14ac:dyDescent="0.25">
      <c r="Q21588" s="8"/>
    </row>
    <row r="21589" spans="17:17" x14ac:dyDescent="0.25">
      <c r="Q21589" s="8"/>
    </row>
    <row r="21590" spans="17:17" x14ac:dyDescent="0.25">
      <c r="Q21590" s="8"/>
    </row>
    <row r="21591" spans="17:17" x14ac:dyDescent="0.25">
      <c r="Q21591" s="8"/>
    </row>
    <row r="21592" spans="17:17" x14ac:dyDescent="0.25">
      <c r="Q21592" s="8"/>
    </row>
    <row r="21593" spans="17:17" x14ac:dyDescent="0.25">
      <c r="Q21593" s="8"/>
    </row>
    <row r="21594" spans="17:17" x14ac:dyDescent="0.25">
      <c r="Q21594" s="8"/>
    </row>
    <row r="21595" spans="17:17" x14ac:dyDescent="0.25">
      <c r="Q21595" s="8"/>
    </row>
    <row r="21596" spans="17:17" x14ac:dyDescent="0.25">
      <c r="Q21596" s="8"/>
    </row>
    <row r="21597" spans="17:17" x14ac:dyDescent="0.25">
      <c r="Q21597" s="8"/>
    </row>
    <row r="21598" spans="17:17" x14ac:dyDescent="0.25">
      <c r="Q21598" s="8"/>
    </row>
    <row r="21599" spans="17:17" x14ac:dyDescent="0.25">
      <c r="Q21599" s="8"/>
    </row>
    <row r="21600" spans="17:17" x14ac:dyDescent="0.25">
      <c r="Q21600" s="8"/>
    </row>
    <row r="21601" spans="17:17" x14ac:dyDescent="0.25">
      <c r="Q21601" s="8"/>
    </row>
    <row r="21602" spans="17:17" x14ac:dyDescent="0.25">
      <c r="Q21602" s="8"/>
    </row>
    <row r="21603" spans="17:17" x14ac:dyDescent="0.25">
      <c r="Q21603" s="8"/>
    </row>
    <row r="21604" spans="17:17" x14ac:dyDescent="0.25">
      <c r="Q21604" s="8"/>
    </row>
    <row r="21605" spans="17:17" x14ac:dyDescent="0.25">
      <c r="Q21605" s="8"/>
    </row>
    <row r="21606" spans="17:17" x14ac:dyDescent="0.25">
      <c r="Q21606" s="8"/>
    </row>
    <row r="21607" spans="17:17" x14ac:dyDescent="0.25">
      <c r="Q21607" s="8"/>
    </row>
    <row r="21608" spans="17:17" x14ac:dyDescent="0.25">
      <c r="Q21608" s="8"/>
    </row>
    <row r="21609" spans="17:17" x14ac:dyDescent="0.25">
      <c r="Q21609" s="8"/>
    </row>
    <row r="21610" spans="17:17" x14ac:dyDescent="0.25">
      <c r="Q21610" s="8"/>
    </row>
    <row r="21611" spans="17:17" x14ac:dyDescent="0.25">
      <c r="Q21611" s="8"/>
    </row>
    <row r="21612" spans="17:17" x14ac:dyDescent="0.25">
      <c r="Q21612" s="8"/>
    </row>
    <row r="21613" spans="17:17" x14ac:dyDescent="0.25">
      <c r="Q21613" s="8"/>
    </row>
    <row r="21614" spans="17:17" x14ac:dyDescent="0.25">
      <c r="Q21614" s="8"/>
    </row>
    <row r="21615" spans="17:17" x14ac:dyDescent="0.25">
      <c r="Q21615" s="8"/>
    </row>
    <row r="21616" spans="17:17" x14ac:dyDescent="0.25">
      <c r="Q21616" s="8"/>
    </row>
    <row r="21617" spans="17:17" x14ac:dyDescent="0.25">
      <c r="Q21617" s="8"/>
    </row>
    <row r="21618" spans="17:17" x14ac:dyDescent="0.25">
      <c r="Q21618" s="8"/>
    </row>
    <row r="21619" spans="17:17" x14ac:dyDescent="0.25">
      <c r="Q21619" s="8"/>
    </row>
    <row r="21620" spans="17:17" x14ac:dyDescent="0.25">
      <c r="Q21620" s="8"/>
    </row>
    <row r="21621" spans="17:17" x14ac:dyDescent="0.25">
      <c r="Q21621" s="8"/>
    </row>
    <row r="21622" spans="17:17" x14ac:dyDescent="0.25">
      <c r="Q21622" s="8"/>
    </row>
    <row r="21623" spans="17:17" x14ac:dyDescent="0.25">
      <c r="Q21623" s="8"/>
    </row>
    <row r="21624" spans="17:17" x14ac:dyDescent="0.25">
      <c r="Q21624" s="8"/>
    </row>
    <row r="21625" spans="17:17" x14ac:dyDescent="0.25">
      <c r="Q21625" s="8"/>
    </row>
    <row r="21626" spans="17:17" x14ac:dyDescent="0.25">
      <c r="Q21626" s="8"/>
    </row>
    <row r="21627" spans="17:17" x14ac:dyDescent="0.25">
      <c r="Q21627" s="8"/>
    </row>
    <row r="21628" spans="17:17" x14ac:dyDescent="0.25">
      <c r="Q21628" s="8"/>
    </row>
    <row r="21629" spans="17:17" x14ac:dyDescent="0.25">
      <c r="Q21629" s="8"/>
    </row>
    <row r="21630" spans="17:17" x14ac:dyDescent="0.25">
      <c r="Q21630" s="8"/>
    </row>
    <row r="21631" spans="17:17" x14ac:dyDescent="0.25">
      <c r="Q21631" s="8"/>
    </row>
    <row r="21632" spans="17:17" x14ac:dyDescent="0.25">
      <c r="Q21632" s="8"/>
    </row>
    <row r="21633" spans="17:17" x14ac:dyDescent="0.25">
      <c r="Q21633" s="8"/>
    </row>
    <row r="21634" spans="17:17" x14ac:dyDescent="0.25">
      <c r="Q21634" s="8"/>
    </row>
    <row r="21635" spans="17:17" x14ac:dyDescent="0.25">
      <c r="Q21635" s="8"/>
    </row>
    <row r="21636" spans="17:17" x14ac:dyDescent="0.25">
      <c r="Q21636" s="8"/>
    </row>
    <row r="21637" spans="17:17" x14ac:dyDescent="0.25">
      <c r="Q21637" s="8"/>
    </row>
    <row r="21638" spans="17:17" x14ac:dyDescent="0.25">
      <c r="Q21638" s="8"/>
    </row>
    <row r="21639" spans="17:17" x14ac:dyDescent="0.25">
      <c r="Q21639" s="8"/>
    </row>
    <row r="21640" spans="17:17" x14ac:dyDescent="0.25">
      <c r="Q21640" s="8"/>
    </row>
    <row r="21641" spans="17:17" x14ac:dyDescent="0.25">
      <c r="Q21641" s="8"/>
    </row>
    <row r="21642" spans="17:17" x14ac:dyDescent="0.25">
      <c r="Q21642" s="8"/>
    </row>
    <row r="21643" spans="17:17" x14ac:dyDescent="0.25">
      <c r="Q21643" s="8"/>
    </row>
    <row r="21644" spans="17:17" x14ac:dyDescent="0.25">
      <c r="Q21644" s="8"/>
    </row>
    <row r="21645" spans="17:17" x14ac:dyDescent="0.25">
      <c r="Q21645" s="8"/>
    </row>
    <row r="21646" spans="17:17" x14ac:dyDescent="0.25">
      <c r="Q21646" s="8"/>
    </row>
    <row r="21647" spans="17:17" x14ac:dyDescent="0.25">
      <c r="Q21647" s="8"/>
    </row>
    <row r="21648" spans="17:17" x14ac:dyDescent="0.25">
      <c r="Q21648" s="8"/>
    </row>
    <row r="21649" spans="17:17" x14ac:dyDescent="0.25">
      <c r="Q21649" s="8"/>
    </row>
    <row r="21650" spans="17:17" x14ac:dyDescent="0.25">
      <c r="Q21650" s="8"/>
    </row>
    <row r="21651" spans="17:17" x14ac:dyDescent="0.25">
      <c r="Q21651" s="8"/>
    </row>
    <row r="21652" spans="17:17" x14ac:dyDescent="0.25">
      <c r="Q21652" s="8"/>
    </row>
    <row r="21653" spans="17:17" x14ac:dyDescent="0.25">
      <c r="Q21653" s="8"/>
    </row>
    <row r="21654" spans="17:17" x14ac:dyDescent="0.25">
      <c r="Q21654" s="8"/>
    </row>
    <row r="21655" spans="17:17" x14ac:dyDescent="0.25">
      <c r="Q21655" s="8"/>
    </row>
    <row r="21656" spans="17:17" x14ac:dyDescent="0.25">
      <c r="Q21656" s="8"/>
    </row>
    <row r="21657" spans="17:17" x14ac:dyDescent="0.25">
      <c r="Q21657" s="8"/>
    </row>
    <row r="21658" spans="17:17" x14ac:dyDescent="0.25">
      <c r="Q21658" s="8"/>
    </row>
    <row r="21659" spans="17:17" x14ac:dyDescent="0.25">
      <c r="Q21659" s="8"/>
    </row>
    <row r="21660" spans="17:17" x14ac:dyDescent="0.25">
      <c r="Q21660" s="8"/>
    </row>
    <row r="21661" spans="17:17" x14ac:dyDescent="0.25">
      <c r="Q21661" s="8"/>
    </row>
    <row r="21662" spans="17:17" x14ac:dyDescent="0.25">
      <c r="Q21662" s="8"/>
    </row>
    <row r="21663" spans="17:17" x14ac:dyDescent="0.25">
      <c r="Q21663" s="8"/>
    </row>
    <row r="21664" spans="17:17" x14ac:dyDescent="0.25">
      <c r="Q21664" s="8"/>
    </row>
    <row r="21665" spans="17:17" x14ac:dyDescent="0.25">
      <c r="Q21665" s="8"/>
    </row>
    <row r="21666" spans="17:17" x14ac:dyDescent="0.25">
      <c r="Q21666" s="8"/>
    </row>
    <row r="21667" spans="17:17" x14ac:dyDescent="0.25">
      <c r="Q21667" s="8"/>
    </row>
    <row r="21668" spans="17:17" x14ac:dyDescent="0.25">
      <c r="Q21668" s="8"/>
    </row>
    <row r="21669" spans="17:17" x14ac:dyDescent="0.25">
      <c r="Q21669" s="8"/>
    </row>
    <row r="21670" spans="17:17" x14ac:dyDescent="0.25">
      <c r="Q21670" s="8"/>
    </row>
    <row r="21671" spans="17:17" x14ac:dyDescent="0.25">
      <c r="Q21671" s="8"/>
    </row>
    <row r="21672" spans="17:17" x14ac:dyDescent="0.25">
      <c r="Q21672" s="8"/>
    </row>
    <row r="21673" spans="17:17" x14ac:dyDescent="0.25">
      <c r="Q21673" s="8"/>
    </row>
    <row r="21674" spans="17:17" x14ac:dyDescent="0.25">
      <c r="Q21674" s="8"/>
    </row>
    <row r="21675" spans="17:17" x14ac:dyDescent="0.25">
      <c r="Q21675" s="8"/>
    </row>
    <row r="21676" spans="17:17" x14ac:dyDescent="0.25">
      <c r="Q21676" s="8"/>
    </row>
    <row r="21677" spans="17:17" x14ac:dyDescent="0.25">
      <c r="Q21677" s="8"/>
    </row>
    <row r="21678" spans="17:17" x14ac:dyDescent="0.25">
      <c r="Q21678" s="8"/>
    </row>
    <row r="21679" spans="17:17" x14ac:dyDescent="0.25">
      <c r="Q21679" s="8"/>
    </row>
    <row r="21680" spans="17:17" x14ac:dyDescent="0.25">
      <c r="Q21680" s="8"/>
    </row>
    <row r="21681" spans="17:17" x14ac:dyDescent="0.25">
      <c r="Q21681" s="8"/>
    </row>
    <row r="21682" spans="17:17" x14ac:dyDescent="0.25">
      <c r="Q21682" s="8"/>
    </row>
    <row r="21683" spans="17:17" x14ac:dyDescent="0.25">
      <c r="Q21683" s="8"/>
    </row>
    <row r="21684" spans="17:17" x14ac:dyDescent="0.25">
      <c r="Q21684" s="8"/>
    </row>
    <row r="21685" spans="17:17" x14ac:dyDescent="0.25">
      <c r="Q21685" s="8"/>
    </row>
    <row r="21686" spans="17:17" x14ac:dyDescent="0.25">
      <c r="Q21686" s="8"/>
    </row>
    <row r="21687" spans="17:17" x14ac:dyDescent="0.25">
      <c r="Q21687" s="8"/>
    </row>
    <row r="21688" spans="17:17" x14ac:dyDescent="0.25">
      <c r="Q21688" s="8"/>
    </row>
    <row r="21689" spans="17:17" x14ac:dyDescent="0.25">
      <c r="Q21689" s="8"/>
    </row>
    <row r="21690" spans="17:17" x14ac:dyDescent="0.25">
      <c r="Q21690" s="8"/>
    </row>
    <row r="21691" spans="17:17" x14ac:dyDescent="0.25">
      <c r="Q21691" s="8"/>
    </row>
    <row r="21692" spans="17:17" x14ac:dyDescent="0.25">
      <c r="Q21692" s="8"/>
    </row>
    <row r="21693" spans="17:17" x14ac:dyDescent="0.25">
      <c r="Q21693" s="8"/>
    </row>
    <row r="21694" spans="17:17" x14ac:dyDescent="0.25">
      <c r="Q21694" s="8"/>
    </row>
    <row r="21695" spans="17:17" x14ac:dyDescent="0.25">
      <c r="Q21695" s="8"/>
    </row>
    <row r="21696" spans="17:17" x14ac:dyDescent="0.25">
      <c r="Q21696" s="8"/>
    </row>
    <row r="21697" spans="17:17" x14ac:dyDescent="0.25">
      <c r="Q21697" s="8"/>
    </row>
    <row r="21698" spans="17:17" x14ac:dyDescent="0.25">
      <c r="Q21698" s="8"/>
    </row>
    <row r="21699" spans="17:17" x14ac:dyDescent="0.25">
      <c r="Q21699" s="8"/>
    </row>
    <row r="21700" spans="17:17" x14ac:dyDescent="0.25">
      <c r="Q21700" s="8"/>
    </row>
    <row r="21701" spans="17:17" x14ac:dyDescent="0.25">
      <c r="Q21701" s="8"/>
    </row>
    <row r="21702" spans="17:17" x14ac:dyDescent="0.25">
      <c r="Q21702" s="8"/>
    </row>
    <row r="21703" spans="17:17" x14ac:dyDescent="0.25">
      <c r="Q21703" s="8"/>
    </row>
    <row r="21704" spans="17:17" x14ac:dyDescent="0.25">
      <c r="Q21704" s="8"/>
    </row>
    <row r="21705" spans="17:17" x14ac:dyDescent="0.25">
      <c r="Q21705" s="8"/>
    </row>
    <row r="21706" spans="17:17" x14ac:dyDescent="0.25">
      <c r="Q21706" s="8"/>
    </row>
    <row r="21707" spans="17:17" x14ac:dyDescent="0.25">
      <c r="Q21707" s="8"/>
    </row>
    <row r="21708" spans="17:17" x14ac:dyDescent="0.25">
      <c r="Q21708" s="8"/>
    </row>
    <row r="21709" spans="17:17" x14ac:dyDescent="0.25">
      <c r="Q21709" s="8"/>
    </row>
    <row r="21710" spans="17:17" x14ac:dyDescent="0.25">
      <c r="Q21710" s="8"/>
    </row>
    <row r="21711" spans="17:17" x14ac:dyDescent="0.25">
      <c r="Q21711" s="8"/>
    </row>
    <row r="21712" spans="17:17" x14ac:dyDescent="0.25">
      <c r="Q21712" s="8"/>
    </row>
    <row r="21713" spans="17:17" x14ac:dyDescent="0.25">
      <c r="Q21713" s="8"/>
    </row>
    <row r="21714" spans="17:17" x14ac:dyDescent="0.25">
      <c r="Q21714" s="8"/>
    </row>
    <row r="21715" spans="17:17" x14ac:dyDescent="0.25">
      <c r="Q21715" s="8"/>
    </row>
    <row r="21716" spans="17:17" x14ac:dyDescent="0.25">
      <c r="Q21716" s="8"/>
    </row>
    <row r="21717" spans="17:17" x14ac:dyDescent="0.25">
      <c r="Q21717" s="8"/>
    </row>
    <row r="21718" spans="17:17" x14ac:dyDescent="0.25">
      <c r="Q21718" s="8"/>
    </row>
    <row r="21719" spans="17:17" x14ac:dyDescent="0.25">
      <c r="Q21719" s="8"/>
    </row>
    <row r="21720" spans="17:17" x14ac:dyDescent="0.25">
      <c r="Q21720" s="8"/>
    </row>
    <row r="21721" spans="17:17" x14ac:dyDescent="0.25">
      <c r="Q21721" s="8"/>
    </row>
    <row r="21722" spans="17:17" x14ac:dyDescent="0.25">
      <c r="Q21722" s="8"/>
    </row>
    <row r="21723" spans="17:17" x14ac:dyDescent="0.25">
      <c r="Q21723" s="8"/>
    </row>
    <row r="21724" spans="17:17" x14ac:dyDescent="0.25">
      <c r="Q21724" s="8"/>
    </row>
    <row r="21725" spans="17:17" x14ac:dyDescent="0.25">
      <c r="Q21725" s="8"/>
    </row>
    <row r="21726" spans="17:17" x14ac:dyDescent="0.25">
      <c r="Q21726" s="8"/>
    </row>
    <row r="21727" spans="17:17" x14ac:dyDescent="0.25">
      <c r="Q21727" s="8"/>
    </row>
    <row r="21728" spans="17:17" x14ac:dyDescent="0.25">
      <c r="Q21728" s="8"/>
    </row>
    <row r="21729" spans="17:17" x14ac:dyDescent="0.25">
      <c r="Q21729" s="8"/>
    </row>
    <row r="21730" spans="17:17" x14ac:dyDescent="0.25">
      <c r="Q21730" s="8"/>
    </row>
    <row r="21731" spans="17:17" x14ac:dyDescent="0.25">
      <c r="Q21731" s="8"/>
    </row>
    <row r="21732" spans="17:17" x14ac:dyDescent="0.25">
      <c r="Q21732" s="8"/>
    </row>
    <row r="21733" spans="17:17" x14ac:dyDescent="0.25">
      <c r="Q21733" s="8"/>
    </row>
    <row r="21734" spans="17:17" x14ac:dyDescent="0.25">
      <c r="Q21734" s="8"/>
    </row>
    <row r="21735" spans="17:17" x14ac:dyDescent="0.25">
      <c r="Q21735" s="8"/>
    </row>
    <row r="21736" spans="17:17" x14ac:dyDescent="0.25">
      <c r="Q21736" s="8"/>
    </row>
    <row r="21737" spans="17:17" x14ac:dyDescent="0.25">
      <c r="Q21737" s="8"/>
    </row>
    <row r="21738" spans="17:17" x14ac:dyDescent="0.25">
      <c r="Q21738" s="8"/>
    </row>
    <row r="21739" spans="17:17" x14ac:dyDescent="0.25">
      <c r="Q21739" s="8"/>
    </row>
    <row r="21740" spans="17:17" x14ac:dyDescent="0.25">
      <c r="Q21740" s="8"/>
    </row>
    <row r="21741" spans="17:17" x14ac:dyDescent="0.25">
      <c r="Q21741" s="8"/>
    </row>
    <row r="21742" spans="17:17" x14ac:dyDescent="0.25">
      <c r="Q21742" s="8"/>
    </row>
    <row r="21743" spans="17:17" x14ac:dyDescent="0.25">
      <c r="Q21743" s="8"/>
    </row>
    <row r="21744" spans="17:17" x14ac:dyDescent="0.25">
      <c r="Q21744" s="8"/>
    </row>
    <row r="21745" spans="17:17" x14ac:dyDescent="0.25">
      <c r="Q21745" s="8"/>
    </row>
    <row r="21746" spans="17:17" x14ac:dyDescent="0.25">
      <c r="Q21746" s="8"/>
    </row>
    <row r="21747" spans="17:17" x14ac:dyDescent="0.25">
      <c r="Q21747" s="8"/>
    </row>
    <row r="21748" spans="17:17" x14ac:dyDescent="0.25">
      <c r="Q21748" s="8"/>
    </row>
    <row r="21749" spans="17:17" x14ac:dyDescent="0.25">
      <c r="Q21749" s="8"/>
    </row>
    <row r="21750" spans="17:17" x14ac:dyDescent="0.25">
      <c r="Q21750" s="8"/>
    </row>
    <row r="21751" spans="17:17" x14ac:dyDescent="0.25">
      <c r="Q21751" s="8"/>
    </row>
    <row r="21752" spans="17:17" x14ac:dyDescent="0.25">
      <c r="Q21752" s="8"/>
    </row>
    <row r="21753" spans="17:17" x14ac:dyDescent="0.25">
      <c r="Q21753" s="8"/>
    </row>
    <row r="21754" spans="17:17" x14ac:dyDescent="0.25">
      <c r="Q21754" s="8"/>
    </row>
    <row r="21755" spans="17:17" x14ac:dyDescent="0.25">
      <c r="Q21755" s="8"/>
    </row>
    <row r="21756" spans="17:17" x14ac:dyDescent="0.25">
      <c r="Q21756" s="8"/>
    </row>
    <row r="21757" spans="17:17" x14ac:dyDescent="0.25">
      <c r="Q21757" s="8"/>
    </row>
    <row r="21758" spans="17:17" x14ac:dyDescent="0.25">
      <c r="Q21758" s="8"/>
    </row>
    <row r="21759" spans="17:17" x14ac:dyDescent="0.25">
      <c r="Q21759" s="8"/>
    </row>
    <row r="21760" spans="17:17" x14ac:dyDescent="0.25">
      <c r="Q21760" s="8"/>
    </row>
    <row r="21761" spans="17:17" x14ac:dyDescent="0.25">
      <c r="Q21761" s="8"/>
    </row>
    <row r="21762" spans="17:17" x14ac:dyDescent="0.25">
      <c r="Q21762" s="8"/>
    </row>
    <row r="21763" spans="17:17" x14ac:dyDescent="0.25">
      <c r="Q21763" s="8"/>
    </row>
    <row r="21764" spans="17:17" x14ac:dyDescent="0.25">
      <c r="Q21764" s="8"/>
    </row>
    <row r="21765" spans="17:17" x14ac:dyDescent="0.25">
      <c r="Q21765" s="8"/>
    </row>
    <row r="21766" spans="17:17" x14ac:dyDescent="0.25">
      <c r="Q21766" s="8"/>
    </row>
    <row r="21767" spans="17:17" x14ac:dyDescent="0.25">
      <c r="Q21767" s="8"/>
    </row>
    <row r="21768" spans="17:17" x14ac:dyDescent="0.25">
      <c r="Q21768" s="8"/>
    </row>
    <row r="21769" spans="17:17" x14ac:dyDescent="0.25">
      <c r="Q21769" s="8"/>
    </row>
    <row r="21770" spans="17:17" x14ac:dyDescent="0.25">
      <c r="Q21770" s="8"/>
    </row>
    <row r="21771" spans="17:17" x14ac:dyDescent="0.25">
      <c r="Q21771" s="8"/>
    </row>
    <row r="21772" spans="17:17" x14ac:dyDescent="0.25">
      <c r="Q21772" s="8"/>
    </row>
    <row r="21773" spans="17:17" x14ac:dyDescent="0.25">
      <c r="Q21773" s="8"/>
    </row>
    <row r="21774" spans="17:17" x14ac:dyDescent="0.25">
      <c r="Q21774" s="8"/>
    </row>
    <row r="21775" spans="17:17" x14ac:dyDescent="0.25">
      <c r="Q21775" s="8"/>
    </row>
    <row r="21776" spans="17:17" x14ac:dyDescent="0.25">
      <c r="Q21776" s="8"/>
    </row>
    <row r="21777" spans="17:17" x14ac:dyDescent="0.25">
      <c r="Q21777" s="8"/>
    </row>
    <row r="21778" spans="17:17" x14ac:dyDescent="0.25">
      <c r="Q21778" s="8"/>
    </row>
    <row r="21779" spans="17:17" x14ac:dyDescent="0.25">
      <c r="Q21779" s="8"/>
    </row>
    <row r="21780" spans="17:17" x14ac:dyDescent="0.25">
      <c r="Q21780" s="8"/>
    </row>
    <row r="21781" spans="17:17" x14ac:dyDescent="0.25">
      <c r="Q21781" s="8"/>
    </row>
    <row r="21782" spans="17:17" x14ac:dyDescent="0.25">
      <c r="Q21782" s="8"/>
    </row>
    <row r="21783" spans="17:17" x14ac:dyDescent="0.25">
      <c r="Q21783" s="8"/>
    </row>
    <row r="21784" spans="17:17" x14ac:dyDescent="0.25">
      <c r="Q21784" s="8"/>
    </row>
    <row r="21785" spans="17:17" x14ac:dyDescent="0.25">
      <c r="Q21785" s="8"/>
    </row>
    <row r="21786" spans="17:17" x14ac:dyDescent="0.25">
      <c r="Q21786" s="8"/>
    </row>
    <row r="21787" spans="17:17" x14ac:dyDescent="0.25">
      <c r="Q21787" s="8"/>
    </row>
    <row r="21788" spans="17:17" x14ac:dyDescent="0.25">
      <c r="Q21788" s="8"/>
    </row>
    <row r="21789" spans="17:17" x14ac:dyDescent="0.25">
      <c r="Q21789" s="8"/>
    </row>
    <row r="21790" spans="17:17" x14ac:dyDescent="0.25">
      <c r="Q21790" s="8"/>
    </row>
    <row r="21791" spans="17:17" x14ac:dyDescent="0.25">
      <c r="Q21791" s="8"/>
    </row>
    <row r="21792" spans="17:17" x14ac:dyDescent="0.25">
      <c r="Q21792" s="8"/>
    </row>
    <row r="21793" spans="17:17" x14ac:dyDescent="0.25">
      <c r="Q21793" s="8"/>
    </row>
    <row r="21794" spans="17:17" x14ac:dyDescent="0.25">
      <c r="Q21794" s="8"/>
    </row>
    <row r="21795" spans="17:17" x14ac:dyDescent="0.25">
      <c r="Q21795" s="8"/>
    </row>
    <row r="21796" spans="17:17" x14ac:dyDescent="0.25">
      <c r="Q21796" s="8"/>
    </row>
    <row r="21797" spans="17:17" x14ac:dyDescent="0.25">
      <c r="Q21797" s="8"/>
    </row>
    <row r="21798" spans="17:17" x14ac:dyDescent="0.25">
      <c r="Q21798" s="8"/>
    </row>
    <row r="21799" spans="17:17" x14ac:dyDescent="0.25">
      <c r="Q21799" s="8"/>
    </row>
    <row r="21800" spans="17:17" x14ac:dyDescent="0.25">
      <c r="Q21800" s="8"/>
    </row>
    <row r="21801" spans="17:17" x14ac:dyDescent="0.25">
      <c r="Q21801" s="8"/>
    </row>
    <row r="21802" spans="17:17" x14ac:dyDescent="0.25">
      <c r="Q21802" s="8"/>
    </row>
    <row r="21803" spans="17:17" x14ac:dyDescent="0.25">
      <c r="Q21803" s="8"/>
    </row>
    <row r="21804" spans="17:17" x14ac:dyDescent="0.25">
      <c r="Q21804" s="8"/>
    </row>
    <row r="21805" spans="17:17" x14ac:dyDescent="0.25">
      <c r="Q21805" s="8"/>
    </row>
    <row r="21806" spans="17:17" x14ac:dyDescent="0.25">
      <c r="Q21806" s="8"/>
    </row>
    <row r="21807" spans="17:17" x14ac:dyDescent="0.25">
      <c r="Q21807" s="8"/>
    </row>
    <row r="21808" spans="17:17" x14ac:dyDescent="0.25">
      <c r="Q21808" s="8"/>
    </row>
    <row r="21809" spans="17:17" x14ac:dyDescent="0.25">
      <c r="Q21809" s="8"/>
    </row>
    <row r="21810" spans="17:17" x14ac:dyDescent="0.25">
      <c r="Q21810" s="8"/>
    </row>
    <row r="21811" spans="17:17" x14ac:dyDescent="0.25">
      <c r="Q21811" s="8"/>
    </row>
    <row r="21812" spans="17:17" x14ac:dyDescent="0.25">
      <c r="Q21812" s="8"/>
    </row>
    <row r="21813" spans="17:17" x14ac:dyDescent="0.25">
      <c r="Q21813" s="8"/>
    </row>
    <row r="21814" spans="17:17" x14ac:dyDescent="0.25">
      <c r="Q21814" s="8"/>
    </row>
    <row r="21815" spans="17:17" x14ac:dyDescent="0.25">
      <c r="Q21815" s="8"/>
    </row>
    <row r="21816" spans="17:17" x14ac:dyDescent="0.25">
      <c r="Q21816" s="8"/>
    </row>
    <row r="21817" spans="17:17" x14ac:dyDescent="0.25">
      <c r="Q21817" s="8"/>
    </row>
    <row r="21818" spans="17:17" x14ac:dyDescent="0.25">
      <c r="Q21818" s="8"/>
    </row>
    <row r="21819" spans="17:17" x14ac:dyDescent="0.25">
      <c r="Q21819" s="8"/>
    </row>
    <row r="21820" spans="17:17" x14ac:dyDescent="0.25">
      <c r="Q21820" s="8"/>
    </row>
    <row r="21821" spans="17:17" x14ac:dyDescent="0.25">
      <c r="Q21821" s="8"/>
    </row>
    <row r="21822" spans="17:17" x14ac:dyDescent="0.25">
      <c r="Q21822" s="8"/>
    </row>
    <row r="21823" spans="17:17" x14ac:dyDescent="0.25">
      <c r="Q21823" s="8"/>
    </row>
    <row r="21824" spans="17:17" x14ac:dyDescent="0.25">
      <c r="Q21824" s="8"/>
    </row>
    <row r="21825" spans="17:17" x14ac:dyDescent="0.25">
      <c r="Q21825" s="8"/>
    </row>
    <row r="21826" spans="17:17" x14ac:dyDescent="0.25">
      <c r="Q21826" s="8"/>
    </row>
    <row r="21827" spans="17:17" x14ac:dyDescent="0.25">
      <c r="Q21827" s="8"/>
    </row>
    <row r="21828" spans="17:17" x14ac:dyDescent="0.25">
      <c r="Q21828" s="8"/>
    </row>
    <row r="21829" spans="17:17" x14ac:dyDescent="0.25">
      <c r="Q21829" s="8"/>
    </row>
    <row r="21830" spans="17:17" x14ac:dyDescent="0.25">
      <c r="Q21830" s="8"/>
    </row>
    <row r="21831" spans="17:17" x14ac:dyDescent="0.25">
      <c r="Q21831" s="8"/>
    </row>
    <row r="21832" spans="17:17" x14ac:dyDescent="0.25">
      <c r="Q21832" s="8"/>
    </row>
    <row r="21833" spans="17:17" x14ac:dyDescent="0.25">
      <c r="Q21833" s="8"/>
    </row>
    <row r="21834" spans="17:17" x14ac:dyDescent="0.25">
      <c r="Q21834" s="8"/>
    </row>
    <row r="21835" spans="17:17" x14ac:dyDescent="0.25">
      <c r="Q21835" s="8"/>
    </row>
    <row r="21836" spans="17:17" x14ac:dyDescent="0.25">
      <c r="Q21836" s="8"/>
    </row>
    <row r="21837" spans="17:17" x14ac:dyDescent="0.25">
      <c r="Q21837" s="8"/>
    </row>
    <row r="21838" spans="17:17" x14ac:dyDescent="0.25">
      <c r="Q21838" s="8"/>
    </row>
    <row r="21839" spans="17:17" x14ac:dyDescent="0.25">
      <c r="Q21839" s="8"/>
    </row>
    <row r="21840" spans="17:17" x14ac:dyDescent="0.25">
      <c r="Q21840" s="8"/>
    </row>
    <row r="21841" spans="17:17" x14ac:dyDescent="0.25">
      <c r="Q21841" s="8"/>
    </row>
    <row r="21842" spans="17:17" x14ac:dyDescent="0.25">
      <c r="Q21842" s="8"/>
    </row>
    <row r="21843" spans="17:17" x14ac:dyDescent="0.25">
      <c r="Q21843" s="8"/>
    </row>
    <row r="21844" spans="17:17" x14ac:dyDescent="0.25">
      <c r="Q21844" s="8"/>
    </row>
    <row r="21845" spans="17:17" x14ac:dyDescent="0.25">
      <c r="Q21845" s="8"/>
    </row>
    <row r="21846" spans="17:17" x14ac:dyDescent="0.25">
      <c r="Q21846" s="8"/>
    </row>
    <row r="21847" spans="17:17" x14ac:dyDescent="0.25">
      <c r="Q21847" s="8"/>
    </row>
    <row r="21848" spans="17:17" x14ac:dyDescent="0.25">
      <c r="Q21848" s="8"/>
    </row>
    <row r="21849" spans="17:17" x14ac:dyDescent="0.25">
      <c r="Q21849" s="8"/>
    </row>
    <row r="21850" spans="17:17" x14ac:dyDescent="0.25">
      <c r="Q21850" s="8"/>
    </row>
    <row r="21851" spans="17:17" x14ac:dyDescent="0.25">
      <c r="Q21851" s="8"/>
    </row>
    <row r="21852" spans="17:17" x14ac:dyDescent="0.25">
      <c r="Q21852" s="8"/>
    </row>
    <row r="21853" spans="17:17" x14ac:dyDescent="0.25">
      <c r="Q21853" s="8"/>
    </row>
    <row r="21854" spans="17:17" x14ac:dyDescent="0.25">
      <c r="Q21854" s="8"/>
    </row>
    <row r="21855" spans="17:17" x14ac:dyDescent="0.25">
      <c r="Q21855" s="8"/>
    </row>
    <row r="21856" spans="17:17" x14ac:dyDescent="0.25">
      <c r="Q21856" s="8"/>
    </row>
    <row r="21857" spans="17:17" x14ac:dyDescent="0.25">
      <c r="Q21857" s="8"/>
    </row>
    <row r="21858" spans="17:17" x14ac:dyDescent="0.25">
      <c r="Q21858" s="8"/>
    </row>
    <row r="21859" spans="17:17" x14ac:dyDescent="0.25">
      <c r="Q21859" s="8"/>
    </row>
    <row r="21860" spans="17:17" x14ac:dyDescent="0.25">
      <c r="Q21860" s="8"/>
    </row>
    <row r="21861" spans="17:17" x14ac:dyDescent="0.25">
      <c r="Q21861" s="8"/>
    </row>
    <row r="21862" spans="17:17" x14ac:dyDescent="0.25">
      <c r="Q21862" s="8"/>
    </row>
    <row r="21863" spans="17:17" x14ac:dyDescent="0.25">
      <c r="Q21863" s="8"/>
    </row>
    <row r="21864" spans="17:17" x14ac:dyDescent="0.25">
      <c r="Q21864" s="8"/>
    </row>
    <row r="21865" spans="17:17" x14ac:dyDescent="0.25">
      <c r="Q21865" s="8"/>
    </row>
    <row r="21866" spans="17:17" x14ac:dyDescent="0.25">
      <c r="Q21866" s="8"/>
    </row>
    <row r="21867" spans="17:17" x14ac:dyDescent="0.25">
      <c r="Q21867" s="8"/>
    </row>
    <row r="21868" spans="17:17" x14ac:dyDescent="0.25">
      <c r="Q21868" s="8"/>
    </row>
    <row r="21869" spans="17:17" x14ac:dyDescent="0.25">
      <c r="Q21869" s="8"/>
    </row>
    <row r="21870" spans="17:17" x14ac:dyDescent="0.25">
      <c r="Q21870" s="8"/>
    </row>
    <row r="21871" spans="17:17" x14ac:dyDescent="0.25">
      <c r="Q21871" s="8"/>
    </row>
    <row r="21872" spans="17:17" x14ac:dyDescent="0.25">
      <c r="Q21872" s="8"/>
    </row>
    <row r="21873" spans="17:17" x14ac:dyDescent="0.25">
      <c r="Q21873" s="8"/>
    </row>
    <row r="21874" spans="17:17" x14ac:dyDescent="0.25">
      <c r="Q21874" s="8"/>
    </row>
    <row r="21875" spans="17:17" x14ac:dyDescent="0.25">
      <c r="Q21875" s="8"/>
    </row>
    <row r="21876" spans="17:17" x14ac:dyDescent="0.25">
      <c r="Q21876" s="8"/>
    </row>
    <row r="21877" spans="17:17" x14ac:dyDescent="0.25">
      <c r="Q21877" s="8"/>
    </row>
    <row r="21878" spans="17:17" x14ac:dyDescent="0.25">
      <c r="Q21878" s="8"/>
    </row>
    <row r="21879" spans="17:17" x14ac:dyDescent="0.25">
      <c r="Q21879" s="8"/>
    </row>
    <row r="21880" spans="17:17" x14ac:dyDescent="0.25">
      <c r="Q21880" s="8"/>
    </row>
    <row r="21881" spans="17:17" x14ac:dyDescent="0.25">
      <c r="Q21881" s="8"/>
    </row>
    <row r="21882" spans="17:17" x14ac:dyDescent="0.25">
      <c r="Q21882" s="8"/>
    </row>
    <row r="21883" spans="17:17" x14ac:dyDescent="0.25">
      <c r="Q21883" s="8"/>
    </row>
    <row r="21884" spans="17:17" x14ac:dyDescent="0.25">
      <c r="Q21884" s="8"/>
    </row>
    <row r="21885" spans="17:17" x14ac:dyDescent="0.25">
      <c r="Q21885" s="8"/>
    </row>
    <row r="21886" spans="17:17" x14ac:dyDescent="0.25">
      <c r="Q21886" s="8"/>
    </row>
    <row r="21887" spans="17:17" x14ac:dyDescent="0.25">
      <c r="Q21887" s="8"/>
    </row>
    <row r="21888" spans="17:17" x14ac:dyDescent="0.25">
      <c r="Q21888" s="8"/>
    </row>
    <row r="21889" spans="17:17" x14ac:dyDescent="0.25">
      <c r="Q21889" s="8"/>
    </row>
    <row r="21890" spans="17:17" x14ac:dyDescent="0.25">
      <c r="Q21890" s="8"/>
    </row>
    <row r="21891" spans="17:17" x14ac:dyDescent="0.25">
      <c r="Q21891" s="8"/>
    </row>
    <row r="21892" spans="17:17" x14ac:dyDescent="0.25">
      <c r="Q21892" s="8"/>
    </row>
    <row r="21893" spans="17:17" x14ac:dyDescent="0.25">
      <c r="Q21893" s="8"/>
    </row>
    <row r="21894" spans="17:17" x14ac:dyDescent="0.25">
      <c r="Q21894" s="8"/>
    </row>
    <row r="21895" spans="17:17" x14ac:dyDescent="0.25">
      <c r="Q21895" s="8"/>
    </row>
    <row r="21896" spans="17:17" x14ac:dyDescent="0.25">
      <c r="Q21896" s="8"/>
    </row>
    <row r="21897" spans="17:17" x14ac:dyDescent="0.25">
      <c r="Q21897" s="8"/>
    </row>
    <row r="21898" spans="17:17" x14ac:dyDescent="0.25">
      <c r="Q21898" s="8"/>
    </row>
    <row r="21899" spans="17:17" x14ac:dyDescent="0.25">
      <c r="Q21899" s="8"/>
    </row>
    <row r="21900" spans="17:17" x14ac:dyDescent="0.25">
      <c r="Q21900" s="8"/>
    </row>
    <row r="21901" spans="17:17" x14ac:dyDescent="0.25">
      <c r="Q21901" s="8"/>
    </row>
    <row r="21902" spans="17:17" x14ac:dyDescent="0.25">
      <c r="Q21902" s="8"/>
    </row>
    <row r="21903" spans="17:17" x14ac:dyDescent="0.25">
      <c r="Q21903" s="8"/>
    </row>
    <row r="21904" spans="17:17" x14ac:dyDescent="0.25">
      <c r="Q21904" s="8"/>
    </row>
    <row r="21905" spans="17:17" x14ac:dyDescent="0.25">
      <c r="Q21905" s="8"/>
    </row>
    <row r="21906" spans="17:17" x14ac:dyDescent="0.25">
      <c r="Q21906" s="8"/>
    </row>
    <row r="21907" spans="17:17" x14ac:dyDescent="0.25">
      <c r="Q21907" s="8"/>
    </row>
    <row r="21908" spans="17:17" x14ac:dyDescent="0.25">
      <c r="Q21908" s="8"/>
    </row>
    <row r="21909" spans="17:17" x14ac:dyDescent="0.25">
      <c r="Q21909" s="8"/>
    </row>
    <row r="21910" spans="17:17" x14ac:dyDescent="0.25">
      <c r="Q21910" s="8"/>
    </row>
    <row r="21911" spans="17:17" x14ac:dyDescent="0.25">
      <c r="Q21911" s="8"/>
    </row>
    <row r="21912" spans="17:17" x14ac:dyDescent="0.25">
      <c r="Q21912" s="8"/>
    </row>
    <row r="21913" spans="17:17" x14ac:dyDescent="0.25">
      <c r="Q21913" s="8"/>
    </row>
    <row r="21914" spans="17:17" x14ac:dyDescent="0.25">
      <c r="Q21914" s="8"/>
    </row>
    <row r="21915" spans="17:17" x14ac:dyDescent="0.25">
      <c r="Q21915" s="8"/>
    </row>
    <row r="21916" spans="17:17" x14ac:dyDescent="0.25">
      <c r="Q21916" s="8"/>
    </row>
    <row r="21917" spans="17:17" x14ac:dyDescent="0.25">
      <c r="Q21917" s="8"/>
    </row>
    <row r="21918" spans="17:17" x14ac:dyDescent="0.25">
      <c r="Q21918" s="8"/>
    </row>
    <row r="21919" spans="17:17" x14ac:dyDescent="0.25">
      <c r="Q21919" s="8"/>
    </row>
    <row r="21920" spans="17:17" x14ac:dyDescent="0.25">
      <c r="Q21920" s="8"/>
    </row>
    <row r="21921" spans="17:17" x14ac:dyDescent="0.25">
      <c r="Q21921" s="8"/>
    </row>
    <row r="21922" spans="17:17" x14ac:dyDescent="0.25">
      <c r="Q21922" s="8"/>
    </row>
    <row r="21923" spans="17:17" x14ac:dyDescent="0.25">
      <c r="Q21923" s="8"/>
    </row>
    <row r="21924" spans="17:17" x14ac:dyDescent="0.25">
      <c r="Q21924" s="8"/>
    </row>
    <row r="21925" spans="17:17" x14ac:dyDescent="0.25">
      <c r="Q21925" s="8"/>
    </row>
    <row r="21926" spans="17:17" x14ac:dyDescent="0.25">
      <c r="Q21926" s="8"/>
    </row>
    <row r="21927" spans="17:17" x14ac:dyDescent="0.25">
      <c r="Q21927" s="8"/>
    </row>
    <row r="21928" spans="17:17" x14ac:dyDescent="0.25">
      <c r="Q21928" s="8"/>
    </row>
    <row r="21929" spans="17:17" x14ac:dyDescent="0.25">
      <c r="Q21929" s="8"/>
    </row>
    <row r="21930" spans="17:17" x14ac:dyDescent="0.25">
      <c r="Q21930" s="8"/>
    </row>
    <row r="21931" spans="17:17" x14ac:dyDescent="0.25">
      <c r="Q21931" s="8"/>
    </row>
    <row r="21932" spans="17:17" x14ac:dyDescent="0.25">
      <c r="Q21932" s="8"/>
    </row>
    <row r="21933" spans="17:17" x14ac:dyDescent="0.25">
      <c r="Q21933" s="8"/>
    </row>
    <row r="21934" spans="17:17" x14ac:dyDescent="0.25">
      <c r="Q21934" s="8"/>
    </row>
    <row r="21935" spans="17:17" x14ac:dyDescent="0.25">
      <c r="Q21935" s="8"/>
    </row>
    <row r="21936" spans="17:17" x14ac:dyDescent="0.25">
      <c r="Q21936" s="8"/>
    </row>
    <row r="21937" spans="17:17" x14ac:dyDescent="0.25">
      <c r="Q21937" s="8"/>
    </row>
    <row r="21938" spans="17:17" x14ac:dyDescent="0.25">
      <c r="Q21938" s="8"/>
    </row>
    <row r="21939" spans="17:17" x14ac:dyDescent="0.25">
      <c r="Q21939" s="8"/>
    </row>
    <row r="21940" spans="17:17" x14ac:dyDescent="0.25">
      <c r="Q21940" s="8"/>
    </row>
    <row r="21941" spans="17:17" x14ac:dyDescent="0.25">
      <c r="Q21941" s="8"/>
    </row>
    <row r="21942" spans="17:17" x14ac:dyDescent="0.25">
      <c r="Q21942" s="8"/>
    </row>
    <row r="21943" spans="17:17" x14ac:dyDescent="0.25">
      <c r="Q21943" s="8"/>
    </row>
    <row r="21944" spans="17:17" x14ac:dyDescent="0.25">
      <c r="Q21944" s="8"/>
    </row>
    <row r="21945" spans="17:17" x14ac:dyDescent="0.25">
      <c r="Q21945" s="8"/>
    </row>
    <row r="21946" spans="17:17" x14ac:dyDescent="0.25">
      <c r="Q21946" s="8"/>
    </row>
    <row r="21947" spans="17:17" x14ac:dyDescent="0.25">
      <c r="Q21947" s="8"/>
    </row>
    <row r="21948" spans="17:17" x14ac:dyDescent="0.25">
      <c r="Q21948" s="8"/>
    </row>
    <row r="21949" spans="17:17" x14ac:dyDescent="0.25">
      <c r="Q21949" s="8"/>
    </row>
    <row r="21950" spans="17:17" x14ac:dyDescent="0.25">
      <c r="Q21950" s="8"/>
    </row>
    <row r="21951" spans="17:17" x14ac:dyDescent="0.25">
      <c r="Q21951" s="8"/>
    </row>
    <row r="21952" spans="17:17" x14ac:dyDescent="0.25">
      <c r="Q21952" s="8"/>
    </row>
    <row r="21953" spans="17:17" x14ac:dyDescent="0.25">
      <c r="Q21953" s="8"/>
    </row>
    <row r="21954" spans="17:17" x14ac:dyDescent="0.25">
      <c r="Q21954" s="8"/>
    </row>
    <row r="21955" spans="17:17" x14ac:dyDescent="0.25">
      <c r="Q21955" s="8"/>
    </row>
    <row r="21956" spans="17:17" x14ac:dyDescent="0.25">
      <c r="Q21956" s="8"/>
    </row>
    <row r="21957" spans="17:17" x14ac:dyDescent="0.25">
      <c r="Q21957" s="8"/>
    </row>
    <row r="21958" spans="17:17" x14ac:dyDescent="0.25">
      <c r="Q21958" s="8"/>
    </row>
    <row r="21959" spans="17:17" x14ac:dyDescent="0.25">
      <c r="Q21959" s="8"/>
    </row>
    <row r="21960" spans="17:17" x14ac:dyDescent="0.25">
      <c r="Q21960" s="8"/>
    </row>
    <row r="21961" spans="17:17" x14ac:dyDescent="0.25">
      <c r="Q21961" s="8"/>
    </row>
    <row r="21962" spans="17:17" x14ac:dyDescent="0.25">
      <c r="Q21962" s="8"/>
    </row>
    <row r="21963" spans="17:17" x14ac:dyDescent="0.25">
      <c r="Q21963" s="8"/>
    </row>
    <row r="21964" spans="17:17" x14ac:dyDescent="0.25">
      <c r="Q21964" s="8"/>
    </row>
    <row r="21965" spans="17:17" x14ac:dyDescent="0.25">
      <c r="Q21965" s="8"/>
    </row>
    <row r="21966" spans="17:17" x14ac:dyDescent="0.25">
      <c r="Q21966" s="8"/>
    </row>
    <row r="21967" spans="17:17" x14ac:dyDescent="0.25">
      <c r="Q21967" s="8"/>
    </row>
    <row r="21968" spans="17:17" x14ac:dyDescent="0.25">
      <c r="Q21968" s="8"/>
    </row>
    <row r="21969" spans="17:17" x14ac:dyDescent="0.25">
      <c r="Q21969" s="8"/>
    </row>
    <row r="21970" spans="17:17" x14ac:dyDescent="0.25">
      <c r="Q21970" s="8"/>
    </row>
    <row r="21971" spans="17:17" x14ac:dyDescent="0.25">
      <c r="Q21971" s="8"/>
    </row>
    <row r="21972" spans="17:17" x14ac:dyDescent="0.25">
      <c r="Q21972" s="8"/>
    </row>
    <row r="21973" spans="17:17" x14ac:dyDescent="0.25">
      <c r="Q21973" s="8"/>
    </row>
    <row r="21974" spans="17:17" x14ac:dyDescent="0.25">
      <c r="Q21974" s="8"/>
    </row>
    <row r="21975" spans="17:17" x14ac:dyDescent="0.25">
      <c r="Q21975" s="8"/>
    </row>
    <row r="21976" spans="17:17" x14ac:dyDescent="0.25">
      <c r="Q21976" s="8"/>
    </row>
    <row r="21977" spans="17:17" x14ac:dyDescent="0.25">
      <c r="Q21977" s="8"/>
    </row>
    <row r="21978" spans="17:17" x14ac:dyDescent="0.25">
      <c r="Q21978" s="8"/>
    </row>
    <row r="21979" spans="17:17" x14ac:dyDescent="0.25">
      <c r="Q21979" s="8"/>
    </row>
    <row r="21980" spans="17:17" x14ac:dyDescent="0.25">
      <c r="Q21980" s="8"/>
    </row>
    <row r="21981" spans="17:17" x14ac:dyDescent="0.25">
      <c r="Q21981" s="8"/>
    </row>
    <row r="21982" spans="17:17" x14ac:dyDescent="0.25">
      <c r="Q21982" s="8"/>
    </row>
    <row r="21983" spans="17:17" x14ac:dyDescent="0.25">
      <c r="Q21983" s="8"/>
    </row>
    <row r="21984" spans="17:17" x14ac:dyDescent="0.25">
      <c r="Q21984" s="8"/>
    </row>
    <row r="21985" spans="17:17" x14ac:dyDescent="0.25">
      <c r="Q21985" s="8"/>
    </row>
    <row r="21986" spans="17:17" x14ac:dyDescent="0.25">
      <c r="Q21986" s="8"/>
    </row>
    <row r="21987" spans="17:17" x14ac:dyDescent="0.25">
      <c r="Q21987" s="8"/>
    </row>
    <row r="21988" spans="17:17" x14ac:dyDescent="0.25">
      <c r="Q21988" s="8"/>
    </row>
    <row r="21989" spans="17:17" x14ac:dyDescent="0.25">
      <c r="Q21989" s="8"/>
    </row>
    <row r="21990" spans="17:17" x14ac:dyDescent="0.25">
      <c r="Q21990" s="8"/>
    </row>
    <row r="21991" spans="17:17" x14ac:dyDescent="0.25">
      <c r="Q21991" s="8"/>
    </row>
    <row r="21992" spans="17:17" x14ac:dyDescent="0.25">
      <c r="Q21992" s="8"/>
    </row>
    <row r="21993" spans="17:17" x14ac:dyDescent="0.25">
      <c r="Q21993" s="8"/>
    </row>
    <row r="21994" spans="17:17" x14ac:dyDescent="0.25">
      <c r="Q21994" s="8"/>
    </row>
    <row r="21995" spans="17:17" x14ac:dyDescent="0.25">
      <c r="Q21995" s="8"/>
    </row>
    <row r="21996" spans="17:17" x14ac:dyDescent="0.25">
      <c r="Q21996" s="8"/>
    </row>
    <row r="21997" spans="17:17" x14ac:dyDescent="0.25">
      <c r="Q21997" s="8"/>
    </row>
    <row r="21998" spans="17:17" x14ac:dyDescent="0.25">
      <c r="Q21998" s="8"/>
    </row>
    <row r="21999" spans="17:17" x14ac:dyDescent="0.25">
      <c r="Q21999" s="8"/>
    </row>
    <row r="22000" spans="17:17" x14ac:dyDescent="0.25">
      <c r="Q22000" s="8"/>
    </row>
    <row r="22001" spans="17:17" x14ac:dyDescent="0.25">
      <c r="Q22001" s="8"/>
    </row>
    <row r="22002" spans="17:17" x14ac:dyDescent="0.25">
      <c r="Q22002" s="8"/>
    </row>
    <row r="22003" spans="17:17" x14ac:dyDescent="0.25">
      <c r="Q22003" s="8"/>
    </row>
    <row r="22004" spans="17:17" x14ac:dyDescent="0.25">
      <c r="Q22004" s="8"/>
    </row>
    <row r="22005" spans="17:17" x14ac:dyDescent="0.25">
      <c r="Q22005" s="8"/>
    </row>
    <row r="22006" spans="17:17" x14ac:dyDescent="0.25">
      <c r="Q22006" s="8"/>
    </row>
    <row r="22007" spans="17:17" x14ac:dyDescent="0.25">
      <c r="Q22007" s="8"/>
    </row>
    <row r="22008" spans="17:17" x14ac:dyDescent="0.25">
      <c r="Q22008" s="8"/>
    </row>
    <row r="22009" spans="17:17" x14ac:dyDescent="0.25">
      <c r="Q22009" s="8"/>
    </row>
    <row r="22010" spans="17:17" x14ac:dyDescent="0.25">
      <c r="Q22010" s="8"/>
    </row>
    <row r="22011" spans="17:17" x14ac:dyDescent="0.25">
      <c r="Q22011" s="8"/>
    </row>
    <row r="22012" spans="17:17" x14ac:dyDescent="0.25">
      <c r="Q22012" s="8"/>
    </row>
    <row r="22013" spans="17:17" x14ac:dyDescent="0.25">
      <c r="Q22013" s="8"/>
    </row>
    <row r="22014" spans="17:17" x14ac:dyDescent="0.25">
      <c r="Q22014" s="8"/>
    </row>
    <row r="22015" spans="17:17" x14ac:dyDescent="0.25">
      <c r="Q22015" s="8"/>
    </row>
    <row r="22016" spans="17:17" x14ac:dyDescent="0.25">
      <c r="Q22016" s="8"/>
    </row>
    <row r="22017" spans="17:17" x14ac:dyDescent="0.25">
      <c r="Q22017" s="8"/>
    </row>
    <row r="22018" spans="17:17" x14ac:dyDescent="0.25">
      <c r="Q22018" s="8"/>
    </row>
    <row r="22019" spans="17:17" x14ac:dyDescent="0.25">
      <c r="Q22019" s="8"/>
    </row>
    <row r="22020" spans="17:17" x14ac:dyDescent="0.25">
      <c r="Q22020" s="8"/>
    </row>
    <row r="22021" spans="17:17" x14ac:dyDescent="0.25">
      <c r="Q22021" s="8"/>
    </row>
    <row r="22022" spans="17:17" x14ac:dyDescent="0.25">
      <c r="Q22022" s="8"/>
    </row>
    <row r="22023" spans="17:17" x14ac:dyDescent="0.25">
      <c r="Q22023" s="8"/>
    </row>
    <row r="22024" spans="17:17" x14ac:dyDescent="0.25">
      <c r="Q22024" s="8"/>
    </row>
    <row r="22025" spans="17:17" x14ac:dyDescent="0.25">
      <c r="Q22025" s="8"/>
    </row>
    <row r="22026" spans="17:17" x14ac:dyDescent="0.25">
      <c r="Q22026" s="8"/>
    </row>
    <row r="22027" spans="17:17" x14ac:dyDescent="0.25">
      <c r="Q22027" s="8"/>
    </row>
    <row r="22028" spans="17:17" x14ac:dyDescent="0.25">
      <c r="Q22028" s="8"/>
    </row>
    <row r="22029" spans="17:17" x14ac:dyDescent="0.25">
      <c r="Q22029" s="8"/>
    </row>
    <row r="22030" spans="17:17" x14ac:dyDescent="0.25">
      <c r="Q22030" s="8"/>
    </row>
    <row r="22031" spans="17:17" x14ac:dyDescent="0.25">
      <c r="Q22031" s="8"/>
    </row>
    <row r="22032" spans="17:17" x14ac:dyDescent="0.25">
      <c r="Q22032" s="8"/>
    </row>
    <row r="22033" spans="17:17" x14ac:dyDescent="0.25">
      <c r="Q22033" s="8"/>
    </row>
    <row r="22034" spans="17:17" x14ac:dyDescent="0.25">
      <c r="Q22034" s="8"/>
    </row>
    <row r="22035" spans="17:17" x14ac:dyDescent="0.25">
      <c r="Q22035" s="8"/>
    </row>
    <row r="22036" spans="17:17" x14ac:dyDescent="0.25">
      <c r="Q22036" s="8"/>
    </row>
    <row r="22037" spans="17:17" x14ac:dyDescent="0.25">
      <c r="Q22037" s="8"/>
    </row>
    <row r="22038" spans="17:17" x14ac:dyDescent="0.25">
      <c r="Q22038" s="8"/>
    </row>
    <row r="22039" spans="17:17" x14ac:dyDescent="0.25">
      <c r="Q22039" s="8"/>
    </row>
    <row r="22040" spans="17:17" x14ac:dyDescent="0.25">
      <c r="Q22040" s="8"/>
    </row>
    <row r="22041" spans="17:17" x14ac:dyDescent="0.25">
      <c r="Q22041" s="8"/>
    </row>
    <row r="22042" spans="17:17" x14ac:dyDescent="0.25">
      <c r="Q22042" s="8"/>
    </row>
    <row r="22043" spans="17:17" x14ac:dyDescent="0.25">
      <c r="Q22043" s="8"/>
    </row>
    <row r="22044" spans="17:17" x14ac:dyDescent="0.25">
      <c r="Q22044" s="8"/>
    </row>
    <row r="22045" spans="17:17" x14ac:dyDescent="0.25">
      <c r="Q22045" s="8"/>
    </row>
    <row r="22046" spans="17:17" x14ac:dyDescent="0.25">
      <c r="Q22046" s="8"/>
    </row>
    <row r="22047" spans="17:17" x14ac:dyDescent="0.25">
      <c r="Q22047" s="8"/>
    </row>
    <row r="22048" spans="17:17" x14ac:dyDescent="0.25">
      <c r="Q22048" s="8"/>
    </row>
    <row r="22049" spans="17:17" x14ac:dyDescent="0.25">
      <c r="Q22049" s="8"/>
    </row>
    <row r="22050" spans="17:17" x14ac:dyDescent="0.25">
      <c r="Q22050" s="8"/>
    </row>
    <row r="22051" spans="17:17" x14ac:dyDescent="0.25">
      <c r="Q22051" s="8"/>
    </row>
    <row r="22052" spans="17:17" x14ac:dyDescent="0.25">
      <c r="Q22052" s="8"/>
    </row>
    <row r="22053" spans="17:17" x14ac:dyDescent="0.25">
      <c r="Q22053" s="8"/>
    </row>
    <row r="22054" spans="17:17" x14ac:dyDescent="0.25">
      <c r="Q22054" s="8"/>
    </row>
    <row r="22055" spans="17:17" x14ac:dyDescent="0.25">
      <c r="Q22055" s="8"/>
    </row>
    <row r="22056" spans="17:17" x14ac:dyDescent="0.25">
      <c r="Q22056" s="8"/>
    </row>
    <row r="22057" spans="17:17" x14ac:dyDescent="0.25">
      <c r="Q22057" s="8"/>
    </row>
    <row r="22058" spans="17:17" x14ac:dyDescent="0.25">
      <c r="Q22058" s="8"/>
    </row>
    <row r="22059" spans="17:17" x14ac:dyDescent="0.25">
      <c r="Q22059" s="8"/>
    </row>
    <row r="22060" spans="17:17" x14ac:dyDescent="0.25">
      <c r="Q22060" s="8"/>
    </row>
    <row r="22061" spans="17:17" x14ac:dyDescent="0.25">
      <c r="Q22061" s="8"/>
    </row>
    <row r="22062" spans="17:17" x14ac:dyDescent="0.25">
      <c r="Q22062" s="8"/>
    </row>
    <row r="22063" spans="17:17" x14ac:dyDescent="0.25">
      <c r="Q22063" s="8"/>
    </row>
    <row r="22064" spans="17:17" x14ac:dyDescent="0.25">
      <c r="Q22064" s="8"/>
    </row>
    <row r="22065" spans="17:17" x14ac:dyDescent="0.25">
      <c r="Q22065" s="8"/>
    </row>
    <row r="22066" spans="17:17" x14ac:dyDescent="0.25">
      <c r="Q22066" s="8"/>
    </row>
    <row r="22067" spans="17:17" x14ac:dyDescent="0.25">
      <c r="Q22067" s="8"/>
    </row>
    <row r="22068" spans="17:17" x14ac:dyDescent="0.25">
      <c r="Q22068" s="8"/>
    </row>
    <row r="22069" spans="17:17" x14ac:dyDescent="0.25">
      <c r="Q22069" s="8"/>
    </row>
    <row r="22070" spans="17:17" x14ac:dyDescent="0.25">
      <c r="Q22070" s="8"/>
    </row>
    <row r="22071" spans="17:17" x14ac:dyDescent="0.25">
      <c r="Q22071" s="8"/>
    </row>
    <row r="22072" spans="17:17" x14ac:dyDescent="0.25">
      <c r="Q22072" s="8"/>
    </row>
    <row r="22073" spans="17:17" x14ac:dyDescent="0.25">
      <c r="Q22073" s="8"/>
    </row>
    <row r="22074" spans="17:17" x14ac:dyDescent="0.25">
      <c r="Q22074" s="8"/>
    </row>
    <row r="22075" spans="17:17" x14ac:dyDescent="0.25">
      <c r="Q22075" s="8"/>
    </row>
    <row r="22076" spans="17:17" x14ac:dyDescent="0.25">
      <c r="Q22076" s="8"/>
    </row>
    <row r="22077" spans="17:17" x14ac:dyDescent="0.25">
      <c r="Q22077" s="8"/>
    </row>
    <row r="22078" spans="17:17" x14ac:dyDescent="0.25">
      <c r="Q22078" s="8"/>
    </row>
    <row r="22079" spans="17:17" x14ac:dyDescent="0.25">
      <c r="Q22079" s="8"/>
    </row>
    <row r="22080" spans="17:17" x14ac:dyDescent="0.25">
      <c r="Q22080" s="8"/>
    </row>
    <row r="22081" spans="17:17" x14ac:dyDescent="0.25">
      <c r="Q22081" s="8"/>
    </row>
    <row r="22082" spans="17:17" x14ac:dyDescent="0.25">
      <c r="Q22082" s="8"/>
    </row>
    <row r="22083" spans="17:17" x14ac:dyDescent="0.25">
      <c r="Q22083" s="8"/>
    </row>
    <row r="22084" spans="17:17" x14ac:dyDescent="0.25">
      <c r="Q22084" s="8"/>
    </row>
    <row r="22085" spans="17:17" x14ac:dyDescent="0.25">
      <c r="Q22085" s="8"/>
    </row>
    <row r="22086" spans="17:17" x14ac:dyDescent="0.25">
      <c r="Q22086" s="8"/>
    </row>
    <row r="22087" spans="17:17" x14ac:dyDescent="0.25">
      <c r="Q22087" s="8"/>
    </row>
    <row r="22088" spans="17:17" x14ac:dyDescent="0.25">
      <c r="Q22088" s="8"/>
    </row>
    <row r="22089" spans="17:17" x14ac:dyDescent="0.25">
      <c r="Q22089" s="8"/>
    </row>
    <row r="22090" spans="17:17" x14ac:dyDescent="0.25">
      <c r="Q22090" s="8"/>
    </row>
    <row r="22091" spans="17:17" x14ac:dyDescent="0.25">
      <c r="Q22091" s="8"/>
    </row>
    <row r="22092" spans="17:17" x14ac:dyDescent="0.25">
      <c r="Q22092" s="8"/>
    </row>
    <row r="22093" spans="17:17" x14ac:dyDescent="0.25">
      <c r="Q22093" s="8"/>
    </row>
    <row r="22094" spans="17:17" x14ac:dyDescent="0.25">
      <c r="Q22094" s="8"/>
    </row>
    <row r="22095" spans="17:17" x14ac:dyDescent="0.25">
      <c r="Q22095" s="8"/>
    </row>
    <row r="22096" spans="17:17" x14ac:dyDescent="0.25">
      <c r="Q22096" s="8"/>
    </row>
    <row r="22097" spans="17:17" x14ac:dyDescent="0.25">
      <c r="Q22097" s="8"/>
    </row>
    <row r="22098" spans="17:17" x14ac:dyDescent="0.25">
      <c r="Q22098" s="8"/>
    </row>
    <row r="22099" spans="17:17" x14ac:dyDescent="0.25">
      <c r="Q22099" s="8"/>
    </row>
    <row r="22100" spans="17:17" x14ac:dyDescent="0.25">
      <c r="Q22100" s="8"/>
    </row>
    <row r="22101" spans="17:17" x14ac:dyDescent="0.25">
      <c r="Q22101" s="8"/>
    </row>
    <row r="22102" spans="17:17" x14ac:dyDescent="0.25">
      <c r="Q22102" s="8"/>
    </row>
    <row r="22103" spans="17:17" x14ac:dyDescent="0.25">
      <c r="Q22103" s="8"/>
    </row>
    <row r="22104" spans="17:17" x14ac:dyDescent="0.25">
      <c r="Q22104" s="8"/>
    </row>
    <row r="22105" spans="17:17" x14ac:dyDescent="0.25">
      <c r="Q22105" s="8"/>
    </row>
    <row r="22106" spans="17:17" x14ac:dyDescent="0.25">
      <c r="Q22106" s="8"/>
    </row>
    <row r="22107" spans="17:17" x14ac:dyDescent="0.25">
      <c r="Q22107" s="8"/>
    </row>
    <row r="22108" spans="17:17" x14ac:dyDescent="0.25">
      <c r="Q22108" s="8"/>
    </row>
    <row r="22109" spans="17:17" x14ac:dyDescent="0.25">
      <c r="Q22109" s="8"/>
    </row>
    <row r="22110" spans="17:17" x14ac:dyDescent="0.25">
      <c r="Q22110" s="8"/>
    </row>
    <row r="22111" spans="17:17" x14ac:dyDescent="0.25">
      <c r="Q22111" s="8"/>
    </row>
    <row r="22112" spans="17:17" x14ac:dyDescent="0.25">
      <c r="Q22112" s="8"/>
    </row>
    <row r="22113" spans="17:17" x14ac:dyDescent="0.25">
      <c r="Q22113" s="8"/>
    </row>
    <row r="22114" spans="17:17" x14ac:dyDescent="0.25">
      <c r="Q22114" s="8"/>
    </row>
    <row r="22115" spans="17:17" x14ac:dyDescent="0.25">
      <c r="Q22115" s="8"/>
    </row>
    <row r="22116" spans="17:17" x14ac:dyDescent="0.25">
      <c r="Q22116" s="8"/>
    </row>
    <row r="22117" spans="17:17" x14ac:dyDescent="0.25">
      <c r="Q22117" s="8"/>
    </row>
    <row r="22118" spans="17:17" x14ac:dyDescent="0.25">
      <c r="Q22118" s="8"/>
    </row>
    <row r="22119" spans="17:17" x14ac:dyDescent="0.25">
      <c r="Q22119" s="8"/>
    </row>
    <row r="22120" spans="17:17" x14ac:dyDescent="0.25">
      <c r="Q22120" s="8"/>
    </row>
    <row r="22121" spans="17:17" x14ac:dyDescent="0.25">
      <c r="Q22121" s="8"/>
    </row>
    <row r="22122" spans="17:17" x14ac:dyDescent="0.25">
      <c r="Q22122" s="8"/>
    </row>
    <row r="22123" spans="17:17" x14ac:dyDescent="0.25">
      <c r="Q22123" s="8"/>
    </row>
    <row r="22124" spans="17:17" x14ac:dyDescent="0.25">
      <c r="Q22124" s="8"/>
    </row>
    <row r="22125" spans="17:17" x14ac:dyDescent="0.25">
      <c r="Q22125" s="8"/>
    </row>
    <row r="22126" spans="17:17" x14ac:dyDescent="0.25">
      <c r="Q22126" s="8"/>
    </row>
    <row r="22127" spans="17:17" x14ac:dyDescent="0.25">
      <c r="Q22127" s="8"/>
    </row>
    <row r="22128" spans="17:17" x14ac:dyDescent="0.25">
      <c r="Q22128" s="8"/>
    </row>
    <row r="22129" spans="17:17" x14ac:dyDescent="0.25">
      <c r="Q22129" s="8"/>
    </row>
    <row r="22130" spans="17:17" x14ac:dyDescent="0.25">
      <c r="Q22130" s="8"/>
    </row>
    <row r="22131" spans="17:17" x14ac:dyDescent="0.25">
      <c r="Q22131" s="8"/>
    </row>
    <row r="22132" spans="17:17" x14ac:dyDescent="0.25">
      <c r="Q22132" s="8"/>
    </row>
    <row r="22133" spans="17:17" x14ac:dyDescent="0.25">
      <c r="Q22133" s="8"/>
    </row>
    <row r="22134" spans="17:17" x14ac:dyDescent="0.25">
      <c r="Q22134" s="8"/>
    </row>
    <row r="22135" spans="17:17" x14ac:dyDescent="0.25">
      <c r="Q22135" s="8"/>
    </row>
    <row r="22136" spans="17:17" x14ac:dyDescent="0.25">
      <c r="Q22136" s="8"/>
    </row>
    <row r="22137" spans="17:17" x14ac:dyDescent="0.25">
      <c r="Q22137" s="8"/>
    </row>
    <row r="22138" spans="17:17" x14ac:dyDescent="0.25">
      <c r="Q22138" s="8"/>
    </row>
    <row r="22139" spans="17:17" x14ac:dyDescent="0.25">
      <c r="Q22139" s="8"/>
    </row>
    <row r="22140" spans="17:17" x14ac:dyDescent="0.25">
      <c r="Q22140" s="8"/>
    </row>
    <row r="22141" spans="17:17" x14ac:dyDescent="0.25">
      <c r="Q22141" s="8"/>
    </row>
    <row r="22142" spans="17:17" x14ac:dyDescent="0.25">
      <c r="Q22142" s="8"/>
    </row>
    <row r="22143" spans="17:17" x14ac:dyDescent="0.25">
      <c r="Q22143" s="8"/>
    </row>
    <row r="22144" spans="17:17" x14ac:dyDescent="0.25">
      <c r="Q22144" s="8"/>
    </row>
    <row r="22145" spans="17:17" x14ac:dyDescent="0.25">
      <c r="Q22145" s="8"/>
    </row>
    <row r="22146" spans="17:17" x14ac:dyDescent="0.25">
      <c r="Q22146" s="8"/>
    </row>
    <row r="22147" spans="17:17" x14ac:dyDescent="0.25">
      <c r="Q22147" s="8"/>
    </row>
    <row r="22148" spans="17:17" x14ac:dyDescent="0.25">
      <c r="Q22148" s="8"/>
    </row>
    <row r="22149" spans="17:17" x14ac:dyDescent="0.25">
      <c r="Q22149" s="8"/>
    </row>
    <row r="22150" spans="17:17" x14ac:dyDescent="0.25">
      <c r="Q22150" s="8"/>
    </row>
    <row r="22151" spans="17:17" x14ac:dyDescent="0.25">
      <c r="Q22151" s="8"/>
    </row>
    <row r="22152" spans="17:17" x14ac:dyDescent="0.25">
      <c r="Q22152" s="8"/>
    </row>
    <row r="22153" spans="17:17" x14ac:dyDescent="0.25">
      <c r="Q22153" s="8"/>
    </row>
    <row r="22154" spans="17:17" x14ac:dyDescent="0.25">
      <c r="Q22154" s="8"/>
    </row>
    <row r="22155" spans="17:17" x14ac:dyDescent="0.25">
      <c r="Q22155" s="8"/>
    </row>
    <row r="22156" spans="17:17" x14ac:dyDescent="0.25">
      <c r="Q22156" s="8"/>
    </row>
    <row r="22157" spans="17:17" x14ac:dyDescent="0.25">
      <c r="Q22157" s="8"/>
    </row>
    <row r="22158" spans="17:17" x14ac:dyDescent="0.25">
      <c r="Q22158" s="8"/>
    </row>
    <row r="22159" spans="17:17" x14ac:dyDescent="0.25">
      <c r="Q22159" s="8"/>
    </row>
    <row r="22160" spans="17:17" x14ac:dyDescent="0.25">
      <c r="Q22160" s="8"/>
    </row>
    <row r="22161" spans="17:17" x14ac:dyDescent="0.25">
      <c r="Q22161" s="8"/>
    </row>
    <row r="22162" spans="17:17" x14ac:dyDescent="0.25">
      <c r="Q22162" s="8"/>
    </row>
    <row r="22163" spans="17:17" x14ac:dyDescent="0.25">
      <c r="Q22163" s="8"/>
    </row>
    <row r="22164" spans="17:17" x14ac:dyDescent="0.25">
      <c r="Q22164" s="8"/>
    </row>
    <row r="22165" spans="17:17" x14ac:dyDescent="0.25">
      <c r="Q22165" s="8"/>
    </row>
    <row r="22166" spans="17:17" x14ac:dyDescent="0.25">
      <c r="Q22166" s="8"/>
    </row>
    <row r="22167" spans="17:17" x14ac:dyDescent="0.25">
      <c r="Q22167" s="8"/>
    </row>
    <row r="22168" spans="17:17" x14ac:dyDescent="0.25">
      <c r="Q22168" s="8"/>
    </row>
    <row r="22169" spans="17:17" x14ac:dyDescent="0.25">
      <c r="Q22169" s="8"/>
    </row>
    <row r="22170" spans="17:17" x14ac:dyDescent="0.25">
      <c r="Q22170" s="8"/>
    </row>
    <row r="22171" spans="17:17" x14ac:dyDescent="0.25">
      <c r="Q22171" s="8"/>
    </row>
    <row r="22172" spans="17:17" x14ac:dyDescent="0.25">
      <c r="Q22172" s="8"/>
    </row>
    <row r="22173" spans="17:17" x14ac:dyDescent="0.25">
      <c r="Q22173" s="8"/>
    </row>
    <row r="22174" spans="17:17" x14ac:dyDescent="0.25">
      <c r="Q22174" s="8"/>
    </row>
    <row r="22175" spans="17:17" x14ac:dyDescent="0.25">
      <c r="Q22175" s="8"/>
    </row>
    <row r="22176" spans="17:17" x14ac:dyDescent="0.25">
      <c r="Q22176" s="8"/>
    </row>
    <row r="22177" spans="17:17" x14ac:dyDescent="0.25">
      <c r="Q22177" s="8"/>
    </row>
    <row r="22178" spans="17:17" x14ac:dyDescent="0.25">
      <c r="Q22178" s="8"/>
    </row>
    <row r="22179" spans="17:17" x14ac:dyDescent="0.25">
      <c r="Q22179" s="8"/>
    </row>
    <row r="22180" spans="17:17" x14ac:dyDescent="0.25">
      <c r="Q22180" s="8"/>
    </row>
    <row r="22181" spans="17:17" x14ac:dyDescent="0.25">
      <c r="Q22181" s="8"/>
    </row>
    <row r="22182" spans="17:17" x14ac:dyDescent="0.25">
      <c r="Q22182" s="8"/>
    </row>
    <row r="22183" spans="17:17" x14ac:dyDescent="0.25">
      <c r="Q22183" s="8"/>
    </row>
    <row r="22184" spans="17:17" x14ac:dyDescent="0.25">
      <c r="Q22184" s="8"/>
    </row>
    <row r="22185" spans="17:17" x14ac:dyDescent="0.25">
      <c r="Q22185" s="8"/>
    </row>
    <row r="22186" spans="17:17" x14ac:dyDescent="0.25">
      <c r="Q22186" s="8"/>
    </row>
    <row r="22187" spans="17:17" x14ac:dyDescent="0.25">
      <c r="Q22187" s="8"/>
    </row>
    <row r="22188" spans="17:17" x14ac:dyDescent="0.25">
      <c r="Q22188" s="8"/>
    </row>
    <row r="22189" spans="17:17" x14ac:dyDescent="0.25">
      <c r="Q22189" s="8"/>
    </row>
    <row r="22190" spans="17:17" x14ac:dyDescent="0.25">
      <c r="Q22190" s="8"/>
    </row>
    <row r="22191" spans="17:17" x14ac:dyDescent="0.25">
      <c r="Q22191" s="8"/>
    </row>
    <row r="22192" spans="17:17" x14ac:dyDescent="0.25">
      <c r="Q22192" s="8"/>
    </row>
    <row r="22193" spans="17:17" x14ac:dyDescent="0.25">
      <c r="Q22193" s="8"/>
    </row>
    <row r="22194" spans="17:17" x14ac:dyDescent="0.25">
      <c r="Q22194" s="8"/>
    </row>
    <row r="22195" spans="17:17" x14ac:dyDescent="0.25">
      <c r="Q22195" s="8"/>
    </row>
    <row r="22196" spans="17:17" x14ac:dyDescent="0.25">
      <c r="Q22196" s="8"/>
    </row>
    <row r="22197" spans="17:17" x14ac:dyDescent="0.25">
      <c r="Q22197" s="8"/>
    </row>
    <row r="22198" spans="17:17" x14ac:dyDescent="0.25">
      <c r="Q22198" s="8"/>
    </row>
    <row r="22199" spans="17:17" x14ac:dyDescent="0.25">
      <c r="Q22199" s="8"/>
    </row>
    <row r="22200" spans="17:17" x14ac:dyDescent="0.25">
      <c r="Q22200" s="8"/>
    </row>
    <row r="22201" spans="17:17" x14ac:dyDescent="0.25">
      <c r="Q22201" s="8"/>
    </row>
    <row r="22202" spans="17:17" x14ac:dyDescent="0.25">
      <c r="Q22202" s="8"/>
    </row>
    <row r="22203" spans="17:17" x14ac:dyDescent="0.25">
      <c r="Q22203" s="8"/>
    </row>
    <row r="22204" spans="17:17" x14ac:dyDescent="0.25">
      <c r="Q22204" s="8"/>
    </row>
    <row r="22205" spans="17:17" x14ac:dyDescent="0.25">
      <c r="Q22205" s="8"/>
    </row>
    <row r="22206" spans="17:17" x14ac:dyDescent="0.25">
      <c r="Q22206" s="8"/>
    </row>
    <row r="22207" spans="17:17" x14ac:dyDescent="0.25">
      <c r="Q22207" s="8"/>
    </row>
    <row r="22208" spans="17:17" x14ac:dyDescent="0.25">
      <c r="Q22208" s="8"/>
    </row>
    <row r="22209" spans="17:17" x14ac:dyDescent="0.25">
      <c r="Q22209" s="8"/>
    </row>
    <row r="22210" spans="17:17" x14ac:dyDescent="0.25">
      <c r="Q22210" s="8"/>
    </row>
    <row r="22211" spans="17:17" x14ac:dyDescent="0.25">
      <c r="Q22211" s="8"/>
    </row>
    <row r="22212" spans="17:17" x14ac:dyDescent="0.25">
      <c r="Q22212" s="8"/>
    </row>
    <row r="22213" spans="17:17" x14ac:dyDescent="0.25">
      <c r="Q22213" s="8"/>
    </row>
    <row r="22214" spans="17:17" x14ac:dyDescent="0.25">
      <c r="Q22214" s="8"/>
    </row>
    <row r="22215" spans="17:17" x14ac:dyDescent="0.25">
      <c r="Q22215" s="8"/>
    </row>
    <row r="22216" spans="17:17" x14ac:dyDescent="0.25">
      <c r="Q22216" s="8"/>
    </row>
    <row r="22217" spans="17:17" x14ac:dyDescent="0.25">
      <c r="Q22217" s="8"/>
    </row>
    <row r="22218" spans="17:17" x14ac:dyDescent="0.25">
      <c r="Q22218" s="8"/>
    </row>
    <row r="22219" spans="17:17" x14ac:dyDescent="0.25">
      <c r="Q22219" s="8"/>
    </row>
    <row r="22220" spans="17:17" x14ac:dyDescent="0.25">
      <c r="Q22220" s="8"/>
    </row>
    <row r="22221" spans="17:17" x14ac:dyDescent="0.25">
      <c r="Q22221" s="8"/>
    </row>
    <row r="22222" spans="17:17" x14ac:dyDescent="0.25">
      <c r="Q22222" s="8"/>
    </row>
    <row r="22223" spans="17:17" x14ac:dyDescent="0.25">
      <c r="Q22223" s="8"/>
    </row>
    <row r="22224" spans="17:17" x14ac:dyDescent="0.25">
      <c r="Q22224" s="8"/>
    </row>
    <row r="22225" spans="17:17" x14ac:dyDescent="0.25">
      <c r="Q22225" s="8"/>
    </row>
    <row r="22226" spans="17:17" x14ac:dyDescent="0.25">
      <c r="Q22226" s="8"/>
    </row>
    <row r="22227" spans="17:17" x14ac:dyDescent="0.25">
      <c r="Q22227" s="8"/>
    </row>
    <row r="22228" spans="17:17" x14ac:dyDescent="0.25">
      <c r="Q22228" s="8"/>
    </row>
    <row r="22229" spans="17:17" x14ac:dyDescent="0.25">
      <c r="Q22229" s="8"/>
    </row>
    <row r="22230" spans="17:17" x14ac:dyDescent="0.25">
      <c r="Q22230" s="8"/>
    </row>
    <row r="22231" spans="17:17" x14ac:dyDescent="0.25">
      <c r="Q22231" s="8"/>
    </row>
    <row r="22232" spans="17:17" x14ac:dyDescent="0.25">
      <c r="Q22232" s="8"/>
    </row>
    <row r="22233" spans="17:17" x14ac:dyDescent="0.25">
      <c r="Q22233" s="8"/>
    </row>
    <row r="22234" spans="17:17" x14ac:dyDescent="0.25">
      <c r="Q22234" s="8"/>
    </row>
    <row r="22235" spans="17:17" x14ac:dyDescent="0.25">
      <c r="Q22235" s="8"/>
    </row>
    <row r="22236" spans="17:17" x14ac:dyDescent="0.25">
      <c r="Q22236" s="8"/>
    </row>
    <row r="22237" spans="17:17" x14ac:dyDescent="0.25">
      <c r="Q22237" s="8"/>
    </row>
    <row r="22238" spans="17:17" x14ac:dyDescent="0.25">
      <c r="Q22238" s="8"/>
    </row>
    <row r="22239" spans="17:17" x14ac:dyDescent="0.25">
      <c r="Q22239" s="8"/>
    </row>
    <row r="22240" spans="17:17" x14ac:dyDescent="0.25">
      <c r="Q22240" s="8"/>
    </row>
    <row r="22241" spans="17:17" x14ac:dyDescent="0.25">
      <c r="Q22241" s="8"/>
    </row>
    <row r="22242" spans="17:17" x14ac:dyDescent="0.25">
      <c r="Q22242" s="8"/>
    </row>
    <row r="22243" spans="17:17" x14ac:dyDescent="0.25">
      <c r="Q22243" s="8"/>
    </row>
    <row r="22244" spans="17:17" x14ac:dyDescent="0.25">
      <c r="Q22244" s="8"/>
    </row>
    <row r="22245" spans="17:17" x14ac:dyDescent="0.25">
      <c r="Q22245" s="8"/>
    </row>
    <row r="22246" spans="17:17" x14ac:dyDescent="0.25">
      <c r="Q22246" s="8"/>
    </row>
    <row r="22247" spans="17:17" x14ac:dyDescent="0.25">
      <c r="Q22247" s="8"/>
    </row>
    <row r="22248" spans="17:17" x14ac:dyDescent="0.25">
      <c r="Q22248" s="8"/>
    </row>
    <row r="22249" spans="17:17" x14ac:dyDescent="0.25">
      <c r="Q22249" s="8"/>
    </row>
    <row r="22250" spans="17:17" x14ac:dyDescent="0.25">
      <c r="Q22250" s="8"/>
    </row>
    <row r="22251" spans="17:17" x14ac:dyDescent="0.25">
      <c r="Q22251" s="8"/>
    </row>
    <row r="22252" spans="17:17" x14ac:dyDescent="0.25">
      <c r="Q22252" s="8"/>
    </row>
    <row r="22253" spans="17:17" x14ac:dyDescent="0.25">
      <c r="Q22253" s="8"/>
    </row>
    <row r="22254" spans="17:17" x14ac:dyDescent="0.25">
      <c r="Q22254" s="8"/>
    </row>
    <row r="22255" spans="17:17" x14ac:dyDescent="0.25">
      <c r="Q22255" s="8"/>
    </row>
    <row r="22256" spans="17:17" x14ac:dyDescent="0.25">
      <c r="Q22256" s="8"/>
    </row>
    <row r="22257" spans="17:17" x14ac:dyDescent="0.25">
      <c r="Q22257" s="8"/>
    </row>
    <row r="22258" spans="17:17" x14ac:dyDescent="0.25">
      <c r="Q22258" s="8"/>
    </row>
    <row r="22259" spans="17:17" x14ac:dyDescent="0.25">
      <c r="Q22259" s="8"/>
    </row>
    <row r="22260" spans="17:17" x14ac:dyDescent="0.25">
      <c r="Q22260" s="8"/>
    </row>
    <row r="22261" spans="17:17" x14ac:dyDescent="0.25">
      <c r="Q22261" s="8"/>
    </row>
    <row r="22262" spans="17:17" x14ac:dyDescent="0.25">
      <c r="Q22262" s="8"/>
    </row>
    <row r="22263" spans="17:17" x14ac:dyDescent="0.25">
      <c r="Q22263" s="8"/>
    </row>
    <row r="22264" spans="17:17" x14ac:dyDescent="0.25">
      <c r="Q22264" s="8"/>
    </row>
    <row r="22265" spans="17:17" x14ac:dyDescent="0.25">
      <c r="Q22265" s="8"/>
    </row>
    <row r="22266" spans="17:17" x14ac:dyDescent="0.25">
      <c r="Q22266" s="8"/>
    </row>
    <row r="22267" spans="17:17" x14ac:dyDescent="0.25">
      <c r="Q22267" s="8"/>
    </row>
    <row r="22268" spans="17:17" x14ac:dyDescent="0.25">
      <c r="Q22268" s="8"/>
    </row>
    <row r="22269" spans="17:17" x14ac:dyDescent="0.25">
      <c r="Q22269" s="8"/>
    </row>
    <row r="22270" spans="17:17" x14ac:dyDescent="0.25">
      <c r="Q22270" s="8"/>
    </row>
    <row r="22271" spans="17:17" x14ac:dyDescent="0.25">
      <c r="Q22271" s="8"/>
    </row>
    <row r="22272" spans="17:17" x14ac:dyDescent="0.25">
      <c r="Q22272" s="8"/>
    </row>
    <row r="22273" spans="17:17" x14ac:dyDescent="0.25">
      <c r="Q22273" s="8"/>
    </row>
    <row r="22274" spans="17:17" x14ac:dyDescent="0.25">
      <c r="Q22274" s="8"/>
    </row>
    <row r="22275" spans="17:17" x14ac:dyDescent="0.25">
      <c r="Q22275" s="8"/>
    </row>
    <row r="22276" spans="17:17" x14ac:dyDescent="0.25">
      <c r="Q22276" s="8"/>
    </row>
    <row r="22277" spans="17:17" x14ac:dyDescent="0.25">
      <c r="Q22277" s="8"/>
    </row>
    <row r="22278" spans="17:17" x14ac:dyDescent="0.25">
      <c r="Q22278" s="8"/>
    </row>
    <row r="22279" spans="17:17" x14ac:dyDescent="0.25">
      <c r="Q22279" s="8"/>
    </row>
    <row r="22280" spans="17:17" x14ac:dyDescent="0.25">
      <c r="Q22280" s="8"/>
    </row>
    <row r="22281" spans="17:17" x14ac:dyDescent="0.25">
      <c r="Q22281" s="8"/>
    </row>
    <row r="22282" spans="17:17" x14ac:dyDescent="0.25">
      <c r="Q22282" s="8"/>
    </row>
    <row r="22283" spans="17:17" x14ac:dyDescent="0.25">
      <c r="Q22283" s="8"/>
    </row>
    <row r="22284" spans="17:17" x14ac:dyDescent="0.25">
      <c r="Q22284" s="8"/>
    </row>
    <row r="22285" spans="17:17" x14ac:dyDescent="0.25">
      <c r="Q22285" s="8"/>
    </row>
    <row r="22286" spans="17:17" x14ac:dyDescent="0.25">
      <c r="Q22286" s="8"/>
    </row>
    <row r="22287" spans="17:17" x14ac:dyDescent="0.25">
      <c r="Q22287" s="8"/>
    </row>
    <row r="22288" spans="17:17" x14ac:dyDescent="0.25">
      <c r="Q22288" s="8"/>
    </row>
    <row r="22289" spans="17:17" x14ac:dyDescent="0.25">
      <c r="Q22289" s="8"/>
    </row>
    <row r="22290" spans="17:17" x14ac:dyDescent="0.25">
      <c r="Q22290" s="8"/>
    </row>
    <row r="22291" spans="17:17" x14ac:dyDescent="0.25">
      <c r="Q22291" s="8"/>
    </row>
    <row r="22292" spans="17:17" x14ac:dyDescent="0.25">
      <c r="Q22292" s="8"/>
    </row>
    <row r="22293" spans="17:17" x14ac:dyDescent="0.25">
      <c r="Q22293" s="8"/>
    </row>
    <row r="22294" spans="17:17" x14ac:dyDescent="0.25">
      <c r="Q22294" s="8"/>
    </row>
    <row r="22295" spans="17:17" x14ac:dyDescent="0.25">
      <c r="Q22295" s="8"/>
    </row>
    <row r="22296" spans="17:17" x14ac:dyDescent="0.25">
      <c r="Q22296" s="8"/>
    </row>
    <row r="22297" spans="17:17" x14ac:dyDescent="0.25">
      <c r="Q22297" s="8"/>
    </row>
    <row r="22298" spans="17:17" x14ac:dyDescent="0.25">
      <c r="Q22298" s="8"/>
    </row>
    <row r="22299" spans="17:17" x14ac:dyDescent="0.25">
      <c r="Q22299" s="8"/>
    </row>
    <row r="22300" spans="17:17" x14ac:dyDescent="0.25">
      <c r="Q22300" s="8"/>
    </row>
    <row r="22301" spans="17:17" x14ac:dyDescent="0.25">
      <c r="Q22301" s="8"/>
    </row>
    <row r="22302" spans="17:17" x14ac:dyDescent="0.25">
      <c r="Q22302" s="8"/>
    </row>
    <row r="22303" spans="17:17" x14ac:dyDescent="0.25">
      <c r="Q22303" s="8"/>
    </row>
    <row r="22304" spans="17:17" x14ac:dyDescent="0.25">
      <c r="Q22304" s="8"/>
    </row>
    <row r="22305" spans="17:17" x14ac:dyDescent="0.25">
      <c r="Q22305" s="8"/>
    </row>
    <row r="22306" spans="17:17" x14ac:dyDescent="0.25">
      <c r="Q22306" s="8"/>
    </row>
    <row r="22307" spans="17:17" x14ac:dyDescent="0.25">
      <c r="Q22307" s="8"/>
    </row>
    <row r="22308" spans="17:17" x14ac:dyDescent="0.25">
      <c r="Q22308" s="8"/>
    </row>
    <row r="22309" spans="17:17" x14ac:dyDescent="0.25">
      <c r="Q22309" s="8"/>
    </row>
    <row r="22310" spans="17:17" x14ac:dyDescent="0.25">
      <c r="Q22310" s="8"/>
    </row>
    <row r="22311" spans="17:17" x14ac:dyDescent="0.25">
      <c r="Q22311" s="8"/>
    </row>
    <row r="22312" spans="17:17" x14ac:dyDescent="0.25">
      <c r="Q22312" s="8"/>
    </row>
    <row r="22313" spans="17:17" x14ac:dyDescent="0.25">
      <c r="Q22313" s="8"/>
    </row>
    <row r="22314" spans="17:17" x14ac:dyDescent="0.25">
      <c r="Q22314" s="8"/>
    </row>
    <row r="22315" spans="17:17" x14ac:dyDescent="0.25">
      <c r="Q22315" s="8"/>
    </row>
    <row r="22316" spans="17:17" x14ac:dyDescent="0.25">
      <c r="Q22316" s="8"/>
    </row>
    <row r="22317" spans="17:17" x14ac:dyDescent="0.25">
      <c r="Q22317" s="8"/>
    </row>
    <row r="22318" spans="17:17" x14ac:dyDescent="0.25">
      <c r="Q22318" s="8"/>
    </row>
    <row r="22319" spans="17:17" x14ac:dyDescent="0.25">
      <c r="Q22319" s="8"/>
    </row>
    <row r="22320" spans="17:17" x14ac:dyDescent="0.25">
      <c r="Q22320" s="8"/>
    </row>
    <row r="22321" spans="17:17" x14ac:dyDescent="0.25">
      <c r="Q22321" s="8"/>
    </row>
    <row r="22322" spans="17:17" x14ac:dyDescent="0.25">
      <c r="Q22322" s="8"/>
    </row>
    <row r="22323" spans="17:17" x14ac:dyDescent="0.25">
      <c r="Q22323" s="8"/>
    </row>
    <row r="22324" spans="17:17" x14ac:dyDescent="0.25">
      <c r="Q22324" s="8"/>
    </row>
    <row r="22325" spans="17:17" x14ac:dyDescent="0.25">
      <c r="Q22325" s="8"/>
    </row>
    <row r="22326" spans="17:17" x14ac:dyDescent="0.25">
      <c r="Q22326" s="8"/>
    </row>
    <row r="22327" spans="17:17" x14ac:dyDescent="0.25">
      <c r="Q22327" s="8"/>
    </row>
    <row r="22328" spans="17:17" x14ac:dyDescent="0.25">
      <c r="Q22328" s="8"/>
    </row>
    <row r="22329" spans="17:17" x14ac:dyDescent="0.25">
      <c r="Q22329" s="8"/>
    </row>
    <row r="22330" spans="17:17" x14ac:dyDescent="0.25">
      <c r="Q22330" s="8"/>
    </row>
    <row r="22331" spans="17:17" x14ac:dyDescent="0.25">
      <c r="Q22331" s="8"/>
    </row>
    <row r="22332" spans="17:17" x14ac:dyDescent="0.25">
      <c r="Q22332" s="8"/>
    </row>
    <row r="22333" spans="17:17" x14ac:dyDescent="0.25">
      <c r="Q22333" s="8"/>
    </row>
    <row r="22334" spans="17:17" x14ac:dyDescent="0.25">
      <c r="Q22334" s="8"/>
    </row>
    <row r="22335" spans="17:17" x14ac:dyDescent="0.25">
      <c r="Q22335" s="8"/>
    </row>
    <row r="22336" spans="17:17" x14ac:dyDescent="0.25">
      <c r="Q22336" s="8"/>
    </row>
    <row r="22337" spans="17:17" x14ac:dyDescent="0.25">
      <c r="Q22337" s="8"/>
    </row>
    <row r="22338" spans="17:17" x14ac:dyDescent="0.25">
      <c r="Q22338" s="8"/>
    </row>
    <row r="22339" spans="17:17" x14ac:dyDescent="0.25">
      <c r="Q22339" s="8"/>
    </row>
    <row r="22340" spans="17:17" x14ac:dyDescent="0.25">
      <c r="Q22340" s="8"/>
    </row>
    <row r="22341" spans="17:17" x14ac:dyDescent="0.25">
      <c r="Q22341" s="8"/>
    </row>
    <row r="22342" spans="17:17" x14ac:dyDescent="0.25">
      <c r="Q22342" s="8"/>
    </row>
    <row r="22343" spans="17:17" x14ac:dyDescent="0.25">
      <c r="Q22343" s="8"/>
    </row>
    <row r="22344" spans="17:17" x14ac:dyDescent="0.25">
      <c r="Q22344" s="8"/>
    </row>
    <row r="22345" spans="17:17" x14ac:dyDescent="0.25">
      <c r="Q22345" s="8"/>
    </row>
    <row r="22346" spans="17:17" x14ac:dyDescent="0.25">
      <c r="Q22346" s="8"/>
    </row>
    <row r="22347" spans="17:17" x14ac:dyDescent="0.25">
      <c r="Q22347" s="8"/>
    </row>
    <row r="22348" spans="17:17" x14ac:dyDescent="0.25">
      <c r="Q22348" s="8"/>
    </row>
    <row r="22349" spans="17:17" x14ac:dyDescent="0.25">
      <c r="Q22349" s="8"/>
    </row>
    <row r="22350" spans="17:17" x14ac:dyDescent="0.25">
      <c r="Q22350" s="8"/>
    </row>
    <row r="22351" spans="17:17" x14ac:dyDescent="0.25">
      <c r="Q22351" s="8"/>
    </row>
    <row r="22352" spans="17:17" x14ac:dyDescent="0.25">
      <c r="Q22352" s="8"/>
    </row>
    <row r="22353" spans="17:17" x14ac:dyDescent="0.25">
      <c r="Q22353" s="8"/>
    </row>
    <row r="22354" spans="17:17" x14ac:dyDescent="0.25">
      <c r="Q22354" s="8"/>
    </row>
    <row r="22355" spans="17:17" x14ac:dyDescent="0.25">
      <c r="Q22355" s="8"/>
    </row>
    <row r="22356" spans="17:17" x14ac:dyDescent="0.25">
      <c r="Q22356" s="8"/>
    </row>
    <row r="22357" spans="17:17" x14ac:dyDescent="0.25">
      <c r="Q22357" s="8"/>
    </row>
    <row r="22358" spans="17:17" x14ac:dyDescent="0.25">
      <c r="Q22358" s="8"/>
    </row>
    <row r="22359" spans="17:17" x14ac:dyDescent="0.25">
      <c r="Q22359" s="8"/>
    </row>
    <row r="22360" spans="17:17" x14ac:dyDescent="0.25">
      <c r="Q22360" s="8"/>
    </row>
    <row r="22361" spans="17:17" x14ac:dyDescent="0.25">
      <c r="Q22361" s="8"/>
    </row>
    <row r="22362" spans="17:17" x14ac:dyDescent="0.25">
      <c r="Q22362" s="8"/>
    </row>
    <row r="22363" spans="17:17" x14ac:dyDescent="0.25">
      <c r="Q22363" s="8"/>
    </row>
    <row r="22364" spans="17:17" x14ac:dyDescent="0.25">
      <c r="Q22364" s="8"/>
    </row>
    <row r="22365" spans="17:17" x14ac:dyDescent="0.25">
      <c r="Q22365" s="8"/>
    </row>
    <row r="22366" spans="17:17" x14ac:dyDescent="0.25">
      <c r="Q22366" s="8"/>
    </row>
    <row r="22367" spans="17:17" x14ac:dyDescent="0.25">
      <c r="Q22367" s="8"/>
    </row>
    <row r="22368" spans="17:17" x14ac:dyDescent="0.25">
      <c r="Q22368" s="8"/>
    </row>
    <row r="22369" spans="17:17" x14ac:dyDescent="0.25">
      <c r="Q22369" s="8"/>
    </row>
    <row r="22370" spans="17:17" x14ac:dyDescent="0.25">
      <c r="Q22370" s="8"/>
    </row>
    <row r="22371" spans="17:17" x14ac:dyDescent="0.25">
      <c r="Q22371" s="8"/>
    </row>
    <row r="22372" spans="17:17" x14ac:dyDescent="0.25">
      <c r="Q22372" s="8"/>
    </row>
    <row r="22373" spans="17:17" x14ac:dyDescent="0.25">
      <c r="Q22373" s="8"/>
    </row>
    <row r="22374" spans="17:17" x14ac:dyDescent="0.25">
      <c r="Q22374" s="8"/>
    </row>
    <row r="22375" spans="17:17" x14ac:dyDescent="0.25">
      <c r="Q22375" s="8"/>
    </row>
    <row r="22376" spans="17:17" x14ac:dyDescent="0.25">
      <c r="Q22376" s="8"/>
    </row>
    <row r="22377" spans="17:17" x14ac:dyDescent="0.25">
      <c r="Q22377" s="8"/>
    </row>
    <row r="22378" spans="17:17" x14ac:dyDescent="0.25">
      <c r="Q22378" s="8"/>
    </row>
    <row r="22379" spans="17:17" x14ac:dyDescent="0.25">
      <c r="Q22379" s="8"/>
    </row>
    <row r="22380" spans="17:17" x14ac:dyDescent="0.25">
      <c r="Q22380" s="8"/>
    </row>
    <row r="22381" spans="17:17" x14ac:dyDescent="0.25">
      <c r="Q22381" s="8"/>
    </row>
    <row r="22382" spans="17:17" x14ac:dyDescent="0.25">
      <c r="Q22382" s="8"/>
    </row>
    <row r="22383" spans="17:17" x14ac:dyDescent="0.25">
      <c r="Q22383" s="8"/>
    </row>
    <row r="22384" spans="17:17" x14ac:dyDescent="0.25">
      <c r="Q22384" s="8"/>
    </row>
    <row r="22385" spans="17:17" x14ac:dyDescent="0.25">
      <c r="Q22385" s="8"/>
    </row>
    <row r="22386" spans="17:17" x14ac:dyDescent="0.25">
      <c r="Q22386" s="8"/>
    </row>
    <row r="22387" spans="17:17" x14ac:dyDescent="0.25">
      <c r="Q22387" s="8"/>
    </row>
    <row r="22388" spans="17:17" x14ac:dyDescent="0.25">
      <c r="Q22388" s="8"/>
    </row>
    <row r="22389" spans="17:17" x14ac:dyDescent="0.25">
      <c r="Q22389" s="8"/>
    </row>
    <row r="22390" spans="17:17" x14ac:dyDescent="0.25">
      <c r="Q22390" s="8"/>
    </row>
    <row r="22391" spans="17:17" x14ac:dyDescent="0.25">
      <c r="Q22391" s="8"/>
    </row>
    <row r="22392" spans="17:17" x14ac:dyDescent="0.25">
      <c r="Q22392" s="8"/>
    </row>
    <row r="22393" spans="17:17" x14ac:dyDescent="0.25">
      <c r="Q22393" s="8"/>
    </row>
    <row r="22394" spans="17:17" x14ac:dyDescent="0.25">
      <c r="Q22394" s="8"/>
    </row>
    <row r="22395" spans="17:17" x14ac:dyDescent="0.25">
      <c r="Q22395" s="8"/>
    </row>
    <row r="22396" spans="17:17" x14ac:dyDescent="0.25">
      <c r="Q22396" s="8"/>
    </row>
    <row r="22397" spans="17:17" x14ac:dyDescent="0.25">
      <c r="Q22397" s="8"/>
    </row>
    <row r="22398" spans="17:17" x14ac:dyDescent="0.25">
      <c r="Q22398" s="8"/>
    </row>
    <row r="22399" spans="17:17" x14ac:dyDescent="0.25">
      <c r="Q22399" s="8"/>
    </row>
    <row r="22400" spans="17:17" x14ac:dyDescent="0.25">
      <c r="Q22400" s="8"/>
    </row>
    <row r="22401" spans="17:17" x14ac:dyDescent="0.25">
      <c r="Q22401" s="8"/>
    </row>
    <row r="22402" spans="17:17" x14ac:dyDescent="0.25">
      <c r="Q22402" s="8"/>
    </row>
    <row r="22403" spans="17:17" x14ac:dyDescent="0.25">
      <c r="Q22403" s="8"/>
    </row>
    <row r="22404" spans="17:17" x14ac:dyDescent="0.25">
      <c r="Q22404" s="8"/>
    </row>
    <row r="22405" spans="17:17" x14ac:dyDescent="0.25">
      <c r="Q22405" s="8"/>
    </row>
    <row r="22406" spans="17:17" x14ac:dyDescent="0.25">
      <c r="Q22406" s="8"/>
    </row>
    <row r="22407" spans="17:17" x14ac:dyDescent="0.25">
      <c r="Q22407" s="8"/>
    </row>
    <row r="22408" spans="17:17" x14ac:dyDescent="0.25">
      <c r="Q22408" s="8"/>
    </row>
    <row r="22409" spans="17:17" x14ac:dyDescent="0.25">
      <c r="Q22409" s="8"/>
    </row>
    <row r="22410" spans="17:17" x14ac:dyDescent="0.25">
      <c r="Q22410" s="8"/>
    </row>
    <row r="22411" spans="17:17" x14ac:dyDescent="0.25">
      <c r="Q22411" s="8"/>
    </row>
    <row r="22412" spans="17:17" x14ac:dyDescent="0.25">
      <c r="Q22412" s="8"/>
    </row>
    <row r="22413" spans="17:17" x14ac:dyDescent="0.25">
      <c r="Q22413" s="8"/>
    </row>
    <row r="22414" spans="17:17" x14ac:dyDescent="0.25">
      <c r="Q22414" s="8"/>
    </row>
    <row r="22415" spans="17:17" x14ac:dyDescent="0.25">
      <c r="Q22415" s="8"/>
    </row>
    <row r="22416" spans="17:17" x14ac:dyDescent="0.25">
      <c r="Q22416" s="8"/>
    </row>
    <row r="22417" spans="17:17" x14ac:dyDescent="0.25">
      <c r="Q22417" s="8"/>
    </row>
    <row r="22418" spans="17:17" x14ac:dyDescent="0.25">
      <c r="Q22418" s="8"/>
    </row>
    <row r="22419" spans="17:17" x14ac:dyDescent="0.25">
      <c r="Q22419" s="8"/>
    </row>
    <row r="22420" spans="17:17" x14ac:dyDescent="0.25">
      <c r="Q22420" s="8"/>
    </row>
    <row r="22421" spans="17:17" x14ac:dyDescent="0.25">
      <c r="Q22421" s="8"/>
    </row>
    <row r="22422" spans="17:17" x14ac:dyDescent="0.25">
      <c r="Q22422" s="8"/>
    </row>
    <row r="22423" spans="17:17" x14ac:dyDescent="0.25">
      <c r="Q22423" s="8"/>
    </row>
    <row r="22424" spans="17:17" x14ac:dyDescent="0.25">
      <c r="Q22424" s="8"/>
    </row>
    <row r="22425" spans="17:17" x14ac:dyDescent="0.25">
      <c r="Q22425" s="8"/>
    </row>
    <row r="22426" spans="17:17" x14ac:dyDescent="0.25">
      <c r="Q22426" s="8"/>
    </row>
    <row r="22427" spans="17:17" x14ac:dyDescent="0.25">
      <c r="Q22427" s="8"/>
    </row>
    <row r="22428" spans="17:17" x14ac:dyDescent="0.25">
      <c r="Q22428" s="8"/>
    </row>
    <row r="22429" spans="17:17" x14ac:dyDescent="0.25">
      <c r="Q22429" s="8"/>
    </row>
    <row r="22430" spans="17:17" x14ac:dyDescent="0.25">
      <c r="Q22430" s="8"/>
    </row>
    <row r="22431" spans="17:17" x14ac:dyDescent="0.25">
      <c r="Q22431" s="8"/>
    </row>
    <row r="22432" spans="17:17" x14ac:dyDescent="0.25">
      <c r="Q22432" s="8"/>
    </row>
    <row r="22433" spans="17:17" x14ac:dyDescent="0.25">
      <c r="Q22433" s="8"/>
    </row>
    <row r="22434" spans="17:17" x14ac:dyDescent="0.25">
      <c r="Q22434" s="8"/>
    </row>
    <row r="22435" spans="17:17" x14ac:dyDescent="0.25">
      <c r="Q22435" s="8"/>
    </row>
    <row r="22436" spans="17:17" x14ac:dyDescent="0.25">
      <c r="Q22436" s="8"/>
    </row>
    <row r="22437" spans="17:17" x14ac:dyDescent="0.25">
      <c r="Q22437" s="8"/>
    </row>
    <row r="22438" spans="17:17" x14ac:dyDescent="0.25">
      <c r="Q22438" s="8"/>
    </row>
    <row r="22439" spans="17:17" x14ac:dyDescent="0.25">
      <c r="Q22439" s="8"/>
    </row>
    <row r="22440" spans="17:17" x14ac:dyDescent="0.25">
      <c r="Q22440" s="8"/>
    </row>
    <row r="22441" spans="17:17" x14ac:dyDescent="0.25">
      <c r="Q22441" s="8"/>
    </row>
    <row r="22442" spans="17:17" x14ac:dyDescent="0.25">
      <c r="Q22442" s="8"/>
    </row>
    <row r="22443" spans="17:17" x14ac:dyDescent="0.25">
      <c r="Q22443" s="8"/>
    </row>
    <row r="22444" spans="17:17" x14ac:dyDescent="0.25">
      <c r="Q22444" s="8"/>
    </row>
    <row r="22445" spans="17:17" x14ac:dyDescent="0.25">
      <c r="Q22445" s="8"/>
    </row>
    <row r="22446" spans="17:17" x14ac:dyDescent="0.25">
      <c r="Q22446" s="8"/>
    </row>
    <row r="22447" spans="17:17" x14ac:dyDescent="0.25">
      <c r="Q22447" s="8"/>
    </row>
    <row r="22448" spans="17:17" x14ac:dyDescent="0.25">
      <c r="Q22448" s="8"/>
    </row>
    <row r="22449" spans="17:17" x14ac:dyDescent="0.25">
      <c r="Q22449" s="8"/>
    </row>
    <row r="22450" spans="17:17" x14ac:dyDescent="0.25">
      <c r="Q22450" s="8"/>
    </row>
    <row r="22451" spans="17:17" x14ac:dyDescent="0.25">
      <c r="Q22451" s="8"/>
    </row>
    <row r="22452" spans="17:17" x14ac:dyDescent="0.25">
      <c r="Q22452" s="8"/>
    </row>
    <row r="22453" spans="17:17" x14ac:dyDescent="0.25">
      <c r="Q22453" s="8"/>
    </row>
    <row r="22454" spans="17:17" x14ac:dyDescent="0.25">
      <c r="Q22454" s="8"/>
    </row>
    <row r="22455" spans="17:17" x14ac:dyDescent="0.25">
      <c r="Q22455" s="8"/>
    </row>
    <row r="22456" spans="17:17" x14ac:dyDescent="0.25">
      <c r="Q22456" s="8"/>
    </row>
    <row r="22457" spans="17:17" x14ac:dyDescent="0.25">
      <c r="Q22457" s="8"/>
    </row>
    <row r="22458" spans="17:17" x14ac:dyDescent="0.25">
      <c r="Q22458" s="8"/>
    </row>
    <row r="22459" spans="17:17" x14ac:dyDescent="0.25">
      <c r="Q22459" s="8"/>
    </row>
    <row r="22460" spans="17:17" x14ac:dyDescent="0.25">
      <c r="Q22460" s="8"/>
    </row>
    <row r="22461" spans="17:17" x14ac:dyDescent="0.25">
      <c r="Q22461" s="8"/>
    </row>
    <row r="22462" spans="17:17" x14ac:dyDescent="0.25">
      <c r="Q22462" s="8"/>
    </row>
    <row r="22463" spans="17:17" x14ac:dyDescent="0.25">
      <c r="Q22463" s="8"/>
    </row>
    <row r="22464" spans="17:17" x14ac:dyDescent="0.25">
      <c r="Q22464" s="8"/>
    </row>
    <row r="22465" spans="17:17" x14ac:dyDescent="0.25">
      <c r="Q22465" s="8"/>
    </row>
    <row r="22466" spans="17:17" x14ac:dyDescent="0.25">
      <c r="Q22466" s="8"/>
    </row>
    <row r="22467" spans="17:17" x14ac:dyDescent="0.25">
      <c r="Q22467" s="8"/>
    </row>
    <row r="22468" spans="17:17" x14ac:dyDescent="0.25">
      <c r="Q22468" s="8"/>
    </row>
    <row r="22469" spans="17:17" x14ac:dyDescent="0.25">
      <c r="Q22469" s="8"/>
    </row>
    <row r="22470" spans="17:17" x14ac:dyDescent="0.25">
      <c r="Q22470" s="8"/>
    </row>
    <row r="22471" spans="17:17" x14ac:dyDescent="0.25">
      <c r="Q22471" s="8"/>
    </row>
    <row r="22472" spans="17:17" x14ac:dyDescent="0.25">
      <c r="Q22472" s="8"/>
    </row>
    <row r="22473" spans="17:17" x14ac:dyDescent="0.25">
      <c r="Q22473" s="8"/>
    </row>
    <row r="22474" spans="17:17" x14ac:dyDescent="0.25">
      <c r="Q22474" s="8"/>
    </row>
    <row r="22475" spans="17:17" x14ac:dyDescent="0.25">
      <c r="Q22475" s="8"/>
    </row>
    <row r="22476" spans="17:17" x14ac:dyDescent="0.25">
      <c r="Q22476" s="8"/>
    </row>
    <row r="22477" spans="17:17" x14ac:dyDescent="0.25">
      <c r="Q22477" s="8"/>
    </row>
    <row r="22478" spans="17:17" x14ac:dyDescent="0.25">
      <c r="Q22478" s="8"/>
    </row>
    <row r="22479" spans="17:17" x14ac:dyDescent="0.25">
      <c r="Q22479" s="8"/>
    </row>
    <row r="22480" spans="17:17" x14ac:dyDescent="0.25">
      <c r="Q22480" s="8"/>
    </row>
    <row r="22481" spans="17:17" x14ac:dyDescent="0.25">
      <c r="Q22481" s="8"/>
    </row>
    <row r="22482" spans="17:17" x14ac:dyDescent="0.25">
      <c r="Q22482" s="8"/>
    </row>
    <row r="22483" spans="17:17" x14ac:dyDescent="0.25">
      <c r="Q22483" s="8"/>
    </row>
    <row r="22484" spans="17:17" x14ac:dyDescent="0.25">
      <c r="Q22484" s="8"/>
    </row>
    <row r="22485" spans="17:17" x14ac:dyDescent="0.25">
      <c r="Q22485" s="8"/>
    </row>
    <row r="22486" spans="17:17" x14ac:dyDescent="0.25">
      <c r="Q22486" s="8"/>
    </row>
    <row r="22487" spans="17:17" x14ac:dyDescent="0.25">
      <c r="Q22487" s="8"/>
    </row>
    <row r="22488" spans="17:17" x14ac:dyDescent="0.25">
      <c r="Q22488" s="8"/>
    </row>
    <row r="22489" spans="17:17" x14ac:dyDescent="0.25">
      <c r="Q22489" s="8"/>
    </row>
    <row r="22490" spans="17:17" x14ac:dyDescent="0.25">
      <c r="Q22490" s="8"/>
    </row>
    <row r="22491" spans="17:17" x14ac:dyDescent="0.25">
      <c r="Q22491" s="8"/>
    </row>
    <row r="22492" spans="17:17" x14ac:dyDescent="0.25">
      <c r="Q22492" s="8"/>
    </row>
    <row r="22493" spans="17:17" x14ac:dyDescent="0.25">
      <c r="Q22493" s="8"/>
    </row>
    <row r="22494" spans="17:17" x14ac:dyDescent="0.25">
      <c r="Q22494" s="8"/>
    </row>
    <row r="22495" spans="17:17" x14ac:dyDescent="0.25">
      <c r="Q22495" s="8"/>
    </row>
    <row r="22496" spans="17:17" x14ac:dyDescent="0.25">
      <c r="Q22496" s="8"/>
    </row>
    <row r="22497" spans="17:17" x14ac:dyDescent="0.25">
      <c r="Q22497" s="8"/>
    </row>
    <row r="22498" spans="17:17" x14ac:dyDescent="0.25">
      <c r="Q22498" s="8"/>
    </row>
    <row r="22499" spans="17:17" x14ac:dyDescent="0.25">
      <c r="Q22499" s="8"/>
    </row>
    <row r="22500" spans="17:17" x14ac:dyDescent="0.25">
      <c r="Q22500" s="8"/>
    </row>
    <row r="22501" spans="17:17" x14ac:dyDescent="0.25">
      <c r="Q22501" s="8"/>
    </row>
    <row r="22502" spans="17:17" x14ac:dyDescent="0.25">
      <c r="Q22502" s="8"/>
    </row>
    <row r="22503" spans="17:17" x14ac:dyDescent="0.25">
      <c r="Q22503" s="8"/>
    </row>
    <row r="22504" spans="17:17" x14ac:dyDescent="0.25">
      <c r="Q22504" s="8"/>
    </row>
    <row r="22505" spans="17:17" x14ac:dyDescent="0.25">
      <c r="Q22505" s="8"/>
    </row>
    <row r="22506" spans="17:17" x14ac:dyDescent="0.25">
      <c r="Q22506" s="8"/>
    </row>
    <row r="22507" spans="17:17" x14ac:dyDescent="0.25">
      <c r="Q22507" s="8"/>
    </row>
    <row r="22508" spans="17:17" x14ac:dyDescent="0.25">
      <c r="Q22508" s="8"/>
    </row>
    <row r="22509" spans="17:17" x14ac:dyDescent="0.25">
      <c r="Q22509" s="8"/>
    </row>
    <row r="22510" spans="17:17" x14ac:dyDescent="0.25">
      <c r="Q22510" s="8"/>
    </row>
    <row r="22511" spans="17:17" x14ac:dyDescent="0.25">
      <c r="Q22511" s="8"/>
    </row>
    <row r="22512" spans="17:17" x14ac:dyDescent="0.25">
      <c r="Q22512" s="8"/>
    </row>
    <row r="22513" spans="17:17" x14ac:dyDescent="0.25">
      <c r="Q22513" s="8"/>
    </row>
    <row r="22514" spans="17:17" x14ac:dyDescent="0.25">
      <c r="Q22514" s="8"/>
    </row>
    <row r="22515" spans="17:17" x14ac:dyDescent="0.25">
      <c r="Q22515" s="8"/>
    </row>
    <row r="22516" spans="17:17" x14ac:dyDescent="0.25">
      <c r="Q22516" s="8"/>
    </row>
    <row r="22517" spans="17:17" x14ac:dyDescent="0.25">
      <c r="Q22517" s="8"/>
    </row>
    <row r="22518" spans="17:17" x14ac:dyDescent="0.25">
      <c r="Q22518" s="8"/>
    </row>
    <row r="22519" spans="17:17" x14ac:dyDescent="0.25">
      <c r="Q22519" s="8"/>
    </row>
    <row r="22520" spans="17:17" x14ac:dyDescent="0.25">
      <c r="Q22520" s="8"/>
    </row>
    <row r="22521" spans="17:17" x14ac:dyDescent="0.25">
      <c r="Q22521" s="8"/>
    </row>
    <row r="22522" spans="17:17" x14ac:dyDescent="0.25">
      <c r="Q22522" s="8"/>
    </row>
    <row r="22523" spans="17:17" x14ac:dyDescent="0.25">
      <c r="Q22523" s="8"/>
    </row>
    <row r="22524" spans="17:17" x14ac:dyDescent="0.25">
      <c r="Q22524" s="8"/>
    </row>
    <row r="22525" spans="17:17" x14ac:dyDescent="0.25">
      <c r="Q22525" s="8"/>
    </row>
    <row r="22526" spans="17:17" x14ac:dyDescent="0.25">
      <c r="Q22526" s="8"/>
    </row>
    <row r="22527" spans="17:17" x14ac:dyDescent="0.25">
      <c r="Q22527" s="8"/>
    </row>
    <row r="22528" spans="17:17" x14ac:dyDescent="0.25">
      <c r="Q22528" s="8"/>
    </row>
    <row r="22529" spans="17:17" x14ac:dyDescent="0.25">
      <c r="Q22529" s="8"/>
    </row>
    <row r="22530" spans="17:17" x14ac:dyDescent="0.25">
      <c r="Q22530" s="8"/>
    </row>
    <row r="22531" spans="17:17" x14ac:dyDescent="0.25">
      <c r="Q22531" s="8"/>
    </row>
    <row r="22532" spans="17:17" x14ac:dyDescent="0.25">
      <c r="Q22532" s="8"/>
    </row>
    <row r="22533" spans="17:17" x14ac:dyDescent="0.25">
      <c r="Q22533" s="8"/>
    </row>
    <row r="22534" spans="17:17" x14ac:dyDescent="0.25">
      <c r="Q22534" s="8"/>
    </row>
    <row r="22535" spans="17:17" x14ac:dyDescent="0.25">
      <c r="Q22535" s="8"/>
    </row>
    <row r="22536" spans="17:17" x14ac:dyDescent="0.25">
      <c r="Q22536" s="8"/>
    </row>
    <row r="22537" spans="17:17" x14ac:dyDescent="0.25">
      <c r="Q22537" s="8"/>
    </row>
    <row r="22538" spans="17:17" x14ac:dyDescent="0.25">
      <c r="Q22538" s="8"/>
    </row>
    <row r="22539" spans="17:17" x14ac:dyDescent="0.25">
      <c r="Q22539" s="8"/>
    </row>
    <row r="22540" spans="17:17" x14ac:dyDescent="0.25">
      <c r="Q22540" s="8"/>
    </row>
    <row r="22541" spans="17:17" x14ac:dyDescent="0.25">
      <c r="Q22541" s="8"/>
    </row>
    <row r="22542" spans="17:17" x14ac:dyDescent="0.25">
      <c r="Q22542" s="8"/>
    </row>
    <row r="22543" spans="17:17" x14ac:dyDescent="0.25">
      <c r="Q22543" s="8"/>
    </row>
    <row r="22544" spans="17:17" x14ac:dyDescent="0.25">
      <c r="Q22544" s="8"/>
    </row>
    <row r="22545" spans="17:17" x14ac:dyDescent="0.25">
      <c r="Q22545" s="8"/>
    </row>
    <row r="22546" spans="17:17" x14ac:dyDescent="0.25">
      <c r="Q22546" s="8"/>
    </row>
    <row r="22547" spans="17:17" x14ac:dyDescent="0.25">
      <c r="Q22547" s="8"/>
    </row>
    <row r="22548" spans="17:17" x14ac:dyDescent="0.25">
      <c r="Q22548" s="8"/>
    </row>
    <row r="22549" spans="17:17" x14ac:dyDescent="0.25">
      <c r="Q22549" s="8"/>
    </row>
    <row r="22550" spans="17:17" x14ac:dyDescent="0.25">
      <c r="Q22550" s="8"/>
    </row>
    <row r="22551" spans="17:17" x14ac:dyDescent="0.25">
      <c r="Q22551" s="8"/>
    </row>
    <row r="22552" spans="17:17" x14ac:dyDescent="0.25">
      <c r="Q22552" s="8"/>
    </row>
    <row r="22553" spans="17:17" x14ac:dyDescent="0.25">
      <c r="Q22553" s="8"/>
    </row>
    <row r="22554" spans="17:17" x14ac:dyDescent="0.25">
      <c r="Q22554" s="8"/>
    </row>
    <row r="22555" spans="17:17" x14ac:dyDescent="0.25">
      <c r="Q22555" s="8"/>
    </row>
    <row r="22556" spans="17:17" x14ac:dyDescent="0.25">
      <c r="Q22556" s="8"/>
    </row>
    <row r="22557" spans="17:17" x14ac:dyDescent="0.25">
      <c r="Q22557" s="8"/>
    </row>
    <row r="22558" spans="17:17" x14ac:dyDescent="0.25">
      <c r="Q22558" s="8"/>
    </row>
    <row r="22559" spans="17:17" x14ac:dyDescent="0.25">
      <c r="Q22559" s="8"/>
    </row>
    <row r="22560" spans="17:17" x14ac:dyDescent="0.25">
      <c r="Q22560" s="8"/>
    </row>
    <row r="22561" spans="17:17" x14ac:dyDescent="0.25">
      <c r="Q22561" s="8"/>
    </row>
    <row r="22562" spans="17:17" x14ac:dyDescent="0.25">
      <c r="Q22562" s="8"/>
    </row>
    <row r="22563" spans="17:17" x14ac:dyDescent="0.25">
      <c r="Q22563" s="8"/>
    </row>
    <row r="22564" spans="17:17" x14ac:dyDescent="0.25">
      <c r="Q22564" s="8"/>
    </row>
    <row r="22565" spans="17:17" x14ac:dyDescent="0.25">
      <c r="Q22565" s="8"/>
    </row>
    <row r="22566" spans="17:17" x14ac:dyDescent="0.25">
      <c r="Q22566" s="8"/>
    </row>
    <row r="22567" spans="17:17" x14ac:dyDescent="0.25">
      <c r="Q22567" s="8"/>
    </row>
    <row r="22568" spans="17:17" x14ac:dyDescent="0.25">
      <c r="Q22568" s="8"/>
    </row>
    <row r="22569" spans="17:17" x14ac:dyDescent="0.25">
      <c r="Q22569" s="8"/>
    </row>
    <row r="22570" spans="17:17" x14ac:dyDescent="0.25">
      <c r="Q22570" s="8"/>
    </row>
    <row r="22571" spans="17:17" x14ac:dyDescent="0.25">
      <c r="Q22571" s="8"/>
    </row>
    <row r="22572" spans="17:17" x14ac:dyDescent="0.25">
      <c r="Q22572" s="8"/>
    </row>
    <row r="22573" spans="17:17" x14ac:dyDescent="0.25">
      <c r="Q22573" s="8"/>
    </row>
    <row r="22574" spans="17:17" x14ac:dyDescent="0.25">
      <c r="Q22574" s="8"/>
    </row>
    <row r="22575" spans="17:17" x14ac:dyDescent="0.25">
      <c r="Q22575" s="8"/>
    </row>
    <row r="22576" spans="17:17" x14ac:dyDescent="0.25">
      <c r="Q22576" s="8"/>
    </row>
    <row r="22577" spans="17:17" x14ac:dyDescent="0.25">
      <c r="Q22577" s="8"/>
    </row>
    <row r="22578" spans="17:17" x14ac:dyDescent="0.25">
      <c r="Q22578" s="8"/>
    </row>
    <row r="22579" spans="17:17" x14ac:dyDescent="0.25">
      <c r="Q22579" s="8"/>
    </row>
    <row r="22580" spans="17:17" x14ac:dyDescent="0.25">
      <c r="Q22580" s="8"/>
    </row>
    <row r="22581" spans="17:17" x14ac:dyDescent="0.25">
      <c r="Q22581" s="8"/>
    </row>
    <row r="22582" spans="17:17" x14ac:dyDescent="0.25">
      <c r="Q22582" s="8"/>
    </row>
    <row r="22583" spans="17:17" x14ac:dyDescent="0.25">
      <c r="Q22583" s="8"/>
    </row>
    <row r="22584" spans="17:17" x14ac:dyDescent="0.25">
      <c r="Q22584" s="8"/>
    </row>
    <row r="22585" spans="17:17" x14ac:dyDescent="0.25">
      <c r="Q22585" s="8"/>
    </row>
    <row r="22586" spans="17:17" x14ac:dyDescent="0.25">
      <c r="Q22586" s="8"/>
    </row>
    <row r="22587" spans="17:17" x14ac:dyDescent="0.25">
      <c r="Q22587" s="8"/>
    </row>
    <row r="22588" spans="17:17" x14ac:dyDescent="0.25">
      <c r="Q22588" s="8"/>
    </row>
    <row r="22589" spans="17:17" x14ac:dyDescent="0.25">
      <c r="Q22589" s="8"/>
    </row>
    <row r="22590" spans="17:17" x14ac:dyDescent="0.25">
      <c r="Q22590" s="8"/>
    </row>
    <row r="22591" spans="17:17" x14ac:dyDescent="0.25">
      <c r="Q22591" s="8"/>
    </row>
    <row r="22592" spans="17:17" x14ac:dyDescent="0.25">
      <c r="Q22592" s="8"/>
    </row>
    <row r="22593" spans="17:17" x14ac:dyDescent="0.25">
      <c r="Q22593" s="8"/>
    </row>
    <row r="22594" spans="17:17" x14ac:dyDescent="0.25">
      <c r="Q22594" s="8"/>
    </row>
    <row r="22595" spans="17:17" x14ac:dyDescent="0.25">
      <c r="Q22595" s="8"/>
    </row>
    <row r="22596" spans="17:17" x14ac:dyDescent="0.25">
      <c r="Q22596" s="8"/>
    </row>
    <row r="22597" spans="17:17" x14ac:dyDescent="0.25">
      <c r="Q22597" s="8"/>
    </row>
    <row r="22598" spans="17:17" x14ac:dyDescent="0.25">
      <c r="Q22598" s="8"/>
    </row>
    <row r="22599" spans="17:17" x14ac:dyDescent="0.25">
      <c r="Q22599" s="8"/>
    </row>
    <row r="22600" spans="17:17" x14ac:dyDescent="0.25">
      <c r="Q22600" s="8"/>
    </row>
    <row r="22601" spans="17:17" x14ac:dyDescent="0.25">
      <c r="Q22601" s="8"/>
    </row>
    <row r="22602" spans="17:17" x14ac:dyDescent="0.25">
      <c r="Q22602" s="8"/>
    </row>
    <row r="22603" spans="17:17" x14ac:dyDescent="0.25">
      <c r="Q22603" s="8"/>
    </row>
    <row r="22604" spans="17:17" x14ac:dyDescent="0.25">
      <c r="Q22604" s="8"/>
    </row>
    <row r="22605" spans="17:17" x14ac:dyDescent="0.25">
      <c r="Q22605" s="8"/>
    </row>
    <row r="22606" spans="17:17" x14ac:dyDescent="0.25">
      <c r="Q22606" s="8"/>
    </row>
    <row r="22607" spans="17:17" x14ac:dyDescent="0.25">
      <c r="Q22607" s="8"/>
    </row>
    <row r="22608" spans="17:17" x14ac:dyDescent="0.25">
      <c r="Q22608" s="8"/>
    </row>
    <row r="22609" spans="17:17" x14ac:dyDescent="0.25">
      <c r="Q22609" s="8"/>
    </row>
    <row r="22610" spans="17:17" x14ac:dyDescent="0.25">
      <c r="Q22610" s="8"/>
    </row>
    <row r="22611" spans="17:17" x14ac:dyDescent="0.25">
      <c r="Q22611" s="8"/>
    </row>
    <row r="22612" spans="17:17" x14ac:dyDescent="0.25">
      <c r="Q22612" s="8"/>
    </row>
    <row r="22613" spans="17:17" x14ac:dyDescent="0.25">
      <c r="Q22613" s="8"/>
    </row>
    <row r="22614" spans="17:17" x14ac:dyDescent="0.25">
      <c r="Q22614" s="8"/>
    </row>
    <row r="22615" spans="17:17" x14ac:dyDescent="0.25">
      <c r="Q22615" s="8"/>
    </row>
    <row r="22616" spans="17:17" x14ac:dyDescent="0.25">
      <c r="Q22616" s="8"/>
    </row>
    <row r="22617" spans="17:17" x14ac:dyDescent="0.25">
      <c r="Q22617" s="8"/>
    </row>
    <row r="22618" spans="17:17" x14ac:dyDescent="0.25">
      <c r="Q22618" s="8"/>
    </row>
    <row r="22619" spans="17:17" x14ac:dyDescent="0.25">
      <c r="Q22619" s="8"/>
    </row>
    <row r="22620" spans="17:17" x14ac:dyDescent="0.25">
      <c r="Q22620" s="8"/>
    </row>
    <row r="22621" spans="17:17" x14ac:dyDescent="0.25">
      <c r="Q22621" s="8"/>
    </row>
    <row r="22622" spans="17:17" x14ac:dyDescent="0.25">
      <c r="Q22622" s="8"/>
    </row>
    <row r="22623" spans="17:17" x14ac:dyDescent="0.25">
      <c r="Q22623" s="8"/>
    </row>
    <row r="22624" spans="17:17" x14ac:dyDescent="0.25">
      <c r="Q22624" s="8"/>
    </row>
    <row r="22625" spans="17:17" x14ac:dyDescent="0.25">
      <c r="Q22625" s="8"/>
    </row>
    <row r="22626" spans="17:17" x14ac:dyDescent="0.25">
      <c r="Q22626" s="8"/>
    </row>
    <row r="22627" spans="17:17" x14ac:dyDescent="0.25">
      <c r="Q22627" s="8"/>
    </row>
    <row r="22628" spans="17:17" x14ac:dyDescent="0.25">
      <c r="Q22628" s="8"/>
    </row>
    <row r="22629" spans="17:17" x14ac:dyDescent="0.25">
      <c r="Q22629" s="8"/>
    </row>
    <row r="22630" spans="17:17" x14ac:dyDescent="0.25">
      <c r="Q22630" s="8"/>
    </row>
    <row r="22631" spans="17:17" x14ac:dyDescent="0.25">
      <c r="Q22631" s="8"/>
    </row>
    <row r="22632" spans="17:17" x14ac:dyDescent="0.25">
      <c r="Q22632" s="8"/>
    </row>
    <row r="22633" spans="17:17" x14ac:dyDescent="0.25">
      <c r="Q22633" s="8"/>
    </row>
    <row r="22634" spans="17:17" x14ac:dyDescent="0.25">
      <c r="Q22634" s="8"/>
    </row>
    <row r="22635" spans="17:17" x14ac:dyDescent="0.25">
      <c r="Q22635" s="8"/>
    </row>
    <row r="22636" spans="17:17" x14ac:dyDescent="0.25">
      <c r="Q22636" s="8"/>
    </row>
    <row r="22637" spans="17:17" x14ac:dyDescent="0.25">
      <c r="Q22637" s="8"/>
    </row>
    <row r="22638" spans="17:17" x14ac:dyDescent="0.25">
      <c r="Q22638" s="8"/>
    </row>
    <row r="22639" spans="17:17" x14ac:dyDescent="0.25">
      <c r="Q22639" s="8"/>
    </row>
    <row r="22640" spans="17:17" x14ac:dyDescent="0.25">
      <c r="Q22640" s="8"/>
    </row>
    <row r="22641" spans="17:17" x14ac:dyDescent="0.25">
      <c r="Q22641" s="8"/>
    </row>
    <row r="22642" spans="17:17" x14ac:dyDescent="0.25">
      <c r="Q22642" s="8"/>
    </row>
    <row r="22643" spans="17:17" x14ac:dyDescent="0.25">
      <c r="Q22643" s="8"/>
    </row>
    <row r="22644" spans="17:17" x14ac:dyDescent="0.25">
      <c r="Q22644" s="8"/>
    </row>
    <row r="22645" spans="17:17" x14ac:dyDescent="0.25">
      <c r="Q22645" s="8"/>
    </row>
    <row r="22646" spans="17:17" x14ac:dyDescent="0.25">
      <c r="Q22646" s="8"/>
    </row>
    <row r="22647" spans="17:17" x14ac:dyDescent="0.25">
      <c r="Q22647" s="8"/>
    </row>
    <row r="22648" spans="17:17" x14ac:dyDescent="0.25">
      <c r="Q22648" s="8"/>
    </row>
    <row r="22649" spans="17:17" x14ac:dyDescent="0.25">
      <c r="Q22649" s="8"/>
    </row>
    <row r="22650" spans="17:17" x14ac:dyDescent="0.25">
      <c r="Q22650" s="8"/>
    </row>
    <row r="22651" spans="17:17" x14ac:dyDescent="0.25">
      <c r="Q22651" s="8"/>
    </row>
    <row r="22652" spans="17:17" x14ac:dyDescent="0.25">
      <c r="Q22652" s="8"/>
    </row>
    <row r="22653" spans="17:17" x14ac:dyDescent="0.25">
      <c r="Q22653" s="8"/>
    </row>
    <row r="22654" spans="17:17" x14ac:dyDescent="0.25">
      <c r="Q22654" s="8"/>
    </row>
    <row r="22655" spans="17:17" x14ac:dyDescent="0.25">
      <c r="Q22655" s="8"/>
    </row>
    <row r="22656" spans="17:17" x14ac:dyDescent="0.25">
      <c r="Q22656" s="8"/>
    </row>
    <row r="22657" spans="17:17" x14ac:dyDescent="0.25">
      <c r="Q22657" s="8"/>
    </row>
    <row r="22658" spans="17:17" x14ac:dyDescent="0.25">
      <c r="Q22658" s="8"/>
    </row>
    <row r="22659" spans="17:17" x14ac:dyDescent="0.25">
      <c r="Q22659" s="8"/>
    </row>
    <row r="22660" spans="17:17" x14ac:dyDescent="0.25">
      <c r="Q22660" s="8"/>
    </row>
    <row r="22661" spans="17:17" x14ac:dyDescent="0.25">
      <c r="Q22661" s="8"/>
    </row>
    <row r="22662" spans="17:17" x14ac:dyDescent="0.25">
      <c r="Q22662" s="8"/>
    </row>
    <row r="22663" spans="17:17" x14ac:dyDescent="0.25">
      <c r="Q22663" s="8"/>
    </row>
    <row r="22664" spans="17:17" x14ac:dyDescent="0.25">
      <c r="Q22664" s="8"/>
    </row>
    <row r="22665" spans="17:17" x14ac:dyDescent="0.25">
      <c r="Q22665" s="8"/>
    </row>
    <row r="22666" spans="17:17" x14ac:dyDescent="0.25">
      <c r="Q22666" s="8"/>
    </row>
    <row r="22667" spans="17:17" x14ac:dyDescent="0.25">
      <c r="Q22667" s="8"/>
    </row>
    <row r="22668" spans="17:17" x14ac:dyDescent="0.25">
      <c r="Q22668" s="8"/>
    </row>
    <row r="22669" spans="17:17" x14ac:dyDescent="0.25">
      <c r="Q22669" s="8"/>
    </row>
    <row r="22670" spans="17:17" x14ac:dyDescent="0.25">
      <c r="Q22670" s="8"/>
    </row>
    <row r="22671" spans="17:17" x14ac:dyDescent="0.25">
      <c r="Q22671" s="8"/>
    </row>
    <row r="22672" spans="17:17" x14ac:dyDescent="0.25">
      <c r="Q22672" s="8"/>
    </row>
    <row r="22673" spans="17:17" x14ac:dyDescent="0.25">
      <c r="Q22673" s="8"/>
    </row>
    <row r="22674" spans="17:17" x14ac:dyDescent="0.25">
      <c r="Q22674" s="8"/>
    </row>
    <row r="22675" spans="17:17" x14ac:dyDescent="0.25">
      <c r="Q22675" s="8"/>
    </row>
    <row r="22676" spans="17:17" x14ac:dyDescent="0.25">
      <c r="Q22676" s="8"/>
    </row>
    <row r="22677" spans="17:17" x14ac:dyDescent="0.25">
      <c r="Q22677" s="8"/>
    </row>
    <row r="22678" spans="17:17" x14ac:dyDescent="0.25">
      <c r="Q22678" s="8"/>
    </row>
    <row r="22679" spans="17:17" x14ac:dyDescent="0.25">
      <c r="Q22679" s="8"/>
    </row>
    <row r="22680" spans="17:17" x14ac:dyDescent="0.25">
      <c r="Q22680" s="8"/>
    </row>
    <row r="22681" spans="17:17" x14ac:dyDescent="0.25">
      <c r="Q22681" s="8"/>
    </row>
    <row r="22682" spans="17:17" x14ac:dyDescent="0.25">
      <c r="Q22682" s="8"/>
    </row>
    <row r="22683" spans="17:17" x14ac:dyDescent="0.25">
      <c r="Q22683" s="8"/>
    </row>
    <row r="22684" spans="17:17" x14ac:dyDescent="0.25">
      <c r="Q22684" s="8"/>
    </row>
    <row r="22685" spans="17:17" x14ac:dyDescent="0.25">
      <c r="Q22685" s="8"/>
    </row>
    <row r="22686" spans="17:17" x14ac:dyDescent="0.25">
      <c r="Q22686" s="8"/>
    </row>
    <row r="22687" spans="17:17" x14ac:dyDescent="0.25">
      <c r="Q22687" s="8"/>
    </row>
    <row r="22688" spans="17:17" x14ac:dyDescent="0.25">
      <c r="Q22688" s="8"/>
    </row>
    <row r="22689" spans="17:17" x14ac:dyDescent="0.25">
      <c r="Q22689" s="8"/>
    </row>
    <row r="22690" spans="17:17" x14ac:dyDescent="0.25">
      <c r="Q22690" s="8"/>
    </row>
    <row r="22691" spans="17:17" x14ac:dyDescent="0.25">
      <c r="Q22691" s="8"/>
    </row>
    <row r="22692" spans="17:17" x14ac:dyDescent="0.25">
      <c r="Q22692" s="8"/>
    </row>
    <row r="22693" spans="17:17" x14ac:dyDescent="0.25">
      <c r="Q22693" s="8"/>
    </row>
    <row r="22694" spans="17:17" x14ac:dyDescent="0.25">
      <c r="Q22694" s="8"/>
    </row>
    <row r="22695" spans="17:17" x14ac:dyDescent="0.25">
      <c r="Q22695" s="8"/>
    </row>
    <row r="22696" spans="17:17" x14ac:dyDescent="0.25">
      <c r="Q22696" s="8"/>
    </row>
    <row r="22697" spans="17:17" x14ac:dyDescent="0.25">
      <c r="Q22697" s="8"/>
    </row>
    <row r="22698" spans="17:17" x14ac:dyDescent="0.25">
      <c r="Q22698" s="8"/>
    </row>
    <row r="22699" spans="17:17" x14ac:dyDescent="0.25">
      <c r="Q22699" s="8"/>
    </row>
    <row r="22700" spans="17:17" x14ac:dyDescent="0.25">
      <c r="Q22700" s="8"/>
    </row>
    <row r="22701" spans="17:17" x14ac:dyDescent="0.25">
      <c r="Q22701" s="8"/>
    </row>
    <row r="22702" spans="17:17" x14ac:dyDescent="0.25">
      <c r="Q22702" s="8"/>
    </row>
    <row r="22703" spans="17:17" x14ac:dyDescent="0.25">
      <c r="Q22703" s="8"/>
    </row>
    <row r="22704" spans="17:17" x14ac:dyDescent="0.25">
      <c r="Q22704" s="8"/>
    </row>
    <row r="22705" spans="17:17" x14ac:dyDescent="0.25">
      <c r="Q22705" s="8"/>
    </row>
    <row r="22706" spans="17:17" x14ac:dyDescent="0.25">
      <c r="Q22706" s="8"/>
    </row>
    <row r="22707" spans="17:17" x14ac:dyDescent="0.25">
      <c r="Q22707" s="8"/>
    </row>
    <row r="22708" spans="17:17" x14ac:dyDescent="0.25">
      <c r="Q22708" s="8"/>
    </row>
    <row r="22709" spans="17:17" x14ac:dyDescent="0.25">
      <c r="Q22709" s="8"/>
    </row>
    <row r="22710" spans="17:17" x14ac:dyDescent="0.25">
      <c r="Q22710" s="8"/>
    </row>
    <row r="22711" spans="17:17" x14ac:dyDescent="0.25">
      <c r="Q22711" s="8"/>
    </row>
    <row r="22712" spans="17:17" x14ac:dyDescent="0.25">
      <c r="Q22712" s="8"/>
    </row>
    <row r="22713" spans="17:17" x14ac:dyDescent="0.25">
      <c r="Q22713" s="8"/>
    </row>
    <row r="22714" spans="17:17" x14ac:dyDescent="0.25">
      <c r="Q22714" s="8"/>
    </row>
    <row r="22715" spans="17:17" x14ac:dyDescent="0.25">
      <c r="Q22715" s="8"/>
    </row>
    <row r="22716" spans="17:17" x14ac:dyDescent="0.25">
      <c r="Q22716" s="8"/>
    </row>
    <row r="22717" spans="17:17" x14ac:dyDescent="0.25">
      <c r="Q22717" s="8"/>
    </row>
    <row r="22718" spans="17:17" x14ac:dyDescent="0.25">
      <c r="Q22718" s="8"/>
    </row>
    <row r="22719" spans="17:17" x14ac:dyDescent="0.25">
      <c r="Q22719" s="8"/>
    </row>
    <row r="22720" spans="17:17" x14ac:dyDescent="0.25">
      <c r="Q22720" s="8"/>
    </row>
    <row r="22721" spans="17:17" x14ac:dyDescent="0.25">
      <c r="Q22721" s="8"/>
    </row>
    <row r="22722" spans="17:17" x14ac:dyDescent="0.25">
      <c r="Q22722" s="8"/>
    </row>
    <row r="22723" spans="17:17" x14ac:dyDescent="0.25">
      <c r="Q22723" s="8"/>
    </row>
    <row r="22724" spans="17:17" x14ac:dyDescent="0.25">
      <c r="Q22724" s="8"/>
    </row>
    <row r="22725" spans="17:17" x14ac:dyDescent="0.25">
      <c r="Q22725" s="8"/>
    </row>
    <row r="22726" spans="17:17" x14ac:dyDescent="0.25">
      <c r="Q22726" s="8"/>
    </row>
    <row r="22727" spans="17:17" x14ac:dyDescent="0.25">
      <c r="Q22727" s="8"/>
    </row>
    <row r="22728" spans="17:17" x14ac:dyDescent="0.25">
      <c r="Q22728" s="8"/>
    </row>
    <row r="22729" spans="17:17" x14ac:dyDescent="0.25">
      <c r="Q22729" s="8"/>
    </row>
    <row r="22730" spans="17:17" x14ac:dyDescent="0.25">
      <c r="Q22730" s="8"/>
    </row>
    <row r="22731" spans="17:17" x14ac:dyDescent="0.25">
      <c r="Q22731" s="8"/>
    </row>
    <row r="22732" spans="17:17" x14ac:dyDescent="0.25">
      <c r="Q22732" s="8"/>
    </row>
    <row r="22733" spans="17:17" x14ac:dyDescent="0.25">
      <c r="Q22733" s="8"/>
    </row>
    <row r="22734" spans="17:17" x14ac:dyDescent="0.25">
      <c r="Q22734" s="8"/>
    </row>
    <row r="22735" spans="17:17" x14ac:dyDescent="0.25">
      <c r="Q22735" s="8"/>
    </row>
    <row r="22736" spans="17:17" x14ac:dyDescent="0.25">
      <c r="Q22736" s="8"/>
    </row>
    <row r="22737" spans="17:17" x14ac:dyDescent="0.25">
      <c r="Q22737" s="8"/>
    </row>
    <row r="22738" spans="17:17" x14ac:dyDescent="0.25">
      <c r="Q22738" s="8"/>
    </row>
    <row r="22739" spans="17:17" x14ac:dyDescent="0.25">
      <c r="Q22739" s="8"/>
    </row>
    <row r="22740" spans="17:17" x14ac:dyDescent="0.25">
      <c r="Q22740" s="8"/>
    </row>
    <row r="22741" spans="17:17" x14ac:dyDescent="0.25">
      <c r="Q22741" s="8"/>
    </row>
    <row r="22742" spans="17:17" x14ac:dyDescent="0.25">
      <c r="Q22742" s="8"/>
    </row>
    <row r="22743" spans="17:17" x14ac:dyDescent="0.25">
      <c r="Q22743" s="8"/>
    </row>
    <row r="22744" spans="17:17" x14ac:dyDescent="0.25">
      <c r="Q22744" s="8"/>
    </row>
    <row r="22745" spans="17:17" x14ac:dyDescent="0.25">
      <c r="Q22745" s="8"/>
    </row>
    <row r="22746" spans="17:17" x14ac:dyDescent="0.25">
      <c r="Q22746" s="8"/>
    </row>
    <row r="22747" spans="17:17" x14ac:dyDescent="0.25">
      <c r="Q22747" s="8"/>
    </row>
    <row r="22748" spans="17:17" x14ac:dyDescent="0.25">
      <c r="Q22748" s="8"/>
    </row>
    <row r="22749" spans="17:17" x14ac:dyDescent="0.25">
      <c r="Q22749" s="8"/>
    </row>
    <row r="22750" spans="17:17" x14ac:dyDescent="0.25">
      <c r="Q22750" s="8"/>
    </row>
    <row r="22751" spans="17:17" x14ac:dyDescent="0.25">
      <c r="Q22751" s="8"/>
    </row>
    <row r="22752" spans="17:17" x14ac:dyDescent="0.25">
      <c r="Q22752" s="8"/>
    </row>
    <row r="22753" spans="17:17" x14ac:dyDescent="0.25">
      <c r="Q22753" s="8"/>
    </row>
    <row r="22754" spans="17:17" x14ac:dyDescent="0.25">
      <c r="Q22754" s="8"/>
    </row>
    <row r="22755" spans="17:17" x14ac:dyDescent="0.25">
      <c r="Q22755" s="8"/>
    </row>
    <row r="22756" spans="17:17" x14ac:dyDescent="0.25">
      <c r="Q22756" s="8"/>
    </row>
    <row r="22757" spans="17:17" x14ac:dyDescent="0.25">
      <c r="Q22757" s="8"/>
    </row>
    <row r="22758" spans="17:17" x14ac:dyDescent="0.25">
      <c r="Q22758" s="8"/>
    </row>
    <row r="22759" spans="17:17" x14ac:dyDescent="0.25">
      <c r="Q22759" s="8"/>
    </row>
    <row r="22760" spans="17:17" x14ac:dyDescent="0.25">
      <c r="Q22760" s="8"/>
    </row>
    <row r="22761" spans="17:17" x14ac:dyDescent="0.25">
      <c r="Q22761" s="8"/>
    </row>
    <row r="22762" spans="17:17" x14ac:dyDescent="0.25">
      <c r="Q22762" s="8"/>
    </row>
    <row r="22763" spans="17:17" x14ac:dyDescent="0.25">
      <c r="Q22763" s="8"/>
    </row>
    <row r="22764" spans="17:17" x14ac:dyDescent="0.25">
      <c r="Q22764" s="8"/>
    </row>
    <row r="22765" spans="17:17" x14ac:dyDescent="0.25">
      <c r="Q22765" s="8"/>
    </row>
    <row r="22766" spans="17:17" x14ac:dyDescent="0.25">
      <c r="Q22766" s="8"/>
    </row>
    <row r="22767" spans="17:17" x14ac:dyDescent="0.25">
      <c r="Q22767" s="8"/>
    </row>
    <row r="22768" spans="17:17" x14ac:dyDescent="0.25">
      <c r="Q22768" s="8"/>
    </row>
    <row r="22769" spans="17:17" x14ac:dyDescent="0.25">
      <c r="Q22769" s="8"/>
    </row>
    <row r="22770" spans="17:17" x14ac:dyDescent="0.25">
      <c r="Q22770" s="8"/>
    </row>
    <row r="22771" spans="17:17" x14ac:dyDescent="0.25">
      <c r="Q22771" s="8"/>
    </row>
    <row r="22772" spans="17:17" x14ac:dyDescent="0.25">
      <c r="Q22772" s="8"/>
    </row>
    <row r="22773" spans="17:17" x14ac:dyDescent="0.25">
      <c r="Q22773" s="8"/>
    </row>
    <row r="22774" spans="17:17" x14ac:dyDescent="0.25">
      <c r="Q22774" s="8"/>
    </row>
    <row r="22775" spans="17:17" x14ac:dyDescent="0.25">
      <c r="Q22775" s="8"/>
    </row>
    <row r="22776" spans="17:17" x14ac:dyDescent="0.25">
      <c r="Q22776" s="8"/>
    </row>
    <row r="22777" spans="17:17" x14ac:dyDescent="0.25">
      <c r="Q22777" s="8"/>
    </row>
    <row r="22778" spans="17:17" x14ac:dyDescent="0.25">
      <c r="Q22778" s="8"/>
    </row>
    <row r="22779" spans="17:17" x14ac:dyDescent="0.25">
      <c r="Q22779" s="8"/>
    </row>
    <row r="22780" spans="17:17" x14ac:dyDescent="0.25">
      <c r="Q22780" s="8"/>
    </row>
    <row r="22781" spans="17:17" x14ac:dyDescent="0.25">
      <c r="Q22781" s="8"/>
    </row>
    <row r="22782" spans="17:17" x14ac:dyDescent="0.25">
      <c r="Q22782" s="8"/>
    </row>
    <row r="22783" spans="17:17" x14ac:dyDescent="0.25">
      <c r="Q22783" s="8"/>
    </row>
    <row r="22784" spans="17:17" x14ac:dyDescent="0.25">
      <c r="Q22784" s="8"/>
    </row>
    <row r="22785" spans="17:17" x14ac:dyDescent="0.25">
      <c r="Q22785" s="8"/>
    </row>
    <row r="22786" spans="17:17" x14ac:dyDescent="0.25">
      <c r="Q22786" s="8"/>
    </row>
    <row r="22787" spans="17:17" x14ac:dyDescent="0.25">
      <c r="Q22787" s="8"/>
    </row>
    <row r="22788" spans="17:17" x14ac:dyDescent="0.25">
      <c r="Q22788" s="8"/>
    </row>
    <row r="22789" spans="17:17" x14ac:dyDescent="0.25">
      <c r="Q22789" s="8"/>
    </row>
    <row r="22790" spans="17:17" x14ac:dyDescent="0.25">
      <c r="Q22790" s="8"/>
    </row>
    <row r="22791" spans="17:17" x14ac:dyDescent="0.25">
      <c r="Q22791" s="8"/>
    </row>
    <row r="22792" spans="17:17" x14ac:dyDescent="0.25">
      <c r="Q22792" s="8"/>
    </row>
    <row r="22793" spans="17:17" x14ac:dyDescent="0.25">
      <c r="Q22793" s="8"/>
    </row>
    <row r="22794" spans="17:17" x14ac:dyDescent="0.25">
      <c r="Q22794" s="8"/>
    </row>
    <row r="22795" spans="17:17" x14ac:dyDescent="0.25">
      <c r="Q22795" s="8"/>
    </row>
    <row r="22796" spans="17:17" x14ac:dyDescent="0.25">
      <c r="Q22796" s="8"/>
    </row>
    <row r="22797" spans="17:17" x14ac:dyDescent="0.25">
      <c r="Q22797" s="8"/>
    </row>
    <row r="22798" spans="17:17" x14ac:dyDescent="0.25">
      <c r="Q22798" s="8"/>
    </row>
    <row r="22799" spans="17:17" x14ac:dyDescent="0.25">
      <c r="Q22799" s="8"/>
    </row>
    <row r="22800" spans="17:17" x14ac:dyDescent="0.25">
      <c r="Q22800" s="8"/>
    </row>
    <row r="22801" spans="17:17" x14ac:dyDescent="0.25">
      <c r="Q22801" s="8"/>
    </row>
    <row r="22802" spans="17:17" x14ac:dyDescent="0.25">
      <c r="Q22802" s="8"/>
    </row>
    <row r="22803" spans="17:17" x14ac:dyDescent="0.25">
      <c r="Q22803" s="8"/>
    </row>
    <row r="22804" spans="17:17" x14ac:dyDescent="0.25">
      <c r="Q22804" s="8"/>
    </row>
    <row r="22805" spans="17:17" x14ac:dyDescent="0.25">
      <c r="Q22805" s="8"/>
    </row>
    <row r="22806" spans="17:17" x14ac:dyDescent="0.25">
      <c r="Q22806" s="8"/>
    </row>
    <row r="22807" spans="17:17" x14ac:dyDescent="0.25">
      <c r="Q22807" s="8"/>
    </row>
    <row r="22808" spans="17:17" x14ac:dyDescent="0.25">
      <c r="Q22808" s="8"/>
    </row>
    <row r="22809" spans="17:17" x14ac:dyDescent="0.25">
      <c r="Q22809" s="8"/>
    </row>
    <row r="22810" spans="17:17" x14ac:dyDescent="0.25">
      <c r="Q22810" s="8"/>
    </row>
    <row r="22811" spans="17:17" x14ac:dyDescent="0.25">
      <c r="Q22811" s="8"/>
    </row>
    <row r="22812" spans="17:17" x14ac:dyDescent="0.25">
      <c r="Q22812" s="8"/>
    </row>
    <row r="22813" spans="17:17" x14ac:dyDescent="0.25">
      <c r="Q22813" s="8"/>
    </row>
    <row r="22814" spans="17:17" x14ac:dyDescent="0.25">
      <c r="Q22814" s="8"/>
    </row>
    <row r="22815" spans="17:17" x14ac:dyDescent="0.25">
      <c r="Q22815" s="8"/>
    </row>
    <row r="22816" spans="17:17" x14ac:dyDescent="0.25">
      <c r="Q22816" s="8"/>
    </row>
    <row r="22817" spans="17:17" x14ac:dyDescent="0.25">
      <c r="Q22817" s="8"/>
    </row>
    <row r="22818" spans="17:17" x14ac:dyDescent="0.25">
      <c r="Q22818" s="8"/>
    </row>
    <row r="22819" spans="17:17" x14ac:dyDescent="0.25">
      <c r="Q22819" s="8"/>
    </row>
    <row r="22820" spans="17:17" x14ac:dyDescent="0.25">
      <c r="Q22820" s="8"/>
    </row>
    <row r="22821" spans="17:17" x14ac:dyDescent="0.25">
      <c r="Q22821" s="8"/>
    </row>
    <row r="22822" spans="17:17" x14ac:dyDescent="0.25">
      <c r="Q22822" s="8"/>
    </row>
    <row r="22823" spans="17:17" x14ac:dyDescent="0.25">
      <c r="Q22823" s="8"/>
    </row>
    <row r="22824" spans="17:17" x14ac:dyDescent="0.25">
      <c r="Q22824" s="8"/>
    </row>
    <row r="22825" spans="17:17" x14ac:dyDescent="0.25">
      <c r="Q22825" s="8"/>
    </row>
    <row r="22826" spans="17:17" x14ac:dyDescent="0.25">
      <c r="Q22826" s="8"/>
    </row>
    <row r="22827" spans="17:17" x14ac:dyDescent="0.25">
      <c r="Q22827" s="8"/>
    </row>
    <row r="22828" spans="17:17" x14ac:dyDescent="0.25">
      <c r="Q22828" s="8"/>
    </row>
    <row r="22829" spans="17:17" x14ac:dyDescent="0.25">
      <c r="Q22829" s="8"/>
    </row>
    <row r="22830" spans="17:17" x14ac:dyDescent="0.25">
      <c r="Q22830" s="8"/>
    </row>
    <row r="22831" spans="17:17" x14ac:dyDescent="0.25">
      <c r="Q22831" s="8"/>
    </row>
    <row r="22832" spans="17:17" x14ac:dyDescent="0.25">
      <c r="Q22832" s="8"/>
    </row>
    <row r="22833" spans="17:17" x14ac:dyDescent="0.25">
      <c r="Q22833" s="8"/>
    </row>
    <row r="22834" spans="17:17" x14ac:dyDescent="0.25">
      <c r="Q22834" s="8"/>
    </row>
    <row r="22835" spans="17:17" x14ac:dyDescent="0.25">
      <c r="Q22835" s="8"/>
    </row>
    <row r="22836" spans="17:17" x14ac:dyDescent="0.25">
      <c r="Q22836" s="8"/>
    </row>
    <row r="22837" spans="17:17" x14ac:dyDescent="0.25">
      <c r="Q22837" s="8"/>
    </row>
    <row r="22838" spans="17:17" x14ac:dyDescent="0.25">
      <c r="Q22838" s="8"/>
    </row>
    <row r="22839" spans="17:17" x14ac:dyDescent="0.25">
      <c r="Q22839" s="8"/>
    </row>
    <row r="22840" spans="17:17" x14ac:dyDescent="0.25">
      <c r="Q22840" s="8"/>
    </row>
    <row r="22841" spans="17:17" x14ac:dyDescent="0.25">
      <c r="Q22841" s="8"/>
    </row>
    <row r="22842" spans="17:17" x14ac:dyDescent="0.25">
      <c r="Q22842" s="8"/>
    </row>
    <row r="22843" spans="17:17" x14ac:dyDescent="0.25">
      <c r="Q22843" s="8"/>
    </row>
    <row r="22844" spans="17:17" x14ac:dyDescent="0.25">
      <c r="Q22844" s="8"/>
    </row>
    <row r="22845" spans="17:17" x14ac:dyDescent="0.25">
      <c r="Q22845" s="8"/>
    </row>
    <row r="22846" spans="17:17" x14ac:dyDescent="0.25">
      <c r="Q22846" s="8"/>
    </row>
    <row r="22847" spans="17:17" x14ac:dyDescent="0.25">
      <c r="Q22847" s="8"/>
    </row>
    <row r="22848" spans="17:17" x14ac:dyDescent="0.25">
      <c r="Q22848" s="8"/>
    </row>
    <row r="22849" spans="17:17" x14ac:dyDescent="0.25">
      <c r="Q22849" s="8"/>
    </row>
    <row r="22850" spans="17:17" x14ac:dyDescent="0.25">
      <c r="Q22850" s="8"/>
    </row>
    <row r="22851" spans="17:17" x14ac:dyDescent="0.25">
      <c r="Q22851" s="8"/>
    </row>
    <row r="22852" spans="17:17" x14ac:dyDescent="0.25">
      <c r="Q22852" s="8"/>
    </row>
    <row r="22853" spans="17:17" x14ac:dyDescent="0.25">
      <c r="Q22853" s="8"/>
    </row>
    <row r="22854" spans="17:17" x14ac:dyDescent="0.25">
      <c r="Q22854" s="8"/>
    </row>
    <row r="22855" spans="17:17" x14ac:dyDescent="0.25">
      <c r="Q22855" s="8"/>
    </row>
    <row r="22856" spans="17:17" x14ac:dyDescent="0.25">
      <c r="Q22856" s="8"/>
    </row>
    <row r="22857" spans="17:17" x14ac:dyDescent="0.25">
      <c r="Q22857" s="8"/>
    </row>
    <row r="22858" spans="17:17" x14ac:dyDescent="0.25">
      <c r="Q22858" s="8"/>
    </row>
    <row r="22859" spans="17:17" x14ac:dyDescent="0.25">
      <c r="Q22859" s="8"/>
    </row>
    <row r="22860" spans="17:17" x14ac:dyDescent="0.25">
      <c r="Q22860" s="8"/>
    </row>
    <row r="22861" spans="17:17" x14ac:dyDescent="0.25">
      <c r="Q22861" s="8"/>
    </row>
    <row r="22862" spans="17:17" x14ac:dyDescent="0.25">
      <c r="Q22862" s="8"/>
    </row>
    <row r="22863" spans="17:17" x14ac:dyDescent="0.25">
      <c r="Q22863" s="8"/>
    </row>
    <row r="22864" spans="17:17" x14ac:dyDescent="0.25">
      <c r="Q22864" s="8"/>
    </row>
    <row r="22865" spans="17:17" x14ac:dyDescent="0.25">
      <c r="Q22865" s="8"/>
    </row>
    <row r="22866" spans="17:17" x14ac:dyDescent="0.25">
      <c r="Q22866" s="8"/>
    </row>
    <row r="22867" spans="17:17" x14ac:dyDescent="0.25">
      <c r="Q22867" s="8"/>
    </row>
    <row r="22868" spans="17:17" x14ac:dyDescent="0.25">
      <c r="Q22868" s="8"/>
    </row>
    <row r="22869" spans="17:17" x14ac:dyDescent="0.25">
      <c r="Q22869" s="8"/>
    </row>
    <row r="22870" spans="17:17" x14ac:dyDescent="0.25">
      <c r="Q22870" s="8"/>
    </row>
    <row r="22871" spans="17:17" x14ac:dyDescent="0.25">
      <c r="Q22871" s="8"/>
    </row>
    <row r="22872" spans="17:17" x14ac:dyDescent="0.25">
      <c r="Q22872" s="8"/>
    </row>
    <row r="22873" spans="17:17" x14ac:dyDescent="0.25">
      <c r="Q22873" s="8"/>
    </row>
    <row r="22874" spans="17:17" x14ac:dyDescent="0.25">
      <c r="Q22874" s="8"/>
    </row>
    <row r="22875" spans="17:17" x14ac:dyDescent="0.25">
      <c r="Q22875" s="8"/>
    </row>
    <row r="22876" spans="17:17" x14ac:dyDescent="0.25">
      <c r="Q22876" s="8"/>
    </row>
    <row r="22877" spans="17:17" x14ac:dyDescent="0.25">
      <c r="Q22877" s="8"/>
    </row>
    <row r="22878" spans="17:17" x14ac:dyDescent="0.25">
      <c r="Q22878" s="8"/>
    </row>
    <row r="22879" spans="17:17" x14ac:dyDescent="0.25">
      <c r="Q22879" s="8"/>
    </row>
    <row r="22880" spans="17:17" x14ac:dyDescent="0.25">
      <c r="Q22880" s="8"/>
    </row>
    <row r="22881" spans="17:17" x14ac:dyDescent="0.25">
      <c r="Q22881" s="8"/>
    </row>
    <row r="22882" spans="17:17" x14ac:dyDescent="0.25">
      <c r="Q22882" s="8"/>
    </row>
    <row r="22883" spans="17:17" x14ac:dyDescent="0.25">
      <c r="Q22883" s="8"/>
    </row>
    <row r="22884" spans="17:17" x14ac:dyDescent="0.25">
      <c r="Q22884" s="8"/>
    </row>
    <row r="22885" spans="17:17" x14ac:dyDescent="0.25">
      <c r="Q22885" s="8"/>
    </row>
    <row r="22886" spans="17:17" x14ac:dyDescent="0.25">
      <c r="Q22886" s="8"/>
    </row>
    <row r="22887" spans="17:17" x14ac:dyDescent="0.25">
      <c r="Q22887" s="8"/>
    </row>
    <row r="22888" spans="17:17" x14ac:dyDescent="0.25">
      <c r="Q22888" s="8"/>
    </row>
    <row r="22889" spans="17:17" x14ac:dyDescent="0.25">
      <c r="Q22889" s="8"/>
    </row>
    <row r="22890" spans="17:17" x14ac:dyDescent="0.25">
      <c r="Q22890" s="8"/>
    </row>
    <row r="22891" spans="17:17" x14ac:dyDescent="0.25">
      <c r="Q22891" s="8"/>
    </row>
    <row r="22892" spans="17:17" x14ac:dyDescent="0.25">
      <c r="Q22892" s="8"/>
    </row>
    <row r="22893" spans="17:17" x14ac:dyDescent="0.25">
      <c r="Q22893" s="8"/>
    </row>
    <row r="22894" spans="17:17" x14ac:dyDescent="0.25">
      <c r="Q22894" s="8"/>
    </row>
    <row r="22895" spans="17:17" x14ac:dyDescent="0.25">
      <c r="Q22895" s="8"/>
    </row>
    <row r="22896" spans="17:17" x14ac:dyDescent="0.25">
      <c r="Q22896" s="8"/>
    </row>
    <row r="22897" spans="17:17" x14ac:dyDescent="0.25">
      <c r="Q22897" s="8"/>
    </row>
    <row r="22898" spans="17:17" x14ac:dyDescent="0.25">
      <c r="Q22898" s="8"/>
    </row>
    <row r="22899" spans="17:17" x14ac:dyDescent="0.25">
      <c r="Q22899" s="8"/>
    </row>
    <row r="22900" spans="17:17" x14ac:dyDescent="0.25">
      <c r="Q22900" s="8"/>
    </row>
    <row r="22901" spans="17:17" x14ac:dyDescent="0.25">
      <c r="Q22901" s="8"/>
    </row>
    <row r="22902" spans="17:17" x14ac:dyDescent="0.25">
      <c r="Q22902" s="8"/>
    </row>
    <row r="22903" spans="17:17" x14ac:dyDescent="0.25">
      <c r="Q22903" s="8"/>
    </row>
    <row r="22904" spans="17:17" x14ac:dyDescent="0.25">
      <c r="Q22904" s="8"/>
    </row>
    <row r="22905" spans="17:17" x14ac:dyDescent="0.25">
      <c r="Q22905" s="8"/>
    </row>
    <row r="22906" spans="17:17" x14ac:dyDescent="0.25">
      <c r="Q22906" s="8"/>
    </row>
    <row r="22907" spans="17:17" x14ac:dyDescent="0.25">
      <c r="Q22907" s="8"/>
    </row>
    <row r="22908" spans="17:17" x14ac:dyDescent="0.25">
      <c r="Q22908" s="8"/>
    </row>
    <row r="22909" spans="17:17" x14ac:dyDescent="0.25">
      <c r="Q22909" s="8"/>
    </row>
    <row r="22910" spans="17:17" x14ac:dyDescent="0.25">
      <c r="Q22910" s="8"/>
    </row>
    <row r="22911" spans="17:17" x14ac:dyDescent="0.25">
      <c r="Q22911" s="8"/>
    </row>
    <row r="22912" spans="17:17" x14ac:dyDescent="0.25">
      <c r="Q22912" s="8"/>
    </row>
    <row r="22913" spans="17:17" x14ac:dyDescent="0.25">
      <c r="Q22913" s="8"/>
    </row>
    <row r="22914" spans="17:17" x14ac:dyDescent="0.25">
      <c r="Q22914" s="8"/>
    </row>
    <row r="22915" spans="17:17" x14ac:dyDescent="0.25">
      <c r="Q22915" s="8"/>
    </row>
    <row r="22916" spans="17:17" x14ac:dyDescent="0.25">
      <c r="Q22916" s="8"/>
    </row>
    <row r="22917" spans="17:17" x14ac:dyDescent="0.25">
      <c r="Q22917" s="8"/>
    </row>
    <row r="22918" spans="17:17" x14ac:dyDescent="0.25">
      <c r="Q22918" s="8"/>
    </row>
    <row r="22919" spans="17:17" x14ac:dyDescent="0.25">
      <c r="Q22919" s="8"/>
    </row>
    <row r="22920" spans="17:17" x14ac:dyDescent="0.25">
      <c r="Q22920" s="8"/>
    </row>
    <row r="22921" spans="17:17" x14ac:dyDescent="0.25">
      <c r="Q22921" s="8"/>
    </row>
    <row r="22922" spans="17:17" x14ac:dyDescent="0.25">
      <c r="Q22922" s="8"/>
    </row>
    <row r="22923" spans="17:17" x14ac:dyDescent="0.25">
      <c r="Q22923" s="8"/>
    </row>
    <row r="22924" spans="17:17" x14ac:dyDescent="0.25">
      <c r="Q22924" s="8"/>
    </row>
    <row r="22925" spans="17:17" x14ac:dyDescent="0.25">
      <c r="Q22925" s="8"/>
    </row>
    <row r="22926" spans="17:17" x14ac:dyDescent="0.25">
      <c r="Q22926" s="8"/>
    </row>
    <row r="22927" spans="17:17" x14ac:dyDescent="0.25">
      <c r="Q22927" s="8"/>
    </row>
    <row r="22928" spans="17:17" x14ac:dyDescent="0.25">
      <c r="Q22928" s="8"/>
    </row>
    <row r="22929" spans="17:17" x14ac:dyDescent="0.25">
      <c r="Q22929" s="8"/>
    </row>
    <row r="22930" spans="17:17" x14ac:dyDescent="0.25">
      <c r="Q22930" s="8"/>
    </row>
    <row r="22931" spans="17:17" x14ac:dyDescent="0.25">
      <c r="Q22931" s="8"/>
    </row>
    <row r="22932" spans="17:17" x14ac:dyDescent="0.25">
      <c r="Q22932" s="8"/>
    </row>
    <row r="22933" spans="17:17" x14ac:dyDescent="0.25">
      <c r="Q22933" s="8"/>
    </row>
    <row r="22934" spans="17:17" x14ac:dyDescent="0.25">
      <c r="Q22934" s="8"/>
    </row>
    <row r="22935" spans="17:17" x14ac:dyDescent="0.25">
      <c r="Q22935" s="8"/>
    </row>
    <row r="22936" spans="17:17" x14ac:dyDescent="0.25">
      <c r="Q22936" s="8"/>
    </row>
    <row r="22937" spans="17:17" x14ac:dyDescent="0.25">
      <c r="Q22937" s="8"/>
    </row>
    <row r="22938" spans="17:17" x14ac:dyDescent="0.25">
      <c r="Q22938" s="8"/>
    </row>
    <row r="22939" spans="17:17" x14ac:dyDescent="0.25">
      <c r="Q22939" s="8"/>
    </row>
    <row r="22940" spans="17:17" x14ac:dyDescent="0.25">
      <c r="Q22940" s="8"/>
    </row>
    <row r="22941" spans="17:17" x14ac:dyDescent="0.25">
      <c r="Q22941" s="8"/>
    </row>
    <row r="22942" spans="17:17" x14ac:dyDescent="0.25">
      <c r="Q22942" s="8"/>
    </row>
    <row r="22943" spans="17:17" x14ac:dyDescent="0.25">
      <c r="Q22943" s="8"/>
    </row>
    <row r="22944" spans="17:17" x14ac:dyDescent="0.25">
      <c r="Q22944" s="8"/>
    </row>
    <row r="22945" spans="17:17" x14ac:dyDescent="0.25">
      <c r="Q22945" s="8"/>
    </row>
    <row r="22946" spans="17:17" x14ac:dyDescent="0.25">
      <c r="Q22946" s="8"/>
    </row>
    <row r="22947" spans="17:17" x14ac:dyDescent="0.25">
      <c r="Q22947" s="8"/>
    </row>
    <row r="22948" spans="17:17" x14ac:dyDescent="0.25">
      <c r="Q22948" s="8"/>
    </row>
    <row r="22949" spans="17:17" x14ac:dyDescent="0.25">
      <c r="Q22949" s="8"/>
    </row>
    <row r="22950" spans="17:17" x14ac:dyDescent="0.25">
      <c r="Q22950" s="8"/>
    </row>
    <row r="22951" spans="17:17" x14ac:dyDescent="0.25">
      <c r="Q22951" s="8"/>
    </row>
    <row r="22952" spans="17:17" x14ac:dyDescent="0.25">
      <c r="Q22952" s="8"/>
    </row>
    <row r="22953" spans="17:17" x14ac:dyDescent="0.25">
      <c r="Q22953" s="8"/>
    </row>
    <row r="22954" spans="17:17" x14ac:dyDescent="0.25">
      <c r="Q22954" s="8"/>
    </row>
    <row r="22955" spans="17:17" x14ac:dyDescent="0.25">
      <c r="Q22955" s="8"/>
    </row>
    <row r="22956" spans="17:17" x14ac:dyDescent="0.25">
      <c r="Q22956" s="8"/>
    </row>
    <row r="22957" spans="17:17" x14ac:dyDescent="0.25">
      <c r="Q22957" s="8"/>
    </row>
    <row r="22958" spans="17:17" x14ac:dyDescent="0.25">
      <c r="Q22958" s="8"/>
    </row>
    <row r="22959" spans="17:17" x14ac:dyDescent="0.25">
      <c r="Q22959" s="8"/>
    </row>
    <row r="22960" spans="17:17" x14ac:dyDescent="0.25">
      <c r="Q22960" s="8"/>
    </row>
    <row r="22961" spans="17:17" x14ac:dyDescent="0.25">
      <c r="Q22961" s="8"/>
    </row>
    <row r="22962" spans="17:17" x14ac:dyDescent="0.25">
      <c r="Q22962" s="8"/>
    </row>
    <row r="22963" spans="17:17" x14ac:dyDescent="0.25">
      <c r="Q22963" s="8"/>
    </row>
    <row r="22964" spans="17:17" x14ac:dyDescent="0.25">
      <c r="Q22964" s="8"/>
    </row>
    <row r="22965" spans="17:17" x14ac:dyDescent="0.25">
      <c r="Q22965" s="8"/>
    </row>
    <row r="22966" spans="17:17" x14ac:dyDescent="0.25">
      <c r="Q22966" s="8"/>
    </row>
    <row r="22967" spans="17:17" x14ac:dyDescent="0.25">
      <c r="Q22967" s="8"/>
    </row>
    <row r="22968" spans="17:17" x14ac:dyDescent="0.25">
      <c r="Q22968" s="8"/>
    </row>
    <row r="22969" spans="17:17" x14ac:dyDescent="0.25">
      <c r="Q22969" s="8"/>
    </row>
    <row r="22970" spans="17:17" x14ac:dyDescent="0.25">
      <c r="Q22970" s="8"/>
    </row>
    <row r="22971" spans="17:17" x14ac:dyDescent="0.25">
      <c r="Q22971" s="8"/>
    </row>
    <row r="22972" spans="17:17" x14ac:dyDescent="0.25">
      <c r="Q22972" s="8"/>
    </row>
    <row r="22973" spans="17:17" x14ac:dyDescent="0.25">
      <c r="Q22973" s="8"/>
    </row>
    <row r="22974" spans="17:17" x14ac:dyDescent="0.25">
      <c r="Q22974" s="8"/>
    </row>
    <row r="22975" spans="17:17" x14ac:dyDescent="0.25">
      <c r="Q22975" s="8"/>
    </row>
    <row r="22976" spans="17:17" x14ac:dyDescent="0.25">
      <c r="Q22976" s="8"/>
    </row>
    <row r="22977" spans="17:17" x14ac:dyDescent="0.25">
      <c r="Q22977" s="8"/>
    </row>
    <row r="22978" spans="17:17" x14ac:dyDescent="0.25">
      <c r="Q22978" s="8"/>
    </row>
    <row r="22979" spans="17:17" x14ac:dyDescent="0.25">
      <c r="Q22979" s="8"/>
    </row>
    <row r="22980" spans="17:17" x14ac:dyDescent="0.25">
      <c r="Q22980" s="8"/>
    </row>
    <row r="22981" spans="17:17" x14ac:dyDescent="0.25">
      <c r="Q22981" s="8"/>
    </row>
    <row r="22982" spans="17:17" x14ac:dyDescent="0.25">
      <c r="Q22982" s="8"/>
    </row>
    <row r="22983" spans="17:17" x14ac:dyDescent="0.25">
      <c r="Q22983" s="8"/>
    </row>
    <row r="22984" spans="17:17" x14ac:dyDescent="0.25">
      <c r="Q22984" s="8"/>
    </row>
    <row r="22985" spans="17:17" x14ac:dyDescent="0.25">
      <c r="Q22985" s="8"/>
    </row>
    <row r="22986" spans="17:17" x14ac:dyDescent="0.25">
      <c r="Q22986" s="8"/>
    </row>
    <row r="22987" spans="17:17" x14ac:dyDescent="0.25">
      <c r="Q22987" s="8"/>
    </row>
    <row r="22988" spans="17:17" x14ac:dyDescent="0.25">
      <c r="Q22988" s="8"/>
    </row>
    <row r="22989" spans="17:17" x14ac:dyDescent="0.25">
      <c r="Q22989" s="8"/>
    </row>
    <row r="22990" spans="17:17" x14ac:dyDescent="0.25">
      <c r="Q22990" s="8"/>
    </row>
    <row r="22991" spans="17:17" x14ac:dyDescent="0.25">
      <c r="Q22991" s="8"/>
    </row>
    <row r="22992" spans="17:17" x14ac:dyDescent="0.25">
      <c r="Q22992" s="8"/>
    </row>
    <row r="22993" spans="17:17" x14ac:dyDescent="0.25">
      <c r="Q22993" s="8"/>
    </row>
    <row r="22994" spans="17:17" x14ac:dyDescent="0.25">
      <c r="Q22994" s="8"/>
    </row>
    <row r="22995" spans="17:17" x14ac:dyDescent="0.25">
      <c r="Q22995" s="8"/>
    </row>
    <row r="22996" spans="17:17" x14ac:dyDescent="0.25">
      <c r="Q22996" s="8"/>
    </row>
    <row r="22997" spans="17:17" x14ac:dyDescent="0.25">
      <c r="Q22997" s="8"/>
    </row>
    <row r="22998" spans="17:17" x14ac:dyDescent="0.25">
      <c r="Q22998" s="8"/>
    </row>
    <row r="22999" spans="17:17" x14ac:dyDescent="0.25">
      <c r="Q22999" s="8"/>
    </row>
    <row r="23000" spans="17:17" x14ac:dyDescent="0.25">
      <c r="Q23000" s="8"/>
    </row>
    <row r="23001" spans="17:17" x14ac:dyDescent="0.25">
      <c r="Q23001" s="8"/>
    </row>
    <row r="23002" spans="17:17" x14ac:dyDescent="0.25">
      <c r="Q23002" s="8"/>
    </row>
    <row r="23003" spans="17:17" x14ac:dyDescent="0.25">
      <c r="Q23003" s="8"/>
    </row>
    <row r="23004" spans="17:17" x14ac:dyDescent="0.25">
      <c r="Q23004" s="8"/>
    </row>
    <row r="23005" spans="17:17" x14ac:dyDescent="0.25">
      <c r="Q23005" s="8"/>
    </row>
    <row r="23006" spans="17:17" x14ac:dyDescent="0.25">
      <c r="Q23006" s="8"/>
    </row>
    <row r="23007" spans="17:17" x14ac:dyDescent="0.25">
      <c r="Q23007" s="8"/>
    </row>
    <row r="23008" spans="17:17" x14ac:dyDescent="0.25">
      <c r="Q23008" s="8"/>
    </row>
    <row r="23009" spans="17:17" x14ac:dyDescent="0.25">
      <c r="Q23009" s="8"/>
    </row>
    <row r="23010" spans="17:17" x14ac:dyDescent="0.25">
      <c r="Q23010" s="8"/>
    </row>
    <row r="23011" spans="17:17" x14ac:dyDescent="0.25">
      <c r="Q23011" s="8"/>
    </row>
    <row r="23012" spans="17:17" x14ac:dyDescent="0.25">
      <c r="Q23012" s="8"/>
    </row>
    <row r="23013" spans="17:17" x14ac:dyDescent="0.25">
      <c r="Q23013" s="8"/>
    </row>
    <row r="23014" spans="17:17" x14ac:dyDescent="0.25">
      <c r="Q23014" s="8"/>
    </row>
    <row r="23015" spans="17:17" x14ac:dyDescent="0.25">
      <c r="Q23015" s="8"/>
    </row>
    <row r="23016" spans="17:17" x14ac:dyDescent="0.25">
      <c r="Q23016" s="8"/>
    </row>
    <row r="23017" spans="17:17" x14ac:dyDescent="0.25">
      <c r="Q23017" s="8"/>
    </row>
    <row r="23018" spans="17:17" x14ac:dyDescent="0.25">
      <c r="Q23018" s="8"/>
    </row>
    <row r="23019" spans="17:17" x14ac:dyDescent="0.25">
      <c r="Q23019" s="8"/>
    </row>
    <row r="23020" spans="17:17" x14ac:dyDescent="0.25">
      <c r="Q23020" s="8"/>
    </row>
    <row r="23021" spans="17:17" x14ac:dyDescent="0.25">
      <c r="Q23021" s="8"/>
    </row>
    <row r="23022" spans="17:17" x14ac:dyDescent="0.25">
      <c r="Q23022" s="8"/>
    </row>
    <row r="23023" spans="17:17" x14ac:dyDescent="0.25">
      <c r="Q23023" s="8"/>
    </row>
    <row r="23024" spans="17:17" x14ac:dyDescent="0.25">
      <c r="Q23024" s="8"/>
    </row>
    <row r="23025" spans="17:17" x14ac:dyDescent="0.25">
      <c r="Q23025" s="8"/>
    </row>
    <row r="23026" spans="17:17" x14ac:dyDescent="0.25">
      <c r="Q23026" s="8"/>
    </row>
    <row r="23027" spans="17:17" x14ac:dyDescent="0.25">
      <c r="Q23027" s="8"/>
    </row>
    <row r="23028" spans="17:17" x14ac:dyDescent="0.25">
      <c r="Q23028" s="8"/>
    </row>
    <row r="23029" spans="17:17" x14ac:dyDescent="0.25">
      <c r="Q23029" s="8"/>
    </row>
    <row r="23030" spans="17:17" x14ac:dyDescent="0.25">
      <c r="Q23030" s="8"/>
    </row>
    <row r="23031" spans="17:17" x14ac:dyDescent="0.25">
      <c r="Q23031" s="8"/>
    </row>
    <row r="23032" spans="17:17" x14ac:dyDescent="0.25">
      <c r="Q23032" s="8"/>
    </row>
    <row r="23033" spans="17:17" x14ac:dyDescent="0.25">
      <c r="Q23033" s="8"/>
    </row>
    <row r="23034" spans="17:17" x14ac:dyDescent="0.25">
      <c r="Q23034" s="8"/>
    </row>
    <row r="23035" spans="17:17" x14ac:dyDescent="0.25">
      <c r="Q23035" s="8"/>
    </row>
    <row r="23036" spans="17:17" x14ac:dyDescent="0.25">
      <c r="Q23036" s="8"/>
    </row>
    <row r="23037" spans="17:17" x14ac:dyDescent="0.25">
      <c r="Q23037" s="8"/>
    </row>
    <row r="23038" spans="17:17" x14ac:dyDescent="0.25">
      <c r="Q23038" s="8"/>
    </row>
    <row r="23039" spans="17:17" x14ac:dyDescent="0.25">
      <c r="Q23039" s="8"/>
    </row>
    <row r="23040" spans="17:17" x14ac:dyDescent="0.25">
      <c r="Q23040" s="8"/>
    </row>
    <row r="23041" spans="17:17" x14ac:dyDescent="0.25">
      <c r="Q23041" s="8"/>
    </row>
    <row r="23042" spans="17:17" x14ac:dyDescent="0.25">
      <c r="Q23042" s="8"/>
    </row>
    <row r="23043" spans="17:17" x14ac:dyDescent="0.25">
      <c r="Q23043" s="8"/>
    </row>
    <row r="23044" spans="17:17" x14ac:dyDescent="0.25">
      <c r="Q23044" s="8"/>
    </row>
    <row r="23045" spans="17:17" x14ac:dyDescent="0.25">
      <c r="Q23045" s="8"/>
    </row>
    <row r="23046" spans="17:17" x14ac:dyDescent="0.25">
      <c r="Q23046" s="8"/>
    </row>
    <row r="23047" spans="17:17" x14ac:dyDescent="0.25">
      <c r="Q23047" s="8"/>
    </row>
    <row r="23048" spans="17:17" x14ac:dyDescent="0.25">
      <c r="Q23048" s="8"/>
    </row>
    <row r="23049" spans="17:17" x14ac:dyDescent="0.25">
      <c r="Q23049" s="8"/>
    </row>
    <row r="23050" spans="17:17" x14ac:dyDescent="0.25">
      <c r="Q23050" s="8"/>
    </row>
    <row r="23051" spans="17:17" x14ac:dyDescent="0.25">
      <c r="Q23051" s="8"/>
    </row>
    <row r="23052" spans="17:17" x14ac:dyDescent="0.25">
      <c r="Q23052" s="8"/>
    </row>
    <row r="23053" spans="17:17" x14ac:dyDescent="0.25">
      <c r="Q23053" s="8"/>
    </row>
    <row r="23054" spans="17:17" x14ac:dyDescent="0.25">
      <c r="Q23054" s="8"/>
    </row>
    <row r="23055" spans="17:17" x14ac:dyDescent="0.25">
      <c r="Q23055" s="8"/>
    </row>
    <row r="23056" spans="17:17" x14ac:dyDescent="0.25">
      <c r="Q23056" s="8"/>
    </row>
    <row r="23057" spans="17:17" x14ac:dyDescent="0.25">
      <c r="Q23057" s="8"/>
    </row>
    <row r="23058" spans="17:17" x14ac:dyDescent="0.25">
      <c r="Q23058" s="8"/>
    </row>
    <row r="23059" spans="17:17" x14ac:dyDescent="0.25">
      <c r="Q23059" s="8"/>
    </row>
    <row r="23060" spans="17:17" x14ac:dyDescent="0.25">
      <c r="Q23060" s="8"/>
    </row>
    <row r="23061" spans="17:17" x14ac:dyDescent="0.25">
      <c r="Q23061" s="8"/>
    </row>
    <row r="23062" spans="17:17" x14ac:dyDescent="0.25">
      <c r="Q23062" s="8"/>
    </row>
    <row r="23063" spans="17:17" x14ac:dyDescent="0.25">
      <c r="Q23063" s="8"/>
    </row>
    <row r="23064" spans="17:17" x14ac:dyDescent="0.25">
      <c r="Q23064" s="8"/>
    </row>
    <row r="23065" spans="17:17" x14ac:dyDescent="0.25">
      <c r="Q23065" s="8"/>
    </row>
    <row r="23066" spans="17:17" x14ac:dyDescent="0.25">
      <c r="Q23066" s="8"/>
    </row>
    <row r="23067" spans="17:17" x14ac:dyDescent="0.25">
      <c r="Q23067" s="8"/>
    </row>
    <row r="23068" spans="17:17" x14ac:dyDescent="0.25">
      <c r="Q23068" s="8"/>
    </row>
    <row r="23069" spans="17:17" x14ac:dyDescent="0.25">
      <c r="Q23069" s="8"/>
    </row>
    <row r="23070" spans="17:17" x14ac:dyDescent="0.25">
      <c r="Q23070" s="8"/>
    </row>
    <row r="23071" spans="17:17" x14ac:dyDescent="0.25">
      <c r="Q23071" s="8"/>
    </row>
    <row r="23072" spans="17:17" x14ac:dyDescent="0.25">
      <c r="Q23072" s="8"/>
    </row>
    <row r="23073" spans="17:17" x14ac:dyDescent="0.25">
      <c r="Q23073" s="8"/>
    </row>
    <row r="23074" spans="17:17" x14ac:dyDescent="0.25">
      <c r="Q23074" s="8"/>
    </row>
    <row r="23075" spans="17:17" x14ac:dyDescent="0.25">
      <c r="Q23075" s="8"/>
    </row>
    <row r="23076" spans="17:17" x14ac:dyDescent="0.25">
      <c r="Q23076" s="8"/>
    </row>
    <row r="23077" spans="17:17" x14ac:dyDescent="0.25">
      <c r="Q23077" s="8"/>
    </row>
    <row r="23078" spans="17:17" x14ac:dyDescent="0.25">
      <c r="Q23078" s="8"/>
    </row>
    <row r="23079" spans="17:17" x14ac:dyDescent="0.25">
      <c r="Q23079" s="8"/>
    </row>
    <row r="23080" spans="17:17" x14ac:dyDescent="0.25">
      <c r="Q23080" s="8"/>
    </row>
    <row r="23081" spans="17:17" x14ac:dyDescent="0.25">
      <c r="Q23081" s="8"/>
    </row>
    <row r="23082" spans="17:17" x14ac:dyDescent="0.25">
      <c r="Q23082" s="8"/>
    </row>
    <row r="23083" spans="17:17" x14ac:dyDescent="0.25">
      <c r="Q23083" s="8"/>
    </row>
    <row r="23084" spans="17:17" x14ac:dyDescent="0.25">
      <c r="Q23084" s="8"/>
    </row>
    <row r="23085" spans="17:17" x14ac:dyDescent="0.25">
      <c r="Q23085" s="8"/>
    </row>
    <row r="23086" spans="17:17" x14ac:dyDescent="0.25">
      <c r="Q23086" s="8"/>
    </row>
    <row r="23087" spans="17:17" x14ac:dyDescent="0.25">
      <c r="Q23087" s="8"/>
    </row>
    <row r="23088" spans="17:17" x14ac:dyDescent="0.25">
      <c r="Q23088" s="8"/>
    </row>
    <row r="23089" spans="17:17" x14ac:dyDescent="0.25">
      <c r="Q23089" s="8"/>
    </row>
    <row r="23090" spans="17:17" x14ac:dyDescent="0.25">
      <c r="Q23090" s="8"/>
    </row>
    <row r="23091" spans="17:17" x14ac:dyDescent="0.25">
      <c r="Q23091" s="8"/>
    </row>
    <row r="23092" spans="17:17" x14ac:dyDescent="0.25">
      <c r="Q23092" s="8"/>
    </row>
    <row r="23093" spans="17:17" x14ac:dyDescent="0.25">
      <c r="Q23093" s="8"/>
    </row>
    <row r="23094" spans="17:17" x14ac:dyDescent="0.25">
      <c r="Q23094" s="8"/>
    </row>
    <row r="23095" spans="17:17" x14ac:dyDescent="0.25">
      <c r="Q23095" s="8"/>
    </row>
    <row r="23096" spans="17:17" x14ac:dyDescent="0.25">
      <c r="Q23096" s="8"/>
    </row>
    <row r="23097" spans="17:17" x14ac:dyDescent="0.25">
      <c r="Q23097" s="8"/>
    </row>
    <row r="23098" spans="17:17" x14ac:dyDescent="0.25">
      <c r="Q23098" s="8"/>
    </row>
    <row r="23099" spans="17:17" x14ac:dyDescent="0.25">
      <c r="Q23099" s="8"/>
    </row>
    <row r="23100" spans="17:17" x14ac:dyDescent="0.25">
      <c r="Q23100" s="8"/>
    </row>
    <row r="23101" spans="17:17" x14ac:dyDescent="0.25">
      <c r="Q23101" s="8"/>
    </row>
    <row r="23102" spans="17:17" x14ac:dyDescent="0.25">
      <c r="Q23102" s="8"/>
    </row>
    <row r="23103" spans="17:17" x14ac:dyDescent="0.25">
      <c r="Q23103" s="8"/>
    </row>
    <row r="23104" spans="17:17" x14ac:dyDescent="0.25">
      <c r="Q23104" s="8"/>
    </row>
    <row r="23105" spans="17:17" x14ac:dyDescent="0.25">
      <c r="Q23105" s="8"/>
    </row>
    <row r="23106" spans="17:17" x14ac:dyDescent="0.25">
      <c r="Q23106" s="8"/>
    </row>
    <row r="23107" spans="17:17" x14ac:dyDescent="0.25">
      <c r="Q23107" s="8"/>
    </row>
    <row r="23108" spans="17:17" x14ac:dyDescent="0.25">
      <c r="Q23108" s="8"/>
    </row>
    <row r="23109" spans="17:17" x14ac:dyDescent="0.25">
      <c r="Q23109" s="8"/>
    </row>
    <row r="23110" spans="17:17" x14ac:dyDescent="0.25">
      <c r="Q23110" s="8"/>
    </row>
    <row r="23111" spans="17:17" x14ac:dyDescent="0.25">
      <c r="Q23111" s="8"/>
    </row>
    <row r="23112" spans="17:17" x14ac:dyDescent="0.25">
      <c r="Q23112" s="8"/>
    </row>
    <row r="23113" spans="17:17" x14ac:dyDescent="0.25">
      <c r="Q23113" s="8"/>
    </row>
    <row r="23114" spans="17:17" x14ac:dyDescent="0.25">
      <c r="Q23114" s="8"/>
    </row>
    <row r="23115" spans="17:17" x14ac:dyDescent="0.25">
      <c r="Q23115" s="8"/>
    </row>
    <row r="23116" spans="17:17" x14ac:dyDescent="0.25">
      <c r="Q23116" s="8"/>
    </row>
    <row r="23117" spans="17:17" x14ac:dyDescent="0.25">
      <c r="Q23117" s="8"/>
    </row>
    <row r="23118" spans="17:17" x14ac:dyDescent="0.25">
      <c r="Q23118" s="8"/>
    </row>
    <row r="23119" spans="17:17" x14ac:dyDescent="0.25">
      <c r="Q23119" s="8"/>
    </row>
    <row r="23120" spans="17:17" x14ac:dyDescent="0.25">
      <c r="Q23120" s="8"/>
    </row>
    <row r="23121" spans="17:17" x14ac:dyDescent="0.25">
      <c r="Q23121" s="8"/>
    </row>
    <row r="23122" spans="17:17" x14ac:dyDescent="0.25">
      <c r="Q23122" s="8"/>
    </row>
    <row r="23123" spans="17:17" x14ac:dyDescent="0.25">
      <c r="Q23123" s="8"/>
    </row>
    <row r="23124" spans="17:17" x14ac:dyDescent="0.25">
      <c r="Q23124" s="8"/>
    </row>
    <row r="23125" spans="17:17" x14ac:dyDescent="0.25">
      <c r="Q23125" s="8"/>
    </row>
    <row r="23126" spans="17:17" x14ac:dyDescent="0.25">
      <c r="Q23126" s="8"/>
    </row>
    <row r="23127" spans="17:17" x14ac:dyDescent="0.25">
      <c r="Q23127" s="8"/>
    </row>
    <row r="23128" spans="17:17" x14ac:dyDescent="0.25">
      <c r="Q23128" s="8"/>
    </row>
    <row r="23129" spans="17:17" x14ac:dyDescent="0.25">
      <c r="Q23129" s="8"/>
    </row>
    <row r="23130" spans="17:17" x14ac:dyDescent="0.25">
      <c r="Q23130" s="8"/>
    </row>
    <row r="23131" spans="17:17" x14ac:dyDescent="0.25">
      <c r="Q23131" s="8"/>
    </row>
    <row r="23132" spans="17:17" x14ac:dyDescent="0.25">
      <c r="Q23132" s="8"/>
    </row>
    <row r="23133" spans="17:17" x14ac:dyDescent="0.25">
      <c r="Q23133" s="8"/>
    </row>
    <row r="23134" spans="17:17" x14ac:dyDescent="0.25">
      <c r="Q23134" s="8"/>
    </row>
    <row r="23135" spans="17:17" x14ac:dyDescent="0.25">
      <c r="Q23135" s="8"/>
    </row>
    <row r="23136" spans="17:17" x14ac:dyDescent="0.25">
      <c r="Q23136" s="8"/>
    </row>
    <row r="23137" spans="17:17" x14ac:dyDescent="0.25">
      <c r="Q23137" s="8"/>
    </row>
    <row r="23138" spans="17:17" x14ac:dyDescent="0.25">
      <c r="Q23138" s="8"/>
    </row>
    <row r="23139" spans="17:17" x14ac:dyDescent="0.25">
      <c r="Q23139" s="8"/>
    </row>
    <row r="23140" spans="17:17" x14ac:dyDescent="0.25">
      <c r="Q23140" s="8"/>
    </row>
    <row r="23141" spans="17:17" x14ac:dyDescent="0.25">
      <c r="Q23141" s="8"/>
    </row>
    <row r="23142" spans="17:17" x14ac:dyDescent="0.25">
      <c r="Q23142" s="8"/>
    </row>
    <row r="23143" spans="17:17" x14ac:dyDescent="0.25">
      <c r="Q23143" s="8"/>
    </row>
    <row r="23144" spans="17:17" x14ac:dyDescent="0.25">
      <c r="Q23144" s="8"/>
    </row>
    <row r="23145" spans="17:17" x14ac:dyDescent="0.25">
      <c r="Q23145" s="8"/>
    </row>
    <row r="23146" spans="17:17" x14ac:dyDescent="0.25">
      <c r="Q23146" s="8"/>
    </row>
    <row r="23147" spans="17:17" x14ac:dyDescent="0.25">
      <c r="Q23147" s="8"/>
    </row>
    <row r="23148" spans="17:17" x14ac:dyDescent="0.25">
      <c r="Q23148" s="8"/>
    </row>
    <row r="23149" spans="17:17" x14ac:dyDescent="0.25">
      <c r="Q23149" s="8"/>
    </row>
    <row r="23150" spans="17:17" x14ac:dyDescent="0.25">
      <c r="Q23150" s="8"/>
    </row>
    <row r="23151" spans="17:17" x14ac:dyDescent="0.25">
      <c r="Q23151" s="8"/>
    </row>
    <row r="23152" spans="17:17" x14ac:dyDescent="0.25">
      <c r="Q23152" s="8"/>
    </row>
    <row r="23153" spans="17:17" x14ac:dyDescent="0.25">
      <c r="Q23153" s="8"/>
    </row>
    <row r="23154" spans="17:17" x14ac:dyDescent="0.25">
      <c r="Q23154" s="8"/>
    </row>
    <row r="23155" spans="17:17" x14ac:dyDescent="0.25">
      <c r="Q23155" s="8"/>
    </row>
    <row r="23156" spans="17:17" x14ac:dyDescent="0.25">
      <c r="Q23156" s="8"/>
    </row>
    <row r="23157" spans="17:17" x14ac:dyDescent="0.25">
      <c r="Q23157" s="8"/>
    </row>
    <row r="23158" spans="17:17" x14ac:dyDescent="0.25">
      <c r="Q23158" s="8"/>
    </row>
    <row r="23159" spans="17:17" x14ac:dyDescent="0.25">
      <c r="Q23159" s="8"/>
    </row>
    <row r="23160" spans="17:17" x14ac:dyDescent="0.25">
      <c r="Q23160" s="8"/>
    </row>
    <row r="23161" spans="17:17" x14ac:dyDescent="0.25">
      <c r="Q23161" s="8"/>
    </row>
    <row r="23162" spans="17:17" x14ac:dyDescent="0.25">
      <c r="Q23162" s="8"/>
    </row>
    <row r="23163" spans="17:17" x14ac:dyDescent="0.25">
      <c r="Q23163" s="8"/>
    </row>
    <row r="23164" spans="17:17" x14ac:dyDescent="0.25">
      <c r="Q23164" s="8"/>
    </row>
    <row r="23165" spans="17:17" x14ac:dyDescent="0.25">
      <c r="Q23165" s="8"/>
    </row>
    <row r="23166" spans="17:17" x14ac:dyDescent="0.25">
      <c r="Q23166" s="8"/>
    </row>
    <row r="23167" spans="17:17" x14ac:dyDescent="0.25">
      <c r="Q23167" s="8"/>
    </row>
    <row r="23168" spans="17:17" x14ac:dyDescent="0.25">
      <c r="Q23168" s="8"/>
    </row>
    <row r="23169" spans="17:17" x14ac:dyDescent="0.25">
      <c r="Q23169" s="8"/>
    </row>
    <row r="23170" spans="17:17" x14ac:dyDescent="0.25">
      <c r="Q23170" s="8"/>
    </row>
    <row r="23171" spans="17:17" x14ac:dyDescent="0.25">
      <c r="Q23171" s="8"/>
    </row>
    <row r="23172" spans="17:17" x14ac:dyDescent="0.25">
      <c r="Q23172" s="8"/>
    </row>
    <row r="23173" spans="17:17" x14ac:dyDescent="0.25">
      <c r="Q23173" s="8"/>
    </row>
    <row r="23174" spans="17:17" x14ac:dyDescent="0.25">
      <c r="Q23174" s="8"/>
    </row>
    <row r="23175" spans="17:17" x14ac:dyDescent="0.25">
      <c r="Q23175" s="8"/>
    </row>
    <row r="23176" spans="17:17" x14ac:dyDescent="0.25">
      <c r="Q23176" s="8"/>
    </row>
    <row r="23177" spans="17:17" x14ac:dyDescent="0.25">
      <c r="Q23177" s="8"/>
    </row>
    <row r="23178" spans="17:17" x14ac:dyDescent="0.25">
      <c r="Q23178" s="8"/>
    </row>
    <row r="23179" spans="17:17" x14ac:dyDescent="0.25">
      <c r="Q23179" s="8"/>
    </row>
    <row r="23180" spans="17:17" x14ac:dyDescent="0.25">
      <c r="Q23180" s="8"/>
    </row>
    <row r="23181" spans="17:17" x14ac:dyDescent="0.25">
      <c r="Q23181" s="8"/>
    </row>
    <row r="23182" spans="17:17" x14ac:dyDescent="0.25">
      <c r="Q23182" s="8"/>
    </row>
    <row r="23183" spans="17:17" x14ac:dyDescent="0.25">
      <c r="Q23183" s="8"/>
    </row>
    <row r="23184" spans="17:17" x14ac:dyDescent="0.25">
      <c r="Q23184" s="8"/>
    </row>
    <row r="23185" spans="17:17" x14ac:dyDescent="0.25">
      <c r="Q23185" s="8"/>
    </row>
    <row r="23186" spans="17:17" x14ac:dyDescent="0.25">
      <c r="Q23186" s="8"/>
    </row>
    <row r="23187" spans="17:17" x14ac:dyDescent="0.25">
      <c r="Q23187" s="8"/>
    </row>
    <row r="23188" spans="17:17" x14ac:dyDescent="0.25">
      <c r="Q23188" s="8"/>
    </row>
    <row r="23189" spans="17:17" x14ac:dyDescent="0.25">
      <c r="Q23189" s="8"/>
    </row>
    <row r="23190" spans="17:17" x14ac:dyDescent="0.25">
      <c r="Q23190" s="8"/>
    </row>
    <row r="23191" spans="17:17" x14ac:dyDescent="0.25">
      <c r="Q23191" s="8"/>
    </row>
    <row r="23192" spans="17:17" x14ac:dyDescent="0.25">
      <c r="Q23192" s="8"/>
    </row>
    <row r="23193" spans="17:17" x14ac:dyDescent="0.25">
      <c r="Q23193" s="8"/>
    </row>
    <row r="23194" spans="17:17" x14ac:dyDescent="0.25">
      <c r="Q23194" s="8"/>
    </row>
    <row r="23195" spans="17:17" x14ac:dyDescent="0.25">
      <c r="Q23195" s="8"/>
    </row>
    <row r="23196" spans="17:17" x14ac:dyDescent="0.25">
      <c r="Q23196" s="8"/>
    </row>
    <row r="23197" spans="17:17" x14ac:dyDescent="0.25">
      <c r="Q23197" s="8"/>
    </row>
    <row r="23198" spans="17:17" x14ac:dyDescent="0.25">
      <c r="Q23198" s="8"/>
    </row>
    <row r="23199" spans="17:17" x14ac:dyDescent="0.25">
      <c r="Q23199" s="8"/>
    </row>
    <row r="23200" spans="17:17" x14ac:dyDescent="0.25">
      <c r="Q23200" s="8"/>
    </row>
    <row r="23201" spans="17:17" x14ac:dyDescent="0.25">
      <c r="Q23201" s="8"/>
    </row>
    <row r="23202" spans="17:17" x14ac:dyDescent="0.25">
      <c r="Q23202" s="8"/>
    </row>
    <row r="23203" spans="17:17" x14ac:dyDescent="0.25">
      <c r="Q23203" s="8"/>
    </row>
    <row r="23204" spans="17:17" x14ac:dyDescent="0.25">
      <c r="Q23204" s="8"/>
    </row>
    <row r="23205" spans="17:17" x14ac:dyDescent="0.25">
      <c r="Q23205" s="8"/>
    </row>
    <row r="23206" spans="17:17" x14ac:dyDescent="0.25">
      <c r="Q23206" s="8"/>
    </row>
    <row r="23207" spans="17:17" x14ac:dyDescent="0.25">
      <c r="Q23207" s="8"/>
    </row>
    <row r="23208" spans="17:17" x14ac:dyDescent="0.25">
      <c r="Q23208" s="8"/>
    </row>
    <row r="23209" spans="17:17" x14ac:dyDescent="0.25">
      <c r="Q23209" s="8"/>
    </row>
    <row r="23210" spans="17:17" x14ac:dyDescent="0.25">
      <c r="Q23210" s="8"/>
    </row>
    <row r="23211" spans="17:17" x14ac:dyDescent="0.25">
      <c r="Q23211" s="8"/>
    </row>
    <row r="23212" spans="17:17" x14ac:dyDescent="0.25">
      <c r="Q23212" s="8"/>
    </row>
    <row r="23213" spans="17:17" x14ac:dyDescent="0.25">
      <c r="Q23213" s="8"/>
    </row>
    <row r="23214" spans="17:17" x14ac:dyDescent="0.25">
      <c r="Q23214" s="8"/>
    </row>
    <row r="23215" spans="17:17" x14ac:dyDescent="0.25">
      <c r="Q23215" s="8"/>
    </row>
    <row r="23216" spans="17:17" x14ac:dyDescent="0.25">
      <c r="Q23216" s="8"/>
    </row>
    <row r="23217" spans="17:17" x14ac:dyDescent="0.25">
      <c r="Q23217" s="8"/>
    </row>
    <row r="23218" spans="17:17" x14ac:dyDescent="0.25">
      <c r="Q23218" s="8"/>
    </row>
    <row r="23219" spans="17:17" x14ac:dyDescent="0.25">
      <c r="Q23219" s="8"/>
    </row>
    <row r="23220" spans="17:17" x14ac:dyDescent="0.25">
      <c r="Q23220" s="8"/>
    </row>
    <row r="23221" spans="17:17" x14ac:dyDescent="0.25">
      <c r="Q23221" s="8"/>
    </row>
    <row r="23222" spans="17:17" x14ac:dyDescent="0.25">
      <c r="Q23222" s="8"/>
    </row>
    <row r="23223" spans="17:17" x14ac:dyDescent="0.25">
      <c r="Q23223" s="8"/>
    </row>
    <row r="23224" spans="17:17" x14ac:dyDescent="0.25">
      <c r="Q23224" s="8"/>
    </row>
    <row r="23225" spans="17:17" x14ac:dyDescent="0.25">
      <c r="Q23225" s="8"/>
    </row>
    <row r="23226" spans="17:17" x14ac:dyDescent="0.25">
      <c r="Q23226" s="8"/>
    </row>
    <row r="23227" spans="17:17" x14ac:dyDescent="0.25">
      <c r="Q23227" s="8"/>
    </row>
    <row r="23228" spans="17:17" x14ac:dyDescent="0.25">
      <c r="Q23228" s="8"/>
    </row>
    <row r="23229" spans="17:17" x14ac:dyDescent="0.25">
      <c r="Q23229" s="8"/>
    </row>
    <row r="23230" spans="17:17" x14ac:dyDescent="0.25">
      <c r="Q23230" s="8"/>
    </row>
    <row r="23231" spans="17:17" x14ac:dyDescent="0.25">
      <c r="Q23231" s="8"/>
    </row>
    <row r="23232" spans="17:17" x14ac:dyDescent="0.25">
      <c r="Q23232" s="8"/>
    </row>
    <row r="23233" spans="17:17" x14ac:dyDescent="0.25">
      <c r="Q23233" s="8"/>
    </row>
    <row r="23234" spans="17:17" x14ac:dyDescent="0.25">
      <c r="Q23234" s="8"/>
    </row>
    <row r="23235" spans="17:17" x14ac:dyDescent="0.25">
      <c r="Q23235" s="8"/>
    </row>
    <row r="23236" spans="17:17" x14ac:dyDescent="0.25">
      <c r="Q23236" s="8"/>
    </row>
    <row r="23237" spans="17:17" x14ac:dyDescent="0.25">
      <c r="Q23237" s="8"/>
    </row>
    <row r="23238" spans="17:17" x14ac:dyDescent="0.25">
      <c r="Q23238" s="8"/>
    </row>
    <row r="23239" spans="17:17" x14ac:dyDescent="0.25">
      <c r="Q23239" s="8"/>
    </row>
    <row r="23240" spans="17:17" x14ac:dyDescent="0.25">
      <c r="Q23240" s="8"/>
    </row>
    <row r="23241" spans="17:17" x14ac:dyDescent="0.25">
      <c r="Q23241" s="8"/>
    </row>
    <row r="23242" spans="17:17" x14ac:dyDescent="0.25">
      <c r="Q23242" s="8"/>
    </row>
    <row r="23243" spans="17:17" x14ac:dyDescent="0.25">
      <c r="Q23243" s="8"/>
    </row>
    <row r="23244" spans="17:17" x14ac:dyDescent="0.25">
      <c r="Q23244" s="8"/>
    </row>
    <row r="23245" spans="17:17" x14ac:dyDescent="0.25">
      <c r="Q23245" s="8"/>
    </row>
    <row r="23246" spans="17:17" x14ac:dyDescent="0.25">
      <c r="Q23246" s="8"/>
    </row>
    <row r="23247" spans="17:17" x14ac:dyDescent="0.25">
      <c r="Q23247" s="8"/>
    </row>
    <row r="23248" spans="17:17" x14ac:dyDescent="0.25">
      <c r="Q23248" s="8"/>
    </row>
    <row r="23249" spans="17:17" x14ac:dyDescent="0.25">
      <c r="Q23249" s="8"/>
    </row>
    <row r="23250" spans="17:17" x14ac:dyDescent="0.25">
      <c r="Q23250" s="8"/>
    </row>
    <row r="23251" spans="17:17" x14ac:dyDescent="0.25">
      <c r="Q23251" s="8"/>
    </row>
    <row r="23252" spans="17:17" x14ac:dyDescent="0.25">
      <c r="Q23252" s="8"/>
    </row>
    <row r="23253" spans="17:17" x14ac:dyDescent="0.25">
      <c r="Q23253" s="8"/>
    </row>
    <row r="23254" spans="17:17" x14ac:dyDescent="0.25">
      <c r="Q23254" s="8"/>
    </row>
    <row r="23255" spans="17:17" x14ac:dyDescent="0.25">
      <c r="Q23255" s="8"/>
    </row>
    <row r="23256" spans="17:17" x14ac:dyDescent="0.25">
      <c r="Q23256" s="8"/>
    </row>
    <row r="23257" spans="17:17" x14ac:dyDescent="0.25">
      <c r="Q23257" s="8"/>
    </row>
    <row r="23258" spans="17:17" x14ac:dyDescent="0.25">
      <c r="Q23258" s="8"/>
    </row>
    <row r="23259" spans="17:17" x14ac:dyDescent="0.25">
      <c r="Q23259" s="8"/>
    </row>
    <row r="23260" spans="17:17" x14ac:dyDescent="0.25">
      <c r="Q23260" s="8"/>
    </row>
    <row r="23261" spans="17:17" x14ac:dyDescent="0.25">
      <c r="Q23261" s="8"/>
    </row>
    <row r="23262" spans="17:17" x14ac:dyDescent="0.25">
      <c r="Q23262" s="8"/>
    </row>
    <row r="23263" spans="17:17" x14ac:dyDescent="0.25">
      <c r="Q23263" s="8"/>
    </row>
    <row r="23264" spans="17:17" x14ac:dyDescent="0.25">
      <c r="Q23264" s="8"/>
    </row>
    <row r="23265" spans="17:17" x14ac:dyDescent="0.25">
      <c r="Q23265" s="8"/>
    </row>
    <row r="23266" spans="17:17" x14ac:dyDescent="0.25">
      <c r="Q23266" s="8"/>
    </row>
    <row r="23267" spans="17:17" x14ac:dyDescent="0.25">
      <c r="Q23267" s="8"/>
    </row>
    <row r="23268" spans="17:17" x14ac:dyDescent="0.25">
      <c r="Q23268" s="8"/>
    </row>
    <row r="23269" spans="17:17" x14ac:dyDescent="0.25">
      <c r="Q23269" s="8"/>
    </row>
    <row r="23270" spans="17:17" x14ac:dyDescent="0.25">
      <c r="Q23270" s="8"/>
    </row>
    <row r="23271" spans="17:17" x14ac:dyDescent="0.25">
      <c r="Q23271" s="8"/>
    </row>
    <row r="23272" spans="17:17" x14ac:dyDescent="0.25">
      <c r="Q23272" s="8"/>
    </row>
    <row r="23273" spans="17:17" x14ac:dyDescent="0.25">
      <c r="Q23273" s="8"/>
    </row>
    <row r="23274" spans="17:17" x14ac:dyDescent="0.25">
      <c r="Q23274" s="8"/>
    </row>
    <row r="23275" spans="17:17" x14ac:dyDescent="0.25">
      <c r="Q23275" s="8"/>
    </row>
    <row r="23276" spans="17:17" x14ac:dyDescent="0.25">
      <c r="Q23276" s="8"/>
    </row>
    <row r="23277" spans="17:17" x14ac:dyDescent="0.25">
      <c r="Q23277" s="8"/>
    </row>
    <row r="23278" spans="17:17" x14ac:dyDescent="0.25">
      <c r="Q23278" s="8"/>
    </row>
    <row r="23279" spans="17:17" x14ac:dyDescent="0.25">
      <c r="Q23279" s="8"/>
    </row>
    <row r="23280" spans="17:17" x14ac:dyDescent="0.25">
      <c r="Q23280" s="8"/>
    </row>
    <row r="23281" spans="17:17" x14ac:dyDescent="0.25">
      <c r="Q23281" s="8"/>
    </row>
    <row r="23282" spans="17:17" x14ac:dyDescent="0.25">
      <c r="Q23282" s="8"/>
    </row>
    <row r="23283" spans="17:17" x14ac:dyDescent="0.25">
      <c r="Q23283" s="8"/>
    </row>
    <row r="23284" spans="17:17" x14ac:dyDescent="0.25">
      <c r="Q23284" s="8"/>
    </row>
    <row r="23285" spans="17:17" x14ac:dyDescent="0.25">
      <c r="Q23285" s="8"/>
    </row>
    <row r="23286" spans="17:17" x14ac:dyDescent="0.25">
      <c r="Q23286" s="8"/>
    </row>
    <row r="23287" spans="17:17" x14ac:dyDescent="0.25">
      <c r="Q23287" s="8"/>
    </row>
    <row r="23288" spans="17:17" x14ac:dyDescent="0.25">
      <c r="Q23288" s="8"/>
    </row>
    <row r="23289" spans="17:17" x14ac:dyDescent="0.25">
      <c r="Q23289" s="8"/>
    </row>
    <row r="23290" spans="17:17" x14ac:dyDescent="0.25">
      <c r="Q23290" s="8"/>
    </row>
    <row r="23291" spans="17:17" x14ac:dyDescent="0.25">
      <c r="Q23291" s="8"/>
    </row>
    <row r="23292" spans="17:17" x14ac:dyDescent="0.25">
      <c r="Q23292" s="8"/>
    </row>
    <row r="23293" spans="17:17" x14ac:dyDescent="0.25">
      <c r="Q23293" s="8"/>
    </row>
    <row r="23294" spans="17:17" x14ac:dyDescent="0.25">
      <c r="Q23294" s="8"/>
    </row>
    <row r="23295" spans="17:17" x14ac:dyDescent="0.25">
      <c r="Q23295" s="8"/>
    </row>
    <row r="23296" spans="17:17" x14ac:dyDescent="0.25">
      <c r="Q23296" s="8"/>
    </row>
    <row r="23297" spans="17:17" x14ac:dyDescent="0.25">
      <c r="Q23297" s="8"/>
    </row>
    <row r="23298" spans="17:17" x14ac:dyDescent="0.25">
      <c r="Q23298" s="8"/>
    </row>
    <row r="23299" spans="17:17" x14ac:dyDescent="0.25">
      <c r="Q23299" s="8"/>
    </row>
    <row r="23300" spans="17:17" x14ac:dyDescent="0.25">
      <c r="Q23300" s="8"/>
    </row>
    <row r="23301" spans="17:17" x14ac:dyDescent="0.25">
      <c r="Q23301" s="8"/>
    </row>
    <row r="23302" spans="17:17" x14ac:dyDescent="0.25">
      <c r="Q23302" s="8"/>
    </row>
    <row r="23303" spans="17:17" x14ac:dyDescent="0.25">
      <c r="Q23303" s="8"/>
    </row>
    <row r="23304" spans="17:17" x14ac:dyDescent="0.25">
      <c r="Q23304" s="8"/>
    </row>
    <row r="23305" spans="17:17" x14ac:dyDescent="0.25">
      <c r="Q23305" s="8"/>
    </row>
    <row r="23306" spans="17:17" x14ac:dyDescent="0.25">
      <c r="Q23306" s="8"/>
    </row>
    <row r="23307" spans="17:17" x14ac:dyDescent="0.25">
      <c r="Q23307" s="8"/>
    </row>
    <row r="23308" spans="17:17" x14ac:dyDescent="0.25">
      <c r="Q23308" s="8"/>
    </row>
    <row r="23309" spans="17:17" x14ac:dyDescent="0.25">
      <c r="Q23309" s="8"/>
    </row>
    <row r="23310" spans="17:17" x14ac:dyDescent="0.25">
      <c r="Q23310" s="8"/>
    </row>
    <row r="23311" spans="17:17" x14ac:dyDescent="0.25">
      <c r="Q23311" s="8"/>
    </row>
    <row r="23312" spans="17:17" x14ac:dyDescent="0.25">
      <c r="Q23312" s="8"/>
    </row>
    <row r="23313" spans="17:17" x14ac:dyDescent="0.25">
      <c r="Q23313" s="8"/>
    </row>
    <row r="23314" spans="17:17" x14ac:dyDescent="0.25">
      <c r="Q23314" s="8"/>
    </row>
    <row r="23315" spans="17:17" x14ac:dyDescent="0.25">
      <c r="Q23315" s="8"/>
    </row>
    <row r="23316" spans="17:17" x14ac:dyDescent="0.25">
      <c r="Q23316" s="8"/>
    </row>
    <row r="23317" spans="17:17" x14ac:dyDescent="0.25">
      <c r="Q23317" s="8"/>
    </row>
    <row r="23318" spans="17:17" x14ac:dyDescent="0.25">
      <c r="Q23318" s="8"/>
    </row>
    <row r="23319" spans="17:17" x14ac:dyDescent="0.25">
      <c r="Q23319" s="8"/>
    </row>
    <row r="23320" spans="17:17" x14ac:dyDescent="0.25">
      <c r="Q23320" s="8"/>
    </row>
    <row r="23321" spans="17:17" x14ac:dyDescent="0.25">
      <c r="Q23321" s="8"/>
    </row>
    <row r="23322" spans="17:17" x14ac:dyDescent="0.25">
      <c r="Q23322" s="8"/>
    </row>
    <row r="23323" spans="17:17" x14ac:dyDescent="0.25">
      <c r="Q23323" s="8"/>
    </row>
    <row r="23324" spans="17:17" x14ac:dyDescent="0.25">
      <c r="Q23324" s="8"/>
    </row>
    <row r="23325" spans="17:17" x14ac:dyDescent="0.25">
      <c r="Q23325" s="8"/>
    </row>
    <row r="23326" spans="17:17" x14ac:dyDescent="0.25">
      <c r="Q23326" s="8"/>
    </row>
    <row r="23327" spans="17:17" x14ac:dyDescent="0.25">
      <c r="Q23327" s="8"/>
    </row>
    <row r="23328" spans="17:17" x14ac:dyDescent="0.25">
      <c r="Q23328" s="8"/>
    </row>
    <row r="23329" spans="17:17" x14ac:dyDescent="0.25">
      <c r="Q23329" s="8"/>
    </row>
    <row r="23330" spans="17:17" x14ac:dyDescent="0.25">
      <c r="Q23330" s="8"/>
    </row>
    <row r="23331" spans="17:17" x14ac:dyDescent="0.25">
      <c r="Q23331" s="8"/>
    </row>
    <row r="23332" spans="17:17" x14ac:dyDescent="0.25">
      <c r="Q23332" s="8"/>
    </row>
    <row r="23333" spans="17:17" x14ac:dyDescent="0.25">
      <c r="Q23333" s="8"/>
    </row>
    <row r="23334" spans="17:17" x14ac:dyDescent="0.25">
      <c r="Q23334" s="8"/>
    </row>
    <row r="23335" spans="17:17" x14ac:dyDescent="0.25">
      <c r="Q23335" s="8"/>
    </row>
    <row r="23336" spans="17:17" x14ac:dyDescent="0.25">
      <c r="Q23336" s="8"/>
    </row>
    <row r="23337" spans="17:17" x14ac:dyDescent="0.25">
      <c r="Q23337" s="8"/>
    </row>
    <row r="23338" spans="17:17" x14ac:dyDescent="0.25">
      <c r="Q23338" s="8"/>
    </row>
    <row r="23339" spans="17:17" x14ac:dyDescent="0.25">
      <c r="Q23339" s="8"/>
    </row>
    <row r="23340" spans="17:17" x14ac:dyDescent="0.25">
      <c r="Q23340" s="8"/>
    </row>
    <row r="23341" spans="17:17" x14ac:dyDescent="0.25">
      <c r="Q23341" s="8"/>
    </row>
    <row r="23342" spans="17:17" x14ac:dyDescent="0.25">
      <c r="Q23342" s="8"/>
    </row>
    <row r="23343" spans="17:17" x14ac:dyDescent="0.25">
      <c r="Q23343" s="8"/>
    </row>
    <row r="23344" spans="17:17" x14ac:dyDescent="0.25">
      <c r="Q23344" s="8"/>
    </row>
    <row r="23345" spans="17:17" x14ac:dyDescent="0.25">
      <c r="Q23345" s="8"/>
    </row>
    <row r="23346" spans="17:17" x14ac:dyDescent="0.25">
      <c r="Q23346" s="8"/>
    </row>
    <row r="23347" spans="17:17" x14ac:dyDescent="0.25">
      <c r="Q23347" s="8"/>
    </row>
    <row r="23348" spans="17:17" x14ac:dyDescent="0.25">
      <c r="Q23348" s="8"/>
    </row>
    <row r="23349" spans="17:17" x14ac:dyDescent="0.25">
      <c r="Q23349" s="8"/>
    </row>
    <row r="23350" spans="17:17" x14ac:dyDescent="0.25">
      <c r="Q23350" s="8"/>
    </row>
    <row r="23351" spans="17:17" x14ac:dyDescent="0.25">
      <c r="Q23351" s="8"/>
    </row>
    <row r="23352" spans="17:17" x14ac:dyDescent="0.25">
      <c r="Q23352" s="8"/>
    </row>
    <row r="23353" spans="17:17" x14ac:dyDescent="0.25">
      <c r="Q23353" s="8"/>
    </row>
    <row r="23354" spans="17:17" x14ac:dyDescent="0.25">
      <c r="Q23354" s="8"/>
    </row>
    <row r="23355" spans="17:17" x14ac:dyDescent="0.25">
      <c r="Q23355" s="8"/>
    </row>
    <row r="23356" spans="17:17" x14ac:dyDescent="0.25">
      <c r="Q23356" s="8"/>
    </row>
    <row r="23357" spans="17:17" x14ac:dyDescent="0.25">
      <c r="Q23357" s="8"/>
    </row>
    <row r="23358" spans="17:17" x14ac:dyDescent="0.25">
      <c r="Q23358" s="8"/>
    </row>
    <row r="23359" spans="17:17" x14ac:dyDescent="0.25">
      <c r="Q23359" s="8"/>
    </row>
    <row r="23360" spans="17:17" x14ac:dyDescent="0.25">
      <c r="Q23360" s="8"/>
    </row>
    <row r="23361" spans="17:17" x14ac:dyDescent="0.25">
      <c r="Q23361" s="8"/>
    </row>
    <row r="23362" spans="17:17" x14ac:dyDescent="0.25">
      <c r="Q23362" s="8"/>
    </row>
    <row r="23363" spans="17:17" x14ac:dyDescent="0.25">
      <c r="Q23363" s="8"/>
    </row>
    <row r="23364" spans="17:17" x14ac:dyDescent="0.25">
      <c r="Q23364" s="8"/>
    </row>
    <row r="23365" spans="17:17" x14ac:dyDescent="0.25">
      <c r="Q23365" s="8"/>
    </row>
    <row r="23366" spans="17:17" x14ac:dyDescent="0.25">
      <c r="Q23366" s="8"/>
    </row>
    <row r="23367" spans="17:17" x14ac:dyDescent="0.25">
      <c r="Q23367" s="8"/>
    </row>
    <row r="23368" spans="17:17" x14ac:dyDescent="0.25">
      <c r="Q23368" s="8"/>
    </row>
    <row r="23369" spans="17:17" x14ac:dyDescent="0.25">
      <c r="Q23369" s="8"/>
    </row>
    <row r="23370" spans="17:17" x14ac:dyDescent="0.25">
      <c r="Q23370" s="8"/>
    </row>
    <row r="23371" spans="17:17" x14ac:dyDescent="0.25">
      <c r="Q23371" s="8"/>
    </row>
    <row r="23372" spans="17:17" x14ac:dyDescent="0.25">
      <c r="Q23372" s="8"/>
    </row>
    <row r="23373" spans="17:17" x14ac:dyDescent="0.25">
      <c r="Q23373" s="8"/>
    </row>
    <row r="23374" spans="17:17" x14ac:dyDescent="0.25">
      <c r="Q23374" s="8"/>
    </row>
    <row r="23375" spans="17:17" x14ac:dyDescent="0.25">
      <c r="Q23375" s="8"/>
    </row>
    <row r="23376" spans="17:17" x14ac:dyDescent="0.25">
      <c r="Q23376" s="8"/>
    </row>
    <row r="23377" spans="17:17" x14ac:dyDescent="0.25">
      <c r="Q23377" s="8"/>
    </row>
    <row r="23378" spans="17:17" x14ac:dyDescent="0.25">
      <c r="Q23378" s="8"/>
    </row>
    <row r="23379" spans="17:17" x14ac:dyDescent="0.25">
      <c r="Q23379" s="8"/>
    </row>
    <row r="23380" spans="17:17" x14ac:dyDescent="0.25">
      <c r="Q23380" s="8"/>
    </row>
    <row r="23381" spans="17:17" x14ac:dyDescent="0.25">
      <c r="Q23381" s="8"/>
    </row>
    <row r="23382" spans="17:17" x14ac:dyDescent="0.25">
      <c r="Q23382" s="8"/>
    </row>
    <row r="23383" spans="17:17" x14ac:dyDescent="0.25">
      <c r="Q23383" s="8"/>
    </row>
    <row r="23384" spans="17:17" x14ac:dyDescent="0.25">
      <c r="Q23384" s="8"/>
    </row>
    <row r="23385" spans="17:17" x14ac:dyDescent="0.25">
      <c r="Q23385" s="8"/>
    </row>
    <row r="23386" spans="17:17" x14ac:dyDescent="0.25">
      <c r="Q23386" s="8"/>
    </row>
    <row r="23387" spans="17:17" x14ac:dyDescent="0.25">
      <c r="Q23387" s="8"/>
    </row>
    <row r="23388" spans="17:17" x14ac:dyDescent="0.25">
      <c r="Q23388" s="8"/>
    </row>
    <row r="23389" spans="17:17" x14ac:dyDescent="0.25">
      <c r="Q23389" s="8"/>
    </row>
    <row r="23390" spans="17:17" x14ac:dyDescent="0.25">
      <c r="Q23390" s="8"/>
    </row>
    <row r="23391" spans="17:17" x14ac:dyDescent="0.25">
      <c r="Q23391" s="8"/>
    </row>
    <row r="23392" spans="17:17" x14ac:dyDescent="0.25">
      <c r="Q23392" s="8"/>
    </row>
    <row r="23393" spans="17:17" x14ac:dyDescent="0.25">
      <c r="Q23393" s="8"/>
    </row>
    <row r="23394" spans="17:17" x14ac:dyDescent="0.25">
      <c r="Q23394" s="8"/>
    </row>
    <row r="23395" spans="17:17" x14ac:dyDescent="0.25">
      <c r="Q23395" s="8"/>
    </row>
    <row r="23396" spans="17:17" x14ac:dyDescent="0.25">
      <c r="Q23396" s="8"/>
    </row>
    <row r="23397" spans="17:17" x14ac:dyDescent="0.25">
      <c r="Q23397" s="8"/>
    </row>
    <row r="23398" spans="17:17" x14ac:dyDescent="0.25">
      <c r="Q23398" s="8"/>
    </row>
    <row r="23399" spans="17:17" x14ac:dyDescent="0.25">
      <c r="Q23399" s="8"/>
    </row>
    <row r="23400" spans="17:17" x14ac:dyDescent="0.25">
      <c r="Q23400" s="8"/>
    </row>
    <row r="23401" spans="17:17" x14ac:dyDescent="0.25">
      <c r="Q23401" s="8"/>
    </row>
    <row r="23402" spans="17:17" x14ac:dyDescent="0.25">
      <c r="Q23402" s="8"/>
    </row>
    <row r="23403" spans="17:17" x14ac:dyDescent="0.25">
      <c r="Q23403" s="8"/>
    </row>
    <row r="23404" spans="17:17" x14ac:dyDescent="0.25">
      <c r="Q23404" s="8"/>
    </row>
    <row r="23405" spans="17:17" x14ac:dyDescent="0.25">
      <c r="Q23405" s="8"/>
    </row>
    <row r="23406" spans="17:17" x14ac:dyDescent="0.25">
      <c r="Q23406" s="8"/>
    </row>
    <row r="23407" spans="17:17" x14ac:dyDescent="0.25">
      <c r="Q23407" s="8"/>
    </row>
    <row r="23408" spans="17:17" x14ac:dyDescent="0.25">
      <c r="Q23408" s="8"/>
    </row>
    <row r="23409" spans="17:17" x14ac:dyDescent="0.25">
      <c r="Q23409" s="8"/>
    </row>
    <row r="23410" spans="17:17" x14ac:dyDescent="0.25">
      <c r="Q23410" s="8"/>
    </row>
    <row r="23411" spans="17:17" x14ac:dyDescent="0.25">
      <c r="Q23411" s="8"/>
    </row>
    <row r="23412" spans="17:17" x14ac:dyDescent="0.25">
      <c r="Q23412" s="8"/>
    </row>
    <row r="23413" spans="17:17" x14ac:dyDescent="0.25">
      <c r="Q23413" s="8"/>
    </row>
    <row r="23414" spans="17:17" x14ac:dyDescent="0.25">
      <c r="Q23414" s="8"/>
    </row>
    <row r="23415" spans="17:17" x14ac:dyDescent="0.25">
      <c r="Q23415" s="8"/>
    </row>
    <row r="23416" spans="17:17" x14ac:dyDescent="0.25">
      <c r="Q23416" s="8"/>
    </row>
    <row r="23417" spans="17:17" x14ac:dyDescent="0.25">
      <c r="Q23417" s="8"/>
    </row>
    <row r="23418" spans="17:17" x14ac:dyDescent="0.25">
      <c r="Q23418" s="8"/>
    </row>
    <row r="23419" spans="17:17" x14ac:dyDescent="0.25">
      <c r="Q23419" s="8"/>
    </row>
    <row r="23420" spans="17:17" x14ac:dyDescent="0.25">
      <c r="Q23420" s="8"/>
    </row>
    <row r="23421" spans="17:17" x14ac:dyDescent="0.25">
      <c r="Q23421" s="8"/>
    </row>
    <row r="23422" spans="17:17" x14ac:dyDescent="0.25">
      <c r="Q23422" s="8"/>
    </row>
    <row r="23423" spans="17:17" x14ac:dyDescent="0.25">
      <c r="Q23423" s="8"/>
    </row>
    <row r="23424" spans="17:17" x14ac:dyDescent="0.25">
      <c r="Q23424" s="8"/>
    </row>
    <row r="23425" spans="17:17" x14ac:dyDescent="0.25">
      <c r="Q23425" s="8"/>
    </row>
    <row r="23426" spans="17:17" x14ac:dyDescent="0.25">
      <c r="Q23426" s="8"/>
    </row>
    <row r="23427" spans="17:17" x14ac:dyDescent="0.25">
      <c r="Q23427" s="8"/>
    </row>
    <row r="23428" spans="17:17" x14ac:dyDescent="0.25">
      <c r="Q23428" s="8"/>
    </row>
    <row r="23429" spans="17:17" x14ac:dyDescent="0.25">
      <c r="Q23429" s="8"/>
    </row>
    <row r="23430" spans="17:17" x14ac:dyDescent="0.25">
      <c r="Q23430" s="8"/>
    </row>
    <row r="23431" spans="17:17" x14ac:dyDescent="0.25">
      <c r="Q23431" s="8"/>
    </row>
    <row r="23432" spans="17:17" x14ac:dyDescent="0.25">
      <c r="Q23432" s="8"/>
    </row>
    <row r="23433" spans="17:17" x14ac:dyDescent="0.25">
      <c r="Q23433" s="8"/>
    </row>
    <row r="23434" spans="17:17" x14ac:dyDescent="0.25">
      <c r="Q23434" s="8"/>
    </row>
    <row r="23435" spans="17:17" x14ac:dyDescent="0.25">
      <c r="Q23435" s="8"/>
    </row>
    <row r="23436" spans="17:17" x14ac:dyDescent="0.25">
      <c r="Q23436" s="8"/>
    </row>
    <row r="23437" spans="17:17" x14ac:dyDescent="0.25">
      <c r="Q23437" s="8"/>
    </row>
    <row r="23438" spans="17:17" x14ac:dyDescent="0.25">
      <c r="Q23438" s="8"/>
    </row>
    <row r="23439" spans="17:17" x14ac:dyDescent="0.25">
      <c r="Q23439" s="8"/>
    </row>
    <row r="23440" spans="17:17" x14ac:dyDescent="0.25">
      <c r="Q23440" s="8"/>
    </row>
    <row r="23441" spans="17:17" x14ac:dyDescent="0.25">
      <c r="Q23441" s="8"/>
    </row>
    <row r="23442" spans="17:17" x14ac:dyDescent="0.25">
      <c r="Q23442" s="8"/>
    </row>
    <row r="23443" spans="17:17" x14ac:dyDescent="0.25">
      <c r="Q23443" s="8"/>
    </row>
    <row r="23444" spans="17:17" x14ac:dyDescent="0.25">
      <c r="Q23444" s="8"/>
    </row>
    <row r="23445" spans="17:17" x14ac:dyDescent="0.25">
      <c r="Q23445" s="8"/>
    </row>
    <row r="23446" spans="17:17" x14ac:dyDescent="0.25">
      <c r="Q23446" s="8"/>
    </row>
    <row r="23447" spans="17:17" x14ac:dyDescent="0.25">
      <c r="Q23447" s="8"/>
    </row>
    <row r="23448" spans="17:17" x14ac:dyDescent="0.25">
      <c r="Q23448" s="8"/>
    </row>
    <row r="23449" spans="17:17" x14ac:dyDescent="0.25">
      <c r="Q23449" s="8"/>
    </row>
    <row r="23450" spans="17:17" x14ac:dyDescent="0.25">
      <c r="Q23450" s="8"/>
    </row>
    <row r="23451" spans="17:17" x14ac:dyDescent="0.25">
      <c r="Q23451" s="8"/>
    </row>
    <row r="23452" spans="17:17" x14ac:dyDescent="0.25">
      <c r="Q23452" s="8"/>
    </row>
    <row r="23453" spans="17:17" x14ac:dyDescent="0.25">
      <c r="Q23453" s="8"/>
    </row>
    <row r="23454" spans="17:17" x14ac:dyDescent="0.25">
      <c r="Q23454" s="8"/>
    </row>
    <row r="23455" spans="17:17" x14ac:dyDescent="0.25">
      <c r="Q23455" s="8"/>
    </row>
    <row r="23456" spans="17:17" x14ac:dyDescent="0.25">
      <c r="Q23456" s="8"/>
    </row>
    <row r="23457" spans="17:17" x14ac:dyDescent="0.25">
      <c r="Q23457" s="8"/>
    </row>
    <row r="23458" spans="17:17" x14ac:dyDescent="0.25">
      <c r="Q23458" s="8"/>
    </row>
    <row r="23459" spans="17:17" x14ac:dyDescent="0.25">
      <c r="Q23459" s="8"/>
    </row>
    <row r="23460" spans="17:17" x14ac:dyDescent="0.25">
      <c r="Q23460" s="8"/>
    </row>
    <row r="23461" spans="17:17" x14ac:dyDescent="0.25">
      <c r="Q23461" s="8"/>
    </row>
    <row r="23462" spans="17:17" x14ac:dyDescent="0.25">
      <c r="Q23462" s="8"/>
    </row>
    <row r="23463" spans="17:17" x14ac:dyDescent="0.25">
      <c r="Q23463" s="8"/>
    </row>
    <row r="23464" spans="17:17" x14ac:dyDescent="0.25">
      <c r="Q23464" s="8"/>
    </row>
    <row r="23465" spans="17:17" x14ac:dyDescent="0.25">
      <c r="Q23465" s="8"/>
    </row>
    <row r="23466" spans="17:17" x14ac:dyDescent="0.25">
      <c r="Q23466" s="8"/>
    </row>
    <row r="23467" spans="17:17" x14ac:dyDescent="0.25">
      <c r="Q23467" s="8"/>
    </row>
    <row r="23468" spans="17:17" x14ac:dyDescent="0.25">
      <c r="Q23468" s="8"/>
    </row>
    <row r="23469" spans="17:17" x14ac:dyDescent="0.25">
      <c r="Q23469" s="8"/>
    </row>
    <row r="23470" spans="17:17" x14ac:dyDescent="0.25">
      <c r="Q23470" s="8"/>
    </row>
    <row r="23471" spans="17:17" x14ac:dyDescent="0.25">
      <c r="Q23471" s="8"/>
    </row>
    <row r="23472" spans="17:17" x14ac:dyDescent="0.25">
      <c r="Q23472" s="8"/>
    </row>
    <row r="23473" spans="17:17" x14ac:dyDescent="0.25">
      <c r="Q23473" s="8"/>
    </row>
    <row r="23474" spans="17:17" x14ac:dyDescent="0.25">
      <c r="Q23474" s="8"/>
    </row>
    <row r="23475" spans="17:17" x14ac:dyDescent="0.25">
      <c r="Q23475" s="8"/>
    </row>
    <row r="23476" spans="17:17" x14ac:dyDescent="0.25">
      <c r="Q23476" s="8"/>
    </row>
    <row r="23477" spans="17:17" x14ac:dyDescent="0.25">
      <c r="Q23477" s="8"/>
    </row>
    <row r="23478" spans="17:17" x14ac:dyDescent="0.25">
      <c r="Q23478" s="8"/>
    </row>
    <row r="23479" spans="17:17" x14ac:dyDescent="0.25">
      <c r="Q23479" s="8"/>
    </row>
    <row r="23480" spans="17:17" x14ac:dyDescent="0.25">
      <c r="Q23480" s="8"/>
    </row>
    <row r="23481" spans="17:17" x14ac:dyDescent="0.25">
      <c r="Q23481" s="8"/>
    </row>
    <row r="23482" spans="17:17" x14ac:dyDescent="0.25">
      <c r="Q23482" s="8"/>
    </row>
    <row r="23483" spans="17:17" x14ac:dyDescent="0.25">
      <c r="Q23483" s="8"/>
    </row>
    <row r="23484" spans="17:17" x14ac:dyDescent="0.25">
      <c r="Q23484" s="8"/>
    </row>
    <row r="23485" spans="17:17" x14ac:dyDescent="0.25">
      <c r="Q23485" s="8"/>
    </row>
    <row r="23486" spans="17:17" x14ac:dyDescent="0.25">
      <c r="Q23486" s="8"/>
    </row>
    <row r="23487" spans="17:17" x14ac:dyDescent="0.25">
      <c r="Q23487" s="8"/>
    </row>
    <row r="23488" spans="17:17" x14ac:dyDescent="0.25">
      <c r="Q23488" s="8"/>
    </row>
    <row r="23489" spans="17:17" x14ac:dyDescent="0.25">
      <c r="Q23489" s="8"/>
    </row>
    <row r="23490" spans="17:17" x14ac:dyDescent="0.25">
      <c r="Q23490" s="8"/>
    </row>
    <row r="23491" spans="17:17" x14ac:dyDescent="0.25">
      <c r="Q23491" s="8"/>
    </row>
    <row r="23492" spans="17:17" x14ac:dyDescent="0.25">
      <c r="Q23492" s="8"/>
    </row>
    <row r="23493" spans="17:17" x14ac:dyDescent="0.25">
      <c r="Q23493" s="8"/>
    </row>
    <row r="23494" spans="17:17" x14ac:dyDescent="0.25">
      <c r="Q23494" s="8"/>
    </row>
    <row r="23495" spans="17:17" x14ac:dyDescent="0.25">
      <c r="Q23495" s="8"/>
    </row>
    <row r="23496" spans="17:17" x14ac:dyDescent="0.25">
      <c r="Q23496" s="8"/>
    </row>
    <row r="23497" spans="17:17" x14ac:dyDescent="0.25">
      <c r="Q23497" s="8"/>
    </row>
    <row r="23498" spans="17:17" x14ac:dyDescent="0.25">
      <c r="Q23498" s="8"/>
    </row>
    <row r="23499" spans="17:17" x14ac:dyDescent="0.25">
      <c r="Q23499" s="8"/>
    </row>
    <row r="23500" spans="17:17" x14ac:dyDescent="0.25">
      <c r="Q23500" s="8"/>
    </row>
    <row r="23501" spans="17:17" x14ac:dyDescent="0.25">
      <c r="Q23501" s="8"/>
    </row>
    <row r="23502" spans="17:17" x14ac:dyDescent="0.25">
      <c r="Q23502" s="8"/>
    </row>
    <row r="23503" spans="17:17" x14ac:dyDescent="0.25">
      <c r="Q23503" s="8"/>
    </row>
    <row r="23504" spans="17:17" x14ac:dyDescent="0.25">
      <c r="Q23504" s="8"/>
    </row>
    <row r="23505" spans="17:17" x14ac:dyDescent="0.25">
      <c r="Q23505" s="8"/>
    </row>
    <row r="23506" spans="17:17" x14ac:dyDescent="0.25">
      <c r="Q23506" s="8"/>
    </row>
    <row r="23507" spans="17:17" x14ac:dyDescent="0.25">
      <c r="Q23507" s="8"/>
    </row>
    <row r="23508" spans="17:17" x14ac:dyDescent="0.25">
      <c r="Q23508" s="8"/>
    </row>
    <row r="23509" spans="17:17" x14ac:dyDescent="0.25">
      <c r="Q23509" s="8"/>
    </row>
    <row r="23510" spans="17:17" x14ac:dyDescent="0.25">
      <c r="Q23510" s="8"/>
    </row>
    <row r="23511" spans="17:17" x14ac:dyDescent="0.25">
      <c r="Q23511" s="8"/>
    </row>
    <row r="23512" spans="17:17" x14ac:dyDescent="0.25">
      <c r="Q23512" s="8"/>
    </row>
    <row r="23513" spans="17:17" x14ac:dyDescent="0.25">
      <c r="Q23513" s="8"/>
    </row>
    <row r="23514" spans="17:17" x14ac:dyDescent="0.25">
      <c r="Q23514" s="8"/>
    </row>
    <row r="23515" spans="17:17" x14ac:dyDescent="0.25">
      <c r="Q23515" s="8"/>
    </row>
    <row r="23516" spans="17:17" x14ac:dyDescent="0.25">
      <c r="Q23516" s="8"/>
    </row>
    <row r="23517" spans="17:17" x14ac:dyDescent="0.25">
      <c r="Q23517" s="8"/>
    </row>
    <row r="23518" spans="17:17" x14ac:dyDescent="0.25">
      <c r="Q23518" s="8"/>
    </row>
    <row r="23519" spans="17:17" x14ac:dyDescent="0.25">
      <c r="Q23519" s="8"/>
    </row>
    <row r="23520" spans="17:17" x14ac:dyDescent="0.25">
      <c r="Q23520" s="8"/>
    </row>
    <row r="23521" spans="17:17" x14ac:dyDescent="0.25">
      <c r="Q23521" s="8"/>
    </row>
    <row r="23522" spans="17:17" x14ac:dyDescent="0.25">
      <c r="Q23522" s="8"/>
    </row>
    <row r="23523" spans="17:17" x14ac:dyDescent="0.25">
      <c r="Q23523" s="8"/>
    </row>
    <row r="23524" spans="17:17" x14ac:dyDescent="0.25">
      <c r="Q23524" s="8"/>
    </row>
    <row r="23525" spans="17:17" x14ac:dyDescent="0.25">
      <c r="Q23525" s="8"/>
    </row>
    <row r="23526" spans="17:17" x14ac:dyDescent="0.25">
      <c r="Q23526" s="8"/>
    </row>
    <row r="23527" spans="17:17" x14ac:dyDescent="0.25">
      <c r="Q23527" s="8"/>
    </row>
    <row r="23528" spans="17:17" x14ac:dyDescent="0.25">
      <c r="Q23528" s="8"/>
    </row>
    <row r="23529" spans="17:17" x14ac:dyDescent="0.25">
      <c r="Q23529" s="8"/>
    </row>
    <row r="23530" spans="17:17" x14ac:dyDescent="0.25">
      <c r="Q23530" s="8"/>
    </row>
    <row r="23531" spans="17:17" x14ac:dyDescent="0.25">
      <c r="Q23531" s="8"/>
    </row>
    <row r="23532" spans="17:17" x14ac:dyDescent="0.25">
      <c r="Q23532" s="8"/>
    </row>
    <row r="23533" spans="17:17" x14ac:dyDescent="0.25">
      <c r="Q23533" s="8"/>
    </row>
    <row r="23534" spans="17:17" x14ac:dyDescent="0.25">
      <c r="Q23534" s="8"/>
    </row>
    <row r="23535" spans="17:17" x14ac:dyDescent="0.25">
      <c r="Q23535" s="8"/>
    </row>
    <row r="23536" spans="17:17" x14ac:dyDescent="0.25">
      <c r="Q23536" s="8"/>
    </row>
    <row r="23537" spans="17:17" x14ac:dyDescent="0.25">
      <c r="Q23537" s="8"/>
    </row>
    <row r="23538" spans="17:17" x14ac:dyDescent="0.25">
      <c r="Q23538" s="8"/>
    </row>
    <row r="23539" spans="17:17" x14ac:dyDescent="0.25">
      <c r="Q23539" s="8"/>
    </row>
    <row r="23540" spans="17:17" x14ac:dyDescent="0.25">
      <c r="Q23540" s="8"/>
    </row>
    <row r="23541" spans="17:17" x14ac:dyDescent="0.25">
      <c r="Q23541" s="8"/>
    </row>
    <row r="23542" spans="17:17" x14ac:dyDescent="0.25">
      <c r="Q23542" s="8"/>
    </row>
    <row r="23543" spans="17:17" x14ac:dyDescent="0.25">
      <c r="Q23543" s="8"/>
    </row>
    <row r="23544" spans="17:17" x14ac:dyDescent="0.25">
      <c r="Q23544" s="8"/>
    </row>
    <row r="23545" spans="17:17" x14ac:dyDescent="0.25">
      <c r="Q23545" s="8"/>
    </row>
    <row r="23546" spans="17:17" x14ac:dyDescent="0.25">
      <c r="Q23546" s="8"/>
    </row>
    <row r="23547" spans="17:17" x14ac:dyDescent="0.25">
      <c r="Q23547" s="8"/>
    </row>
    <row r="23548" spans="17:17" x14ac:dyDescent="0.25">
      <c r="Q23548" s="8"/>
    </row>
    <row r="23549" spans="17:17" x14ac:dyDescent="0.25">
      <c r="Q23549" s="8"/>
    </row>
    <row r="23550" spans="17:17" x14ac:dyDescent="0.25">
      <c r="Q23550" s="8"/>
    </row>
    <row r="23551" spans="17:17" x14ac:dyDescent="0.25">
      <c r="Q23551" s="8"/>
    </row>
    <row r="23552" spans="17:17" x14ac:dyDescent="0.25">
      <c r="Q23552" s="8"/>
    </row>
    <row r="23553" spans="17:17" x14ac:dyDescent="0.25">
      <c r="Q23553" s="8"/>
    </row>
    <row r="23554" spans="17:17" x14ac:dyDescent="0.25">
      <c r="Q23554" s="8"/>
    </row>
    <row r="23555" spans="17:17" x14ac:dyDescent="0.25">
      <c r="Q23555" s="8"/>
    </row>
    <row r="23556" spans="17:17" x14ac:dyDescent="0.25">
      <c r="Q23556" s="8"/>
    </row>
    <row r="23557" spans="17:17" x14ac:dyDescent="0.25">
      <c r="Q23557" s="8"/>
    </row>
    <row r="23558" spans="17:17" x14ac:dyDescent="0.25">
      <c r="Q23558" s="8"/>
    </row>
    <row r="23559" spans="17:17" x14ac:dyDescent="0.25">
      <c r="Q23559" s="8"/>
    </row>
    <row r="23560" spans="17:17" x14ac:dyDescent="0.25">
      <c r="Q23560" s="8"/>
    </row>
    <row r="23561" spans="17:17" x14ac:dyDescent="0.25">
      <c r="Q23561" s="8"/>
    </row>
    <row r="23562" spans="17:17" x14ac:dyDescent="0.25">
      <c r="Q23562" s="8"/>
    </row>
    <row r="23563" spans="17:17" x14ac:dyDescent="0.25">
      <c r="Q23563" s="8"/>
    </row>
    <row r="23564" spans="17:17" x14ac:dyDescent="0.25">
      <c r="Q23564" s="8"/>
    </row>
    <row r="23565" spans="17:17" x14ac:dyDescent="0.25">
      <c r="Q23565" s="8"/>
    </row>
    <row r="23566" spans="17:17" x14ac:dyDescent="0.25">
      <c r="Q23566" s="8"/>
    </row>
    <row r="23567" spans="17:17" x14ac:dyDescent="0.25">
      <c r="Q23567" s="8"/>
    </row>
    <row r="23568" spans="17:17" x14ac:dyDescent="0.25">
      <c r="Q23568" s="8"/>
    </row>
    <row r="23569" spans="17:17" x14ac:dyDescent="0.25">
      <c r="Q23569" s="8"/>
    </row>
    <row r="23570" spans="17:17" x14ac:dyDescent="0.25">
      <c r="Q23570" s="8"/>
    </row>
    <row r="23571" spans="17:17" x14ac:dyDescent="0.25">
      <c r="Q23571" s="8"/>
    </row>
    <row r="23572" spans="17:17" x14ac:dyDescent="0.25">
      <c r="Q23572" s="8"/>
    </row>
    <row r="23573" spans="17:17" x14ac:dyDescent="0.25">
      <c r="Q23573" s="8"/>
    </row>
    <row r="23574" spans="17:17" x14ac:dyDescent="0.25">
      <c r="Q23574" s="8"/>
    </row>
    <row r="23575" spans="17:17" x14ac:dyDescent="0.25">
      <c r="Q23575" s="8"/>
    </row>
    <row r="23576" spans="17:17" x14ac:dyDescent="0.25">
      <c r="Q23576" s="8"/>
    </row>
    <row r="23577" spans="17:17" x14ac:dyDescent="0.25">
      <c r="Q23577" s="8"/>
    </row>
    <row r="23578" spans="17:17" x14ac:dyDescent="0.25">
      <c r="Q23578" s="8"/>
    </row>
    <row r="23579" spans="17:17" x14ac:dyDescent="0.25">
      <c r="Q23579" s="8"/>
    </row>
    <row r="23580" spans="17:17" x14ac:dyDescent="0.25">
      <c r="Q23580" s="8"/>
    </row>
    <row r="23581" spans="17:17" x14ac:dyDescent="0.25">
      <c r="Q23581" s="8"/>
    </row>
    <row r="23582" spans="17:17" x14ac:dyDescent="0.25">
      <c r="Q23582" s="8"/>
    </row>
    <row r="23583" spans="17:17" x14ac:dyDescent="0.25">
      <c r="Q23583" s="8"/>
    </row>
    <row r="23584" spans="17:17" x14ac:dyDescent="0.25">
      <c r="Q23584" s="8"/>
    </row>
    <row r="23585" spans="17:17" x14ac:dyDescent="0.25">
      <c r="Q23585" s="8"/>
    </row>
    <row r="23586" spans="17:17" x14ac:dyDescent="0.25">
      <c r="Q23586" s="8"/>
    </row>
    <row r="23587" spans="17:17" x14ac:dyDescent="0.25">
      <c r="Q23587" s="8"/>
    </row>
    <row r="23588" spans="17:17" x14ac:dyDescent="0.25">
      <c r="Q23588" s="8"/>
    </row>
    <row r="23589" spans="17:17" x14ac:dyDescent="0.25">
      <c r="Q23589" s="8"/>
    </row>
    <row r="23590" spans="17:17" x14ac:dyDescent="0.25">
      <c r="Q23590" s="8"/>
    </row>
    <row r="23591" spans="17:17" x14ac:dyDescent="0.25">
      <c r="Q23591" s="8"/>
    </row>
    <row r="23592" spans="17:17" x14ac:dyDescent="0.25">
      <c r="Q23592" s="8"/>
    </row>
    <row r="23593" spans="17:17" x14ac:dyDescent="0.25">
      <c r="Q23593" s="8"/>
    </row>
    <row r="23594" spans="17:17" x14ac:dyDescent="0.25">
      <c r="Q23594" s="8"/>
    </row>
    <row r="23595" spans="17:17" x14ac:dyDescent="0.25">
      <c r="Q23595" s="8"/>
    </row>
    <row r="23596" spans="17:17" x14ac:dyDescent="0.25">
      <c r="Q23596" s="8"/>
    </row>
    <row r="23597" spans="17:17" x14ac:dyDescent="0.25">
      <c r="Q23597" s="8"/>
    </row>
    <row r="23598" spans="17:17" x14ac:dyDescent="0.25">
      <c r="Q23598" s="8"/>
    </row>
    <row r="23599" spans="17:17" x14ac:dyDescent="0.25">
      <c r="Q23599" s="8"/>
    </row>
    <row r="23600" spans="17:17" x14ac:dyDescent="0.25">
      <c r="Q23600" s="8"/>
    </row>
    <row r="23601" spans="17:17" x14ac:dyDescent="0.25">
      <c r="Q23601" s="8"/>
    </row>
    <row r="23602" spans="17:17" x14ac:dyDescent="0.25">
      <c r="Q23602" s="8"/>
    </row>
    <row r="23603" spans="17:17" x14ac:dyDescent="0.25">
      <c r="Q23603" s="8"/>
    </row>
    <row r="23604" spans="17:17" x14ac:dyDescent="0.25">
      <c r="Q23604" s="8"/>
    </row>
    <row r="23605" spans="17:17" x14ac:dyDescent="0.25">
      <c r="Q23605" s="8"/>
    </row>
    <row r="23606" spans="17:17" x14ac:dyDescent="0.25">
      <c r="Q23606" s="8"/>
    </row>
    <row r="23607" spans="17:17" x14ac:dyDescent="0.25">
      <c r="Q23607" s="8"/>
    </row>
    <row r="23608" spans="17:17" x14ac:dyDescent="0.25">
      <c r="Q23608" s="8"/>
    </row>
    <row r="23609" spans="17:17" x14ac:dyDescent="0.25">
      <c r="Q23609" s="8"/>
    </row>
    <row r="23610" spans="17:17" x14ac:dyDescent="0.25">
      <c r="Q23610" s="8"/>
    </row>
    <row r="23611" spans="17:17" x14ac:dyDescent="0.25">
      <c r="Q23611" s="8"/>
    </row>
    <row r="23612" spans="17:17" x14ac:dyDescent="0.25">
      <c r="Q23612" s="8"/>
    </row>
    <row r="23613" spans="17:17" x14ac:dyDescent="0.25">
      <c r="Q23613" s="8"/>
    </row>
    <row r="23614" spans="17:17" x14ac:dyDescent="0.25">
      <c r="Q23614" s="8"/>
    </row>
    <row r="23615" spans="17:17" x14ac:dyDescent="0.25">
      <c r="Q23615" s="8"/>
    </row>
    <row r="23616" spans="17:17" x14ac:dyDescent="0.25">
      <c r="Q23616" s="8"/>
    </row>
    <row r="23617" spans="17:17" x14ac:dyDescent="0.25">
      <c r="Q23617" s="8"/>
    </row>
    <row r="23618" spans="17:17" x14ac:dyDescent="0.25">
      <c r="Q23618" s="8"/>
    </row>
    <row r="23619" spans="17:17" x14ac:dyDescent="0.25">
      <c r="Q23619" s="8"/>
    </row>
    <row r="23620" spans="17:17" x14ac:dyDescent="0.25">
      <c r="Q23620" s="8"/>
    </row>
    <row r="23621" spans="17:17" x14ac:dyDescent="0.25">
      <c r="Q23621" s="8"/>
    </row>
    <row r="23622" spans="17:17" x14ac:dyDescent="0.25">
      <c r="Q23622" s="8"/>
    </row>
    <row r="23623" spans="17:17" x14ac:dyDescent="0.25">
      <c r="Q23623" s="8"/>
    </row>
    <row r="23624" spans="17:17" x14ac:dyDescent="0.25">
      <c r="Q23624" s="8"/>
    </row>
    <row r="23625" spans="17:17" x14ac:dyDescent="0.25">
      <c r="Q23625" s="8"/>
    </row>
    <row r="23626" spans="17:17" x14ac:dyDescent="0.25">
      <c r="Q23626" s="8"/>
    </row>
    <row r="23627" spans="17:17" x14ac:dyDescent="0.25">
      <c r="Q23627" s="8"/>
    </row>
    <row r="23628" spans="17:17" x14ac:dyDescent="0.25">
      <c r="Q23628" s="8"/>
    </row>
    <row r="23629" spans="17:17" x14ac:dyDescent="0.25">
      <c r="Q23629" s="8"/>
    </row>
    <row r="23630" spans="17:17" x14ac:dyDescent="0.25">
      <c r="Q23630" s="8"/>
    </row>
    <row r="23631" spans="17:17" x14ac:dyDescent="0.25">
      <c r="Q23631" s="8"/>
    </row>
    <row r="23632" spans="17:17" x14ac:dyDescent="0.25">
      <c r="Q23632" s="8"/>
    </row>
    <row r="23633" spans="17:17" x14ac:dyDescent="0.25">
      <c r="Q23633" s="8"/>
    </row>
    <row r="23634" spans="17:17" x14ac:dyDescent="0.25">
      <c r="Q23634" s="8"/>
    </row>
    <row r="23635" spans="17:17" x14ac:dyDescent="0.25">
      <c r="Q23635" s="8"/>
    </row>
    <row r="23636" spans="17:17" x14ac:dyDescent="0.25">
      <c r="Q23636" s="8"/>
    </row>
    <row r="23637" spans="17:17" x14ac:dyDescent="0.25">
      <c r="Q23637" s="8"/>
    </row>
    <row r="23638" spans="17:17" x14ac:dyDescent="0.25">
      <c r="Q23638" s="8"/>
    </row>
    <row r="23639" spans="17:17" x14ac:dyDescent="0.25">
      <c r="Q23639" s="8"/>
    </row>
    <row r="23640" spans="17:17" x14ac:dyDescent="0.25">
      <c r="Q23640" s="8"/>
    </row>
    <row r="23641" spans="17:17" x14ac:dyDescent="0.25">
      <c r="Q23641" s="8"/>
    </row>
    <row r="23642" spans="17:17" x14ac:dyDescent="0.25">
      <c r="Q23642" s="8"/>
    </row>
    <row r="23643" spans="17:17" x14ac:dyDescent="0.25">
      <c r="Q23643" s="8"/>
    </row>
    <row r="23644" spans="17:17" x14ac:dyDescent="0.25">
      <c r="Q23644" s="8"/>
    </row>
    <row r="23645" spans="17:17" x14ac:dyDescent="0.25">
      <c r="Q23645" s="8"/>
    </row>
    <row r="23646" spans="17:17" x14ac:dyDescent="0.25">
      <c r="Q23646" s="8"/>
    </row>
    <row r="23647" spans="17:17" x14ac:dyDescent="0.25">
      <c r="Q23647" s="8"/>
    </row>
    <row r="23648" spans="17:17" x14ac:dyDescent="0.25">
      <c r="Q23648" s="8"/>
    </row>
    <row r="23649" spans="17:17" x14ac:dyDescent="0.25">
      <c r="Q23649" s="8"/>
    </row>
    <row r="23650" spans="17:17" x14ac:dyDescent="0.25">
      <c r="Q23650" s="8"/>
    </row>
    <row r="23651" spans="17:17" x14ac:dyDescent="0.25">
      <c r="Q23651" s="8"/>
    </row>
    <row r="23652" spans="17:17" x14ac:dyDescent="0.25">
      <c r="Q23652" s="8"/>
    </row>
    <row r="23653" spans="17:17" x14ac:dyDescent="0.25">
      <c r="Q23653" s="8"/>
    </row>
    <row r="23654" spans="17:17" x14ac:dyDescent="0.25">
      <c r="Q23654" s="8"/>
    </row>
    <row r="23655" spans="17:17" x14ac:dyDescent="0.25">
      <c r="Q23655" s="8"/>
    </row>
    <row r="23656" spans="17:17" x14ac:dyDescent="0.25">
      <c r="Q23656" s="8"/>
    </row>
    <row r="23657" spans="17:17" x14ac:dyDescent="0.25">
      <c r="Q23657" s="8"/>
    </row>
    <row r="23658" spans="17:17" x14ac:dyDescent="0.25">
      <c r="Q23658" s="8"/>
    </row>
    <row r="23659" spans="17:17" x14ac:dyDescent="0.25">
      <c r="Q23659" s="8"/>
    </row>
    <row r="23660" spans="17:17" x14ac:dyDescent="0.25">
      <c r="Q23660" s="8"/>
    </row>
    <row r="23661" spans="17:17" x14ac:dyDescent="0.25">
      <c r="Q23661" s="8"/>
    </row>
    <row r="23662" spans="17:17" x14ac:dyDescent="0.25">
      <c r="Q23662" s="8"/>
    </row>
    <row r="23663" spans="17:17" x14ac:dyDescent="0.25">
      <c r="Q23663" s="8"/>
    </row>
    <row r="23664" spans="17:17" x14ac:dyDescent="0.25">
      <c r="Q23664" s="8"/>
    </row>
    <row r="23665" spans="17:17" x14ac:dyDescent="0.25">
      <c r="Q23665" s="8"/>
    </row>
    <row r="23666" spans="17:17" x14ac:dyDescent="0.25">
      <c r="Q23666" s="8"/>
    </row>
    <row r="23667" spans="17:17" x14ac:dyDescent="0.25">
      <c r="Q23667" s="8"/>
    </row>
    <row r="23668" spans="17:17" x14ac:dyDescent="0.25">
      <c r="Q23668" s="8"/>
    </row>
    <row r="23669" spans="17:17" x14ac:dyDescent="0.25">
      <c r="Q23669" s="8"/>
    </row>
    <row r="23670" spans="17:17" x14ac:dyDescent="0.25">
      <c r="Q23670" s="8"/>
    </row>
    <row r="23671" spans="17:17" x14ac:dyDescent="0.25">
      <c r="Q23671" s="8"/>
    </row>
    <row r="23672" spans="17:17" x14ac:dyDescent="0.25">
      <c r="Q23672" s="8"/>
    </row>
    <row r="23673" spans="17:17" x14ac:dyDescent="0.25">
      <c r="Q23673" s="8"/>
    </row>
    <row r="23674" spans="17:17" x14ac:dyDescent="0.25">
      <c r="Q23674" s="8"/>
    </row>
    <row r="23675" spans="17:17" x14ac:dyDescent="0.25">
      <c r="Q23675" s="8"/>
    </row>
    <row r="23676" spans="17:17" x14ac:dyDescent="0.25">
      <c r="Q23676" s="8"/>
    </row>
    <row r="23677" spans="17:17" x14ac:dyDescent="0.25">
      <c r="Q23677" s="8"/>
    </row>
    <row r="23678" spans="17:17" x14ac:dyDescent="0.25">
      <c r="Q23678" s="8"/>
    </row>
    <row r="23679" spans="17:17" x14ac:dyDescent="0.25">
      <c r="Q23679" s="8"/>
    </row>
    <row r="23680" spans="17:17" x14ac:dyDescent="0.25">
      <c r="Q23680" s="8"/>
    </row>
    <row r="23681" spans="17:17" x14ac:dyDescent="0.25">
      <c r="Q23681" s="8"/>
    </row>
    <row r="23682" spans="17:17" x14ac:dyDescent="0.25">
      <c r="Q23682" s="8"/>
    </row>
    <row r="23683" spans="17:17" x14ac:dyDescent="0.25">
      <c r="Q23683" s="8"/>
    </row>
    <row r="23684" spans="17:17" x14ac:dyDescent="0.25">
      <c r="Q23684" s="8"/>
    </row>
    <row r="23685" spans="17:17" x14ac:dyDescent="0.25">
      <c r="Q23685" s="8"/>
    </row>
    <row r="23686" spans="17:17" x14ac:dyDescent="0.25">
      <c r="Q23686" s="8"/>
    </row>
    <row r="23687" spans="17:17" x14ac:dyDescent="0.25">
      <c r="Q23687" s="8"/>
    </row>
    <row r="23688" spans="17:17" x14ac:dyDescent="0.25">
      <c r="Q23688" s="8"/>
    </row>
    <row r="23689" spans="17:17" x14ac:dyDescent="0.25">
      <c r="Q23689" s="8"/>
    </row>
    <row r="23690" spans="17:17" x14ac:dyDescent="0.25">
      <c r="Q23690" s="8"/>
    </row>
    <row r="23691" spans="17:17" x14ac:dyDescent="0.25">
      <c r="Q23691" s="8"/>
    </row>
    <row r="23692" spans="17:17" x14ac:dyDescent="0.25">
      <c r="Q23692" s="8"/>
    </row>
    <row r="23693" spans="17:17" x14ac:dyDescent="0.25">
      <c r="Q23693" s="8"/>
    </row>
    <row r="23694" spans="17:17" x14ac:dyDescent="0.25">
      <c r="Q23694" s="8"/>
    </row>
    <row r="23695" spans="17:17" x14ac:dyDescent="0.25">
      <c r="Q23695" s="8"/>
    </row>
    <row r="23696" spans="17:17" x14ac:dyDescent="0.25">
      <c r="Q23696" s="8"/>
    </row>
    <row r="23697" spans="17:17" x14ac:dyDescent="0.25">
      <c r="Q23697" s="8"/>
    </row>
    <row r="23698" spans="17:17" x14ac:dyDescent="0.25">
      <c r="Q23698" s="8"/>
    </row>
    <row r="23699" spans="17:17" x14ac:dyDescent="0.25">
      <c r="Q23699" s="8"/>
    </row>
    <row r="23700" spans="17:17" x14ac:dyDescent="0.25">
      <c r="Q23700" s="8"/>
    </row>
    <row r="23701" spans="17:17" x14ac:dyDescent="0.25">
      <c r="Q23701" s="8"/>
    </row>
    <row r="23702" spans="17:17" x14ac:dyDescent="0.25">
      <c r="Q23702" s="8"/>
    </row>
    <row r="23703" spans="17:17" x14ac:dyDescent="0.25">
      <c r="Q23703" s="8"/>
    </row>
    <row r="23704" spans="17:17" x14ac:dyDescent="0.25">
      <c r="Q23704" s="8"/>
    </row>
    <row r="23705" spans="17:17" x14ac:dyDescent="0.25">
      <c r="Q23705" s="8"/>
    </row>
    <row r="23706" spans="17:17" x14ac:dyDescent="0.25">
      <c r="Q23706" s="8"/>
    </row>
    <row r="23707" spans="17:17" x14ac:dyDescent="0.25">
      <c r="Q23707" s="8"/>
    </row>
    <row r="23708" spans="17:17" x14ac:dyDescent="0.25">
      <c r="Q23708" s="8"/>
    </row>
    <row r="23709" spans="17:17" x14ac:dyDescent="0.25">
      <c r="Q23709" s="8"/>
    </row>
    <row r="23710" spans="17:17" x14ac:dyDescent="0.25">
      <c r="Q23710" s="8"/>
    </row>
    <row r="23711" spans="17:17" x14ac:dyDescent="0.25">
      <c r="Q23711" s="8"/>
    </row>
    <row r="23712" spans="17:17" x14ac:dyDescent="0.25">
      <c r="Q23712" s="8"/>
    </row>
    <row r="23713" spans="17:17" x14ac:dyDescent="0.25">
      <c r="Q23713" s="8"/>
    </row>
    <row r="23714" spans="17:17" x14ac:dyDescent="0.25">
      <c r="Q23714" s="8"/>
    </row>
    <row r="23715" spans="17:17" x14ac:dyDescent="0.25">
      <c r="Q23715" s="8"/>
    </row>
    <row r="23716" spans="17:17" x14ac:dyDescent="0.25">
      <c r="Q23716" s="8"/>
    </row>
    <row r="23717" spans="17:17" x14ac:dyDescent="0.25">
      <c r="Q23717" s="8"/>
    </row>
    <row r="23718" spans="17:17" x14ac:dyDescent="0.25">
      <c r="Q23718" s="8"/>
    </row>
    <row r="23719" spans="17:17" x14ac:dyDescent="0.25">
      <c r="Q23719" s="8"/>
    </row>
    <row r="23720" spans="17:17" x14ac:dyDescent="0.25">
      <c r="Q23720" s="8"/>
    </row>
    <row r="23721" spans="17:17" x14ac:dyDescent="0.25">
      <c r="Q23721" s="8"/>
    </row>
    <row r="23722" spans="17:17" x14ac:dyDescent="0.25">
      <c r="Q23722" s="8"/>
    </row>
    <row r="23723" spans="17:17" x14ac:dyDescent="0.25">
      <c r="Q23723" s="8"/>
    </row>
    <row r="23724" spans="17:17" x14ac:dyDescent="0.25">
      <c r="Q23724" s="8"/>
    </row>
    <row r="23725" spans="17:17" x14ac:dyDescent="0.25">
      <c r="Q23725" s="8"/>
    </row>
    <row r="23726" spans="17:17" x14ac:dyDescent="0.25">
      <c r="Q23726" s="8"/>
    </row>
    <row r="23727" spans="17:17" x14ac:dyDescent="0.25">
      <c r="Q23727" s="8"/>
    </row>
    <row r="23728" spans="17:17" x14ac:dyDescent="0.25">
      <c r="Q23728" s="8"/>
    </row>
    <row r="23729" spans="17:17" x14ac:dyDescent="0.25">
      <c r="Q23729" s="8"/>
    </row>
    <row r="23730" spans="17:17" x14ac:dyDescent="0.25">
      <c r="Q23730" s="8"/>
    </row>
    <row r="23731" spans="17:17" x14ac:dyDescent="0.25">
      <c r="Q23731" s="8"/>
    </row>
    <row r="23732" spans="17:17" x14ac:dyDescent="0.25">
      <c r="Q23732" s="8"/>
    </row>
    <row r="23733" spans="17:17" x14ac:dyDescent="0.25">
      <c r="Q23733" s="8"/>
    </row>
    <row r="23734" spans="17:17" x14ac:dyDescent="0.25">
      <c r="Q23734" s="8"/>
    </row>
    <row r="23735" spans="17:17" x14ac:dyDescent="0.25">
      <c r="Q23735" s="8"/>
    </row>
    <row r="23736" spans="17:17" x14ac:dyDescent="0.25">
      <c r="Q23736" s="8"/>
    </row>
    <row r="23737" spans="17:17" x14ac:dyDescent="0.25">
      <c r="Q23737" s="8"/>
    </row>
    <row r="23738" spans="17:17" x14ac:dyDescent="0.25">
      <c r="Q23738" s="8"/>
    </row>
    <row r="23739" spans="17:17" x14ac:dyDescent="0.25">
      <c r="Q23739" s="8"/>
    </row>
    <row r="23740" spans="17:17" x14ac:dyDescent="0.25">
      <c r="Q23740" s="8"/>
    </row>
    <row r="23741" spans="17:17" x14ac:dyDescent="0.25">
      <c r="Q23741" s="8"/>
    </row>
    <row r="23742" spans="17:17" x14ac:dyDescent="0.25">
      <c r="Q23742" s="8"/>
    </row>
    <row r="23743" spans="17:17" x14ac:dyDescent="0.25">
      <c r="Q23743" s="8"/>
    </row>
    <row r="23744" spans="17:17" x14ac:dyDescent="0.25">
      <c r="Q23744" s="8"/>
    </row>
    <row r="23745" spans="17:17" x14ac:dyDescent="0.25">
      <c r="Q23745" s="8"/>
    </row>
    <row r="23746" spans="17:17" x14ac:dyDescent="0.25">
      <c r="Q23746" s="8"/>
    </row>
    <row r="23747" spans="17:17" x14ac:dyDescent="0.25">
      <c r="Q23747" s="8"/>
    </row>
    <row r="23748" spans="17:17" x14ac:dyDescent="0.25">
      <c r="Q23748" s="8"/>
    </row>
    <row r="23749" spans="17:17" x14ac:dyDescent="0.25">
      <c r="Q23749" s="8"/>
    </row>
    <row r="23750" spans="17:17" x14ac:dyDescent="0.25">
      <c r="Q23750" s="8"/>
    </row>
    <row r="23751" spans="17:17" x14ac:dyDescent="0.25">
      <c r="Q23751" s="8"/>
    </row>
    <row r="23752" spans="17:17" x14ac:dyDescent="0.25">
      <c r="Q23752" s="8"/>
    </row>
    <row r="23753" spans="17:17" x14ac:dyDescent="0.25">
      <c r="Q23753" s="8"/>
    </row>
    <row r="23754" spans="17:17" x14ac:dyDescent="0.25">
      <c r="Q23754" s="8"/>
    </row>
    <row r="23755" spans="17:17" x14ac:dyDescent="0.25">
      <c r="Q23755" s="8"/>
    </row>
    <row r="23756" spans="17:17" x14ac:dyDescent="0.25">
      <c r="Q23756" s="8"/>
    </row>
    <row r="23757" spans="17:17" x14ac:dyDescent="0.25">
      <c r="Q23757" s="8"/>
    </row>
    <row r="23758" spans="17:17" x14ac:dyDescent="0.25">
      <c r="Q23758" s="8"/>
    </row>
    <row r="23759" spans="17:17" x14ac:dyDescent="0.25">
      <c r="Q23759" s="8"/>
    </row>
    <row r="23760" spans="17:17" x14ac:dyDescent="0.25">
      <c r="Q23760" s="8"/>
    </row>
    <row r="23761" spans="17:17" x14ac:dyDescent="0.25">
      <c r="Q23761" s="8"/>
    </row>
    <row r="23762" spans="17:17" x14ac:dyDescent="0.25">
      <c r="Q23762" s="8"/>
    </row>
    <row r="23763" spans="17:17" x14ac:dyDescent="0.25">
      <c r="Q23763" s="8"/>
    </row>
    <row r="23764" spans="17:17" x14ac:dyDescent="0.25">
      <c r="Q23764" s="8"/>
    </row>
    <row r="23765" spans="17:17" x14ac:dyDescent="0.25">
      <c r="Q23765" s="8"/>
    </row>
    <row r="23766" spans="17:17" x14ac:dyDescent="0.25">
      <c r="Q23766" s="8"/>
    </row>
    <row r="23767" spans="17:17" x14ac:dyDescent="0.25">
      <c r="Q23767" s="8"/>
    </row>
    <row r="23768" spans="17:17" x14ac:dyDescent="0.25">
      <c r="Q23768" s="8"/>
    </row>
    <row r="23769" spans="17:17" x14ac:dyDescent="0.25">
      <c r="Q23769" s="8"/>
    </row>
    <row r="23770" spans="17:17" x14ac:dyDescent="0.25">
      <c r="Q23770" s="8"/>
    </row>
    <row r="23771" spans="17:17" x14ac:dyDescent="0.25">
      <c r="Q23771" s="8"/>
    </row>
    <row r="23772" spans="17:17" x14ac:dyDescent="0.25">
      <c r="Q23772" s="8"/>
    </row>
    <row r="23773" spans="17:17" x14ac:dyDescent="0.25">
      <c r="Q23773" s="8"/>
    </row>
    <row r="23774" spans="17:17" x14ac:dyDescent="0.25">
      <c r="Q23774" s="8"/>
    </row>
    <row r="23775" spans="17:17" x14ac:dyDescent="0.25">
      <c r="Q23775" s="8"/>
    </row>
    <row r="23776" spans="17:17" x14ac:dyDescent="0.25">
      <c r="Q23776" s="8"/>
    </row>
    <row r="23777" spans="17:17" x14ac:dyDescent="0.25">
      <c r="Q23777" s="8"/>
    </row>
    <row r="23778" spans="17:17" x14ac:dyDescent="0.25">
      <c r="Q23778" s="8"/>
    </row>
    <row r="23779" spans="17:17" x14ac:dyDescent="0.25">
      <c r="Q23779" s="8"/>
    </row>
    <row r="23780" spans="17:17" x14ac:dyDescent="0.25">
      <c r="Q23780" s="8"/>
    </row>
    <row r="23781" spans="17:17" x14ac:dyDescent="0.25">
      <c r="Q23781" s="8"/>
    </row>
    <row r="23782" spans="17:17" x14ac:dyDescent="0.25">
      <c r="Q23782" s="8"/>
    </row>
    <row r="23783" spans="17:17" x14ac:dyDescent="0.25">
      <c r="Q23783" s="8"/>
    </row>
    <row r="23784" spans="17:17" x14ac:dyDescent="0.25">
      <c r="Q23784" s="8"/>
    </row>
    <row r="23785" spans="17:17" x14ac:dyDescent="0.25">
      <c r="Q23785" s="8"/>
    </row>
    <row r="23786" spans="17:17" x14ac:dyDescent="0.25">
      <c r="Q23786" s="8"/>
    </row>
    <row r="23787" spans="17:17" x14ac:dyDescent="0.25">
      <c r="Q23787" s="8"/>
    </row>
    <row r="23788" spans="17:17" x14ac:dyDescent="0.25">
      <c r="Q23788" s="8"/>
    </row>
    <row r="23789" spans="17:17" x14ac:dyDescent="0.25">
      <c r="Q23789" s="8"/>
    </row>
    <row r="23790" spans="17:17" x14ac:dyDescent="0.25">
      <c r="Q23790" s="8"/>
    </row>
    <row r="23791" spans="17:17" x14ac:dyDescent="0.25">
      <c r="Q23791" s="8"/>
    </row>
    <row r="23792" spans="17:17" x14ac:dyDescent="0.25">
      <c r="Q23792" s="8"/>
    </row>
    <row r="23793" spans="17:17" x14ac:dyDescent="0.25">
      <c r="Q23793" s="8"/>
    </row>
    <row r="23794" spans="17:17" x14ac:dyDescent="0.25">
      <c r="Q23794" s="8"/>
    </row>
    <row r="23795" spans="17:17" x14ac:dyDescent="0.25">
      <c r="Q23795" s="8"/>
    </row>
    <row r="23796" spans="17:17" x14ac:dyDescent="0.25">
      <c r="Q23796" s="8"/>
    </row>
    <row r="23797" spans="17:17" x14ac:dyDescent="0.25">
      <c r="Q23797" s="8"/>
    </row>
    <row r="23798" spans="17:17" x14ac:dyDescent="0.25">
      <c r="Q23798" s="8"/>
    </row>
    <row r="23799" spans="17:17" x14ac:dyDescent="0.25">
      <c r="Q23799" s="8"/>
    </row>
    <row r="23800" spans="17:17" x14ac:dyDescent="0.25">
      <c r="Q23800" s="8"/>
    </row>
    <row r="23801" spans="17:17" x14ac:dyDescent="0.25">
      <c r="Q23801" s="8"/>
    </row>
    <row r="23802" spans="17:17" x14ac:dyDescent="0.25">
      <c r="Q23802" s="8"/>
    </row>
    <row r="23803" spans="17:17" x14ac:dyDescent="0.25">
      <c r="Q23803" s="8"/>
    </row>
    <row r="23804" spans="17:17" x14ac:dyDescent="0.25">
      <c r="Q23804" s="8"/>
    </row>
    <row r="23805" spans="17:17" x14ac:dyDescent="0.25">
      <c r="Q23805" s="8"/>
    </row>
    <row r="23806" spans="17:17" x14ac:dyDescent="0.25">
      <c r="Q23806" s="8"/>
    </row>
    <row r="23807" spans="17:17" x14ac:dyDescent="0.25">
      <c r="Q23807" s="8"/>
    </row>
    <row r="23808" spans="17:17" x14ac:dyDescent="0.25">
      <c r="Q23808" s="8"/>
    </row>
    <row r="23809" spans="17:17" x14ac:dyDescent="0.25">
      <c r="Q23809" s="8"/>
    </row>
    <row r="23810" spans="17:17" x14ac:dyDescent="0.25">
      <c r="Q23810" s="8"/>
    </row>
    <row r="23811" spans="17:17" x14ac:dyDescent="0.25">
      <c r="Q23811" s="8"/>
    </row>
    <row r="23812" spans="17:17" x14ac:dyDescent="0.25">
      <c r="Q23812" s="8"/>
    </row>
    <row r="23813" spans="17:17" x14ac:dyDescent="0.25">
      <c r="Q23813" s="8"/>
    </row>
    <row r="23814" spans="17:17" x14ac:dyDescent="0.25">
      <c r="Q23814" s="8"/>
    </row>
    <row r="23815" spans="17:17" x14ac:dyDescent="0.25">
      <c r="Q23815" s="8"/>
    </row>
    <row r="23816" spans="17:17" x14ac:dyDescent="0.25">
      <c r="Q23816" s="8"/>
    </row>
    <row r="23817" spans="17:17" x14ac:dyDescent="0.25">
      <c r="Q23817" s="8"/>
    </row>
    <row r="23818" spans="17:17" x14ac:dyDescent="0.25">
      <c r="Q23818" s="8"/>
    </row>
    <row r="23819" spans="17:17" x14ac:dyDescent="0.25">
      <c r="Q23819" s="8"/>
    </row>
    <row r="23820" spans="17:17" x14ac:dyDescent="0.25">
      <c r="Q23820" s="8"/>
    </row>
    <row r="23821" spans="17:17" x14ac:dyDescent="0.25">
      <c r="Q23821" s="8"/>
    </row>
    <row r="23822" spans="17:17" x14ac:dyDescent="0.25">
      <c r="Q23822" s="8"/>
    </row>
    <row r="23823" spans="17:17" x14ac:dyDescent="0.25">
      <c r="Q23823" s="8"/>
    </row>
    <row r="23824" spans="17:17" x14ac:dyDescent="0.25">
      <c r="Q23824" s="8"/>
    </row>
    <row r="23825" spans="17:17" x14ac:dyDescent="0.25">
      <c r="Q23825" s="8"/>
    </row>
    <row r="23826" spans="17:17" x14ac:dyDescent="0.25">
      <c r="Q23826" s="8"/>
    </row>
    <row r="23827" spans="17:17" x14ac:dyDescent="0.25">
      <c r="Q23827" s="8"/>
    </row>
    <row r="23828" spans="17:17" x14ac:dyDescent="0.25">
      <c r="Q23828" s="8"/>
    </row>
    <row r="23829" spans="17:17" x14ac:dyDescent="0.25">
      <c r="Q23829" s="8"/>
    </row>
    <row r="23830" spans="17:17" x14ac:dyDescent="0.25">
      <c r="Q23830" s="8"/>
    </row>
    <row r="23831" spans="17:17" x14ac:dyDescent="0.25">
      <c r="Q23831" s="8"/>
    </row>
    <row r="23832" spans="17:17" x14ac:dyDescent="0.25">
      <c r="Q23832" s="8"/>
    </row>
    <row r="23833" spans="17:17" x14ac:dyDescent="0.25">
      <c r="Q23833" s="8"/>
    </row>
    <row r="23834" spans="17:17" x14ac:dyDescent="0.25">
      <c r="Q23834" s="8"/>
    </row>
    <row r="23835" spans="17:17" x14ac:dyDescent="0.25">
      <c r="Q23835" s="8"/>
    </row>
    <row r="23836" spans="17:17" x14ac:dyDescent="0.25">
      <c r="Q23836" s="8"/>
    </row>
    <row r="23837" spans="17:17" x14ac:dyDescent="0.25">
      <c r="Q23837" s="8"/>
    </row>
    <row r="23838" spans="17:17" x14ac:dyDescent="0.25">
      <c r="Q23838" s="8"/>
    </row>
    <row r="23839" spans="17:17" x14ac:dyDescent="0.25">
      <c r="Q23839" s="8"/>
    </row>
    <row r="23840" spans="17:17" x14ac:dyDescent="0.25">
      <c r="Q23840" s="8"/>
    </row>
    <row r="23841" spans="17:17" x14ac:dyDescent="0.25">
      <c r="Q23841" s="8"/>
    </row>
    <row r="23842" spans="17:17" x14ac:dyDescent="0.25">
      <c r="Q23842" s="8"/>
    </row>
    <row r="23843" spans="17:17" x14ac:dyDescent="0.25">
      <c r="Q23843" s="8"/>
    </row>
    <row r="23844" spans="17:17" x14ac:dyDescent="0.25">
      <c r="Q23844" s="8"/>
    </row>
    <row r="23845" spans="17:17" x14ac:dyDescent="0.25">
      <c r="Q23845" s="8"/>
    </row>
    <row r="23846" spans="17:17" x14ac:dyDescent="0.25">
      <c r="Q23846" s="8"/>
    </row>
    <row r="23847" spans="17:17" x14ac:dyDescent="0.25">
      <c r="Q23847" s="8"/>
    </row>
    <row r="23848" spans="17:17" x14ac:dyDescent="0.25">
      <c r="Q23848" s="8"/>
    </row>
    <row r="23849" spans="17:17" x14ac:dyDescent="0.25">
      <c r="Q23849" s="8"/>
    </row>
    <row r="23850" spans="17:17" x14ac:dyDescent="0.25">
      <c r="Q23850" s="8"/>
    </row>
    <row r="23851" spans="17:17" x14ac:dyDescent="0.25">
      <c r="Q23851" s="8"/>
    </row>
    <row r="23852" spans="17:17" x14ac:dyDescent="0.25">
      <c r="Q23852" s="8"/>
    </row>
    <row r="23853" spans="17:17" x14ac:dyDescent="0.25">
      <c r="Q23853" s="8"/>
    </row>
    <row r="23854" spans="17:17" x14ac:dyDescent="0.25">
      <c r="Q23854" s="8"/>
    </row>
    <row r="23855" spans="17:17" x14ac:dyDescent="0.25">
      <c r="Q23855" s="8"/>
    </row>
    <row r="23856" spans="17:17" x14ac:dyDescent="0.25">
      <c r="Q23856" s="8"/>
    </row>
    <row r="23857" spans="17:17" x14ac:dyDescent="0.25">
      <c r="Q23857" s="8"/>
    </row>
    <row r="23858" spans="17:17" x14ac:dyDescent="0.25">
      <c r="Q23858" s="8"/>
    </row>
    <row r="23859" spans="17:17" x14ac:dyDescent="0.25">
      <c r="Q23859" s="8"/>
    </row>
    <row r="23860" spans="17:17" x14ac:dyDescent="0.25">
      <c r="Q23860" s="8"/>
    </row>
    <row r="23861" spans="17:17" x14ac:dyDescent="0.25">
      <c r="Q23861" s="8"/>
    </row>
    <row r="23862" spans="17:17" x14ac:dyDescent="0.25">
      <c r="Q23862" s="8"/>
    </row>
    <row r="23863" spans="17:17" x14ac:dyDescent="0.25">
      <c r="Q23863" s="8"/>
    </row>
    <row r="23864" spans="17:17" x14ac:dyDescent="0.25">
      <c r="Q23864" s="8"/>
    </row>
    <row r="23865" spans="17:17" x14ac:dyDescent="0.25">
      <c r="Q23865" s="8"/>
    </row>
    <row r="23866" spans="17:17" x14ac:dyDescent="0.25">
      <c r="Q23866" s="8"/>
    </row>
    <row r="23867" spans="17:17" x14ac:dyDescent="0.25">
      <c r="Q23867" s="8"/>
    </row>
    <row r="23868" spans="17:17" x14ac:dyDescent="0.25">
      <c r="Q23868" s="8"/>
    </row>
    <row r="23869" spans="17:17" x14ac:dyDescent="0.25">
      <c r="Q23869" s="8"/>
    </row>
    <row r="23870" spans="17:17" x14ac:dyDescent="0.25">
      <c r="Q23870" s="8"/>
    </row>
    <row r="23871" spans="17:17" x14ac:dyDescent="0.25">
      <c r="Q23871" s="8"/>
    </row>
    <row r="23872" spans="17:17" x14ac:dyDescent="0.25">
      <c r="Q23872" s="8"/>
    </row>
    <row r="23873" spans="17:17" x14ac:dyDescent="0.25">
      <c r="Q23873" s="8"/>
    </row>
    <row r="23874" spans="17:17" x14ac:dyDescent="0.25">
      <c r="Q23874" s="8"/>
    </row>
    <row r="23875" spans="17:17" x14ac:dyDescent="0.25">
      <c r="Q23875" s="8"/>
    </row>
    <row r="23876" spans="17:17" x14ac:dyDescent="0.25">
      <c r="Q23876" s="8"/>
    </row>
    <row r="23877" spans="17:17" x14ac:dyDescent="0.25">
      <c r="Q23877" s="8"/>
    </row>
    <row r="23878" spans="17:17" x14ac:dyDescent="0.25">
      <c r="Q23878" s="8"/>
    </row>
    <row r="23879" spans="17:17" x14ac:dyDescent="0.25">
      <c r="Q23879" s="8"/>
    </row>
    <row r="23880" spans="17:17" x14ac:dyDescent="0.25">
      <c r="Q23880" s="8"/>
    </row>
    <row r="23881" spans="17:17" x14ac:dyDescent="0.25">
      <c r="Q23881" s="8"/>
    </row>
    <row r="23882" spans="17:17" x14ac:dyDescent="0.25">
      <c r="Q23882" s="8"/>
    </row>
    <row r="23883" spans="17:17" x14ac:dyDescent="0.25">
      <c r="Q23883" s="8"/>
    </row>
    <row r="23884" spans="17:17" x14ac:dyDescent="0.25">
      <c r="Q23884" s="8"/>
    </row>
    <row r="23885" spans="17:17" x14ac:dyDescent="0.25">
      <c r="Q23885" s="8"/>
    </row>
    <row r="23886" spans="17:17" x14ac:dyDescent="0.25">
      <c r="Q23886" s="8"/>
    </row>
    <row r="23887" spans="17:17" x14ac:dyDescent="0.25">
      <c r="Q23887" s="8"/>
    </row>
    <row r="23888" spans="17:17" x14ac:dyDescent="0.25">
      <c r="Q23888" s="8"/>
    </row>
    <row r="23889" spans="17:17" x14ac:dyDescent="0.25">
      <c r="Q23889" s="8"/>
    </row>
    <row r="23890" spans="17:17" x14ac:dyDescent="0.25">
      <c r="Q23890" s="8"/>
    </row>
    <row r="23891" spans="17:17" x14ac:dyDescent="0.25">
      <c r="Q23891" s="8"/>
    </row>
    <row r="23892" spans="17:17" x14ac:dyDescent="0.25">
      <c r="Q23892" s="8"/>
    </row>
    <row r="23893" spans="17:17" x14ac:dyDescent="0.25">
      <c r="Q23893" s="8"/>
    </row>
    <row r="23894" spans="17:17" x14ac:dyDescent="0.25">
      <c r="Q23894" s="8"/>
    </row>
    <row r="23895" spans="17:17" x14ac:dyDescent="0.25">
      <c r="Q23895" s="8"/>
    </row>
    <row r="23896" spans="17:17" x14ac:dyDescent="0.25">
      <c r="Q23896" s="8"/>
    </row>
    <row r="23897" spans="17:17" x14ac:dyDescent="0.25">
      <c r="Q23897" s="8"/>
    </row>
    <row r="23898" spans="17:17" x14ac:dyDescent="0.25">
      <c r="Q23898" s="8"/>
    </row>
    <row r="23899" spans="17:17" x14ac:dyDescent="0.25">
      <c r="Q23899" s="8"/>
    </row>
    <row r="23900" spans="17:17" x14ac:dyDescent="0.25">
      <c r="Q23900" s="8"/>
    </row>
    <row r="23901" spans="17:17" x14ac:dyDescent="0.25">
      <c r="Q23901" s="8"/>
    </row>
    <row r="23902" spans="17:17" x14ac:dyDescent="0.25">
      <c r="Q23902" s="8"/>
    </row>
    <row r="23903" spans="17:17" x14ac:dyDescent="0.25">
      <c r="Q23903" s="8"/>
    </row>
    <row r="23904" spans="17:17" x14ac:dyDescent="0.25">
      <c r="Q23904" s="8"/>
    </row>
    <row r="23905" spans="17:17" x14ac:dyDescent="0.25">
      <c r="Q23905" s="8"/>
    </row>
    <row r="23906" spans="17:17" x14ac:dyDescent="0.25">
      <c r="Q23906" s="8"/>
    </row>
    <row r="23907" spans="17:17" x14ac:dyDescent="0.25">
      <c r="Q23907" s="8"/>
    </row>
    <row r="23908" spans="17:17" x14ac:dyDescent="0.25">
      <c r="Q23908" s="8"/>
    </row>
    <row r="23909" spans="17:17" x14ac:dyDescent="0.25">
      <c r="Q23909" s="8"/>
    </row>
    <row r="23910" spans="17:17" x14ac:dyDescent="0.25">
      <c r="Q23910" s="8"/>
    </row>
    <row r="23911" spans="17:17" x14ac:dyDescent="0.25">
      <c r="Q23911" s="8"/>
    </row>
    <row r="23912" spans="17:17" x14ac:dyDescent="0.25">
      <c r="Q23912" s="8"/>
    </row>
    <row r="23913" spans="17:17" x14ac:dyDescent="0.25">
      <c r="Q23913" s="8"/>
    </row>
    <row r="23914" spans="17:17" x14ac:dyDescent="0.25">
      <c r="Q23914" s="8"/>
    </row>
    <row r="23915" spans="17:17" x14ac:dyDescent="0.25">
      <c r="Q23915" s="8"/>
    </row>
    <row r="23916" spans="17:17" x14ac:dyDescent="0.25">
      <c r="Q23916" s="8"/>
    </row>
    <row r="23917" spans="17:17" x14ac:dyDescent="0.25">
      <c r="Q23917" s="8"/>
    </row>
    <row r="23918" spans="17:17" x14ac:dyDescent="0.25">
      <c r="Q23918" s="8"/>
    </row>
    <row r="23919" spans="17:17" x14ac:dyDescent="0.25">
      <c r="Q23919" s="8"/>
    </row>
    <row r="23920" spans="17:17" x14ac:dyDescent="0.25">
      <c r="Q23920" s="8"/>
    </row>
    <row r="23921" spans="17:17" x14ac:dyDescent="0.25">
      <c r="Q23921" s="8"/>
    </row>
    <row r="23922" spans="17:17" x14ac:dyDescent="0.25">
      <c r="Q23922" s="8"/>
    </row>
    <row r="23923" spans="17:17" x14ac:dyDescent="0.25">
      <c r="Q23923" s="8"/>
    </row>
    <row r="23924" spans="17:17" x14ac:dyDescent="0.25">
      <c r="Q23924" s="8"/>
    </row>
    <row r="23925" spans="17:17" x14ac:dyDescent="0.25">
      <c r="Q23925" s="8"/>
    </row>
    <row r="23926" spans="17:17" x14ac:dyDescent="0.25">
      <c r="Q23926" s="8"/>
    </row>
    <row r="23927" spans="17:17" x14ac:dyDescent="0.25">
      <c r="Q23927" s="8"/>
    </row>
    <row r="23928" spans="17:17" x14ac:dyDescent="0.25">
      <c r="Q23928" s="8"/>
    </row>
    <row r="23929" spans="17:17" x14ac:dyDescent="0.25">
      <c r="Q23929" s="8"/>
    </row>
    <row r="23930" spans="17:17" x14ac:dyDescent="0.25">
      <c r="Q23930" s="8"/>
    </row>
    <row r="23931" spans="17:17" x14ac:dyDescent="0.25">
      <c r="Q23931" s="8"/>
    </row>
    <row r="23932" spans="17:17" x14ac:dyDescent="0.25">
      <c r="Q23932" s="8"/>
    </row>
    <row r="23933" spans="17:17" x14ac:dyDescent="0.25">
      <c r="Q23933" s="8"/>
    </row>
    <row r="23934" spans="17:17" x14ac:dyDescent="0.25">
      <c r="Q23934" s="8"/>
    </row>
    <row r="23935" spans="17:17" x14ac:dyDescent="0.25">
      <c r="Q23935" s="8"/>
    </row>
    <row r="23936" spans="17:17" x14ac:dyDescent="0.25">
      <c r="Q23936" s="8"/>
    </row>
    <row r="23937" spans="17:17" x14ac:dyDescent="0.25">
      <c r="Q23937" s="8"/>
    </row>
    <row r="23938" spans="17:17" x14ac:dyDescent="0.25">
      <c r="Q23938" s="8"/>
    </row>
    <row r="23939" spans="17:17" x14ac:dyDescent="0.25">
      <c r="Q23939" s="8"/>
    </row>
    <row r="23940" spans="17:17" x14ac:dyDescent="0.25">
      <c r="Q23940" s="8"/>
    </row>
    <row r="23941" spans="17:17" x14ac:dyDescent="0.25">
      <c r="Q23941" s="8"/>
    </row>
    <row r="23942" spans="17:17" x14ac:dyDescent="0.25">
      <c r="Q23942" s="8"/>
    </row>
    <row r="23943" spans="17:17" x14ac:dyDescent="0.25">
      <c r="Q23943" s="8"/>
    </row>
    <row r="23944" spans="17:17" x14ac:dyDescent="0.25">
      <c r="Q23944" s="8"/>
    </row>
    <row r="23945" spans="17:17" x14ac:dyDescent="0.25">
      <c r="Q23945" s="8"/>
    </row>
    <row r="23946" spans="17:17" x14ac:dyDescent="0.25">
      <c r="Q23946" s="8"/>
    </row>
    <row r="23947" spans="17:17" x14ac:dyDescent="0.25">
      <c r="Q23947" s="8"/>
    </row>
    <row r="23948" spans="17:17" x14ac:dyDescent="0.25">
      <c r="Q23948" s="8"/>
    </row>
    <row r="23949" spans="17:17" x14ac:dyDescent="0.25">
      <c r="Q23949" s="8"/>
    </row>
    <row r="23950" spans="17:17" x14ac:dyDescent="0.25">
      <c r="Q23950" s="8"/>
    </row>
    <row r="23951" spans="17:17" x14ac:dyDescent="0.25">
      <c r="Q23951" s="8"/>
    </row>
    <row r="23952" spans="17:17" x14ac:dyDescent="0.25">
      <c r="Q23952" s="8"/>
    </row>
    <row r="23953" spans="17:17" x14ac:dyDescent="0.25">
      <c r="Q23953" s="8"/>
    </row>
    <row r="23954" spans="17:17" x14ac:dyDescent="0.25">
      <c r="Q23954" s="8"/>
    </row>
    <row r="23955" spans="17:17" x14ac:dyDescent="0.25">
      <c r="Q23955" s="8"/>
    </row>
    <row r="23956" spans="17:17" x14ac:dyDescent="0.25">
      <c r="Q23956" s="8"/>
    </row>
    <row r="23957" spans="17:17" x14ac:dyDescent="0.25">
      <c r="Q23957" s="8"/>
    </row>
    <row r="23958" spans="17:17" x14ac:dyDescent="0.25">
      <c r="Q23958" s="8"/>
    </row>
    <row r="23959" spans="17:17" x14ac:dyDescent="0.25">
      <c r="Q23959" s="8"/>
    </row>
    <row r="23960" spans="17:17" x14ac:dyDescent="0.25">
      <c r="Q23960" s="8"/>
    </row>
    <row r="23961" spans="17:17" x14ac:dyDescent="0.25">
      <c r="Q23961" s="8"/>
    </row>
    <row r="23962" spans="17:17" x14ac:dyDescent="0.25">
      <c r="Q23962" s="8"/>
    </row>
    <row r="23963" spans="17:17" x14ac:dyDescent="0.25">
      <c r="Q23963" s="8"/>
    </row>
    <row r="23964" spans="17:17" x14ac:dyDescent="0.25">
      <c r="Q23964" s="8"/>
    </row>
    <row r="23965" spans="17:17" x14ac:dyDescent="0.25">
      <c r="Q23965" s="8"/>
    </row>
    <row r="23966" spans="17:17" x14ac:dyDescent="0.25">
      <c r="Q23966" s="8"/>
    </row>
    <row r="23967" spans="17:17" x14ac:dyDescent="0.25">
      <c r="Q23967" s="8"/>
    </row>
    <row r="23968" spans="17:17" x14ac:dyDescent="0.25">
      <c r="Q23968" s="8"/>
    </row>
    <row r="23969" spans="17:17" x14ac:dyDescent="0.25">
      <c r="Q23969" s="8"/>
    </row>
    <row r="23970" spans="17:17" x14ac:dyDescent="0.25">
      <c r="Q23970" s="8"/>
    </row>
    <row r="23971" spans="17:17" x14ac:dyDescent="0.25">
      <c r="Q23971" s="8"/>
    </row>
    <row r="23972" spans="17:17" x14ac:dyDescent="0.25">
      <c r="Q23972" s="8"/>
    </row>
    <row r="23973" spans="17:17" x14ac:dyDescent="0.25">
      <c r="Q23973" s="8"/>
    </row>
    <row r="23974" spans="17:17" x14ac:dyDescent="0.25">
      <c r="Q23974" s="8"/>
    </row>
    <row r="23975" spans="17:17" x14ac:dyDescent="0.25">
      <c r="Q23975" s="8"/>
    </row>
    <row r="23976" spans="17:17" x14ac:dyDescent="0.25">
      <c r="Q23976" s="8"/>
    </row>
    <row r="23977" spans="17:17" x14ac:dyDescent="0.25">
      <c r="Q23977" s="8"/>
    </row>
    <row r="23978" spans="17:17" x14ac:dyDescent="0.25">
      <c r="Q23978" s="8"/>
    </row>
    <row r="23979" spans="17:17" x14ac:dyDescent="0.25">
      <c r="Q23979" s="8"/>
    </row>
    <row r="23980" spans="17:17" x14ac:dyDescent="0.25">
      <c r="Q23980" s="8"/>
    </row>
    <row r="23981" spans="17:17" x14ac:dyDescent="0.25">
      <c r="Q23981" s="8"/>
    </row>
    <row r="23982" spans="17:17" x14ac:dyDescent="0.25">
      <c r="Q23982" s="8"/>
    </row>
    <row r="23983" spans="17:17" x14ac:dyDescent="0.25">
      <c r="Q23983" s="8"/>
    </row>
    <row r="23984" spans="17:17" x14ac:dyDescent="0.25">
      <c r="Q23984" s="8"/>
    </row>
    <row r="23985" spans="17:17" x14ac:dyDescent="0.25">
      <c r="Q23985" s="8"/>
    </row>
    <row r="23986" spans="17:17" x14ac:dyDescent="0.25">
      <c r="Q23986" s="8"/>
    </row>
    <row r="23987" spans="17:17" x14ac:dyDescent="0.25">
      <c r="Q23987" s="8"/>
    </row>
    <row r="23988" spans="17:17" x14ac:dyDescent="0.25">
      <c r="Q23988" s="8"/>
    </row>
    <row r="23989" spans="17:17" x14ac:dyDescent="0.25">
      <c r="Q23989" s="8"/>
    </row>
    <row r="23990" spans="17:17" x14ac:dyDescent="0.25">
      <c r="Q23990" s="8"/>
    </row>
    <row r="23991" spans="17:17" x14ac:dyDescent="0.25">
      <c r="Q23991" s="8"/>
    </row>
    <row r="23992" spans="17:17" x14ac:dyDescent="0.25">
      <c r="Q23992" s="8"/>
    </row>
    <row r="23993" spans="17:17" x14ac:dyDescent="0.25">
      <c r="Q23993" s="8"/>
    </row>
    <row r="23994" spans="17:17" x14ac:dyDescent="0.25">
      <c r="Q23994" s="8"/>
    </row>
    <row r="23995" spans="17:17" x14ac:dyDescent="0.25">
      <c r="Q23995" s="8"/>
    </row>
    <row r="23996" spans="17:17" x14ac:dyDescent="0.25">
      <c r="Q23996" s="8"/>
    </row>
    <row r="23997" spans="17:17" x14ac:dyDescent="0.25">
      <c r="Q23997" s="8"/>
    </row>
    <row r="23998" spans="17:17" x14ac:dyDescent="0.25">
      <c r="Q23998" s="8"/>
    </row>
    <row r="23999" spans="17:17" x14ac:dyDescent="0.25">
      <c r="Q23999" s="8"/>
    </row>
    <row r="24000" spans="17:17" x14ac:dyDescent="0.25">
      <c r="Q24000" s="8"/>
    </row>
    <row r="24001" spans="17:17" x14ac:dyDescent="0.25">
      <c r="Q24001" s="8"/>
    </row>
    <row r="24002" spans="17:17" x14ac:dyDescent="0.25">
      <c r="Q24002" s="8"/>
    </row>
    <row r="24003" spans="17:17" x14ac:dyDescent="0.25">
      <c r="Q24003" s="8"/>
    </row>
    <row r="24004" spans="17:17" x14ac:dyDescent="0.25">
      <c r="Q24004" s="8"/>
    </row>
    <row r="24005" spans="17:17" x14ac:dyDescent="0.25">
      <c r="Q24005" s="8"/>
    </row>
    <row r="24006" spans="17:17" x14ac:dyDescent="0.25">
      <c r="Q24006" s="8"/>
    </row>
    <row r="24007" spans="17:17" x14ac:dyDescent="0.25">
      <c r="Q24007" s="8"/>
    </row>
    <row r="24008" spans="17:17" x14ac:dyDescent="0.25">
      <c r="Q24008" s="8"/>
    </row>
    <row r="24009" spans="17:17" x14ac:dyDescent="0.25">
      <c r="Q24009" s="8"/>
    </row>
    <row r="24010" spans="17:17" x14ac:dyDescent="0.25">
      <c r="Q24010" s="8"/>
    </row>
    <row r="24011" spans="17:17" x14ac:dyDescent="0.25">
      <c r="Q24011" s="8"/>
    </row>
    <row r="24012" spans="17:17" x14ac:dyDescent="0.25">
      <c r="Q24012" s="8"/>
    </row>
    <row r="24013" spans="17:17" x14ac:dyDescent="0.25">
      <c r="Q24013" s="8"/>
    </row>
    <row r="24014" spans="17:17" x14ac:dyDescent="0.25">
      <c r="Q24014" s="8"/>
    </row>
    <row r="24015" spans="17:17" x14ac:dyDescent="0.25">
      <c r="Q24015" s="8"/>
    </row>
    <row r="24016" spans="17:17" x14ac:dyDescent="0.25">
      <c r="Q24016" s="8"/>
    </row>
    <row r="24017" spans="17:17" x14ac:dyDescent="0.25">
      <c r="Q24017" s="8"/>
    </row>
    <row r="24018" spans="17:17" x14ac:dyDescent="0.25">
      <c r="Q24018" s="8"/>
    </row>
    <row r="24019" spans="17:17" x14ac:dyDescent="0.25">
      <c r="Q24019" s="8"/>
    </row>
    <row r="24020" spans="17:17" x14ac:dyDescent="0.25">
      <c r="Q24020" s="8"/>
    </row>
    <row r="24021" spans="17:17" x14ac:dyDescent="0.25">
      <c r="Q24021" s="8"/>
    </row>
    <row r="24022" spans="17:17" x14ac:dyDescent="0.25">
      <c r="Q24022" s="8"/>
    </row>
    <row r="24023" spans="17:17" x14ac:dyDescent="0.25">
      <c r="Q24023" s="8"/>
    </row>
    <row r="24024" spans="17:17" x14ac:dyDescent="0.25">
      <c r="Q24024" s="8"/>
    </row>
    <row r="24025" spans="17:17" x14ac:dyDescent="0.25">
      <c r="Q24025" s="8"/>
    </row>
    <row r="24026" spans="17:17" x14ac:dyDescent="0.25">
      <c r="Q24026" s="8"/>
    </row>
    <row r="24027" spans="17:17" x14ac:dyDescent="0.25">
      <c r="Q24027" s="8"/>
    </row>
    <row r="24028" spans="17:17" x14ac:dyDescent="0.25">
      <c r="Q24028" s="8"/>
    </row>
    <row r="24029" spans="17:17" x14ac:dyDescent="0.25">
      <c r="Q24029" s="8"/>
    </row>
    <row r="24030" spans="17:17" x14ac:dyDescent="0.25">
      <c r="Q24030" s="8"/>
    </row>
    <row r="24031" spans="17:17" x14ac:dyDescent="0.25">
      <c r="Q24031" s="8"/>
    </row>
    <row r="24032" spans="17:17" x14ac:dyDescent="0.25">
      <c r="Q24032" s="8"/>
    </row>
    <row r="24033" spans="17:17" x14ac:dyDescent="0.25">
      <c r="Q24033" s="8"/>
    </row>
    <row r="24034" spans="17:17" x14ac:dyDescent="0.25">
      <c r="Q24034" s="8"/>
    </row>
    <row r="24035" spans="17:17" x14ac:dyDescent="0.25">
      <c r="Q24035" s="8"/>
    </row>
    <row r="24036" spans="17:17" x14ac:dyDescent="0.25">
      <c r="Q24036" s="8"/>
    </row>
    <row r="24037" spans="17:17" x14ac:dyDescent="0.25">
      <c r="Q24037" s="8"/>
    </row>
    <row r="24038" spans="17:17" x14ac:dyDescent="0.25">
      <c r="Q24038" s="8"/>
    </row>
    <row r="24039" spans="17:17" x14ac:dyDescent="0.25">
      <c r="Q24039" s="8"/>
    </row>
    <row r="24040" spans="17:17" x14ac:dyDescent="0.25">
      <c r="Q24040" s="8"/>
    </row>
    <row r="24041" spans="17:17" x14ac:dyDescent="0.25">
      <c r="Q24041" s="8"/>
    </row>
    <row r="24042" spans="17:17" x14ac:dyDescent="0.25">
      <c r="Q24042" s="8"/>
    </row>
    <row r="24043" spans="17:17" x14ac:dyDescent="0.25">
      <c r="Q24043" s="8"/>
    </row>
    <row r="24044" spans="17:17" x14ac:dyDescent="0.25">
      <c r="Q24044" s="8"/>
    </row>
    <row r="24045" spans="17:17" x14ac:dyDescent="0.25">
      <c r="Q24045" s="8"/>
    </row>
    <row r="24046" spans="17:17" x14ac:dyDescent="0.25">
      <c r="Q24046" s="8"/>
    </row>
    <row r="24047" spans="17:17" x14ac:dyDescent="0.25">
      <c r="Q24047" s="8"/>
    </row>
    <row r="24048" spans="17:17" x14ac:dyDescent="0.25">
      <c r="Q24048" s="8"/>
    </row>
    <row r="24049" spans="17:17" x14ac:dyDescent="0.25">
      <c r="Q24049" s="8"/>
    </row>
    <row r="24050" spans="17:17" x14ac:dyDescent="0.25">
      <c r="Q24050" s="8"/>
    </row>
    <row r="24051" spans="17:17" x14ac:dyDescent="0.25">
      <c r="Q24051" s="8"/>
    </row>
    <row r="24052" spans="17:17" x14ac:dyDescent="0.25">
      <c r="Q24052" s="8"/>
    </row>
    <row r="24053" spans="17:17" x14ac:dyDescent="0.25">
      <c r="Q24053" s="8"/>
    </row>
    <row r="24054" spans="17:17" x14ac:dyDescent="0.25">
      <c r="Q24054" s="8"/>
    </row>
    <row r="24055" spans="17:17" x14ac:dyDescent="0.25">
      <c r="Q24055" s="8"/>
    </row>
    <row r="24056" spans="17:17" x14ac:dyDescent="0.25">
      <c r="Q24056" s="8"/>
    </row>
    <row r="24057" spans="17:17" x14ac:dyDescent="0.25">
      <c r="Q24057" s="8"/>
    </row>
    <row r="24058" spans="17:17" x14ac:dyDescent="0.25">
      <c r="Q24058" s="8"/>
    </row>
    <row r="24059" spans="17:17" x14ac:dyDescent="0.25">
      <c r="Q24059" s="8"/>
    </row>
    <row r="24060" spans="17:17" x14ac:dyDescent="0.25">
      <c r="Q24060" s="8"/>
    </row>
    <row r="24061" spans="17:17" x14ac:dyDescent="0.25">
      <c r="Q24061" s="8"/>
    </row>
    <row r="24062" spans="17:17" x14ac:dyDescent="0.25">
      <c r="Q24062" s="8"/>
    </row>
    <row r="24063" spans="17:17" x14ac:dyDescent="0.25">
      <c r="Q24063" s="8"/>
    </row>
    <row r="24064" spans="17:17" x14ac:dyDescent="0.25">
      <c r="Q24064" s="8"/>
    </row>
    <row r="24065" spans="17:17" x14ac:dyDescent="0.25">
      <c r="Q24065" s="8"/>
    </row>
    <row r="24066" spans="17:17" x14ac:dyDescent="0.25">
      <c r="Q24066" s="8"/>
    </row>
    <row r="24067" spans="17:17" x14ac:dyDescent="0.25">
      <c r="Q24067" s="8"/>
    </row>
    <row r="24068" spans="17:17" x14ac:dyDescent="0.25">
      <c r="Q24068" s="8"/>
    </row>
    <row r="24069" spans="17:17" x14ac:dyDescent="0.25">
      <c r="Q24069" s="8"/>
    </row>
    <row r="24070" spans="17:17" x14ac:dyDescent="0.25">
      <c r="Q24070" s="8"/>
    </row>
    <row r="24071" spans="17:17" x14ac:dyDescent="0.25">
      <c r="Q24071" s="8"/>
    </row>
    <row r="24072" spans="17:17" x14ac:dyDescent="0.25">
      <c r="Q24072" s="8"/>
    </row>
    <row r="24073" spans="17:17" x14ac:dyDescent="0.25">
      <c r="Q24073" s="8"/>
    </row>
    <row r="24074" spans="17:17" x14ac:dyDescent="0.25">
      <c r="Q24074" s="8"/>
    </row>
    <row r="24075" spans="17:17" x14ac:dyDescent="0.25">
      <c r="Q24075" s="8"/>
    </row>
    <row r="24076" spans="17:17" x14ac:dyDescent="0.25">
      <c r="Q24076" s="8"/>
    </row>
    <row r="24077" spans="17:17" x14ac:dyDescent="0.25">
      <c r="Q24077" s="8"/>
    </row>
    <row r="24078" spans="17:17" x14ac:dyDescent="0.25">
      <c r="Q24078" s="8"/>
    </row>
    <row r="24079" spans="17:17" x14ac:dyDescent="0.25">
      <c r="Q24079" s="8"/>
    </row>
    <row r="24080" spans="17:17" x14ac:dyDescent="0.25">
      <c r="Q24080" s="8"/>
    </row>
    <row r="24081" spans="17:17" x14ac:dyDescent="0.25">
      <c r="Q24081" s="8"/>
    </row>
    <row r="24082" spans="17:17" x14ac:dyDescent="0.25">
      <c r="Q24082" s="8"/>
    </row>
    <row r="24083" spans="17:17" x14ac:dyDescent="0.25">
      <c r="Q24083" s="8"/>
    </row>
    <row r="24084" spans="17:17" x14ac:dyDescent="0.25">
      <c r="Q24084" s="8"/>
    </row>
    <row r="24085" spans="17:17" x14ac:dyDescent="0.25">
      <c r="Q24085" s="8"/>
    </row>
    <row r="24086" spans="17:17" x14ac:dyDescent="0.25">
      <c r="Q24086" s="8"/>
    </row>
    <row r="24087" spans="17:17" x14ac:dyDescent="0.25">
      <c r="Q24087" s="8"/>
    </row>
    <row r="24088" spans="17:17" x14ac:dyDescent="0.25">
      <c r="Q24088" s="8"/>
    </row>
    <row r="24089" spans="17:17" x14ac:dyDescent="0.25">
      <c r="Q24089" s="8"/>
    </row>
    <row r="24090" spans="17:17" x14ac:dyDescent="0.25">
      <c r="Q24090" s="8"/>
    </row>
    <row r="24091" spans="17:17" x14ac:dyDescent="0.25">
      <c r="Q24091" s="8"/>
    </row>
    <row r="24092" spans="17:17" x14ac:dyDescent="0.25">
      <c r="Q24092" s="8"/>
    </row>
    <row r="24093" spans="17:17" x14ac:dyDescent="0.25">
      <c r="Q24093" s="8"/>
    </row>
    <row r="24094" spans="17:17" x14ac:dyDescent="0.25">
      <c r="Q24094" s="8"/>
    </row>
    <row r="24095" spans="17:17" x14ac:dyDescent="0.25">
      <c r="Q24095" s="8"/>
    </row>
    <row r="24096" spans="17:17" x14ac:dyDescent="0.25">
      <c r="Q24096" s="8"/>
    </row>
    <row r="24097" spans="17:17" x14ac:dyDescent="0.25">
      <c r="Q24097" s="8"/>
    </row>
    <row r="24098" spans="17:17" x14ac:dyDescent="0.25">
      <c r="Q24098" s="8"/>
    </row>
    <row r="24099" spans="17:17" x14ac:dyDescent="0.25">
      <c r="Q24099" s="8"/>
    </row>
    <row r="24100" spans="17:17" x14ac:dyDescent="0.25">
      <c r="Q24100" s="8"/>
    </row>
    <row r="24101" spans="17:17" x14ac:dyDescent="0.25">
      <c r="Q24101" s="8"/>
    </row>
    <row r="24102" spans="17:17" x14ac:dyDescent="0.25">
      <c r="Q24102" s="8"/>
    </row>
    <row r="24103" spans="17:17" x14ac:dyDescent="0.25">
      <c r="Q24103" s="8"/>
    </row>
    <row r="24104" spans="17:17" x14ac:dyDescent="0.25">
      <c r="Q24104" s="8"/>
    </row>
    <row r="24105" spans="17:17" x14ac:dyDescent="0.25">
      <c r="Q24105" s="8"/>
    </row>
    <row r="24106" spans="17:17" x14ac:dyDescent="0.25">
      <c r="Q24106" s="8"/>
    </row>
    <row r="24107" spans="17:17" x14ac:dyDescent="0.25">
      <c r="Q24107" s="8"/>
    </row>
    <row r="24108" spans="17:17" x14ac:dyDescent="0.25">
      <c r="Q24108" s="8"/>
    </row>
    <row r="24109" spans="17:17" x14ac:dyDescent="0.25">
      <c r="Q24109" s="8"/>
    </row>
    <row r="24110" spans="17:17" x14ac:dyDescent="0.25">
      <c r="Q24110" s="8"/>
    </row>
    <row r="24111" spans="17:17" x14ac:dyDescent="0.25">
      <c r="Q24111" s="8"/>
    </row>
    <row r="24112" spans="17:17" x14ac:dyDescent="0.25">
      <c r="Q24112" s="8"/>
    </row>
    <row r="24113" spans="17:17" x14ac:dyDescent="0.25">
      <c r="Q24113" s="8"/>
    </row>
    <row r="24114" spans="17:17" x14ac:dyDescent="0.25">
      <c r="Q24114" s="8"/>
    </row>
    <row r="24115" spans="17:17" x14ac:dyDescent="0.25">
      <c r="Q24115" s="8"/>
    </row>
    <row r="24116" spans="17:17" x14ac:dyDescent="0.25">
      <c r="Q24116" s="8"/>
    </row>
    <row r="24117" spans="17:17" x14ac:dyDescent="0.25">
      <c r="Q24117" s="8"/>
    </row>
    <row r="24118" spans="17:17" x14ac:dyDescent="0.25">
      <c r="Q24118" s="8"/>
    </row>
    <row r="24119" spans="17:17" x14ac:dyDescent="0.25">
      <c r="Q24119" s="8"/>
    </row>
    <row r="24120" spans="17:17" x14ac:dyDescent="0.25">
      <c r="Q24120" s="8"/>
    </row>
    <row r="24121" spans="17:17" x14ac:dyDescent="0.25">
      <c r="Q24121" s="8"/>
    </row>
    <row r="24122" spans="17:17" x14ac:dyDescent="0.25">
      <c r="Q24122" s="8"/>
    </row>
    <row r="24123" spans="17:17" x14ac:dyDescent="0.25">
      <c r="Q24123" s="8"/>
    </row>
    <row r="24124" spans="17:17" x14ac:dyDescent="0.25">
      <c r="Q24124" s="8"/>
    </row>
    <row r="24125" spans="17:17" x14ac:dyDescent="0.25">
      <c r="Q24125" s="8"/>
    </row>
    <row r="24126" spans="17:17" x14ac:dyDescent="0.25">
      <c r="Q24126" s="8"/>
    </row>
    <row r="24127" spans="17:17" x14ac:dyDescent="0.25">
      <c r="Q24127" s="8"/>
    </row>
    <row r="24128" spans="17:17" x14ac:dyDescent="0.25">
      <c r="Q24128" s="8"/>
    </row>
    <row r="24129" spans="17:17" x14ac:dyDescent="0.25">
      <c r="Q24129" s="8"/>
    </row>
    <row r="24130" spans="17:17" x14ac:dyDescent="0.25">
      <c r="Q24130" s="8"/>
    </row>
    <row r="24131" spans="17:17" x14ac:dyDescent="0.25">
      <c r="Q24131" s="8"/>
    </row>
    <row r="24132" spans="17:17" x14ac:dyDescent="0.25">
      <c r="Q24132" s="8"/>
    </row>
    <row r="24133" spans="17:17" x14ac:dyDescent="0.25">
      <c r="Q24133" s="8"/>
    </row>
    <row r="24134" spans="17:17" x14ac:dyDescent="0.25">
      <c r="Q24134" s="8"/>
    </row>
    <row r="24135" spans="17:17" x14ac:dyDescent="0.25">
      <c r="Q24135" s="8"/>
    </row>
    <row r="24136" spans="17:17" x14ac:dyDescent="0.25">
      <c r="Q24136" s="8"/>
    </row>
    <row r="24137" spans="17:17" x14ac:dyDescent="0.25">
      <c r="Q24137" s="8"/>
    </row>
    <row r="24138" spans="17:17" x14ac:dyDescent="0.25">
      <c r="Q24138" s="8"/>
    </row>
    <row r="24139" spans="17:17" x14ac:dyDescent="0.25">
      <c r="Q24139" s="8"/>
    </row>
    <row r="24140" spans="17:17" x14ac:dyDescent="0.25">
      <c r="Q24140" s="8"/>
    </row>
    <row r="24141" spans="17:17" x14ac:dyDescent="0.25">
      <c r="Q24141" s="8"/>
    </row>
    <row r="24142" spans="17:17" x14ac:dyDescent="0.25">
      <c r="Q24142" s="8"/>
    </row>
    <row r="24143" spans="17:17" x14ac:dyDescent="0.25">
      <c r="Q24143" s="8"/>
    </row>
    <row r="24144" spans="17:17" x14ac:dyDescent="0.25">
      <c r="Q24144" s="8"/>
    </row>
    <row r="24145" spans="17:17" x14ac:dyDescent="0.25">
      <c r="Q24145" s="8"/>
    </row>
    <row r="24146" spans="17:17" x14ac:dyDescent="0.25">
      <c r="Q24146" s="8"/>
    </row>
    <row r="24147" spans="17:17" x14ac:dyDescent="0.25">
      <c r="Q24147" s="8"/>
    </row>
    <row r="24148" spans="17:17" x14ac:dyDescent="0.25">
      <c r="Q24148" s="8"/>
    </row>
    <row r="24149" spans="17:17" x14ac:dyDescent="0.25">
      <c r="Q24149" s="8"/>
    </row>
    <row r="24150" spans="17:17" x14ac:dyDescent="0.25">
      <c r="Q24150" s="8"/>
    </row>
    <row r="24151" spans="17:17" x14ac:dyDescent="0.25">
      <c r="Q24151" s="8"/>
    </row>
    <row r="24152" spans="17:17" x14ac:dyDescent="0.25">
      <c r="Q24152" s="8"/>
    </row>
    <row r="24153" spans="17:17" x14ac:dyDescent="0.25">
      <c r="Q24153" s="8"/>
    </row>
    <row r="24154" spans="17:17" x14ac:dyDescent="0.25">
      <c r="Q24154" s="8"/>
    </row>
    <row r="24155" spans="17:17" x14ac:dyDescent="0.25">
      <c r="Q24155" s="8"/>
    </row>
    <row r="24156" spans="17:17" x14ac:dyDescent="0.25">
      <c r="Q24156" s="8"/>
    </row>
    <row r="24157" spans="17:17" x14ac:dyDescent="0.25">
      <c r="Q24157" s="8"/>
    </row>
    <row r="24158" spans="17:17" x14ac:dyDescent="0.25">
      <c r="Q24158" s="8"/>
    </row>
    <row r="24159" spans="17:17" x14ac:dyDescent="0.25">
      <c r="Q24159" s="8"/>
    </row>
    <row r="24160" spans="17:17" x14ac:dyDescent="0.25">
      <c r="Q24160" s="8"/>
    </row>
    <row r="24161" spans="17:17" x14ac:dyDescent="0.25">
      <c r="Q24161" s="8"/>
    </row>
    <row r="24162" spans="17:17" x14ac:dyDescent="0.25">
      <c r="Q24162" s="8"/>
    </row>
    <row r="24163" spans="17:17" x14ac:dyDescent="0.25">
      <c r="Q24163" s="8"/>
    </row>
    <row r="24164" spans="17:17" x14ac:dyDescent="0.25">
      <c r="Q24164" s="8"/>
    </row>
    <row r="24165" spans="17:17" x14ac:dyDescent="0.25">
      <c r="Q24165" s="8"/>
    </row>
    <row r="24166" spans="17:17" x14ac:dyDescent="0.25">
      <c r="Q24166" s="8"/>
    </row>
    <row r="24167" spans="17:17" x14ac:dyDescent="0.25">
      <c r="Q24167" s="8"/>
    </row>
    <row r="24168" spans="17:17" x14ac:dyDescent="0.25">
      <c r="Q24168" s="8"/>
    </row>
    <row r="24169" spans="17:17" x14ac:dyDescent="0.25">
      <c r="Q24169" s="8"/>
    </row>
    <row r="24170" spans="17:17" x14ac:dyDescent="0.25">
      <c r="Q24170" s="8"/>
    </row>
    <row r="24171" spans="17:17" x14ac:dyDescent="0.25">
      <c r="Q24171" s="8"/>
    </row>
    <row r="24172" spans="17:17" x14ac:dyDescent="0.25">
      <c r="Q24172" s="8"/>
    </row>
    <row r="24173" spans="17:17" x14ac:dyDescent="0.25">
      <c r="Q24173" s="8"/>
    </row>
    <row r="24174" spans="17:17" x14ac:dyDescent="0.25">
      <c r="Q24174" s="8"/>
    </row>
    <row r="24175" spans="17:17" x14ac:dyDescent="0.25">
      <c r="Q24175" s="8"/>
    </row>
    <row r="24176" spans="17:17" x14ac:dyDescent="0.25">
      <c r="Q24176" s="8"/>
    </row>
    <row r="24177" spans="17:17" x14ac:dyDescent="0.25">
      <c r="Q24177" s="8"/>
    </row>
    <row r="24178" spans="17:17" x14ac:dyDescent="0.25">
      <c r="Q24178" s="8"/>
    </row>
    <row r="24179" spans="17:17" x14ac:dyDescent="0.25">
      <c r="Q24179" s="8"/>
    </row>
    <row r="24180" spans="17:17" x14ac:dyDescent="0.25">
      <c r="Q24180" s="8"/>
    </row>
    <row r="24181" spans="17:17" x14ac:dyDescent="0.25">
      <c r="Q24181" s="8"/>
    </row>
    <row r="24182" spans="17:17" x14ac:dyDescent="0.25">
      <c r="Q24182" s="8"/>
    </row>
    <row r="24183" spans="17:17" x14ac:dyDescent="0.25">
      <c r="Q24183" s="8"/>
    </row>
    <row r="24184" spans="17:17" x14ac:dyDescent="0.25">
      <c r="Q24184" s="8"/>
    </row>
    <row r="24185" spans="17:17" x14ac:dyDescent="0.25">
      <c r="Q24185" s="8"/>
    </row>
    <row r="24186" spans="17:17" x14ac:dyDescent="0.25">
      <c r="Q24186" s="8"/>
    </row>
    <row r="24187" spans="17:17" x14ac:dyDescent="0.25">
      <c r="Q24187" s="8"/>
    </row>
    <row r="24188" spans="17:17" x14ac:dyDescent="0.25">
      <c r="Q24188" s="8"/>
    </row>
    <row r="24189" spans="17:17" x14ac:dyDescent="0.25">
      <c r="Q24189" s="8"/>
    </row>
    <row r="24190" spans="17:17" x14ac:dyDescent="0.25">
      <c r="Q24190" s="8"/>
    </row>
    <row r="24191" spans="17:17" x14ac:dyDescent="0.25">
      <c r="Q24191" s="8"/>
    </row>
    <row r="24192" spans="17:17" x14ac:dyDescent="0.25">
      <c r="Q24192" s="8"/>
    </row>
    <row r="24193" spans="17:17" x14ac:dyDescent="0.25">
      <c r="Q24193" s="8"/>
    </row>
    <row r="24194" spans="17:17" x14ac:dyDescent="0.25">
      <c r="Q24194" s="8"/>
    </row>
    <row r="24195" spans="17:17" x14ac:dyDescent="0.25">
      <c r="Q24195" s="8"/>
    </row>
    <row r="24196" spans="17:17" x14ac:dyDescent="0.25">
      <c r="Q24196" s="8"/>
    </row>
    <row r="24197" spans="17:17" x14ac:dyDescent="0.25">
      <c r="Q24197" s="8"/>
    </row>
    <row r="24198" spans="17:17" x14ac:dyDescent="0.25">
      <c r="Q24198" s="8"/>
    </row>
    <row r="24199" spans="17:17" x14ac:dyDescent="0.25">
      <c r="Q24199" s="8"/>
    </row>
    <row r="24200" spans="17:17" x14ac:dyDescent="0.25">
      <c r="Q24200" s="8"/>
    </row>
    <row r="24201" spans="17:17" x14ac:dyDescent="0.25">
      <c r="Q24201" s="8"/>
    </row>
    <row r="24202" spans="17:17" x14ac:dyDescent="0.25">
      <c r="Q24202" s="8"/>
    </row>
    <row r="24203" spans="17:17" x14ac:dyDescent="0.25">
      <c r="Q24203" s="8"/>
    </row>
    <row r="24204" spans="17:17" x14ac:dyDescent="0.25">
      <c r="Q24204" s="8"/>
    </row>
    <row r="24205" spans="17:17" x14ac:dyDescent="0.25">
      <c r="Q24205" s="8"/>
    </row>
    <row r="24206" spans="17:17" x14ac:dyDescent="0.25">
      <c r="Q24206" s="8"/>
    </row>
    <row r="24207" spans="17:17" x14ac:dyDescent="0.25">
      <c r="Q24207" s="8"/>
    </row>
    <row r="24208" spans="17:17" x14ac:dyDescent="0.25">
      <c r="Q24208" s="8"/>
    </row>
    <row r="24209" spans="17:17" x14ac:dyDescent="0.25">
      <c r="Q24209" s="8"/>
    </row>
    <row r="24210" spans="17:17" x14ac:dyDescent="0.25">
      <c r="Q24210" s="8"/>
    </row>
    <row r="24211" spans="17:17" x14ac:dyDescent="0.25">
      <c r="Q24211" s="8"/>
    </row>
    <row r="24212" spans="17:17" x14ac:dyDescent="0.25">
      <c r="Q24212" s="8"/>
    </row>
    <row r="24213" spans="17:17" x14ac:dyDescent="0.25">
      <c r="Q24213" s="8"/>
    </row>
    <row r="24214" spans="17:17" x14ac:dyDescent="0.25">
      <c r="Q24214" s="8"/>
    </row>
    <row r="24215" spans="17:17" x14ac:dyDescent="0.25">
      <c r="Q24215" s="8"/>
    </row>
    <row r="24216" spans="17:17" x14ac:dyDescent="0.25">
      <c r="Q24216" s="8"/>
    </row>
    <row r="24217" spans="17:17" x14ac:dyDescent="0.25">
      <c r="Q24217" s="8"/>
    </row>
    <row r="24218" spans="17:17" x14ac:dyDescent="0.25">
      <c r="Q24218" s="8"/>
    </row>
    <row r="24219" spans="17:17" x14ac:dyDescent="0.25">
      <c r="Q24219" s="8"/>
    </row>
    <row r="24220" spans="17:17" x14ac:dyDescent="0.25">
      <c r="Q24220" s="8"/>
    </row>
    <row r="24221" spans="17:17" x14ac:dyDescent="0.25">
      <c r="Q24221" s="8"/>
    </row>
    <row r="24222" spans="17:17" x14ac:dyDescent="0.25">
      <c r="Q24222" s="8"/>
    </row>
    <row r="24223" spans="17:17" x14ac:dyDescent="0.25">
      <c r="Q24223" s="8"/>
    </row>
    <row r="24224" spans="17:17" x14ac:dyDescent="0.25">
      <c r="Q24224" s="8"/>
    </row>
    <row r="24225" spans="17:17" x14ac:dyDescent="0.25">
      <c r="Q24225" s="8"/>
    </row>
    <row r="24226" spans="17:17" x14ac:dyDescent="0.25">
      <c r="Q24226" s="8"/>
    </row>
    <row r="24227" spans="17:17" x14ac:dyDescent="0.25">
      <c r="Q24227" s="8"/>
    </row>
    <row r="24228" spans="17:17" x14ac:dyDescent="0.25">
      <c r="Q24228" s="8"/>
    </row>
    <row r="24229" spans="17:17" x14ac:dyDescent="0.25">
      <c r="Q24229" s="8"/>
    </row>
    <row r="24230" spans="17:17" x14ac:dyDescent="0.25">
      <c r="Q24230" s="8"/>
    </row>
    <row r="24231" spans="17:17" x14ac:dyDescent="0.25">
      <c r="Q24231" s="8"/>
    </row>
    <row r="24232" spans="17:17" x14ac:dyDescent="0.25">
      <c r="Q24232" s="8"/>
    </row>
    <row r="24233" spans="17:17" x14ac:dyDescent="0.25">
      <c r="Q24233" s="8"/>
    </row>
    <row r="24234" spans="17:17" x14ac:dyDescent="0.25">
      <c r="Q24234" s="8"/>
    </row>
    <row r="24235" spans="17:17" x14ac:dyDescent="0.25">
      <c r="Q24235" s="8"/>
    </row>
    <row r="24236" spans="17:17" x14ac:dyDescent="0.25">
      <c r="Q24236" s="8"/>
    </row>
    <row r="24237" spans="17:17" x14ac:dyDescent="0.25">
      <c r="Q24237" s="8"/>
    </row>
    <row r="24238" spans="17:17" x14ac:dyDescent="0.25">
      <c r="Q24238" s="8"/>
    </row>
    <row r="24239" spans="17:17" x14ac:dyDescent="0.25">
      <c r="Q24239" s="8"/>
    </row>
    <row r="24240" spans="17:17" x14ac:dyDescent="0.25">
      <c r="Q24240" s="8"/>
    </row>
    <row r="24241" spans="17:17" x14ac:dyDescent="0.25">
      <c r="Q24241" s="8"/>
    </row>
    <row r="24242" spans="17:17" x14ac:dyDescent="0.25">
      <c r="Q24242" s="8"/>
    </row>
    <row r="24243" spans="17:17" x14ac:dyDescent="0.25">
      <c r="Q24243" s="8"/>
    </row>
    <row r="24244" spans="17:17" x14ac:dyDescent="0.25">
      <c r="Q24244" s="8"/>
    </row>
    <row r="24245" spans="17:17" x14ac:dyDescent="0.25">
      <c r="Q24245" s="8"/>
    </row>
    <row r="24246" spans="17:17" x14ac:dyDescent="0.25">
      <c r="Q24246" s="8"/>
    </row>
    <row r="24247" spans="17:17" x14ac:dyDescent="0.25">
      <c r="Q24247" s="8"/>
    </row>
    <row r="24248" spans="17:17" x14ac:dyDescent="0.25">
      <c r="Q24248" s="8"/>
    </row>
    <row r="24249" spans="17:17" x14ac:dyDescent="0.25">
      <c r="Q24249" s="8"/>
    </row>
    <row r="24250" spans="17:17" x14ac:dyDescent="0.25">
      <c r="Q24250" s="8"/>
    </row>
    <row r="24251" spans="17:17" x14ac:dyDescent="0.25">
      <c r="Q24251" s="8"/>
    </row>
    <row r="24252" spans="17:17" x14ac:dyDescent="0.25">
      <c r="Q24252" s="8"/>
    </row>
    <row r="24253" spans="17:17" x14ac:dyDescent="0.25">
      <c r="Q24253" s="8"/>
    </row>
    <row r="24254" spans="17:17" x14ac:dyDescent="0.25">
      <c r="Q24254" s="8"/>
    </row>
    <row r="24255" spans="17:17" x14ac:dyDescent="0.25">
      <c r="Q24255" s="8"/>
    </row>
    <row r="24256" spans="17:17" x14ac:dyDescent="0.25">
      <c r="Q24256" s="8"/>
    </row>
    <row r="24257" spans="17:17" x14ac:dyDescent="0.25">
      <c r="Q24257" s="8"/>
    </row>
    <row r="24258" spans="17:17" x14ac:dyDescent="0.25">
      <c r="Q24258" s="8"/>
    </row>
    <row r="24259" spans="17:17" x14ac:dyDescent="0.25">
      <c r="Q24259" s="8"/>
    </row>
    <row r="24260" spans="17:17" x14ac:dyDescent="0.25">
      <c r="Q24260" s="8"/>
    </row>
    <row r="24261" spans="17:17" x14ac:dyDescent="0.25">
      <c r="Q24261" s="8"/>
    </row>
    <row r="24262" spans="17:17" x14ac:dyDescent="0.25">
      <c r="Q24262" s="8"/>
    </row>
    <row r="24263" spans="17:17" x14ac:dyDescent="0.25">
      <c r="Q24263" s="8"/>
    </row>
    <row r="24264" spans="17:17" x14ac:dyDescent="0.25">
      <c r="Q24264" s="8"/>
    </row>
    <row r="24265" spans="17:17" x14ac:dyDescent="0.25">
      <c r="Q24265" s="8"/>
    </row>
    <row r="24266" spans="17:17" x14ac:dyDescent="0.25">
      <c r="Q24266" s="8"/>
    </row>
    <row r="24267" spans="17:17" x14ac:dyDescent="0.25">
      <c r="Q24267" s="8"/>
    </row>
    <row r="24268" spans="17:17" x14ac:dyDescent="0.25">
      <c r="Q24268" s="8"/>
    </row>
    <row r="24269" spans="17:17" x14ac:dyDescent="0.25">
      <c r="Q24269" s="8"/>
    </row>
    <row r="24270" spans="17:17" x14ac:dyDescent="0.25">
      <c r="Q24270" s="8"/>
    </row>
    <row r="24271" spans="17:17" x14ac:dyDescent="0.25">
      <c r="Q24271" s="8"/>
    </row>
    <row r="24272" spans="17:17" x14ac:dyDescent="0.25">
      <c r="Q24272" s="8"/>
    </row>
    <row r="24273" spans="17:17" x14ac:dyDescent="0.25">
      <c r="Q24273" s="8"/>
    </row>
    <row r="24274" spans="17:17" x14ac:dyDescent="0.25">
      <c r="Q24274" s="8"/>
    </row>
    <row r="24275" spans="17:17" x14ac:dyDescent="0.25">
      <c r="Q24275" s="8"/>
    </row>
    <row r="24276" spans="17:17" x14ac:dyDescent="0.25">
      <c r="Q24276" s="8"/>
    </row>
    <row r="24277" spans="17:17" x14ac:dyDescent="0.25">
      <c r="Q24277" s="8"/>
    </row>
    <row r="24278" spans="17:17" x14ac:dyDescent="0.25">
      <c r="Q24278" s="8"/>
    </row>
    <row r="24279" spans="17:17" x14ac:dyDescent="0.25">
      <c r="Q24279" s="8"/>
    </row>
    <row r="24280" spans="17:17" x14ac:dyDescent="0.25">
      <c r="Q24280" s="8"/>
    </row>
    <row r="24281" spans="17:17" x14ac:dyDescent="0.25">
      <c r="Q24281" s="8"/>
    </row>
    <row r="24282" spans="17:17" x14ac:dyDescent="0.25">
      <c r="Q24282" s="8"/>
    </row>
    <row r="24283" spans="17:17" x14ac:dyDescent="0.25">
      <c r="Q24283" s="8"/>
    </row>
    <row r="24284" spans="17:17" x14ac:dyDescent="0.25">
      <c r="Q24284" s="8"/>
    </row>
    <row r="24285" spans="17:17" x14ac:dyDescent="0.25">
      <c r="Q24285" s="8"/>
    </row>
    <row r="24286" spans="17:17" x14ac:dyDescent="0.25">
      <c r="Q24286" s="8"/>
    </row>
    <row r="24287" spans="17:17" x14ac:dyDescent="0.25">
      <c r="Q24287" s="8"/>
    </row>
    <row r="24288" spans="17:17" x14ac:dyDescent="0.25">
      <c r="Q24288" s="8"/>
    </row>
    <row r="24289" spans="17:17" x14ac:dyDescent="0.25">
      <c r="Q24289" s="8"/>
    </row>
    <row r="24290" spans="17:17" x14ac:dyDescent="0.25">
      <c r="Q24290" s="8"/>
    </row>
    <row r="24291" spans="17:17" x14ac:dyDescent="0.25">
      <c r="Q24291" s="8"/>
    </row>
    <row r="24292" spans="17:17" x14ac:dyDescent="0.25">
      <c r="Q24292" s="8"/>
    </row>
    <row r="24293" spans="17:17" x14ac:dyDescent="0.25">
      <c r="Q24293" s="8"/>
    </row>
    <row r="24294" spans="17:17" x14ac:dyDescent="0.25">
      <c r="Q24294" s="8"/>
    </row>
    <row r="24295" spans="17:17" x14ac:dyDescent="0.25">
      <c r="Q24295" s="8"/>
    </row>
    <row r="24296" spans="17:17" x14ac:dyDescent="0.25">
      <c r="Q24296" s="8"/>
    </row>
    <row r="24297" spans="17:17" x14ac:dyDescent="0.25">
      <c r="Q24297" s="8"/>
    </row>
    <row r="24298" spans="17:17" x14ac:dyDescent="0.25">
      <c r="Q24298" s="8"/>
    </row>
    <row r="24299" spans="17:17" x14ac:dyDescent="0.25">
      <c r="Q24299" s="8"/>
    </row>
    <row r="24300" spans="17:17" x14ac:dyDescent="0.25">
      <c r="Q24300" s="8"/>
    </row>
    <row r="24301" spans="17:17" x14ac:dyDescent="0.25">
      <c r="Q24301" s="8"/>
    </row>
    <row r="24302" spans="17:17" x14ac:dyDescent="0.25">
      <c r="Q24302" s="8"/>
    </row>
    <row r="24303" spans="17:17" x14ac:dyDescent="0.25">
      <c r="Q24303" s="8"/>
    </row>
    <row r="24304" spans="17:17" x14ac:dyDescent="0.25">
      <c r="Q24304" s="8"/>
    </row>
    <row r="24305" spans="17:17" x14ac:dyDescent="0.25">
      <c r="Q24305" s="8"/>
    </row>
    <row r="24306" spans="17:17" x14ac:dyDescent="0.25">
      <c r="Q24306" s="8"/>
    </row>
    <row r="24307" spans="17:17" x14ac:dyDescent="0.25">
      <c r="Q24307" s="8"/>
    </row>
    <row r="24308" spans="17:17" x14ac:dyDescent="0.25">
      <c r="Q24308" s="8"/>
    </row>
    <row r="24309" spans="17:17" x14ac:dyDescent="0.25">
      <c r="Q24309" s="8"/>
    </row>
    <row r="24310" spans="17:17" x14ac:dyDescent="0.25">
      <c r="Q24310" s="8"/>
    </row>
    <row r="24311" spans="17:17" x14ac:dyDescent="0.25">
      <c r="Q24311" s="8"/>
    </row>
    <row r="24312" spans="17:17" x14ac:dyDescent="0.25">
      <c r="Q24312" s="8"/>
    </row>
    <row r="24313" spans="17:17" x14ac:dyDescent="0.25">
      <c r="Q24313" s="8"/>
    </row>
    <row r="24314" spans="17:17" x14ac:dyDescent="0.25">
      <c r="Q24314" s="8"/>
    </row>
    <row r="24315" spans="17:17" x14ac:dyDescent="0.25">
      <c r="Q24315" s="8"/>
    </row>
    <row r="24316" spans="17:17" x14ac:dyDescent="0.25">
      <c r="Q24316" s="8"/>
    </row>
    <row r="24317" spans="17:17" x14ac:dyDescent="0.25">
      <c r="Q24317" s="8"/>
    </row>
    <row r="24318" spans="17:17" x14ac:dyDescent="0.25">
      <c r="Q24318" s="8"/>
    </row>
    <row r="24319" spans="17:17" x14ac:dyDescent="0.25">
      <c r="Q24319" s="8"/>
    </row>
    <row r="24320" spans="17:17" x14ac:dyDescent="0.25">
      <c r="Q24320" s="8"/>
    </row>
    <row r="24321" spans="17:17" x14ac:dyDescent="0.25">
      <c r="Q24321" s="8"/>
    </row>
    <row r="24322" spans="17:17" x14ac:dyDescent="0.25">
      <c r="Q24322" s="8"/>
    </row>
    <row r="24323" spans="17:17" x14ac:dyDescent="0.25">
      <c r="Q24323" s="8"/>
    </row>
    <row r="24324" spans="17:17" x14ac:dyDescent="0.25">
      <c r="Q24324" s="8"/>
    </row>
    <row r="24325" spans="17:17" x14ac:dyDescent="0.25">
      <c r="Q24325" s="8"/>
    </row>
    <row r="24326" spans="17:17" x14ac:dyDescent="0.25">
      <c r="Q24326" s="8"/>
    </row>
    <row r="24327" spans="17:17" x14ac:dyDescent="0.25">
      <c r="Q24327" s="8"/>
    </row>
    <row r="24328" spans="17:17" x14ac:dyDescent="0.25">
      <c r="Q24328" s="8"/>
    </row>
    <row r="24329" spans="17:17" x14ac:dyDescent="0.25">
      <c r="Q24329" s="8"/>
    </row>
    <row r="24330" spans="17:17" x14ac:dyDescent="0.25">
      <c r="Q24330" s="8"/>
    </row>
    <row r="24331" spans="17:17" x14ac:dyDescent="0.25">
      <c r="Q24331" s="8"/>
    </row>
    <row r="24332" spans="17:17" x14ac:dyDescent="0.25">
      <c r="Q24332" s="8"/>
    </row>
    <row r="24333" spans="17:17" x14ac:dyDescent="0.25">
      <c r="Q24333" s="8"/>
    </row>
    <row r="24334" spans="17:17" x14ac:dyDescent="0.25">
      <c r="Q24334" s="8"/>
    </row>
    <row r="24335" spans="17:17" x14ac:dyDescent="0.25">
      <c r="Q24335" s="8"/>
    </row>
    <row r="24336" spans="17:17" x14ac:dyDescent="0.25">
      <c r="Q24336" s="8"/>
    </row>
    <row r="24337" spans="17:17" x14ac:dyDescent="0.25">
      <c r="Q24337" s="8"/>
    </row>
    <row r="24338" spans="17:17" x14ac:dyDescent="0.25">
      <c r="Q24338" s="8"/>
    </row>
    <row r="24339" spans="17:17" x14ac:dyDescent="0.25">
      <c r="Q24339" s="8"/>
    </row>
    <row r="24340" spans="17:17" x14ac:dyDescent="0.25">
      <c r="Q24340" s="8"/>
    </row>
    <row r="24341" spans="17:17" x14ac:dyDescent="0.25">
      <c r="Q24341" s="8"/>
    </row>
    <row r="24342" spans="17:17" x14ac:dyDescent="0.25">
      <c r="Q24342" s="8"/>
    </row>
    <row r="24343" spans="17:17" x14ac:dyDescent="0.25">
      <c r="Q24343" s="8"/>
    </row>
    <row r="24344" spans="17:17" x14ac:dyDescent="0.25">
      <c r="Q24344" s="8"/>
    </row>
    <row r="24345" spans="17:17" x14ac:dyDescent="0.25">
      <c r="Q24345" s="8"/>
    </row>
    <row r="24346" spans="17:17" x14ac:dyDescent="0.25">
      <c r="Q24346" s="8"/>
    </row>
    <row r="24347" spans="17:17" x14ac:dyDescent="0.25">
      <c r="Q24347" s="8"/>
    </row>
    <row r="24348" spans="17:17" x14ac:dyDescent="0.25">
      <c r="Q24348" s="8"/>
    </row>
    <row r="24349" spans="17:17" x14ac:dyDescent="0.25">
      <c r="Q24349" s="8"/>
    </row>
    <row r="24350" spans="17:17" x14ac:dyDescent="0.25">
      <c r="Q24350" s="8"/>
    </row>
    <row r="24351" spans="17:17" x14ac:dyDescent="0.25">
      <c r="Q24351" s="8"/>
    </row>
    <row r="24352" spans="17:17" x14ac:dyDescent="0.25">
      <c r="Q24352" s="8"/>
    </row>
    <row r="24353" spans="17:17" x14ac:dyDescent="0.25">
      <c r="Q24353" s="8"/>
    </row>
    <row r="24354" spans="17:17" x14ac:dyDescent="0.25">
      <c r="Q24354" s="8"/>
    </row>
    <row r="24355" spans="17:17" x14ac:dyDescent="0.25">
      <c r="Q24355" s="8"/>
    </row>
    <row r="24356" spans="17:17" x14ac:dyDescent="0.25">
      <c r="Q24356" s="8"/>
    </row>
    <row r="24357" spans="17:17" x14ac:dyDescent="0.25">
      <c r="Q24357" s="8"/>
    </row>
    <row r="24358" spans="17:17" x14ac:dyDescent="0.25">
      <c r="Q24358" s="8"/>
    </row>
    <row r="24359" spans="17:17" x14ac:dyDescent="0.25">
      <c r="Q24359" s="8"/>
    </row>
    <row r="24360" spans="17:17" x14ac:dyDescent="0.25">
      <c r="Q24360" s="8"/>
    </row>
    <row r="24361" spans="17:17" x14ac:dyDescent="0.25">
      <c r="Q24361" s="8"/>
    </row>
    <row r="24362" spans="17:17" x14ac:dyDescent="0.25">
      <c r="Q24362" s="8"/>
    </row>
    <row r="24363" spans="17:17" x14ac:dyDescent="0.25">
      <c r="Q24363" s="8"/>
    </row>
    <row r="24364" spans="17:17" x14ac:dyDescent="0.25">
      <c r="Q24364" s="8"/>
    </row>
    <row r="24365" spans="17:17" x14ac:dyDescent="0.25">
      <c r="Q24365" s="8"/>
    </row>
    <row r="24366" spans="17:17" x14ac:dyDescent="0.25">
      <c r="Q24366" s="8"/>
    </row>
    <row r="24367" spans="17:17" x14ac:dyDescent="0.25">
      <c r="Q24367" s="8"/>
    </row>
    <row r="24368" spans="17:17" x14ac:dyDescent="0.25">
      <c r="Q24368" s="8"/>
    </row>
    <row r="24369" spans="17:17" x14ac:dyDescent="0.25">
      <c r="Q24369" s="8"/>
    </row>
    <row r="24370" spans="17:17" x14ac:dyDescent="0.25">
      <c r="Q24370" s="8"/>
    </row>
    <row r="24371" spans="17:17" x14ac:dyDescent="0.25">
      <c r="Q24371" s="8"/>
    </row>
    <row r="24372" spans="17:17" x14ac:dyDescent="0.25">
      <c r="Q24372" s="8"/>
    </row>
    <row r="24373" spans="17:17" x14ac:dyDescent="0.25">
      <c r="Q24373" s="8"/>
    </row>
    <row r="24374" spans="17:17" x14ac:dyDescent="0.25">
      <c r="Q24374" s="8"/>
    </row>
    <row r="24375" spans="17:17" x14ac:dyDescent="0.25">
      <c r="Q24375" s="8"/>
    </row>
    <row r="24376" spans="17:17" x14ac:dyDescent="0.25">
      <c r="Q24376" s="8"/>
    </row>
    <row r="24377" spans="17:17" x14ac:dyDescent="0.25">
      <c r="Q24377" s="8"/>
    </row>
    <row r="24378" spans="17:17" x14ac:dyDescent="0.25">
      <c r="Q24378" s="8"/>
    </row>
    <row r="24379" spans="17:17" x14ac:dyDescent="0.25">
      <c r="Q24379" s="8"/>
    </row>
    <row r="24380" spans="17:17" x14ac:dyDescent="0.25">
      <c r="Q24380" s="8"/>
    </row>
    <row r="24381" spans="17:17" x14ac:dyDescent="0.25">
      <c r="Q24381" s="8"/>
    </row>
    <row r="24382" spans="17:17" x14ac:dyDescent="0.25">
      <c r="Q24382" s="8"/>
    </row>
    <row r="24383" spans="17:17" x14ac:dyDescent="0.25">
      <c r="Q24383" s="8"/>
    </row>
    <row r="24384" spans="17:17" x14ac:dyDescent="0.25">
      <c r="Q24384" s="8"/>
    </row>
    <row r="24385" spans="17:17" x14ac:dyDescent="0.25">
      <c r="Q24385" s="8"/>
    </row>
    <row r="24386" spans="17:17" x14ac:dyDescent="0.25">
      <c r="Q24386" s="8"/>
    </row>
    <row r="24387" spans="17:17" x14ac:dyDescent="0.25">
      <c r="Q24387" s="8"/>
    </row>
    <row r="24388" spans="17:17" x14ac:dyDescent="0.25">
      <c r="Q24388" s="8"/>
    </row>
    <row r="24389" spans="17:17" x14ac:dyDescent="0.25">
      <c r="Q24389" s="8"/>
    </row>
    <row r="24390" spans="17:17" x14ac:dyDescent="0.25">
      <c r="Q24390" s="8"/>
    </row>
    <row r="24391" spans="17:17" x14ac:dyDescent="0.25">
      <c r="Q24391" s="8"/>
    </row>
    <row r="24392" spans="17:17" x14ac:dyDescent="0.25">
      <c r="Q24392" s="8"/>
    </row>
    <row r="24393" spans="17:17" x14ac:dyDescent="0.25">
      <c r="Q24393" s="8"/>
    </row>
    <row r="24394" spans="17:17" x14ac:dyDescent="0.25">
      <c r="Q24394" s="8"/>
    </row>
    <row r="24395" spans="17:17" x14ac:dyDescent="0.25">
      <c r="Q24395" s="8"/>
    </row>
    <row r="24396" spans="17:17" x14ac:dyDescent="0.25">
      <c r="Q24396" s="8"/>
    </row>
    <row r="24397" spans="17:17" x14ac:dyDescent="0.25">
      <c r="Q24397" s="8"/>
    </row>
    <row r="24398" spans="17:17" x14ac:dyDescent="0.25">
      <c r="Q24398" s="8"/>
    </row>
    <row r="24399" spans="17:17" x14ac:dyDescent="0.25">
      <c r="Q24399" s="8"/>
    </row>
    <row r="24400" spans="17:17" x14ac:dyDescent="0.25">
      <c r="Q24400" s="8"/>
    </row>
    <row r="24401" spans="17:17" x14ac:dyDescent="0.25">
      <c r="Q24401" s="8"/>
    </row>
    <row r="24402" spans="17:17" x14ac:dyDescent="0.25">
      <c r="Q24402" s="8"/>
    </row>
    <row r="24403" spans="17:17" x14ac:dyDescent="0.25">
      <c r="Q24403" s="8"/>
    </row>
    <row r="24404" spans="17:17" x14ac:dyDescent="0.25">
      <c r="Q24404" s="8"/>
    </row>
    <row r="24405" spans="17:17" x14ac:dyDescent="0.25">
      <c r="Q24405" s="8"/>
    </row>
    <row r="24406" spans="17:17" x14ac:dyDescent="0.25">
      <c r="Q24406" s="8"/>
    </row>
    <row r="24407" spans="17:17" x14ac:dyDescent="0.25">
      <c r="Q24407" s="8"/>
    </row>
    <row r="24408" spans="17:17" x14ac:dyDescent="0.25">
      <c r="Q24408" s="8"/>
    </row>
    <row r="24409" spans="17:17" x14ac:dyDescent="0.25">
      <c r="Q24409" s="8"/>
    </row>
    <row r="24410" spans="17:17" x14ac:dyDescent="0.25">
      <c r="Q24410" s="8"/>
    </row>
    <row r="24411" spans="17:17" x14ac:dyDescent="0.25">
      <c r="Q24411" s="8"/>
    </row>
    <row r="24412" spans="17:17" x14ac:dyDescent="0.25">
      <c r="Q24412" s="8"/>
    </row>
    <row r="24413" spans="17:17" x14ac:dyDescent="0.25">
      <c r="Q24413" s="8"/>
    </row>
    <row r="24414" spans="17:17" x14ac:dyDescent="0.25">
      <c r="Q24414" s="8"/>
    </row>
    <row r="24415" spans="17:17" x14ac:dyDescent="0.25">
      <c r="Q24415" s="8"/>
    </row>
    <row r="24416" spans="17:17" x14ac:dyDescent="0.25">
      <c r="Q24416" s="8"/>
    </row>
    <row r="24417" spans="17:17" x14ac:dyDescent="0.25">
      <c r="Q24417" s="8"/>
    </row>
    <row r="24418" spans="17:17" x14ac:dyDescent="0.25">
      <c r="Q24418" s="8"/>
    </row>
    <row r="24419" spans="17:17" x14ac:dyDescent="0.25">
      <c r="Q24419" s="8"/>
    </row>
    <row r="24420" spans="17:17" x14ac:dyDescent="0.25">
      <c r="Q24420" s="8"/>
    </row>
    <row r="24421" spans="17:17" x14ac:dyDescent="0.25">
      <c r="Q24421" s="8"/>
    </row>
    <row r="24422" spans="17:17" x14ac:dyDescent="0.25">
      <c r="Q24422" s="8"/>
    </row>
    <row r="24423" spans="17:17" x14ac:dyDescent="0.25">
      <c r="Q24423" s="8"/>
    </row>
    <row r="24424" spans="17:17" x14ac:dyDescent="0.25">
      <c r="Q24424" s="8"/>
    </row>
    <row r="24425" spans="17:17" x14ac:dyDescent="0.25">
      <c r="Q24425" s="8"/>
    </row>
    <row r="24426" spans="17:17" x14ac:dyDescent="0.25">
      <c r="Q24426" s="8"/>
    </row>
    <row r="24427" spans="17:17" x14ac:dyDescent="0.25">
      <c r="Q24427" s="8"/>
    </row>
    <row r="24428" spans="17:17" x14ac:dyDescent="0.25">
      <c r="Q24428" s="8"/>
    </row>
    <row r="24429" spans="17:17" x14ac:dyDescent="0.25">
      <c r="Q24429" s="8"/>
    </row>
    <row r="24430" spans="17:17" x14ac:dyDescent="0.25">
      <c r="Q24430" s="8"/>
    </row>
    <row r="24431" spans="17:17" x14ac:dyDescent="0.25">
      <c r="Q24431" s="8"/>
    </row>
    <row r="24432" spans="17:17" x14ac:dyDescent="0.25">
      <c r="Q24432" s="8"/>
    </row>
    <row r="24433" spans="17:17" x14ac:dyDescent="0.25">
      <c r="Q24433" s="8"/>
    </row>
    <row r="24434" spans="17:17" x14ac:dyDescent="0.25">
      <c r="Q24434" s="8"/>
    </row>
    <row r="24435" spans="17:17" x14ac:dyDescent="0.25">
      <c r="Q24435" s="8"/>
    </row>
    <row r="24436" spans="17:17" x14ac:dyDescent="0.25">
      <c r="Q24436" s="8"/>
    </row>
    <row r="24437" spans="17:17" x14ac:dyDescent="0.25">
      <c r="Q24437" s="8"/>
    </row>
    <row r="24438" spans="17:17" x14ac:dyDescent="0.25">
      <c r="Q24438" s="8"/>
    </row>
    <row r="24439" spans="17:17" x14ac:dyDescent="0.25">
      <c r="Q24439" s="8"/>
    </row>
    <row r="24440" spans="17:17" x14ac:dyDescent="0.25">
      <c r="Q24440" s="8"/>
    </row>
    <row r="24441" spans="17:17" x14ac:dyDescent="0.25">
      <c r="Q24441" s="8"/>
    </row>
    <row r="24442" spans="17:17" x14ac:dyDescent="0.25">
      <c r="Q24442" s="8"/>
    </row>
    <row r="24443" spans="17:17" x14ac:dyDescent="0.25">
      <c r="Q24443" s="8"/>
    </row>
    <row r="24444" spans="17:17" x14ac:dyDescent="0.25">
      <c r="Q24444" s="8"/>
    </row>
    <row r="24445" spans="17:17" x14ac:dyDescent="0.25">
      <c r="Q24445" s="8"/>
    </row>
    <row r="24446" spans="17:17" x14ac:dyDescent="0.25">
      <c r="Q24446" s="8"/>
    </row>
    <row r="24447" spans="17:17" x14ac:dyDescent="0.25">
      <c r="Q24447" s="8"/>
    </row>
    <row r="24448" spans="17:17" x14ac:dyDescent="0.25">
      <c r="Q24448" s="8"/>
    </row>
    <row r="24449" spans="17:17" x14ac:dyDescent="0.25">
      <c r="Q24449" s="8"/>
    </row>
    <row r="24450" spans="17:17" x14ac:dyDescent="0.25">
      <c r="Q24450" s="8"/>
    </row>
    <row r="24451" spans="17:17" x14ac:dyDescent="0.25">
      <c r="Q24451" s="8"/>
    </row>
    <row r="24452" spans="17:17" x14ac:dyDescent="0.25">
      <c r="Q24452" s="8"/>
    </row>
    <row r="24453" spans="17:17" x14ac:dyDescent="0.25">
      <c r="Q24453" s="8"/>
    </row>
    <row r="24454" spans="17:17" x14ac:dyDescent="0.25">
      <c r="Q24454" s="8"/>
    </row>
    <row r="24455" spans="17:17" x14ac:dyDescent="0.25">
      <c r="Q24455" s="8"/>
    </row>
    <row r="24456" spans="17:17" x14ac:dyDescent="0.25">
      <c r="Q24456" s="8"/>
    </row>
    <row r="24457" spans="17:17" x14ac:dyDescent="0.25">
      <c r="Q24457" s="8"/>
    </row>
    <row r="24458" spans="17:17" x14ac:dyDescent="0.25">
      <c r="Q24458" s="8"/>
    </row>
    <row r="24459" spans="17:17" x14ac:dyDescent="0.25">
      <c r="Q24459" s="8"/>
    </row>
    <row r="24460" spans="17:17" x14ac:dyDescent="0.25">
      <c r="Q24460" s="8"/>
    </row>
    <row r="24461" spans="17:17" x14ac:dyDescent="0.25">
      <c r="Q24461" s="8"/>
    </row>
    <row r="24462" spans="17:17" x14ac:dyDescent="0.25">
      <c r="Q24462" s="8"/>
    </row>
    <row r="24463" spans="17:17" x14ac:dyDescent="0.25">
      <c r="Q24463" s="8"/>
    </row>
    <row r="24464" spans="17:17" x14ac:dyDescent="0.25">
      <c r="Q24464" s="8"/>
    </row>
    <row r="24465" spans="17:17" x14ac:dyDescent="0.25">
      <c r="Q24465" s="8"/>
    </row>
    <row r="24466" spans="17:17" x14ac:dyDescent="0.25">
      <c r="Q24466" s="8"/>
    </row>
    <row r="24467" spans="17:17" x14ac:dyDescent="0.25">
      <c r="Q24467" s="8"/>
    </row>
    <row r="24468" spans="17:17" x14ac:dyDescent="0.25">
      <c r="Q24468" s="8"/>
    </row>
    <row r="24469" spans="17:17" x14ac:dyDescent="0.25">
      <c r="Q24469" s="8"/>
    </row>
    <row r="24470" spans="17:17" x14ac:dyDescent="0.25">
      <c r="Q24470" s="8"/>
    </row>
    <row r="24471" spans="17:17" x14ac:dyDescent="0.25">
      <c r="Q24471" s="8"/>
    </row>
    <row r="24472" spans="17:17" x14ac:dyDescent="0.25">
      <c r="Q24472" s="8"/>
    </row>
    <row r="24473" spans="17:17" x14ac:dyDescent="0.25">
      <c r="Q24473" s="8"/>
    </row>
    <row r="24474" spans="17:17" x14ac:dyDescent="0.25">
      <c r="Q24474" s="8"/>
    </row>
    <row r="24475" spans="17:17" x14ac:dyDescent="0.25">
      <c r="Q24475" s="8"/>
    </row>
    <row r="24476" spans="17:17" x14ac:dyDescent="0.25">
      <c r="Q24476" s="8"/>
    </row>
    <row r="24477" spans="17:17" x14ac:dyDescent="0.25">
      <c r="Q24477" s="8"/>
    </row>
    <row r="24478" spans="17:17" x14ac:dyDescent="0.25">
      <c r="Q24478" s="8"/>
    </row>
    <row r="24479" spans="17:17" x14ac:dyDescent="0.25">
      <c r="Q24479" s="8"/>
    </row>
    <row r="24480" spans="17:17" x14ac:dyDescent="0.25">
      <c r="Q24480" s="8"/>
    </row>
    <row r="24481" spans="17:17" x14ac:dyDescent="0.25">
      <c r="Q24481" s="8"/>
    </row>
    <row r="24482" spans="17:17" x14ac:dyDescent="0.25">
      <c r="Q24482" s="8"/>
    </row>
    <row r="24483" spans="17:17" x14ac:dyDescent="0.25">
      <c r="Q24483" s="8"/>
    </row>
    <row r="24484" spans="17:17" x14ac:dyDescent="0.25">
      <c r="Q24484" s="8"/>
    </row>
    <row r="24485" spans="17:17" x14ac:dyDescent="0.25">
      <c r="Q24485" s="8"/>
    </row>
    <row r="24486" spans="17:17" x14ac:dyDescent="0.25">
      <c r="Q24486" s="8"/>
    </row>
    <row r="24487" spans="17:17" x14ac:dyDescent="0.25">
      <c r="Q24487" s="8"/>
    </row>
    <row r="24488" spans="17:17" x14ac:dyDescent="0.25">
      <c r="Q24488" s="8"/>
    </row>
    <row r="24489" spans="17:17" x14ac:dyDescent="0.25">
      <c r="Q24489" s="8"/>
    </row>
    <row r="24490" spans="17:17" x14ac:dyDescent="0.25">
      <c r="Q24490" s="8"/>
    </row>
    <row r="24491" spans="17:17" x14ac:dyDescent="0.25">
      <c r="Q24491" s="8"/>
    </row>
    <row r="24492" spans="17:17" x14ac:dyDescent="0.25">
      <c r="Q24492" s="8"/>
    </row>
    <row r="24493" spans="17:17" x14ac:dyDescent="0.25">
      <c r="Q24493" s="8"/>
    </row>
    <row r="24494" spans="17:17" x14ac:dyDescent="0.25">
      <c r="Q24494" s="8"/>
    </row>
    <row r="24495" spans="17:17" x14ac:dyDescent="0.25">
      <c r="Q24495" s="8"/>
    </row>
    <row r="24496" spans="17:17" x14ac:dyDescent="0.25">
      <c r="Q24496" s="8"/>
    </row>
    <row r="24497" spans="17:17" x14ac:dyDescent="0.25">
      <c r="Q24497" s="8"/>
    </row>
    <row r="24498" spans="17:17" x14ac:dyDescent="0.25">
      <c r="Q24498" s="8"/>
    </row>
    <row r="24499" spans="17:17" x14ac:dyDescent="0.25">
      <c r="Q24499" s="8"/>
    </row>
    <row r="24500" spans="17:17" x14ac:dyDescent="0.25">
      <c r="Q24500" s="8"/>
    </row>
    <row r="24501" spans="17:17" x14ac:dyDescent="0.25">
      <c r="Q24501" s="8"/>
    </row>
    <row r="24502" spans="17:17" x14ac:dyDescent="0.25">
      <c r="Q24502" s="8"/>
    </row>
    <row r="24503" spans="17:17" x14ac:dyDescent="0.25">
      <c r="Q24503" s="8"/>
    </row>
    <row r="24504" spans="17:17" x14ac:dyDescent="0.25">
      <c r="Q24504" s="8"/>
    </row>
    <row r="24505" spans="17:17" x14ac:dyDescent="0.25">
      <c r="Q24505" s="8"/>
    </row>
    <row r="24506" spans="17:17" x14ac:dyDescent="0.25">
      <c r="Q24506" s="8"/>
    </row>
    <row r="24507" spans="17:17" x14ac:dyDescent="0.25">
      <c r="Q24507" s="8"/>
    </row>
    <row r="24508" spans="17:17" x14ac:dyDescent="0.25">
      <c r="Q24508" s="8"/>
    </row>
    <row r="24509" spans="17:17" x14ac:dyDescent="0.25">
      <c r="Q24509" s="8"/>
    </row>
    <row r="24510" spans="17:17" x14ac:dyDescent="0.25">
      <c r="Q24510" s="8"/>
    </row>
    <row r="24511" spans="17:17" x14ac:dyDescent="0.25">
      <c r="Q24511" s="8"/>
    </row>
    <row r="24512" spans="17:17" x14ac:dyDescent="0.25">
      <c r="Q24512" s="8"/>
    </row>
    <row r="24513" spans="17:17" x14ac:dyDescent="0.25">
      <c r="Q24513" s="8"/>
    </row>
    <row r="24514" spans="17:17" x14ac:dyDescent="0.25">
      <c r="Q24514" s="8"/>
    </row>
    <row r="24515" spans="17:17" x14ac:dyDescent="0.25">
      <c r="Q24515" s="8"/>
    </row>
    <row r="24516" spans="17:17" x14ac:dyDescent="0.25">
      <c r="Q24516" s="8"/>
    </row>
    <row r="24517" spans="17:17" x14ac:dyDescent="0.25">
      <c r="Q24517" s="8"/>
    </row>
    <row r="24518" spans="17:17" x14ac:dyDescent="0.25">
      <c r="Q24518" s="8"/>
    </row>
    <row r="24519" spans="17:17" x14ac:dyDescent="0.25">
      <c r="Q24519" s="8"/>
    </row>
    <row r="24520" spans="17:17" x14ac:dyDescent="0.25">
      <c r="Q24520" s="8"/>
    </row>
    <row r="24521" spans="17:17" x14ac:dyDescent="0.25">
      <c r="Q24521" s="8"/>
    </row>
    <row r="24522" spans="17:17" x14ac:dyDescent="0.25">
      <c r="Q24522" s="8"/>
    </row>
    <row r="24523" spans="17:17" x14ac:dyDescent="0.25">
      <c r="Q24523" s="8"/>
    </row>
    <row r="24524" spans="17:17" x14ac:dyDescent="0.25">
      <c r="Q24524" s="8"/>
    </row>
    <row r="24525" spans="17:17" x14ac:dyDescent="0.25">
      <c r="Q24525" s="8"/>
    </row>
    <row r="24526" spans="17:17" x14ac:dyDescent="0.25">
      <c r="Q24526" s="8"/>
    </row>
    <row r="24527" spans="17:17" x14ac:dyDescent="0.25">
      <c r="Q24527" s="8"/>
    </row>
    <row r="24528" spans="17:17" x14ac:dyDescent="0.25">
      <c r="Q24528" s="8"/>
    </row>
    <row r="24529" spans="17:17" x14ac:dyDescent="0.25">
      <c r="Q24529" s="8"/>
    </row>
    <row r="24530" spans="17:17" x14ac:dyDescent="0.25">
      <c r="Q24530" s="8"/>
    </row>
    <row r="24531" spans="17:17" x14ac:dyDescent="0.25">
      <c r="Q24531" s="8"/>
    </row>
    <row r="24532" spans="17:17" x14ac:dyDescent="0.25">
      <c r="Q24532" s="8"/>
    </row>
    <row r="24533" spans="17:17" x14ac:dyDescent="0.25">
      <c r="Q24533" s="8"/>
    </row>
    <row r="24534" spans="17:17" x14ac:dyDescent="0.25">
      <c r="Q24534" s="8"/>
    </row>
    <row r="24535" spans="17:17" x14ac:dyDescent="0.25">
      <c r="Q24535" s="8"/>
    </row>
    <row r="24536" spans="17:17" x14ac:dyDescent="0.25">
      <c r="Q24536" s="8"/>
    </row>
    <row r="24537" spans="17:17" x14ac:dyDescent="0.25">
      <c r="Q24537" s="8"/>
    </row>
    <row r="24538" spans="17:17" x14ac:dyDescent="0.25">
      <c r="Q24538" s="8"/>
    </row>
    <row r="24539" spans="17:17" x14ac:dyDescent="0.25">
      <c r="Q24539" s="8"/>
    </row>
    <row r="24540" spans="17:17" x14ac:dyDescent="0.25">
      <c r="Q24540" s="8"/>
    </row>
    <row r="24541" spans="17:17" x14ac:dyDescent="0.25">
      <c r="Q24541" s="8"/>
    </row>
    <row r="24542" spans="17:17" x14ac:dyDescent="0.25">
      <c r="Q24542" s="8"/>
    </row>
    <row r="24543" spans="17:17" x14ac:dyDescent="0.25">
      <c r="Q24543" s="8"/>
    </row>
    <row r="24544" spans="17:17" x14ac:dyDescent="0.25">
      <c r="Q24544" s="8"/>
    </row>
    <row r="24545" spans="17:17" x14ac:dyDescent="0.25">
      <c r="Q24545" s="8"/>
    </row>
    <row r="24546" spans="17:17" x14ac:dyDescent="0.25">
      <c r="Q24546" s="8"/>
    </row>
    <row r="24547" spans="17:17" x14ac:dyDescent="0.25">
      <c r="Q24547" s="8"/>
    </row>
    <row r="24548" spans="17:17" x14ac:dyDescent="0.25">
      <c r="Q24548" s="8"/>
    </row>
    <row r="24549" spans="17:17" x14ac:dyDescent="0.25">
      <c r="Q24549" s="8"/>
    </row>
    <row r="24550" spans="17:17" x14ac:dyDescent="0.25">
      <c r="Q24550" s="8"/>
    </row>
    <row r="24551" spans="17:17" x14ac:dyDescent="0.25">
      <c r="Q24551" s="8"/>
    </row>
    <row r="24552" spans="17:17" x14ac:dyDescent="0.25">
      <c r="Q24552" s="8"/>
    </row>
    <row r="24553" spans="17:17" x14ac:dyDescent="0.25">
      <c r="Q24553" s="8"/>
    </row>
    <row r="24554" spans="17:17" x14ac:dyDescent="0.25">
      <c r="Q24554" s="8"/>
    </row>
    <row r="24555" spans="17:17" x14ac:dyDescent="0.25">
      <c r="Q24555" s="8"/>
    </row>
    <row r="24556" spans="17:17" x14ac:dyDescent="0.25">
      <c r="Q24556" s="8"/>
    </row>
    <row r="24557" spans="17:17" x14ac:dyDescent="0.25">
      <c r="Q24557" s="8"/>
    </row>
    <row r="24558" spans="17:17" x14ac:dyDescent="0.25">
      <c r="Q24558" s="8"/>
    </row>
    <row r="24559" spans="17:17" x14ac:dyDescent="0.25">
      <c r="Q24559" s="8"/>
    </row>
    <row r="24560" spans="17:17" x14ac:dyDescent="0.25">
      <c r="Q24560" s="8"/>
    </row>
    <row r="24561" spans="17:17" x14ac:dyDescent="0.25">
      <c r="Q24561" s="8"/>
    </row>
    <row r="24562" spans="17:17" x14ac:dyDescent="0.25">
      <c r="Q24562" s="8"/>
    </row>
    <row r="24563" spans="17:17" x14ac:dyDescent="0.25">
      <c r="Q24563" s="8"/>
    </row>
    <row r="24564" spans="17:17" x14ac:dyDescent="0.25">
      <c r="Q24564" s="8"/>
    </row>
    <row r="24565" spans="17:17" x14ac:dyDescent="0.25">
      <c r="Q24565" s="8"/>
    </row>
    <row r="24566" spans="17:17" x14ac:dyDescent="0.25">
      <c r="Q24566" s="8"/>
    </row>
    <row r="24567" spans="17:17" x14ac:dyDescent="0.25">
      <c r="Q24567" s="8"/>
    </row>
    <row r="24568" spans="17:17" x14ac:dyDescent="0.25">
      <c r="Q24568" s="8"/>
    </row>
    <row r="24569" spans="17:17" x14ac:dyDescent="0.25">
      <c r="Q24569" s="8"/>
    </row>
    <row r="24570" spans="17:17" x14ac:dyDescent="0.25">
      <c r="Q24570" s="8"/>
    </row>
    <row r="24571" spans="17:17" x14ac:dyDescent="0.25">
      <c r="Q24571" s="8"/>
    </row>
    <row r="24572" spans="17:17" x14ac:dyDescent="0.25">
      <c r="Q24572" s="8"/>
    </row>
    <row r="24573" spans="17:17" x14ac:dyDescent="0.25">
      <c r="Q24573" s="8"/>
    </row>
    <row r="24574" spans="17:17" x14ac:dyDescent="0.25">
      <c r="Q24574" s="8"/>
    </row>
    <row r="24575" spans="17:17" x14ac:dyDescent="0.25">
      <c r="Q24575" s="8"/>
    </row>
    <row r="24576" spans="17:17" x14ac:dyDescent="0.25">
      <c r="Q24576" s="8"/>
    </row>
    <row r="24577" spans="17:17" x14ac:dyDescent="0.25">
      <c r="Q24577" s="8"/>
    </row>
    <row r="24578" spans="17:17" x14ac:dyDescent="0.25">
      <c r="Q24578" s="8"/>
    </row>
    <row r="24579" spans="17:17" x14ac:dyDescent="0.25">
      <c r="Q24579" s="8"/>
    </row>
    <row r="24580" spans="17:17" x14ac:dyDescent="0.25">
      <c r="Q24580" s="8"/>
    </row>
    <row r="24581" spans="17:17" x14ac:dyDescent="0.25">
      <c r="Q24581" s="8"/>
    </row>
    <row r="24582" spans="17:17" x14ac:dyDescent="0.25">
      <c r="Q24582" s="8"/>
    </row>
    <row r="24583" spans="17:17" x14ac:dyDescent="0.25">
      <c r="Q24583" s="8"/>
    </row>
    <row r="24584" spans="17:17" x14ac:dyDescent="0.25">
      <c r="Q24584" s="8"/>
    </row>
    <row r="24585" spans="17:17" x14ac:dyDescent="0.25">
      <c r="Q24585" s="8"/>
    </row>
    <row r="24586" spans="17:17" x14ac:dyDescent="0.25">
      <c r="Q24586" s="8"/>
    </row>
    <row r="24587" spans="17:17" x14ac:dyDescent="0.25">
      <c r="Q24587" s="8"/>
    </row>
    <row r="24588" spans="17:17" x14ac:dyDescent="0.25">
      <c r="Q24588" s="8"/>
    </row>
    <row r="24589" spans="17:17" x14ac:dyDescent="0.25">
      <c r="Q24589" s="8"/>
    </row>
    <row r="24590" spans="17:17" x14ac:dyDescent="0.25">
      <c r="Q24590" s="8"/>
    </row>
    <row r="24591" spans="17:17" x14ac:dyDescent="0.25">
      <c r="Q24591" s="8"/>
    </row>
    <row r="24592" spans="17:17" x14ac:dyDescent="0.25">
      <c r="Q24592" s="8"/>
    </row>
    <row r="24593" spans="17:17" x14ac:dyDescent="0.25">
      <c r="Q24593" s="8"/>
    </row>
    <row r="24594" spans="17:17" x14ac:dyDescent="0.25">
      <c r="Q24594" s="8"/>
    </row>
    <row r="24595" spans="17:17" x14ac:dyDescent="0.25">
      <c r="Q24595" s="8"/>
    </row>
    <row r="24596" spans="17:17" x14ac:dyDescent="0.25">
      <c r="Q24596" s="8"/>
    </row>
    <row r="24597" spans="17:17" x14ac:dyDescent="0.25">
      <c r="Q24597" s="8"/>
    </row>
    <row r="24598" spans="17:17" x14ac:dyDescent="0.25">
      <c r="Q24598" s="8"/>
    </row>
    <row r="24599" spans="17:17" x14ac:dyDescent="0.25">
      <c r="Q24599" s="8"/>
    </row>
    <row r="24600" spans="17:17" x14ac:dyDescent="0.25">
      <c r="Q24600" s="8"/>
    </row>
    <row r="24601" spans="17:17" x14ac:dyDescent="0.25">
      <c r="Q24601" s="8"/>
    </row>
    <row r="24602" spans="17:17" x14ac:dyDescent="0.25">
      <c r="Q24602" s="8"/>
    </row>
    <row r="24603" spans="17:17" x14ac:dyDescent="0.25">
      <c r="Q24603" s="8"/>
    </row>
    <row r="24604" spans="17:17" x14ac:dyDescent="0.25">
      <c r="Q24604" s="8"/>
    </row>
    <row r="24605" spans="17:17" x14ac:dyDescent="0.25">
      <c r="Q24605" s="8"/>
    </row>
    <row r="24606" spans="17:17" x14ac:dyDescent="0.25">
      <c r="Q24606" s="8"/>
    </row>
    <row r="24607" spans="17:17" x14ac:dyDescent="0.25">
      <c r="Q24607" s="8"/>
    </row>
    <row r="24608" spans="17:17" x14ac:dyDescent="0.25">
      <c r="Q24608" s="8"/>
    </row>
    <row r="24609" spans="17:17" x14ac:dyDescent="0.25">
      <c r="Q24609" s="8"/>
    </row>
    <row r="24610" spans="17:17" x14ac:dyDescent="0.25">
      <c r="Q24610" s="8"/>
    </row>
    <row r="24611" spans="17:17" x14ac:dyDescent="0.25">
      <c r="Q24611" s="8"/>
    </row>
    <row r="24612" spans="17:17" x14ac:dyDescent="0.25">
      <c r="Q24612" s="8"/>
    </row>
    <row r="24613" spans="17:17" x14ac:dyDescent="0.25">
      <c r="Q24613" s="8"/>
    </row>
    <row r="24614" spans="17:17" x14ac:dyDescent="0.25">
      <c r="Q24614" s="8"/>
    </row>
    <row r="24615" spans="17:17" x14ac:dyDescent="0.25">
      <c r="Q24615" s="8"/>
    </row>
    <row r="24616" spans="17:17" x14ac:dyDescent="0.25">
      <c r="Q24616" s="8"/>
    </row>
    <row r="24617" spans="17:17" x14ac:dyDescent="0.25">
      <c r="Q24617" s="8"/>
    </row>
    <row r="24618" spans="17:17" x14ac:dyDescent="0.25">
      <c r="Q24618" s="8"/>
    </row>
    <row r="24619" spans="17:17" x14ac:dyDescent="0.25">
      <c r="Q24619" s="8"/>
    </row>
    <row r="24620" spans="17:17" x14ac:dyDescent="0.25">
      <c r="Q24620" s="8"/>
    </row>
    <row r="24621" spans="17:17" x14ac:dyDescent="0.25">
      <c r="Q24621" s="8"/>
    </row>
    <row r="24622" spans="17:17" x14ac:dyDescent="0.25">
      <c r="Q24622" s="8"/>
    </row>
    <row r="24623" spans="17:17" x14ac:dyDescent="0.25">
      <c r="Q24623" s="8"/>
    </row>
    <row r="24624" spans="17:17" x14ac:dyDescent="0.25">
      <c r="Q24624" s="8"/>
    </row>
    <row r="24625" spans="17:17" x14ac:dyDescent="0.25">
      <c r="Q24625" s="8"/>
    </row>
    <row r="24626" spans="17:17" x14ac:dyDescent="0.25">
      <c r="Q24626" s="8"/>
    </row>
    <row r="24627" spans="17:17" x14ac:dyDescent="0.25">
      <c r="Q24627" s="8"/>
    </row>
    <row r="24628" spans="17:17" x14ac:dyDescent="0.25">
      <c r="Q24628" s="8"/>
    </row>
    <row r="24629" spans="17:17" x14ac:dyDescent="0.25">
      <c r="Q24629" s="8"/>
    </row>
    <row r="24630" spans="17:17" x14ac:dyDescent="0.25">
      <c r="Q24630" s="8"/>
    </row>
    <row r="24631" spans="17:17" x14ac:dyDescent="0.25">
      <c r="Q24631" s="8"/>
    </row>
    <row r="24632" spans="17:17" x14ac:dyDescent="0.25">
      <c r="Q24632" s="8"/>
    </row>
    <row r="24633" spans="17:17" x14ac:dyDescent="0.25">
      <c r="Q24633" s="8"/>
    </row>
    <row r="24634" spans="17:17" x14ac:dyDescent="0.25">
      <c r="Q24634" s="8"/>
    </row>
    <row r="24635" spans="17:17" x14ac:dyDescent="0.25">
      <c r="Q24635" s="8"/>
    </row>
    <row r="24636" spans="17:17" x14ac:dyDescent="0.25">
      <c r="Q24636" s="8"/>
    </row>
    <row r="24637" spans="17:17" x14ac:dyDescent="0.25">
      <c r="Q24637" s="8"/>
    </row>
    <row r="24638" spans="17:17" x14ac:dyDescent="0.25">
      <c r="Q24638" s="8"/>
    </row>
    <row r="24639" spans="17:17" x14ac:dyDescent="0.25">
      <c r="Q24639" s="8"/>
    </row>
    <row r="24640" spans="17:17" x14ac:dyDescent="0.25">
      <c r="Q24640" s="8"/>
    </row>
    <row r="24641" spans="17:17" x14ac:dyDescent="0.25">
      <c r="Q24641" s="8"/>
    </row>
    <row r="24642" spans="17:17" x14ac:dyDescent="0.25">
      <c r="Q24642" s="8"/>
    </row>
    <row r="24643" spans="17:17" x14ac:dyDescent="0.25">
      <c r="Q24643" s="8"/>
    </row>
    <row r="24644" spans="17:17" x14ac:dyDescent="0.25">
      <c r="Q24644" s="8"/>
    </row>
    <row r="24645" spans="17:17" x14ac:dyDescent="0.25">
      <c r="Q24645" s="8"/>
    </row>
    <row r="24646" spans="17:17" x14ac:dyDescent="0.25">
      <c r="Q24646" s="8"/>
    </row>
    <row r="24647" spans="17:17" x14ac:dyDescent="0.25">
      <c r="Q24647" s="8"/>
    </row>
    <row r="24648" spans="17:17" x14ac:dyDescent="0.25">
      <c r="Q24648" s="8"/>
    </row>
    <row r="24649" spans="17:17" x14ac:dyDescent="0.25">
      <c r="Q24649" s="8"/>
    </row>
    <row r="24650" spans="17:17" x14ac:dyDescent="0.25">
      <c r="Q24650" s="8"/>
    </row>
    <row r="24651" spans="17:17" x14ac:dyDescent="0.25">
      <c r="Q24651" s="8"/>
    </row>
    <row r="24652" spans="17:17" x14ac:dyDescent="0.25">
      <c r="Q24652" s="8"/>
    </row>
    <row r="24653" spans="17:17" x14ac:dyDescent="0.25">
      <c r="Q24653" s="8"/>
    </row>
    <row r="24654" spans="17:17" x14ac:dyDescent="0.25">
      <c r="Q24654" s="8"/>
    </row>
    <row r="24655" spans="17:17" x14ac:dyDescent="0.25">
      <c r="Q24655" s="8"/>
    </row>
    <row r="24656" spans="17:17" x14ac:dyDescent="0.25">
      <c r="Q24656" s="8"/>
    </row>
    <row r="24657" spans="17:17" x14ac:dyDescent="0.25">
      <c r="Q24657" s="8"/>
    </row>
    <row r="24658" spans="17:17" x14ac:dyDescent="0.25">
      <c r="Q24658" s="8"/>
    </row>
    <row r="24659" spans="17:17" x14ac:dyDescent="0.25">
      <c r="Q24659" s="8"/>
    </row>
    <row r="24660" spans="17:17" x14ac:dyDescent="0.25">
      <c r="Q24660" s="8"/>
    </row>
    <row r="24661" spans="17:17" x14ac:dyDescent="0.25">
      <c r="Q24661" s="8"/>
    </row>
    <row r="24662" spans="17:17" x14ac:dyDescent="0.25">
      <c r="Q24662" s="8"/>
    </row>
    <row r="24663" spans="17:17" x14ac:dyDescent="0.25">
      <c r="Q24663" s="8"/>
    </row>
    <row r="24664" spans="17:17" x14ac:dyDescent="0.25">
      <c r="Q24664" s="8"/>
    </row>
    <row r="24665" spans="17:17" x14ac:dyDescent="0.25">
      <c r="Q24665" s="8"/>
    </row>
    <row r="24666" spans="17:17" x14ac:dyDescent="0.25">
      <c r="Q24666" s="8"/>
    </row>
    <row r="24667" spans="17:17" x14ac:dyDescent="0.25">
      <c r="Q24667" s="8"/>
    </row>
    <row r="24668" spans="17:17" x14ac:dyDescent="0.25">
      <c r="Q24668" s="8"/>
    </row>
    <row r="24669" spans="17:17" x14ac:dyDescent="0.25">
      <c r="Q24669" s="8"/>
    </row>
    <row r="24670" spans="17:17" x14ac:dyDescent="0.25">
      <c r="Q24670" s="8"/>
    </row>
    <row r="24671" spans="17:17" x14ac:dyDescent="0.25">
      <c r="Q24671" s="8"/>
    </row>
    <row r="24672" spans="17:17" x14ac:dyDescent="0.25">
      <c r="Q24672" s="8"/>
    </row>
    <row r="24673" spans="17:17" x14ac:dyDescent="0.25">
      <c r="Q24673" s="8"/>
    </row>
    <row r="24674" spans="17:17" x14ac:dyDescent="0.25">
      <c r="Q24674" s="8"/>
    </row>
    <row r="24675" spans="17:17" x14ac:dyDescent="0.25">
      <c r="Q24675" s="8"/>
    </row>
    <row r="24676" spans="17:17" x14ac:dyDescent="0.25">
      <c r="Q24676" s="8"/>
    </row>
    <row r="24677" spans="17:17" x14ac:dyDescent="0.25">
      <c r="Q24677" s="8"/>
    </row>
    <row r="24678" spans="17:17" x14ac:dyDescent="0.25">
      <c r="Q24678" s="8"/>
    </row>
    <row r="24679" spans="17:17" x14ac:dyDescent="0.25">
      <c r="Q24679" s="8"/>
    </row>
    <row r="24680" spans="17:17" x14ac:dyDescent="0.25">
      <c r="Q24680" s="8"/>
    </row>
    <row r="24681" spans="17:17" x14ac:dyDescent="0.25">
      <c r="Q24681" s="8"/>
    </row>
    <row r="24682" spans="17:17" x14ac:dyDescent="0.25">
      <c r="Q24682" s="8"/>
    </row>
    <row r="24683" spans="17:17" x14ac:dyDescent="0.25">
      <c r="Q24683" s="8"/>
    </row>
    <row r="24684" spans="17:17" x14ac:dyDescent="0.25">
      <c r="Q24684" s="8"/>
    </row>
    <row r="24685" spans="17:17" x14ac:dyDescent="0.25">
      <c r="Q24685" s="8"/>
    </row>
    <row r="24686" spans="17:17" x14ac:dyDescent="0.25">
      <c r="Q24686" s="8"/>
    </row>
    <row r="24687" spans="17:17" x14ac:dyDescent="0.25">
      <c r="Q24687" s="8"/>
    </row>
    <row r="24688" spans="17:17" x14ac:dyDescent="0.25">
      <c r="Q24688" s="8"/>
    </row>
    <row r="24689" spans="17:17" x14ac:dyDescent="0.25">
      <c r="Q24689" s="8"/>
    </row>
    <row r="24690" spans="17:17" x14ac:dyDescent="0.25">
      <c r="Q24690" s="8"/>
    </row>
    <row r="24691" spans="17:17" x14ac:dyDescent="0.25">
      <c r="Q24691" s="8"/>
    </row>
    <row r="24692" spans="17:17" x14ac:dyDescent="0.25">
      <c r="Q24692" s="8"/>
    </row>
    <row r="24693" spans="17:17" x14ac:dyDescent="0.25">
      <c r="Q24693" s="8"/>
    </row>
    <row r="24694" spans="17:17" x14ac:dyDescent="0.25">
      <c r="Q24694" s="8"/>
    </row>
    <row r="24695" spans="17:17" x14ac:dyDescent="0.25">
      <c r="Q24695" s="8"/>
    </row>
    <row r="24696" spans="17:17" x14ac:dyDescent="0.25">
      <c r="Q24696" s="8"/>
    </row>
    <row r="24697" spans="17:17" x14ac:dyDescent="0.25">
      <c r="Q24697" s="8"/>
    </row>
    <row r="24698" spans="17:17" x14ac:dyDescent="0.25">
      <c r="Q24698" s="8"/>
    </row>
    <row r="24699" spans="17:17" x14ac:dyDescent="0.25">
      <c r="Q24699" s="8"/>
    </row>
    <row r="24700" spans="17:17" x14ac:dyDescent="0.25">
      <c r="Q24700" s="8"/>
    </row>
    <row r="24701" spans="17:17" x14ac:dyDescent="0.25">
      <c r="Q24701" s="8"/>
    </row>
    <row r="24702" spans="17:17" x14ac:dyDescent="0.25">
      <c r="Q24702" s="8"/>
    </row>
    <row r="24703" spans="17:17" x14ac:dyDescent="0.25">
      <c r="Q24703" s="8"/>
    </row>
    <row r="24704" spans="17:17" x14ac:dyDescent="0.25">
      <c r="Q24704" s="8"/>
    </row>
    <row r="24705" spans="17:17" x14ac:dyDescent="0.25">
      <c r="Q24705" s="8"/>
    </row>
    <row r="24706" spans="17:17" x14ac:dyDescent="0.25">
      <c r="Q24706" s="8"/>
    </row>
    <row r="24707" spans="17:17" x14ac:dyDescent="0.25">
      <c r="Q24707" s="8"/>
    </row>
    <row r="24708" spans="17:17" x14ac:dyDescent="0.25">
      <c r="Q24708" s="8"/>
    </row>
    <row r="24709" spans="17:17" x14ac:dyDescent="0.25">
      <c r="Q24709" s="8"/>
    </row>
    <row r="24710" spans="17:17" x14ac:dyDescent="0.25">
      <c r="Q24710" s="8"/>
    </row>
    <row r="24711" spans="17:17" x14ac:dyDescent="0.25">
      <c r="Q24711" s="8"/>
    </row>
    <row r="24712" spans="17:17" x14ac:dyDescent="0.25">
      <c r="Q24712" s="8"/>
    </row>
    <row r="24713" spans="17:17" x14ac:dyDescent="0.25">
      <c r="Q24713" s="8"/>
    </row>
    <row r="24714" spans="17:17" x14ac:dyDescent="0.25">
      <c r="Q24714" s="8"/>
    </row>
    <row r="24715" spans="17:17" x14ac:dyDescent="0.25">
      <c r="Q24715" s="8"/>
    </row>
    <row r="24716" spans="17:17" x14ac:dyDescent="0.25">
      <c r="Q24716" s="8"/>
    </row>
    <row r="24717" spans="17:17" x14ac:dyDescent="0.25">
      <c r="Q24717" s="8"/>
    </row>
    <row r="24718" spans="17:17" x14ac:dyDescent="0.25">
      <c r="Q24718" s="8"/>
    </row>
    <row r="24719" spans="17:17" x14ac:dyDescent="0.25">
      <c r="Q24719" s="8"/>
    </row>
    <row r="24720" spans="17:17" x14ac:dyDescent="0.25">
      <c r="Q24720" s="8"/>
    </row>
    <row r="24721" spans="17:17" x14ac:dyDescent="0.25">
      <c r="Q24721" s="8"/>
    </row>
    <row r="24722" spans="17:17" x14ac:dyDescent="0.25">
      <c r="Q24722" s="8"/>
    </row>
    <row r="24723" spans="17:17" x14ac:dyDescent="0.25">
      <c r="Q24723" s="8"/>
    </row>
    <row r="24724" spans="17:17" x14ac:dyDescent="0.25">
      <c r="Q24724" s="8"/>
    </row>
    <row r="24725" spans="17:17" x14ac:dyDescent="0.25">
      <c r="Q24725" s="8"/>
    </row>
    <row r="24726" spans="17:17" x14ac:dyDescent="0.25">
      <c r="Q24726" s="8"/>
    </row>
    <row r="24727" spans="17:17" x14ac:dyDescent="0.25">
      <c r="Q24727" s="8"/>
    </row>
    <row r="24728" spans="17:17" x14ac:dyDescent="0.25">
      <c r="Q24728" s="8"/>
    </row>
    <row r="24729" spans="17:17" x14ac:dyDescent="0.25">
      <c r="Q24729" s="8"/>
    </row>
    <row r="24730" spans="17:17" x14ac:dyDescent="0.25">
      <c r="Q24730" s="8"/>
    </row>
    <row r="24731" spans="17:17" x14ac:dyDescent="0.25">
      <c r="Q24731" s="8"/>
    </row>
    <row r="24732" spans="17:17" x14ac:dyDescent="0.25">
      <c r="Q24732" s="8"/>
    </row>
    <row r="24733" spans="17:17" x14ac:dyDescent="0.25">
      <c r="Q24733" s="8"/>
    </row>
    <row r="24734" spans="17:17" x14ac:dyDescent="0.25">
      <c r="Q24734" s="8"/>
    </row>
    <row r="24735" spans="17:17" x14ac:dyDescent="0.25">
      <c r="Q24735" s="8"/>
    </row>
    <row r="24736" spans="17:17" x14ac:dyDescent="0.25">
      <c r="Q24736" s="8"/>
    </row>
    <row r="24737" spans="17:17" x14ac:dyDescent="0.25">
      <c r="Q24737" s="8"/>
    </row>
    <row r="24738" spans="17:17" x14ac:dyDescent="0.25">
      <c r="Q24738" s="8"/>
    </row>
    <row r="24739" spans="17:17" x14ac:dyDescent="0.25">
      <c r="Q24739" s="8"/>
    </row>
    <row r="24740" spans="17:17" x14ac:dyDescent="0.25">
      <c r="Q24740" s="8"/>
    </row>
    <row r="24741" spans="17:17" x14ac:dyDescent="0.25">
      <c r="Q24741" s="8"/>
    </row>
    <row r="24742" spans="17:17" x14ac:dyDescent="0.25">
      <c r="Q24742" s="8"/>
    </row>
    <row r="24743" spans="17:17" x14ac:dyDescent="0.25">
      <c r="Q24743" s="8"/>
    </row>
    <row r="24744" spans="17:17" x14ac:dyDescent="0.25">
      <c r="Q24744" s="8"/>
    </row>
    <row r="24745" spans="17:17" x14ac:dyDescent="0.25">
      <c r="Q24745" s="8"/>
    </row>
    <row r="24746" spans="17:17" x14ac:dyDescent="0.25">
      <c r="Q24746" s="8"/>
    </row>
    <row r="24747" spans="17:17" x14ac:dyDescent="0.25">
      <c r="Q24747" s="8"/>
    </row>
    <row r="24748" spans="17:17" x14ac:dyDescent="0.25">
      <c r="Q24748" s="8"/>
    </row>
    <row r="24749" spans="17:17" x14ac:dyDescent="0.25">
      <c r="Q24749" s="8"/>
    </row>
    <row r="24750" spans="17:17" x14ac:dyDescent="0.25">
      <c r="Q24750" s="8"/>
    </row>
    <row r="24751" spans="17:17" x14ac:dyDescent="0.25">
      <c r="Q24751" s="8"/>
    </row>
    <row r="24752" spans="17:17" x14ac:dyDescent="0.25">
      <c r="Q24752" s="8"/>
    </row>
    <row r="24753" spans="17:17" x14ac:dyDescent="0.25">
      <c r="Q24753" s="8"/>
    </row>
    <row r="24754" spans="17:17" x14ac:dyDescent="0.25">
      <c r="Q24754" s="8"/>
    </row>
    <row r="24755" spans="17:17" x14ac:dyDescent="0.25">
      <c r="Q24755" s="8"/>
    </row>
    <row r="24756" spans="17:17" x14ac:dyDescent="0.25">
      <c r="Q24756" s="8"/>
    </row>
    <row r="24757" spans="17:17" x14ac:dyDescent="0.25">
      <c r="Q24757" s="8"/>
    </row>
    <row r="24758" spans="17:17" x14ac:dyDescent="0.25">
      <c r="Q24758" s="8"/>
    </row>
    <row r="24759" spans="17:17" x14ac:dyDescent="0.25">
      <c r="Q24759" s="8"/>
    </row>
    <row r="24760" spans="17:17" x14ac:dyDescent="0.25">
      <c r="Q24760" s="8"/>
    </row>
    <row r="24761" spans="17:17" x14ac:dyDescent="0.25">
      <c r="Q24761" s="8"/>
    </row>
    <row r="24762" spans="17:17" x14ac:dyDescent="0.25">
      <c r="Q24762" s="8"/>
    </row>
    <row r="24763" spans="17:17" x14ac:dyDescent="0.25">
      <c r="Q24763" s="8"/>
    </row>
    <row r="24764" spans="17:17" x14ac:dyDescent="0.25">
      <c r="Q24764" s="8"/>
    </row>
    <row r="24765" spans="17:17" x14ac:dyDescent="0.25">
      <c r="Q24765" s="8"/>
    </row>
    <row r="24766" spans="17:17" x14ac:dyDescent="0.25">
      <c r="Q24766" s="8"/>
    </row>
    <row r="24767" spans="17:17" x14ac:dyDescent="0.25">
      <c r="Q24767" s="8"/>
    </row>
    <row r="24768" spans="17:17" x14ac:dyDescent="0.25">
      <c r="Q24768" s="8"/>
    </row>
    <row r="24769" spans="17:17" x14ac:dyDescent="0.25">
      <c r="Q24769" s="8"/>
    </row>
    <row r="24770" spans="17:17" x14ac:dyDescent="0.25">
      <c r="Q24770" s="8"/>
    </row>
    <row r="24771" spans="17:17" x14ac:dyDescent="0.25">
      <c r="Q24771" s="8"/>
    </row>
    <row r="24772" spans="17:17" x14ac:dyDescent="0.25">
      <c r="Q24772" s="8"/>
    </row>
    <row r="24773" spans="17:17" x14ac:dyDescent="0.25">
      <c r="Q24773" s="8"/>
    </row>
    <row r="24774" spans="17:17" x14ac:dyDescent="0.25">
      <c r="Q24774" s="8"/>
    </row>
    <row r="24775" spans="17:17" x14ac:dyDescent="0.25">
      <c r="Q24775" s="8"/>
    </row>
    <row r="24776" spans="17:17" x14ac:dyDescent="0.25">
      <c r="Q24776" s="8"/>
    </row>
    <row r="24777" spans="17:17" x14ac:dyDescent="0.25">
      <c r="Q24777" s="8"/>
    </row>
    <row r="24778" spans="17:17" x14ac:dyDescent="0.25">
      <c r="Q24778" s="8"/>
    </row>
    <row r="24779" spans="17:17" x14ac:dyDescent="0.25">
      <c r="Q24779" s="8"/>
    </row>
    <row r="24780" spans="17:17" x14ac:dyDescent="0.25">
      <c r="Q24780" s="8"/>
    </row>
    <row r="24781" spans="17:17" x14ac:dyDescent="0.25">
      <c r="Q24781" s="8"/>
    </row>
    <row r="24782" spans="17:17" x14ac:dyDescent="0.25">
      <c r="Q24782" s="8"/>
    </row>
    <row r="24783" spans="17:17" x14ac:dyDescent="0.25">
      <c r="Q24783" s="8"/>
    </row>
    <row r="24784" spans="17:17" x14ac:dyDescent="0.25">
      <c r="Q24784" s="8"/>
    </row>
    <row r="24785" spans="17:17" x14ac:dyDescent="0.25">
      <c r="Q24785" s="8"/>
    </row>
    <row r="24786" spans="17:17" x14ac:dyDescent="0.25">
      <c r="Q24786" s="8"/>
    </row>
    <row r="24787" spans="17:17" x14ac:dyDescent="0.25">
      <c r="Q24787" s="8"/>
    </row>
    <row r="24788" spans="17:17" x14ac:dyDescent="0.25">
      <c r="Q24788" s="8"/>
    </row>
    <row r="24789" spans="17:17" x14ac:dyDescent="0.25">
      <c r="Q24789" s="8"/>
    </row>
    <row r="24790" spans="17:17" x14ac:dyDescent="0.25">
      <c r="Q24790" s="8"/>
    </row>
    <row r="24791" spans="17:17" x14ac:dyDescent="0.25">
      <c r="Q24791" s="8"/>
    </row>
    <row r="24792" spans="17:17" x14ac:dyDescent="0.25">
      <c r="Q24792" s="8"/>
    </row>
    <row r="24793" spans="17:17" x14ac:dyDescent="0.25">
      <c r="Q24793" s="8"/>
    </row>
    <row r="24794" spans="17:17" x14ac:dyDescent="0.25">
      <c r="Q24794" s="8"/>
    </row>
    <row r="24795" spans="17:17" x14ac:dyDescent="0.25">
      <c r="Q24795" s="8"/>
    </row>
    <row r="24796" spans="17:17" x14ac:dyDescent="0.25">
      <c r="Q24796" s="8"/>
    </row>
    <row r="24797" spans="17:17" x14ac:dyDescent="0.25">
      <c r="Q24797" s="8"/>
    </row>
    <row r="24798" spans="17:17" x14ac:dyDescent="0.25">
      <c r="Q24798" s="8"/>
    </row>
    <row r="24799" spans="17:17" x14ac:dyDescent="0.25">
      <c r="Q24799" s="8"/>
    </row>
    <row r="24800" spans="17:17" x14ac:dyDescent="0.25">
      <c r="Q24800" s="8"/>
    </row>
    <row r="24801" spans="17:17" x14ac:dyDescent="0.25">
      <c r="Q24801" s="8"/>
    </row>
    <row r="24802" spans="17:17" x14ac:dyDescent="0.25">
      <c r="Q24802" s="8"/>
    </row>
    <row r="24803" spans="17:17" x14ac:dyDescent="0.25">
      <c r="Q24803" s="8"/>
    </row>
    <row r="24804" spans="17:17" x14ac:dyDescent="0.25">
      <c r="Q24804" s="8"/>
    </row>
    <row r="24805" spans="17:17" x14ac:dyDescent="0.25">
      <c r="Q24805" s="8"/>
    </row>
    <row r="24806" spans="17:17" x14ac:dyDescent="0.25">
      <c r="Q24806" s="8"/>
    </row>
    <row r="24807" spans="17:17" x14ac:dyDescent="0.25">
      <c r="Q24807" s="8"/>
    </row>
    <row r="24808" spans="17:17" x14ac:dyDescent="0.25">
      <c r="Q24808" s="8"/>
    </row>
    <row r="24809" spans="17:17" x14ac:dyDescent="0.25">
      <c r="Q24809" s="8"/>
    </row>
    <row r="24810" spans="17:17" x14ac:dyDescent="0.25">
      <c r="Q24810" s="8"/>
    </row>
    <row r="24811" spans="17:17" x14ac:dyDescent="0.25">
      <c r="Q24811" s="8"/>
    </row>
    <row r="24812" spans="17:17" x14ac:dyDescent="0.25">
      <c r="Q24812" s="8"/>
    </row>
    <row r="24813" spans="17:17" x14ac:dyDescent="0.25">
      <c r="Q24813" s="8"/>
    </row>
    <row r="24814" spans="17:17" x14ac:dyDescent="0.25">
      <c r="Q24814" s="8"/>
    </row>
    <row r="24815" spans="17:17" x14ac:dyDescent="0.25">
      <c r="Q24815" s="8"/>
    </row>
    <row r="24816" spans="17:17" x14ac:dyDescent="0.25">
      <c r="Q24816" s="8"/>
    </row>
    <row r="24817" spans="17:17" x14ac:dyDescent="0.25">
      <c r="Q24817" s="8"/>
    </row>
    <row r="24818" spans="17:17" x14ac:dyDescent="0.25">
      <c r="Q24818" s="8"/>
    </row>
    <row r="24819" spans="17:17" x14ac:dyDescent="0.25">
      <c r="Q24819" s="8"/>
    </row>
    <row r="24820" spans="17:17" x14ac:dyDescent="0.25">
      <c r="Q24820" s="8"/>
    </row>
    <row r="24821" spans="17:17" x14ac:dyDescent="0.25">
      <c r="Q24821" s="8"/>
    </row>
    <row r="24822" spans="17:17" x14ac:dyDescent="0.25">
      <c r="Q24822" s="8"/>
    </row>
    <row r="24823" spans="17:17" x14ac:dyDescent="0.25">
      <c r="Q24823" s="8"/>
    </row>
    <row r="24824" spans="17:17" x14ac:dyDescent="0.25">
      <c r="Q24824" s="8"/>
    </row>
    <row r="24825" spans="17:17" x14ac:dyDescent="0.25">
      <c r="Q24825" s="8"/>
    </row>
    <row r="24826" spans="17:17" x14ac:dyDescent="0.25">
      <c r="Q24826" s="8"/>
    </row>
    <row r="24827" spans="17:17" x14ac:dyDescent="0.25">
      <c r="Q24827" s="8"/>
    </row>
    <row r="24828" spans="17:17" x14ac:dyDescent="0.25">
      <c r="Q24828" s="8"/>
    </row>
    <row r="24829" spans="17:17" x14ac:dyDescent="0.25">
      <c r="Q24829" s="8"/>
    </row>
    <row r="24830" spans="17:17" x14ac:dyDescent="0.25">
      <c r="Q24830" s="8"/>
    </row>
    <row r="24831" spans="17:17" x14ac:dyDescent="0.25">
      <c r="Q24831" s="8"/>
    </row>
    <row r="24832" spans="17:17" x14ac:dyDescent="0.25">
      <c r="Q24832" s="8"/>
    </row>
    <row r="24833" spans="17:17" x14ac:dyDescent="0.25">
      <c r="Q24833" s="8"/>
    </row>
    <row r="24834" spans="17:17" x14ac:dyDescent="0.25">
      <c r="Q24834" s="8"/>
    </row>
    <row r="24835" spans="17:17" x14ac:dyDescent="0.25">
      <c r="Q24835" s="8"/>
    </row>
    <row r="24836" spans="17:17" x14ac:dyDescent="0.25">
      <c r="Q24836" s="8"/>
    </row>
    <row r="24837" spans="17:17" x14ac:dyDescent="0.25">
      <c r="Q24837" s="8"/>
    </row>
    <row r="24838" spans="17:17" x14ac:dyDescent="0.25">
      <c r="Q24838" s="8"/>
    </row>
    <row r="24839" spans="17:17" x14ac:dyDescent="0.25">
      <c r="Q24839" s="8"/>
    </row>
    <row r="24840" spans="17:17" x14ac:dyDescent="0.25">
      <c r="Q24840" s="8"/>
    </row>
    <row r="24841" spans="17:17" x14ac:dyDescent="0.25">
      <c r="Q24841" s="8"/>
    </row>
    <row r="24842" spans="17:17" x14ac:dyDescent="0.25">
      <c r="Q24842" s="8"/>
    </row>
    <row r="24843" spans="17:17" x14ac:dyDescent="0.25">
      <c r="Q24843" s="8"/>
    </row>
    <row r="24844" spans="17:17" x14ac:dyDescent="0.25">
      <c r="Q24844" s="8"/>
    </row>
    <row r="24845" spans="17:17" x14ac:dyDescent="0.25">
      <c r="Q24845" s="8"/>
    </row>
    <row r="24846" spans="17:17" x14ac:dyDescent="0.25">
      <c r="Q24846" s="8"/>
    </row>
    <row r="24847" spans="17:17" x14ac:dyDescent="0.25">
      <c r="Q24847" s="8"/>
    </row>
    <row r="24848" spans="17:17" x14ac:dyDescent="0.25">
      <c r="Q24848" s="8"/>
    </row>
    <row r="24849" spans="17:17" x14ac:dyDescent="0.25">
      <c r="Q24849" s="8"/>
    </row>
    <row r="24850" spans="17:17" x14ac:dyDescent="0.25">
      <c r="Q24850" s="8"/>
    </row>
    <row r="24851" spans="17:17" x14ac:dyDescent="0.25">
      <c r="Q24851" s="8"/>
    </row>
    <row r="24852" spans="17:17" x14ac:dyDescent="0.25">
      <c r="Q24852" s="8"/>
    </row>
    <row r="24853" spans="17:17" x14ac:dyDescent="0.25">
      <c r="Q24853" s="8"/>
    </row>
    <row r="24854" spans="17:17" x14ac:dyDescent="0.25">
      <c r="Q24854" s="8"/>
    </row>
    <row r="24855" spans="17:17" x14ac:dyDescent="0.25">
      <c r="Q24855" s="8"/>
    </row>
    <row r="24856" spans="17:17" x14ac:dyDescent="0.25">
      <c r="Q24856" s="8"/>
    </row>
    <row r="24857" spans="17:17" x14ac:dyDescent="0.25">
      <c r="Q24857" s="8"/>
    </row>
    <row r="24858" spans="17:17" x14ac:dyDescent="0.25">
      <c r="Q24858" s="8"/>
    </row>
    <row r="24859" spans="17:17" x14ac:dyDescent="0.25">
      <c r="Q24859" s="8"/>
    </row>
    <row r="24860" spans="17:17" x14ac:dyDescent="0.25">
      <c r="Q24860" s="8"/>
    </row>
    <row r="24861" spans="17:17" x14ac:dyDescent="0.25">
      <c r="Q24861" s="8"/>
    </row>
    <row r="24862" spans="17:17" x14ac:dyDescent="0.25">
      <c r="Q24862" s="8"/>
    </row>
    <row r="24863" spans="17:17" x14ac:dyDescent="0.25">
      <c r="Q24863" s="8"/>
    </row>
    <row r="24864" spans="17:17" x14ac:dyDescent="0.25">
      <c r="Q24864" s="8"/>
    </row>
    <row r="24865" spans="17:17" x14ac:dyDescent="0.25">
      <c r="Q24865" s="8"/>
    </row>
    <row r="24866" spans="17:17" x14ac:dyDescent="0.25">
      <c r="Q24866" s="8"/>
    </row>
    <row r="24867" spans="17:17" x14ac:dyDescent="0.25">
      <c r="Q24867" s="8"/>
    </row>
    <row r="24868" spans="17:17" x14ac:dyDescent="0.25">
      <c r="Q24868" s="8"/>
    </row>
    <row r="24869" spans="17:17" x14ac:dyDescent="0.25">
      <c r="Q24869" s="8"/>
    </row>
    <row r="24870" spans="17:17" x14ac:dyDescent="0.25">
      <c r="Q24870" s="8"/>
    </row>
    <row r="24871" spans="17:17" x14ac:dyDescent="0.25">
      <c r="Q24871" s="8"/>
    </row>
    <row r="24872" spans="17:17" x14ac:dyDescent="0.25">
      <c r="Q24872" s="8"/>
    </row>
    <row r="24873" spans="17:17" x14ac:dyDescent="0.25">
      <c r="Q24873" s="8"/>
    </row>
    <row r="24874" spans="17:17" x14ac:dyDescent="0.25">
      <c r="Q24874" s="8"/>
    </row>
    <row r="24875" spans="17:17" x14ac:dyDescent="0.25">
      <c r="Q24875" s="8"/>
    </row>
    <row r="24876" spans="17:17" x14ac:dyDescent="0.25">
      <c r="Q24876" s="8"/>
    </row>
    <row r="24877" spans="17:17" x14ac:dyDescent="0.25">
      <c r="Q24877" s="8"/>
    </row>
    <row r="24878" spans="17:17" x14ac:dyDescent="0.25">
      <c r="Q24878" s="8"/>
    </row>
    <row r="24879" spans="17:17" x14ac:dyDescent="0.25">
      <c r="Q24879" s="8"/>
    </row>
    <row r="24880" spans="17:17" x14ac:dyDescent="0.25">
      <c r="Q24880" s="8"/>
    </row>
    <row r="24881" spans="17:17" x14ac:dyDescent="0.25">
      <c r="Q24881" s="8"/>
    </row>
    <row r="24882" spans="17:17" x14ac:dyDescent="0.25">
      <c r="Q24882" s="8"/>
    </row>
    <row r="24883" spans="17:17" x14ac:dyDescent="0.25">
      <c r="Q24883" s="8"/>
    </row>
    <row r="24884" spans="17:17" x14ac:dyDescent="0.25">
      <c r="Q24884" s="8"/>
    </row>
    <row r="24885" spans="17:17" x14ac:dyDescent="0.25">
      <c r="Q24885" s="8"/>
    </row>
    <row r="24886" spans="17:17" x14ac:dyDescent="0.25">
      <c r="Q24886" s="8"/>
    </row>
    <row r="24887" spans="17:17" x14ac:dyDescent="0.25">
      <c r="Q24887" s="8"/>
    </row>
    <row r="24888" spans="17:17" x14ac:dyDescent="0.25">
      <c r="Q24888" s="8"/>
    </row>
    <row r="24889" spans="17:17" x14ac:dyDescent="0.25">
      <c r="Q24889" s="8"/>
    </row>
    <row r="24890" spans="17:17" x14ac:dyDescent="0.25">
      <c r="Q24890" s="8"/>
    </row>
    <row r="24891" spans="17:17" x14ac:dyDescent="0.25">
      <c r="Q24891" s="8"/>
    </row>
    <row r="24892" spans="17:17" x14ac:dyDescent="0.25">
      <c r="Q24892" s="8"/>
    </row>
    <row r="24893" spans="17:17" x14ac:dyDescent="0.25">
      <c r="Q24893" s="8"/>
    </row>
    <row r="24894" spans="17:17" x14ac:dyDescent="0.25">
      <c r="Q24894" s="8"/>
    </row>
    <row r="24895" spans="17:17" x14ac:dyDescent="0.25">
      <c r="Q24895" s="8"/>
    </row>
    <row r="24896" spans="17:17" x14ac:dyDescent="0.25">
      <c r="Q24896" s="8"/>
    </row>
    <row r="24897" spans="17:17" x14ac:dyDescent="0.25">
      <c r="Q24897" s="8"/>
    </row>
    <row r="24898" spans="17:17" x14ac:dyDescent="0.25">
      <c r="Q24898" s="8"/>
    </row>
    <row r="24899" spans="17:17" x14ac:dyDescent="0.25">
      <c r="Q24899" s="8"/>
    </row>
    <row r="24900" spans="17:17" x14ac:dyDescent="0.25">
      <c r="Q24900" s="8"/>
    </row>
    <row r="24901" spans="17:17" x14ac:dyDescent="0.25">
      <c r="Q24901" s="8"/>
    </row>
    <row r="24902" spans="17:17" x14ac:dyDescent="0.25">
      <c r="Q24902" s="8"/>
    </row>
    <row r="24903" spans="17:17" x14ac:dyDescent="0.25">
      <c r="Q24903" s="8"/>
    </row>
    <row r="24904" spans="17:17" x14ac:dyDescent="0.25">
      <c r="Q24904" s="8"/>
    </row>
    <row r="24905" spans="17:17" x14ac:dyDescent="0.25">
      <c r="Q24905" s="8"/>
    </row>
    <row r="24906" spans="17:17" x14ac:dyDescent="0.25">
      <c r="Q24906" s="8"/>
    </row>
    <row r="24907" spans="17:17" x14ac:dyDescent="0.25">
      <c r="Q24907" s="8"/>
    </row>
    <row r="24908" spans="17:17" x14ac:dyDescent="0.25">
      <c r="Q24908" s="8"/>
    </row>
    <row r="24909" spans="17:17" x14ac:dyDescent="0.25">
      <c r="Q24909" s="8"/>
    </row>
    <row r="24910" spans="17:17" x14ac:dyDescent="0.25">
      <c r="Q24910" s="8"/>
    </row>
    <row r="24911" spans="17:17" x14ac:dyDescent="0.25">
      <c r="Q24911" s="8"/>
    </row>
    <row r="24912" spans="17:17" x14ac:dyDescent="0.25">
      <c r="Q24912" s="8"/>
    </row>
    <row r="24913" spans="17:17" x14ac:dyDescent="0.25">
      <c r="Q24913" s="8"/>
    </row>
    <row r="24914" spans="17:17" x14ac:dyDescent="0.25">
      <c r="Q24914" s="8"/>
    </row>
    <row r="24915" spans="17:17" x14ac:dyDescent="0.25">
      <c r="Q24915" s="8"/>
    </row>
    <row r="24916" spans="17:17" x14ac:dyDescent="0.25">
      <c r="Q24916" s="8"/>
    </row>
    <row r="24917" spans="17:17" x14ac:dyDescent="0.25">
      <c r="Q24917" s="8"/>
    </row>
    <row r="24918" spans="17:17" x14ac:dyDescent="0.25">
      <c r="Q24918" s="8"/>
    </row>
    <row r="24919" spans="17:17" x14ac:dyDescent="0.25">
      <c r="Q24919" s="8"/>
    </row>
    <row r="24920" spans="17:17" x14ac:dyDescent="0.25">
      <c r="Q24920" s="8"/>
    </row>
    <row r="24921" spans="17:17" x14ac:dyDescent="0.25">
      <c r="Q24921" s="8"/>
    </row>
    <row r="24922" spans="17:17" x14ac:dyDescent="0.25">
      <c r="Q24922" s="8"/>
    </row>
    <row r="24923" spans="17:17" x14ac:dyDescent="0.25">
      <c r="Q24923" s="8"/>
    </row>
    <row r="24924" spans="17:17" x14ac:dyDescent="0.25">
      <c r="Q24924" s="8"/>
    </row>
    <row r="24925" spans="17:17" x14ac:dyDescent="0.25">
      <c r="Q24925" s="8"/>
    </row>
    <row r="24926" spans="17:17" x14ac:dyDescent="0.25">
      <c r="Q24926" s="8"/>
    </row>
    <row r="24927" spans="17:17" x14ac:dyDescent="0.25">
      <c r="Q24927" s="8"/>
    </row>
    <row r="24928" spans="17:17" x14ac:dyDescent="0.25">
      <c r="Q24928" s="8"/>
    </row>
    <row r="24929" spans="17:17" x14ac:dyDescent="0.25">
      <c r="Q24929" s="8"/>
    </row>
    <row r="24930" spans="17:17" x14ac:dyDescent="0.25">
      <c r="Q24930" s="8"/>
    </row>
    <row r="24931" spans="17:17" x14ac:dyDescent="0.25">
      <c r="Q24931" s="8"/>
    </row>
    <row r="24932" spans="17:17" x14ac:dyDescent="0.25">
      <c r="Q24932" s="8"/>
    </row>
    <row r="24933" spans="17:17" x14ac:dyDescent="0.25">
      <c r="Q24933" s="8"/>
    </row>
    <row r="24934" spans="17:17" x14ac:dyDescent="0.25">
      <c r="Q24934" s="8"/>
    </row>
    <row r="24935" spans="17:17" x14ac:dyDescent="0.25">
      <c r="Q24935" s="8"/>
    </row>
    <row r="24936" spans="17:17" x14ac:dyDescent="0.25">
      <c r="Q24936" s="8"/>
    </row>
    <row r="24937" spans="17:17" x14ac:dyDescent="0.25">
      <c r="Q24937" s="8"/>
    </row>
    <row r="24938" spans="17:17" x14ac:dyDescent="0.25">
      <c r="Q24938" s="8"/>
    </row>
    <row r="24939" spans="17:17" x14ac:dyDescent="0.25">
      <c r="Q24939" s="8"/>
    </row>
    <row r="24940" spans="17:17" x14ac:dyDescent="0.25">
      <c r="Q24940" s="8"/>
    </row>
    <row r="24941" spans="17:17" x14ac:dyDescent="0.25">
      <c r="Q24941" s="8"/>
    </row>
    <row r="24942" spans="17:17" x14ac:dyDescent="0.25">
      <c r="Q24942" s="8"/>
    </row>
    <row r="24943" spans="17:17" x14ac:dyDescent="0.25">
      <c r="Q24943" s="8"/>
    </row>
    <row r="24944" spans="17:17" x14ac:dyDescent="0.25">
      <c r="Q24944" s="8"/>
    </row>
    <row r="24945" spans="17:17" x14ac:dyDescent="0.25">
      <c r="Q24945" s="8"/>
    </row>
    <row r="24946" spans="17:17" x14ac:dyDescent="0.25">
      <c r="Q24946" s="8"/>
    </row>
    <row r="24947" spans="17:17" x14ac:dyDescent="0.25">
      <c r="Q24947" s="8"/>
    </row>
    <row r="24948" spans="17:17" x14ac:dyDescent="0.25">
      <c r="Q24948" s="8"/>
    </row>
    <row r="24949" spans="17:17" x14ac:dyDescent="0.25">
      <c r="Q24949" s="8"/>
    </row>
    <row r="24950" spans="17:17" x14ac:dyDescent="0.25">
      <c r="Q24950" s="8"/>
    </row>
    <row r="24951" spans="17:17" x14ac:dyDescent="0.25">
      <c r="Q24951" s="8"/>
    </row>
    <row r="24952" spans="17:17" x14ac:dyDescent="0.25">
      <c r="Q24952" s="8"/>
    </row>
    <row r="24953" spans="17:17" x14ac:dyDescent="0.25">
      <c r="Q24953" s="8"/>
    </row>
    <row r="24954" spans="17:17" x14ac:dyDescent="0.25">
      <c r="Q24954" s="8"/>
    </row>
    <row r="24955" spans="17:17" x14ac:dyDescent="0.25">
      <c r="Q24955" s="8"/>
    </row>
    <row r="24956" spans="17:17" x14ac:dyDescent="0.25">
      <c r="Q24956" s="8"/>
    </row>
    <row r="24957" spans="17:17" x14ac:dyDescent="0.25">
      <c r="Q24957" s="8"/>
    </row>
    <row r="24958" spans="17:17" x14ac:dyDescent="0.25">
      <c r="Q24958" s="8"/>
    </row>
    <row r="24959" spans="17:17" x14ac:dyDescent="0.25">
      <c r="Q24959" s="8"/>
    </row>
    <row r="24960" spans="17:17" x14ac:dyDescent="0.25">
      <c r="Q24960" s="8"/>
    </row>
    <row r="24961" spans="17:17" x14ac:dyDescent="0.25">
      <c r="Q24961" s="8"/>
    </row>
    <row r="24962" spans="17:17" x14ac:dyDescent="0.25">
      <c r="Q24962" s="8"/>
    </row>
    <row r="24963" spans="17:17" x14ac:dyDescent="0.25">
      <c r="Q24963" s="8"/>
    </row>
    <row r="24964" spans="17:17" x14ac:dyDescent="0.25">
      <c r="Q24964" s="8"/>
    </row>
    <row r="24965" spans="17:17" x14ac:dyDescent="0.25">
      <c r="Q24965" s="8"/>
    </row>
    <row r="24966" spans="17:17" x14ac:dyDescent="0.25">
      <c r="Q24966" s="8"/>
    </row>
    <row r="24967" spans="17:17" x14ac:dyDescent="0.25">
      <c r="Q24967" s="8"/>
    </row>
    <row r="24968" spans="17:17" x14ac:dyDescent="0.25">
      <c r="Q24968" s="8"/>
    </row>
    <row r="24969" spans="17:17" x14ac:dyDescent="0.25">
      <c r="Q24969" s="8"/>
    </row>
    <row r="24970" spans="17:17" x14ac:dyDescent="0.25">
      <c r="Q24970" s="8"/>
    </row>
    <row r="24971" spans="17:17" x14ac:dyDescent="0.25">
      <c r="Q24971" s="8"/>
    </row>
    <row r="24972" spans="17:17" x14ac:dyDescent="0.25">
      <c r="Q24972" s="8"/>
    </row>
    <row r="24973" spans="17:17" x14ac:dyDescent="0.25">
      <c r="Q24973" s="8"/>
    </row>
    <row r="24974" spans="17:17" x14ac:dyDescent="0.25">
      <c r="Q24974" s="8"/>
    </row>
    <row r="24975" spans="17:17" x14ac:dyDescent="0.25">
      <c r="Q24975" s="8"/>
    </row>
    <row r="24976" spans="17:17" x14ac:dyDescent="0.25">
      <c r="Q24976" s="8"/>
    </row>
    <row r="24977" spans="17:17" x14ac:dyDescent="0.25">
      <c r="Q24977" s="8"/>
    </row>
    <row r="24978" spans="17:17" x14ac:dyDescent="0.25">
      <c r="Q24978" s="8"/>
    </row>
    <row r="24979" spans="17:17" x14ac:dyDescent="0.25">
      <c r="Q24979" s="8"/>
    </row>
    <row r="24980" spans="17:17" x14ac:dyDescent="0.25">
      <c r="Q24980" s="8"/>
    </row>
    <row r="24981" spans="17:17" x14ac:dyDescent="0.25">
      <c r="Q24981" s="8"/>
    </row>
    <row r="24982" spans="17:17" x14ac:dyDescent="0.25">
      <c r="Q24982" s="8"/>
    </row>
    <row r="24983" spans="17:17" x14ac:dyDescent="0.25">
      <c r="Q24983" s="8"/>
    </row>
    <row r="24984" spans="17:17" x14ac:dyDescent="0.25">
      <c r="Q24984" s="8"/>
    </row>
    <row r="24985" spans="17:17" x14ac:dyDescent="0.25">
      <c r="Q24985" s="8"/>
    </row>
    <row r="24986" spans="17:17" x14ac:dyDescent="0.25">
      <c r="Q24986" s="8"/>
    </row>
    <row r="24987" spans="17:17" x14ac:dyDescent="0.25">
      <c r="Q24987" s="8"/>
    </row>
    <row r="24988" spans="17:17" x14ac:dyDescent="0.25">
      <c r="Q24988" s="8"/>
    </row>
    <row r="24989" spans="17:17" x14ac:dyDescent="0.25">
      <c r="Q24989" s="8"/>
    </row>
    <row r="24990" spans="17:17" x14ac:dyDescent="0.25">
      <c r="Q24990" s="8"/>
    </row>
    <row r="24991" spans="17:17" x14ac:dyDescent="0.25">
      <c r="Q24991" s="8"/>
    </row>
    <row r="24992" spans="17:17" x14ac:dyDescent="0.25">
      <c r="Q24992" s="8"/>
    </row>
    <row r="24993" spans="17:17" x14ac:dyDescent="0.25">
      <c r="Q24993" s="8"/>
    </row>
    <row r="24994" spans="17:17" x14ac:dyDescent="0.25">
      <c r="Q24994" s="8"/>
    </row>
    <row r="24995" spans="17:17" x14ac:dyDescent="0.25">
      <c r="Q24995" s="8"/>
    </row>
    <row r="24996" spans="17:17" x14ac:dyDescent="0.25">
      <c r="Q24996" s="8"/>
    </row>
    <row r="24997" spans="17:17" x14ac:dyDescent="0.25">
      <c r="Q24997" s="8"/>
    </row>
    <row r="24998" spans="17:17" x14ac:dyDescent="0.25">
      <c r="Q24998" s="8"/>
    </row>
    <row r="24999" spans="17:17" x14ac:dyDescent="0.25">
      <c r="Q24999" s="8"/>
    </row>
    <row r="25000" spans="17:17" x14ac:dyDescent="0.25">
      <c r="Q25000" s="8"/>
    </row>
    <row r="25001" spans="17:17" x14ac:dyDescent="0.25">
      <c r="Q25001" s="8"/>
    </row>
    <row r="25002" spans="17:17" x14ac:dyDescent="0.25">
      <c r="Q25002" s="8"/>
    </row>
    <row r="25003" spans="17:17" x14ac:dyDescent="0.25">
      <c r="Q25003" s="8"/>
    </row>
    <row r="25004" spans="17:17" x14ac:dyDescent="0.25">
      <c r="Q25004" s="8"/>
    </row>
    <row r="25005" spans="17:17" x14ac:dyDescent="0.25">
      <c r="Q25005" s="8"/>
    </row>
    <row r="25006" spans="17:17" x14ac:dyDescent="0.25">
      <c r="Q25006" s="8"/>
    </row>
    <row r="25007" spans="17:17" x14ac:dyDescent="0.25">
      <c r="Q25007" s="8"/>
    </row>
    <row r="25008" spans="17:17" x14ac:dyDescent="0.25">
      <c r="Q25008" s="8"/>
    </row>
    <row r="25009" spans="17:17" x14ac:dyDescent="0.25">
      <c r="Q25009" s="8"/>
    </row>
    <row r="25010" spans="17:17" x14ac:dyDescent="0.25">
      <c r="Q25010" s="8"/>
    </row>
    <row r="25011" spans="17:17" x14ac:dyDescent="0.25">
      <c r="Q25011" s="8"/>
    </row>
    <row r="25012" spans="17:17" x14ac:dyDescent="0.25">
      <c r="Q25012" s="8"/>
    </row>
    <row r="25013" spans="17:17" x14ac:dyDescent="0.25">
      <c r="Q25013" s="8"/>
    </row>
    <row r="25014" spans="17:17" x14ac:dyDescent="0.25">
      <c r="Q25014" s="8"/>
    </row>
    <row r="25015" spans="17:17" x14ac:dyDescent="0.25">
      <c r="Q25015" s="8"/>
    </row>
    <row r="25016" spans="17:17" x14ac:dyDescent="0.25">
      <c r="Q25016" s="8"/>
    </row>
    <row r="25017" spans="17:17" x14ac:dyDescent="0.25">
      <c r="Q25017" s="8"/>
    </row>
    <row r="25018" spans="17:17" x14ac:dyDescent="0.25">
      <c r="Q25018" s="8"/>
    </row>
    <row r="25019" spans="17:17" x14ac:dyDescent="0.25">
      <c r="Q25019" s="8"/>
    </row>
    <row r="25020" spans="17:17" x14ac:dyDescent="0.25">
      <c r="Q25020" s="8"/>
    </row>
    <row r="25021" spans="17:17" x14ac:dyDescent="0.25">
      <c r="Q25021" s="8"/>
    </row>
    <row r="25022" spans="17:17" x14ac:dyDescent="0.25">
      <c r="Q25022" s="8"/>
    </row>
    <row r="25023" spans="17:17" x14ac:dyDescent="0.25">
      <c r="Q25023" s="8"/>
    </row>
    <row r="25024" spans="17:17" x14ac:dyDescent="0.25">
      <c r="Q25024" s="8"/>
    </row>
    <row r="25025" spans="17:17" x14ac:dyDescent="0.25">
      <c r="Q25025" s="8"/>
    </row>
    <row r="25026" spans="17:17" x14ac:dyDescent="0.25">
      <c r="Q25026" s="8"/>
    </row>
    <row r="25027" spans="17:17" x14ac:dyDescent="0.25">
      <c r="Q25027" s="8"/>
    </row>
    <row r="25028" spans="17:17" x14ac:dyDescent="0.25">
      <c r="Q25028" s="8"/>
    </row>
    <row r="25029" spans="17:17" x14ac:dyDescent="0.25">
      <c r="Q25029" s="8"/>
    </row>
    <row r="25030" spans="17:17" x14ac:dyDescent="0.25">
      <c r="Q25030" s="8"/>
    </row>
    <row r="25031" spans="17:17" x14ac:dyDescent="0.25">
      <c r="Q25031" s="8"/>
    </row>
    <row r="25032" spans="17:17" x14ac:dyDescent="0.25">
      <c r="Q25032" s="8"/>
    </row>
    <row r="25033" spans="17:17" x14ac:dyDescent="0.25">
      <c r="Q25033" s="8"/>
    </row>
    <row r="25034" spans="17:17" x14ac:dyDescent="0.25">
      <c r="Q25034" s="8"/>
    </row>
    <row r="25035" spans="17:17" x14ac:dyDescent="0.25">
      <c r="Q25035" s="8"/>
    </row>
    <row r="25036" spans="17:17" x14ac:dyDescent="0.25">
      <c r="Q25036" s="8"/>
    </row>
    <row r="25037" spans="17:17" x14ac:dyDescent="0.25">
      <c r="Q25037" s="8"/>
    </row>
    <row r="25038" spans="17:17" x14ac:dyDescent="0.25">
      <c r="Q25038" s="8"/>
    </row>
    <row r="25039" spans="17:17" x14ac:dyDescent="0.25">
      <c r="Q25039" s="8"/>
    </row>
    <row r="25040" spans="17:17" x14ac:dyDescent="0.25">
      <c r="Q25040" s="8"/>
    </row>
    <row r="25041" spans="17:17" x14ac:dyDescent="0.25">
      <c r="Q25041" s="8"/>
    </row>
    <row r="25042" spans="17:17" x14ac:dyDescent="0.25">
      <c r="Q25042" s="8"/>
    </row>
    <row r="25043" spans="17:17" x14ac:dyDescent="0.25">
      <c r="Q25043" s="8"/>
    </row>
    <row r="25044" spans="17:17" x14ac:dyDescent="0.25">
      <c r="Q25044" s="8"/>
    </row>
    <row r="25045" spans="17:17" x14ac:dyDescent="0.25">
      <c r="Q25045" s="8"/>
    </row>
    <row r="25046" spans="17:17" x14ac:dyDescent="0.25">
      <c r="Q25046" s="8"/>
    </row>
    <row r="25047" spans="17:17" x14ac:dyDescent="0.25">
      <c r="Q25047" s="8"/>
    </row>
    <row r="25048" spans="17:17" x14ac:dyDescent="0.25">
      <c r="Q25048" s="8"/>
    </row>
    <row r="25049" spans="17:17" x14ac:dyDescent="0.25">
      <c r="Q25049" s="8"/>
    </row>
    <row r="25050" spans="17:17" x14ac:dyDescent="0.25">
      <c r="Q25050" s="8"/>
    </row>
    <row r="25051" spans="17:17" x14ac:dyDescent="0.25">
      <c r="Q25051" s="8"/>
    </row>
    <row r="25052" spans="17:17" x14ac:dyDescent="0.25">
      <c r="Q25052" s="8"/>
    </row>
    <row r="25053" spans="17:17" x14ac:dyDescent="0.25">
      <c r="Q25053" s="8"/>
    </row>
    <row r="25054" spans="17:17" x14ac:dyDescent="0.25">
      <c r="Q25054" s="8"/>
    </row>
    <row r="25055" spans="17:17" x14ac:dyDescent="0.25">
      <c r="Q25055" s="8"/>
    </row>
    <row r="25056" spans="17:17" x14ac:dyDescent="0.25">
      <c r="Q25056" s="8"/>
    </row>
    <row r="25057" spans="17:17" x14ac:dyDescent="0.25">
      <c r="Q25057" s="8"/>
    </row>
    <row r="25058" spans="17:17" x14ac:dyDescent="0.25">
      <c r="Q25058" s="8"/>
    </row>
    <row r="25059" spans="17:17" x14ac:dyDescent="0.25">
      <c r="Q25059" s="8"/>
    </row>
    <row r="25060" spans="17:17" x14ac:dyDescent="0.25">
      <c r="Q25060" s="8"/>
    </row>
    <row r="25061" spans="17:17" x14ac:dyDescent="0.25">
      <c r="Q25061" s="8"/>
    </row>
    <row r="25062" spans="17:17" x14ac:dyDescent="0.25">
      <c r="Q25062" s="8"/>
    </row>
    <row r="25063" spans="17:17" x14ac:dyDescent="0.25">
      <c r="Q25063" s="8"/>
    </row>
    <row r="25064" spans="17:17" x14ac:dyDescent="0.25">
      <c r="Q25064" s="8"/>
    </row>
    <row r="25065" spans="17:17" x14ac:dyDescent="0.25">
      <c r="Q25065" s="8"/>
    </row>
    <row r="25066" spans="17:17" x14ac:dyDescent="0.25">
      <c r="Q25066" s="8"/>
    </row>
    <row r="25067" spans="17:17" x14ac:dyDescent="0.25">
      <c r="Q25067" s="8"/>
    </row>
    <row r="25068" spans="17:17" x14ac:dyDescent="0.25">
      <c r="Q25068" s="8"/>
    </row>
    <row r="25069" spans="17:17" x14ac:dyDescent="0.25">
      <c r="Q25069" s="8"/>
    </row>
    <row r="25070" spans="17:17" x14ac:dyDescent="0.25">
      <c r="Q25070" s="8"/>
    </row>
    <row r="25071" spans="17:17" x14ac:dyDescent="0.25">
      <c r="Q25071" s="8"/>
    </row>
    <row r="25072" spans="17:17" x14ac:dyDescent="0.25">
      <c r="Q25072" s="8"/>
    </row>
    <row r="25073" spans="17:17" x14ac:dyDescent="0.25">
      <c r="Q25073" s="8"/>
    </row>
    <row r="25074" spans="17:17" x14ac:dyDescent="0.25">
      <c r="Q25074" s="8"/>
    </row>
    <row r="25075" spans="17:17" x14ac:dyDescent="0.25">
      <c r="Q25075" s="8"/>
    </row>
    <row r="25076" spans="17:17" x14ac:dyDescent="0.25">
      <c r="Q25076" s="8"/>
    </row>
    <row r="25077" spans="17:17" x14ac:dyDescent="0.25">
      <c r="Q25077" s="8"/>
    </row>
    <row r="25078" spans="17:17" x14ac:dyDescent="0.25">
      <c r="Q25078" s="8"/>
    </row>
    <row r="25079" spans="17:17" x14ac:dyDescent="0.25">
      <c r="Q25079" s="8"/>
    </row>
    <row r="25080" spans="17:17" x14ac:dyDescent="0.25">
      <c r="Q25080" s="8"/>
    </row>
    <row r="25081" spans="17:17" x14ac:dyDescent="0.25">
      <c r="Q25081" s="8"/>
    </row>
    <row r="25082" spans="17:17" x14ac:dyDescent="0.25">
      <c r="Q25082" s="8"/>
    </row>
    <row r="25083" spans="17:17" x14ac:dyDescent="0.25">
      <c r="Q25083" s="8"/>
    </row>
    <row r="25084" spans="17:17" x14ac:dyDescent="0.25">
      <c r="Q25084" s="8"/>
    </row>
    <row r="25085" spans="17:17" x14ac:dyDescent="0.25">
      <c r="Q25085" s="8"/>
    </row>
    <row r="25086" spans="17:17" x14ac:dyDescent="0.25">
      <c r="Q25086" s="8"/>
    </row>
    <row r="25087" spans="17:17" x14ac:dyDescent="0.25">
      <c r="Q25087" s="8"/>
    </row>
    <row r="25088" spans="17:17" x14ac:dyDescent="0.25">
      <c r="Q25088" s="8"/>
    </row>
    <row r="25089" spans="17:17" x14ac:dyDescent="0.25">
      <c r="Q25089" s="8"/>
    </row>
    <row r="25090" spans="17:17" x14ac:dyDescent="0.25">
      <c r="Q25090" s="8"/>
    </row>
    <row r="25091" spans="17:17" x14ac:dyDescent="0.25">
      <c r="Q25091" s="8"/>
    </row>
    <row r="25092" spans="17:17" x14ac:dyDescent="0.25">
      <c r="Q25092" s="8"/>
    </row>
    <row r="25093" spans="17:17" x14ac:dyDescent="0.25">
      <c r="Q25093" s="8"/>
    </row>
    <row r="25094" spans="17:17" x14ac:dyDescent="0.25">
      <c r="Q25094" s="8"/>
    </row>
    <row r="25095" spans="17:17" x14ac:dyDescent="0.25">
      <c r="Q25095" s="8"/>
    </row>
    <row r="25096" spans="17:17" x14ac:dyDescent="0.25">
      <c r="Q25096" s="8"/>
    </row>
    <row r="25097" spans="17:17" x14ac:dyDescent="0.25">
      <c r="Q25097" s="8"/>
    </row>
    <row r="25098" spans="17:17" x14ac:dyDescent="0.25">
      <c r="Q25098" s="8"/>
    </row>
    <row r="25099" spans="17:17" x14ac:dyDescent="0.25">
      <c r="Q25099" s="8"/>
    </row>
    <row r="25100" spans="17:17" x14ac:dyDescent="0.25">
      <c r="Q25100" s="8"/>
    </row>
    <row r="25101" spans="17:17" x14ac:dyDescent="0.25">
      <c r="Q25101" s="8"/>
    </row>
    <row r="25102" spans="17:17" x14ac:dyDescent="0.25">
      <c r="Q25102" s="8"/>
    </row>
    <row r="25103" spans="17:17" x14ac:dyDescent="0.25">
      <c r="Q25103" s="8"/>
    </row>
    <row r="25104" spans="17:17" x14ac:dyDescent="0.25">
      <c r="Q25104" s="8"/>
    </row>
    <row r="25105" spans="17:17" x14ac:dyDescent="0.25">
      <c r="Q25105" s="8"/>
    </row>
    <row r="25106" spans="17:17" x14ac:dyDescent="0.25">
      <c r="Q25106" s="8"/>
    </row>
    <row r="25107" spans="17:17" x14ac:dyDescent="0.25">
      <c r="Q25107" s="8"/>
    </row>
    <row r="25108" spans="17:17" x14ac:dyDescent="0.25">
      <c r="Q25108" s="8"/>
    </row>
    <row r="25109" spans="17:17" x14ac:dyDescent="0.25">
      <c r="Q25109" s="8"/>
    </row>
    <row r="25110" spans="17:17" x14ac:dyDescent="0.25">
      <c r="Q25110" s="8"/>
    </row>
    <row r="25111" spans="17:17" x14ac:dyDescent="0.25">
      <c r="Q25111" s="8"/>
    </row>
    <row r="25112" spans="17:17" x14ac:dyDescent="0.25">
      <c r="Q25112" s="8"/>
    </row>
    <row r="25113" spans="17:17" x14ac:dyDescent="0.25">
      <c r="Q25113" s="8"/>
    </row>
    <row r="25114" spans="17:17" x14ac:dyDescent="0.25">
      <c r="Q25114" s="8"/>
    </row>
    <row r="25115" spans="17:17" x14ac:dyDescent="0.25">
      <c r="Q25115" s="8"/>
    </row>
    <row r="25116" spans="17:17" x14ac:dyDescent="0.25">
      <c r="Q25116" s="8"/>
    </row>
    <row r="25117" spans="17:17" x14ac:dyDescent="0.25">
      <c r="Q25117" s="8"/>
    </row>
    <row r="25118" spans="17:17" x14ac:dyDescent="0.25">
      <c r="Q25118" s="8"/>
    </row>
    <row r="25119" spans="17:17" x14ac:dyDescent="0.25">
      <c r="Q25119" s="8"/>
    </row>
    <row r="25120" spans="17:17" x14ac:dyDescent="0.25">
      <c r="Q25120" s="8"/>
    </row>
    <row r="25121" spans="17:17" x14ac:dyDescent="0.25">
      <c r="Q25121" s="8"/>
    </row>
    <row r="25122" spans="17:17" x14ac:dyDescent="0.25">
      <c r="Q25122" s="8"/>
    </row>
    <row r="25123" spans="17:17" x14ac:dyDescent="0.25">
      <c r="Q25123" s="8"/>
    </row>
    <row r="25124" spans="17:17" x14ac:dyDescent="0.25">
      <c r="Q25124" s="8"/>
    </row>
    <row r="25125" spans="17:17" x14ac:dyDescent="0.25">
      <c r="Q25125" s="8"/>
    </row>
    <row r="25126" spans="17:17" x14ac:dyDescent="0.25">
      <c r="Q25126" s="8"/>
    </row>
    <row r="25127" spans="17:17" x14ac:dyDescent="0.25">
      <c r="Q25127" s="8"/>
    </row>
    <row r="25128" spans="17:17" x14ac:dyDescent="0.25">
      <c r="Q25128" s="8"/>
    </row>
    <row r="25129" spans="17:17" x14ac:dyDescent="0.25">
      <c r="Q25129" s="8"/>
    </row>
    <row r="25130" spans="17:17" x14ac:dyDescent="0.25">
      <c r="Q25130" s="8"/>
    </row>
    <row r="25131" spans="17:17" x14ac:dyDescent="0.25">
      <c r="Q25131" s="8"/>
    </row>
    <row r="25132" spans="17:17" x14ac:dyDescent="0.25">
      <c r="Q25132" s="8"/>
    </row>
    <row r="25133" spans="17:17" x14ac:dyDescent="0.25">
      <c r="Q25133" s="8"/>
    </row>
    <row r="25134" spans="17:17" x14ac:dyDescent="0.25">
      <c r="Q25134" s="8"/>
    </row>
    <row r="25135" spans="17:17" x14ac:dyDescent="0.25">
      <c r="Q25135" s="8"/>
    </row>
    <row r="25136" spans="17:17" x14ac:dyDescent="0.25">
      <c r="Q25136" s="8"/>
    </row>
    <row r="25137" spans="17:17" x14ac:dyDescent="0.25">
      <c r="Q25137" s="8"/>
    </row>
    <row r="25138" spans="17:17" x14ac:dyDescent="0.25">
      <c r="Q25138" s="8"/>
    </row>
    <row r="25139" spans="17:17" x14ac:dyDescent="0.25">
      <c r="Q25139" s="8"/>
    </row>
    <row r="25140" spans="17:17" x14ac:dyDescent="0.25">
      <c r="Q25140" s="8"/>
    </row>
    <row r="25141" spans="17:17" x14ac:dyDescent="0.25">
      <c r="Q25141" s="8"/>
    </row>
    <row r="25142" spans="17:17" x14ac:dyDescent="0.25">
      <c r="Q25142" s="8"/>
    </row>
    <row r="25143" spans="17:17" x14ac:dyDescent="0.25">
      <c r="Q25143" s="8"/>
    </row>
    <row r="25144" spans="17:17" x14ac:dyDescent="0.25">
      <c r="Q25144" s="8"/>
    </row>
    <row r="25145" spans="17:17" x14ac:dyDescent="0.25">
      <c r="Q25145" s="8"/>
    </row>
    <row r="25146" spans="17:17" x14ac:dyDescent="0.25">
      <c r="Q25146" s="8"/>
    </row>
    <row r="25147" spans="17:17" x14ac:dyDescent="0.25">
      <c r="Q25147" s="8"/>
    </row>
    <row r="25148" spans="17:17" x14ac:dyDescent="0.25">
      <c r="Q25148" s="8"/>
    </row>
    <row r="25149" spans="17:17" x14ac:dyDescent="0.25">
      <c r="Q25149" s="8"/>
    </row>
    <row r="25150" spans="17:17" x14ac:dyDescent="0.25">
      <c r="Q25150" s="8"/>
    </row>
    <row r="25151" spans="17:17" x14ac:dyDescent="0.25">
      <c r="Q25151" s="8"/>
    </row>
    <row r="25152" spans="17:17" x14ac:dyDescent="0.25">
      <c r="Q25152" s="8"/>
    </row>
    <row r="25153" spans="17:17" x14ac:dyDescent="0.25">
      <c r="Q25153" s="8"/>
    </row>
    <row r="25154" spans="17:17" x14ac:dyDescent="0.25">
      <c r="Q25154" s="8"/>
    </row>
    <row r="25155" spans="17:17" x14ac:dyDescent="0.25">
      <c r="Q25155" s="8"/>
    </row>
    <row r="25156" spans="17:17" x14ac:dyDescent="0.25">
      <c r="Q25156" s="8"/>
    </row>
    <row r="25157" spans="17:17" x14ac:dyDescent="0.25">
      <c r="Q25157" s="8"/>
    </row>
    <row r="25158" spans="17:17" x14ac:dyDescent="0.25">
      <c r="Q25158" s="8"/>
    </row>
    <row r="25159" spans="17:17" x14ac:dyDescent="0.25">
      <c r="Q25159" s="8"/>
    </row>
    <row r="25160" spans="17:17" x14ac:dyDescent="0.25">
      <c r="Q25160" s="8"/>
    </row>
    <row r="25161" spans="17:17" x14ac:dyDescent="0.25">
      <c r="Q25161" s="8"/>
    </row>
    <row r="25162" spans="17:17" x14ac:dyDescent="0.25">
      <c r="Q25162" s="8"/>
    </row>
    <row r="25163" spans="17:17" x14ac:dyDescent="0.25">
      <c r="Q25163" s="8"/>
    </row>
    <row r="25164" spans="17:17" x14ac:dyDescent="0.25">
      <c r="Q25164" s="8"/>
    </row>
    <row r="25165" spans="17:17" x14ac:dyDescent="0.25">
      <c r="Q25165" s="8"/>
    </row>
    <row r="25166" spans="17:17" x14ac:dyDescent="0.25">
      <c r="Q25166" s="8"/>
    </row>
    <row r="25167" spans="17:17" x14ac:dyDescent="0.25">
      <c r="Q25167" s="8"/>
    </row>
    <row r="25168" spans="17:17" x14ac:dyDescent="0.25">
      <c r="Q25168" s="8"/>
    </row>
    <row r="25169" spans="17:17" x14ac:dyDescent="0.25">
      <c r="Q25169" s="8"/>
    </row>
    <row r="25170" spans="17:17" x14ac:dyDescent="0.25">
      <c r="Q25170" s="8"/>
    </row>
    <row r="25171" spans="17:17" x14ac:dyDescent="0.25">
      <c r="Q25171" s="8"/>
    </row>
    <row r="25172" spans="17:17" x14ac:dyDescent="0.25">
      <c r="Q25172" s="8"/>
    </row>
    <row r="25173" spans="17:17" x14ac:dyDescent="0.25">
      <c r="Q25173" s="8"/>
    </row>
    <row r="25174" spans="17:17" x14ac:dyDescent="0.25">
      <c r="Q25174" s="8"/>
    </row>
    <row r="25175" spans="17:17" x14ac:dyDescent="0.25">
      <c r="Q25175" s="8"/>
    </row>
    <row r="25176" spans="17:17" x14ac:dyDescent="0.25">
      <c r="Q25176" s="8"/>
    </row>
    <row r="25177" spans="17:17" x14ac:dyDescent="0.25">
      <c r="Q25177" s="8"/>
    </row>
    <row r="25178" spans="17:17" x14ac:dyDescent="0.25">
      <c r="Q25178" s="8"/>
    </row>
    <row r="25179" spans="17:17" x14ac:dyDescent="0.25">
      <c r="Q25179" s="8"/>
    </row>
    <row r="25180" spans="17:17" x14ac:dyDescent="0.25">
      <c r="Q25180" s="8"/>
    </row>
    <row r="25181" spans="17:17" x14ac:dyDescent="0.25">
      <c r="Q25181" s="8"/>
    </row>
    <row r="25182" spans="17:17" x14ac:dyDescent="0.25">
      <c r="Q25182" s="8"/>
    </row>
    <row r="25183" spans="17:17" x14ac:dyDescent="0.25">
      <c r="Q25183" s="8"/>
    </row>
    <row r="25184" spans="17:17" x14ac:dyDescent="0.25">
      <c r="Q25184" s="8"/>
    </row>
    <row r="25185" spans="17:17" x14ac:dyDescent="0.25">
      <c r="Q25185" s="8"/>
    </row>
    <row r="25186" spans="17:17" x14ac:dyDescent="0.25">
      <c r="Q25186" s="8"/>
    </row>
    <row r="25187" spans="17:17" x14ac:dyDescent="0.25">
      <c r="Q25187" s="8"/>
    </row>
    <row r="25188" spans="17:17" x14ac:dyDescent="0.25">
      <c r="Q25188" s="8"/>
    </row>
    <row r="25189" spans="17:17" x14ac:dyDescent="0.25">
      <c r="Q25189" s="8"/>
    </row>
    <row r="25190" spans="17:17" x14ac:dyDescent="0.25">
      <c r="Q25190" s="8"/>
    </row>
    <row r="25191" spans="17:17" x14ac:dyDescent="0.25">
      <c r="Q25191" s="8"/>
    </row>
    <row r="25192" spans="17:17" x14ac:dyDescent="0.25">
      <c r="Q25192" s="8"/>
    </row>
    <row r="25193" spans="17:17" x14ac:dyDescent="0.25">
      <c r="Q25193" s="8"/>
    </row>
    <row r="25194" spans="17:17" x14ac:dyDescent="0.25">
      <c r="Q25194" s="8"/>
    </row>
    <row r="25195" spans="17:17" x14ac:dyDescent="0.25">
      <c r="Q25195" s="8"/>
    </row>
    <row r="25196" spans="17:17" x14ac:dyDescent="0.25">
      <c r="Q25196" s="8"/>
    </row>
    <row r="25197" spans="17:17" x14ac:dyDescent="0.25">
      <c r="Q25197" s="8"/>
    </row>
    <row r="25198" spans="17:17" x14ac:dyDescent="0.25">
      <c r="Q25198" s="8"/>
    </row>
    <row r="25199" spans="17:17" x14ac:dyDescent="0.25">
      <c r="Q25199" s="8"/>
    </row>
    <row r="25200" spans="17:17" x14ac:dyDescent="0.25">
      <c r="Q25200" s="8"/>
    </row>
    <row r="25201" spans="17:17" x14ac:dyDescent="0.25">
      <c r="Q25201" s="8"/>
    </row>
    <row r="25202" spans="17:17" x14ac:dyDescent="0.25">
      <c r="Q25202" s="8"/>
    </row>
    <row r="25203" spans="17:17" x14ac:dyDescent="0.25">
      <c r="Q25203" s="8"/>
    </row>
    <row r="25204" spans="17:17" x14ac:dyDescent="0.25">
      <c r="Q25204" s="8"/>
    </row>
    <row r="25205" spans="17:17" x14ac:dyDescent="0.25">
      <c r="Q25205" s="8"/>
    </row>
    <row r="25206" spans="17:17" x14ac:dyDescent="0.25">
      <c r="Q25206" s="8"/>
    </row>
    <row r="25207" spans="17:17" x14ac:dyDescent="0.25">
      <c r="Q25207" s="8"/>
    </row>
    <row r="25208" spans="17:17" x14ac:dyDescent="0.25">
      <c r="Q25208" s="8"/>
    </row>
    <row r="25209" spans="17:17" x14ac:dyDescent="0.25">
      <c r="Q25209" s="8"/>
    </row>
    <row r="25210" spans="17:17" x14ac:dyDescent="0.25">
      <c r="Q25210" s="8"/>
    </row>
    <row r="25211" spans="17:17" x14ac:dyDescent="0.25">
      <c r="Q25211" s="8"/>
    </row>
    <row r="25212" spans="17:17" x14ac:dyDescent="0.25">
      <c r="Q25212" s="8"/>
    </row>
    <row r="25213" spans="17:17" x14ac:dyDescent="0.25">
      <c r="Q25213" s="8"/>
    </row>
    <row r="25214" spans="17:17" x14ac:dyDescent="0.25">
      <c r="Q25214" s="8"/>
    </row>
    <row r="25215" spans="17:17" x14ac:dyDescent="0.25">
      <c r="Q25215" s="8"/>
    </row>
    <row r="25216" spans="17:17" x14ac:dyDescent="0.25">
      <c r="Q25216" s="8"/>
    </row>
    <row r="25217" spans="17:17" x14ac:dyDescent="0.25">
      <c r="Q25217" s="8"/>
    </row>
    <row r="25218" spans="17:17" x14ac:dyDescent="0.25">
      <c r="Q25218" s="8"/>
    </row>
    <row r="25219" spans="17:17" x14ac:dyDescent="0.25">
      <c r="Q25219" s="8"/>
    </row>
    <row r="25220" spans="17:17" x14ac:dyDescent="0.25">
      <c r="Q25220" s="8"/>
    </row>
    <row r="25221" spans="17:17" x14ac:dyDescent="0.25">
      <c r="Q25221" s="8"/>
    </row>
    <row r="25222" spans="17:17" x14ac:dyDescent="0.25">
      <c r="Q25222" s="8"/>
    </row>
    <row r="25223" spans="17:17" x14ac:dyDescent="0.25">
      <c r="Q25223" s="8"/>
    </row>
    <row r="25224" spans="17:17" x14ac:dyDescent="0.25">
      <c r="Q25224" s="8"/>
    </row>
    <row r="25225" spans="17:17" x14ac:dyDescent="0.25">
      <c r="Q25225" s="8"/>
    </row>
    <row r="25226" spans="17:17" x14ac:dyDescent="0.25">
      <c r="Q25226" s="8"/>
    </row>
    <row r="25227" spans="17:17" x14ac:dyDescent="0.25">
      <c r="Q25227" s="8"/>
    </row>
    <row r="25228" spans="17:17" x14ac:dyDescent="0.25">
      <c r="Q25228" s="8"/>
    </row>
    <row r="25229" spans="17:17" x14ac:dyDescent="0.25">
      <c r="Q25229" s="8"/>
    </row>
    <row r="25230" spans="17:17" x14ac:dyDescent="0.25">
      <c r="Q25230" s="8"/>
    </row>
    <row r="25231" spans="17:17" x14ac:dyDescent="0.25">
      <c r="Q25231" s="8"/>
    </row>
    <row r="25232" spans="17:17" x14ac:dyDescent="0.25">
      <c r="Q25232" s="8"/>
    </row>
    <row r="25233" spans="17:17" x14ac:dyDescent="0.25">
      <c r="Q25233" s="8"/>
    </row>
    <row r="25234" spans="17:17" x14ac:dyDescent="0.25">
      <c r="Q25234" s="8"/>
    </row>
    <row r="25235" spans="17:17" x14ac:dyDescent="0.25">
      <c r="Q25235" s="8"/>
    </row>
    <row r="25236" spans="17:17" x14ac:dyDescent="0.25">
      <c r="Q25236" s="8"/>
    </row>
    <row r="25237" spans="17:17" x14ac:dyDescent="0.25">
      <c r="Q25237" s="8"/>
    </row>
    <row r="25238" spans="17:17" x14ac:dyDescent="0.25">
      <c r="Q25238" s="8"/>
    </row>
    <row r="25239" spans="17:17" x14ac:dyDescent="0.25">
      <c r="Q25239" s="8"/>
    </row>
    <row r="25240" spans="17:17" x14ac:dyDescent="0.25">
      <c r="Q25240" s="8"/>
    </row>
    <row r="25241" spans="17:17" x14ac:dyDescent="0.25">
      <c r="Q25241" s="8"/>
    </row>
    <row r="25242" spans="17:17" x14ac:dyDescent="0.25">
      <c r="Q25242" s="8"/>
    </row>
    <row r="25243" spans="17:17" x14ac:dyDescent="0.25">
      <c r="Q25243" s="8"/>
    </row>
    <row r="25244" spans="17:17" x14ac:dyDescent="0.25">
      <c r="Q25244" s="8"/>
    </row>
    <row r="25245" spans="17:17" x14ac:dyDescent="0.25">
      <c r="Q25245" s="8"/>
    </row>
    <row r="25246" spans="17:17" x14ac:dyDescent="0.25">
      <c r="Q25246" s="8"/>
    </row>
    <row r="25247" spans="17:17" x14ac:dyDescent="0.25">
      <c r="Q25247" s="8"/>
    </row>
    <row r="25248" spans="17:17" x14ac:dyDescent="0.25">
      <c r="Q25248" s="8"/>
    </row>
    <row r="25249" spans="17:17" x14ac:dyDescent="0.25">
      <c r="Q25249" s="8"/>
    </row>
    <row r="25250" spans="17:17" x14ac:dyDescent="0.25">
      <c r="Q25250" s="8"/>
    </row>
    <row r="25251" spans="17:17" x14ac:dyDescent="0.25">
      <c r="Q25251" s="8"/>
    </row>
    <row r="25252" spans="17:17" x14ac:dyDescent="0.25">
      <c r="Q25252" s="8"/>
    </row>
    <row r="25253" spans="17:17" x14ac:dyDescent="0.25">
      <c r="Q25253" s="8"/>
    </row>
    <row r="25254" spans="17:17" x14ac:dyDescent="0.25">
      <c r="Q25254" s="8"/>
    </row>
    <row r="25255" spans="17:17" x14ac:dyDescent="0.25">
      <c r="Q25255" s="8"/>
    </row>
    <row r="25256" spans="17:17" x14ac:dyDescent="0.25">
      <c r="Q25256" s="8"/>
    </row>
    <row r="25257" spans="17:17" x14ac:dyDescent="0.25">
      <c r="Q25257" s="8"/>
    </row>
    <row r="25258" spans="17:17" x14ac:dyDescent="0.25">
      <c r="Q25258" s="8"/>
    </row>
    <row r="25259" spans="17:17" x14ac:dyDescent="0.25">
      <c r="Q25259" s="8"/>
    </row>
    <row r="25260" spans="17:17" x14ac:dyDescent="0.25">
      <c r="Q25260" s="8"/>
    </row>
    <row r="25261" spans="17:17" x14ac:dyDescent="0.25">
      <c r="Q25261" s="8"/>
    </row>
    <row r="25262" spans="17:17" x14ac:dyDescent="0.25">
      <c r="Q25262" s="8"/>
    </row>
    <row r="25263" spans="17:17" x14ac:dyDescent="0.25">
      <c r="Q25263" s="8"/>
    </row>
    <row r="25264" spans="17:17" x14ac:dyDescent="0.25">
      <c r="Q25264" s="8"/>
    </row>
    <row r="25265" spans="17:17" x14ac:dyDescent="0.25">
      <c r="Q25265" s="8"/>
    </row>
    <row r="25266" spans="17:17" x14ac:dyDescent="0.25">
      <c r="Q25266" s="8"/>
    </row>
    <row r="25267" spans="17:17" x14ac:dyDescent="0.25">
      <c r="Q25267" s="8"/>
    </row>
    <row r="25268" spans="17:17" x14ac:dyDescent="0.25">
      <c r="Q25268" s="8"/>
    </row>
    <row r="25269" spans="17:17" x14ac:dyDescent="0.25">
      <c r="Q25269" s="8"/>
    </row>
    <row r="25270" spans="17:17" x14ac:dyDescent="0.25">
      <c r="Q25270" s="8"/>
    </row>
    <row r="25271" spans="17:17" x14ac:dyDescent="0.25">
      <c r="Q25271" s="8"/>
    </row>
    <row r="25272" spans="17:17" x14ac:dyDescent="0.25">
      <c r="Q25272" s="8"/>
    </row>
    <row r="25273" spans="17:17" x14ac:dyDescent="0.25">
      <c r="Q25273" s="8"/>
    </row>
    <row r="25274" spans="17:17" x14ac:dyDescent="0.25">
      <c r="Q25274" s="8"/>
    </row>
    <row r="25275" spans="17:17" x14ac:dyDescent="0.25">
      <c r="Q25275" s="8"/>
    </row>
    <row r="25276" spans="17:17" x14ac:dyDescent="0.25">
      <c r="Q25276" s="8"/>
    </row>
    <row r="25277" spans="17:17" x14ac:dyDescent="0.25">
      <c r="Q25277" s="8"/>
    </row>
    <row r="25278" spans="17:17" x14ac:dyDescent="0.25">
      <c r="Q25278" s="8"/>
    </row>
    <row r="25279" spans="17:17" x14ac:dyDescent="0.25">
      <c r="Q25279" s="8"/>
    </row>
    <row r="25280" spans="17:17" x14ac:dyDescent="0.25">
      <c r="Q25280" s="8"/>
    </row>
    <row r="25281" spans="17:17" x14ac:dyDescent="0.25">
      <c r="Q25281" s="8"/>
    </row>
    <row r="25282" spans="17:17" x14ac:dyDescent="0.25">
      <c r="Q25282" s="8"/>
    </row>
    <row r="25283" spans="17:17" x14ac:dyDescent="0.25">
      <c r="Q25283" s="8"/>
    </row>
    <row r="25284" spans="17:17" x14ac:dyDescent="0.25">
      <c r="Q25284" s="8"/>
    </row>
    <row r="25285" spans="17:17" x14ac:dyDescent="0.25">
      <c r="Q25285" s="8"/>
    </row>
    <row r="25286" spans="17:17" x14ac:dyDescent="0.25">
      <c r="Q25286" s="8"/>
    </row>
    <row r="25287" spans="17:17" x14ac:dyDescent="0.25">
      <c r="Q25287" s="8"/>
    </row>
    <row r="25288" spans="17:17" x14ac:dyDescent="0.25">
      <c r="Q25288" s="8"/>
    </row>
    <row r="25289" spans="17:17" x14ac:dyDescent="0.25">
      <c r="Q25289" s="8"/>
    </row>
    <row r="25290" spans="17:17" x14ac:dyDescent="0.25">
      <c r="Q25290" s="8"/>
    </row>
    <row r="25291" spans="17:17" x14ac:dyDescent="0.25">
      <c r="Q25291" s="8"/>
    </row>
    <row r="25292" spans="17:17" x14ac:dyDescent="0.25">
      <c r="Q25292" s="8"/>
    </row>
    <row r="25293" spans="17:17" x14ac:dyDescent="0.25">
      <c r="Q25293" s="8"/>
    </row>
    <row r="25294" spans="17:17" x14ac:dyDescent="0.25">
      <c r="Q25294" s="8"/>
    </row>
    <row r="25295" spans="17:17" x14ac:dyDescent="0.25">
      <c r="Q25295" s="8"/>
    </row>
    <row r="25296" spans="17:17" x14ac:dyDescent="0.25">
      <c r="Q25296" s="8"/>
    </row>
    <row r="25297" spans="17:17" x14ac:dyDescent="0.25">
      <c r="Q25297" s="8"/>
    </row>
    <row r="25298" spans="17:17" x14ac:dyDescent="0.25">
      <c r="Q25298" s="8"/>
    </row>
    <row r="25299" spans="17:17" x14ac:dyDescent="0.25">
      <c r="Q25299" s="8"/>
    </row>
    <row r="25300" spans="17:17" x14ac:dyDescent="0.25">
      <c r="Q25300" s="8"/>
    </row>
    <row r="25301" spans="17:17" x14ac:dyDescent="0.25">
      <c r="Q25301" s="8"/>
    </row>
    <row r="25302" spans="17:17" x14ac:dyDescent="0.25">
      <c r="Q25302" s="8"/>
    </row>
    <row r="25303" spans="17:17" x14ac:dyDescent="0.25">
      <c r="Q25303" s="8"/>
    </row>
    <row r="25304" spans="17:17" x14ac:dyDescent="0.25">
      <c r="Q25304" s="8"/>
    </row>
    <row r="25305" spans="17:17" x14ac:dyDescent="0.25">
      <c r="Q25305" s="8"/>
    </row>
    <row r="25306" spans="17:17" x14ac:dyDescent="0.25">
      <c r="Q25306" s="8"/>
    </row>
    <row r="25307" spans="17:17" x14ac:dyDescent="0.25">
      <c r="Q25307" s="8"/>
    </row>
    <row r="25308" spans="17:17" x14ac:dyDescent="0.25">
      <c r="Q25308" s="8"/>
    </row>
    <row r="25309" spans="17:17" x14ac:dyDescent="0.25">
      <c r="Q25309" s="8"/>
    </row>
    <row r="25310" spans="17:17" x14ac:dyDescent="0.25">
      <c r="Q25310" s="8"/>
    </row>
    <row r="25311" spans="17:17" x14ac:dyDescent="0.25">
      <c r="Q25311" s="8"/>
    </row>
    <row r="25312" spans="17:17" x14ac:dyDescent="0.25">
      <c r="Q25312" s="8"/>
    </row>
    <row r="25313" spans="17:17" x14ac:dyDescent="0.25">
      <c r="Q25313" s="8"/>
    </row>
    <row r="25314" spans="17:17" x14ac:dyDescent="0.25">
      <c r="Q25314" s="8"/>
    </row>
    <row r="25315" spans="17:17" x14ac:dyDescent="0.25">
      <c r="Q25315" s="8"/>
    </row>
    <row r="25316" spans="17:17" x14ac:dyDescent="0.25">
      <c r="Q25316" s="8"/>
    </row>
    <row r="25317" spans="17:17" x14ac:dyDescent="0.25">
      <c r="Q25317" s="8"/>
    </row>
    <row r="25318" spans="17:17" x14ac:dyDescent="0.25">
      <c r="Q25318" s="8"/>
    </row>
    <row r="25319" spans="17:17" x14ac:dyDescent="0.25">
      <c r="Q25319" s="8"/>
    </row>
    <row r="25320" spans="17:17" x14ac:dyDescent="0.25">
      <c r="Q25320" s="8"/>
    </row>
    <row r="25321" spans="17:17" x14ac:dyDescent="0.25">
      <c r="Q25321" s="8"/>
    </row>
    <row r="25322" spans="17:17" x14ac:dyDescent="0.25">
      <c r="Q25322" s="8"/>
    </row>
    <row r="25323" spans="17:17" x14ac:dyDescent="0.25">
      <c r="Q25323" s="8"/>
    </row>
    <row r="25324" spans="17:17" x14ac:dyDescent="0.25">
      <c r="Q25324" s="8"/>
    </row>
    <row r="25325" spans="17:17" x14ac:dyDescent="0.25">
      <c r="Q25325" s="8"/>
    </row>
    <row r="25326" spans="17:17" x14ac:dyDescent="0.25">
      <c r="Q25326" s="8"/>
    </row>
    <row r="25327" spans="17:17" x14ac:dyDescent="0.25">
      <c r="Q25327" s="8"/>
    </row>
    <row r="25328" spans="17:17" x14ac:dyDescent="0.25">
      <c r="Q25328" s="8"/>
    </row>
    <row r="25329" spans="17:17" x14ac:dyDescent="0.25">
      <c r="Q25329" s="8"/>
    </row>
    <row r="25330" spans="17:17" x14ac:dyDescent="0.25">
      <c r="Q25330" s="8"/>
    </row>
    <row r="25331" spans="17:17" x14ac:dyDescent="0.25">
      <c r="Q25331" s="8"/>
    </row>
    <row r="25332" spans="17:17" x14ac:dyDescent="0.25">
      <c r="Q25332" s="8"/>
    </row>
    <row r="25333" spans="17:17" x14ac:dyDescent="0.25">
      <c r="Q25333" s="8"/>
    </row>
    <row r="25334" spans="17:17" x14ac:dyDescent="0.25">
      <c r="Q25334" s="8"/>
    </row>
    <row r="25335" spans="17:17" x14ac:dyDescent="0.25">
      <c r="Q25335" s="8"/>
    </row>
    <row r="25336" spans="17:17" x14ac:dyDescent="0.25">
      <c r="Q25336" s="8"/>
    </row>
    <row r="25337" spans="17:17" x14ac:dyDescent="0.25">
      <c r="Q25337" s="8"/>
    </row>
    <row r="25338" spans="17:17" x14ac:dyDescent="0.25">
      <c r="Q25338" s="8"/>
    </row>
    <row r="25339" spans="17:17" x14ac:dyDescent="0.25">
      <c r="Q25339" s="8"/>
    </row>
    <row r="25340" spans="17:17" x14ac:dyDescent="0.25">
      <c r="Q25340" s="8"/>
    </row>
    <row r="25341" spans="17:17" x14ac:dyDescent="0.25">
      <c r="Q25341" s="8"/>
    </row>
    <row r="25342" spans="17:17" x14ac:dyDescent="0.25">
      <c r="Q25342" s="8"/>
    </row>
    <row r="25343" spans="17:17" x14ac:dyDescent="0.25">
      <c r="Q25343" s="8"/>
    </row>
    <row r="25344" spans="17:17" x14ac:dyDescent="0.25">
      <c r="Q25344" s="8"/>
    </row>
    <row r="25345" spans="17:17" x14ac:dyDescent="0.25">
      <c r="Q25345" s="8"/>
    </row>
    <row r="25346" spans="17:17" x14ac:dyDescent="0.25">
      <c r="Q25346" s="8"/>
    </row>
    <row r="25347" spans="17:17" x14ac:dyDescent="0.25">
      <c r="Q25347" s="8"/>
    </row>
    <row r="25348" spans="17:17" x14ac:dyDescent="0.25">
      <c r="Q25348" s="8"/>
    </row>
    <row r="25349" spans="17:17" x14ac:dyDescent="0.25">
      <c r="Q25349" s="8"/>
    </row>
    <row r="25350" spans="17:17" x14ac:dyDescent="0.25">
      <c r="Q25350" s="8"/>
    </row>
    <row r="25351" spans="17:17" x14ac:dyDescent="0.25">
      <c r="Q25351" s="8"/>
    </row>
    <row r="25352" spans="17:17" x14ac:dyDescent="0.25">
      <c r="Q25352" s="8"/>
    </row>
    <row r="25353" spans="17:17" x14ac:dyDescent="0.25">
      <c r="Q25353" s="8"/>
    </row>
    <row r="25354" spans="17:17" x14ac:dyDescent="0.25">
      <c r="Q25354" s="8"/>
    </row>
    <row r="25355" spans="17:17" x14ac:dyDescent="0.25">
      <c r="Q25355" s="8"/>
    </row>
    <row r="25356" spans="17:17" x14ac:dyDescent="0.25">
      <c r="Q25356" s="8"/>
    </row>
    <row r="25357" spans="17:17" x14ac:dyDescent="0.25">
      <c r="Q25357" s="8"/>
    </row>
    <row r="25358" spans="17:17" x14ac:dyDescent="0.25">
      <c r="Q25358" s="8"/>
    </row>
    <row r="25359" spans="17:17" x14ac:dyDescent="0.25">
      <c r="Q25359" s="8"/>
    </row>
    <row r="25360" spans="17:17" x14ac:dyDescent="0.25">
      <c r="Q25360" s="8"/>
    </row>
    <row r="25361" spans="17:17" x14ac:dyDescent="0.25">
      <c r="Q25361" s="8"/>
    </row>
    <row r="25362" spans="17:17" x14ac:dyDescent="0.25">
      <c r="Q25362" s="8"/>
    </row>
    <row r="25363" spans="17:17" x14ac:dyDescent="0.25">
      <c r="Q25363" s="8"/>
    </row>
    <row r="25364" spans="17:17" x14ac:dyDescent="0.25">
      <c r="Q25364" s="8"/>
    </row>
    <row r="25365" spans="17:17" x14ac:dyDescent="0.25">
      <c r="Q25365" s="8"/>
    </row>
    <row r="25366" spans="17:17" x14ac:dyDescent="0.25">
      <c r="Q25366" s="8"/>
    </row>
    <row r="25367" spans="17:17" x14ac:dyDescent="0.25">
      <c r="Q25367" s="8"/>
    </row>
    <row r="25368" spans="17:17" x14ac:dyDescent="0.25">
      <c r="Q25368" s="8"/>
    </row>
    <row r="25369" spans="17:17" x14ac:dyDescent="0.25">
      <c r="Q25369" s="8"/>
    </row>
    <row r="25370" spans="17:17" x14ac:dyDescent="0.25">
      <c r="Q25370" s="8"/>
    </row>
    <row r="25371" spans="17:17" x14ac:dyDescent="0.25">
      <c r="Q25371" s="8"/>
    </row>
    <row r="25372" spans="17:17" x14ac:dyDescent="0.25">
      <c r="Q25372" s="8"/>
    </row>
    <row r="25373" spans="17:17" x14ac:dyDescent="0.25">
      <c r="Q25373" s="8"/>
    </row>
    <row r="25374" spans="17:17" x14ac:dyDescent="0.25">
      <c r="Q25374" s="8"/>
    </row>
    <row r="25375" spans="17:17" x14ac:dyDescent="0.25">
      <c r="Q25375" s="8"/>
    </row>
    <row r="25376" spans="17:17" x14ac:dyDescent="0.25">
      <c r="Q25376" s="8"/>
    </row>
    <row r="25377" spans="17:17" x14ac:dyDescent="0.25">
      <c r="Q25377" s="8"/>
    </row>
    <row r="25378" spans="17:17" x14ac:dyDescent="0.25">
      <c r="Q25378" s="8"/>
    </row>
    <row r="25379" spans="17:17" x14ac:dyDescent="0.25">
      <c r="Q25379" s="8"/>
    </row>
    <row r="25380" spans="17:17" x14ac:dyDescent="0.25">
      <c r="Q25380" s="8"/>
    </row>
    <row r="25381" spans="17:17" x14ac:dyDescent="0.25">
      <c r="Q25381" s="8"/>
    </row>
    <row r="25382" spans="17:17" x14ac:dyDescent="0.25">
      <c r="Q25382" s="8"/>
    </row>
    <row r="25383" spans="17:17" x14ac:dyDescent="0.25">
      <c r="Q25383" s="8"/>
    </row>
    <row r="25384" spans="17:17" x14ac:dyDescent="0.25">
      <c r="Q25384" s="8"/>
    </row>
    <row r="25385" spans="17:17" x14ac:dyDescent="0.25">
      <c r="Q25385" s="8"/>
    </row>
    <row r="25386" spans="17:17" x14ac:dyDescent="0.25">
      <c r="Q25386" s="8"/>
    </row>
    <row r="25387" spans="17:17" x14ac:dyDescent="0.25">
      <c r="Q25387" s="8"/>
    </row>
    <row r="25388" spans="17:17" x14ac:dyDescent="0.25">
      <c r="Q25388" s="8"/>
    </row>
    <row r="25389" spans="17:17" x14ac:dyDescent="0.25">
      <c r="Q25389" s="8"/>
    </row>
    <row r="25390" spans="17:17" x14ac:dyDescent="0.25">
      <c r="Q25390" s="8"/>
    </row>
    <row r="25391" spans="17:17" x14ac:dyDescent="0.25">
      <c r="Q25391" s="8"/>
    </row>
    <row r="25392" spans="17:17" x14ac:dyDescent="0.25">
      <c r="Q25392" s="8"/>
    </row>
    <row r="25393" spans="17:17" x14ac:dyDescent="0.25">
      <c r="Q25393" s="8"/>
    </row>
    <row r="25394" spans="17:17" x14ac:dyDescent="0.25">
      <c r="Q25394" s="8"/>
    </row>
    <row r="25395" spans="17:17" x14ac:dyDescent="0.25">
      <c r="Q25395" s="8"/>
    </row>
    <row r="25396" spans="17:17" x14ac:dyDescent="0.25">
      <c r="Q25396" s="8"/>
    </row>
    <row r="25397" spans="17:17" x14ac:dyDescent="0.25">
      <c r="Q25397" s="8"/>
    </row>
    <row r="25398" spans="17:17" x14ac:dyDescent="0.25">
      <c r="Q25398" s="8"/>
    </row>
    <row r="25399" spans="17:17" x14ac:dyDescent="0.25">
      <c r="Q25399" s="8"/>
    </row>
    <row r="25400" spans="17:17" x14ac:dyDescent="0.25">
      <c r="Q25400" s="8"/>
    </row>
    <row r="25401" spans="17:17" x14ac:dyDescent="0.25">
      <c r="Q25401" s="8"/>
    </row>
    <row r="25402" spans="17:17" x14ac:dyDescent="0.25">
      <c r="Q25402" s="8"/>
    </row>
    <row r="25403" spans="17:17" x14ac:dyDescent="0.25">
      <c r="Q25403" s="8"/>
    </row>
    <row r="25404" spans="17:17" x14ac:dyDescent="0.25">
      <c r="Q25404" s="8"/>
    </row>
    <row r="25405" spans="17:17" x14ac:dyDescent="0.25">
      <c r="Q25405" s="8"/>
    </row>
    <row r="25406" spans="17:17" x14ac:dyDescent="0.25">
      <c r="Q25406" s="8"/>
    </row>
    <row r="25407" spans="17:17" x14ac:dyDescent="0.25">
      <c r="Q25407" s="8"/>
    </row>
    <row r="25408" spans="17:17" x14ac:dyDescent="0.25">
      <c r="Q25408" s="8"/>
    </row>
    <row r="25409" spans="17:17" x14ac:dyDescent="0.25">
      <c r="Q25409" s="8"/>
    </row>
    <row r="25410" spans="17:17" x14ac:dyDescent="0.25">
      <c r="Q25410" s="8"/>
    </row>
    <row r="25411" spans="17:17" x14ac:dyDescent="0.25">
      <c r="Q25411" s="8"/>
    </row>
    <row r="25412" spans="17:17" x14ac:dyDescent="0.25">
      <c r="Q25412" s="8"/>
    </row>
    <row r="25413" spans="17:17" x14ac:dyDescent="0.25">
      <c r="Q25413" s="8"/>
    </row>
    <row r="25414" spans="17:17" x14ac:dyDescent="0.25">
      <c r="Q25414" s="8"/>
    </row>
    <row r="25415" spans="17:17" x14ac:dyDescent="0.25">
      <c r="Q25415" s="8"/>
    </row>
    <row r="25416" spans="17:17" x14ac:dyDescent="0.25">
      <c r="Q25416" s="8"/>
    </row>
    <row r="25417" spans="17:17" x14ac:dyDescent="0.25">
      <c r="Q25417" s="8"/>
    </row>
    <row r="25418" spans="17:17" x14ac:dyDescent="0.25">
      <c r="Q25418" s="8"/>
    </row>
    <row r="25419" spans="17:17" x14ac:dyDescent="0.25">
      <c r="Q25419" s="8"/>
    </row>
    <row r="25420" spans="17:17" x14ac:dyDescent="0.25">
      <c r="Q25420" s="8"/>
    </row>
    <row r="25421" spans="17:17" x14ac:dyDescent="0.25">
      <c r="Q25421" s="8"/>
    </row>
    <row r="25422" spans="17:17" x14ac:dyDescent="0.25">
      <c r="Q25422" s="8"/>
    </row>
    <row r="25423" spans="17:17" x14ac:dyDescent="0.25">
      <c r="Q25423" s="8"/>
    </row>
    <row r="25424" spans="17:17" x14ac:dyDescent="0.25">
      <c r="Q25424" s="8"/>
    </row>
    <row r="25425" spans="17:17" x14ac:dyDescent="0.25">
      <c r="Q25425" s="8"/>
    </row>
    <row r="25426" spans="17:17" x14ac:dyDescent="0.25">
      <c r="Q25426" s="8"/>
    </row>
    <row r="25427" spans="17:17" x14ac:dyDescent="0.25">
      <c r="Q25427" s="8"/>
    </row>
    <row r="25428" spans="17:17" x14ac:dyDescent="0.25">
      <c r="Q25428" s="8"/>
    </row>
    <row r="25429" spans="17:17" x14ac:dyDescent="0.25">
      <c r="Q25429" s="8"/>
    </row>
    <row r="25430" spans="17:17" x14ac:dyDescent="0.25">
      <c r="Q25430" s="8"/>
    </row>
    <row r="25431" spans="17:17" x14ac:dyDescent="0.25">
      <c r="Q25431" s="8"/>
    </row>
    <row r="25432" spans="17:17" x14ac:dyDescent="0.25">
      <c r="Q25432" s="8"/>
    </row>
    <row r="25433" spans="17:17" x14ac:dyDescent="0.25">
      <c r="Q25433" s="8"/>
    </row>
    <row r="25434" spans="17:17" x14ac:dyDescent="0.25">
      <c r="Q25434" s="8"/>
    </row>
    <row r="25435" spans="17:17" x14ac:dyDescent="0.25">
      <c r="Q25435" s="8"/>
    </row>
    <row r="25436" spans="17:17" x14ac:dyDescent="0.25">
      <c r="Q25436" s="8"/>
    </row>
    <row r="25437" spans="17:17" x14ac:dyDescent="0.25">
      <c r="Q25437" s="8"/>
    </row>
    <row r="25438" spans="17:17" x14ac:dyDescent="0.25">
      <c r="Q25438" s="8"/>
    </row>
    <row r="25439" spans="17:17" x14ac:dyDescent="0.25">
      <c r="Q25439" s="8"/>
    </row>
    <row r="25440" spans="17:17" x14ac:dyDescent="0.25">
      <c r="Q25440" s="8"/>
    </row>
    <row r="25441" spans="17:17" x14ac:dyDescent="0.25">
      <c r="Q25441" s="8"/>
    </row>
    <row r="25442" spans="17:17" x14ac:dyDescent="0.25">
      <c r="Q25442" s="8"/>
    </row>
    <row r="25443" spans="17:17" x14ac:dyDescent="0.25">
      <c r="Q25443" s="8"/>
    </row>
    <row r="25444" spans="17:17" x14ac:dyDescent="0.25">
      <c r="Q25444" s="8"/>
    </row>
    <row r="25445" spans="17:17" x14ac:dyDescent="0.25">
      <c r="Q25445" s="8"/>
    </row>
    <row r="25446" spans="17:17" x14ac:dyDescent="0.25">
      <c r="Q25446" s="8"/>
    </row>
    <row r="25447" spans="17:17" x14ac:dyDescent="0.25">
      <c r="Q25447" s="8"/>
    </row>
    <row r="25448" spans="17:17" x14ac:dyDescent="0.25">
      <c r="Q25448" s="8"/>
    </row>
    <row r="25449" spans="17:17" x14ac:dyDescent="0.25">
      <c r="Q25449" s="8"/>
    </row>
    <row r="25450" spans="17:17" x14ac:dyDescent="0.25">
      <c r="Q25450" s="8"/>
    </row>
    <row r="25451" spans="17:17" x14ac:dyDescent="0.25">
      <c r="Q25451" s="8"/>
    </row>
    <row r="25452" spans="17:17" x14ac:dyDescent="0.25">
      <c r="Q25452" s="8"/>
    </row>
    <row r="25453" spans="17:17" x14ac:dyDescent="0.25">
      <c r="Q25453" s="8"/>
    </row>
    <row r="25454" spans="17:17" x14ac:dyDescent="0.25">
      <c r="Q25454" s="8"/>
    </row>
    <row r="25455" spans="17:17" x14ac:dyDescent="0.25">
      <c r="Q25455" s="8"/>
    </row>
    <row r="25456" spans="17:17" x14ac:dyDescent="0.25">
      <c r="Q25456" s="8"/>
    </row>
    <row r="25457" spans="17:17" x14ac:dyDescent="0.25">
      <c r="Q25457" s="8"/>
    </row>
    <row r="25458" spans="17:17" x14ac:dyDescent="0.25">
      <c r="Q25458" s="8"/>
    </row>
    <row r="25459" spans="17:17" x14ac:dyDescent="0.25">
      <c r="Q25459" s="8"/>
    </row>
    <row r="25460" spans="17:17" x14ac:dyDescent="0.25">
      <c r="Q25460" s="8"/>
    </row>
    <row r="25461" spans="17:17" x14ac:dyDescent="0.25">
      <c r="Q25461" s="8"/>
    </row>
    <row r="25462" spans="17:17" x14ac:dyDescent="0.25">
      <c r="Q25462" s="8"/>
    </row>
    <row r="25463" spans="17:17" x14ac:dyDescent="0.25">
      <c r="Q25463" s="8"/>
    </row>
    <row r="25464" spans="17:17" x14ac:dyDescent="0.25">
      <c r="Q25464" s="8"/>
    </row>
    <row r="25465" spans="17:17" x14ac:dyDescent="0.25">
      <c r="Q25465" s="8"/>
    </row>
    <row r="25466" spans="17:17" x14ac:dyDescent="0.25">
      <c r="Q25466" s="8"/>
    </row>
    <row r="25467" spans="17:17" x14ac:dyDescent="0.25">
      <c r="Q25467" s="8"/>
    </row>
    <row r="25468" spans="17:17" x14ac:dyDescent="0.25">
      <c r="Q25468" s="8"/>
    </row>
    <row r="25469" spans="17:17" x14ac:dyDescent="0.25">
      <c r="Q25469" s="8"/>
    </row>
    <row r="25470" spans="17:17" x14ac:dyDescent="0.25">
      <c r="Q25470" s="8"/>
    </row>
    <row r="25471" spans="17:17" x14ac:dyDescent="0.25">
      <c r="Q25471" s="8"/>
    </row>
    <row r="25472" spans="17:17" x14ac:dyDescent="0.25">
      <c r="Q25472" s="8"/>
    </row>
    <row r="25473" spans="17:17" x14ac:dyDescent="0.25">
      <c r="Q25473" s="8"/>
    </row>
    <row r="25474" spans="17:17" x14ac:dyDescent="0.25">
      <c r="Q25474" s="8"/>
    </row>
    <row r="25475" spans="17:17" x14ac:dyDescent="0.25">
      <c r="Q25475" s="8"/>
    </row>
    <row r="25476" spans="17:17" x14ac:dyDescent="0.25">
      <c r="Q25476" s="8"/>
    </row>
    <row r="25477" spans="17:17" x14ac:dyDescent="0.25">
      <c r="Q25477" s="8"/>
    </row>
    <row r="25478" spans="17:17" x14ac:dyDescent="0.25">
      <c r="Q25478" s="8"/>
    </row>
    <row r="25479" spans="17:17" x14ac:dyDescent="0.25">
      <c r="Q25479" s="8"/>
    </row>
    <row r="25480" spans="17:17" x14ac:dyDescent="0.25">
      <c r="Q25480" s="8"/>
    </row>
    <row r="25481" spans="17:17" x14ac:dyDescent="0.25">
      <c r="Q25481" s="8"/>
    </row>
    <row r="25482" spans="17:17" x14ac:dyDescent="0.25">
      <c r="Q25482" s="8"/>
    </row>
    <row r="25483" spans="17:17" x14ac:dyDescent="0.25">
      <c r="Q25483" s="8"/>
    </row>
    <row r="25484" spans="17:17" x14ac:dyDescent="0.25">
      <c r="Q25484" s="8"/>
    </row>
    <row r="25485" spans="17:17" x14ac:dyDescent="0.25">
      <c r="Q25485" s="8"/>
    </row>
    <row r="25486" spans="17:17" x14ac:dyDescent="0.25">
      <c r="Q25486" s="8"/>
    </row>
    <row r="25487" spans="17:17" x14ac:dyDescent="0.25">
      <c r="Q25487" s="8"/>
    </row>
    <row r="25488" spans="17:17" x14ac:dyDescent="0.25">
      <c r="Q25488" s="8"/>
    </row>
    <row r="25489" spans="17:17" x14ac:dyDescent="0.25">
      <c r="Q25489" s="8"/>
    </row>
    <row r="25490" spans="17:17" x14ac:dyDescent="0.25">
      <c r="Q25490" s="8"/>
    </row>
    <row r="25491" spans="17:17" x14ac:dyDescent="0.25">
      <c r="Q25491" s="8"/>
    </row>
    <row r="25492" spans="17:17" x14ac:dyDescent="0.25">
      <c r="Q25492" s="8"/>
    </row>
    <row r="25493" spans="17:17" x14ac:dyDescent="0.25">
      <c r="Q25493" s="8"/>
    </row>
    <row r="25494" spans="17:17" x14ac:dyDescent="0.25">
      <c r="Q25494" s="8"/>
    </row>
    <row r="25495" spans="17:17" x14ac:dyDescent="0.25">
      <c r="Q25495" s="8"/>
    </row>
    <row r="25496" spans="17:17" x14ac:dyDescent="0.25">
      <c r="Q25496" s="8"/>
    </row>
    <row r="25497" spans="17:17" x14ac:dyDescent="0.25">
      <c r="Q25497" s="8"/>
    </row>
    <row r="25498" spans="17:17" x14ac:dyDescent="0.25">
      <c r="Q25498" s="8"/>
    </row>
    <row r="25499" spans="17:17" x14ac:dyDescent="0.25">
      <c r="Q25499" s="8"/>
    </row>
    <row r="25500" spans="17:17" x14ac:dyDescent="0.25">
      <c r="Q25500" s="8"/>
    </row>
    <row r="25501" spans="17:17" x14ac:dyDescent="0.25">
      <c r="Q25501" s="8"/>
    </row>
    <row r="25502" spans="17:17" x14ac:dyDescent="0.25">
      <c r="Q25502" s="8"/>
    </row>
    <row r="25503" spans="17:17" x14ac:dyDescent="0.25">
      <c r="Q25503" s="8"/>
    </row>
    <row r="25504" spans="17:17" x14ac:dyDescent="0.25">
      <c r="Q25504" s="8"/>
    </row>
    <row r="25505" spans="17:17" x14ac:dyDescent="0.25">
      <c r="Q25505" s="8"/>
    </row>
    <row r="25506" spans="17:17" x14ac:dyDescent="0.25">
      <c r="Q25506" s="8"/>
    </row>
    <row r="25507" spans="17:17" x14ac:dyDescent="0.25">
      <c r="Q25507" s="8"/>
    </row>
    <row r="25508" spans="17:17" x14ac:dyDescent="0.25">
      <c r="Q25508" s="8"/>
    </row>
    <row r="25509" spans="17:17" x14ac:dyDescent="0.25">
      <c r="Q25509" s="8"/>
    </row>
    <row r="25510" spans="17:17" x14ac:dyDescent="0.25">
      <c r="Q25510" s="8"/>
    </row>
    <row r="25511" spans="17:17" x14ac:dyDescent="0.25">
      <c r="Q25511" s="8"/>
    </row>
    <row r="25512" spans="17:17" x14ac:dyDescent="0.25">
      <c r="Q25512" s="8"/>
    </row>
    <row r="25513" spans="17:17" x14ac:dyDescent="0.25">
      <c r="Q25513" s="8"/>
    </row>
    <row r="25514" spans="17:17" x14ac:dyDescent="0.25">
      <c r="Q25514" s="8"/>
    </row>
    <row r="25515" spans="17:17" x14ac:dyDescent="0.25">
      <c r="Q25515" s="8"/>
    </row>
    <row r="25516" spans="17:17" x14ac:dyDescent="0.25">
      <c r="Q25516" s="8"/>
    </row>
    <row r="25517" spans="17:17" x14ac:dyDescent="0.25">
      <c r="Q25517" s="8"/>
    </row>
    <row r="25518" spans="17:17" x14ac:dyDescent="0.25">
      <c r="Q25518" s="8"/>
    </row>
    <row r="25519" spans="17:17" x14ac:dyDescent="0.25">
      <c r="Q25519" s="8"/>
    </row>
    <row r="25520" spans="17:17" x14ac:dyDescent="0.25">
      <c r="Q25520" s="8"/>
    </row>
    <row r="25521" spans="17:17" x14ac:dyDescent="0.25">
      <c r="Q25521" s="8"/>
    </row>
    <row r="25522" spans="17:17" x14ac:dyDescent="0.25">
      <c r="Q25522" s="8"/>
    </row>
    <row r="25523" spans="17:17" x14ac:dyDescent="0.25">
      <c r="Q25523" s="8"/>
    </row>
    <row r="25524" spans="17:17" x14ac:dyDescent="0.25">
      <c r="Q25524" s="8"/>
    </row>
    <row r="25525" spans="17:17" x14ac:dyDescent="0.25">
      <c r="Q25525" s="8"/>
    </row>
    <row r="25526" spans="17:17" x14ac:dyDescent="0.25">
      <c r="Q25526" s="8"/>
    </row>
    <row r="25527" spans="17:17" x14ac:dyDescent="0.25">
      <c r="Q25527" s="8"/>
    </row>
    <row r="25528" spans="17:17" x14ac:dyDescent="0.25">
      <c r="Q25528" s="8"/>
    </row>
    <row r="25529" spans="17:17" x14ac:dyDescent="0.25">
      <c r="Q25529" s="8"/>
    </row>
    <row r="25530" spans="17:17" x14ac:dyDescent="0.25">
      <c r="Q25530" s="8"/>
    </row>
    <row r="25531" spans="17:17" x14ac:dyDescent="0.25">
      <c r="Q25531" s="8"/>
    </row>
    <row r="25532" spans="17:17" x14ac:dyDescent="0.25">
      <c r="Q25532" s="8"/>
    </row>
    <row r="25533" spans="17:17" x14ac:dyDescent="0.25">
      <c r="Q25533" s="8"/>
    </row>
    <row r="25534" spans="17:17" x14ac:dyDescent="0.25">
      <c r="Q25534" s="8"/>
    </row>
    <row r="25535" spans="17:17" x14ac:dyDescent="0.25">
      <c r="Q25535" s="8"/>
    </row>
    <row r="25536" spans="17:17" x14ac:dyDescent="0.25">
      <c r="Q25536" s="8"/>
    </row>
    <row r="25537" spans="17:17" x14ac:dyDescent="0.25">
      <c r="Q25537" s="8"/>
    </row>
    <row r="25538" spans="17:17" x14ac:dyDescent="0.25">
      <c r="Q25538" s="8"/>
    </row>
    <row r="25539" spans="17:17" x14ac:dyDescent="0.25">
      <c r="Q25539" s="8"/>
    </row>
    <row r="25540" spans="17:17" x14ac:dyDescent="0.25">
      <c r="Q25540" s="8"/>
    </row>
    <row r="25541" spans="17:17" x14ac:dyDescent="0.25">
      <c r="Q25541" s="8"/>
    </row>
    <row r="25542" spans="17:17" x14ac:dyDescent="0.25">
      <c r="Q25542" s="8"/>
    </row>
    <row r="25543" spans="17:17" x14ac:dyDescent="0.25">
      <c r="Q25543" s="8"/>
    </row>
    <row r="25544" spans="17:17" x14ac:dyDescent="0.25">
      <c r="Q25544" s="8"/>
    </row>
    <row r="25545" spans="17:17" x14ac:dyDescent="0.25">
      <c r="Q25545" s="8"/>
    </row>
    <row r="25546" spans="17:17" x14ac:dyDescent="0.25">
      <c r="Q25546" s="8"/>
    </row>
    <row r="25547" spans="17:17" x14ac:dyDescent="0.25">
      <c r="Q25547" s="8"/>
    </row>
    <row r="25548" spans="17:17" x14ac:dyDescent="0.25">
      <c r="Q25548" s="8"/>
    </row>
    <row r="25549" spans="17:17" x14ac:dyDescent="0.25">
      <c r="Q25549" s="8"/>
    </row>
    <row r="25550" spans="17:17" x14ac:dyDescent="0.25">
      <c r="Q25550" s="8"/>
    </row>
    <row r="25551" spans="17:17" x14ac:dyDescent="0.25">
      <c r="Q25551" s="8"/>
    </row>
    <row r="25552" spans="17:17" x14ac:dyDescent="0.25">
      <c r="Q25552" s="8"/>
    </row>
    <row r="25553" spans="17:17" x14ac:dyDescent="0.25">
      <c r="Q25553" s="8"/>
    </row>
    <row r="25554" spans="17:17" x14ac:dyDescent="0.25">
      <c r="Q25554" s="8"/>
    </row>
    <row r="25555" spans="17:17" x14ac:dyDescent="0.25">
      <c r="Q25555" s="8"/>
    </row>
    <row r="25556" spans="17:17" x14ac:dyDescent="0.25">
      <c r="Q25556" s="8"/>
    </row>
    <row r="25557" spans="17:17" x14ac:dyDescent="0.25">
      <c r="Q25557" s="8"/>
    </row>
    <row r="25558" spans="17:17" x14ac:dyDescent="0.25">
      <c r="Q25558" s="8"/>
    </row>
    <row r="25559" spans="17:17" x14ac:dyDescent="0.25">
      <c r="Q25559" s="8"/>
    </row>
    <row r="25560" spans="17:17" x14ac:dyDescent="0.25">
      <c r="Q25560" s="8"/>
    </row>
    <row r="25561" spans="17:17" x14ac:dyDescent="0.25">
      <c r="Q25561" s="8"/>
    </row>
    <row r="25562" spans="17:17" x14ac:dyDescent="0.25">
      <c r="Q25562" s="8"/>
    </row>
    <row r="25563" spans="17:17" x14ac:dyDescent="0.25">
      <c r="Q25563" s="8"/>
    </row>
    <row r="25564" spans="17:17" x14ac:dyDescent="0.25">
      <c r="Q25564" s="8"/>
    </row>
    <row r="25565" spans="17:17" x14ac:dyDescent="0.25">
      <c r="Q25565" s="8"/>
    </row>
    <row r="25566" spans="17:17" x14ac:dyDescent="0.25">
      <c r="Q25566" s="8"/>
    </row>
    <row r="25567" spans="17:17" x14ac:dyDescent="0.25">
      <c r="Q25567" s="8"/>
    </row>
    <row r="25568" spans="17:17" x14ac:dyDescent="0.25">
      <c r="Q25568" s="8"/>
    </row>
    <row r="25569" spans="17:17" x14ac:dyDescent="0.25">
      <c r="Q25569" s="8"/>
    </row>
    <row r="25570" spans="17:17" x14ac:dyDescent="0.25">
      <c r="Q25570" s="8"/>
    </row>
    <row r="25571" spans="17:17" x14ac:dyDescent="0.25">
      <c r="Q25571" s="8"/>
    </row>
    <row r="25572" spans="17:17" x14ac:dyDescent="0.25">
      <c r="Q25572" s="8"/>
    </row>
    <row r="25573" spans="17:17" x14ac:dyDescent="0.25">
      <c r="Q25573" s="8"/>
    </row>
    <row r="25574" spans="17:17" x14ac:dyDescent="0.25">
      <c r="Q25574" s="8"/>
    </row>
    <row r="25575" spans="17:17" x14ac:dyDescent="0.25">
      <c r="Q25575" s="8"/>
    </row>
    <row r="25576" spans="17:17" x14ac:dyDescent="0.25">
      <c r="Q25576" s="8"/>
    </row>
    <row r="25577" spans="17:17" x14ac:dyDescent="0.25">
      <c r="Q25577" s="8"/>
    </row>
    <row r="25578" spans="17:17" x14ac:dyDescent="0.25">
      <c r="Q25578" s="8"/>
    </row>
    <row r="25579" spans="17:17" x14ac:dyDescent="0.25">
      <c r="Q25579" s="8"/>
    </row>
    <row r="25580" spans="17:17" x14ac:dyDescent="0.25">
      <c r="Q25580" s="8"/>
    </row>
    <row r="25581" spans="17:17" x14ac:dyDescent="0.25">
      <c r="Q25581" s="8"/>
    </row>
    <row r="25582" spans="17:17" x14ac:dyDescent="0.25">
      <c r="Q25582" s="8"/>
    </row>
    <row r="25583" spans="17:17" x14ac:dyDescent="0.25">
      <c r="Q25583" s="8"/>
    </row>
    <row r="25584" spans="17:17" x14ac:dyDescent="0.25">
      <c r="Q25584" s="8"/>
    </row>
    <row r="25585" spans="17:17" x14ac:dyDescent="0.25">
      <c r="Q25585" s="8"/>
    </row>
    <row r="25586" spans="17:17" x14ac:dyDescent="0.25">
      <c r="Q25586" s="8"/>
    </row>
    <row r="25587" spans="17:17" x14ac:dyDescent="0.25">
      <c r="Q25587" s="8"/>
    </row>
    <row r="25588" spans="17:17" x14ac:dyDescent="0.25">
      <c r="Q25588" s="8"/>
    </row>
    <row r="25589" spans="17:17" x14ac:dyDescent="0.25">
      <c r="Q25589" s="8"/>
    </row>
    <row r="25590" spans="17:17" x14ac:dyDescent="0.25">
      <c r="Q25590" s="8"/>
    </row>
    <row r="25591" spans="17:17" x14ac:dyDescent="0.25">
      <c r="Q25591" s="8"/>
    </row>
    <row r="25592" spans="17:17" x14ac:dyDescent="0.25">
      <c r="Q25592" s="8"/>
    </row>
    <row r="25593" spans="17:17" x14ac:dyDescent="0.25">
      <c r="Q25593" s="8"/>
    </row>
    <row r="25594" spans="17:17" x14ac:dyDescent="0.25">
      <c r="Q25594" s="8"/>
    </row>
    <row r="25595" spans="17:17" x14ac:dyDescent="0.25">
      <c r="Q25595" s="8"/>
    </row>
    <row r="25596" spans="17:17" x14ac:dyDescent="0.25">
      <c r="Q25596" s="8"/>
    </row>
    <row r="25597" spans="17:17" x14ac:dyDescent="0.25">
      <c r="Q25597" s="8"/>
    </row>
    <row r="25598" spans="17:17" x14ac:dyDescent="0.25">
      <c r="Q25598" s="8"/>
    </row>
    <row r="25599" spans="17:17" x14ac:dyDescent="0.25">
      <c r="Q25599" s="8"/>
    </row>
    <row r="25600" spans="17:17" x14ac:dyDescent="0.25">
      <c r="Q25600" s="8"/>
    </row>
    <row r="25601" spans="17:17" x14ac:dyDescent="0.25">
      <c r="Q25601" s="8"/>
    </row>
    <row r="25602" spans="17:17" x14ac:dyDescent="0.25">
      <c r="Q25602" s="8"/>
    </row>
    <row r="25603" spans="17:17" x14ac:dyDescent="0.25">
      <c r="Q25603" s="8"/>
    </row>
    <row r="25604" spans="17:17" x14ac:dyDescent="0.25">
      <c r="Q25604" s="8"/>
    </row>
    <row r="25605" spans="17:17" x14ac:dyDescent="0.25">
      <c r="Q25605" s="8"/>
    </row>
    <row r="25606" spans="17:17" x14ac:dyDescent="0.25">
      <c r="Q25606" s="8"/>
    </row>
    <row r="25607" spans="17:17" x14ac:dyDescent="0.25">
      <c r="Q25607" s="8"/>
    </row>
    <row r="25608" spans="17:17" x14ac:dyDescent="0.25">
      <c r="Q25608" s="8"/>
    </row>
    <row r="25609" spans="17:17" x14ac:dyDescent="0.25">
      <c r="Q25609" s="8"/>
    </row>
    <row r="25610" spans="17:17" x14ac:dyDescent="0.25">
      <c r="Q25610" s="8"/>
    </row>
    <row r="25611" spans="17:17" x14ac:dyDescent="0.25">
      <c r="Q25611" s="8"/>
    </row>
    <row r="25612" spans="17:17" x14ac:dyDescent="0.25">
      <c r="Q25612" s="8"/>
    </row>
    <row r="25613" spans="17:17" x14ac:dyDescent="0.25">
      <c r="Q25613" s="8"/>
    </row>
    <row r="25614" spans="17:17" x14ac:dyDescent="0.25">
      <c r="Q25614" s="8"/>
    </row>
    <row r="25615" spans="17:17" x14ac:dyDescent="0.25">
      <c r="Q25615" s="8"/>
    </row>
    <row r="25616" spans="17:17" x14ac:dyDescent="0.25">
      <c r="Q25616" s="8"/>
    </row>
    <row r="25617" spans="17:17" x14ac:dyDescent="0.25">
      <c r="Q25617" s="8"/>
    </row>
    <row r="25618" spans="17:17" x14ac:dyDescent="0.25">
      <c r="Q25618" s="8"/>
    </row>
    <row r="25619" spans="17:17" x14ac:dyDescent="0.25">
      <c r="Q25619" s="8"/>
    </row>
    <row r="25620" spans="17:17" x14ac:dyDescent="0.25">
      <c r="Q25620" s="8"/>
    </row>
    <row r="25621" spans="17:17" x14ac:dyDescent="0.25">
      <c r="Q25621" s="8"/>
    </row>
    <row r="25622" spans="17:17" x14ac:dyDescent="0.25">
      <c r="Q25622" s="8"/>
    </row>
    <row r="25623" spans="17:17" x14ac:dyDescent="0.25">
      <c r="Q25623" s="8"/>
    </row>
    <row r="25624" spans="17:17" x14ac:dyDescent="0.25">
      <c r="Q25624" s="8"/>
    </row>
    <row r="25625" spans="17:17" x14ac:dyDescent="0.25">
      <c r="Q25625" s="8"/>
    </row>
    <row r="25626" spans="17:17" x14ac:dyDescent="0.25">
      <c r="Q25626" s="8"/>
    </row>
    <row r="25627" spans="17:17" x14ac:dyDescent="0.25">
      <c r="Q25627" s="8"/>
    </row>
    <row r="25628" spans="17:17" x14ac:dyDescent="0.25">
      <c r="Q25628" s="8"/>
    </row>
    <row r="25629" spans="17:17" x14ac:dyDescent="0.25">
      <c r="Q25629" s="8"/>
    </row>
    <row r="25630" spans="17:17" x14ac:dyDescent="0.25">
      <c r="Q25630" s="8"/>
    </row>
    <row r="25631" spans="17:17" x14ac:dyDescent="0.25">
      <c r="Q25631" s="8"/>
    </row>
    <row r="25632" spans="17:17" x14ac:dyDescent="0.25">
      <c r="Q25632" s="8"/>
    </row>
    <row r="25633" spans="17:17" x14ac:dyDescent="0.25">
      <c r="Q25633" s="8"/>
    </row>
    <row r="25634" spans="17:17" x14ac:dyDescent="0.25">
      <c r="Q25634" s="8"/>
    </row>
    <row r="25635" spans="17:17" x14ac:dyDescent="0.25">
      <c r="Q25635" s="8"/>
    </row>
    <row r="25636" spans="17:17" x14ac:dyDescent="0.25">
      <c r="Q25636" s="8"/>
    </row>
    <row r="25637" spans="17:17" x14ac:dyDescent="0.25">
      <c r="Q25637" s="8"/>
    </row>
    <row r="25638" spans="17:17" x14ac:dyDescent="0.25">
      <c r="Q25638" s="8"/>
    </row>
    <row r="25639" spans="17:17" x14ac:dyDescent="0.25">
      <c r="Q25639" s="8"/>
    </row>
    <row r="25640" spans="17:17" x14ac:dyDescent="0.25">
      <c r="Q25640" s="8"/>
    </row>
    <row r="25641" spans="17:17" x14ac:dyDescent="0.25">
      <c r="Q25641" s="8"/>
    </row>
    <row r="25642" spans="17:17" x14ac:dyDescent="0.25">
      <c r="Q25642" s="8"/>
    </row>
    <row r="25643" spans="17:17" x14ac:dyDescent="0.25">
      <c r="Q25643" s="8"/>
    </row>
    <row r="25644" spans="17:17" x14ac:dyDescent="0.25">
      <c r="Q25644" s="8"/>
    </row>
    <row r="25645" spans="17:17" x14ac:dyDescent="0.25">
      <c r="Q25645" s="8"/>
    </row>
    <row r="25646" spans="17:17" x14ac:dyDescent="0.25">
      <c r="Q25646" s="8"/>
    </row>
    <row r="25647" spans="17:17" x14ac:dyDescent="0.25">
      <c r="Q25647" s="8"/>
    </row>
    <row r="25648" spans="17:17" x14ac:dyDescent="0.25">
      <c r="Q25648" s="8"/>
    </row>
    <row r="25649" spans="17:17" x14ac:dyDescent="0.25">
      <c r="Q25649" s="8"/>
    </row>
    <row r="25650" spans="17:17" x14ac:dyDescent="0.25">
      <c r="Q25650" s="8"/>
    </row>
    <row r="25651" spans="17:17" x14ac:dyDescent="0.25">
      <c r="Q25651" s="8"/>
    </row>
    <row r="25652" spans="17:17" x14ac:dyDescent="0.25">
      <c r="Q25652" s="8"/>
    </row>
    <row r="25653" spans="17:17" x14ac:dyDescent="0.25">
      <c r="Q25653" s="8"/>
    </row>
    <row r="25654" spans="17:17" x14ac:dyDescent="0.25">
      <c r="Q25654" s="8"/>
    </row>
    <row r="25655" spans="17:17" x14ac:dyDescent="0.25">
      <c r="Q25655" s="8"/>
    </row>
    <row r="25656" spans="17:17" x14ac:dyDescent="0.25">
      <c r="Q25656" s="8"/>
    </row>
    <row r="25657" spans="17:17" x14ac:dyDescent="0.25">
      <c r="Q25657" s="8"/>
    </row>
    <row r="25658" spans="17:17" x14ac:dyDescent="0.25">
      <c r="Q25658" s="8"/>
    </row>
    <row r="25659" spans="17:17" x14ac:dyDescent="0.25">
      <c r="Q25659" s="8"/>
    </row>
    <row r="25660" spans="17:17" x14ac:dyDescent="0.25">
      <c r="Q25660" s="8"/>
    </row>
    <row r="25661" spans="17:17" x14ac:dyDescent="0.25">
      <c r="Q25661" s="8"/>
    </row>
    <row r="25662" spans="17:17" x14ac:dyDescent="0.25">
      <c r="Q25662" s="8"/>
    </row>
    <row r="25663" spans="17:17" x14ac:dyDescent="0.25">
      <c r="Q25663" s="8"/>
    </row>
    <row r="25664" spans="17:17" x14ac:dyDescent="0.25">
      <c r="Q25664" s="8"/>
    </row>
    <row r="25665" spans="17:17" x14ac:dyDescent="0.25">
      <c r="Q25665" s="8"/>
    </row>
    <row r="25666" spans="17:17" x14ac:dyDescent="0.25">
      <c r="Q25666" s="8"/>
    </row>
    <row r="25667" spans="17:17" x14ac:dyDescent="0.25">
      <c r="Q25667" s="8"/>
    </row>
    <row r="25668" spans="17:17" x14ac:dyDescent="0.25">
      <c r="Q25668" s="8"/>
    </row>
    <row r="25669" spans="17:17" x14ac:dyDescent="0.25">
      <c r="Q25669" s="8"/>
    </row>
    <row r="25670" spans="17:17" x14ac:dyDescent="0.25">
      <c r="Q25670" s="8"/>
    </row>
    <row r="25671" spans="17:17" x14ac:dyDescent="0.25">
      <c r="Q25671" s="8"/>
    </row>
    <row r="25672" spans="17:17" x14ac:dyDescent="0.25">
      <c r="Q25672" s="8"/>
    </row>
    <row r="25673" spans="17:17" x14ac:dyDescent="0.25">
      <c r="Q25673" s="8"/>
    </row>
    <row r="25674" spans="17:17" x14ac:dyDescent="0.25">
      <c r="Q25674" s="8"/>
    </row>
    <row r="25675" spans="17:17" x14ac:dyDescent="0.25">
      <c r="Q25675" s="8"/>
    </row>
    <row r="25676" spans="17:17" x14ac:dyDescent="0.25">
      <c r="Q25676" s="8"/>
    </row>
    <row r="25677" spans="17:17" x14ac:dyDescent="0.25">
      <c r="Q25677" s="8"/>
    </row>
    <row r="25678" spans="17:17" x14ac:dyDescent="0.25">
      <c r="Q25678" s="8"/>
    </row>
    <row r="25679" spans="17:17" x14ac:dyDescent="0.25">
      <c r="Q25679" s="8"/>
    </row>
    <row r="25680" spans="17:17" x14ac:dyDescent="0.25">
      <c r="Q25680" s="8"/>
    </row>
    <row r="25681" spans="17:17" x14ac:dyDescent="0.25">
      <c r="Q25681" s="8"/>
    </row>
    <row r="25682" spans="17:17" x14ac:dyDescent="0.25">
      <c r="Q25682" s="8"/>
    </row>
    <row r="25683" spans="17:17" x14ac:dyDescent="0.25">
      <c r="Q25683" s="8"/>
    </row>
    <row r="25684" spans="17:17" x14ac:dyDescent="0.25">
      <c r="Q25684" s="8"/>
    </row>
    <row r="25685" spans="17:17" x14ac:dyDescent="0.25">
      <c r="Q25685" s="8"/>
    </row>
    <row r="25686" spans="17:17" x14ac:dyDescent="0.25">
      <c r="Q25686" s="8"/>
    </row>
    <row r="25687" spans="17:17" x14ac:dyDescent="0.25">
      <c r="Q25687" s="8"/>
    </row>
    <row r="25688" spans="17:17" x14ac:dyDescent="0.25">
      <c r="Q25688" s="8"/>
    </row>
    <row r="25689" spans="17:17" x14ac:dyDescent="0.25">
      <c r="Q25689" s="8"/>
    </row>
    <row r="25690" spans="17:17" x14ac:dyDescent="0.25">
      <c r="Q25690" s="8"/>
    </row>
    <row r="25691" spans="17:17" x14ac:dyDescent="0.25">
      <c r="Q25691" s="8"/>
    </row>
    <row r="25692" spans="17:17" x14ac:dyDescent="0.25">
      <c r="Q25692" s="8"/>
    </row>
    <row r="25693" spans="17:17" x14ac:dyDescent="0.25">
      <c r="Q25693" s="8"/>
    </row>
    <row r="25694" spans="17:17" x14ac:dyDescent="0.25">
      <c r="Q25694" s="8"/>
    </row>
    <row r="25695" spans="17:17" x14ac:dyDescent="0.25">
      <c r="Q25695" s="8"/>
    </row>
    <row r="25696" spans="17:17" x14ac:dyDescent="0.25">
      <c r="Q25696" s="8"/>
    </row>
    <row r="25697" spans="17:17" x14ac:dyDescent="0.25">
      <c r="Q25697" s="8"/>
    </row>
    <row r="25698" spans="17:17" x14ac:dyDescent="0.25">
      <c r="Q25698" s="8"/>
    </row>
    <row r="25699" spans="17:17" x14ac:dyDescent="0.25">
      <c r="Q25699" s="8"/>
    </row>
    <row r="25700" spans="17:17" x14ac:dyDescent="0.25">
      <c r="Q25700" s="8"/>
    </row>
    <row r="25701" spans="17:17" x14ac:dyDescent="0.25">
      <c r="Q25701" s="8"/>
    </row>
    <row r="25702" spans="17:17" x14ac:dyDescent="0.25">
      <c r="Q25702" s="8"/>
    </row>
    <row r="25703" spans="17:17" x14ac:dyDescent="0.25">
      <c r="Q25703" s="8"/>
    </row>
    <row r="25704" spans="17:17" x14ac:dyDescent="0.25">
      <c r="Q25704" s="8"/>
    </row>
    <row r="25705" spans="17:17" x14ac:dyDescent="0.25">
      <c r="Q25705" s="8"/>
    </row>
    <row r="25706" spans="17:17" x14ac:dyDescent="0.25">
      <c r="Q25706" s="8"/>
    </row>
    <row r="25707" spans="17:17" x14ac:dyDescent="0.25">
      <c r="Q25707" s="8"/>
    </row>
    <row r="25708" spans="17:17" x14ac:dyDescent="0.25">
      <c r="Q25708" s="8"/>
    </row>
    <row r="25709" spans="17:17" x14ac:dyDescent="0.25">
      <c r="Q25709" s="8"/>
    </row>
    <row r="25710" spans="17:17" x14ac:dyDescent="0.25">
      <c r="Q25710" s="8"/>
    </row>
    <row r="25711" spans="17:17" x14ac:dyDescent="0.25">
      <c r="Q25711" s="8"/>
    </row>
    <row r="25712" spans="17:17" x14ac:dyDescent="0.25">
      <c r="Q25712" s="8"/>
    </row>
    <row r="25713" spans="17:17" x14ac:dyDescent="0.25">
      <c r="Q25713" s="8"/>
    </row>
    <row r="25714" spans="17:17" x14ac:dyDescent="0.25">
      <c r="Q25714" s="8"/>
    </row>
    <row r="25715" spans="17:17" x14ac:dyDescent="0.25">
      <c r="Q25715" s="8"/>
    </row>
    <row r="25716" spans="17:17" x14ac:dyDescent="0.25">
      <c r="Q25716" s="8"/>
    </row>
    <row r="25717" spans="17:17" x14ac:dyDescent="0.25">
      <c r="Q25717" s="8"/>
    </row>
    <row r="25718" spans="17:17" x14ac:dyDescent="0.25">
      <c r="Q25718" s="8"/>
    </row>
    <row r="25719" spans="17:17" x14ac:dyDescent="0.25">
      <c r="Q25719" s="8"/>
    </row>
    <row r="25720" spans="17:17" x14ac:dyDescent="0.25">
      <c r="Q25720" s="8"/>
    </row>
    <row r="25721" spans="17:17" x14ac:dyDescent="0.25">
      <c r="Q25721" s="8"/>
    </row>
    <row r="25722" spans="17:17" x14ac:dyDescent="0.25">
      <c r="Q25722" s="8"/>
    </row>
    <row r="25723" spans="17:17" x14ac:dyDescent="0.25">
      <c r="Q25723" s="8"/>
    </row>
    <row r="25724" spans="17:17" x14ac:dyDescent="0.25">
      <c r="Q25724" s="8"/>
    </row>
    <row r="25725" spans="17:17" x14ac:dyDescent="0.25">
      <c r="Q25725" s="8"/>
    </row>
    <row r="25726" spans="17:17" x14ac:dyDescent="0.25">
      <c r="Q25726" s="8"/>
    </row>
    <row r="25727" spans="17:17" x14ac:dyDescent="0.25">
      <c r="Q25727" s="8"/>
    </row>
    <row r="25728" spans="17:17" x14ac:dyDescent="0.25">
      <c r="Q25728" s="8"/>
    </row>
    <row r="25729" spans="17:17" x14ac:dyDescent="0.25">
      <c r="Q25729" s="8"/>
    </row>
    <row r="25730" spans="17:17" x14ac:dyDescent="0.25">
      <c r="Q25730" s="8"/>
    </row>
    <row r="25731" spans="17:17" x14ac:dyDescent="0.25">
      <c r="Q25731" s="8"/>
    </row>
    <row r="25732" spans="17:17" x14ac:dyDescent="0.25">
      <c r="Q25732" s="8"/>
    </row>
    <row r="25733" spans="17:17" x14ac:dyDescent="0.25">
      <c r="Q25733" s="8"/>
    </row>
    <row r="25734" spans="17:17" x14ac:dyDescent="0.25">
      <c r="Q25734" s="8"/>
    </row>
    <row r="25735" spans="17:17" x14ac:dyDescent="0.25">
      <c r="Q25735" s="8"/>
    </row>
    <row r="25736" spans="17:17" x14ac:dyDescent="0.25">
      <c r="Q25736" s="8"/>
    </row>
    <row r="25737" spans="17:17" x14ac:dyDescent="0.25">
      <c r="Q25737" s="8"/>
    </row>
    <row r="25738" spans="17:17" x14ac:dyDescent="0.25">
      <c r="Q25738" s="8"/>
    </row>
    <row r="25739" spans="17:17" x14ac:dyDescent="0.25">
      <c r="Q25739" s="8"/>
    </row>
    <row r="25740" spans="17:17" x14ac:dyDescent="0.25">
      <c r="Q25740" s="8"/>
    </row>
    <row r="25741" spans="17:17" x14ac:dyDescent="0.25">
      <c r="Q25741" s="8"/>
    </row>
    <row r="25742" spans="17:17" x14ac:dyDescent="0.25">
      <c r="Q25742" s="8"/>
    </row>
    <row r="25743" spans="17:17" x14ac:dyDescent="0.25">
      <c r="Q25743" s="8"/>
    </row>
    <row r="25744" spans="17:17" x14ac:dyDescent="0.25">
      <c r="Q25744" s="8"/>
    </row>
    <row r="25745" spans="17:17" x14ac:dyDescent="0.25">
      <c r="Q25745" s="8"/>
    </row>
    <row r="25746" spans="17:17" x14ac:dyDescent="0.25">
      <c r="Q25746" s="8"/>
    </row>
    <row r="25747" spans="17:17" x14ac:dyDescent="0.25">
      <c r="Q25747" s="8"/>
    </row>
    <row r="25748" spans="17:17" x14ac:dyDescent="0.25">
      <c r="Q25748" s="8"/>
    </row>
    <row r="25749" spans="17:17" x14ac:dyDescent="0.25">
      <c r="Q25749" s="8"/>
    </row>
    <row r="25750" spans="17:17" x14ac:dyDescent="0.25">
      <c r="Q25750" s="8"/>
    </row>
    <row r="25751" spans="17:17" x14ac:dyDescent="0.25">
      <c r="Q25751" s="8"/>
    </row>
    <row r="25752" spans="17:17" x14ac:dyDescent="0.25">
      <c r="Q25752" s="8"/>
    </row>
    <row r="25753" spans="17:17" x14ac:dyDescent="0.25">
      <c r="Q25753" s="8"/>
    </row>
    <row r="25754" spans="17:17" x14ac:dyDescent="0.25">
      <c r="Q25754" s="8"/>
    </row>
    <row r="25755" spans="17:17" x14ac:dyDescent="0.25">
      <c r="Q25755" s="8"/>
    </row>
    <row r="25756" spans="17:17" x14ac:dyDescent="0.25">
      <c r="Q25756" s="8"/>
    </row>
    <row r="25757" spans="17:17" x14ac:dyDescent="0.25">
      <c r="Q25757" s="8"/>
    </row>
    <row r="25758" spans="17:17" x14ac:dyDescent="0.25">
      <c r="Q25758" s="8"/>
    </row>
    <row r="25759" spans="17:17" x14ac:dyDescent="0.25">
      <c r="Q25759" s="8"/>
    </row>
    <row r="25760" spans="17:17" x14ac:dyDescent="0.25">
      <c r="Q25760" s="8"/>
    </row>
    <row r="25761" spans="17:17" x14ac:dyDescent="0.25">
      <c r="Q25761" s="8"/>
    </row>
    <row r="25762" spans="17:17" x14ac:dyDescent="0.25">
      <c r="Q25762" s="8"/>
    </row>
    <row r="25763" spans="17:17" x14ac:dyDescent="0.25">
      <c r="Q25763" s="8"/>
    </row>
    <row r="25764" spans="17:17" x14ac:dyDescent="0.25">
      <c r="Q25764" s="8"/>
    </row>
    <row r="25765" spans="17:17" x14ac:dyDescent="0.25">
      <c r="Q25765" s="8"/>
    </row>
    <row r="25766" spans="17:17" x14ac:dyDescent="0.25">
      <c r="Q25766" s="8"/>
    </row>
    <row r="25767" spans="17:17" x14ac:dyDescent="0.25">
      <c r="Q25767" s="8"/>
    </row>
    <row r="25768" spans="17:17" x14ac:dyDescent="0.25">
      <c r="Q25768" s="8"/>
    </row>
    <row r="25769" spans="17:17" x14ac:dyDescent="0.25">
      <c r="Q25769" s="8"/>
    </row>
    <row r="25770" spans="17:17" x14ac:dyDescent="0.25">
      <c r="Q25770" s="8"/>
    </row>
    <row r="25771" spans="17:17" x14ac:dyDescent="0.25">
      <c r="Q25771" s="8"/>
    </row>
    <row r="25772" spans="17:17" x14ac:dyDescent="0.25">
      <c r="Q25772" s="8"/>
    </row>
    <row r="25773" spans="17:17" x14ac:dyDescent="0.25">
      <c r="Q25773" s="8"/>
    </row>
    <row r="25774" spans="17:17" x14ac:dyDescent="0.25">
      <c r="Q25774" s="8"/>
    </row>
    <row r="25775" spans="17:17" x14ac:dyDescent="0.25">
      <c r="Q25775" s="8"/>
    </row>
    <row r="25776" spans="17:17" x14ac:dyDescent="0.25">
      <c r="Q25776" s="8"/>
    </row>
    <row r="25777" spans="17:17" x14ac:dyDescent="0.25">
      <c r="Q25777" s="8"/>
    </row>
    <row r="25778" spans="17:17" x14ac:dyDescent="0.25">
      <c r="Q25778" s="8"/>
    </row>
    <row r="25779" spans="17:17" x14ac:dyDescent="0.25">
      <c r="Q25779" s="8"/>
    </row>
    <row r="25780" spans="17:17" x14ac:dyDescent="0.25">
      <c r="Q25780" s="8"/>
    </row>
    <row r="25781" spans="17:17" x14ac:dyDescent="0.25">
      <c r="Q25781" s="8"/>
    </row>
    <row r="25782" spans="17:17" x14ac:dyDescent="0.25">
      <c r="Q25782" s="8"/>
    </row>
    <row r="25783" spans="17:17" x14ac:dyDescent="0.25">
      <c r="Q25783" s="8"/>
    </row>
    <row r="25784" spans="17:17" x14ac:dyDescent="0.25">
      <c r="Q25784" s="8"/>
    </row>
    <row r="25785" spans="17:17" x14ac:dyDescent="0.25">
      <c r="Q25785" s="8"/>
    </row>
    <row r="25786" spans="17:17" x14ac:dyDescent="0.25">
      <c r="Q25786" s="8"/>
    </row>
    <row r="25787" spans="17:17" x14ac:dyDescent="0.25">
      <c r="Q25787" s="8"/>
    </row>
    <row r="25788" spans="17:17" x14ac:dyDescent="0.25">
      <c r="Q25788" s="8"/>
    </row>
    <row r="25789" spans="17:17" x14ac:dyDescent="0.25">
      <c r="Q25789" s="8"/>
    </row>
    <row r="25790" spans="17:17" x14ac:dyDescent="0.25">
      <c r="Q25790" s="8"/>
    </row>
    <row r="25791" spans="17:17" x14ac:dyDescent="0.25">
      <c r="Q25791" s="8"/>
    </row>
    <row r="25792" spans="17:17" x14ac:dyDescent="0.25">
      <c r="Q25792" s="8"/>
    </row>
    <row r="25793" spans="17:17" x14ac:dyDescent="0.25">
      <c r="Q25793" s="8"/>
    </row>
    <row r="25794" spans="17:17" x14ac:dyDescent="0.25">
      <c r="Q25794" s="8"/>
    </row>
    <row r="25795" spans="17:17" x14ac:dyDescent="0.25">
      <c r="Q25795" s="8"/>
    </row>
    <row r="25796" spans="17:17" x14ac:dyDescent="0.25">
      <c r="Q25796" s="8"/>
    </row>
    <row r="25797" spans="17:17" x14ac:dyDescent="0.25">
      <c r="Q25797" s="8"/>
    </row>
    <row r="25798" spans="17:17" x14ac:dyDescent="0.25">
      <c r="Q25798" s="8"/>
    </row>
    <row r="25799" spans="17:17" x14ac:dyDescent="0.25">
      <c r="Q25799" s="8"/>
    </row>
    <row r="25800" spans="17:17" x14ac:dyDescent="0.25">
      <c r="Q25800" s="8"/>
    </row>
    <row r="25801" spans="17:17" x14ac:dyDescent="0.25">
      <c r="Q25801" s="8"/>
    </row>
    <row r="25802" spans="17:17" x14ac:dyDescent="0.25">
      <c r="Q25802" s="8"/>
    </row>
    <row r="25803" spans="17:17" x14ac:dyDescent="0.25">
      <c r="Q25803" s="8"/>
    </row>
    <row r="25804" spans="17:17" x14ac:dyDescent="0.25">
      <c r="Q25804" s="8"/>
    </row>
    <row r="25805" spans="17:17" x14ac:dyDescent="0.25">
      <c r="Q25805" s="8"/>
    </row>
    <row r="25806" spans="17:17" x14ac:dyDescent="0.25">
      <c r="Q25806" s="8"/>
    </row>
    <row r="25807" spans="17:17" x14ac:dyDescent="0.25">
      <c r="Q25807" s="8"/>
    </row>
    <row r="25808" spans="17:17" x14ac:dyDescent="0.25">
      <c r="Q25808" s="8"/>
    </row>
    <row r="25809" spans="17:17" x14ac:dyDescent="0.25">
      <c r="Q25809" s="8"/>
    </row>
    <row r="25810" spans="17:17" x14ac:dyDescent="0.25">
      <c r="Q25810" s="8"/>
    </row>
    <row r="25811" spans="17:17" x14ac:dyDescent="0.25">
      <c r="Q25811" s="8"/>
    </row>
    <row r="25812" spans="17:17" x14ac:dyDescent="0.25">
      <c r="Q25812" s="8"/>
    </row>
    <row r="25813" spans="17:17" x14ac:dyDescent="0.25">
      <c r="Q25813" s="8"/>
    </row>
    <row r="25814" spans="17:17" x14ac:dyDescent="0.25">
      <c r="Q25814" s="8"/>
    </row>
    <row r="25815" spans="17:17" x14ac:dyDescent="0.25">
      <c r="Q25815" s="8"/>
    </row>
    <row r="25816" spans="17:17" x14ac:dyDescent="0.25">
      <c r="Q25816" s="8"/>
    </row>
    <row r="25817" spans="17:17" x14ac:dyDescent="0.25">
      <c r="Q25817" s="8"/>
    </row>
    <row r="25818" spans="17:17" x14ac:dyDescent="0.25">
      <c r="Q25818" s="8"/>
    </row>
    <row r="25819" spans="17:17" x14ac:dyDescent="0.25">
      <c r="Q25819" s="8"/>
    </row>
    <row r="25820" spans="17:17" x14ac:dyDescent="0.25">
      <c r="Q25820" s="8"/>
    </row>
    <row r="25821" spans="17:17" x14ac:dyDescent="0.25">
      <c r="Q25821" s="8"/>
    </row>
    <row r="25822" spans="17:17" x14ac:dyDescent="0.25">
      <c r="Q25822" s="8"/>
    </row>
    <row r="25823" spans="17:17" x14ac:dyDescent="0.25">
      <c r="Q25823" s="8"/>
    </row>
    <row r="25824" spans="17:17" x14ac:dyDescent="0.25">
      <c r="Q25824" s="8"/>
    </row>
    <row r="25825" spans="17:17" x14ac:dyDescent="0.25">
      <c r="Q25825" s="8"/>
    </row>
    <row r="25826" spans="17:17" x14ac:dyDescent="0.25">
      <c r="Q25826" s="8"/>
    </row>
    <row r="25827" spans="17:17" x14ac:dyDescent="0.25">
      <c r="Q25827" s="8"/>
    </row>
    <row r="25828" spans="17:17" x14ac:dyDescent="0.25">
      <c r="Q25828" s="8"/>
    </row>
    <row r="25829" spans="17:17" x14ac:dyDescent="0.25">
      <c r="Q25829" s="8"/>
    </row>
    <row r="25830" spans="17:17" x14ac:dyDescent="0.25">
      <c r="Q25830" s="8"/>
    </row>
    <row r="25831" spans="17:17" x14ac:dyDescent="0.25">
      <c r="Q25831" s="8"/>
    </row>
    <row r="25832" spans="17:17" x14ac:dyDescent="0.25">
      <c r="Q25832" s="8"/>
    </row>
    <row r="25833" spans="17:17" x14ac:dyDescent="0.25">
      <c r="Q25833" s="8"/>
    </row>
    <row r="25834" spans="17:17" x14ac:dyDescent="0.25">
      <c r="Q25834" s="8"/>
    </row>
    <row r="25835" spans="17:17" x14ac:dyDescent="0.25">
      <c r="Q25835" s="8"/>
    </row>
    <row r="25836" spans="17:17" x14ac:dyDescent="0.25">
      <c r="Q25836" s="8"/>
    </row>
    <row r="25837" spans="17:17" x14ac:dyDescent="0.25">
      <c r="Q25837" s="8"/>
    </row>
    <row r="25838" spans="17:17" x14ac:dyDescent="0.25">
      <c r="Q25838" s="8"/>
    </row>
    <row r="25839" spans="17:17" x14ac:dyDescent="0.25">
      <c r="Q25839" s="8"/>
    </row>
    <row r="25840" spans="17:17" x14ac:dyDescent="0.25">
      <c r="Q25840" s="8"/>
    </row>
    <row r="25841" spans="17:17" x14ac:dyDescent="0.25">
      <c r="Q25841" s="8"/>
    </row>
    <row r="25842" spans="17:17" x14ac:dyDescent="0.25">
      <c r="Q25842" s="8"/>
    </row>
    <row r="25843" spans="17:17" x14ac:dyDescent="0.25">
      <c r="Q25843" s="8"/>
    </row>
    <row r="25844" spans="17:17" x14ac:dyDescent="0.25">
      <c r="Q25844" s="8"/>
    </row>
    <row r="25845" spans="17:17" x14ac:dyDescent="0.25">
      <c r="Q25845" s="8"/>
    </row>
    <row r="25846" spans="17:17" x14ac:dyDescent="0.25">
      <c r="Q25846" s="8"/>
    </row>
    <row r="25847" spans="17:17" x14ac:dyDescent="0.25">
      <c r="Q25847" s="8"/>
    </row>
    <row r="25848" spans="17:17" x14ac:dyDescent="0.25">
      <c r="Q25848" s="8"/>
    </row>
    <row r="25849" spans="17:17" x14ac:dyDescent="0.25">
      <c r="Q25849" s="8"/>
    </row>
    <row r="25850" spans="17:17" x14ac:dyDescent="0.25">
      <c r="Q25850" s="8"/>
    </row>
    <row r="25851" spans="17:17" x14ac:dyDescent="0.25">
      <c r="Q25851" s="8"/>
    </row>
    <row r="25852" spans="17:17" x14ac:dyDescent="0.25">
      <c r="Q25852" s="8"/>
    </row>
    <row r="25853" spans="17:17" x14ac:dyDescent="0.25">
      <c r="Q25853" s="8"/>
    </row>
    <row r="25854" spans="17:17" x14ac:dyDescent="0.25">
      <c r="Q25854" s="8"/>
    </row>
    <row r="25855" spans="17:17" x14ac:dyDescent="0.25">
      <c r="Q25855" s="8"/>
    </row>
    <row r="25856" spans="17:17" x14ac:dyDescent="0.25">
      <c r="Q25856" s="8"/>
    </row>
    <row r="25857" spans="17:17" x14ac:dyDescent="0.25">
      <c r="Q25857" s="8"/>
    </row>
    <row r="25858" spans="17:17" x14ac:dyDescent="0.25">
      <c r="Q25858" s="8"/>
    </row>
    <row r="25859" spans="17:17" x14ac:dyDescent="0.25">
      <c r="Q25859" s="8"/>
    </row>
    <row r="25860" spans="17:17" x14ac:dyDescent="0.25">
      <c r="Q25860" s="8"/>
    </row>
    <row r="25861" spans="17:17" x14ac:dyDescent="0.25">
      <c r="Q25861" s="8"/>
    </row>
    <row r="25862" spans="17:17" x14ac:dyDescent="0.25">
      <c r="Q25862" s="8"/>
    </row>
    <row r="25863" spans="17:17" x14ac:dyDescent="0.25">
      <c r="Q25863" s="8"/>
    </row>
    <row r="25864" spans="17:17" x14ac:dyDescent="0.25">
      <c r="Q25864" s="8"/>
    </row>
    <row r="25865" spans="17:17" x14ac:dyDescent="0.25">
      <c r="Q25865" s="8"/>
    </row>
    <row r="25866" spans="17:17" x14ac:dyDescent="0.25">
      <c r="Q25866" s="8"/>
    </row>
    <row r="25867" spans="17:17" x14ac:dyDescent="0.25">
      <c r="Q25867" s="8"/>
    </row>
    <row r="25868" spans="17:17" x14ac:dyDescent="0.25">
      <c r="Q25868" s="8"/>
    </row>
    <row r="25869" spans="17:17" x14ac:dyDescent="0.25">
      <c r="Q25869" s="8"/>
    </row>
    <row r="25870" spans="17:17" x14ac:dyDescent="0.25">
      <c r="Q25870" s="8"/>
    </row>
    <row r="25871" spans="17:17" x14ac:dyDescent="0.25">
      <c r="Q25871" s="8"/>
    </row>
    <row r="25872" spans="17:17" x14ac:dyDescent="0.25">
      <c r="Q25872" s="8"/>
    </row>
    <row r="25873" spans="17:17" x14ac:dyDescent="0.25">
      <c r="Q25873" s="8"/>
    </row>
    <row r="25874" spans="17:17" x14ac:dyDescent="0.25">
      <c r="Q25874" s="8"/>
    </row>
    <row r="25875" spans="17:17" x14ac:dyDescent="0.25">
      <c r="Q25875" s="8"/>
    </row>
    <row r="25876" spans="17:17" x14ac:dyDescent="0.25">
      <c r="Q25876" s="8"/>
    </row>
    <row r="25877" spans="17:17" x14ac:dyDescent="0.25">
      <c r="Q25877" s="8"/>
    </row>
    <row r="25878" spans="17:17" x14ac:dyDescent="0.25">
      <c r="Q25878" s="8"/>
    </row>
    <row r="25879" spans="17:17" x14ac:dyDescent="0.25">
      <c r="Q25879" s="8"/>
    </row>
    <row r="25880" spans="17:17" x14ac:dyDescent="0.25">
      <c r="Q25880" s="8"/>
    </row>
    <row r="25881" spans="17:17" x14ac:dyDescent="0.25">
      <c r="Q25881" s="8"/>
    </row>
    <row r="25882" spans="17:17" x14ac:dyDescent="0.25">
      <c r="Q25882" s="8"/>
    </row>
    <row r="25883" spans="17:17" x14ac:dyDescent="0.25">
      <c r="Q25883" s="8"/>
    </row>
    <row r="25884" spans="17:17" x14ac:dyDescent="0.25">
      <c r="Q25884" s="8"/>
    </row>
    <row r="25885" spans="17:17" x14ac:dyDescent="0.25">
      <c r="Q25885" s="8"/>
    </row>
    <row r="25886" spans="17:17" x14ac:dyDescent="0.25">
      <c r="Q25886" s="8"/>
    </row>
    <row r="25887" spans="17:17" x14ac:dyDescent="0.25">
      <c r="Q25887" s="8"/>
    </row>
    <row r="25888" spans="17:17" x14ac:dyDescent="0.25">
      <c r="Q25888" s="8"/>
    </row>
    <row r="25889" spans="17:17" x14ac:dyDescent="0.25">
      <c r="Q25889" s="8"/>
    </row>
    <row r="25890" spans="17:17" x14ac:dyDescent="0.25">
      <c r="Q25890" s="8"/>
    </row>
    <row r="25891" spans="17:17" x14ac:dyDescent="0.25">
      <c r="Q25891" s="8"/>
    </row>
    <row r="25892" spans="17:17" x14ac:dyDescent="0.25">
      <c r="Q25892" s="8"/>
    </row>
    <row r="25893" spans="17:17" x14ac:dyDescent="0.25">
      <c r="Q25893" s="8"/>
    </row>
    <row r="25894" spans="17:17" x14ac:dyDescent="0.25">
      <c r="Q25894" s="8"/>
    </row>
    <row r="25895" spans="17:17" x14ac:dyDescent="0.25">
      <c r="Q25895" s="8"/>
    </row>
    <row r="25896" spans="17:17" x14ac:dyDescent="0.25">
      <c r="Q25896" s="8"/>
    </row>
    <row r="25897" spans="17:17" x14ac:dyDescent="0.25">
      <c r="Q25897" s="8"/>
    </row>
    <row r="25898" spans="17:17" x14ac:dyDescent="0.25">
      <c r="Q25898" s="8"/>
    </row>
    <row r="25899" spans="17:17" x14ac:dyDescent="0.25">
      <c r="Q25899" s="8"/>
    </row>
    <row r="25900" spans="17:17" x14ac:dyDescent="0.25">
      <c r="Q25900" s="8"/>
    </row>
    <row r="25901" spans="17:17" x14ac:dyDescent="0.25">
      <c r="Q25901" s="8"/>
    </row>
    <row r="25902" spans="17:17" x14ac:dyDescent="0.25">
      <c r="Q25902" s="8"/>
    </row>
    <row r="25903" spans="17:17" x14ac:dyDescent="0.25">
      <c r="Q25903" s="8"/>
    </row>
    <row r="25904" spans="17:17" x14ac:dyDescent="0.25">
      <c r="Q25904" s="8"/>
    </row>
    <row r="25905" spans="17:17" x14ac:dyDescent="0.25">
      <c r="Q25905" s="8"/>
    </row>
    <row r="25906" spans="17:17" x14ac:dyDescent="0.25">
      <c r="Q25906" s="8"/>
    </row>
    <row r="25907" spans="17:17" x14ac:dyDescent="0.25">
      <c r="Q25907" s="8"/>
    </row>
    <row r="25908" spans="17:17" x14ac:dyDescent="0.25">
      <c r="Q25908" s="8"/>
    </row>
    <row r="25909" spans="17:17" x14ac:dyDescent="0.25">
      <c r="Q25909" s="8"/>
    </row>
    <row r="25910" spans="17:17" x14ac:dyDescent="0.25">
      <c r="Q25910" s="8"/>
    </row>
    <row r="25911" spans="17:17" x14ac:dyDescent="0.25">
      <c r="Q25911" s="8"/>
    </row>
    <row r="25912" spans="17:17" x14ac:dyDescent="0.25">
      <c r="Q25912" s="8"/>
    </row>
    <row r="25913" spans="17:17" x14ac:dyDescent="0.25">
      <c r="Q25913" s="8"/>
    </row>
    <row r="25914" spans="17:17" x14ac:dyDescent="0.25">
      <c r="Q25914" s="8"/>
    </row>
    <row r="25915" spans="17:17" x14ac:dyDescent="0.25">
      <c r="Q25915" s="8"/>
    </row>
    <row r="25916" spans="17:17" x14ac:dyDescent="0.25">
      <c r="Q25916" s="8"/>
    </row>
    <row r="25917" spans="17:17" x14ac:dyDescent="0.25">
      <c r="Q25917" s="8"/>
    </row>
    <row r="25918" spans="17:17" x14ac:dyDescent="0.25">
      <c r="Q25918" s="8"/>
    </row>
    <row r="25919" spans="17:17" x14ac:dyDescent="0.25">
      <c r="Q25919" s="8"/>
    </row>
    <row r="25920" spans="17:17" x14ac:dyDescent="0.25">
      <c r="Q25920" s="8"/>
    </row>
    <row r="25921" spans="17:17" x14ac:dyDescent="0.25">
      <c r="Q25921" s="8"/>
    </row>
    <row r="25922" spans="17:17" x14ac:dyDescent="0.25">
      <c r="Q25922" s="8"/>
    </row>
    <row r="25923" spans="17:17" x14ac:dyDescent="0.25">
      <c r="Q25923" s="8"/>
    </row>
    <row r="25924" spans="17:17" x14ac:dyDescent="0.25">
      <c r="Q25924" s="8"/>
    </row>
    <row r="25925" spans="17:17" x14ac:dyDescent="0.25">
      <c r="Q25925" s="8"/>
    </row>
    <row r="25926" spans="17:17" x14ac:dyDescent="0.25">
      <c r="Q25926" s="8"/>
    </row>
    <row r="25927" spans="17:17" x14ac:dyDescent="0.25">
      <c r="Q25927" s="8"/>
    </row>
    <row r="25928" spans="17:17" x14ac:dyDescent="0.25">
      <c r="Q25928" s="8"/>
    </row>
    <row r="25929" spans="17:17" x14ac:dyDescent="0.25">
      <c r="Q25929" s="8"/>
    </row>
    <row r="25930" spans="17:17" x14ac:dyDescent="0.25">
      <c r="Q25930" s="8"/>
    </row>
    <row r="25931" spans="17:17" x14ac:dyDescent="0.25">
      <c r="Q25931" s="8"/>
    </row>
    <row r="25932" spans="17:17" x14ac:dyDescent="0.25">
      <c r="Q25932" s="8"/>
    </row>
    <row r="25933" spans="17:17" x14ac:dyDescent="0.25">
      <c r="Q25933" s="8"/>
    </row>
    <row r="25934" spans="17:17" x14ac:dyDescent="0.25">
      <c r="Q25934" s="8"/>
    </row>
    <row r="25935" spans="17:17" x14ac:dyDescent="0.25">
      <c r="Q25935" s="8"/>
    </row>
    <row r="25936" spans="17:17" x14ac:dyDescent="0.25">
      <c r="Q25936" s="8"/>
    </row>
    <row r="25937" spans="17:17" x14ac:dyDescent="0.25">
      <c r="Q25937" s="8"/>
    </row>
    <row r="25938" spans="17:17" x14ac:dyDescent="0.25">
      <c r="Q25938" s="8"/>
    </row>
    <row r="25939" spans="17:17" x14ac:dyDescent="0.25">
      <c r="Q25939" s="8"/>
    </row>
    <row r="25940" spans="17:17" x14ac:dyDescent="0.25">
      <c r="Q25940" s="8"/>
    </row>
    <row r="25941" spans="17:17" x14ac:dyDescent="0.25">
      <c r="Q25941" s="8"/>
    </row>
    <row r="25942" spans="17:17" x14ac:dyDescent="0.25">
      <c r="Q25942" s="8"/>
    </row>
    <row r="25943" spans="17:17" x14ac:dyDescent="0.25">
      <c r="Q25943" s="8"/>
    </row>
    <row r="25944" spans="17:17" x14ac:dyDescent="0.25">
      <c r="Q25944" s="8"/>
    </row>
    <row r="25945" spans="17:17" x14ac:dyDescent="0.25">
      <c r="Q25945" s="8"/>
    </row>
    <row r="25946" spans="17:17" x14ac:dyDescent="0.25">
      <c r="Q25946" s="8"/>
    </row>
    <row r="25947" spans="17:17" x14ac:dyDescent="0.25">
      <c r="Q25947" s="8"/>
    </row>
    <row r="25948" spans="17:17" x14ac:dyDescent="0.25">
      <c r="Q25948" s="8"/>
    </row>
    <row r="25949" spans="17:17" x14ac:dyDescent="0.25">
      <c r="Q25949" s="8"/>
    </row>
    <row r="25950" spans="17:17" x14ac:dyDescent="0.25">
      <c r="Q25950" s="8"/>
    </row>
    <row r="25951" spans="17:17" x14ac:dyDescent="0.25">
      <c r="Q25951" s="8"/>
    </row>
    <row r="25952" spans="17:17" x14ac:dyDescent="0.25">
      <c r="Q25952" s="8"/>
    </row>
    <row r="25953" spans="17:17" x14ac:dyDescent="0.25">
      <c r="Q25953" s="8"/>
    </row>
    <row r="25954" spans="17:17" x14ac:dyDescent="0.25">
      <c r="Q25954" s="8"/>
    </row>
    <row r="25955" spans="17:17" x14ac:dyDescent="0.25">
      <c r="Q25955" s="8"/>
    </row>
    <row r="25956" spans="17:17" x14ac:dyDescent="0.25">
      <c r="Q25956" s="8"/>
    </row>
    <row r="25957" spans="17:17" x14ac:dyDescent="0.25">
      <c r="Q25957" s="8"/>
    </row>
    <row r="25958" spans="17:17" x14ac:dyDescent="0.25">
      <c r="Q25958" s="8"/>
    </row>
    <row r="25959" spans="17:17" x14ac:dyDescent="0.25">
      <c r="Q25959" s="8"/>
    </row>
    <row r="25960" spans="17:17" x14ac:dyDescent="0.25">
      <c r="Q25960" s="8"/>
    </row>
    <row r="25961" spans="17:17" x14ac:dyDescent="0.25">
      <c r="Q25961" s="8"/>
    </row>
    <row r="25962" spans="17:17" x14ac:dyDescent="0.25">
      <c r="Q25962" s="8"/>
    </row>
    <row r="25963" spans="17:17" x14ac:dyDescent="0.25">
      <c r="Q25963" s="8"/>
    </row>
    <row r="25964" spans="17:17" x14ac:dyDescent="0.25">
      <c r="Q25964" s="8"/>
    </row>
    <row r="25965" spans="17:17" x14ac:dyDescent="0.25">
      <c r="Q25965" s="8"/>
    </row>
    <row r="25966" spans="17:17" x14ac:dyDescent="0.25">
      <c r="Q25966" s="8"/>
    </row>
    <row r="25967" spans="17:17" x14ac:dyDescent="0.25">
      <c r="Q25967" s="8"/>
    </row>
    <row r="25968" spans="17:17" x14ac:dyDescent="0.25">
      <c r="Q25968" s="8"/>
    </row>
    <row r="25969" spans="17:17" x14ac:dyDescent="0.25">
      <c r="Q25969" s="8"/>
    </row>
    <row r="25970" spans="17:17" x14ac:dyDescent="0.25">
      <c r="Q25970" s="8"/>
    </row>
    <row r="25971" spans="17:17" x14ac:dyDescent="0.25">
      <c r="Q25971" s="8"/>
    </row>
    <row r="25972" spans="17:17" x14ac:dyDescent="0.25">
      <c r="Q25972" s="8"/>
    </row>
    <row r="25973" spans="17:17" x14ac:dyDescent="0.25">
      <c r="Q25973" s="8"/>
    </row>
    <row r="25974" spans="17:17" x14ac:dyDescent="0.25">
      <c r="Q25974" s="8"/>
    </row>
    <row r="25975" spans="17:17" x14ac:dyDescent="0.25">
      <c r="Q25975" s="8"/>
    </row>
    <row r="25976" spans="17:17" x14ac:dyDescent="0.25">
      <c r="Q25976" s="8"/>
    </row>
    <row r="25977" spans="17:17" x14ac:dyDescent="0.25">
      <c r="Q25977" s="8"/>
    </row>
    <row r="25978" spans="17:17" x14ac:dyDescent="0.25">
      <c r="Q25978" s="8"/>
    </row>
    <row r="25979" spans="17:17" x14ac:dyDescent="0.25">
      <c r="Q25979" s="8"/>
    </row>
    <row r="25980" spans="17:17" x14ac:dyDescent="0.25">
      <c r="Q25980" s="8"/>
    </row>
    <row r="25981" spans="17:17" x14ac:dyDescent="0.25">
      <c r="Q25981" s="8"/>
    </row>
    <row r="25982" spans="17:17" x14ac:dyDescent="0.25">
      <c r="Q25982" s="8"/>
    </row>
    <row r="25983" spans="17:17" x14ac:dyDescent="0.25">
      <c r="Q25983" s="8"/>
    </row>
    <row r="25984" spans="17:17" x14ac:dyDescent="0.25">
      <c r="Q25984" s="8"/>
    </row>
    <row r="25985" spans="17:17" x14ac:dyDescent="0.25">
      <c r="Q25985" s="8"/>
    </row>
    <row r="25986" spans="17:17" x14ac:dyDescent="0.25">
      <c r="Q25986" s="8"/>
    </row>
    <row r="25987" spans="17:17" x14ac:dyDescent="0.25">
      <c r="Q25987" s="8"/>
    </row>
    <row r="25988" spans="17:17" x14ac:dyDescent="0.25">
      <c r="Q25988" s="8"/>
    </row>
    <row r="25989" spans="17:17" x14ac:dyDescent="0.25">
      <c r="Q25989" s="8"/>
    </row>
    <row r="25990" spans="17:17" x14ac:dyDescent="0.25">
      <c r="Q25990" s="8"/>
    </row>
    <row r="25991" spans="17:17" x14ac:dyDescent="0.25">
      <c r="Q25991" s="8"/>
    </row>
    <row r="25992" spans="17:17" x14ac:dyDescent="0.25">
      <c r="Q25992" s="8"/>
    </row>
    <row r="25993" spans="17:17" x14ac:dyDescent="0.25">
      <c r="Q25993" s="8"/>
    </row>
    <row r="25994" spans="17:17" x14ac:dyDescent="0.25">
      <c r="Q25994" s="8"/>
    </row>
    <row r="25995" spans="17:17" x14ac:dyDescent="0.25">
      <c r="Q25995" s="8"/>
    </row>
    <row r="25996" spans="17:17" x14ac:dyDescent="0.25">
      <c r="Q25996" s="8"/>
    </row>
    <row r="25997" spans="17:17" x14ac:dyDescent="0.25">
      <c r="Q25997" s="8"/>
    </row>
    <row r="25998" spans="17:17" x14ac:dyDescent="0.25">
      <c r="Q25998" s="8"/>
    </row>
    <row r="25999" spans="17:17" x14ac:dyDescent="0.25">
      <c r="Q25999" s="8"/>
    </row>
    <row r="26000" spans="17:17" x14ac:dyDescent="0.25">
      <c r="Q26000" s="8"/>
    </row>
    <row r="26001" spans="17:17" x14ac:dyDescent="0.25">
      <c r="Q26001" s="8"/>
    </row>
    <row r="26002" spans="17:17" x14ac:dyDescent="0.25">
      <c r="Q26002" s="8"/>
    </row>
    <row r="26003" spans="17:17" x14ac:dyDescent="0.25">
      <c r="Q26003" s="8"/>
    </row>
    <row r="26004" spans="17:17" x14ac:dyDescent="0.25">
      <c r="Q26004" s="8"/>
    </row>
    <row r="26005" spans="17:17" x14ac:dyDescent="0.25">
      <c r="Q26005" s="8"/>
    </row>
    <row r="26006" spans="17:17" x14ac:dyDescent="0.25">
      <c r="Q26006" s="8"/>
    </row>
    <row r="26007" spans="17:17" x14ac:dyDescent="0.25">
      <c r="Q26007" s="8"/>
    </row>
    <row r="26008" spans="17:17" x14ac:dyDescent="0.25">
      <c r="Q26008" s="8"/>
    </row>
    <row r="26009" spans="17:17" x14ac:dyDescent="0.25">
      <c r="Q26009" s="8"/>
    </row>
    <row r="26010" spans="17:17" x14ac:dyDescent="0.25">
      <c r="Q26010" s="8"/>
    </row>
    <row r="26011" spans="17:17" x14ac:dyDescent="0.25">
      <c r="Q26011" s="8"/>
    </row>
    <row r="26012" spans="17:17" x14ac:dyDescent="0.25">
      <c r="Q26012" s="8"/>
    </row>
    <row r="26013" spans="17:17" x14ac:dyDescent="0.25">
      <c r="Q26013" s="8"/>
    </row>
    <row r="26014" spans="17:17" x14ac:dyDescent="0.25">
      <c r="Q26014" s="8"/>
    </row>
    <row r="26015" spans="17:17" x14ac:dyDescent="0.25">
      <c r="Q26015" s="8"/>
    </row>
    <row r="26016" spans="17:17" x14ac:dyDescent="0.25">
      <c r="Q26016" s="8"/>
    </row>
    <row r="26017" spans="17:17" x14ac:dyDescent="0.25">
      <c r="Q26017" s="8"/>
    </row>
    <row r="26018" spans="17:17" x14ac:dyDescent="0.25">
      <c r="Q26018" s="8"/>
    </row>
    <row r="26019" spans="17:17" x14ac:dyDescent="0.25">
      <c r="Q26019" s="8"/>
    </row>
    <row r="26020" spans="17:17" x14ac:dyDescent="0.25">
      <c r="Q26020" s="8"/>
    </row>
    <row r="26021" spans="17:17" x14ac:dyDescent="0.25">
      <c r="Q26021" s="8"/>
    </row>
    <row r="26022" spans="17:17" x14ac:dyDescent="0.25">
      <c r="Q26022" s="8"/>
    </row>
    <row r="26023" spans="17:17" x14ac:dyDescent="0.25">
      <c r="Q26023" s="8"/>
    </row>
    <row r="26024" spans="17:17" x14ac:dyDescent="0.25">
      <c r="Q26024" s="8"/>
    </row>
    <row r="26025" spans="17:17" x14ac:dyDescent="0.25">
      <c r="Q26025" s="8"/>
    </row>
    <row r="26026" spans="17:17" x14ac:dyDescent="0.25">
      <c r="Q26026" s="8"/>
    </row>
    <row r="26027" spans="17:17" x14ac:dyDescent="0.25">
      <c r="Q26027" s="8"/>
    </row>
    <row r="26028" spans="17:17" x14ac:dyDescent="0.25">
      <c r="Q26028" s="8"/>
    </row>
    <row r="26029" spans="17:17" x14ac:dyDescent="0.25">
      <c r="Q26029" s="8"/>
    </row>
    <row r="26030" spans="17:17" x14ac:dyDescent="0.25">
      <c r="Q26030" s="8"/>
    </row>
    <row r="26031" spans="17:17" x14ac:dyDescent="0.25">
      <c r="Q26031" s="8"/>
    </row>
    <row r="26032" spans="17:17" x14ac:dyDescent="0.25">
      <c r="Q26032" s="8"/>
    </row>
    <row r="26033" spans="17:17" x14ac:dyDescent="0.25">
      <c r="Q26033" s="8"/>
    </row>
    <row r="26034" spans="17:17" x14ac:dyDescent="0.25">
      <c r="Q26034" s="8"/>
    </row>
    <row r="26035" spans="17:17" x14ac:dyDescent="0.25">
      <c r="Q26035" s="8"/>
    </row>
    <row r="26036" spans="17:17" x14ac:dyDescent="0.25">
      <c r="Q26036" s="8"/>
    </row>
    <row r="26037" spans="17:17" x14ac:dyDescent="0.25">
      <c r="Q26037" s="8"/>
    </row>
    <row r="26038" spans="17:17" x14ac:dyDescent="0.25">
      <c r="Q26038" s="8"/>
    </row>
    <row r="26039" spans="17:17" x14ac:dyDescent="0.25">
      <c r="Q26039" s="8"/>
    </row>
    <row r="26040" spans="17:17" x14ac:dyDescent="0.25">
      <c r="Q26040" s="8"/>
    </row>
    <row r="26041" spans="17:17" x14ac:dyDescent="0.25">
      <c r="Q26041" s="8"/>
    </row>
    <row r="26042" spans="17:17" x14ac:dyDescent="0.25">
      <c r="Q26042" s="8"/>
    </row>
    <row r="26043" spans="17:17" x14ac:dyDescent="0.25">
      <c r="Q26043" s="8"/>
    </row>
    <row r="26044" spans="17:17" x14ac:dyDescent="0.25">
      <c r="Q26044" s="8"/>
    </row>
    <row r="26045" spans="17:17" x14ac:dyDescent="0.25">
      <c r="Q26045" s="8"/>
    </row>
    <row r="26046" spans="17:17" x14ac:dyDescent="0.25">
      <c r="Q26046" s="8"/>
    </row>
    <row r="26047" spans="17:17" x14ac:dyDescent="0.25">
      <c r="Q26047" s="8"/>
    </row>
    <row r="26048" spans="17:17" x14ac:dyDescent="0.25">
      <c r="Q26048" s="8"/>
    </row>
    <row r="26049" spans="17:17" x14ac:dyDescent="0.25">
      <c r="Q26049" s="8"/>
    </row>
    <row r="26050" spans="17:17" x14ac:dyDescent="0.25">
      <c r="Q26050" s="8"/>
    </row>
    <row r="26051" spans="17:17" x14ac:dyDescent="0.25">
      <c r="Q26051" s="8"/>
    </row>
    <row r="26052" spans="17:17" x14ac:dyDescent="0.25">
      <c r="Q26052" s="8"/>
    </row>
    <row r="26053" spans="17:17" x14ac:dyDescent="0.25">
      <c r="Q26053" s="8"/>
    </row>
    <row r="26054" spans="17:17" x14ac:dyDescent="0.25">
      <c r="Q26054" s="8"/>
    </row>
    <row r="26055" spans="17:17" x14ac:dyDescent="0.25">
      <c r="Q26055" s="8"/>
    </row>
    <row r="26056" spans="17:17" x14ac:dyDescent="0.25">
      <c r="Q26056" s="8"/>
    </row>
    <row r="26057" spans="17:17" x14ac:dyDescent="0.25">
      <c r="Q26057" s="8"/>
    </row>
    <row r="26058" spans="17:17" x14ac:dyDescent="0.25">
      <c r="Q26058" s="8"/>
    </row>
    <row r="26059" spans="17:17" x14ac:dyDescent="0.25">
      <c r="Q26059" s="8"/>
    </row>
    <row r="26060" spans="17:17" x14ac:dyDescent="0.25">
      <c r="Q26060" s="8"/>
    </row>
    <row r="26061" spans="17:17" x14ac:dyDescent="0.25">
      <c r="Q26061" s="8"/>
    </row>
    <row r="26062" spans="17:17" x14ac:dyDescent="0.25">
      <c r="Q26062" s="8"/>
    </row>
    <row r="26063" spans="17:17" x14ac:dyDescent="0.25">
      <c r="Q26063" s="8"/>
    </row>
    <row r="26064" spans="17:17" x14ac:dyDescent="0.25">
      <c r="Q26064" s="8"/>
    </row>
    <row r="26065" spans="17:17" x14ac:dyDescent="0.25">
      <c r="Q26065" s="8"/>
    </row>
    <row r="26066" spans="17:17" x14ac:dyDescent="0.25">
      <c r="Q26066" s="8"/>
    </row>
    <row r="26067" spans="17:17" x14ac:dyDescent="0.25">
      <c r="Q26067" s="8"/>
    </row>
    <row r="26068" spans="17:17" x14ac:dyDescent="0.25">
      <c r="Q26068" s="8"/>
    </row>
    <row r="26069" spans="17:17" x14ac:dyDescent="0.25">
      <c r="Q26069" s="8"/>
    </row>
    <row r="26070" spans="17:17" x14ac:dyDescent="0.25">
      <c r="Q26070" s="8"/>
    </row>
    <row r="26071" spans="17:17" x14ac:dyDescent="0.25">
      <c r="Q26071" s="8"/>
    </row>
    <row r="26072" spans="17:17" x14ac:dyDescent="0.25">
      <c r="Q26072" s="8"/>
    </row>
    <row r="26073" spans="17:17" x14ac:dyDescent="0.25">
      <c r="Q26073" s="8"/>
    </row>
    <row r="26074" spans="17:17" x14ac:dyDescent="0.25">
      <c r="Q26074" s="8"/>
    </row>
    <row r="26075" spans="17:17" x14ac:dyDescent="0.25">
      <c r="Q26075" s="8"/>
    </row>
    <row r="26076" spans="17:17" x14ac:dyDescent="0.25">
      <c r="Q26076" s="8"/>
    </row>
    <row r="26077" spans="17:17" x14ac:dyDescent="0.25">
      <c r="Q26077" s="8"/>
    </row>
    <row r="26078" spans="17:17" x14ac:dyDescent="0.25">
      <c r="Q26078" s="8"/>
    </row>
    <row r="26079" spans="17:17" x14ac:dyDescent="0.25">
      <c r="Q26079" s="8"/>
    </row>
    <row r="26080" spans="17:17" x14ac:dyDescent="0.25">
      <c r="Q26080" s="8"/>
    </row>
    <row r="26081" spans="17:17" x14ac:dyDescent="0.25">
      <c r="Q26081" s="8"/>
    </row>
    <row r="26082" spans="17:17" x14ac:dyDescent="0.25">
      <c r="Q26082" s="8"/>
    </row>
    <row r="26083" spans="17:17" x14ac:dyDescent="0.25">
      <c r="Q26083" s="8"/>
    </row>
    <row r="26084" spans="17:17" x14ac:dyDescent="0.25">
      <c r="Q26084" s="8"/>
    </row>
    <row r="26085" spans="17:17" x14ac:dyDescent="0.25">
      <c r="Q26085" s="8"/>
    </row>
    <row r="26086" spans="17:17" x14ac:dyDescent="0.25">
      <c r="Q26086" s="8"/>
    </row>
    <row r="26087" spans="17:17" x14ac:dyDescent="0.25">
      <c r="Q26087" s="8"/>
    </row>
    <row r="26088" spans="17:17" x14ac:dyDescent="0.25">
      <c r="Q26088" s="8"/>
    </row>
    <row r="26089" spans="17:17" x14ac:dyDescent="0.25">
      <c r="Q26089" s="8"/>
    </row>
    <row r="26090" spans="17:17" x14ac:dyDescent="0.25">
      <c r="Q26090" s="8"/>
    </row>
    <row r="26091" spans="17:17" x14ac:dyDescent="0.25">
      <c r="Q26091" s="8"/>
    </row>
    <row r="26092" spans="17:17" x14ac:dyDescent="0.25">
      <c r="Q26092" s="8"/>
    </row>
    <row r="26093" spans="17:17" x14ac:dyDescent="0.25">
      <c r="Q26093" s="8"/>
    </row>
    <row r="26094" spans="17:17" x14ac:dyDescent="0.25">
      <c r="Q26094" s="8"/>
    </row>
    <row r="26095" spans="17:17" x14ac:dyDescent="0.25">
      <c r="Q26095" s="8"/>
    </row>
    <row r="26096" spans="17:17" x14ac:dyDescent="0.25">
      <c r="Q26096" s="8"/>
    </row>
    <row r="26097" spans="17:17" x14ac:dyDescent="0.25">
      <c r="Q26097" s="8"/>
    </row>
    <row r="26098" spans="17:17" x14ac:dyDescent="0.25">
      <c r="Q26098" s="8"/>
    </row>
    <row r="26099" spans="17:17" x14ac:dyDescent="0.25">
      <c r="Q26099" s="8"/>
    </row>
    <row r="26100" spans="17:17" x14ac:dyDescent="0.25">
      <c r="Q26100" s="8"/>
    </row>
    <row r="26101" spans="17:17" x14ac:dyDescent="0.25">
      <c r="Q26101" s="8"/>
    </row>
    <row r="26102" spans="17:17" x14ac:dyDescent="0.25">
      <c r="Q26102" s="8"/>
    </row>
    <row r="26103" spans="17:17" x14ac:dyDescent="0.25">
      <c r="Q26103" s="8"/>
    </row>
    <row r="26104" spans="17:17" x14ac:dyDescent="0.25">
      <c r="Q26104" s="8"/>
    </row>
    <row r="26105" spans="17:17" x14ac:dyDescent="0.25">
      <c r="Q26105" s="8"/>
    </row>
    <row r="26106" spans="17:17" x14ac:dyDescent="0.25">
      <c r="Q26106" s="8"/>
    </row>
    <row r="26107" spans="17:17" x14ac:dyDescent="0.25">
      <c r="Q26107" s="8"/>
    </row>
    <row r="26108" spans="17:17" x14ac:dyDescent="0.25">
      <c r="Q26108" s="8"/>
    </row>
    <row r="26109" spans="17:17" x14ac:dyDescent="0.25">
      <c r="Q26109" s="8"/>
    </row>
    <row r="26110" spans="17:17" x14ac:dyDescent="0.25">
      <c r="Q26110" s="8"/>
    </row>
    <row r="26111" spans="17:17" x14ac:dyDescent="0.25">
      <c r="Q26111" s="8"/>
    </row>
    <row r="26112" spans="17:17" x14ac:dyDescent="0.25">
      <c r="Q26112" s="8"/>
    </row>
    <row r="26113" spans="17:17" x14ac:dyDescent="0.25">
      <c r="Q26113" s="8"/>
    </row>
    <row r="26114" spans="17:17" x14ac:dyDescent="0.25">
      <c r="Q26114" s="8"/>
    </row>
    <row r="26115" spans="17:17" x14ac:dyDescent="0.25">
      <c r="Q26115" s="8"/>
    </row>
    <row r="26116" spans="17:17" x14ac:dyDescent="0.25">
      <c r="Q26116" s="8"/>
    </row>
    <row r="26117" spans="17:17" x14ac:dyDescent="0.25">
      <c r="Q26117" s="8"/>
    </row>
    <row r="26118" spans="17:17" x14ac:dyDescent="0.25">
      <c r="Q26118" s="8"/>
    </row>
    <row r="26119" spans="17:17" x14ac:dyDescent="0.25">
      <c r="Q26119" s="8"/>
    </row>
    <row r="26120" spans="17:17" x14ac:dyDescent="0.25">
      <c r="Q26120" s="8"/>
    </row>
    <row r="26121" spans="17:17" x14ac:dyDescent="0.25">
      <c r="Q26121" s="8"/>
    </row>
    <row r="26122" spans="17:17" x14ac:dyDescent="0.25">
      <c r="Q26122" s="8"/>
    </row>
    <row r="26123" spans="17:17" x14ac:dyDescent="0.25">
      <c r="Q26123" s="8"/>
    </row>
    <row r="26124" spans="17:17" x14ac:dyDescent="0.25">
      <c r="Q26124" s="8"/>
    </row>
    <row r="26125" spans="17:17" x14ac:dyDescent="0.25">
      <c r="Q26125" s="8"/>
    </row>
    <row r="26126" spans="17:17" x14ac:dyDescent="0.25">
      <c r="Q26126" s="8"/>
    </row>
    <row r="26127" spans="17:17" x14ac:dyDescent="0.25">
      <c r="Q26127" s="8"/>
    </row>
    <row r="26128" spans="17:17" x14ac:dyDescent="0.25">
      <c r="Q26128" s="8"/>
    </row>
    <row r="26129" spans="17:17" x14ac:dyDescent="0.25">
      <c r="Q26129" s="8"/>
    </row>
    <row r="26130" spans="17:17" x14ac:dyDescent="0.25">
      <c r="Q26130" s="8"/>
    </row>
    <row r="26131" spans="17:17" x14ac:dyDescent="0.25">
      <c r="Q26131" s="8"/>
    </row>
    <row r="26132" spans="17:17" x14ac:dyDescent="0.25">
      <c r="Q26132" s="8"/>
    </row>
    <row r="26133" spans="17:17" x14ac:dyDescent="0.25">
      <c r="Q26133" s="8"/>
    </row>
    <row r="26134" spans="17:17" x14ac:dyDescent="0.25">
      <c r="Q26134" s="8"/>
    </row>
    <row r="26135" spans="17:17" x14ac:dyDescent="0.25">
      <c r="Q26135" s="8"/>
    </row>
    <row r="26136" spans="17:17" x14ac:dyDescent="0.25">
      <c r="Q26136" s="8"/>
    </row>
    <row r="26137" spans="17:17" x14ac:dyDescent="0.25">
      <c r="Q26137" s="8"/>
    </row>
    <row r="26138" spans="17:17" x14ac:dyDescent="0.25">
      <c r="Q26138" s="8"/>
    </row>
    <row r="26139" spans="17:17" x14ac:dyDescent="0.25">
      <c r="Q26139" s="8"/>
    </row>
    <row r="26140" spans="17:17" x14ac:dyDescent="0.25">
      <c r="Q26140" s="8"/>
    </row>
    <row r="26141" spans="17:17" x14ac:dyDescent="0.25">
      <c r="Q26141" s="8"/>
    </row>
    <row r="26142" spans="17:17" x14ac:dyDescent="0.25">
      <c r="Q26142" s="8"/>
    </row>
    <row r="26143" spans="17:17" x14ac:dyDescent="0.25">
      <c r="Q26143" s="8"/>
    </row>
    <row r="26144" spans="17:17" x14ac:dyDescent="0.25">
      <c r="Q26144" s="8"/>
    </row>
    <row r="26145" spans="17:17" x14ac:dyDescent="0.25">
      <c r="Q26145" s="8"/>
    </row>
    <row r="26146" spans="17:17" x14ac:dyDescent="0.25">
      <c r="Q26146" s="8"/>
    </row>
    <row r="26147" spans="17:17" x14ac:dyDescent="0.25">
      <c r="Q26147" s="8"/>
    </row>
    <row r="26148" spans="17:17" x14ac:dyDescent="0.25">
      <c r="Q26148" s="8"/>
    </row>
    <row r="26149" spans="17:17" x14ac:dyDescent="0.25">
      <c r="Q26149" s="8"/>
    </row>
    <row r="26150" spans="17:17" x14ac:dyDescent="0.25">
      <c r="Q26150" s="8"/>
    </row>
    <row r="26151" spans="17:17" x14ac:dyDescent="0.25">
      <c r="Q26151" s="8"/>
    </row>
    <row r="26152" spans="17:17" x14ac:dyDescent="0.25">
      <c r="Q26152" s="8"/>
    </row>
    <row r="26153" spans="17:17" x14ac:dyDescent="0.25">
      <c r="Q26153" s="8"/>
    </row>
    <row r="26154" spans="17:17" x14ac:dyDescent="0.25">
      <c r="Q26154" s="8"/>
    </row>
    <row r="26155" spans="17:17" x14ac:dyDescent="0.25">
      <c r="Q26155" s="8"/>
    </row>
    <row r="26156" spans="17:17" x14ac:dyDescent="0.25">
      <c r="Q26156" s="8"/>
    </row>
    <row r="26157" spans="17:17" x14ac:dyDescent="0.25">
      <c r="Q26157" s="8"/>
    </row>
    <row r="26158" spans="17:17" x14ac:dyDescent="0.25">
      <c r="Q26158" s="8"/>
    </row>
    <row r="26159" spans="17:17" x14ac:dyDescent="0.25">
      <c r="Q26159" s="8"/>
    </row>
    <row r="26160" spans="17:17" x14ac:dyDescent="0.25">
      <c r="Q26160" s="8"/>
    </row>
    <row r="26161" spans="17:17" x14ac:dyDescent="0.25">
      <c r="Q26161" s="8"/>
    </row>
    <row r="26162" spans="17:17" x14ac:dyDescent="0.25">
      <c r="Q26162" s="8"/>
    </row>
    <row r="26163" spans="17:17" x14ac:dyDescent="0.25">
      <c r="Q26163" s="8"/>
    </row>
    <row r="26164" spans="17:17" x14ac:dyDescent="0.25">
      <c r="Q26164" s="8"/>
    </row>
    <row r="26165" spans="17:17" x14ac:dyDescent="0.25">
      <c r="Q26165" s="8"/>
    </row>
    <row r="26166" spans="17:17" x14ac:dyDescent="0.25">
      <c r="Q26166" s="8"/>
    </row>
    <row r="26167" spans="17:17" x14ac:dyDescent="0.25">
      <c r="Q26167" s="8"/>
    </row>
    <row r="26168" spans="17:17" x14ac:dyDescent="0.25">
      <c r="Q26168" s="8"/>
    </row>
    <row r="26169" spans="17:17" x14ac:dyDescent="0.25">
      <c r="Q26169" s="8"/>
    </row>
    <row r="26170" spans="17:17" x14ac:dyDescent="0.25">
      <c r="Q26170" s="8"/>
    </row>
    <row r="26171" spans="17:17" x14ac:dyDescent="0.25">
      <c r="Q26171" s="8"/>
    </row>
    <row r="26172" spans="17:17" x14ac:dyDescent="0.25">
      <c r="Q26172" s="8"/>
    </row>
    <row r="26173" spans="17:17" x14ac:dyDescent="0.25">
      <c r="Q26173" s="8"/>
    </row>
    <row r="26174" spans="17:17" x14ac:dyDescent="0.25">
      <c r="Q26174" s="8"/>
    </row>
    <row r="26175" spans="17:17" x14ac:dyDescent="0.25">
      <c r="Q26175" s="8"/>
    </row>
    <row r="26176" spans="17:17" x14ac:dyDescent="0.25">
      <c r="Q26176" s="8"/>
    </row>
    <row r="26177" spans="17:17" x14ac:dyDescent="0.25">
      <c r="Q26177" s="8"/>
    </row>
    <row r="26178" spans="17:17" x14ac:dyDescent="0.25">
      <c r="Q26178" s="8"/>
    </row>
    <row r="26179" spans="17:17" x14ac:dyDescent="0.25">
      <c r="Q26179" s="8"/>
    </row>
    <row r="26180" spans="17:17" x14ac:dyDescent="0.25">
      <c r="Q26180" s="8"/>
    </row>
    <row r="26181" spans="17:17" x14ac:dyDescent="0.25">
      <c r="Q26181" s="8"/>
    </row>
    <row r="26182" spans="17:17" x14ac:dyDescent="0.25">
      <c r="Q26182" s="8"/>
    </row>
    <row r="26183" spans="17:17" x14ac:dyDescent="0.25">
      <c r="Q26183" s="8"/>
    </row>
    <row r="26184" spans="17:17" x14ac:dyDescent="0.25">
      <c r="Q26184" s="8"/>
    </row>
    <row r="26185" spans="17:17" x14ac:dyDescent="0.25">
      <c r="Q26185" s="8"/>
    </row>
    <row r="26186" spans="17:17" x14ac:dyDescent="0.25">
      <c r="Q26186" s="8"/>
    </row>
    <row r="26187" spans="17:17" x14ac:dyDescent="0.25">
      <c r="Q26187" s="8"/>
    </row>
    <row r="26188" spans="17:17" x14ac:dyDescent="0.25">
      <c r="Q26188" s="8"/>
    </row>
    <row r="26189" spans="17:17" x14ac:dyDescent="0.25">
      <c r="Q26189" s="8"/>
    </row>
    <row r="26190" spans="17:17" x14ac:dyDescent="0.25">
      <c r="Q26190" s="8"/>
    </row>
    <row r="26191" spans="17:17" x14ac:dyDescent="0.25">
      <c r="Q26191" s="8"/>
    </row>
    <row r="26192" spans="17:17" x14ac:dyDescent="0.25">
      <c r="Q26192" s="8"/>
    </row>
    <row r="26193" spans="17:17" x14ac:dyDescent="0.25">
      <c r="Q26193" s="8"/>
    </row>
    <row r="26194" spans="17:17" x14ac:dyDescent="0.25">
      <c r="Q26194" s="8"/>
    </row>
    <row r="26195" spans="17:17" x14ac:dyDescent="0.25">
      <c r="Q26195" s="8"/>
    </row>
    <row r="26196" spans="17:17" x14ac:dyDescent="0.25">
      <c r="Q26196" s="8"/>
    </row>
    <row r="26197" spans="17:17" x14ac:dyDescent="0.25">
      <c r="Q26197" s="8"/>
    </row>
    <row r="26198" spans="17:17" x14ac:dyDescent="0.25">
      <c r="Q26198" s="8"/>
    </row>
    <row r="26199" spans="17:17" x14ac:dyDescent="0.25">
      <c r="Q26199" s="8"/>
    </row>
    <row r="26200" spans="17:17" x14ac:dyDescent="0.25">
      <c r="Q26200" s="8"/>
    </row>
    <row r="26201" spans="17:17" x14ac:dyDescent="0.25">
      <c r="Q26201" s="8"/>
    </row>
    <row r="26202" spans="17:17" x14ac:dyDescent="0.25">
      <c r="Q26202" s="8"/>
    </row>
    <row r="26203" spans="17:17" x14ac:dyDescent="0.25">
      <c r="Q26203" s="8"/>
    </row>
    <row r="26204" spans="17:17" x14ac:dyDescent="0.25">
      <c r="Q26204" s="8"/>
    </row>
    <row r="26205" spans="17:17" x14ac:dyDescent="0.25">
      <c r="Q26205" s="8"/>
    </row>
    <row r="26206" spans="17:17" x14ac:dyDescent="0.25">
      <c r="Q26206" s="8"/>
    </row>
    <row r="26207" spans="17:17" x14ac:dyDescent="0.25">
      <c r="Q26207" s="8"/>
    </row>
    <row r="26208" spans="17:17" x14ac:dyDescent="0.25">
      <c r="Q26208" s="8"/>
    </row>
    <row r="26209" spans="17:17" x14ac:dyDescent="0.25">
      <c r="Q26209" s="8"/>
    </row>
    <row r="26210" spans="17:17" x14ac:dyDescent="0.25">
      <c r="Q26210" s="8"/>
    </row>
    <row r="26211" spans="17:17" x14ac:dyDescent="0.25">
      <c r="Q26211" s="8"/>
    </row>
    <row r="26212" spans="17:17" x14ac:dyDescent="0.25">
      <c r="Q26212" s="8"/>
    </row>
    <row r="26213" spans="17:17" x14ac:dyDescent="0.25">
      <c r="Q26213" s="8"/>
    </row>
    <row r="26214" spans="17:17" x14ac:dyDescent="0.25">
      <c r="Q26214" s="8"/>
    </row>
    <row r="26215" spans="17:17" x14ac:dyDescent="0.25">
      <c r="Q26215" s="8"/>
    </row>
    <row r="26216" spans="17:17" x14ac:dyDescent="0.25">
      <c r="Q26216" s="8"/>
    </row>
    <row r="26217" spans="17:17" x14ac:dyDescent="0.25">
      <c r="Q26217" s="8"/>
    </row>
    <row r="26218" spans="17:17" x14ac:dyDescent="0.25">
      <c r="Q26218" s="8"/>
    </row>
    <row r="26219" spans="17:17" x14ac:dyDescent="0.25">
      <c r="Q26219" s="8"/>
    </row>
    <row r="26220" spans="17:17" x14ac:dyDescent="0.25">
      <c r="Q26220" s="8"/>
    </row>
    <row r="26221" spans="17:17" x14ac:dyDescent="0.25">
      <c r="Q26221" s="8"/>
    </row>
    <row r="26222" spans="17:17" x14ac:dyDescent="0.25">
      <c r="Q26222" s="8"/>
    </row>
    <row r="26223" spans="17:17" x14ac:dyDescent="0.25">
      <c r="Q26223" s="8"/>
    </row>
    <row r="26224" spans="17:17" x14ac:dyDescent="0.25">
      <c r="Q26224" s="8"/>
    </row>
    <row r="26225" spans="17:17" x14ac:dyDescent="0.25">
      <c r="Q26225" s="8"/>
    </row>
    <row r="26226" spans="17:17" x14ac:dyDescent="0.25">
      <c r="Q26226" s="8"/>
    </row>
    <row r="26227" spans="17:17" x14ac:dyDescent="0.25">
      <c r="Q26227" s="8"/>
    </row>
    <row r="26228" spans="17:17" x14ac:dyDescent="0.25">
      <c r="Q26228" s="8"/>
    </row>
    <row r="26229" spans="17:17" x14ac:dyDescent="0.25">
      <c r="Q26229" s="8"/>
    </row>
    <row r="26230" spans="17:17" x14ac:dyDescent="0.25">
      <c r="Q26230" s="8"/>
    </row>
    <row r="26231" spans="17:17" x14ac:dyDescent="0.25">
      <c r="Q26231" s="8"/>
    </row>
    <row r="26232" spans="17:17" x14ac:dyDescent="0.25">
      <c r="Q26232" s="8"/>
    </row>
    <row r="26233" spans="17:17" x14ac:dyDescent="0.25">
      <c r="Q26233" s="8"/>
    </row>
    <row r="26234" spans="17:17" x14ac:dyDescent="0.25">
      <c r="Q26234" s="8"/>
    </row>
    <row r="26235" spans="17:17" x14ac:dyDescent="0.25">
      <c r="Q26235" s="8"/>
    </row>
    <row r="26236" spans="17:17" x14ac:dyDescent="0.25">
      <c r="Q26236" s="8"/>
    </row>
    <row r="26237" spans="17:17" x14ac:dyDescent="0.25">
      <c r="Q26237" s="8"/>
    </row>
    <row r="26238" spans="17:17" x14ac:dyDescent="0.25">
      <c r="Q26238" s="8"/>
    </row>
    <row r="26239" spans="17:17" x14ac:dyDescent="0.25">
      <c r="Q26239" s="8"/>
    </row>
    <row r="26240" spans="17:17" x14ac:dyDescent="0.25">
      <c r="Q26240" s="8"/>
    </row>
    <row r="26241" spans="17:17" x14ac:dyDescent="0.25">
      <c r="Q26241" s="8"/>
    </row>
    <row r="26242" spans="17:17" x14ac:dyDescent="0.25">
      <c r="Q26242" s="8"/>
    </row>
    <row r="26243" spans="17:17" x14ac:dyDescent="0.25">
      <c r="Q26243" s="8"/>
    </row>
    <row r="26244" spans="17:17" x14ac:dyDescent="0.25">
      <c r="Q26244" s="8"/>
    </row>
    <row r="26245" spans="17:17" x14ac:dyDescent="0.25">
      <c r="Q26245" s="8"/>
    </row>
    <row r="26246" spans="17:17" x14ac:dyDescent="0.25">
      <c r="Q26246" s="8"/>
    </row>
    <row r="26247" spans="17:17" x14ac:dyDescent="0.25">
      <c r="Q26247" s="8"/>
    </row>
    <row r="26248" spans="17:17" x14ac:dyDescent="0.25">
      <c r="Q26248" s="8"/>
    </row>
    <row r="26249" spans="17:17" x14ac:dyDescent="0.25">
      <c r="Q26249" s="8"/>
    </row>
    <row r="26250" spans="17:17" x14ac:dyDescent="0.25">
      <c r="Q26250" s="8"/>
    </row>
    <row r="26251" spans="17:17" x14ac:dyDescent="0.25">
      <c r="Q26251" s="8"/>
    </row>
    <row r="26252" spans="17:17" x14ac:dyDescent="0.25">
      <c r="Q26252" s="8"/>
    </row>
    <row r="26253" spans="17:17" x14ac:dyDescent="0.25">
      <c r="Q26253" s="8"/>
    </row>
    <row r="26254" spans="17:17" x14ac:dyDescent="0.25">
      <c r="Q26254" s="8"/>
    </row>
    <row r="26255" spans="17:17" x14ac:dyDescent="0.25">
      <c r="Q26255" s="8"/>
    </row>
    <row r="26256" spans="17:17" x14ac:dyDescent="0.25">
      <c r="Q26256" s="8"/>
    </row>
    <row r="26257" spans="17:17" x14ac:dyDescent="0.25">
      <c r="Q26257" s="8"/>
    </row>
    <row r="26258" spans="17:17" x14ac:dyDescent="0.25">
      <c r="Q26258" s="8"/>
    </row>
    <row r="26259" spans="17:17" x14ac:dyDescent="0.25">
      <c r="Q26259" s="8"/>
    </row>
    <row r="26260" spans="17:17" x14ac:dyDescent="0.25">
      <c r="Q26260" s="8"/>
    </row>
    <row r="26261" spans="17:17" x14ac:dyDescent="0.25">
      <c r="Q26261" s="8"/>
    </row>
    <row r="26262" spans="17:17" x14ac:dyDescent="0.25">
      <c r="Q26262" s="8"/>
    </row>
    <row r="26263" spans="17:17" x14ac:dyDescent="0.25">
      <c r="Q26263" s="8"/>
    </row>
    <row r="26264" spans="17:17" x14ac:dyDescent="0.25">
      <c r="Q26264" s="8"/>
    </row>
    <row r="26265" spans="17:17" x14ac:dyDescent="0.25">
      <c r="Q26265" s="8"/>
    </row>
    <row r="26266" spans="17:17" x14ac:dyDescent="0.25">
      <c r="Q26266" s="8"/>
    </row>
    <row r="26267" spans="17:17" x14ac:dyDescent="0.25">
      <c r="Q26267" s="8"/>
    </row>
    <row r="26268" spans="17:17" x14ac:dyDescent="0.25">
      <c r="Q26268" s="8"/>
    </row>
    <row r="26269" spans="17:17" x14ac:dyDescent="0.25">
      <c r="Q26269" s="8"/>
    </row>
    <row r="26270" spans="17:17" x14ac:dyDescent="0.25">
      <c r="Q26270" s="8"/>
    </row>
    <row r="26271" spans="17:17" x14ac:dyDescent="0.25">
      <c r="Q26271" s="8"/>
    </row>
    <row r="26272" spans="17:17" x14ac:dyDescent="0.25">
      <c r="Q26272" s="8"/>
    </row>
    <row r="26273" spans="17:17" x14ac:dyDescent="0.25">
      <c r="Q26273" s="8"/>
    </row>
    <row r="26274" spans="17:17" x14ac:dyDescent="0.25">
      <c r="Q26274" s="8"/>
    </row>
    <row r="26275" spans="17:17" x14ac:dyDescent="0.25">
      <c r="Q26275" s="8"/>
    </row>
    <row r="26276" spans="17:17" x14ac:dyDescent="0.25">
      <c r="Q26276" s="8"/>
    </row>
    <row r="26277" spans="17:17" x14ac:dyDescent="0.25">
      <c r="Q26277" s="8"/>
    </row>
    <row r="26278" spans="17:17" x14ac:dyDescent="0.25">
      <c r="Q26278" s="8"/>
    </row>
    <row r="26279" spans="17:17" x14ac:dyDescent="0.25">
      <c r="Q26279" s="8"/>
    </row>
    <row r="26280" spans="17:17" x14ac:dyDescent="0.25">
      <c r="Q26280" s="8"/>
    </row>
    <row r="26281" spans="17:17" x14ac:dyDescent="0.25">
      <c r="Q26281" s="8"/>
    </row>
    <row r="26282" spans="17:17" x14ac:dyDescent="0.25">
      <c r="Q26282" s="8"/>
    </row>
    <row r="26283" spans="17:17" x14ac:dyDescent="0.25">
      <c r="Q26283" s="8"/>
    </row>
    <row r="26284" spans="17:17" x14ac:dyDescent="0.25">
      <c r="Q26284" s="8"/>
    </row>
    <row r="26285" spans="17:17" x14ac:dyDescent="0.25">
      <c r="Q26285" s="8"/>
    </row>
    <row r="26286" spans="17:17" x14ac:dyDescent="0.25">
      <c r="Q26286" s="8"/>
    </row>
    <row r="26287" spans="17:17" x14ac:dyDescent="0.25">
      <c r="Q26287" s="8"/>
    </row>
    <row r="26288" spans="17:17" x14ac:dyDescent="0.25">
      <c r="Q26288" s="8"/>
    </row>
    <row r="26289" spans="17:17" x14ac:dyDescent="0.25">
      <c r="Q26289" s="8"/>
    </row>
    <row r="26290" spans="17:17" x14ac:dyDescent="0.25">
      <c r="Q26290" s="8"/>
    </row>
    <row r="26291" spans="17:17" x14ac:dyDescent="0.25">
      <c r="Q26291" s="8"/>
    </row>
    <row r="26292" spans="17:17" x14ac:dyDescent="0.25">
      <c r="Q26292" s="8"/>
    </row>
    <row r="26293" spans="17:17" x14ac:dyDescent="0.25">
      <c r="Q26293" s="8"/>
    </row>
    <row r="26294" spans="17:17" x14ac:dyDescent="0.25">
      <c r="Q26294" s="8"/>
    </row>
    <row r="26295" spans="17:17" x14ac:dyDescent="0.25">
      <c r="Q26295" s="8"/>
    </row>
    <row r="26296" spans="17:17" x14ac:dyDescent="0.25">
      <c r="Q26296" s="8"/>
    </row>
    <row r="26297" spans="17:17" x14ac:dyDescent="0.25">
      <c r="Q26297" s="8"/>
    </row>
    <row r="26298" spans="17:17" x14ac:dyDescent="0.25">
      <c r="Q26298" s="8"/>
    </row>
    <row r="26299" spans="17:17" x14ac:dyDescent="0.25">
      <c r="Q26299" s="8"/>
    </row>
    <row r="26300" spans="17:17" x14ac:dyDescent="0.25">
      <c r="Q26300" s="8"/>
    </row>
    <row r="26301" spans="17:17" x14ac:dyDescent="0.25">
      <c r="Q26301" s="8"/>
    </row>
    <row r="26302" spans="17:17" x14ac:dyDescent="0.25">
      <c r="Q26302" s="8"/>
    </row>
    <row r="26303" spans="17:17" x14ac:dyDescent="0.25">
      <c r="Q26303" s="8"/>
    </row>
    <row r="26304" spans="17:17" x14ac:dyDescent="0.25">
      <c r="Q26304" s="8"/>
    </row>
    <row r="26305" spans="17:17" x14ac:dyDescent="0.25">
      <c r="Q26305" s="8"/>
    </row>
    <row r="26306" spans="17:17" x14ac:dyDescent="0.25">
      <c r="Q26306" s="8"/>
    </row>
    <row r="26307" spans="17:17" x14ac:dyDescent="0.25">
      <c r="Q26307" s="8"/>
    </row>
    <row r="26308" spans="17:17" x14ac:dyDescent="0.25">
      <c r="Q26308" s="8"/>
    </row>
    <row r="26309" spans="17:17" x14ac:dyDescent="0.25">
      <c r="Q26309" s="8"/>
    </row>
    <row r="26310" spans="17:17" x14ac:dyDescent="0.25">
      <c r="Q26310" s="8"/>
    </row>
    <row r="26311" spans="17:17" x14ac:dyDescent="0.25">
      <c r="Q26311" s="8"/>
    </row>
    <row r="26312" spans="17:17" x14ac:dyDescent="0.25">
      <c r="Q26312" s="8"/>
    </row>
    <row r="26313" spans="17:17" x14ac:dyDescent="0.25">
      <c r="Q26313" s="8"/>
    </row>
    <row r="26314" spans="17:17" x14ac:dyDescent="0.25">
      <c r="Q26314" s="8"/>
    </row>
    <row r="26315" spans="17:17" x14ac:dyDescent="0.25">
      <c r="Q26315" s="8"/>
    </row>
    <row r="26316" spans="17:17" x14ac:dyDescent="0.25">
      <c r="Q26316" s="8"/>
    </row>
    <row r="26317" spans="17:17" x14ac:dyDescent="0.25">
      <c r="Q26317" s="8"/>
    </row>
    <row r="26318" spans="17:17" x14ac:dyDescent="0.25">
      <c r="Q26318" s="8"/>
    </row>
    <row r="26319" spans="17:17" x14ac:dyDescent="0.25">
      <c r="Q26319" s="8"/>
    </row>
    <row r="26320" spans="17:17" x14ac:dyDescent="0.25">
      <c r="Q26320" s="8"/>
    </row>
    <row r="26321" spans="17:17" x14ac:dyDescent="0.25">
      <c r="Q26321" s="8"/>
    </row>
    <row r="26322" spans="17:17" x14ac:dyDescent="0.25">
      <c r="Q26322" s="8"/>
    </row>
    <row r="26323" spans="17:17" x14ac:dyDescent="0.25">
      <c r="Q26323" s="8"/>
    </row>
    <row r="26324" spans="17:17" x14ac:dyDescent="0.25">
      <c r="Q26324" s="8"/>
    </row>
    <row r="26325" spans="17:17" x14ac:dyDescent="0.25">
      <c r="Q26325" s="8"/>
    </row>
    <row r="26326" spans="17:17" x14ac:dyDescent="0.25">
      <c r="Q26326" s="8"/>
    </row>
    <row r="26327" spans="17:17" x14ac:dyDescent="0.25">
      <c r="Q26327" s="8"/>
    </row>
    <row r="26328" spans="17:17" x14ac:dyDescent="0.25">
      <c r="Q26328" s="8"/>
    </row>
    <row r="26329" spans="17:17" x14ac:dyDescent="0.25">
      <c r="Q26329" s="8"/>
    </row>
    <row r="26330" spans="17:17" x14ac:dyDescent="0.25">
      <c r="Q26330" s="8"/>
    </row>
    <row r="26331" spans="17:17" x14ac:dyDescent="0.25">
      <c r="Q26331" s="8"/>
    </row>
    <row r="26332" spans="17:17" x14ac:dyDescent="0.25">
      <c r="Q26332" s="8"/>
    </row>
    <row r="26333" spans="17:17" x14ac:dyDescent="0.25">
      <c r="Q26333" s="8"/>
    </row>
    <row r="26334" spans="17:17" x14ac:dyDescent="0.25">
      <c r="Q26334" s="8"/>
    </row>
    <row r="26335" spans="17:17" x14ac:dyDescent="0.25">
      <c r="Q26335" s="8"/>
    </row>
    <row r="26336" spans="17:17" x14ac:dyDescent="0.25">
      <c r="Q26336" s="8"/>
    </row>
    <row r="26337" spans="17:17" x14ac:dyDescent="0.25">
      <c r="Q26337" s="8"/>
    </row>
    <row r="26338" spans="17:17" x14ac:dyDescent="0.25">
      <c r="Q26338" s="8"/>
    </row>
    <row r="26339" spans="17:17" x14ac:dyDescent="0.25">
      <c r="Q26339" s="8"/>
    </row>
    <row r="26340" spans="17:17" x14ac:dyDescent="0.25">
      <c r="Q26340" s="8"/>
    </row>
    <row r="26341" spans="17:17" x14ac:dyDescent="0.25">
      <c r="Q26341" s="8"/>
    </row>
    <row r="26342" spans="17:17" x14ac:dyDescent="0.25">
      <c r="Q26342" s="8"/>
    </row>
    <row r="26343" spans="17:17" x14ac:dyDescent="0.25">
      <c r="Q26343" s="8"/>
    </row>
    <row r="26344" spans="17:17" x14ac:dyDescent="0.25">
      <c r="Q26344" s="8"/>
    </row>
    <row r="26345" spans="17:17" x14ac:dyDescent="0.25">
      <c r="Q26345" s="8"/>
    </row>
    <row r="26346" spans="17:17" x14ac:dyDescent="0.25">
      <c r="Q26346" s="8"/>
    </row>
    <row r="26347" spans="17:17" x14ac:dyDescent="0.25">
      <c r="Q26347" s="8"/>
    </row>
    <row r="26348" spans="17:17" x14ac:dyDescent="0.25">
      <c r="Q26348" s="8"/>
    </row>
    <row r="26349" spans="17:17" x14ac:dyDescent="0.25">
      <c r="Q26349" s="8"/>
    </row>
    <row r="26350" spans="17:17" x14ac:dyDescent="0.25">
      <c r="Q26350" s="8"/>
    </row>
    <row r="26351" spans="17:17" x14ac:dyDescent="0.25">
      <c r="Q26351" s="8"/>
    </row>
    <row r="26352" spans="17:17" x14ac:dyDescent="0.25">
      <c r="Q26352" s="8"/>
    </row>
    <row r="26353" spans="17:17" x14ac:dyDescent="0.25">
      <c r="Q26353" s="8"/>
    </row>
    <row r="26354" spans="17:17" x14ac:dyDescent="0.25">
      <c r="Q26354" s="8"/>
    </row>
    <row r="26355" spans="17:17" x14ac:dyDescent="0.25">
      <c r="Q26355" s="8"/>
    </row>
    <row r="26356" spans="17:17" x14ac:dyDescent="0.25">
      <c r="Q26356" s="8"/>
    </row>
    <row r="26357" spans="17:17" x14ac:dyDescent="0.25">
      <c r="Q26357" s="8"/>
    </row>
    <row r="26358" spans="17:17" x14ac:dyDescent="0.25">
      <c r="Q26358" s="8"/>
    </row>
    <row r="26359" spans="17:17" x14ac:dyDescent="0.25">
      <c r="Q26359" s="8"/>
    </row>
    <row r="26360" spans="17:17" x14ac:dyDescent="0.25">
      <c r="Q26360" s="8"/>
    </row>
    <row r="26361" spans="17:17" x14ac:dyDescent="0.25">
      <c r="Q26361" s="8"/>
    </row>
    <row r="26362" spans="17:17" x14ac:dyDescent="0.25">
      <c r="Q26362" s="8"/>
    </row>
    <row r="26363" spans="17:17" x14ac:dyDescent="0.25">
      <c r="Q26363" s="8"/>
    </row>
    <row r="26364" spans="17:17" x14ac:dyDescent="0.25">
      <c r="Q26364" s="8"/>
    </row>
    <row r="26365" spans="17:17" x14ac:dyDescent="0.25">
      <c r="Q26365" s="8"/>
    </row>
    <row r="26366" spans="17:17" x14ac:dyDescent="0.25">
      <c r="Q26366" s="8"/>
    </row>
    <row r="26367" spans="17:17" x14ac:dyDescent="0.25">
      <c r="Q26367" s="8"/>
    </row>
    <row r="26368" spans="17:17" x14ac:dyDescent="0.25">
      <c r="Q26368" s="8"/>
    </row>
    <row r="26369" spans="17:17" x14ac:dyDescent="0.25">
      <c r="Q26369" s="8"/>
    </row>
    <row r="26370" spans="17:17" x14ac:dyDescent="0.25">
      <c r="Q26370" s="8"/>
    </row>
    <row r="26371" spans="17:17" x14ac:dyDescent="0.25">
      <c r="Q26371" s="8"/>
    </row>
    <row r="26372" spans="17:17" x14ac:dyDescent="0.25">
      <c r="Q26372" s="8"/>
    </row>
    <row r="26373" spans="17:17" x14ac:dyDescent="0.25">
      <c r="Q26373" s="8"/>
    </row>
    <row r="26374" spans="17:17" x14ac:dyDescent="0.25">
      <c r="Q26374" s="8"/>
    </row>
    <row r="26375" spans="17:17" x14ac:dyDescent="0.25">
      <c r="Q26375" s="8"/>
    </row>
    <row r="26376" spans="17:17" x14ac:dyDescent="0.25">
      <c r="Q26376" s="8"/>
    </row>
    <row r="26377" spans="17:17" x14ac:dyDescent="0.25">
      <c r="Q26377" s="8"/>
    </row>
    <row r="26378" spans="17:17" x14ac:dyDescent="0.25">
      <c r="Q26378" s="8"/>
    </row>
    <row r="26379" spans="17:17" x14ac:dyDescent="0.25">
      <c r="Q26379" s="8"/>
    </row>
    <row r="26380" spans="17:17" x14ac:dyDescent="0.25">
      <c r="Q26380" s="8"/>
    </row>
    <row r="26381" spans="17:17" x14ac:dyDescent="0.25">
      <c r="Q26381" s="8"/>
    </row>
    <row r="26382" spans="17:17" x14ac:dyDescent="0.25">
      <c r="Q26382" s="8"/>
    </row>
    <row r="26383" spans="17:17" x14ac:dyDescent="0.25">
      <c r="Q26383" s="8"/>
    </row>
    <row r="26384" spans="17:17" x14ac:dyDescent="0.25">
      <c r="Q26384" s="8"/>
    </row>
    <row r="26385" spans="17:17" x14ac:dyDescent="0.25">
      <c r="Q26385" s="8"/>
    </row>
    <row r="26386" spans="17:17" x14ac:dyDescent="0.25">
      <c r="Q26386" s="8"/>
    </row>
    <row r="26387" spans="17:17" x14ac:dyDescent="0.25">
      <c r="Q26387" s="8"/>
    </row>
    <row r="26388" spans="17:17" x14ac:dyDescent="0.25">
      <c r="Q26388" s="8"/>
    </row>
    <row r="26389" spans="17:17" x14ac:dyDescent="0.25">
      <c r="Q26389" s="8"/>
    </row>
    <row r="26390" spans="17:17" x14ac:dyDescent="0.25">
      <c r="Q26390" s="8"/>
    </row>
    <row r="26391" spans="17:17" x14ac:dyDescent="0.25">
      <c r="Q26391" s="8"/>
    </row>
    <row r="26392" spans="17:17" x14ac:dyDescent="0.25">
      <c r="Q26392" s="8"/>
    </row>
    <row r="26393" spans="17:17" x14ac:dyDescent="0.25">
      <c r="Q26393" s="8"/>
    </row>
    <row r="26394" spans="17:17" x14ac:dyDescent="0.25">
      <c r="Q26394" s="8"/>
    </row>
    <row r="26395" spans="17:17" x14ac:dyDescent="0.25">
      <c r="Q26395" s="8"/>
    </row>
    <row r="26396" spans="17:17" x14ac:dyDescent="0.25">
      <c r="Q26396" s="8"/>
    </row>
    <row r="26397" spans="17:17" x14ac:dyDescent="0.25">
      <c r="Q26397" s="8"/>
    </row>
    <row r="26398" spans="17:17" x14ac:dyDescent="0.25">
      <c r="Q26398" s="8"/>
    </row>
    <row r="26399" spans="17:17" x14ac:dyDescent="0.25">
      <c r="Q26399" s="8"/>
    </row>
    <row r="26400" spans="17:17" x14ac:dyDescent="0.25">
      <c r="Q26400" s="8"/>
    </row>
    <row r="26401" spans="17:17" x14ac:dyDescent="0.25">
      <c r="Q26401" s="8"/>
    </row>
    <row r="26402" spans="17:17" x14ac:dyDescent="0.25">
      <c r="Q26402" s="8"/>
    </row>
    <row r="26403" spans="17:17" x14ac:dyDescent="0.25">
      <c r="Q26403" s="8"/>
    </row>
    <row r="26404" spans="17:17" x14ac:dyDescent="0.25">
      <c r="Q26404" s="8"/>
    </row>
    <row r="26405" spans="17:17" x14ac:dyDescent="0.25">
      <c r="Q26405" s="8"/>
    </row>
    <row r="26406" spans="17:17" x14ac:dyDescent="0.25">
      <c r="Q26406" s="8"/>
    </row>
    <row r="26407" spans="17:17" x14ac:dyDescent="0.25">
      <c r="Q26407" s="8"/>
    </row>
    <row r="26408" spans="17:17" x14ac:dyDescent="0.25">
      <c r="Q26408" s="8"/>
    </row>
    <row r="26409" spans="17:17" x14ac:dyDescent="0.25">
      <c r="Q26409" s="8"/>
    </row>
    <row r="26410" spans="17:17" x14ac:dyDescent="0.25">
      <c r="Q26410" s="8"/>
    </row>
    <row r="26411" spans="17:17" x14ac:dyDescent="0.25">
      <c r="Q26411" s="8"/>
    </row>
    <row r="26412" spans="17:17" x14ac:dyDescent="0.25">
      <c r="Q26412" s="8"/>
    </row>
    <row r="26413" spans="17:17" x14ac:dyDescent="0.25">
      <c r="Q26413" s="8"/>
    </row>
    <row r="26414" spans="17:17" x14ac:dyDescent="0.25">
      <c r="Q26414" s="8"/>
    </row>
    <row r="26415" spans="17:17" x14ac:dyDescent="0.25">
      <c r="Q26415" s="8"/>
    </row>
    <row r="26416" spans="17:17" x14ac:dyDescent="0.25">
      <c r="Q26416" s="8"/>
    </row>
    <row r="26417" spans="17:17" x14ac:dyDescent="0.25">
      <c r="Q26417" s="8"/>
    </row>
    <row r="26418" spans="17:17" x14ac:dyDescent="0.25">
      <c r="Q26418" s="8"/>
    </row>
    <row r="26419" spans="17:17" x14ac:dyDescent="0.25">
      <c r="Q26419" s="8"/>
    </row>
    <row r="26420" spans="17:17" x14ac:dyDescent="0.25">
      <c r="Q26420" s="8"/>
    </row>
    <row r="26421" spans="17:17" x14ac:dyDescent="0.25">
      <c r="Q26421" s="8"/>
    </row>
    <row r="26422" spans="17:17" x14ac:dyDescent="0.25">
      <c r="Q26422" s="8"/>
    </row>
    <row r="26423" spans="17:17" x14ac:dyDescent="0.25">
      <c r="Q26423" s="8"/>
    </row>
    <row r="26424" spans="17:17" x14ac:dyDescent="0.25">
      <c r="Q26424" s="8"/>
    </row>
    <row r="26425" spans="17:17" x14ac:dyDescent="0.25">
      <c r="Q26425" s="8"/>
    </row>
    <row r="26426" spans="17:17" x14ac:dyDescent="0.25">
      <c r="Q26426" s="8"/>
    </row>
    <row r="26427" spans="17:17" x14ac:dyDescent="0.25">
      <c r="Q26427" s="8"/>
    </row>
    <row r="26428" spans="17:17" x14ac:dyDescent="0.25">
      <c r="Q26428" s="8"/>
    </row>
    <row r="26429" spans="17:17" x14ac:dyDescent="0.25">
      <c r="Q26429" s="8"/>
    </row>
    <row r="26430" spans="17:17" x14ac:dyDescent="0.25">
      <c r="Q26430" s="8"/>
    </row>
    <row r="26431" spans="17:17" x14ac:dyDescent="0.25">
      <c r="Q26431" s="8"/>
    </row>
    <row r="26432" spans="17:17" x14ac:dyDescent="0.25">
      <c r="Q26432" s="8"/>
    </row>
    <row r="26433" spans="17:17" x14ac:dyDescent="0.25">
      <c r="Q26433" s="8"/>
    </row>
    <row r="26434" spans="17:17" x14ac:dyDescent="0.25">
      <c r="Q26434" s="8"/>
    </row>
    <row r="26435" spans="17:17" x14ac:dyDescent="0.25">
      <c r="Q26435" s="8"/>
    </row>
    <row r="26436" spans="17:17" x14ac:dyDescent="0.25">
      <c r="Q26436" s="8"/>
    </row>
    <row r="26437" spans="17:17" x14ac:dyDescent="0.25">
      <c r="Q26437" s="8"/>
    </row>
    <row r="26438" spans="17:17" x14ac:dyDescent="0.25">
      <c r="Q26438" s="8"/>
    </row>
    <row r="26439" spans="17:17" x14ac:dyDescent="0.25">
      <c r="Q26439" s="8"/>
    </row>
    <row r="26440" spans="17:17" x14ac:dyDescent="0.25">
      <c r="Q26440" s="8"/>
    </row>
    <row r="26441" spans="17:17" x14ac:dyDescent="0.25">
      <c r="Q26441" s="8"/>
    </row>
    <row r="26442" spans="17:17" x14ac:dyDescent="0.25">
      <c r="Q26442" s="8"/>
    </row>
    <row r="26443" spans="17:17" x14ac:dyDescent="0.25">
      <c r="Q26443" s="8"/>
    </row>
    <row r="26444" spans="17:17" x14ac:dyDescent="0.25">
      <c r="Q26444" s="8"/>
    </row>
    <row r="26445" spans="17:17" x14ac:dyDescent="0.25">
      <c r="Q26445" s="8"/>
    </row>
    <row r="26446" spans="17:17" x14ac:dyDescent="0.25">
      <c r="Q26446" s="8"/>
    </row>
    <row r="26447" spans="17:17" x14ac:dyDescent="0.25">
      <c r="Q26447" s="8"/>
    </row>
    <row r="26448" spans="17:17" x14ac:dyDescent="0.25">
      <c r="Q26448" s="8"/>
    </row>
    <row r="26449" spans="17:17" x14ac:dyDescent="0.25">
      <c r="Q26449" s="8"/>
    </row>
    <row r="26450" spans="17:17" x14ac:dyDescent="0.25">
      <c r="Q26450" s="8"/>
    </row>
    <row r="26451" spans="17:17" x14ac:dyDescent="0.25">
      <c r="Q26451" s="8"/>
    </row>
    <row r="26452" spans="17:17" x14ac:dyDescent="0.25">
      <c r="Q26452" s="8"/>
    </row>
    <row r="26453" spans="17:17" x14ac:dyDescent="0.25">
      <c r="Q26453" s="8"/>
    </row>
    <row r="26454" spans="17:17" x14ac:dyDescent="0.25">
      <c r="Q26454" s="8"/>
    </row>
    <row r="26455" spans="17:17" x14ac:dyDescent="0.25">
      <c r="Q26455" s="8"/>
    </row>
    <row r="26456" spans="17:17" x14ac:dyDescent="0.25">
      <c r="Q26456" s="8"/>
    </row>
    <row r="26457" spans="17:17" x14ac:dyDescent="0.25">
      <c r="Q26457" s="8"/>
    </row>
    <row r="26458" spans="17:17" x14ac:dyDescent="0.25">
      <c r="Q26458" s="8"/>
    </row>
    <row r="26459" spans="17:17" x14ac:dyDescent="0.25">
      <c r="Q26459" s="8"/>
    </row>
    <row r="26460" spans="17:17" x14ac:dyDescent="0.25">
      <c r="Q26460" s="8"/>
    </row>
    <row r="26461" spans="17:17" x14ac:dyDescent="0.25">
      <c r="Q26461" s="8"/>
    </row>
    <row r="26462" spans="17:17" x14ac:dyDescent="0.25">
      <c r="Q26462" s="8"/>
    </row>
    <row r="26463" spans="17:17" x14ac:dyDescent="0.25">
      <c r="Q26463" s="8"/>
    </row>
    <row r="26464" spans="17:17" x14ac:dyDescent="0.25">
      <c r="Q26464" s="8"/>
    </row>
    <row r="26465" spans="17:17" x14ac:dyDescent="0.25">
      <c r="Q26465" s="8"/>
    </row>
    <row r="26466" spans="17:17" x14ac:dyDescent="0.25">
      <c r="Q26466" s="8"/>
    </row>
    <row r="26467" spans="17:17" x14ac:dyDescent="0.25">
      <c r="Q26467" s="8"/>
    </row>
    <row r="26468" spans="17:17" x14ac:dyDescent="0.25">
      <c r="Q26468" s="8"/>
    </row>
    <row r="26469" spans="17:17" x14ac:dyDescent="0.25">
      <c r="Q26469" s="8"/>
    </row>
    <row r="26470" spans="17:17" x14ac:dyDescent="0.25">
      <c r="Q26470" s="8"/>
    </row>
    <row r="26471" spans="17:17" x14ac:dyDescent="0.25">
      <c r="Q26471" s="8"/>
    </row>
    <row r="26472" spans="17:17" x14ac:dyDescent="0.25">
      <c r="Q26472" s="8"/>
    </row>
    <row r="26473" spans="17:17" x14ac:dyDescent="0.25">
      <c r="Q26473" s="8"/>
    </row>
    <row r="26474" spans="17:17" x14ac:dyDescent="0.25">
      <c r="Q26474" s="8"/>
    </row>
    <row r="26475" spans="17:17" x14ac:dyDescent="0.25">
      <c r="Q26475" s="8"/>
    </row>
    <row r="26476" spans="17:17" x14ac:dyDescent="0.25">
      <c r="Q26476" s="8"/>
    </row>
    <row r="26477" spans="17:17" x14ac:dyDescent="0.25">
      <c r="Q26477" s="8"/>
    </row>
    <row r="26478" spans="17:17" x14ac:dyDescent="0.25">
      <c r="Q26478" s="8"/>
    </row>
    <row r="26479" spans="17:17" x14ac:dyDescent="0.25">
      <c r="Q26479" s="8"/>
    </row>
    <row r="26480" spans="17:17" x14ac:dyDescent="0.25">
      <c r="Q26480" s="8"/>
    </row>
    <row r="26481" spans="17:17" x14ac:dyDescent="0.25">
      <c r="Q26481" s="8"/>
    </row>
    <row r="26482" spans="17:17" x14ac:dyDescent="0.25">
      <c r="Q26482" s="8"/>
    </row>
    <row r="26483" spans="17:17" x14ac:dyDescent="0.25">
      <c r="Q26483" s="8"/>
    </row>
    <row r="26484" spans="17:17" x14ac:dyDescent="0.25">
      <c r="Q26484" s="8"/>
    </row>
    <row r="26485" spans="17:17" x14ac:dyDescent="0.25">
      <c r="Q26485" s="8"/>
    </row>
    <row r="26486" spans="17:17" x14ac:dyDescent="0.25">
      <c r="Q26486" s="8"/>
    </row>
    <row r="26487" spans="17:17" x14ac:dyDescent="0.25">
      <c r="Q26487" s="8"/>
    </row>
    <row r="26488" spans="17:17" x14ac:dyDescent="0.25">
      <c r="Q26488" s="8"/>
    </row>
    <row r="26489" spans="17:17" x14ac:dyDescent="0.25">
      <c r="Q26489" s="8"/>
    </row>
    <row r="26490" spans="17:17" x14ac:dyDescent="0.25">
      <c r="Q26490" s="8"/>
    </row>
    <row r="26491" spans="17:17" x14ac:dyDescent="0.25">
      <c r="Q26491" s="8"/>
    </row>
    <row r="26492" spans="17:17" x14ac:dyDescent="0.25">
      <c r="Q26492" s="8"/>
    </row>
    <row r="26493" spans="17:17" x14ac:dyDescent="0.25">
      <c r="Q26493" s="8"/>
    </row>
    <row r="26494" spans="17:17" x14ac:dyDescent="0.25">
      <c r="Q26494" s="8"/>
    </row>
    <row r="26495" spans="17:17" x14ac:dyDescent="0.25">
      <c r="Q26495" s="8"/>
    </row>
    <row r="26496" spans="17:17" x14ac:dyDescent="0.25">
      <c r="Q26496" s="8"/>
    </row>
    <row r="26497" spans="17:17" x14ac:dyDescent="0.25">
      <c r="Q26497" s="8"/>
    </row>
    <row r="26498" spans="17:17" x14ac:dyDescent="0.25">
      <c r="Q26498" s="8"/>
    </row>
    <row r="26499" spans="17:17" x14ac:dyDescent="0.25">
      <c r="Q26499" s="8"/>
    </row>
    <row r="26500" spans="17:17" x14ac:dyDescent="0.25">
      <c r="Q26500" s="8"/>
    </row>
    <row r="26501" spans="17:17" x14ac:dyDescent="0.25">
      <c r="Q26501" s="8"/>
    </row>
    <row r="26502" spans="17:17" x14ac:dyDescent="0.25">
      <c r="Q26502" s="8"/>
    </row>
    <row r="26503" spans="17:17" x14ac:dyDescent="0.25">
      <c r="Q26503" s="8"/>
    </row>
    <row r="26504" spans="17:17" x14ac:dyDescent="0.25">
      <c r="Q26504" s="8"/>
    </row>
    <row r="26505" spans="17:17" x14ac:dyDescent="0.25">
      <c r="Q26505" s="8"/>
    </row>
    <row r="26506" spans="17:17" x14ac:dyDescent="0.25">
      <c r="Q26506" s="8"/>
    </row>
    <row r="26507" spans="17:17" x14ac:dyDescent="0.25">
      <c r="Q26507" s="8"/>
    </row>
    <row r="26508" spans="17:17" x14ac:dyDescent="0.25">
      <c r="Q26508" s="8"/>
    </row>
    <row r="26509" spans="17:17" x14ac:dyDescent="0.25">
      <c r="Q26509" s="8"/>
    </row>
    <row r="26510" spans="17:17" x14ac:dyDescent="0.25">
      <c r="Q26510" s="8"/>
    </row>
    <row r="26511" spans="17:17" x14ac:dyDescent="0.25">
      <c r="Q26511" s="8"/>
    </row>
    <row r="26512" spans="17:17" x14ac:dyDescent="0.25">
      <c r="Q26512" s="8"/>
    </row>
    <row r="26513" spans="17:17" x14ac:dyDescent="0.25">
      <c r="Q26513" s="8"/>
    </row>
    <row r="26514" spans="17:17" x14ac:dyDescent="0.25">
      <c r="Q26514" s="8"/>
    </row>
    <row r="26515" spans="17:17" x14ac:dyDescent="0.25">
      <c r="Q26515" s="8"/>
    </row>
    <row r="26516" spans="17:17" x14ac:dyDescent="0.25">
      <c r="Q26516" s="8"/>
    </row>
    <row r="26517" spans="17:17" x14ac:dyDescent="0.25">
      <c r="Q26517" s="8"/>
    </row>
    <row r="26518" spans="17:17" x14ac:dyDescent="0.25">
      <c r="Q26518" s="8"/>
    </row>
    <row r="26519" spans="17:17" x14ac:dyDescent="0.25">
      <c r="Q26519" s="8"/>
    </row>
    <row r="26520" spans="17:17" x14ac:dyDescent="0.25">
      <c r="Q26520" s="8"/>
    </row>
    <row r="26521" spans="17:17" x14ac:dyDescent="0.25">
      <c r="Q26521" s="8"/>
    </row>
    <row r="26522" spans="17:17" x14ac:dyDescent="0.25">
      <c r="Q26522" s="8"/>
    </row>
    <row r="26523" spans="17:17" x14ac:dyDescent="0.25">
      <c r="Q26523" s="8"/>
    </row>
    <row r="26524" spans="17:17" x14ac:dyDescent="0.25">
      <c r="Q26524" s="8"/>
    </row>
    <row r="26525" spans="17:17" x14ac:dyDescent="0.25">
      <c r="Q26525" s="8"/>
    </row>
    <row r="26526" spans="17:17" x14ac:dyDescent="0.25">
      <c r="Q26526" s="8"/>
    </row>
    <row r="26527" spans="17:17" x14ac:dyDescent="0.25">
      <c r="Q26527" s="8"/>
    </row>
    <row r="26528" spans="17:17" x14ac:dyDescent="0.25">
      <c r="Q26528" s="8"/>
    </row>
    <row r="26529" spans="17:17" x14ac:dyDescent="0.25">
      <c r="Q26529" s="8"/>
    </row>
    <row r="26530" spans="17:17" x14ac:dyDescent="0.25">
      <c r="Q26530" s="8"/>
    </row>
    <row r="26531" spans="17:17" x14ac:dyDescent="0.25">
      <c r="Q26531" s="8"/>
    </row>
    <row r="26532" spans="17:17" x14ac:dyDescent="0.25">
      <c r="Q26532" s="8"/>
    </row>
    <row r="26533" spans="17:17" x14ac:dyDescent="0.25">
      <c r="Q26533" s="8"/>
    </row>
    <row r="26534" spans="17:17" x14ac:dyDescent="0.25">
      <c r="Q26534" s="8"/>
    </row>
    <row r="26535" spans="17:17" x14ac:dyDescent="0.25">
      <c r="Q26535" s="8"/>
    </row>
    <row r="26536" spans="17:17" x14ac:dyDescent="0.25">
      <c r="Q26536" s="8"/>
    </row>
    <row r="26537" spans="17:17" x14ac:dyDescent="0.25">
      <c r="Q26537" s="8"/>
    </row>
    <row r="26538" spans="17:17" x14ac:dyDescent="0.25">
      <c r="Q26538" s="8"/>
    </row>
    <row r="26539" spans="17:17" x14ac:dyDescent="0.25">
      <c r="Q26539" s="8"/>
    </row>
    <row r="26540" spans="17:17" x14ac:dyDescent="0.25">
      <c r="Q26540" s="8"/>
    </row>
    <row r="26541" spans="17:17" x14ac:dyDescent="0.25">
      <c r="Q26541" s="8"/>
    </row>
    <row r="26542" spans="17:17" x14ac:dyDescent="0.25">
      <c r="Q26542" s="8"/>
    </row>
    <row r="26543" spans="17:17" x14ac:dyDescent="0.25">
      <c r="Q26543" s="8"/>
    </row>
    <row r="26544" spans="17:17" x14ac:dyDescent="0.25">
      <c r="Q26544" s="8"/>
    </row>
    <row r="26545" spans="17:17" x14ac:dyDescent="0.25">
      <c r="Q26545" s="8"/>
    </row>
    <row r="26546" spans="17:17" x14ac:dyDescent="0.25">
      <c r="Q26546" s="8"/>
    </row>
    <row r="26547" spans="17:17" x14ac:dyDescent="0.25">
      <c r="Q26547" s="8"/>
    </row>
    <row r="26548" spans="17:17" x14ac:dyDescent="0.25">
      <c r="Q26548" s="8"/>
    </row>
    <row r="26549" spans="17:17" x14ac:dyDescent="0.25">
      <c r="Q26549" s="8"/>
    </row>
    <row r="26550" spans="17:17" x14ac:dyDescent="0.25">
      <c r="Q26550" s="8"/>
    </row>
    <row r="26551" spans="17:17" x14ac:dyDescent="0.25">
      <c r="Q26551" s="8"/>
    </row>
    <row r="26552" spans="17:17" x14ac:dyDescent="0.25">
      <c r="Q26552" s="8"/>
    </row>
    <row r="26553" spans="17:17" x14ac:dyDescent="0.25">
      <c r="Q26553" s="8"/>
    </row>
    <row r="26554" spans="17:17" x14ac:dyDescent="0.25">
      <c r="Q26554" s="8"/>
    </row>
    <row r="26555" spans="17:17" x14ac:dyDescent="0.25">
      <c r="Q26555" s="8"/>
    </row>
    <row r="26556" spans="17:17" x14ac:dyDescent="0.25">
      <c r="Q26556" s="8"/>
    </row>
    <row r="26557" spans="17:17" x14ac:dyDescent="0.25">
      <c r="Q26557" s="8"/>
    </row>
    <row r="26558" spans="17:17" x14ac:dyDescent="0.25">
      <c r="Q26558" s="8"/>
    </row>
    <row r="26559" spans="17:17" x14ac:dyDescent="0.25">
      <c r="Q26559" s="8"/>
    </row>
    <row r="26560" spans="17:17" x14ac:dyDescent="0.25">
      <c r="Q26560" s="8"/>
    </row>
    <row r="26561" spans="17:17" x14ac:dyDescent="0.25">
      <c r="Q26561" s="8"/>
    </row>
    <row r="26562" spans="17:17" x14ac:dyDescent="0.25">
      <c r="Q26562" s="8"/>
    </row>
    <row r="26563" spans="17:17" x14ac:dyDescent="0.25">
      <c r="Q26563" s="8"/>
    </row>
    <row r="26564" spans="17:17" x14ac:dyDescent="0.25">
      <c r="Q26564" s="8"/>
    </row>
    <row r="26565" spans="17:17" x14ac:dyDescent="0.25">
      <c r="Q26565" s="8"/>
    </row>
    <row r="26566" spans="17:17" x14ac:dyDescent="0.25">
      <c r="Q26566" s="8"/>
    </row>
    <row r="26567" spans="17:17" x14ac:dyDescent="0.25">
      <c r="Q26567" s="8"/>
    </row>
    <row r="26568" spans="17:17" x14ac:dyDescent="0.25">
      <c r="Q26568" s="8"/>
    </row>
    <row r="26569" spans="17:17" x14ac:dyDescent="0.25">
      <c r="Q26569" s="8"/>
    </row>
    <row r="26570" spans="17:17" x14ac:dyDescent="0.25">
      <c r="Q26570" s="8"/>
    </row>
    <row r="26571" spans="17:17" x14ac:dyDescent="0.25">
      <c r="Q26571" s="8"/>
    </row>
    <row r="26572" spans="17:17" x14ac:dyDescent="0.25">
      <c r="Q26572" s="8"/>
    </row>
    <row r="26573" spans="17:17" x14ac:dyDescent="0.25">
      <c r="Q26573" s="8"/>
    </row>
    <row r="26574" spans="17:17" x14ac:dyDescent="0.25">
      <c r="Q26574" s="8"/>
    </row>
    <row r="26575" spans="17:17" x14ac:dyDescent="0.25">
      <c r="Q26575" s="8"/>
    </row>
    <row r="26576" spans="17:17" x14ac:dyDescent="0.25">
      <c r="Q26576" s="8"/>
    </row>
    <row r="26577" spans="17:17" x14ac:dyDescent="0.25">
      <c r="Q26577" s="8"/>
    </row>
    <row r="26578" spans="17:17" x14ac:dyDescent="0.25">
      <c r="Q26578" s="8"/>
    </row>
    <row r="26579" spans="17:17" x14ac:dyDescent="0.25">
      <c r="Q26579" s="8"/>
    </row>
    <row r="26580" spans="17:17" x14ac:dyDescent="0.25">
      <c r="Q26580" s="8"/>
    </row>
    <row r="26581" spans="17:17" x14ac:dyDescent="0.25">
      <c r="Q26581" s="8"/>
    </row>
    <row r="26582" spans="17:17" x14ac:dyDescent="0.25">
      <c r="Q26582" s="8"/>
    </row>
    <row r="26583" spans="17:17" x14ac:dyDescent="0.25">
      <c r="Q26583" s="8"/>
    </row>
    <row r="26584" spans="17:17" x14ac:dyDescent="0.25">
      <c r="Q26584" s="8"/>
    </row>
    <row r="26585" spans="17:17" x14ac:dyDescent="0.25">
      <c r="Q26585" s="8"/>
    </row>
    <row r="26586" spans="17:17" x14ac:dyDescent="0.25">
      <c r="Q26586" s="8"/>
    </row>
    <row r="26587" spans="17:17" x14ac:dyDescent="0.25">
      <c r="Q26587" s="8"/>
    </row>
    <row r="26588" spans="17:17" x14ac:dyDescent="0.25">
      <c r="Q26588" s="8"/>
    </row>
    <row r="26589" spans="17:17" x14ac:dyDescent="0.25">
      <c r="Q26589" s="8"/>
    </row>
    <row r="26590" spans="17:17" x14ac:dyDescent="0.25">
      <c r="Q26590" s="8"/>
    </row>
    <row r="26591" spans="17:17" x14ac:dyDescent="0.25">
      <c r="Q26591" s="8"/>
    </row>
    <row r="26592" spans="17:17" x14ac:dyDescent="0.25">
      <c r="Q26592" s="8"/>
    </row>
    <row r="26593" spans="17:17" x14ac:dyDescent="0.25">
      <c r="Q26593" s="8"/>
    </row>
    <row r="26594" spans="17:17" x14ac:dyDescent="0.25">
      <c r="Q26594" s="8"/>
    </row>
    <row r="26595" spans="17:17" x14ac:dyDescent="0.25">
      <c r="Q26595" s="8"/>
    </row>
    <row r="26596" spans="17:17" x14ac:dyDescent="0.25">
      <c r="Q26596" s="8"/>
    </row>
    <row r="26597" spans="17:17" x14ac:dyDescent="0.25">
      <c r="Q26597" s="8"/>
    </row>
    <row r="26598" spans="17:17" x14ac:dyDescent="0.25">
      <c r="Q26598" s="8"/>
    </row>
    <row r="26599" spans="17:17" x14ac:dyDescent="0.25">
      <c r="Q26599" s="8"/>
    </row>
    <row r="26600" spans="17:17" x14ac:dyDescent="0.25">
      <c r="Q26600" s="8"/>
    </row>
    <row r="26601" spans="17:17" x14ac:dyDescent="0.25">
      <c r="Q26601" s="8"/>
    </row>
    <row r="26602" spans="17:17" x14ac:dyDescent="0.25">
      <c r="Q26602" s="8"/>
    </row>
    <row r="26603" spans="17:17" x14ac:dyDescent="0.25">
      <c r="Q26603" s="8"/>
    </row>
    <row r="26604" spans="17:17" x14ac:dyDescent="0.25">
      <c r="Q26604" s="8"/>
    </row>
    <row r="26605" spans="17:17" x14ac:dyDescent="0.25">
      <c r="Q26605" s="8"/>
    </row>
    <row r="26606" spans="17:17" x14ac:dyDescent="0.25">
      <c r="Q26606" s="8"/>
    </row>
    <row r="26607" spans="17:17" x14ac:dyDescent="0.25">
      <c r="Q26607" s="8"/>
    </row>
    <row r="26608" spans="17:17" x14ac:dyDescent="0.25">
      <c r="Q26608" s="8"/>
    </row>
    <row r="26609" spans="17:17" x14ac:dyDescent="0.25">
      <c r="Q26609" s="8"/>
    </row>
    <row r="26610" spans="17:17" x14ac:dyDescent="0.25">
      <c r="Q26610" s="8"/>
    </row>
    <row r="26611" spans="17:17" x14ac:dyDescent="0.25">
      <c r="Q26611" s="8"/>
    </row>
    <row r="26612" spans="17:17" x14ac:dyDescent="0.25">
      <c r="Q26612" s="8"/>
    </row>
    <row r="26613" spans="17:17" x14ac:dyDescent="0.25">
      <c r="Q26613" s="8"/>
    </row>
    <row r="26614" spans="17:17" x14ac:dyDescent="0.25">
      <c r="Q26614" s="8"/>
    </row>
    <row r="26615" spans="17:17" x14ac:dyDescent="0.25">
      <c r="Q26615" s="8"/>
    </row>
    <row r="26616" spans="17:17" x14ac:dyDescent="0.25">
      <c r="Q26616" s="8"/>
    </row>
    <row r="26617" spans="17:17" x14ac:dyDescent="0.25">
      <c r="Q26617" s="8"/>
    </row>
    <row r="26618" spans="17:17" x14ac:dyDescent="0.25">
      <c r="Q26618" s="8"/>
    </row>
    <row r="26619" spans="17:17" x14ac:dyDescent="0.25">
      <c r="Q26619" s="8"/>
    </row>
    <row r="26620" spans="17:17" x14ac:dyDescent="0.25">
      <c r="Q26620" s="8"/>
    </row>
    <row r="26621" spans="17:17" x14ac:dyDescent="0.25">
      <c r="Q26621" s="8"/>
    </row>
    <row r="26622" spans="17:17" x14ac:dyDescent="0.25">
      <c r="Q26622" s="8"/>
    </row>
    <row r="26623" spans="17:17" x14ac:dyDescent="0.25">
      <c r="Q26623" s="8"/>
    </row>
    <row r="26624" spans="17:17" x14ac:dyDescent="0.25">
      <c r="Q26624" s="8"/>
    </row>
    <row r="26625" spans="17:17" x14ac:dyDescent="0.25">
      <c r="Q26625" s="8"/>
    </row>
    <row r="26626" spans="17:17" x14ac:dyDescent="0.25">
      <c r="Q26626" s="8"/>
    </row>
    <row r="26627" spans="17:17" x14ac:dyDescent="0.25">
      <c r="Q26627" s="8"/>
    </row>
    <row r="26628" spans="17:17" x14ac:dyDescent="0.25">
      <c r="Q26628" s="8"/>
    </row>
    <row r="26629" spans="17:17" x14ac:dyDescent="0.25">
      <c r="Q26629" s="8"/>
    </row>
    <row r="26630" spans="17:17" x14ac:dyDescent="0.25">
      <c r="Q26630" s="8"/>
    </row>
    <row r="26631" spans="17:17" x14ac:dyDescent="0.25">
      <c r="Q26631" s="8"/>
    </row>
    <row r="26632" spans="17:17" x14ac:dyDescent="0.25">
      <c r="Q26632" s="8"/>
    </row>
    <row r="26633" spans="17:17" x14ac:dyDescent="0.25">
      <c r="Q26633" s="8"/>
    </row>
    <row r="26634" spans="17:17" x14ac:dyDescent="0.25">
      <c r="Q26634" s="8"/>
    </row>
    <row r="26635" spans="17:17" x14ac:dyDescent="0.25">
      <c r="Q26635" s="8"/>
    </row>
    <row r="26636" spans="17:17" x14ac:dyDescent="0.25">
      <c r="Q26636" s="8"/>
    </row>
    <row r="26637" spans="17:17" x14ac:dyDescent="0.25">
      <c r="Q26637" s="8"/>
    </row>
    <row r="26638" spans="17:17" x14ac:dyDescent="0.25">
      <c r="Q26638" s="8"/>
    </row>
    <row r="26639" spans="17:17" x14ac:dyDescent="0.25">
      <c r="Q26639" s="8"/>
    </row>
    <row r="26640" spans="17:17" x14ac:dyDescent="0.25">
      <c r="Q26640" s="8"/>
    </row>
    <row r="26641" spans="17:17" x14ac:dyDescent="0.25">
      <c r="Q26641" s="8"/>
    </row>
    <row r="26642" spans="17:17" x14ac:dyDescent="0.25">
      <c r="Q26642" s="8"/>
    </row>
    <row r="26643" spans="17:17" x14ac:dyDescent="0.25">
      <c r="Q26643" s="8"/>
    </row>
    <row r="26644" spans="17:17" x14ac:dyDescent="0.25">
      <c r="Q26644" s="8"/>
    </row>
    <row r="26645" spans="17:17" x14ac:dyDescent="0.25">
      <c r="Q26645" s="8"/>
    </row>
    <row r="26646" spans="17:17" x14ac:dyDescent="0.25">
      <c r="Q26646" s="8"/>
    </row>
    <row r="26647" spans="17:17" x14ac:dyDescent="0.25">
      <c r="Q26647" s="8"/>
    </row>
    <row r="26648" spans="17:17" x14ac:dyDescent="0.25">
      <c r="Q26648" s="8"/>
    </row>
    <row r="26649" spans="17:17" x14ac:dyDescent="0.25">
      <c r="Q26649" s="8"/>
    </row>
    <row r="26650" spans="17:17" x14ac:dyDescent="0.25">
      <c r="Q26650" s="8"/>
    </row>
    <row r="26651" spans="17:17" x14ac:dyDescent="0.25">
      <c r="Q26651" s="8"/>
    </row>
    <row r="26652" spans="17:17" x14ac:dyDescent="0.25">
      <c r="Q26652" s="8"/>
    </row>
    <row r="26653" spans="17:17" x14ac:dyDescent="0.25">
      <c r="Q26653" s="8"/>
    </row>
    <row r="26654" spans="17:17" x14ac:dyDescent="0.25">
      <c r="Q26654" s="8"/>
    </row>
    <row r="26655" spans="17:17" x14ac:dyDescent="0.25">
      <c r="Q26655" s="8"/>
    </row>
    <row r="26656" spans="17:17" x14ac:dyDescent="0.25">
      <c r="Q26656" s="8"/>
    </row>
    <row r="26657" spans="17:17" x14ac:dyDescent="0.25">
      <c r="Q26657" s="8"/>
    </row>
    <row r="26658" spans="17:17" x14ac:dyDescent="0.25">
      <c r="Q26658" s="8"/>
    </row>
    <row r="26659" spans="17:17" x14ac:dyDescent="0.25">
      <c r="Q26659" s="8"/>
    </row>
    <row r="26660" spans="17:17" x14ac:dyDescent="0.25">
      <c r="Q26660" s="8"/>
    </row>
    <row r="26661" spans="17:17" x14ac:dyDescent="0.25">
      <c r="Q26661" s="8"/>
    </row>
    <row r="26662" spans="17:17" x14ac:dyDescent="0.25">
      <c r="Q26662" s="8"/>
    </row>
    <row r="26663" spans="17:17" x14ac:dyDescent="0.25">
      <c r="Q26663" s="8"/>
    </row>
    <row r="26664" spans="17:17" x14ac:dyDescent="0.25">
      <c r="Q26664" s="8"/>
    </row>
    <row r="26665" spans="17:17" x14ac:dyDescent="0.25">
      <c r="Q26665" s="8"/>
    </row>
    <row r="26666" spans="17:17" x14ac:dyDescent="0.25">
      <c r="Q26666" s="8"/>
    </row>
    <row r="26667" spans="17:17" x14ac:dyDescent="0.25">
      <c r="Q26667" s="8"/>
    </row>
    <row r="26668" spans="17:17" x14ac:dyDescent="0.25">
      <c r="Q26668" s="8"/>
    </row>
    <row r="26669" spans="17:17" x14ac:dyDescent="0.25">
      <c r="Q26669" s="8"/>
    </row>
    <row r="26670" spans="17:17" x14ac:dyDescent="0.25">
      <c r="Q26670" s="8"/>
    </row>
    <row r="26671" spans="17:17" x14ac:dyDescent="0.25">
      <c r="Q26671" s="8"/>
    </row>
    <row r="26672" spans="17:17" x14ac:dyDescent="0.25">
      <c r="Q26672" s="8"/>
    </row>
    <row r="26673" spans="17:17" x14ac:dyDescent="0.25">
      <c r="Q26673" s="8"/>
    </row>
    <row r="26674" spans="17:17" x14ac:dyDescent="0.25">
      <c r="Q26674" s="8"/>
    </row>
    <row r="26675" spans="17:17" x14ac:dyDescent="0.25">
      <c r="Q26675" s="8"/>
    </row>
    <row r="26676" spans="17:17" x14ac:dyDescent="0.25">
      <c r="Q26676" s="8"/>
    </row>
    <row r="26677" spans="17:17" x14ac:dyDescent="0.25">
      <c r="Q26677" s="8"/>
    </row>
    <row r="26678" spans="17:17" x14ac:dyDescent="0.25">
      <c r="Q26678" s="8"/>
    </row>
    <row r="26679" spans="17:17" x14ac:dyDescent="0.25">
      <c r="Q26679" s="8"/>
    </row>
    <row r="26680" spans="17:17" x14ac:dyDescent="0.25">
      <c r="Q26680" s="8"/>
    </row>
    <row r="26681" spans="17:17" x14ac:dyDescent="0.25">
      <c r="Q26681" s="8"/>
    </row>
    <row r="26682" spans="17:17" x14ac:dyDescent="0.25">
      <c r="Q26682" s="8"/>
    </row>
    <row r="26683" spans="17:17" x14ac:dyDescent="0.25">
      <c r="Q26683" s="8"/>
    </row>
    <row r="26684" spans="17:17" x14ac:dyDescent="0.25">
      <c r="Q26684" s="8"/>
    </row>
    <row r="26685" spans="17:17" x14ac:dyDescent="0.25">
      <c r="Q26685" s="8"/>
    </row>
    <row r="26686" spans="17:17" x14ac:dyDescent="0.25">
      <c r="Q26686" s="8"/>
    </row>
    <row r="26687" spans="17:17" x14ac:dyDescent="0.25">
      <c r="Q26687" s="8"/>
    </row>
    <row r="26688" spans="17:17" x14ac:dyDescent="0.25">
      <c r="Q26688" s="8"/>
    </row>
    <row r="26689" spans="17:17" x14ac:dyDescent="0.25">
      <c r="Q26689" s="8"/>
    </row>
    <row r="26690" spans="17:17" x14ac:dyDescent="0.25">
      <c r="Q26690" s="8"/>
    </row>
    <row r="26691" spans="17:17" x14ac:dyDescent="0.25">
      <c r="Q26691" s="8"/>
    </row>
    <row r="26692" spans="17:17" x14ac:dyDescent="0.25">
      <c r="Q26692" s="8"/>
    </row>
    <row r="26693" spans="17:17" x14ac:dyDescent="0.25">
      <c r="Q26693" s="8"/>
    </row>
    <row r="26694" spans="17:17" x14ac:dyDescent="0.25">
      <c r="Q26694" s="8"/>
    </row>
    <row r="26695" spans="17:17" x14ac:dyDescent="0.25">
      <c r="Q26695" s="8"/>
    </row>
    <row r="26696" spans="17:17" x14ac:dyDescent="0.25">
      <c r="Q26696" s="8"/>
    </row>
    <row r="26697" spans="17:17" x14ac:dyDescent="0.25">
      <c r="Q26697" s="8"/>
    </row>
    <row r="26698" spans="17:17" x14ac:dyDescent="0.25">
      <c r="Q26698" s="8"/>
    </row>
    <row r="26699" spans="17:17" x14ac:dyDescent="0.25">
      <c r="Q26699" s="8"/>
    </row>
    <row r="26700" spans="17:17" x14ac:dyDescent="0.25">
      <c r="Q26700" s="8"/>
    </row>
    <row r="26701" spans="17:17" x14ac:dyDescent="0.25">
      <c r="Q26701" s="8"/>
    </row>
    <row r="26702" spans="17:17" x14ac:dyDescent="0.25">
      <c r="Q26702" s="8"/>
    </row>
    <row r="26703" spans="17:17" x14ac:dyDescent="0.25">
      <c r="Q26703" s="8"/>
    </row>
    <row r="26704" spans="17:17" x14ac:dyDescent="0.25">
      <c r="Q26704" s="8"/>
    </row>
    <row r="26705" spans="17:17" x14ac:dyDescent="0.25">
      <c r="Q26705" s="8"/>
    </row>
    <row r="26706" spans="17:17" x14ac:dyDescent="0.25">
      <c r="Q26706" s="8"/>
    </row>
    <row r="26707" spans="17:17" x14ac:dyDescent="0.25">
      <c r="Q26707" s="8"/>
    </row>
    <row r="26708" spans="17:17" x14ac:dyDescent="0.25">
      <c r="Q26708" s="8"/>
    </row>
    <row r="26709" spans="17:17" x14ac:dyDescent="0.25">
      <c r="Q26709" s="8"/>
    </row>
    <row r="26710" spans="17:17" x14ac:dyDescent="0.25">
      <c r="Q26710" s="8"/>
    </row>
    <row r="26711" spans="17:17" x14ac:dyDescent="0.25">
      <c r="Q26711" s="8"/>
    </row>
    <row r="26712" spans="17:17" x14ac:dyDescent="0.25">
      <c r="Q26712" s="8"/>
    </row>
    <row r="26713" spans="17:17" x14ac:dyDescent="0.25">
      <c r="Q26713" s="8"/>
    </row>
    <row r="26714" spans="17:17" x14ac:dyDescent="0.25">
      <c r="Q26714" s="8"/>
    </row>
    <row r="26715" spans="17:17" x14ac:dyDescent="0.25">
      <c r="Q26715" s="8"/>
    </row>
    <row r="26716" spans="17:17" x14ac:dyDescent="0.25">
      <c r="Q26716" s="8"/>
    </row>
    <row r="26717" spans="17:17" x14ac:dyDescent="0.25">
      <c r="Q26717" s="8"/>
    </row>
    <row r="26718" spans="17:17" x14ac:dyDescent="0.25">
      <c r="Q26718" s="8"/>
    </row>
    <row r="26719" spans="17:17" x14ac:dyDescent="0.25">
      <c r="Q26719" s="8"/>
    </row>
    <row r="26720" spans="17:17" x14ac:dyDescent="0.25">
      <c r="Q26720" s="8"/>
    </row>
    <row r="26721" spans="17:17" x14ac:dyDescent="0.25">
      <c r="Q26721" s="8"/>
    </row>
    <row r="26722" spans="17:17" x14ac:dyDescent="0.25">
      <c r="Q26722" s="8"/>
    </row>
    <row r="26723" spans="17:17" x14ac:dyDescent="0.25">
      <c r="Q26723" s="8"/>
    </row>
    <row r="26724" spans="17:17" x14ac:dyDescent="0.25">
      <c r="Q26724" s="8"/>
    </row>
    <row r="26725" spans="17:17" x14ac:dyDescent="0.25">
      <c r="Q26725" s="8"/>
    </row>
    <row r="26726" spans="17:17" x14ac:dyDescent="0.25">
      <c r="Q26726" s="8"/>
    </row>
    <row r="26727" spans="17:17" x14ac:dyDescent="0.25">
      <c r="Q26727" s="8"/>
    </row>
    <row r="26728" spans="17:17" x14ac:dyDescent="0.25">
      <c r="Q26728" s="8"/>
    </row>
    <row r="26729" spans="17:17" x14ac:dyDescent="0.25">
      <c r="Q26729" s="8"/>
    </row>
    <row r="26730" spans="17:17" x14ac:dyDescent="0.25">
      <c r="Q26730" s="8"/>
    </row>
    <row r="26731" spans="17:17" x14ac:dyDescent="0.25">
      <c r="Q26731" s="8"/>
    </row>
    <row r="26732" spans="17:17" x14ac:dyDescent="0.25">
      <c r="Q26732" s="8"/>
    </row>
    <row r="26733" spans="17:17" x14ac:dyDescent="0.25">
      <c r="Q26733" s="8"/>
    </row>
    <row r="26734" spans="17:17" x14ac:dyDescent="0.25">
      <c r="Q26734" s="8"/>
    </row>
    <row r="26735" spans="17:17" x14ac:dyDescent="0.25">
      <c r="Q26735" s="8"/>
    </row>
    <row r="26736" spans="17:17" x14ac:dyDescent="0.25">
      <c r="Q26736" s="8"/>
    </row>
    <row r="26737" spans="17:17" x14ac:dyDescent="0.25">
      <c r="Q26737" s="8"/>
    </row>
    <row r="26738" spans="17:17" x14ac:dyDescent="0.25">
      <c r="Q26738" s="8"/>
    </row>
    <row r="26739" spans="17:17" x14ac:dyDescent="0.25">
      <c r="Q26739" s="8"/>
    </row>
    <row r="26740" spans="17:17" x14ac:dyDescent="0.25">
      <c r="Q26740" s="8"/>
    </row>
    <row r="26741" spans="17:17" x14ac:dyDescent="0.25">
      <c r="Q26741" s="8"/>
    </row>
    <row r="26742" spans="17:17" x14ac:dyDescent="0.25">
      <c r="Q26742" s="8"/>
    </row>
    <row r="26743" spans="17:17" x14ac:dyDescent="0.25">
      <c r="Q26743" s="8"/>
    </row>
    <row r="26744" spans="17:17" x14ac:dyDescent="0.25">
      <c r="Q26744" s="8"/>
    </row>
    <row r="26745" spans="17:17" x14ac:dyDescent="0.25">
      <c r="Q26745" s="8"/>
    </row>
    <row r="26746" spans="17:17" x14ac:dyDescent="0.25">
      <c r="Q26746" s="8"/>
    </row>
    <row r="26747" spans="17:17" x14ac:dyDescent="0.25">
      <c r="Q26747" s="8"/>
    </row>
    <row r="26748" spans="17:17" x14ac:dyDescent="0.25">
      <c r="Q26748" s="8"/>
    </row>
    <row r="26749" spans="17:17" x14ac:dyDescent="0.25">
      <c r="Q26749" s="8"/>
    </row>
    <row r="26750" spans="17:17" x14ac:dyDescent="0.25">
      <c r="Q26750" s="8"/>
    </row>
    <row r="26751" spans="17:17" x14ac:dyDescent="0.25">
      <c r="Q26751" s="8"/>
    </row>
    <row r="26752" spans="17:17" x14ac:dyDescent="0.25">
      <c r="Q26752" s="8"/>
    </row>
    <row r="26753" spans="17:17" x14ac:dyDescent="0.25">
      <c r="Q26753" s="8"/>
    </row>
    <row r="26754" spans="17:17" x14ac:dyDescent="0.25">
      <c r="Q26754" s="8"/>
    </row>
    <row r="26755" spans="17:17" x14ac:dyDescent="0.25">
      <c r="Q26755" s="8"/>
    </row>
    <row r="26756" spans="17:17" x14ac:dyDescent="0.25">
      <c r="Q26756" s="8"/>
    </row>
    <row r="26757" spans="17:17" x14ac:dyDescent="0.25">
      <c r="Q26757" s="8"/>
    </row>
    <row r="26758" spans="17:17" x14ac:dyDescent="0.25">
      <c r="Q26758" s="8"/>
    </row>
    <row r="26759" spans="17:17" x14ac:dyDescent="0.25">
      <c r="Q26759" s="8"/>
    </row>
    <row r="26760" spans="17:17" x14ac:dyDescent="0.25">
      <c r="Q26760" s="8"/>
    </row>
    <row r="26761" spans="17:17" x14ac:dyDescent="0.25">
      <c r="Q26761" s="8"/>
    </row>
    <row r="26762" spans="17:17" x14ac:dyDescent="0.25">
      <c r="Q26762" s="8"/>
    </row>
    <row r="26763" spans="17:17" x14ac:dyDescent="0.25">
      <c r="Q26763" s="8"/>
    </row>
    <row r="26764" spans="17:17" x14ac:dyDescent="0.25">
      <c r="Q26764" s="8"/>
    </row>
    <row r="26765" spans="17:17" x14ac:dyDescent="0.25">
      <c r="Q26765" s="8"/>
    </row>
    <row r="26766" spans="17:17" x14ac:dyDescent="0.25">
      <c r="Q26766" s="8"/>
    </row>
    <row r="26767" spans="17:17" x14ac:dyDescent="0.25">
      <c r="Q26767" s="8"/>
    </row>
    <row r="26768" spans="17:17" x14ac:dyDescent="0.25">
      <c r="Q26768" s="8"/>
    </row>
    <row r="26769" spans="17:17" x14ac:dyDescent="0.25">
      <c r="Q26769" s="8"/>
    </row>
    <row r="26770" spans="17:17" x14ac:dyDescent="0.25">
      <c r="Q26770" s="8"/>
    </row>
    <row r="26771" spans="17:17" x14ac:dyDescent="0.25">
      <c r="Q26771" s="8"/>
    </row>
    <row r="26772" spans="17:17" x14ac:dyDescent="0.25">
      <c r="Q26772" s="8"/>
    </row>
    <row r="26773" spans="17:17" x14ac:dyDescent="0.25">
      <c r="Q26773" s="8"/>
    </row>
    <row r="26774" spans="17:17" x14ac:dyDescent="0.25">
      <c r="Q26774" s="8"/>
    </row>
    <row r="26775" spans="17:17" x14ac:dyDescent="0.25">
      <c r="Q26775" s="8"/>
    </row>
    <row r="26776" spans="17:17" x14ac:dyDescent="0.25">
      <c r="Q26776" s="8"/>
    </row>
    <row r="26777" spans="17:17" x14ac:dyDescent="0.25">
      <c r="Q26777" s="8"/>
    </row>
    <row r="26778" spans="17:17" x14ac:dyDescent="0.25">
      <c r="Q26778" s="8"/>
    </row>
    <row r="26779" spans="17:17" x14ac:dyDescent="0.25">
      <c r="Q26779" s="8"/>
    </row>
    <row r="26780" spans="17:17" x14ac:dyDescent="0.25">
      <c r="Q26780" s="8"/>
    </row>
    <row r="26781" spans="17:17" x14ac:dyDescent="0.25">
      <c r="Q26781" s="8"/>
    </row>
    <row r="26782" spans="17:17" x14ac:dyDescent="0.25">
      <c r="Q26782" s="8"/>
    </row>
    <row r="26783" spans="17:17" x14ac:dyDescent="0.25">
      <c r="Q26783" s="8"/>
    </row>
    <row r="26784" spans="17:17" x14ac:dyDescent="0.25">
      <c r="Q26784" s="8"/>
    </row>
    <row r="26785" spans="17:17" x14ac:dyDescent="0.25">
      <c r="Q26785" s="8"/>
    </row>
    <row r="26786" spans="17:17" x14ac:dyDescent="0.25">
      <c r="Q26786" s="8"/>
    </row>
    <row r="26787" spans="17:17" x14ac:dyDescent="0.25">
      <c r="Q26787" s="8"/>
    </row>
    <row r="26788" spans="17:17" x14ac:dyDescent="0.25">
      <c r="Q26788" s="8"/>
    </row>
    <row r="26789" spans="17:17" x14ac:dyDescent="0.25">
      <c r="Q26789" s="8"/>
    </row>
    <row r="26790" spans="17:17" x14ac:dyDescent="0.25">
      <c r="Q26790" s="8"/>
    </row>
    <row r="26791" spans="17:17" x14ac:dyDescent="0.25">
      <c r="Q26791" s="8"/>
    </row>
    <row r="26792" spans="17:17" x14ac:dyDescent="0.25">
      <c r="Q26792" s="8"/>
    </row>
    <row r="26793" spans="17:17" x14ac:dyDescent="0.25">
      <c r="Q26793" s="8"/>
    </row>
    <row r="26794" spans="17:17" x14ac:dyDescent="0.25">
      <c r="Q26794" s="8"/>
    </row>
    <row r="26795" spans="17:17" x14ac:dyDescent="0.25">
      <c r="Q26795" s="8"/>
    </row>
    <row r="26796" spans="17:17" x14ac:dyDescent="0.25">
      <c r="Q26796" s="8"/>
    </row>
    <row r="26797" spans="17:17" x14ac:dyDescent="0.25">
      <c r="Q26797" s="8"/>
    </row>
    <row r="26798" spans="17:17" x14ac:dyDescent="0.25">
      <c r="Q26798" s="8"/>
    </row>
    <row r="26799" spans="17:17" x14ac:dyDescent="0.25">
      <c r="Q26799" s="8"/>
    </row>
    <row r="26800" spans="17:17" x14ac:dyDescent="0.25">
      <c r="Q26800" s="8"/>
    </row>
    <row r="26801" spans="17:17" x14ac:dyDescent="0.25">
      <c r="Q26801" s="8"/>
    </row>
    <row r="26802" spans="17:17" x14ac:dyDescent="0.25">
      <c r="Q26802" s="8"/>
    </row>
    <row r="26803" spans="17:17" x14ac:dyDescent="0.25">
      <c r="Q26803" s="8"/>
    </row>
    <row r="26804" spans="17:17" x14ac:dyDescent="0.25">
      <c r="Q26804" s="8"/>
    </row>
    <row r="26805" spans="17:17" x14ac:dyDescent="0.25">
      <c r="Q26805" s="8"/>
    </row>
    <row r="26806" spans="17:17" x14ac:dyDescent="0.25">
      <c r="Q26806" s="8"/>
    </row>
    <row r="26807" spans="17:17" x14ac:dyDescent="0.25">
      <c r="Q26807" s="8"/>
    </row>
    <row r="26808" spans="17:17" x14ac:dyDescent="0.25">
      <c r="Q26808" s="8"/>
    </row>
    <row r="26809" spans="17:17" x14ac:dyDescent="0.25">
      <c r="Q26809" s="8"/>
    </row>
    <row r="26810" spans="17:17" x14ac:dyDescent="0.25">
      <c r="Q26810" s="8"/>
    </row>
    <row r="26811" spans="17:17" x14ac:dyDescent="0.25">
      <c r="Q26811" s="8"/>
    </row>
    <row r="26812" spans="17:17" x14ac:dyDescent="0.25">
      <c r="Q26812" s="8"/>
    </row>
    <row r="26813" spans="17:17" x14ac:dyDescent="0.25">
      <c r="Q26813" s="8"/>
    </row>
    <row r="26814" spans="17:17" x14ac:dyDescent="0.25">
      <c r="Q26814" s="8"/>
    </row>
    <row r="26815" spans="17:17" x14ac:dyDescent="0.25">
      <c r="Q26815" s="8"/>
    </row>
    <row r="26816" spans="17:17" x14ac:dyDescent="0.25">
      <c r="Q26816" s="8"/>
    </row>
    <row r="26817" spans="17:17" x14ac:dyDescent="0.25">
      <c r="Q26817" s="8"/>
    </row>
    <row r="26818" spans="17:17" x14ac:dyDescent="0.25">
      <c r="Q26818" s="8"/>
    </row>
    <row r="26819" spans="17:17" x14ac:dyDescent="0.25">
      <c r="Q26819" s="8"/>
    </row>
    <row r="26820" spans="17:17" x14ac:dyDescent="0.25">
      <c r="Q26820" s="8"/>
    </row>
    <row r="26821" spans="17:17" x14ac:dyDescent="0.25">
      <c r="Q26821" s="8"/>
    </row>
    <row r="26822" spans="17:17" x14ac:dyDescent="0.25">
      <c r="Q26822" s="8"/>
    </row>
    <row r="26823" spans="17:17" x14ac:dyDescent="0.25">
      <c r="Q26823" s="8"/>
    </row>
    <row r="26824" spans="17:17" x14ac:dyDescent="0.25">
      <c r="Q26824" s="8"/>
    </row>
    <row r="26825" spans="17:17" x14ac:dyDescent="0.25">
      <c r="Q26825" s="8"/>
    </row>
    <row r="26826" spans="17:17" x14ac:dyDescent="0.25">
      <c r="Q26826" s="8"/>
    </row>
    <row r="26827" spans="17:17" x14ac:dyDescent="0.25">
      <c r="Q26827" s="8"/>
    </row>
    <row r="26828" spans="17:17" x14ac:dyDescent="0.25">
      <c r="Q26828" s="8"/>
    </row>
    <row r="26829" spans="17:17" x14ac:dyDescent="0.25">
      <c r="Q26829" s="8"/>
    </row>
    <row r="26830" spans="17:17" x14ac:dyDescent="0.25">
      <c r="Q26830" s="8"/>
    </row>
    <row r="26831" spans="17:17" x14ac:dyDescent="0.25">
      <c r="Q26831" s="8"/>
    </row>
    <row r="26832" spans="17:17" x14ac:dyDescent="0.25">
      <c r="Q26832" s="8"/>
    </row>
    <row r="26833" spans="17:17" x14ac:dyDescent="0.25">
      <c r="Q26833" s="8"/>
    </row>
    <row r="26834" spans="17:17" x14ac:dyDescent="0.25">
      <c r="Q26834" s="8"/>
    </row>
    <row r="26835" spans="17:17" x14ac:dyDescent="0.25">
      <c r="Q26835" s="8"/>
    </row>
    <row r="26836" spans="17:17" x14ac:dyDescent="0.25">
      <c r="Q26836" s="8"/>
    </row>
    <row r="26837" spans="17:17" x14ac:dyDescent="0.25">
      <c r="Q26837" s="8"/>
    </row>
    <row r="26838" spans="17:17" x14ac:dyDescent="0.25">
      <c r="Q26838" s="8"/>
    </row>
    <row r="26839" spans="17:17" x14ac:dyDescent="0.25">
      <c r="Q26839" s="8"/>
    </row>
    <row r="26840" spans="17:17" x14ac:dyDescent="0.25">
      <c r="Q26840" s="8"/>
    </row>
    <row r="26841" spans="17:17" x14ac:dyDescent="0.25">
      <c r="Q26841" s="8"/>
    </row>
    <row r="26842" spans="17:17" x14ac:dyDescent="0.25">
      <c r="Q26842" s="8"/>
    </row>
    <row r="26843" spans="17:17" x14ac:dyDescent="0.25">
      <c r="Q26843" s="8"/>
    </row>
    <row r="26844" spans="17:17" x14ac:dyDescent="0.25">
      <c r="Q26844" s="8"/>
    </row>
    <row r="26845" spans="17:17" x14ac:dyDescent="0.25">
      <c r="Q26845" s="8"/>
    </row>
    <row r="26846" spans="17:17" x14ac:dyDescent="0.25">
      <c r="Q26846" s="8"/>
    </row>
    <row r="26847" spans="17:17" x14ac:dyDescent="0.25">
      <c r="Q26847" s="8"/>
    </row>
    <row r="26848" spans="17:17" x14ac:dyDescent="0.25">
      <c r="Q26848" s="8"/>
    </row>
    <row r="26849" spans="17:17" x14ac:dyDescent="0.25">
      <c r="Q26849" s="8"/>
    </row>
    <row r="26850" spans="17:17" x14ac:dyDescent="0.25">
      <c r="Q26850" s="8"/>
    </row>
    <row r="26851" spans="17:17" x14ac:dyDescent="0.25">
      <c r="Q26851" s="8"/>
    </row>
    <row r="26852" spans="17:17" x14ac:dyDescent="0.25">
      <c r="Q26852" s="8"/>
    </row>
    <row r="26853" spans="17:17" x14ac:dyDescent="0.25">
      <c r="Q26853" s="8"/>
    </row>
    <row r="26854" spans="17:17" x14ac:dyDescent="0.25">
      <c r="Q26854" s="8"/>
    </row>
    <row r="26855" spans="17:17" x14ac:dyDescent="0.25">
      <c r="Q26855" s="8"/>
    </row>
    <row r="26856" spans="17:17" x14ac:dyDescent="0.25">
      <c r="Q26856" s="8"/>
    </row>
    <row r="26857" spans="17:17" x14ac:dyDescent="0.25">
      <c r="Q26857" s="8"/>
    </row>
    <row r="26858" spans="17:17" x14ac:dyDescent="0.25">
      <c r="Q26858" s="8"/>
    </row>
    <row r="26859" spans="17:17" x14ac:dyDescent="0.25">
      <c r="Q26859" s="8"/>
    </row>
    <row r="26860" spans="17:17" x14ac:dyDescent="0.25">
      <c r="Q26860" s="8"/>
    </row>
    <row r="26861" spans="17:17" x14ac:dyDescent="0.25">
      <c r="Q26861" s="8"/>
    </row>
    <row r="26862" spans="17:17" x14ac:dyDescent="0.25">
      <c r="Q26862" s="8"/>
    </row>
    <row r="26863" spans="17:17" x14ac:dyDescent="0.25">
      <c r="Q26863" s="8"/>
    </row>
    <row r="26864" spans="17:17" x14ac:dyDescent="0.25">
      <c r="Q26864" s="8"/>
    </row>
    <row r="26865" spans="17:17" x14ac:dyDescent="0.25">
      <c r="Q26865" s="8"/>
    </row>
    <row r="26866" spans="17:17" x14ac:dyDescent="0.25">
      <c r="Q26866" s="8"/>
    </row>
    <row r="26867" spans="17:17" x14ac:dyDescent="0.25">
      <c r="Q26867" s="8"/>
    </row>
    <row r="26868" spans="17:17" x14ac:dyDescent="0.25">
      <c r="Q26868" s="8"/>
    </row>
    <row r="26869" spans="17:17" x14ac:dyDescent="0.25">
      <c r="Q26869" s="8"/>
    </row>
    <row r="26870" spans="17:17" x14ac:dyDescent="0.25">
      <c r="Q26870" s="8"/>
    </row>
    <row r="26871" spans="17:17" x14ac:dyDescent="0.25">
      <c r="Q26871" s="8"/>
    </row>
    <row r="26872" spans="17:17" x14ac:dyDescent="0.25">
      <c r="Q26872" s="8"/>
    </row>
    <row r="26873" spans="17:17" x14ac:dyDescent="0.25">
      <c r="Q26873" s="8"/>
    </row>
    <row r="26874" spans="17:17" x14ac:dyDescent="0.25">
      <c r="Q26874" s="8"/>
    </row>
    <row r="26875" spans="17:17" x14ac:dyDescent="0.25">
      <c r="Q26875" s="8"/>
    </row>
    <row r="26876" spans="17:17" x14ac:dyDescent="0.25">
      <c r="Q26876" s="8"/>
    </row>
    <row r="26877" spans="17:17" x14ac:dyDescent="0.25">
      <c r="Q26877" s="8"/>
    </row>
    <row r="26878" spans="17:17" x14ac:dyDescent="0.25">
      <c r="Q26878" s="8"/>
    </row>
    <row r="26879" spans="17:17" x14ac:dyDescent="0.25">
      <c r="Q26879" s="8"/>
    </row>
    <row r="26880" spans="17:17" x14ac:dyDescent="0.25">
      <c r="Q26880" s="8"/>
    </row>
    <row r="26881" spans="17:17" x14ac:dyDescent="0.25">
      <c r="Q26881" s="8"/>
    </row>
    <row r="26882" spans="17:17" x14ac:dyDescent="0.25">
      <c r="Q26882" s="8"/>
    </row>
    <row r="26883" spans="17:17" x14ac:dyDescent="0.25">
      <c r="Q26883" s="8"/>
    </row>
    <row r="26884" spans="17:17" x14ac:dyDescent="0.25">
      <c r="Q26884" s="8"/>
    </row>
    <row r="26885" spans="17:17" x14ac:dyDescent="0.25">
      <c r="Q26885" s="8"/>
    </row>
    <row r="26886" spans="17:17" x14ac:dyDescent="0.25">
      <c r="Q26886" s="8"/>
    </row>
    <row r="26887" spans="17:17" x14ac:dyDescent="0.25">
      <c r="Q26887" s="8"/>
    </row>
    <row r="26888" spans="17:17" x14ac:dyDescent="0.25">
      <c r="Q26888" s="8"/>
    </row>
    <row r="26889" spans="17:17" x14ac:dyDescent="0.25">
      <c r="Q26889" s="8"/>
    </row>
    <row r="26890" spans="17:17" x14ac:dyDescent="0.25">
      <c r="Q26890" s="8"/>
    </row>
    <row r="26891" spans="17:17" x14ac:dyDescent="0.25">
      <c r="Q26891" s="8"/>
    </row>
    <row r="26892" spans="17:17" x14ac:dyDescent="0.25">
      <c r="Q26892" s="8"/>
    </row>
    <row r="26893" spans="17:17" x14ac:dyDescent="0.25">
      <c r="Q26893" s="8"/>
    </row>
    <row r="26894" spans="17:17" x14ac:dyDescent="0.25">
      <c r="Q26894" s="8"/>
    </row>
    <row r="26895" spans="17:17" x14ac:dyDescent="0.25">
      <c r="Q26895" s="8"/>
    </row>
    <row r="26896" spans="17:17" x14ac:dyDescent="0.25">
      <c r="Q26896" s="8"/>
    </row>
    <row r="26897" spans="17:17" x14ac:dyDescent="0.25">
      <c r="Q26897" s="8"/>
    </row>
    <row r="26898" spans="17:17" x14ac:dyDescent="0.25">
      <c r="Q26898" s="8"/>
    </row>
    <row r="26899" spans="17:17" x14ac:dyDescent="0.25">
      <c r="Q26899" s="8"/>
    </row>
    <row r="26900" spans="17:17" x14ac:dyDescent="0.25">
      <c r="Q26900" s="8"/>
    </row>
    <row r="26901" spans="17:17" x14ac:dyDescent="0.25">
      <c r="Q26901" s="8"/>
    </row>
    <row r="26902" spans="17:17" x14ac:dyDescent="0.25">
      <c r="Q26902" s="8"/>
    </row>
    <row r="26903" spans="17:17" x14ac:dyDescent="0.25">
      <c r="Q26903" s="8"/>
    </row>
    <row r="26904" spans="17:17" x14ac:dyDescent="0.25">
      <c r="Q26904" s="8"/>
    </row>
    <row r="26905" spans="17:17" x14ac:dyDescent="0.25">
      <c r="Q26905" s="8"/>
    </row>
    <row r="26906" spans="17:17" x14ac:dyDescent="0.25">
      <c r="Q26906" s="8"/>
    </row>
    <row r="26907" spans="17:17" x14ac:dyDescent="0.25">
      <c r="Q26907" s="8"/>
    </row>
    <row r="26908" spans="17:17" x14ac:dyDescent="0.25">
      <c r="Q26908" s="8"/>
    </row>
    <row r="26909" spans="17:17" x14ac:dyDescent="0.25">
      <c r="Q26909" s="8"/>
    </row>
    <row r="26910" spans="17:17" x14ac:dyDescent="0.25">
      <c r="Q26910" s="8"/>
    </row>
    <row r="26911" spans="17:17" x14ac:dyDescent="0.25">
      <c r="Q26911" s="8"/>
    </row>
    <row r="26912" spans="17:17" x14ac:dyDescent="0.25">
      <c r="Q26912" s="8"/>
    </row>
    <row r="26913" spans="17:17" x14ac:dyDescent="0.25">
      <c r="Q26913" s="8"/>
    </row>
    <row r="26914" spans="17:17" x14ac:dyDescent="0.25">
      <c r="Q26914" s="8"/>
    </row>
    <row r="26915" spans="17:17" x14ac:dyDescent="0.25">
      <c r="Q26915" s="8"/>
    </row>
    <row r="26916" spans="17:17" x14ac:dyDescent="0.25">
      <c r="Q26916" s="8"/>
    </row>
    <row r="26917" spans="17:17" x14ac:dyDescent="0.25">
      <c r="Q26917" s="8"/>
    </row>
    <row r="26918" spans="17:17" x14ac:dyDescent="0.25">
      <c r="Q26918" s="8"/>
    </row>
    <row r="26919" spans="17:17" x14ac:dyDescent="0.25">
      <c r="Q26919" s="8"/>
    </row>
    <row r="26920" spans="17:17" x14ac:dyDescent="0.25">
      <c r="Q26920" s="8"/>
    </row>
    <row r="26921" spans="17:17" x14ac:dyDescent="0.25">
      <c r="Q26921" s="8"/>
    </row>
    <row r="26922" spans="17:17" x14ac:dyDescent="0.25">
      <c r="Q26922" s="8"/>
    </row>
    <row r="26923" spans="17:17" x14ac:dyDescent="0.25">
      <c r="Q26923" s="8"/>
    </row>
    <row r="26924" spans="17:17" x14ac:dyDescent="0.25">
      <c r="Q26924" s="8"/>
    </row>
    <row r="26925" spans="17:17" x14ac:dyDescent="0.25">
      <c r="Q26925" s="8"/>
    </row>
    <row r="26926" spans="17:17" x14ac:dyDescent="0.25">
      <c r="Q26926" s="8"/>
    </row>
    <row r="26927" spans="17:17" x14ac:dyDescent="0.25">
      <c r="Q26927" s="8"/>
    </row>
    <row r="26928" spans="17:17" x14ac:dyDescent="0.25">
      <c r="Q26928" s="8"/>
    </row>
    <row r="26929" spans="17:17" x14ac:dyDescent="0.25">
      <c r="Q26929" s="8"/>
    </row>
    <row r="26930" spans="17:17" x14ac:dyDescent="0.25">
      <c r="Q26930" s="8"/>
    </row>
    <row r="26931" spans="17:17" x14ac:dyDescent="0.25">
      <c r="Q26931" s="8"/>
    </row>
    <row r="26932" spans="17:17" x14ac:dyDescent="0.25">
      <c r="Q26932" s="8"/>
    </row>
    <row r="26933" spans="17:17" x14ac:dyDescent="0.25">
      <c r="Q26933" s="8"/>
    </row>
    <row r="26934" spans="17:17" x14ac:dyDescent="0.25">
      <c r="Q26934" s="8"/>
    </row>
    <row r="26935" spans="17:17" x14ac:dyDescent="0.25">
      <c r="Q26935" s="8"/>
    </row>
    <row r="26936" spans="17:17" x14ac:dyDescent="0.25">
      <c r="Q26936" s="8"/>
    </row>
    <row r="26937" spans="17:17" x14ac:dyDescent="0.25">
      <c r="Q26937" s="8"/>
    </row>
    <row r="26938" spans="17:17" x14ac:dyDescent="0.25">
      <c r="Q26938" s="8"/>
    </row>
    <row r="26939" spans="17:17" x14ac:dyDescent="0.25">
      <c r="Q26939" s="8"/>
    </row>
    <row r="26940" spans="17:17" x14ac:dyDescent="0.25">
      <c r="Q26940" s="8"/>
    </row>
    <row r="26941" spans="17:17" x14ac:dyDescent="0.25">
      <c r="Q26941" s="8"/>
    </row>
    <row r="26942" spans="17:17" x14ac:dyDescent="0.25">
      <c r="Q26942" s="8"/>
    </row>
    <row r="26943" spans="17:17" x14ac:dyDescent="0.25">
      <c r="Q26943" s="8"/>
    </row>
    <row r="26944" spans="17:17" x14ac:dyDescent="0.25">
      <c r="Q26944" s="8"/>
    </row>
    <row r="26945" spans="17:17" x14ac:dyDescent="0.25">
      <c r="Q26945" s="8"/>
    </row>
    <row r="26946" spans="17:17" x14ac:dyDescent="0.25">
      <c r="Q26946" s="8"/>
    </row>
    <row r="26947" spans="17:17" x14ac:dyDescent="0.25">
      <c r="Q26947" s="8"/>
    </row>
    <row r="26948" spans="17:17" x14ac:dyDescent="0.25">
      <c r="Q26948" s="8"/>
    </row>
    <row r="26949" spans="17:17" x14ac:dyDescent="0.25">
      <c r="Q26949" s="8"/>
    </row>
    <row r="26950" spans="17:17" x14ac:dyDescent="0.25">
      <c r="Q26950" s="8"/>
    </row>
    <row r="26951" spans="17:17" x14ac:dyDescent="0.25">
      <c r="Q26951" s="8"/>
    </row>
    <row r="26952" spans="17:17" x14ac:dyDescent="0.25">
      <c r="Q26952" s="8"/>
    </row>
    <row r="26953" spans="17:17" x14ac:dyDescent="0.25">
      <c r="Q26953" s="8"/>
    </row>
    <row r="26954" spans="17:17" x14ac:dyDescent="0.25">
      <c r="Q26954" s="8"/>
    </row>
    <row r="26955" spans="17:17" x14ac:dyDescent="0.25">
      <c r="Q26955" s="8"/>
    </row>
    <row r="26956" spans="17:17" x14ac:dyDescent="0.25">
      <c r="Q26956" s="8"/>
    </row>
    <row r="26957" spans="17:17" x14ac:dyDescent="0.25">
      <c r="Q26957" s="8"/>
    </row>
    <row r="26958" spans="17:17" x14ac:dyDescent="0.25">
      <c r="Q26958" s="8"/>
    </row>
    <row r="26959" spans="17:17" x14ac:dyDescent="0.25">
      <c r="Q26959" s="8"/>
    </row>
    <row r="26960" spans="17:17" x14ac:dyDescent="0.25">
      <c r="Q26960" s="8"/>
    </row>
    <row r="26961" spans="17:17" x14ac:dyDescent="0.25">
      <c r="Q26961" s="8"/>
    </row>
    <row r="26962" spans="17:17" x14ac:dyDescent="0.25">
      <c r="Q26962" s="8"/>
    </row>
    <row r="26963" spans="17:17" x14ac:dyDescent="0.25">
      <c r="Q26963" s="8"/>
    </row>
    <row r="26964" spans="17:17" x14ac:dyDescent="0.25">
      <c r="Q26964" s="8"/>
    </row>
    <row r="26965" spans="17:17" x14ac:dyDescent="0.25">
      <c r="Q26965" s="8"/>
    </row>
    <row r="26966" spans="17:17" x14ac:dyDescent="0.25">
      <c r="Q26966" s="8"/>
    </row>
    <row r="26967" spans="17:17" x14ac:dyDescent="0.25">
      <c r="Q26967" s="8"/>
    </row>
    <row r="26968" spans="17:17" x14ac:dyDescent="0.25">
      <c r="Q26968" s="8"/>
    </row>
    <row r="26969" spans="17:17" x14ac:dyDescent="0.25">
      <c r="Q26969" s="8"/>
    </row>
    <row r="26970" spans="17:17" x14ac:dyDescent="0.25">
      <c r="Q26970" s="8"/>
    </row>
    <row r="26971" spans="17:17" x14ac:dyDescent="0.25">
      <c r="Q26971" s="8"/>
    </row>
    <row r="26972" spans="17:17" x14ac:dyDescent="0.25">
      <c r="Q26972" s="8"/>
    </row>
    <row r="26973" spans="17:17" x14ac:dyDescent="0.25">
      <c r="Q26973" s="8"/>
    </row>
    <row r="26974" spans="17:17" x14ac:dyDescent="0.25">
      <c r="Q26974" s="8"/>
    </row>
    <row r="26975" spans="17:17" x14ac:dyDescent="0.25">
      <c r="Q26975" s="8"/>
    </row>
    <row r="26976" spans="17:17" x14ac:dyDescent="0.25">
      <c r="Q26976" s="8"/>
    </row>
    <row r="26977" spans="17:17" x14ac:dyDescent="0.25">
      <c r="Q26977" s="8"/>
    </row>
    <row r="26978" spans="17:17" x14ac:dyDescent="0.25">
      <c r="Q26978" s="8"/>
    </row>
    <row r="26979" spans="17:17" x14ac:dyDescent="0.25">
      <c r="Q26979" s="8"/>
    </row>
    <row r="26980" spans="17:17" x14ac:dyDescent="0.25">
      <c r="Q26980" s="8"/>
    </row>
    <row r="26981" spans="17:17" x14ac:dyDescent="0.25">
      <c r="Q26981" s="8"/>
    </row>
    <row r="26982" spans="17:17" x14ac:dyDescent="0.25">
      <c r="Q26982" s="8"/>
    </row>
    <row r="26983" spans="17:17" x14ac:dyDescent="0.25">
      <c r="Q26983" s="8"/>
    </row>
    <row r="26984" spans="17:17" x14ac:dyDescent="0.25">
      <c r="Q26984" s="8"/>
    </row>
    <row r="26985" spans="17:17" x14ac:dyDescent="0.25">
      <c r="Q26985" s="8"/>
    </row>
    <row r="26986" spans="17:17" x14ac:dyDescent="0.25">
      <c r="Q26986" s="8"/>
    </row>
    <row r="26987" spans="17:17" x14ac:dyDescent="0.25">
      <c r="Q26987" s="8"/>
    </row>
    <row r="26988" spans="17:17" x14ac:dyDescent="0.25">
      <c r="Q26988" s="8"/>
    </row>
    <row r="26989" spans="17:17" x14ac:dyDescent="0.25">
      <c r="Q26989" s="8"/>
    </row>
    <row r="26990" spans="17:17" x14ac:dyDescent="0.25">
      <c r="Q26990" s="8"/>
    </row>
    <row r="26991" spans="17:17" x14ac:dyDescent="0.25">
      <c r="Q26991" s="8"/>
    </row>
    <row r="26992" spans="17:17" x14ac:dyDescent="0.25">
      <c r="Q26992" s="8"/>
    </row>
    <row r="26993" spans="17:17" x14ac:dyDescent="0.25">
      <c r="Q26993" s="8"/>
    </row>
    <row r="26994" spans="17:17" x14ac:dyDescent="0.25">
      <c r="Q26994" s="8"/>
    </row>
    <row r="26995" spans="17:17" x14ac:dyDescent="0.25">
      <c r="Q26995" s="8"/>
    </row>
    <row r="26996" spans="17:17" x14ac:dyDescent="0.25">
      <c r="Q26996" s="8"/>
    </row>
    <row r="26997" spans="17:17" x14ac:dyDescent="0.25">
      <c r="Q26997" s="8"/>
    </row>
    <row r="26998" spans="17:17" x14ac:dyDescent="0.25">
      <c r="Q26998" s="8"/>
    </row>
    <row r="26999" spans="17:17" x14ac:dyDescent="0.25">
      <c r="Q26999" s="8"/>
    </row>
    <row r="27000" spans="17:17" x14ac:dyDescent="0.25">
      <c r="Q27000" s="8"/>
    </row>
    <row r="27001" spans="17:17" x14ac:dyDescent="0.25">
      <c r="Q27001" s="8"/>
    </row>
    <row r="27002" spans="17:17" x14ac:dyDescent="0.25">
      <c r="Q27002" s="8"/>
    </row>
    <row r="27003" spans="17:17" x14ac:dyDescent="0.25">
      <c r="Q27003" s="8"/>
    </row>
    <row r="27004" spans="17:17" x14ac:dyDescent="0.25">
      <c r="Q27004" s="8"/>
    </row>
    <row r="27005" spans="17:17" x14ac:dyDescent="0.25">
      <c r="Q27005" s="8"/>
    </row>
    <row r="27006" spans="17:17" x14ac:dyDescent="0.25">
      <c r="Q27006" s="8"/>
    </row>
    <row r="27007" spans="17:17" x14ac:dyDescent="0.25">
      <c r="Q27007" s="8"/>
    </row>
    <row r="27008" spans="17:17" x14ac:dyDescent="0.25">
      <c r="Q27008" s="8"/>
    </row>
    <row r="27009" spans="17:17" x14ac:dyDescent="0.25">
      <c r="Q27009" s="8"/>
    </row>
    <row r="27010" spans="17:17" x14ac:dyDescent="0.25">
      <c r="Q27010" s="8"/>
    </row>
    <row r="27011" spans="17:17" x14ac:dyDescent="0.25">
      <c r="Q27011" s="8"/>
    </row>
    <row r="27012" spans="17:17" x14ac:dyDescent="0.25">
      <c r="Q27012" s="8"/>
    </row>
    <row r="27013" spans="17:17" x14ac:dyDescent="0.25">
      <c r="Q27013" s="8"/>
    </row>
    <row r="27014" spans="17:17" x14ac:dyDescent="0.25">
      <c r="Q27014" s="8"/>
    </row>
    <row r="27015" spans="17:17" x14ac:dyDescent="0.25">
      <c r="Q27015" s="8"/>
    </row>
    <row r="27016" spans="17:17" x14ac:dyDescent="0.25">
      <c r="Q27016" s="8"/>
    </row>
    <row r="27017" spans="17:17" x14ac:dyDescent="0.25">
      <c r="Q27017" s="8"/>
    </row>
    <row r="27018" spans="17:17" x14ac:dyDescent="0.25">
      <c r="Q27018" s="8"/>
    </row>
    <row r="27019" spans="17:17" x14ac:dyDescent="0.25">
      <c r="Q27019" s="8"/>
    </row>
    <row r="27020" spans="17:17" x14ac:dyDescent="0.25">
      <c r="Q27020" s="8"/>
    </row>
    <row r="27021" spans="17:17" x14ac:dyDescent="0.25">
      <c r="Q27021" s="8"/>
    </row>
    <row r="27022" spans="17:17" x14ac:dyDescent="0.25">
      <c r="Q27022" s="8"/>
    </row>
    <row r="27023" spans="17:17" x14ac:dyDescent="0.25">
      <c r="Q27023" s="8"/>
    </row>
    <row r="27024" spans="17:17" x14ac:dyDescent="0.25">
      <c r="Q27024" s="8"/>
    </row>
    <row r="27025" spans="17:17" x14ac:dyDescent="0.25">
      <c r="Q27025" s="8"/>
    </row>
    <row r="27026" spans="17:17" x14ac:dyDescent="0.25">
      <c r="Q27026" s="8"/>
    </row>
    <row r="27027" spans="17:17" x14ac:dyDescent="0.25">
      <c r="Q27027" s="8"/>
    </row>
    <row r="27028" spans="17:17" x14ac:dyDescent="0.25">
      <c r="Q27028" s="8"/>
    </row>
    <row r="27029" spans="17:17" x14ac:dyDescent="0.25">
      <c r="Q27029" s="8"/>
    </row>
    <row r="27030" spans="17:17" x14ac:dyDescent="0.25">
      <c r="Q27030" s="8"/>
    </row>
    <row r="27031" spans="17:17" x14ac:dyDescent="0.25">
      <c r="Q27031" s="8"/>
    </row>
    <row r="27032" spans="17:17" x14ac:dyDescent="0.25">
      <c r="Q27032" s="8"/>
    </row>
    <row r="27033" spans="17:17" x14ac:dyDescent="0.25">
      <c r="Q27033" s="8"/>
    </row>
    <row r="27034" spans="17:17" x14ac:dyDescent="0.25">
      <c r="Q27034" s="8"/>
    </row>
    <row r="27035" spans="17:17" x14ac:dyDescent="0.25">
      <c r="Q27035" s="8"/>
    </row>
    <row r="27036" spans="17:17" x14ac:dyDescent="0.25">
      <c r="Q27036" s="8"/>
    </row>
    <row r="27037" spans="17:17" x14ac:dyDescent="0.25">
      <c r="Q27037" s="8"/>
    </row>
    <row r="27038" spans="17:17" x14ac:dyDescent="0.25">
      <c r="Q27038" s="8"/>
    </row>
    <row r="27039" spans="17:17" x14ac:dyDescent="0.25">
      <c r="Q27039" s="8"/>
    </row>
    <row r="27040" spans="17:17" x14ac:dyDescent="0.25">
      <c r="Q27040" s="8"/>
    </row>
    <row r="27041" spans="17:17" x14ac:dyDescent="0.25">
      <c r="Q27041" s="8"/>
    </row>
    <row r="27042" spans="17:17" x14ac:dyDescent="0.25">
      <c r="Q27042" s="8"/>
    </row>
    <row r="27043" spans="17:17" x14ac:dyDescent="0.25">
      <c r="Q27043" s="8"/>
    </row>
    <row r="27044" spans="17:17" x14ac:dyDescent="0.25">
      <c r="Q27044" s="8"/>
    </row>
    <row r="27045" spans="17:17" x14ac:dyDescent="0.25">
      <c r="Q27045" s="8"/>
    </row>
    <row r="27046" spans="17:17" x14ac:dyDescent="0.25">
      <c r="Q27046" s="8"/>
    </row>
    <row r="27047" spans="17:17" x14ac:dyDescent="0.25">
      <c r="Q27047" s="8"/>
    </row>
    <row r="27048" spans="17:17" x14ac:dyDescent="0.25">
      <c r="Q27048" s="8"/>
    </row>
    <row r="27049" spans="17:17" x14ac:dyDescent="0.25">
      <c r="Q27049" s="8"/>
    </row>
    <row r="27050" spans="17:17" x14ac:dyDescent="0.25">
      <c r="Q27050" s="8"/>
    </row>
    <row r="27051" spans="17:17" x14ac:dyDescent="0.25">
      <c r="Q27051" s="8"/>
    </row>
    <row r="27052" spans="17:17" x14ac:dyDescent="0.25">
      <c r="Q27052" s="8"/>
    </row>
    <row r="27053" spans="17:17" x14ac:dyDescent="0.25">
      <c r="Q27053" s="8"/>
    </row>
    <row r="27054" spans="17:17" x14ac:dyDescent="0.25">
      <c r="Q27054" s="8"/>
    </row>
    <row r="27055" spans="17:17" x14ac:dyDescent="0.25">
      <c r="Q27055" s="8"/>
    </row>
    <row r="27056" spans="17:17" x14ac:dyDescent="0.25">
      <c r="Q27056" s="8"/>
    </row>
    <row r="27057" spans="17:17" x14ac:dyDescent="0.25">
      <c r="Q27057" s="8"/>
    </row>
    <row r="27058" spans="17:17" x14ac:dyDescent="0.25">
      <c r="Q27058" s="8"/>
    </row>
    <row r="27059" spans="17:17" x14ac:dyDescent="0.25">
      <c r="Q27059" s="8"/>
    </row>
    <row r="27060" spans="17:17" x14ac:dyDescent="0.25">
      <c r="Q27060" s="8"/>
    </row>
    <row r="27061" spans="17:17" x14ac:dyDescent="0.25">
      <c r="Q27061" s="8"/>
    </row>
    <row r="27062" spans="17:17" x14ac:dyDescent="0.25">
      <c r="Q27062" s="8"/>
    </row>
    <row r="27063" spans="17:17" x14ac:dyDescent="0.25">
      <c r="Q27063" s="8"/>
    </row>
    <row r="27064" spans="17:17" x14ac:dyDescent="0.25">
      <c r="Q27064" s="8"/>
    </row>
    <row r="27065" spans="17:17" x14ac:dyDescent="0.25">
      <c r="Q27065" s="8"/>
    </row>
    <row r="27066" spans="17:17" x14ac:dyDescent="0.25">
      <c r="Q27066" s="8"/>
    </row>
    <row r="27067" spans="17:17" x14ac:dyDescent="0.25">
      <c r="Q27067" s="8"/>
    </row>
    <row r="27068" spans="17:17" x14ac:dyDescent="0.25">
      <c r="Q27068" s="8"/>
    </row>
    <row r="27069" spans="17:17" x14ac:dyDescent="0.25">
      <c r="Q27069" s="8"/>
    </row>
    <row r="27070" spans="17:17" x14ac:dyDescent="0.25">
      <c r="Q27070" s="8"/>
    </row>
    <row r="27071" spans="17:17" x14ac:dyDescent="0.25">
      <c r="Q27071" s="8"/>
    </row>
    <row r="27072" spans="17:17" x14ac:dyDescent="0.25">
      <c r="Q27072" s="8"/>
    </row>
    <row r="27073" spans="17:17" x14ac:dyDescent="0.25">
      <c r="Q27073" s="8"/>
    </row>
    <row r="27074" spans="17:17" x14ac:dyDescent="0.25">
      <c r="Q27074" s="8"/>
    </row>
    <row r="27075" spans="17:17" x14ac:dyDescent="0.25">
      <c r="Q27075" s="8"/>
    </row>
    <row r="27076" spans="17:17" x14ac:dyDescent="0.25">
      <c r="Q27076" s="8"/>
    </row>
    <row r="27077" spans="17:17" x14ac:dyDescent="0.25">
      <c r="Q27077" s="8"/>
    </row>
    <row r="27078" spans="17:17" x14ac:dyDescent="0.25">
      <c r="Q27078" s="8"/>
    </row>
    <row r="27079" spans="17:17" x14ac:dyDescent="0.25">
      <c r="Q27079" s="8"/>
    </row>
    <row r="27080" spans="17:17" x14ac:dyDescent="0.25">
      <c r="Q27080" s="8"/>
    </row>
    <row r="27081" spans="17:17" x14ac:dyDescent="0.25">
      <c r="Q27081" s="8"/>
    </row>
    <row r="27082" spans="17:17" x14ac:dyDescent="0.25">
      <c r="Q27082" s="8"/>
    </row>
    <row r="27083" spans="17:17" x14ac:dyDescent="0.25">
      <c r="Q27083" s="8"/>
    </row>
    <row r="27084" spans="17:17" x14ac:dyDescent="0.25">
      <c r="Q27084" s="8"/>
    </row>
    <row r="27085" spans="17:17" x14ac:dyDescent="0.25">
      <c r="Q27085" s="8"/>
    </row>
    <row r="27086" spans="17:17" x14ac:dyDescent="0.25">
      <c r="Q27086" s="8"/>
    </row>
    <row r="27087" spans="17:17" x14ac:dyDescent="0.25">
      <c r="Q27087" s="8"/>
    </row>
    <row r="27088" spans="17:17" x14ac:dyDescent="0.25">
      <c r="Q27088" s="8"/>
    </row>
    <row r="27089" spans="17:17" x14ac:dyDescent="0.25">
      <c r="Q27089" s="8"/>
    </row>
    <row r="27090" spans="17:17" x14ac:dyDescent="0.25">
      <c r="Q27090" s="8"/>
    </row>
    <row r="27091" spans="17:17" x14ac:dyDescent="0.25">
      <c r="Q27091" s="8"/>
    </row>
    <row r="27092" spans="17:17" x14ac:dyDescent="0.25">
      <c r="Q27092" s="8"/>
    </row>
    <row r="27093" spans="17:17" x14ac:dyDescent="0.25">
      <c r="Q27093" s="8"/>
    </row>
    <row r="27094" spans="17:17" x14ac:dyDescent="0.25">
      <c r="Q27094" s="8"/>
    </row>
    <row r="27095" spans="17:17" x14ac:dyDescent="0.25">
      <c r="Q27095" s="8"/>
    </row>
    <row r="27096" spans="17:17" x14ac:dyDescent="0.25">
      <c r="Q27096" s="8"/>
    </row>
    <row r="27097" spans="17:17" x14ac:dyDescent="0.25">
      <c r="Q27097" s="8"/>
    </row>
    <row r="27098" spans="17:17" x14ac:dyDescent="0.25">
      <c r="Q27098" s="8"/>
    </row>
    <row r="27099" spans="17:17" x14ac:dyDescent="0.25">
      <c r="Q27099" s="8"/>
    </row>
    <row r="27100" spans="17:17" x14ac:dyDescent="0.25">
      <c r="Q27100" s="8"/>
    </row>
    <row r="27101" spans="17:17" x14ac:dyDescent="0.25">
      <c r="Q27101" s="8"/>
    </row>
    <row r="27102" spans="17:17" x14ac:dyDescent="0.25">
      <c r="Q27102" s="8"/>
    </row>
    <row r="27103" spans="17:17" x14ac:dyDescent="0.25">
      <c r="Q27103" s="8"/>
    </row>
    <row r="27104" spans="17:17" x14ac:dyDescent="0.25">
      <c r="Q27104" s="8"/>
    </row>
    <row r="27105" spans="17:17" x14ac:dyDescent="0.25">
      <c r="Q27105" s="8"/>
    </row>
    <row r="27106" spans="17:17" x14ac:dyDescent="0.25">
      <c r="Q27106" s="8"/>
    </row>
    <row r="27107" spans="17:17" x14ac:dyDescent="0.25">
      <c r="Q27107" s="8"/>
    </row>
    <row r="27108" spans="17:17" x14ac:dyDescent="0.25">
      <c r="Q27108" s="8"/>
    </row>
    <row r="27109" spans="17:17" x14ac:dyDescent="0.25">
      <c r="Q27109" s="8"/>
    </row>
    <row r="27110" spans="17:17" x14ac:dyDescent="0.25">
      <c r="Q27110" s="8"/>
    </row>
    <row r="27111" spans="17:17" x14ac:dyDescent="0.25">
      <c r="Q27111" s="8"/>
    </row>
    <row r="27112" spans="17:17" x14ac:dyDescent="0.25">
      <c r="Q27112" s="8"/>
    </row>
    <row r="27113" spans="17:17" x14ac:dyDescent="0.25">
      <c r="Q27113" s="8"/>
    </row>
    <row r="27114" spans="17:17" x14ac:dyDescent="0.25">
      <c r="Q27114" s="8"/>
    </row>
    <row r="27115" spans="17:17" x14ac:dyDescent="0.25">
      <c r="Q27115" s="8"/>
    </row>
    <row r="27116" spans="17:17" x14ac:dyDescent="0.25">
      <c r="Q27116" s="8"/>
    </row>
    <row r="27117" spans="17:17" x14ac:dyDescent="0.25">
      <c r="Q27117" s="8"/>
    </row>
    <row r="27118" spans="17:17" x14ac:dyDescent="0.25">
      <c r="Q27118" s="8"/>
    </row>
    <row r="27119" spans="17:17" x14ac:dyDescent="0.25">
      <c r="Q27119" s="8"/>
    </row>
    <row r="27120" spans="17:17" x14ac:dyDescent="0.25">
      <c r="Q27120" s="8"/>
    </row>
    <row r="27121" spans="17:17" x14ac:dyDescent="0.25">
      <c r="Q27121" s="8"/>
    </row>
    <row r="27122" spans="17:17" x14ac:dyDescent="0.25">
      <c r="Q27122" s="8"/>
    </row>
    <row r="27123" spans="17:17" x14ac:dyDescent="0.25">
      <c r="Q27123" s="8"/>
    </row>
    <row r="27124" spans="17:17" x14ac:dyDescent="0.25">
      <c r="Q27124" s="8"/>
    </row>
    <row r="27125" spans="17:17" x14ac:dyDescent="0.25">
      <c r="Q27125" s="8"/>
    </row>
    <row r="27126" spans="17:17" x14ac:dyDescent="0.25">
      <c r="Q27126" s="8"/>
    </row>
    <row r="27127" spans="17:17" x14ac:dyDescent="0.25">
      <c r="Q27127" s="8"/>
    </row>
    <row r="27128" spans="17:17" x14ac:dyDescent="0.25">
      <c r="Q27128" s="8"/>
    </row>
    <row r="27129" spans="17:17" x14ac:dyDescent="0.25">
      <c r="Q27129" s="8"/>
    </row>
    <row r="27130" spans="17:17" x14ac:dyDescent="0.25">
      <c r="Q27130" s="8"/>
    </row>
    <row r="27131" spans="17:17" x14ac:dyDescent="0.25">
      <c r="Q27131" s="8"/>
    </row>
    <row r="27132" spans="17:17" x14ac:dyDescent="0.25">
      <c r="Q27132" s="8"/>
    </row>
    <row r="27133" spans="17:17" x14ac:dyDescent="0.25">
      <c r="Q27133" s="8"/>
    </row>
    <row r="27134" spans="17:17" x14ac:dyDescent="0.25">
      <c r="Q27134" s="8"/>
    </row>
    <row r="27135" spans="17:17" x14ac:dyDescent="0.25">
      <c r="Q27135" s="8"/>
    </row>
    <row r="27136" spans="17:17" x14ac:dyDescent="0.25">
      <c r="Q27136" s="8"/>
    </row>
    <row r="27137" spans="17:17" x14ac:dyDescent="0.25">
      <c r="Q27137" s="8"/>
    </row>
    <row r="27138" spans="17:17" x14ac:dyDescent="0.25">
      <c r="Q27138" s="8"/>
    </row>
    <row r="27139" spans="17:17" x14ac:dyDescent="0.25">
      <c r="Q27139" s="8"/>
    </row>
    <row r="27140" spans="17:17" x14ac:dyDescent="0.25">
      <c r="Q27140" s="8"/>
    </row>
    <row r="27141" spans="17:17" x14ac:dyDescent="0.25">
      <c r="Q27141" s="8"/>
    </row>
    <row r="27142" spans="17:17" x14ac:dyDescent="0.25">
      <c r="Q27142" s="8"/>
    </row>
    <row r="27143" spans="17:17" x14ac:dyDescent="0.25">
      <c r="Q27143" s="8"/>
    </row>
    <row r="27144" spans="17:17" x14ac:dyDescent="0.25">
      <c r="Q27144" s="8"/>
    </row>
    <row r="27145" spans="17:17" x14ac:dyDescent="0.25">
      <c r="Q27145" s="8"/>
    </row>
    <row r="27146" spans="17:17" x14ac:dyDescent="0.25">
      <c r="Q27146" s="8"/>
    </row>
    <row r="27147" spans="17:17" x14ac:dyDescent="0.25">
      <c r="Q27147" s="8"/>
    </row>
    <row r="27148" spans="17:17" x14ac:dyDescent="0.25">
      <c r="Q27148" s="8"/>
    </row>
    <row r="27149" spans="17:17" x14ac:dyDescent="0.25">
      <c r="Q27149" s="8"/>
    </row>
    <row r="27150" spans="17:17" x14ac:dyDescent="0.25">
      <c r="Q27150" s="8"/>
    </row>
    <row r="27151" spans="17:17" x14ac:dyDescent="0.25">
      <c r="Q27151" s="8"/>
    </row>
    <row r="27152" spans="17:17" x14ac:dyDescent="0.25">
      <c r="Q27152" s="8"/>
    </row>
    <row r="27153" spans="17:17" x14ac:dyDescent="0.25">
      <c r="Q27153" s="8"/>
    </row>
    <row r="27154" spans="17:17" x14ac:dyDescent="0.25">
      <c r="Q27154" s="8"/>
    </row>
    <row r="27155" spans="17:17" x14ac:dyDescent="0.25">
      <c r="Q27155" s="8"/>
    </row>
    <row r="27156" spans="17:17" x14ac:dyDescent="0.25">
      <c r="Q27156" s="8"/>
    </row>
    <row r="27157" spans="17:17" x14ac:dyDescent="0.25">
      <c r="Q27157" s="8"/>
    </row>
    <row r="27158" spans="17:17" x14ac:dyDescent="0.25">
      <c r="Q27158" s="8"/>
    </row>
    <row r="27159" spans="17:17" x14ac:dyDescent="0.25">
      <c r="Q27159" s="8"/>
    </row>
    <row r="27160" spans="17:17" x14ac:dyDescent="0.25">
      <c r="Q27160" s="8"/>
    </row>
    <row r="27161" spans="17:17" x14ac:dyDescent="0.25">
      <c r="Q27161" s="8"/>
    </row>
    <row r="27162" spans="17:17" x14ac:dyDescent="0.25">
      <c r="Q27162" s="8"/>
    </row>
    <row r="27163" spans="17:17" x14ac:dyDescent="0.25">
      <c r="Q27163" s="8"/>
    </row>
    <row r="27164" spans="17:17" x14ac:dyDescent="0.25">
      <c r="Q27164" s="8"/>
    </row>
    <row r="27165" spans="17:17" x14ac:dyDescent="0.25">
      <c r="Q27165" s="8"/>
    </row>
    <row r="27166" spans="17:17" x14ac:dyDescent="0.25">
      <c r="Q27166" s="8"/>
    </row>
    <row r="27167" spans="17:17" x14ac:dyDescent="0.25">
      <c r="Q27167" s="8"/>
    </row>
    <row r="27168" spans="17:17" x14ac:dyDescent="0.25">
      <c r="Q27168" s="8"/>
    </row>
    <row r="27169" spans="17:17" x14ac:dyDescent="0.25">
      <c r="Q27169" s="8"/>
    </row>
    <row r="27170" spans="17:17" x14ac:dyDescent="0.25">
      <c r="Q27170" s="8"/>
    </row>
    <row r="27171" spans="17:17" x14ac:dyDescent="0.25">
      <c r="Q27171" s="8"/>
    </row>
    <row r="27172" spans="17:17" x14ac:dyDescent="0.25">
      <c r="Q27172" s="8"/>
    </row>
    <row r="27173" spans="17:17" x14ac:dyDescent="0.25">
      <c r="Q27173" s="8"/>
    </row>
    <row r="27174" spans="17:17" x14ac:dyDescent="0.25">
      <c r="Q27174" s="8"/>
    </row>
    <row r="27175" spans="17:17" x14ac:dyDescent="0.25">
      <c r="Q27175" s="8"/>
    </row>
    <row r="27176" spans="17:17" x14ac:dyDescent="0.25">
      <c r="Q27176" s="8"/>
    </row>
    <row r="27177" spans="17:17" x14ac:dyDescent="0.25">
      <c r="Q27177" s="8"/>
    </row>
    <row r="27178" spans="17:17" x14ac:dyDescent="0.25">
      <c r="Q27178" s="8"/>
    </row>
    <row r="27179" spans="17:17" x14ac:dyDescent="0.25">
      <c r="Q27179" s="8"/>
    </row>
    <row r="27180" spans="17:17" x14ac:dyDescent="0.25">
      <c r="Q27180" s="8"/>
    </row>
    <row r="27181" spans="17:17" x14ac:dyDescent="0.25">
      <c r="Q27181" s="8"/>
    </row>
    <row r="27182" spans="17:17" x14ac:dyDescent="0.25">
      <c r="Q27182" s="8"/>
    </row>
    <row r="27183" spans="17:17" x14ac:dyDescent="0.25">
      <c r="Q27183" s="8"/>
    </row>
    <row r="27184" spans="17:17" x14ac:dyDescent="0.25">
      <c r="Q27184" s="8"/>
    </row>
    <row r="27185" spans="17:17" x14ac:dyDescent="0.25">
      <c r="Q27185" s="8"/>
    </row>
    <row r="27186" spans="17:17" x14ac:dyDescent="0.25">
      <c r="Q27186" s="8"/>
    </row>
    <row r="27187" spans="17:17" x14ac:dyDescent="0.25">
      <c r="Q27187" s="8"/>
    </row>
    <row r="27188" spans="17:17" x14ac:dyDescent="0.25">
      <c r="Q27188" s="8"/>
    </row>
    <row r="27189" spans="17:17" x14ac:dyDescent="0.25">
      <c r="Q27189" s="8"/>
    </row>
    <row r="27190" spans="17:17" x14ac:dyDescent="0.25">
      <c r="Q27190" s="8"/>
    </row>
    <row r="27191" spans="17:17" x14ac:dyDescent="0.25">
      <c r="Q27191" s="8"/>
    </row>
    <row r="27192" spans="17:17" x14ac:dyDescent="0.25">
      <c r="Q27192" s="8"/>
    </row>
    <row r="27193" spans="17:17" x14ac:dyDescent="0.25">
      <c r="Q27193" s="8"/>
    </row>
    <row r="27194" spans="17:17" x14ac:dyDescent="0.25">
      <c r="Q27194" s="8"/>
    </row>
    <row r="27195" spans="17:17" x14ac:dyDescent="0.25">
      <c r="Q27195" s="8"/>
    </row>
    <row r="27196" spans="17:17" x14ac:dyDescent="0.25">
      <c r="Q27196" s="8"/>
    </row>
    <row r="27197" spans="17:17" x14ac:dyDescent="0.25">
      <c r="Q27197" s="8"/>
    </row>
    <row r="27198" spans="17:17" x14ac:dyDescent="0.25">
      <c r="Q27198" s="8"/>
    </row>
    <row r="27199" spans="17:17" x14ac:dyDescent="0.25">
      <c r="Q27199" s="8"/>
    </row>
    <row r="27200" spans="17:17" x14ac:dyDescent="0.25">
      <c r="Q27200" s="8"/>
    </row>
    <row r="27201" spans="17:17" x14ac:dyDescent="0.25">
      <c r="Q27201" s="8"/>
    </row>
    <row r="27202" spans="17:17" x14ac:dyDescent="0.25">
      <c r="Q27202" s="8"/>
    </row>
    <row r="27203" spans="17:17" x14ac:dyDescent="0.25">
      <c r="Q27203" s="8"/>
    </row>
    <row r="27204" spans="17:17" x14ac:dyDescent="0.25">
      <c r="Q27204" s="8"/>
    </row>
    <row r="27205" spans="17:17" x14ac:dyDescent="0.25">
      <c r="Q27205" s="8"/>
    </row>
    <row r="27206" spans="17:17" x14ac:dyDescent="0.25">
      <c r="Q27206" s="8"/>
    </row>
    <row r="27207" spans="17:17" x14ac:dyDescent="0.25">
      <c r="Q27207" s="8"/>
    </row>
    <row r="27208" spans="17:17" x14ac:dyDescent="0.25">
      <c r="Q27208" s="8"/>
    </row>
    <row r="27209" spans="17:17" x14ac:dyDescent="0.25">
      <c r="Q27209" s="8"/>
    </row>
    <row r="27210" spans="17:17" x14ac:dyDescent="0.25">
      <c r="Q27210" s="8"/>
    </row>
    <row r="27211" spans="17:17" x14ac:dyDescent="0.25">
      <c r="Q27211" s="8"/>
    </row>
    <row r="27212" spans="17:17" x14ac:dyDescent="0.25">
      <c r="Q27212" s="8"/>
    </row>
    <row r="27213" spans="17:17" x14ac:dyDescent="0.25">
      <c r="Q27213" s="8"/>
    </row>
    <row r="27214" spans="17:17" x14ac:dyDescent="0.25">
      <c r="Q27214" s="8"/>
    </row>
    <row r="27215" spans="17:17" x14ac:dyDescent="0.25">
      <c r="Q27215" s="8"/>
    </row>
    <row r="27216" spans="17:17" x14ac:dyDescent="0.25">
      <c r="Q27216" s="8"/>
    </row>
    <row r="27217" spans="17:17" x14ac:dyDescent="0.25">
      <c r="Q27217" s="8"/>
    </row>
    <row r="27218" spans="17:17" x14ac:dyDescent="0.25">
      <c r="Q27218" s="8"/>
    </row>
    <row r="27219" spans="17:17" x14ac:dyDescent="0.25">
      <c r="Q27219" s="8"/>
    </row>
    <row r="27220" spans="17:17" x14ac:dyDescent="0.25">
      <c r="Q27220" s="8"/>
    </row>
    <row r="27221" spans="17:17" x14ac:dyDescent="0.25">
      <c r="Q27221" s="8"/>
    </row>
    <row r="27222" spans="17:17" x14ac:dyDescent="0.25">
      <c r="Q27222" s="8"/>
    </row>
    <row r="27223" spans="17:17" x14ac:dyDescent="0.25">
      <c r="Q27223" s="8"/>
    </row>
    <row r="27224" spans="17:17" x14ac:dyDescent="0.25">
      <c r="Q27224" s="8"/>
    </row>
    <row r="27225" spans="17:17" x14ac:dyDescent="0.25">
      <c r="Q27225" s="8"/>
    </row>
    <row r="27226" spans="17:17" x14ac:dyDescent="0.25">
      <c r="Q27226" s="8"/>
    </row>
    <row r="27227" spans="17:17" x14ac:dyDescent="0.25">
      <c r="Q27227" s="8"/>
    </row>
    <row r="27228" spans="17:17" x14ac:dyDescent="0.25">
      <c r="Q27228" s="8"/>
    </row>
    <row r="27229" spans="17:17" x14ac:dyDescent="0.25">
      <c r="Q27229" s="8"/>
    </row>
    <row r="27230" spans="17:17" x14ac:dyDescent="0.25">
      <c r="Q27230" s="8"/>
    </row>
    <row r="27231" spans="17:17" x14ac:dyDescent="0.25">
      <c r="Q27231" s="8"/>
    </row>
    <row r="27232" spans="17:17" x14ac:dyDescent="0.25">
      <c r="Q27232" s="8"/>
    </row>
    <row r="27233" spans="17:17" x14ac:dyDescent="0.25">
      <c r="Q27233" s="8"/>
    </row>
    <row r="27234" spans="17:17" x14ac:dyDescent="0.25">
      <c r="Q27234" s="8"/>
    </row>
    <row r="27235" spans="17:17" x14ac:dyDescent="0.25">
      <c r="Q27235" s="8"/>
    </row>
    <row r="27236" spans="17:17" x14ac:dyDescent="0.25">
      <c r="Q27236" s="8"/>
    </row>
    <row r="27237" spans="17:17" x14ac:dyDescent="0.25">
      <c r="Q27237" s="8"/>
    </row>
    <row r="27238" spans="17:17" x14ac:dyDescent="0.25">
      <c r="Q27238" s="8"/>
    </row>
    <row r="27239" spans="17:17" x14ac:dyDescent="0.25">
      <c r="Q27239" s="8"/>
    </row>
    <row r="27240" spans="17:17" x14ac:dyDescent="0.25">
      <c r="Q27240" s="8"/>
    </row>
    <row r="27241" spans="17:17" x14ac:dyDescent="0.25">
      <c r="Q27241" s="8"/>
    </row>
    <row r="27242" spans="17:17" x14ac:dyDescent="0.25">
      <c r="Q27242" s="8"/>
    </row>
    <row r="27243" spans="17:17" x14ac:dyDescent="0.25">
      <c r="Q27243" s="8"/>
    </row>
    <row r="27244" spans="17:17" x14ac:dyDescent="0.25">
      <c r="Q27244" s="8"/>
    </row>
    <row r="27245" spans="17:17" x14ac:dyDescent="0.25">
      <c r="Q27245" s="8"/>
    </row>
    <row r="27246" spans="17:17" x14ac:dyDescent="0.25">
      <c r="Q27246" s="8"/>
    </row>
    <row r="27247" spans="17:17" x14ac:dyDescent="0.25">
      <c r="Q27247" s="8"/>
    </row>
    <row r="27248" spans="17:17" x14ac:dyDescent="0.25">
      <c r="Q27248" s="8"/>
    </row>
    <row r="27249" spans="17:17" x14ac:dyDescent="0.25">
      <c r="Q27249" s="8"/>
    </row>
    <row r="27250" spans="17:17" x14ac:dyDescent="0.25">
      <c r="Q27250" s="8"/>
    </row>
    <row r="27251" spans="17:17" x14ac:dyDescent="0.25">
      <c r="Q27251" s="8"/>
    </row>
    <row r="27252" spans="17:17" x14ac:dyDescent="0.25">
      <c r="Q27252" s="8"/>
    </row>
    <row r="27253" spans="17:17" x14ac:dyDescent="0.25">
      <c r="Q27253" s="8"/>
    </row>
    <row r="27254" spans="17:17" x14ac:dyDescent="0.25">
      <c r="Q27254" s="8"/>
    </row>
    <row r="27255" spans="17:17" x14ac:dyDescent="0.25">
      <c r="Q27255" s="8"/>
    </row>
    <row r="27256" spans="17:17" x14ac:dyDescent="0.25">
      <c r="Q27256" s="8"/>
    </row>
    <row r="27257" spans="17:17" x14ac:dyDescent="0.25">
      <c r="Q27257" s="8"/>
    </row>
    <row r="27258" spans="17:17" x14ac:dyDescent="0.25">
      <c r="Q27258" s="8"/>
    </row>
    <row r="27259" spans="17:17" x14ac:dyDescent="0.25">
      <c r="Q27259" s="8"/>
    </row>
    <row r="27260" spans="17:17" x14ac:dyDescent="0.25">
      <c r="Q27260" s="8"/>
    </row>
    <row r="27261" spans="17:17" x14ac:dyDescent="0.25">
      <c r="Q27261" s="8"/>
    </row>
    <row r="27262" spans="17:17" x14ac:dyDescent="0.25">
      <c r="Q27262" s="8"/>
    </row>
    <row r="27263" spans="17:17" x14ac:dyDescent="0.25">
      <c r="Q27263" s="8"/>
    </row>
    <row r="27264" spans="17:17" x14ac:dyDescent="0.25">
      <c r="Q27264" s="8"/>
    </row>
    <row r="27265" spans="17:17" x14ac:dyDescent="0.25">
      <c r="Q27265" s="8"/>
    </row>
    <row r="27266" spans="17:17" x14ac:dyDescent="0.25">
      <c r="Q27266" s="8"/>
    </row>
    <row r="27267" spans="17:17" x14ac:dyDescent="0.25">
      <c r="Q27267" s="8"/>
    </row>
    <row r="27268" spans="17:17" x14ac:dyDescent="0.25">
      <c r="Q27268" s="8"/>
    </row>
    <row r="27269" spans="17:17" x14ac:dyDescent="0.25">
      <c r="Q27269" s="8"/>
    </row>
    <row r="27270" spans="17:17" x14ac:dyDescent="0.25">
      <c r="Q27270" s="8"/>
    </row>
    <row r="27271" spans="17:17" x14ac:dyDescent="0.25">
      <c r="Q27271" s="8"/>
    </row>
    <row r="27272" spans="17:17" x14ac:dyDescent="0.25">
      <c r="Q27272" s="8"/>
    </row>
    <row r="27273" spans="17:17" x14ac:dyDescent="0.25">
      <c r="Q27273" s="8"/>
    </row>
    <row r="27274" spans="17:17" x14ac:dyDescent="0.25">
      <c r="Q27274" s="8"/>
    </row>
    <row r="27275" spans="17:17" x14ac:dyDescent="0.25">
      <c r="Q27275" s="8"/>
    </row>
    <row r="27276" spans="17:17" x14ac:dyDescent="0.25">
      <c r="Q27276" s="8"/>
    </row>
    <row r="27277" spans="17:17" x14ac:dyDescent="0.25">
      <c r="Q27277" s="8"/>
    </row>
    <row r="27278" spans="17:17" x14ac:dyDescent="0.25">
      <c r="Q27278" s="8"/>
    </row>
    <row r="27279" spans="17:17" x14ac:dyDescent="0.25">
      <c r="Q27279" s="8"/>
    </row>
    <row r="27280" spans="17:17" x14ac:dyDescent="0.25">
      <c r="Q27280" s="8"/>
    </row>
    <row r="27281" spans="17:17" x14ac:dyDescent="0.25">
      <c r="Q27281" s="8"/>
    </row>
    <row r="27282" spans="17:17" x14ac:dyDescent="0.25">
      <c r="Q27282" s="8"/>
    </row>
    <row r="27283" spans="17:17" x14ac:dyDescent="0.25">
      <c r="Q27283" s="8"/>
    </row>
    <row r="27284" spans="17:17" x14ac:dyDescent="0.25">
      <c r="Q27284" s="8"/>
    </row>
    <row r="27285" spans="17:17" x14ac:dyDescent="0.25">
      <c r="Q27285" s="8"/>
    </row>
    <row r="27286" spans="17:17" x14ac:dyDescent="0.25">
      <c r="Q27286" s="8"/>
    </row>
    <row r="27287" spans="17:17" x14ac:dyDescent="0.25">
      <c r="Q27287" s="8"/>
    </row>
    <row r="27288" spans="17:17" x14ac:dyDescent="0.25">
      <c r="Q27288" s="8"/>
    </row>
    <row r="27289" spans="17:17" x14ac:dyDescent="0.25">
      <c r="Q27289" s="8"/>
    </row>
    <row r="27290" spans="17:17" x14ac:dyDescent="0.25">
      <c r="Q27290" s="8"/>
    </row>
    <row r="27291" spans="17:17" x14ac:dyDescent="0.25">
      <c r="Q27291" s="8"/>
    </row>
    <row r="27292" spans="17:17" x14ac:dyDescent="0.25">
      <c r="Q27292" s="8"/>
    </row>
    <row r="27293" spans="17:17" x14ac:dyDescent="0.25">
      <c r="Q27293" s="8"/>
    </row>
    <row r="27294" spans="17:17" x14ac:dyDescent="0.25">
      <c r="Q27294" s="8"/>
    </row>
    <row r="27295" spans="17:17" x14ac:dyDescent="0.25">
      <c r="Q27295" s="8"/>
    </row>
    <row r="27296" spans="17:17" x14ac:dyDescent="0.25">
      <c r="Q27296" s="8"/>
    </row>
    <row r="27297" spans="17:17" x14ac:dyDescent="0.25">
      <c r="Q27297" s="8"/>
    </row>
    <row r="27298" spans="17:17" x14ac:dyDescent="0.25">
      <c r="Q27298" s="8"/>
    </row>
    <row r="27299" spans="17:17" x14ac:dyDescent="0.25">
      <c r="Q27299" s="8"/>
    </row>
    <row r="27300" spans="17:17" x14ac:dyDescent="0.25">
      <c r="Q27300" s="8"/>
    </row>
    <row r="27301" spans="17:17" x14ac:dyDescent="0.25">
      <c r="Q27301" s="8"/>
    </row>
    <row r="27302" spans="17:17" x14ac:dyDescent="0.25">
      <c r="Q27302" s="8"/>
    </row>
    <row r="27303" spans="17:17" x14ac:dyDescent="0.25">
      <c r="Q27303" s="8"/>
    </row>
    <row r="27304" spans="17:17" x14ac:dyDescent="0.25">
      <c r="Q27304" s="8"/>
    </row>
    <row r="27305" spans="17:17" x14ac:dyDescent="0.25">
      <c r="Q27305" s="8"/>
    </row>
    <row r="27306" spans="17:17" x14ac:dyDescent="0.25">
      <c r="Q27306" s="8"/>
    </row>
    <row r="27307" spans="17:17" x14ac:dyDescent="0.25">
      <c r="Q27307" s="8"/>
    </row>
    <row r="27308" spans="17:17" x14ac:dyDescent="0.25">
      <c r="Q27308" s="8"/>
    </row>
    <row r="27309" spans="17:17" x14ac:dyDescent="0.25">
      <c r="Q27309" s="8"/>
    </row>
    <row r="27310" spans="17:17" x14ac:dyDescent="0.25">
      <c r="Q27310" s="8"/>
    </row>
    <row r="27311" spans="17:17" x14ac:dyDescent="0.25">
      <c r="Q27311" s="8"/>
    </row>
    <row r="27312" spans="17:17" x14ac:dyDescent="0.25">
      <c r="Q27312" s="8"/>
    </row>
    <row r="27313" spans="17:17" x14ac:dyDescent="0.25">
      <c r="Q27313" s="8"/>
    </row>
    <row r="27314" spans="17:17" x14ac:dyDescent="0.25">
      <c r="Q27314" s="8"/>
    </row>
    <row r="27315" spans="17:17" x14ac:dyDescent="0.25">
      <c r="Q27315" s="8"/>
    </row>
    <row r="27316" spans="17:17" x14ac:dyDescent="0.25">
      <c r="Q27316" s="8"/>
    </row>
    <row r="27317" spans="17:17" x14ac:dyDescent="0.25">
      <c r="Q27317" s="8"/>
    </row>
    <row r="27318" spans="17:17" x14ac:dyDescent="0.25">
      <c r="Q27318" s="8"/>
    </row>
    <row r="27319" spans="17:17" x14ac:dyDescent="0.25">
      <c r="Q27319" s="8"/>
    </row>
    <row r="27320" spans="17:17" x14ac:dyDescent="0.25">
      <c r="Q27320" s="8"/>
    </row>
    <row r="27321" spans="17:17" x14ac:dyDescent="0.25">
      <c r="Q27321" s="8"/>
    </row>
    <row r="27322" spans="17:17" x14ac:dyDescent="0.25">
      <c r="Q27322" s="8"/>
    </row>
    <row r="27323" spans="17:17" x14ac:dyDescent="0.25">
      <c r="Q27323" s="8"/>
    </row>
    <row r="27324" spans="17:17" x14ac:dyDescent="0.25">
      <c r="Q27324" s="8"/>
    </row>
    <row r="27325" spans="17:17" x14ac:dyDescent="0.25">
      <c r="Q27325" s="8"/>
    </row>
    <row r="27326" spans="17:17" x14ac:dyDescent="0.25">
      <c r="Q27326" s="8"/>
    </row>
    <row r="27327" spans="17:17" x14ac:dyDescent="0.25">
      <c r="Q27327" s="8"/>
    </row>
    <row r="27328" spans="17:17" x14ac:dyDescent="0.25">
      <c r="Q27328" s="8"/>
    </row>
    <row r="27329" spans="17:17" x14ac:dyDescent="0.25">
      <c r="Q27329" s="8"/>
    </row>
    <row r="27330" spans="17:17" x14ac:dyDescent="0.25">
      <c r="Q27330" s="8"/>
    </row>
    <row r="27331" spans="17:17" x14ac:dyDescent="0.25">
      <c r="Q27331" s="8"/>
    </row>
    <row r="27332" spans="17:17" x14ac:dyDescent="0.25">
      <c r="Q27332" s="8"/>
    </row>
    <row r="27333" spans="17:17" x14ac:dyDescent="0.25">
      <c r="Q27333" s="8"/>
    </row>
    <row r="27334" spans="17:17" x14ac:dyDescent="0.25">
      <c r="Q27334" s="8"/>
    </row>
    <row r="27335" spans="17:17" x14ac:dyDescent="0.25">
      <c r="Q27335" s="8"/>
    </row>
    <row r="27336" spans="17:17" x14ac:dyDescent="0.25">
      <c r="Q27336" s="8"/>
    </row>
    <row r="27337" spans="17:17" x14ac:dyDescent="0.25">
      <c r="Q27337" s="8"/>
    </row>
    <row r="27338" spans="17:17" x14ac:dyDescent="0.25">
      <c r="Q27338" s="8"/>
    </row>
    <row r="27339" spans="17:17" x14ac:dyDescent="0.25">
      <c r="Q27339" s="8"/>
    </row>
    <row r="27340" spans="17:17" x14ac:dyDescent="0.25">
      <c r="Q27340" s="8"/>
    </row>
    <row r="27341" spans="17:17" x14ac:dyDescent="0.25">
      <c r="Q27341" s="8"/>
    </row>
    <row r="27342" spans="17:17" x14ac:dyDescent="0.25">
      <c r="Q27342" s="8"/>
    </row>
    <row r="27343" spans="17:17" x14ac:dyDescent="0.25">
      <c r="Q27343" s="8"/>
    </row>
    <row r="27344" spans="17:17" x14ac:dyDescent="0.25">
      <c r="Q27344" s="8"/>
    </row>
    <row r="27345" spans="17:17" x14ac:dyDescent="0.25">
      <c r="Q27345" s="8"/>
    </row>
    <row r="27346" spans="17:17" x14ac:dyDescent="0.25">
      <c r="Q27346" s="8"/>
    </row>
    <row r="27347" spans="17:17" x14ac:dyDescent="0.25">
      <c r="Q27347" s="8"/>
    </row>
    <row r="27348" spans="17:17" x14ac:dyDescent="0.25">
      <c r="Q27348" s="8"/>
    </row>
    <row r="27349" spans="17:17" x14ac:dyDescent="0.25">
      <c r="Q27349" s="8"/>
    </row>
    <row r="27350" spans="17:17" x14ac:dyDescent="0.25">
      <c r="Q27350" s="8"/>
    </row>
    <row r="27351" spans="17:17" x14ac:dyDescent="0.25">
      <c r="Q27351" s="8"/>
    </row>
    <row r="27352" spans="17:17" x14ac:dyDescent="0.25">
      <c r="Q27352" s="8"/>
    </row>
    <row r="27353" spans="17:17" x14ac:dyDescent="0.25">
      <c r="Q27353" s="8"/>
    </row>
    <row r="27354" spans="17:17" x14ac:dyDescent="0.25">
      <c r="Q27354" s="8"/>
    </row>
    <row r="27355" spans="17:17" x14ac:dyDescent="0.25">
      <c r="Q27355" s="8"/>
    </row>
    <row r="27356" spans="17:17" x14ac:dyDescent="0.25">
      <c r="Q27356" s="8"/>
    </row>
    <row r="27357" spans="17:17" x14ac:dyDescent="0.25">
      <c r="Q27357" s="8"/>
    </row>
    <row r="27358" spans="17:17" x14ac:dyDescent="0.25">
      <c r="Q27358" s="8"/>
    </row>
    <row r="27359" spans="17:17" x14ac:dyDescent="0.25">
      <c r="Q27359" s="8"/>
    </row>
    <row r="27360" spans="17:17" x14ac:dyDescent="0.25">
      <c r="Q27360" s="8"/>
    </row>
    <row r="27361" spans="17:17" x14ac:dyDescent="0.25">
      <c r="Q27361" s="8"/>
    </row>
    <row r="27362" spans="17:17" x14ac:dyDescent="0.25">
      <c r="Q27362" s="8"/>
    </row>
    <row r="27363" spans="17:17" x14ac:dyDescent="0.25">
      <c r="Q27363" s="8"/>
    </row>
    <row r="27364" spans="17:17" x14ac:dyDescent="0.25">
      <c r="Q27364" s="8"/>
    </row>
    <row r="27365" spans="17:17" x14ac:dyDescent="0.25">
      <c r="Q27365" s="8"/>
    </row>
    <row r="27366" spans="17:17" x14ac:dyDescent="0.25">
      <c r="Q27366" s="8"/>
    </row>
    <row r="27367" spans="17:17" x14ac:dyDescent="0.25">
      <c r="Q27367" s="8"/>
    </row>
    <row r="27368" spans="17:17" x14ac:dyDescent="0.25">
      <c r="Q27368" s="8"/>
    </row>
    <row r="27369" spans="17:17" x14ac:dyDescent="0.25">
      <c r="Q27369" s="8"/>
    </row>
    <row r="27370" spans="17:17" x14ac:dyDescent="0.25">
      <c r="Q27370" s="8"/>
    </row>
    <row r="27371" spans="17:17" x14ac:dyDescent="0.25">
      <c r="Q27371" s="8"/>
    </row>
    <row r="27372" spans="17:17" x14ac:dyDescent="0.25">
      <c r="Q27372" s="8"/>
    </row>
    <row r="27373" spans="17:17" x14ac:dyDescent="0.25">
      <c r="Q27373" s="8"/>
    </row>
    <row r="27374" spans="17:17" x14ac:dyDescent="0.25">
      <c r="Q27374" s="8"/>
    </row>
    <row r="27375" spans="17:17" x14ac:dyDescent="0.25">
      <c r="Q27375" s="8"/>
    </row>
    <row r="27376" spans="17:17" x14ac:dyDescent="0.25">
      <c r="Q27376" s="8"/>
    </row>
    <row r="27377" spans="17:17" x14ac:dyDescent="0.25">
      <c r="Q27377" s="8"/>
    </row>
    <row r="27378" spans="17:17" x14ac:dyDescent="0.25">
      <c r="Q27378" s="8"/>
    </row>
    <row r="27379" spans="17:17" x14ac:dyDescent="0.25">
      <c r="Q27379" s="8"/>
    </row>
    <row r="27380" spans="17:17" x14ac:dyDescent="0.25">
      <c r="Q27380" s="8"/>
    </row>
    <row r="27381" spans="17:17" x14ac:dyDescent="0.25">
      <c r="Q27381" s="8"/>
    </row>
    <row r="27382" spans="17:17" x14ac:dyDescent="0.25">
      <c r="Q27382" s="8"/>
    </row>
    <row r="27383" spans="17:17" x14ac:dyDescent="0.25">
      <c r="Q27383" s="8"/>
    </row>
    <row r="27384" spans="17:17" x14ac:dyDescent="0.25">
      <c r="Q27384" s="8"/>
    </row>
    <row r="27385" spans="17:17" x14ac:dyDescent="0.25">
      <c r="Q27385" s="8"/>
    </row>
    <row r="27386" spans="17:17" x14ac:dyDescent="0.25">
      <c r="Q27386" s="8"/>
    </row>
    <row r="27387" spans="17:17" x14ac:dyDescent="0.25">
      <c r="Q27387" s="8"/>
    </row>
    <row r="27388" spans="17:17" x14ac:dyDescent="0.25">
      <c r="Q27388" s="8"/>
    </row>
    <row r="27389" spans="17:17" x14ac:dyDescent="0.25">
      <c r="Q27389" s="8"/>
    </row>
    <row r="27390" spans="17:17" x14ac:dyDescent="0.25">
      <c r="Q27390" s="8"/>
    </row>
    <row r="27391" spans="17:17" x14ac:dyDescent="0.25">
      <c r="Q27391" s="8"/>
    </row>
    <row r="27392" spans="17:17" x14ac:dyDescent="0.25">
      <c r="Q27392" s="8"/>
    </row>
    <row r="27393" spans="17:17" x14ac:dyDescent="0.25">
      <c r="Q27393" s="8"/>
    </row>
    <row r="27394" spans="17:17" x14ac:dyDescent="0.25">
      <c r="Q27394" s="8"/>
    </row>
    <row r="27395" spans="17:17" x14ac:dyDescent="0.25">
      <c r="Q27395" s="8"/>
    </row>
    <row r="27396" spans="17:17" x14ac:dyDescent="0.25">
      <c r="Q27396" s="8"/>
    </row>
    <row r="27397" spans="17:17" x14ac:dyDescent="0.25">
      <c r="Q27397" s="8"/>
    </row>
    <row r="27398" spans="17:17" x14ac:dyDescent="0.25">
      <c r="Q27398" s="8"/>
    </row>
    <row r="27399" spans="17:17" x14ac:dyDescent="0.25">
      <c r="Q27399" s="8"/>
    </row>
    <row r="27400" spans="17:17" x14ac:dyDescent="0.25">
      <c r="Q27400" s="8"/>
    </row>
    <row r="27401" spans="17:17" x14ac:dyDescent="0.25">
      <c r="Q27401" s="8"/>
    </row>
    <row r="27402" spans="17:17" x14ac:dyDescent="0.25">
      <c r="Q27402" s="8"/>
    </row>
    <row r="27403" spans="17:17" x14ac:dyDescent="0.25">
      <c r="Q27403" s="8"/>
    </row>
    <row r="27404" spans="17:17" x14ac:dyDescent="0.25">
      <c r="Q27404" s="8"/>
    </row>
    <row r="27405" spans="17:17" x14ac:dyDescent="0.25">
      <c r="Q27405" s="8"/>
    </row>
    <row r="27406" spans="17:17" x14ac:dyDescent="0.25">
      <c r="Q27406" s="8"/>
    </row>
    <row r="27407" spans="17:17" x14ac:dyDescent="0.25">
      <c r="Q27407" s="8"/>
    </row>
    <row r="27408" spans="17:17" x14ac:dyDescent="0.25">
      <c r="Q27408" s="8"/>
    </row>
    <row r="27409" spans="17:17" x14ac:dyDescent="0.25">
      <c r="Q27409" s="8"/>
    </row>
    <row r="27410" spans="17:17" x14ac:dyDescent="0.25">
      <c r="Q27410" s="8"/>
    </row>
    <row r="27411" spans="17:17" x14ac:dyDescent="0.25">
      <c r="Q27411" s="8"/>
    </row>
    <row r="27412" spans="17:17" x14ac:dyDescent="0.25">
      <c r="Q27412" s="8"/>
    </row>
    <row r="27413" spans="17:17" x14ac:dyDescent="0.25">
      <c r="Q27413" s="8"/>
    </row>
    <row r="27414" spans="17:17" x14ac:dyDescent="0.25">
      <c r="Q27414" s="8"/>
    </row>
    <row r="27415" spans="17:17" x14ac:dyDescent="0.25">
      <c r="Q27415" s="8"/>
    </row>
    <row r="27416" spans="17:17" x14ac:dyDescent="0.25">
      <c r="Q27416" s="8"/>
    </row>
    <row r="27417" spans="17:17" x14ac:dyDescent="0.25">
      <c r="Q27417" s="8"/>
    </row>
    <row r="27418" spans="17:17" x14ac:dyDescent="0.25">
      <c r="Q27418" s="8"/>
    </row>
    <row r="27419" spans="17:17" x14ac:dyDescent="0.25">
      <c r="Q27419" s="8"/>
    </row>
    <row r="27420" spans="17:17" x14ac:dyDescent="0.25">
      <c r="Q27420" s="8"/>
    </row>
    <row r="27421" spans="17:17" x14ac:dyDescent="0.25">
      <c r="Q27421" s="8"/>
    </row>
    <row r="27422" spans="17:17" x14ac:dyDescent="0.25">
      <c r="Q27422" s="8"/>
    </row>
    <row r="27423" spans="17:17" x14ac:dyDescent="0.25">
      <c r="Q27423" s="8"/>
    </row>
    <row r="27424" spans="17:17" x14ac:dyDescent="0.25">
      <c r="Q27424" s="8"/>
    </row>
    <row r="27425" spans="17:17" x14ac:dyDescent="0.25">
      <c r="Q27425" s="8"/>
    </row>
    <row r="27426" spans="17:17" x14ac:dyDescent="0.25">
      <c r="Q27426" s="8"/>
    </row>
    <row r="27427" spans="17:17" x14ac:dyDescent="0.25">
      <c r="Q27427" s="8"/>
    </row>
    <row r="27428" spans="17:17" x14ac:dyDescent="0.25">
      <c r="Q27428" s="8"/>
    </row>
    <row r="27429" spans="17:17" x14ac:dyDescent="0.25">
      <c r="Q27429" s="8"/>
    </row>
    <row r="27430" spans="17:17" x14ac:dyDescent="0.25">
      <c r="Q27430" s="8"/>
    </row>
    <row r="27431" spans="17:17" x14ac:dyDescent="0.25">
      <c r="Q27431" s="8"/>
    </row>
    <row r="27432" spans="17:17" x14ac:dyDescent="0.25">
      <c r="Q27432" s="8"/>
    </row>
    <row r="27433" spans="17:17" x14ac:dyDescent="0.25">
      <c r="Q27433" s="8"/>
    </row>
    <row r="27434" spans="17:17" x14ac:dyDescent="0.25">
      <c r="Q27434" s="8"/>
    </row>
    <row r="27435" spans="17:17" x14ac:dyDescent="0.25">
      <c r="Q27435" s="8"/>
    </row>
    <row r="27436" spans="17:17" x14ac:dyDescent="0.25">
      <c r="Q27436" s="8"/>
    </row>
    <row r="27437" spans="17:17" x14ac:dyDescent="0.25">
      <c r="Q27437" s="8"/>
    </row>
    <row r="27438" spans="17:17" x14ac:dyDescent="0.25">
      <c r="Q27438" s="8"/>
    </row>
    <row r="27439" spans="17:17" x14ac:dyDescent="0.25">
      <c r="Q27439" s="8"/>
    </row>
    <row r="27440" spans="17:17" x14ac:dyDescent="0.25">
      <c r="Q27440" s="8"/>
    </row>
    <row r="27441" spans="17:17" x14ac:dyDescent="0.25">
      <c r="Q27441" s="8"/>
    </row>
    <row r="27442" spans="17:17" x14ac:dyDescent="0.25">
      <c r="Q27442" s="8"/>
    </row>
    <row r="27443" spans="17:17" x14ac:dyDescent="0.25">
      <c r="Q27443" s="8"/>
    </row>
    <row r="27444" spans="17:17" x14ac:dyDescent="0.25">
      <c r="Q27444" s="8"/>
    </row>
    <row r="27445" spans="17:17" x14ac:dyDescent="0.25">
      <c r="Q27445" s="8"/>
    </row>
    <row r="27446" spans="17:17" x14ac:dyDescent="0.25">
      <c r="Q27446" s="8"/>
    </row>
    <row r="27447" spans="17:17" x14ac:dyDescent="0.25">
      <c r="Q27447" s="8"/>
    </row>
    <row r="27448" spans="17:17" x14ac:dyDescent="0.25">
      <c r="Q27448" s="8"/>
    </row>
    <row r="27449" spans="17:17" x14ac:dyDescent="0.25">
      <c r="Q27449" s="8"/>
    </row>
    <row r="27450" spans="17:17" x14ac:dyDescent="0.25">
      <c r="Q27450" s="8"/>
    </row>
    <row r="27451" spans="17:17" x14ac:dyDescent="0.25">
      <c r="Q27451" s="8"/>
    </row>
    <row r="27452" spans="17:17" x14ac:dyDescent="0.25">
      <c r="Q27452" s="8"/>
    </row>
    <row r="27453" spans="17:17" x14ac:dyDescent="0.25">
      <c r="Q27453" s="8"/>
    </row>
    <row r="27454" spans="17:17" x14ac:dyDescent="0.25">
      <c r="Q27454" s="8"/>
    </row>
    <row r="27455" spans="17:17" x14ac:dyDescent="0.25">
      <c r="Q27455" s="8"/>
    </row>
    <row r="27456" spans="17:17" x14ac:dyDescent="0.25">
      <c r="Q27456" s="8"/>
    </row>
    <row r="27457" spans="17:17" x14ac:dyDescent="0.25">
      <c r="Q27457" s="8"/>
    </row>
    <row r="27458" spans="17:17" x14ac:dyDescent="0.25">
      <c r="Q27458" s="8"/>
    </row>
    <row r="27459" spans="17:17" x14ac:dyDescent="0.25">
      <c r="Q27459" s="8"/>
    </row>
    <row r="27460" spans="17:17" x14ac:dyDescent="0.25">
      <c r="Q27460" s="8"/>
    </row>
    <row r="27461" spans="17:17" x14ac:dyDescent="0.25">
      <c r="Q27461" s="8"/>
    </row>
    <row r="27462" spans="17:17" x14ac:dyDescent="0.25">
      <c r="Q27462" s="8"/>
    </row>
    <row r="27463" spans="17:17" x14ac:dyDescent="0.25">
      <c r="Q27463" s="8"/>
    </row>
    <row r="27464" spans="17:17" x14ac:dyDescent="0.25">
      <c r="Q27464" s="8"/>
    </row>
    <row r="27465" spans="17:17" x14ac:dyDescent="0.25">
      <c r="Q27465" s="8"/>
    </row>
    <row r="27466" spans="17:17" x14ac:dyDescent="0.25">
      <c r="Q27466" s="8"/>
    </row>
    <row r="27467" spans="17:17" x14ac:dyDescent="0.25">
      <c r="Q27467" s="8"/>
    </row>
    <row r="27468" spans="17:17" x14ac:dyDescent="0.25">
      <c r="Q27468" s="8"/>
    </row>
    <row r="27469" spans="17:17" x14ac:dyDescent="0.25">
      <c r="Q27469" s="8"/>
    </row>
    <row r="27470" spans="17:17" x14ac:dyDescent="0.25">
      <c r="Q27470" s="8"/>
    </row>
    <row r="27471" spans="17:17" x14ac:dyDescent="0.25">
      <c r="Q27471" s="8"/>
    </row>
    <row r="27472" spans="17:17" x14ac:dyDescent="0.25">
      <c r="Q27472" s="8"/>
    </row>
    <row r="27473" spans="17:17" x14ac:dyDescent="0.25">
      <c r="Q27473" s="8"/>
    </row>
    <row r="27474" spans="17:17" x14ac:dyDescent="0.25">
      <c r="Q27474" s="8"/>
    </row>
    <row r="27475" spans="17:17" x14ac:dyDescent="0.25">
      <c r="Q27475" s="8"/>
    </row>
    <row r="27476" spans="17:17" x14ac:dyDescent="0.25">
      <c r="Q27476" s="8"/>
    </row>
    <row r="27477" spans="17:17" x14ac:dyDescent="0.25">
      <c r="Q27477" s="8"/>
    </row>
    <row r="27478" spans="17:17" x14ac:dyDescent="0.25">
      <c r="Q27478" s="8"/>
    </row>
    <row r="27479" spans="17:17" x14ac:dyDescent="0.25">
      <c r="Q27479" s="8"/>
    </row>
    <row r="27480" spans="17:17" x14ac:dyDescent="0.25">
      <c r="Q27480" s="8"/>
    </row>
    <row r="27481" spans="17:17" x14ac:dyDescent="0.25">
      <c r="Q27481" s="8"/>
    </row>
    <row r="27482" spans="17:17" x14ac:dyDescent="0.25">
      <c r="Q27482" s="8"/>
    </row>
    <row r="27483" spans="17:17" x14ac:dyDescent="0.25">
      <c r="Q27483" s="8"/>
    </row>
    <row r="27484" spans="17:17" x14ac:dyDescent="0.25">
      <c r="Q27484" s="8"/>
    </row>
    <row r="27485" spans="17:17" x14ac:dyDescent="0.25">
      <c r="Q27485" s="8"/>
    </row>
    <row r="27486" spans="17:17" x14ac:dyDescent="0.25">
      <c r="Q27486" s="8"/>
    </row>
    <row r="27487" spans="17:17" x14ac:dyDescent="0.25">
      <c r="Q27487" s="8"/>
    </row>
    <row r="27488" spans="17:17" x14ac:dyDescent="0.25">
      <c r="Q27488" s="8"/>
    </row>
    <row r="27489" spans="17:17" x14ac:dyDescent="0.25">
      <c r="Q27489" s="8"/>
    </row>
    <row r="27490" spans="17:17" x14ac:dyDescent="0.25">
      <c r="Q27490" s="8"/>
    </row>
    <row r="27491" spans="17:17" x14ac:dyDescent="0.25">
      <c r="Q27491" s="8"/>
    </row>
    <row r="27492" spans="17:17" x14ac:dyDescent="0.25">
      <c r="Q27492" s="8"/>
    </row>
    <row r="27493" spans="17:17" x14ac:dyDescent="0.25">
      <c r="Q27493" s="8"/>
    </row>
    <row r="27494" spans="17:17" x14ac:dyDescent="0.25">
      <c r="Q27494" s="8"/>
    </row>
    <row r="27495" spans="17:17" x14ac:dyDescent="0.25">
      <c r="Q27495" s="8"/>
    </row>
    <row r="27496" spans="17:17" x14ac:dyDescent="0.25">
      <c r="Q27496" s="8"/>
    </row>
    <row r="27497" spans="17:17" x14ac:dyDescent="0.25">
      <c r="Q27497" s="8"/>
    </row>
    <row r="27498" spans="17:17" x14ac:dyDescent="0.25">
      <c r="Q27498" s="8"/>
    </row>
    <row r="27499" spans="17:17" x14ac:dyDescent="0.25">
      <c r="Q27499" s="8"/>
    </row>
    <row r="27500" spans="17:17" x14ac:dyDescent="0.25">
      <c r="Q27500" s="8"/>
    </row>
    <row r="27501" spans="17:17" x14ac:dyDescent="0.25">
      <c r="Q27501" s="8"/>
    </row>
    <row r="27502" spans="17:17" x14ac:dyDescent="0.25">
      <c r="Q27502" s="8"/>
    </row>
    <row r="27503" spans="17:17" x14ac:dyDescent="0.25">
      <c r="Q27503" s="8"/>
    </row>
    <row r="27504" spans="17:17" x14ac:dyDescent="0.25">
      <c r="Q27504" s="8"/>
    </row>
    <row r="27505" spans="17:17" x14ac:dyDescent="0.25">
      <c r="Q27505" s="8"/>
    </row>
    <row r="27506" spans="17:17" x14ac:dyDescent="0.25">
      <c r="Q27506" s="8"/>
    </row>
    <row r="27507" spans="17:17" x14ac:dyDescent="0.25">
      <c r="Q27507" s="8"/>
    </row>
    <row r="27508" spans="17:17" x14ac:dyDescent="0.25">
      <c r="Q27508" s="8"/>
    </row>
    <row r="27509" spans="17:17" x14ac:dyDescent="0.25">
      <c r="Q27509" s="8"/>
    </row>
    <row r="27510" spans="17:17" x14ac:dyDescent="0.25">
      <c r="Q27510" s="8"/>
    </row>
    <row r="27511" spans="17:17" x14ac:dyDescent="0.25">
      <c r="Q27511" s="8"/>
    </row>
    <row r="27512" spans="17:17" x14ac:dyDescent="0.25">
      <c r="Q27512" s="8"/>
    </row>
    <row r="27513" spans="17:17" x14ac:dyDescent="0.25">
      <c r="Q27513" s="8"/>
    </row>
    <row r="27514" spans="17:17" x14ac:dyDescent="0.25">
      <c r="Q27514" s="8"/>
    </row>
    <row r="27515" spans="17:17" x14ac:dyDescent="0.25">
      <c r="Q27515" s="8"/>
    </row>
    <row r="27516" spans="17:17" x14ac:dyDescent="0.25">
      <c r="Q27516" s="8"/>
    </row>
    <row r="27517" spans="17:17" x14ac:dyDescent="0.25">
      <c r="Q27517" s="8"/>
    </row>
    <row r="27518" spans="17:17" x14ac:dyDescent="0.25">
      <c r="Q27518" s="8"/>
    </row>
    <row r="27519" spans="17:17" x14ac:dyDescent="0.25">
      <c r="Q27519" s="8"/>
    </row>
    <row r="27520" spans="17:17" x14ac:dyDescent="0.25">
      <c r="Q27520" s="8"/>
    </row>
    <row r="27521" spans="17:17" x14ac:dyDescent="0.25">
      <c r="Q27521" s="8"/>
    </row>
    <row r="27522" spans="17:17" x14ac:dyDescent="0.25">
      <c r="Q27522" s="8"/>
    </row>
    <row r="27523" spans="17:17" x14ac:dyDescent="0.25">
      <c r="Q27523" s="8"/>
    </row>
    <row r="27524" spans="17:17" x14ac:dyDescent="0.25">
      <c r="Q27524" s="8"/>
    </row>
    <row r="27525" spans="17:17" x14ac:dyDescent="0.25">
      <c r="Q27525" s="8"/>
    </row>
    <row r="27526" spans="17:17" x14ac:dyDescent="0.25">
      <c r="Q27526" s="8"/>
    </row>
    <row r="27527" spans="17:17" x14ac:dyDescent="0.25">
      <c r="Q27527" s="8"/>
    </row>
    <row r="27528" spans="17:17" x14ac:dyDescent="0.25">
      <c r="Q27528" s="8"/>
    </row>
    <row r="27529" spans="17:17" x14ac:dyDescent="0.25">
      <c r="Q27529" s="8"/>
    </row>
    <row r="27530" spans="17:17" x14ac:dyDescent="0.25">
      <c r="Q27530" s="8"/>
    </row>
    <row r="27531" spans="17:17" x14ac:dyDescent="0.25">
      <c r="Q27531" s="8"/>
    </row>
    <row r="27532" spans="17:17" x14ac:dyDescent="0.25">
      <c r="Q27532" s="8"/>
    </row>
    <row r="27533" spans="17:17" x14ac:dyDescent="0.25">
      <c r="Q27533" s="8"/>
    </row>
    <row r="27534" spans="17:17" x14ac:dyDescent="0.25">
      <c r="Q27534" s="8"/>
    </row>
    <row r="27535" spans="17:17" x14ac:dyDescent="0.25">
      <c r="Q27535" s="8"/>
    </row>
    <row r="27536" spans="17:17" x14ac:dyDescent="0.25">
      <c r="Q27536" s="8"/>
    </row>
    <row r="27537" spans="17:17" x14ac:dyDescent="0.25">
      <c r="Q27537" s="8"/>
    </row>
    <row r="27538" spans="17:17" x14ac:dyDescent="0.25">
      <c r="Q27538" s="8"/>
    </row>
    <row r="27539" spans="17:17" x14ac:dyDescent="0.25">
      <c r="Q27539" s="8"/>
    </row>
    <row r="27540" spans="17:17" x14ac:dyDescent="0.25">
      <c r="Q27540" s="8"/>
    </row>
    <row r="27541" spans="17:17" x14ac:dyDescent="0.25">
      <c r="Q27541" s="8"/>
    </row>
    <row r="27542" spans="17:17" x14ac:dyDescent="0.25">
      <c r="Q27542" s="8"/>
    </row>
    <row r="27543" spans="17:17" x14ac:dyDescent="0.25">
      <c r="Q27543" s="8"/>
    </row>
    <row r="27544" spans="17:17" x14ac:dyDescent="0.25">
      <c r="Q27544" s="8"/>
    </row>
    <row r="27545" spans="17:17" x14ac:dyDescent="0.25">
      <c r="Q27545" s="8"/>
    </row>
    <row r="27546" spans="17:17" x14ac:dyDescent="0.25">
      <c r="Q27546" s="8"/>
    </row>
    <row r="27547" spans="17:17" x14ac:dyDescent="0.25">
      <c r="Q27547" s="8"/>
    </row>
    <row r="27548" spans="17:17" x14ac:dyDescent="0.25">
      <c r="Q27548" s="8"/>
    </row>
    <row r="27549" spans="17:17" x14ac:dyDescent="0.25">
      <c r="Q27549" s="8"/>
    </row>
    <row r="27550" spans="17:17" x14ac:dyDescent="0.25">
      <c r="Q27550" s="8"/>
    </row>
    <row r="27551" spans="17:17" x14ac:dyDescent="0.25">
      <c r="Q27551" s="8"/>
    </row>
    <row r="27552" spans="17:17" x14ac:dyDescent="0.25">
      <c r="Q27552" s="8"/>
    </row>
    <row r="27553" spans="17:17" x14ac:dyDescent="0.25">
      <c r="Q27553" s="8"/>
    </row>
    <row r="27554" spans="17:17" x14ac:dyDescent="0.25">
      <c r="Q27554" s="8"/>
    </row>
    <row r="27555" spans="17:17" x14ac:dyDescent="0.25">
      <c r="Q27555" s="8"/>
    </row>
    <row r="27556" spans="17:17" x14ac:dyDescent="0.25">
      <c r="Q27556" s="8"/>
    </row>
    <row r="27557" spans="17:17" x14ac:dyDescent="0.25">
      <c r="Q27557" s="8"/>
    </row>
    <row r="27558" spans="17:17" x14ac:dyDescent="0.25">
      <c r="Q27558" s="8"/>
    </row>
    <row r="27559" spans="17:17" x14ac:dyDescent="0.25">
      <c r="Q27559" s="8"/>
    </row>
    <row r="27560" spans="17:17" x14ac:dyDescent="0.25">
      <c r="Q27560" s="8"/>
    </row>
    <row r="27561" spans="17:17" x14ac:dyDescent="0.25">
      <c r="Q27561" s="8"/>
    </row>
    <row r="27562" spans="17:17" x14ac:dyDescent="0.25">
      <c r="Q27562" s="8"/>
    </row>
    <row r="27563" spans="17:17" x14ac:dyDescent="0.25">
      <c r="Q27563" s="8"/>
    </row>
    <row r="27564" spans="17:17" x14ac:dyDescent="0.25">
      <c r="Q27564" s="8"/>
    </row>
    <row r="27565" spans="17:17" x14ac:dyDescent="0.25">
      <c r="Q27565" s="8"/>
    </row>
    <row r="27566" spans="17:17" x14ac:dyDescent="0.25">
      <c r="Q27566" s="8"/>
    </row>
    <row r="27567" spans="17:17" x14ac:dyDescent="0.25">
      <c r="Q27567" s="8"/>
    </row>
    <row r="27568" spans="17:17" x14ac:dyDescent="0.25">
      <c r="Q27568" s="8"/>
    </row>
    <row r="27569" spans="17:17" x14ac:dyDescent="0.25">
      <c r="Q27569" s="8"/>
    </row>
    <row r="27570" spans="17:17" x14ac:dyDescent="0.25">
      <c r="Q27570" s="8"/>
    </row>
    <row r="27571" spans="17:17" x14ac:dyDescent="0.25">
      <c r="Q27571" s="8"/>
    </row>
    <row r="27572" spans="17:17" x14ac:dyDescent="0.25">
      <c r="Q27572" s="8"/>
    </row>
    <row r="27573" spans="17:17" x14ac:dyDescent="0.25">
      <c r="Q27573" s="8"/>
    </row>
    <row r="27574" spans="17:17" x14ac:dyDescent="0.25">
      <c r="Q27574" s="8"/>
    </row>
    <row r="27575" spans="17:17" x14ac:dyDescent="0.25">
      <c r="Q27575" s="8"/>
    </row>
    <row r="27576" spans="17:17" x14ac:dyDescent="0.25">
      <c r="Q27576" s="8"/>
    </row>
    <row r="27577" spans="17:17" x14ac:dyDescent="0.25">
      <c r="Q27577" s="8"/>
    </row>
    <row r="27578" spans="17:17" x14ac:dyDescent="0.25">
      <c r="Q27578" s="8"/>
    </row>
    <row r="27579" spans="17:17" x14ac:dyDescent="0.25">
      <c r="Q27579" s="8"/>
    </row>
    <row r="27580" spans="17:17" x14ac:dyDescent="0.25">
      <c r="Q27580" s="8"/>
    </row>
    <row r="27581" spans="17:17" x14ac:dyDescent="0.25">
      <c r="Q27581" s="8"/>
    </row>
    <row r="27582" spans="17:17" x14ac:dyDescent="0.25">
      <c r="Q27582" s="8"/>
    </row>
    <row r="27583" spans="17:17" x14ac:dyDescent="0.25">
      <c r="Q27583" s="8"/>
    </row>
    <row r="27584" spans="17:17" x14ac:dyDescent="0.25">
      <c r="Q27584" s="8"/>
    </row>
    <row r="27585" spans="17:17" x14ac:dyDescent="0.25">
      <c r="Q27585" s="8"/>
    </row>
    <row r="27586" spans="17:17" x14ac:dyDescent="0.25">
      <c r="Q27586" s="8"/>
    </row>
    <row r="27587" spans="17:17" x14ac:dyDescent="0.25">
      <c r="Q27587" s="8"/>
    </row>
    <row r="27588" spans="17:17" x14ac:dyDescent="0.25">
      <c r="Q27588" s="8"/>
    </row>
    <row r="27589" spans="17:17" x14ac:dyDescent="0.25">
      <c r="Q27589" s="8"/>
    </row>
    <row r="27590" spans="17:17" x14ac:dyDescent="0.25">
      <c r="Q27590" s="8"/>
    </row>
    <row r="27591" spans="17:17" x14ac:dyDescent="0.25">
      <c r="Q27591" s="8"/>
    </row>
    <row r="27592" spans="17:17" x14ac:dyDescent="0.25">
      <c r="Q27592" s="8"/>
    </row>
    <row r="27593" spans="17:17" x14ac:dyDescent="0.25">
      <c r="Q27593" s="8"/>
    </row>
    <row r="27594" spans="17:17" x14ac:dyDescent="0.25">
      <c r="Q27594" s="8"/>
    </row>
    <row r="27595" spans="17:17" x14ac:dyDescent="0.25">
      <c r="Q27595" s="8"/>
    </row>
    <row r="27596" spans="17:17" x14ac:dyDescent="0.25">
      <c r="Q27596" s="8"/>
    </row>
    <row r="27597" spans="17:17" x14ac:dyDescent="0.25">
      <c r="Q27597" s="8"/>
    </row>
    <row r="27598" spans="17:17" x14ac:dyDescent="0.25">
      <c r="Q27598" s="8"/>
    </row>
    <row r="27599" spans="17:17" x14ac:dyDescent="0.25">
      <c r="Q27599" s="8"/>
    </row>
    <row r="27600" spans="17:17" x14ac:dyDescent="0.25">
      <c r="Q27600" s="8"/>
    </row>
    <row r="27601" spans="17:17" x14ac:dyDescent="0.25">
      <c r="Q27601" s="8"/>
    </row>
    <row r="27602" spans="17:17" x14ac:dyDescent="0.25">
      <c r="Q27602" s="8"/>
    </row>
    <row r="27603" spans="17:17" x14ac:dyDescent="0.25">
      <c r="Q27603" s="8"/>
    </row>
    <row r="27604" spans="17:17" x14ac:dyDescent="0.25">
      <c r="Q27604" s="8"/>
    </row>
    <row r="27605" spans="17:17" x14ac:dyDescent="0.25">
      <c r="Q27605" s="8"/>
    </row>
    <row r="27606" spans="17:17" x14ac:dyDescent="0.25">
      <c r="Q27606" s="8"/>
    </row>
    <row r="27607" spans="17:17" x14ac:dyDescent="0.25">
      <c r="Q27607" s="8"/>
    </row>
    <row r="27608" spans="17:17" x14ac:dyDescent="0.25">
      <c r="Q27608" s="8"/>
    </row>
    <row r="27609" spans="17:17" x14ac:dyDescent="0.25">
      <c r="Q27609" s="8"/>
    </row>
    <row r="27610" spans="17:17" x14ac:dyDescent="0.25">
      <c r="Q27610" s="8"/>
    </row>
    <row r="27611" spans="17:17" x14ac:dyDescent="0.25">
      <c r="Q27611" s="8"/>
    </row>
    <row r="27612" spans="17:17" x14ac:dyDescent="0.25">
      <c r="Q27612" s="8"/>
    </row>
    <row r="27613" spans="17:17" x14ac:dyDescent="0.25">
      <c r="Q27613" s="8"/>
    </row>
    <row r="27614" spans="17:17" x14ac:dyDescent="0.25">
      <c r="Q27614" s="8"/>
    </row>
    <row r="27615" spans="17:17" x14ac:dyDescent="0.25">
      <c r="Q27615" s="8"/>
    </row>
    <row r="27616" spans="17:17" x14ac:dyDescent="0.25">
      <c r="Q27616" s="8"/>
    </row>
    <row r="27617" spans="17:17" x14ac:dyDescent="0.25">
      <c r="Q27617" s="8"/>
    </row>
    <row r="27618" spans="17:17" x14ac:dyDescent="0.25">
      <c r="Q27618" s="8"/>
    </row>
    <row r="27619" spans="17:17" x14ac:dyDescent="0.25">
      <c r="Q27619" s="8"/>
    </row>
    <row r="27620" spans="17:17" x14ac:dyDescent="0.25">
      <c r="Q27620" s="8"/>
    </row>
    <row r="27621" spans="17:17" x14ac:dyDescent="0.25">
      <c r="Q27621" s="8"/>
    </row>
    <row r="27622" spans="17:17" x14ac:dyDescent="0.25">
      <c r="Q27622" s="8"/>
    </row>
    <row r="27623" spans="17:17" x14ac:dyDescent="0.25">
      <c r="Q27623" s="8"/>
    </row>
    <row r="27624" spans="17:17" x14ac:dyDescent="0.25">
      <c r="Q27624" s="8"/>
    </row>
    <row r="27625" spans="17:17" x14ac:dyDescent="0.25">
      <c r="Q27625" s="8"/>
    </row>
    <row r="27626" spans="17:17" x14ac:dyDescent="0.25">
      <c r="Q27626" s="8"/>
    </row>
    <row r="27627" spans="17:17" x14ac:dyDescent="0.25">
      <c r="Q27627" s="8"/>
    </row>
    <row r="27628" spans="17:17" x14ac:dyDescent="0.25">
      <c r="Q27628" s="8"/>
    </row>
    <row r="27629" spans="17:17" x14ac:dyDescent="0.25">
      <c r="Q27629" s="8"/>
    </row>
    <row r="27630" spans="17:17" x14ac:dyDescent="0.25">
      <c r="Q27630" s="8"/>
    </row>
    <row r="27631" spans="17:17" x14ac:dyDescent="0.25">
      <c r="Q27631" s="8"/>
    </row>
    <row r="27632" spans="17:17" x14ac:dyDescent="0.25">
      <c r="Q27632" s="8"/>
    </row>
    <row r="27633" spans="17:17" x14ac:dyDescent="0.25">
      <c r="Q27633" s="8"/>
    </row>
    <row r="27634" spans="17:17" x14ac:dyDescent="0.25">
      <c r="Q27634" s="8"/>
    </row>
    <row r="27635" spans="17:17" x14ac:dyDescent="0.25">
      <c r="Q27635" s="8"/>
    </row>
    <row r="27636" spans="17:17" x14ac:dyDescent="0.25">
      <c r="Q27636" s="8"/>
    </row>
    <row r="27637" spans="17:17" x14ac:dyDescent="0.25">
      <c r="Q27637" s="8"/>
    </row>
    <row r="27638" spans="17:17" x14ac:dyDescent="0.25">
      <c r="Q27638" s="8"/>
    </row>
    <row r="27639" spans="17:17" x14ac:dyDescent="0.25">
      <c r="Q27639" s="8"/>
    </row>
    <row r="27640" spans="17:17" x14ac:dyDescent="0.25">
      <c r="Q27640" s="8"/>
    </row>
    <row r="27641" spans="17:17" x14ac:dyDescent="0.25">
      <c r="Q27641" s="8"/>
    </row>
    <row r="27642" spans="17:17" x14ac:dyDescent="0.25">
      <c r="Q27642" s="8"/>
    </row>
    <row r="27643" spans="17:17" x14ac:dyDescent="0.25">
      <c r="Q27643" s="8"/>
    </row>
    <row r="27644" spans="17:17" x14ac:dyDescent="0.25">
      <c r="Q27644" s="8"/>
    </row>
    <row r="27645" spans="17:17" x14ac:dyDescent="0.25">
      <c r="Q27645" s="8"/>
    </row>
    <row r="27646" spans="17:17" x14ac:dyDescent="0.25">
      <c r="Q27646" s="8"/>
    </row>
    <row r="27647" spans="17:17" x14ac:dyDescent="0.25">
      <c r="Q27647" s="8"/>
    </row>
    <row r="27648" spans="17:17" x14ac:dyDescent="0.25">
      <c r="Q27648" s="8"/>
    </row>
    <row r="27649" spans="17:17" x14ac:dyDescent="0.25">
      <c r="Q27649" s="8"/>
    </row>
    <row r="27650" spans="17:17" x14ac:dyDescent="0.25">
      <c r="Q27650" s="8"/>
    </row>
    <row r="27651" spans="17:17" x14ac:dyDescent="0.25">
      <c r="Q27651" s="8"/>
    </row>
    <row r="27652" spans="17:17" x14ac:dyDescent="0.25">
      <c r="Q27652" s="8"/>
    </row>
    <row r="27653" spans="17:17" x14ac:dyDescent="0.25">
      <c r="Q27653" s="8"/>
    </row>
    <row r="27654" spans="17:17" x14ac:dyDescent="0.25">
      <c r="Q27654" s="8"/>
    </row>
    <row r="27655" spans="17:17" x14ac:dyDescent="0.25">
      <c r="Q27655" s="8"/>
    </row>
    <row r="27656" spans="17:17" x14ac:dyDescent="0.25">
      <c r="Q27656" s="8"/>
    </row>
    <row r="27657" spans="17:17" x14ac:dyDescent="0.25">
      <c r="Q27657" s="8"/>
    </row>
    <row r="27658" spans="17:17" x14ac:dyDescent="0.25">
      <c r="Q27658" s="8"/>
    </row>
    <row r="27659" spans="17:17" x14ac:dyDescent="0.25">
      <c r="Q27659" s="8"/>
    </row>
    <row r="27660" spans="17:17" x14ac:dyDescent="0.25">
      <c r="Q27660" s="8"/>
    </row>
    <row r="27661" spans="17:17" x14ac:dyDescent="0.25">
      <c r="Q27661" s="8"/>
    </row>
    <row r="27662" spans="17:17" x14ac:dyDescent="0.25">
      <c r="Q27662" s="8"/>
    </row>
    <row r="27663" spans="17:17" x14ac:dyDescent="0.25">
      <c r="Q27663" s="8"/>
    </row>
    <row r="27664" spans="17:17" x14ac:dyDescent="0.25">
      <c r="Q27664" s="8"/>
    </row>
    <row r="27665" spans="17:17" x14ac:dyDescent="0.25">
      <c r="Q27665" s="8"/>
    </row>
    <row r="27666" spans="17:17" x14ac:dyDescent="0.25">
      <c r="Q27666" s="8"/>
    </row>
    <row r="27667" spans="17:17" x14ac:dyDescent="0.25">
      <c r="Q27667" s="8"/>
    </row>
    <row r="27668" spans="17:17" x14ac:dyDescent="0.25">
      <c r="Q27668" s="8"/>
    </row>
    <row r="27669" spans="17:17" x14ac:dyDescent="0.25">
      <c r="Q27669" s="8"/>
    </row>
    <row r="27670" spans="17:17" x14ac:dyDescent="0.25">
      <c r="Q27670" s="8"/>
    </row>
    <row r="27671" spans="17:17" x14ac:dyDescent="0.25">
      <c r="Q27671" s="8"/>
    </row>
    <row r="27672" spans="17:17" x14ac:dyDescent="0.25">
      <c r="Q27672" s="8"/>
    </row>
    <row r="27673" spans="17:17" x14ac:dyDescent="0.25">
      <c r="Q27673" s="8"/>
    </row>
    <row r="27674" spans="17:17" x14ac:dyDescent="0.25">
      <c r="Q27674" s="8"/>
    </row>
    <row r="27675" spans="17:17" x14ac:dyDescent="0.25">
      <c r="Q27675" s="8"/>
    </row>
    <row r="27676" spans="17:17" x14ac:dyDescent="0.25">
      <c r="Q27676" s="8"/>
    </row>
    <row r="27677" spans="17:17" x14ac:dyDescent="0.25">
      <c r="Q27677" s="8"/>
    </row>
    <row r="27678" spans="17:17" x14ac:dyDescent="0.25">
      <c r="Q27678" s="8"/>
    </row>
    <row r="27679" spans="17:17" x14ac:dyDescent="0.25">
      <c r="Q27679" s="8"/>
    </row>
    <row r="27680" spans="17:17" x14ac:dyDescent="0.25">
      <c r="Q27680" s="8"/>
    </row>
    <row r="27681" spans="17:17" x14ac:dyDescent="0.25">
      <c r="Q27681" s="8"/>
    </row>
    <row r="27682" spans="17:17" x14ac:dyDescent="0.25">
      <c r="Q27682" s="8"/>
    </row>
    <row r="27683" spans="17:17" x14ac:dyDescent="0.25">
      <c r="Q27683" s="8"/>
    </row>
    <row r="27684" spans="17:17" x14ac:dyDescent="0.25">
      <c r="Q27684" s="8"/>
    </row>
    <row r="27685" spans="17:17" x14ac:dyDescent="0.25">
      <c r="Q27685" s="8"/>
    </row>
    <row r="27686" spans="17:17" x14ac:dyDescent="0.25">
      <c r="Q27686" s="8"/>
    </row>
    <row r="27687" spans="17:17" x14ac:dyDescent="0.25">
      <c r="Q27687" s="8"/>
    </row>
    <row r="27688" spans="17:17" x14ac:dyDescent="0.25">
      <c r="Q27688" s="8"/>
    </row>
    <row r="27689" spans="17:17" x14ac:dyDescent="0.25">
      <c r="Q27689" s="8"/>
    </row>
    <row r="27690" spans="17:17" x14ac:dyDescent="0.25">
      <c r="Q27690" s="8"/>
    </row>
    <row r="27691" spans="17:17" x14ac:dyDescent="0.25">
      <c r="Q27691" s="8"/>
    </row>
    <row r="27692" spans="17:17" x14ac:dyDescent="0.25">
      <c r="Q27692" s="8"/>
    </row>
    <row r="27693" spans="17:17" x14ac:dyDescent="0.25">
      <c r="Q27693" s="8"/>
    </row>
    <row r="27694" spans="17:17" x14ac:dyDescent="0.25">
      <c r="Q27694" s="8"/>
    </row>
    <row r="27695" spans="17:17" x14ac:dyDescent="0.25">
      <c r="Q27695" s="8"/>
    </row>
    <row r="27696" spans="17:17" x14ac:dyDescent="0.25">
      <c r="Q27696" s="8"/>
    </row>
    <row r="27697" spans="17:17" x14ac:dyDescent="0.25">
      <c r="Q27697" s="8"/>
    </row>
    <row r="27698" spans="17:17" x14ac:dyDescent="0.25">
      <c r="Q27698" s="8"/>
    </row>
    <row r="27699" spans="17:17" x14ac:dyDescent="0.25">
      <c r="Q27699" s="8"/>
    </row>
    <row r="27700" spans="17:17" x14ac:dyDescent="0.25">
      <c r="Q27700" s="8"/>
    </row>
    <row r="27701" spans="17:17" x14ac:dyDescent="0.25">
      <c r="Q27701" s="8"/>
    </row>
    <row r="27702" spans="17:17" x14ac:dyDescent="0.25">
      <c r="Q27702" s="8"/>
    </row>
    <row r="27703" spans="17:17" x14ac:dyDescent="0.25">
      <c r="Q27703" s="8"/>
    </row>
    <row r="27704" spans="17:17" x14ac:dyDescent="0.25">
      <c r="Q27704" s="8"/>
    </row>
    <row r="27705" spans="17:17" x14ac:dyDescent="0.25">
      <c r="Q27705" s="8"/>
    </row>
    <row r="27706" spans="17:17" x14ac:dyDescent="0.25">
      <c r="Q27706" s="8"/>
    </row>
    <row r="27707" spans="17:17" x14ac:dyDescent="0.25">
      <c r="Q27707" s="8"/>
    </row>
    <row r="27708" spans="17:17" x14ac:dyDescent="0.25">
      <c r="Q27708" s="8"/>
    </row>
    <row r="27709" spans="17:17" x14ac:dyDescent="0.25">
      <c r="Q27709" s="8"/>
    </row>
    <row r="27710" spans="17:17" x14ac:dyDescent="0.25">
      <c r="Q27710" s="8"/>
    </row>
    <row r="27711" spans="17:17" x14ac:dyDescent="0.25">
      <c r="Q27711" s="8"/>
    </row>
    <row r="27712" spans="17:17" x14ac:dyDescent="0.25">
      <c r="Q27712" s="8"/>
    </row>
    <row r="27713" spans="17:17" x14ac:dyDescent="0.25">
      <c r="Q27713" s="8"/>
    </row>
    <row r="27714" spans="17:17" x14ac:dyDescent="0.25">
      <c r="Q27714" s="8"/>
    </row>
    <row r="27715" spans="17:17" x14ac:dyDescent="0.25">
      <c r="Q27715" s="8"/>
    </row>
    <row r="27716" spans="17:17" x14ac:dyDescent="0.25">
      <c r="Q27716" s="8"/>
    </row>
    <row r="27717" spans="17:17" x14ac:dyDescent="0.25">
      <c r="Q27717" s="8"/>
    </row>
    <row r="27718" spans="17:17" x14ac:dyDescent="0.25">
      <c r="Q27718" s="8"/>
    </row>
    <row r="27719" spans="17:17" x14ac:dyDescent="0.25">
      <c r="Q27719" s="8"/>
    </row>
    <row r="27720" spans="17:17" x14ac:dyDescent="0.25">
      <c r="Q27720" s="8"/>
    </row>
    <row r="27721" spans="17:17" x14ac:dyDescent="0.25">
      <c r="Q27721" s="8"/>
    </row>
    <row r="27722" spans="17:17" x14ac:dyDescent="0.25">
      <c r="Q27722" s="8"/>
    </row>
    <row r="27723" spans="17:17" x14ac:dyDescent="0.25">
      <c r="Q27723" s="8"/>
    </row>
    <row r="27724" spans="17:17" x14ac:dyDescent="0.25">
      <c r="Q27724" s="8"/>
    </row>
    <row r="27725" spans="17:17" x14ac:dyDescent="0.25">
      <c r="Q27725" s="8"/>
    </row>
    <row r="27726" spans="17:17" x14ac:dyDescent="0.25">
      <c r="Q27726" s="8"/>
    </row>
    <row r="27727" spans="17:17" x14ac:dyDescent="0.25">
      <c r="Q27727" s="8"/>
    </row>
    <row r="27728" spans="17:17" x14ac:dyDescent="0.25">
      <c r="Q27728" s="8"/>
    </row>
    <row r="27729" spans="17:17" x14ac:dyDescent="0.25">
      <c r="Q27729" s="8"/>
    </row>
    <row r="27730" spans="17:17" x14ac:dyDescent="0.25">
      <c r="Q27730" s="8"/>
    </row>
    <row r="27731" spans="17:17" x14ac:dyDescent="0.25">
      <c r="Q27731" s="8"/>
    </row>
    <row r="27732" spans="17:17" x14ac:dyDescent="0.25">
      <c r="Q27732" s="8"/>
    </row>
    <row r="27733" spans="17:17" x14ac:dyDescent="0.25">
      <c r="Q27733" s="8"/>
    </row>
    <row r="27734" spans="17:17" x14ac:dyDescent="0.25">
      <c r="Q27734" s="8"/>
    </row>
    <row r="27735" spans="17:17" x14ac:dyDescent="0.25">
      <c r="Q27735" s="8"/>
    </row>
    <row r="27736" spans="17:17" x14ac:dyDescent="0.25">
      <c r="Q27736" s="8"/>
    </row>
    <row r="27737" spans="17:17" x14ac:dyDescent="0.25">
      <c r="Q27737" s="8"/>
    </row>
    <row r="27738" spans="17:17" x14ac:dyDescent="0.25">
      <c r="Q27738" s="8"/>
    </row>
    <row r="27739" spans="17:17" x14ac:dyDescent="0.25">
      <c r="Q27739" s="8"/>
    </row>
    <row r="27740" spans="17:17" x14ac:dyDescent="0.25">
      <c r="Q27740" s="8"/>
    </row>
    <row r="27741" spans="17:17" x14ac:dyDescent="0.25">
      <c r="Q27741" s="8"/>
    </row>
    <row r="27742" spans="17:17" x14ac:dyDescent="0.25">
      <c r="Q27742" s="8"/>
    </row>
    <row r="27743" spans="17:17" x14ac:dyDescent="0.25">
      <c r="Q27743" s="8"/>
    </row>
    <row r="27744" spans="17:17" x14ac:dyDescent="0.25">
      <c r="Q27744" s="8"/>
    </row>
    <row r="27745" spans="17:17" x14ac:dyDescent="0.25">
      <c r="Q27745" s="8"/>
    </row>
    <row r="27746" spans="17:17" x14ac:dyDescent="0.25">
      <c r="Q27746" s="8"/>
    </row>
    <row r="27747" spans="17:17" x14ac:dyDescent="0.25">
      <c r="Q27747" s="8"/>
    </row>
    <row r="27748" spans="17:17" x14ac:dyDescent="0.25">
      <c r="Q27748" s="8"/>
    </row>
    <row r="27749" spans="17:17" x14ac:dyDescent="0.25">
      <c r="Q27749" s="8"/>
    </row>
    <row r="27750" spans="17:17" x14ac:dyDescent="0.25">
      <c r="Q27750" s="8"/>
    </row>
    <row r="27751" spans="17:17" x14ac:dyDescent="0.25">
      <c r="Q27751" s="8"/>
    </row>
    <row r="27752" spans="17:17" x14ac:dyDescent="0.25">
      <c r="Q27752" s="8"/>
    </row>
    <row r="27753" spans="17:17" x14ac:dyDescent="0.25">
      <c r="Q27753" s="8"/>
    </row>
    <row r="27754" spans="17:17" x14ac:dyDescent="0.25">
      <c r="Q27754" s="8"/>
    </row>
    <row r="27755" spans="17:17" x14ac:dyDescent="0.25">
      <c r="Q27755" s="8"/>
    </row>
    <row r="27756" spans="17:17" x14ac:dyDescent="0.25">
      <c r="Q27756" s="8"/>
    </row>
    <row r="27757" spans="17:17" x14ac:dyDescent="0.25">
      <c r="Q27757" s="8"/>
    </row>
    <row r="27758" spans="17:17" x14ac:dyDescent="0.25">
      <c r="Q27758" s="8"/>
    </row>
    <row r="27759" spans="17:17" x14ac:dyDescent="0.25">
      <c r="Q27759" s="8"/>
    </row>
    <row r="27760" spans="17:17" x14ac:dyDescent="0.25">
      <c r="Q27760" s="8"/>
    </row>
    <row r="27761" spans="17:17" x14ac:dyDescent="0.25">
      <c r="Q27761" s="8"/>
    </row>
    <row r="27762" spans="17:17" x14ac:dyDescent="0.25">
      <c r="Q27762" s="8"/>
    </row>
    <row r="27763" spans="17:17" x14ac:dyDescent="0.25">
      <c r="Q27763" s="8"/>
    </row>
    <row r="27764" spans="17:17" x14ac:dyDescent="0.25">
      <c r="Q27764" s="8"/>
    </row>
    <row r="27765" spans="17:17" x14ac:dyDescent="0.25">
      <c r="Q27765" s="8"/>
    </row>
    <row r="27766" spans="17:17" x14ac:dyDescent="0.25">
      <c r="Q27766" s="8"/>
    </row>
    <row r="27767" spans="17:17" x14ac:dyDescent="0.25">
      <c r="Q27767" s="8"/>
    </row>
    <row r="27768" spans="17:17" x14ac:dyDescent="0.25">
      <c r="Q27768" s="8"/>
    </row>
    <row r="27769" spans="17:17" x14ac:dyDescent="0.25">
      <c r="Q27769" s="8"/>
    </row>
    <row r="27770" spans="17:17" x14ac:dyDescent="0.25">
      <c r="Q27770" s="8"/>
    </row>
    <row r="27771" spans="17:17" x14ac:dyDescent="0.25">
      <c r="Q27771" s="8"/>
    </row>
    <row r="27772" spans="17:17" x14ac:dyDescent="0.25">
      <c r="Q27772" s="8"/>
    </row>
    <row r="27773" spans="17:17" x14ac:dyDescent="0.25">
      <c r="Q27773" s="8"/>
    </row>
    <row r="27774" spans="17:17" x14ac:dyDescent="0.25">
      <c r="Q27774" s="8"/>
    </row>
    <row r="27775" spans="17:17" x14ac:dyDescent="0.25">
      <c r="Q27775" s="8"/>
    </row>
    <row r="27776" spans="17:17" x14ac:dyDescent="0.25">
      <c r="Q27776" s="8"/>
    </row>
    <row r="27777" spans="17:17" x14ac:dyDescent="0.25">
      <c r="Q27777" s="8"/>
    </row>
    <row r="27778" spans="17:17" x14ac:dyDescent="0.25">
      <c r="Q27778" s="8"/>
    </row>
    <row r="27779" spans="17:17" x14ac:dyDescent="0.25">
      <c r="Q27779" s="8"/>
    </row>
    <row r="27780" spans="17:17" x14ac:dyDescent="0.25">
      <c r="Q27780" s="8"/>
    </row>
    <row r="27781" spans="17:17" x14ac:dyDescent="0.25">
      <c r="Q27781" s="8"/>
    </row>
    <row r="27782" spans="17:17" x14ac:dyDescent="0.25">
      <c r="Q27782" s="8"/>
    </row>
    <row r="27783" spans="17:17" x14ac:dyDescent="0.25">
      <c r="Q27783" s="8"/>
    </row>
    <row r="27784" spans="17:17" x14ac:dyDescent="0.25">
      <c r="Q27784" s="8"/>
    </row>
    <row r="27785" spans="17:17" x14ac:dyDescent="0.25">
      <c r="Q27785" s="8"/>
    </row>
    <row r="27786" spans="17:17" x14ac:dyDescent="0.25">
      <c r="Q27786" s="8"/>
    </row>
    <row r="27787" spans="17:17" x14ac:dyDescent="0.25">
      <c r="Q27787" s="8"/>
    </row>
    <row r="27788" spans="17:17" x14ac:dyDescent="0.25">
      <c r="Q27788" s="8"/>
    </row>
    <row r="27789" spans="17:17" x14ac:dyDescent="0.25">
      <c r="Q27789" s="8"/>
    </row>
    <row r="27790" spans="17:17" x14ac:dyDescent="0.25">
      <c r="Q27790" s="8"/>
    </row>
    <row r="27791" spans="17:17" x14ac:dyDescent="0.25">
      <c r="Q27791" s="8"/>
    </row>
    <row r="27792" spans="17:17" x14ac:dyDescent="0.25">
      <c r="Q27792" s="8"/>
    </row>
    <row r="27793" spans="17:17" x14ac:dyDescent="0.25">
      <c r="Q27793" s="8"/>
    </row>
    <row r="27794" spans="17:17" x14ac:dyDescent="0.25">
      <c r="Q27794" s="8"/>
    </row>
    <row r="27795" spans="17:17" x14ac:dyDescent="0.25">
      <c r="Q27795" s="8"/>
    </row>
    <row r="27796" spans="17:17" x14ac:dyDescent="0.25">
      <c r="Q27796" s="8"/>
    </row>
    <row r="27797" spans="17:17" x14ac:dyDescent="0.25">
      <c r="Q27797" s="8"/>
    </row>
    <row r="27798" spans="17:17" x14ac:dyDescent="0.25">
      <c r="Q27798" s="8"/>
    </row>
    <row r="27799" spans="17:17" x14ac:dyDescent="0.25">
      <c r="Q27799" s="8"/>
    </row>
    <row r="27800" spans="17:17" x14ac:dyDescent="0.25">
      <c r="Q27800" s="8"/>
    </row>
    <row r="27801" spans="17:17" x14ac:dyDescent="0.25">
      <c r="Q27801" s="8"/>
    </row>
    <row r="27802" spans="17:17" x14ac:dyDescent="0.25">
      <c r="Q27802" s="8"/>
    </row>
    <row r="27803" spans="17:17" x14ac:dyDescent="0.25">
      <c r="Q27803" s="8"/>
    </row>
    <row r="27804" spans="17:17" x14ac:dyDescent="0.25">
      <c r="Q27804" s="8"/>
    </row>
    <row r="27805" spans="17:17" x14ac:dyDescent="0.25">
      <c r="Q27805" s="8"/>
    </row>
    <row r="27806" spans="17:17" x14ac:dyDescent="0.25">
      <c r="Q27806" s="8"/>
    </row>
    <row r="27807" spans="17:17" x14ac:dyDescent="0.25">
      <c r="Q27807" s="8"/>
    </row>
    <row r="27808" spans="17:17" x14ac:dyDescent="0.25">
      <c r="Q27808" s="8"/>
    </row>
    <row r="27809" spans="17:17" x14ac:dyDescent="0.25">
      <c r="Q27809" s="8"/>
    </row>
    <row r="27810" spans="17:17" x14ac:dyDescent="0.25">
      <c r="Q27810" s="8"/>
    </row>
    <row r="27811" spans="17:17" x14ac:dyDescent="0.25">
      <c r="Q27811" s="8"/>
    </row>
    <row r="27812" spans="17:17" x14ac:dyDescent="0.25">
      <c r="Q27812" s="8"/>
    </row>
    <row r="27813" spans="17:17" x14ac:dyDescent="0.25">
      <c r="Q27813" s="8"/>
    </row>
    <row r="27814" spans="17:17" x14ac:dyDescent="0.25">
      <c r="Q27814" s="8"/>
    </row>
    <row r="27815" spans="17:17" x14ac:dyDescent="0.25">
      <c r="Q27815" s="8"/>
    </row>
    <row r="27816" spans="17:17" x14ac:dyDescent="0.25">
      <c r="Q27816" s="8"/>
    </row>
    <row r="27817" spans="17:17" x14ac:dyDescent="0.25">
      <c r="Q27817" s="8"/>
    </row>
    <row r="27818" spans="17:17" x14ac:dyDescent="0.25">
      <c r="Q27818" s="8"/>
    </row>
    <row r="27819" spans="17:17" x14ac:dyDescent="0.25">
      <c r="Q27819" s="8"/>
    </row>
    <row r="27820" spans="17:17" x14ac:dyDescent="0.25">
      <c r="Q27820" s="8"/>
    </row>
    <row r="27821" spans="17:17" x14ac:dyDescent="0.25">
      <c r="Q27821" s="8"/>
    </row>
    <row r="27822" spans="17:17" x14ac:dyDescent="0.25">
      <c r="Q27822" s="8"/>
    </row>
    <row r="27823" spans="17:17" x14ac:dyDescent="0.25">
      <c r="Q27823" s="8"/>
    </row>
    <row r="27824" spans="17:17" x14ac:dyDescent="0.25">
      <c r="Q27824" s="8"/>
    </row>
    <row r="27825" spans="17:17" x14ac:dyDescent="0.25">
      <c r="Q27825" s="8"/>
    </row>
    <row r="27826" spans="17:17" x14ac:dyDescent="0.25">
      <c r="Q27826" s="8"/>
    </row>
    <row r="27827" spans="17:17" x14ac:dyDescent="0.25">
      <c r="Q27827" s="8"/>
    </row>
    <row r="27828" spans="17:17" x14ac:dyDescent="0.25">
      <c r="Q27828" s="8"/>
    </row>
    <row r="27829" spans="17:17" x14ac:dyDescent="0.25">
      <c r="Q27829" s="8"/>
    </row>
    <row r="27830" spans="17:17" x14ac:dyDescent="0.25">
      <c r="Q27830" s="8"/>
    </row>
    <row r="27831" spans="17:17" x14ac:dyDescent="0.25">
      <c r="Q27831" s="8"/>
    </row>
    <row r="27832" spans="17:17" x14ac:dyDescent="0.25">
      <c r="Q27832" s="8"/>
    </row>
    <row r="27833" spans="17:17" x14ac:dyDescent="0.25">
      <c r="Q27833" s="8"/>
    </row>
    <row r="27834" spans="17:17" x14ac:dyDescent="0.25">
      <c r="Q27834" s="8"/>
    </row>
    <row r="27835" spans="17:17" x14ac:dyDescent="0.25">
      <c r="Q27835" s="8"/>
    </row>
    <row r="27836" spans="17:17" x14ac:dyDescent="0.25">
      <c r="Q27836" s="8"/>
    </row>
    <row r="27837" spans="17:17" x14ac:dyDescent="0.25">
      <c r="Q27837" s="8"/>
    </row>
    <row r="27838" spans="17:17" x14ac:dyDescent="0.25">
      <c r="Q27838" s="8"/>
    </row>
    <row r="27839" spans="17:17" x14ac:dyDescent="0.25">
      <c r="Q27839" s="8"/>
    </row>
    <row r="27840" spans="17:17" x14ac:dyDescent="0.25">
      <c r="Q27840" s="8"/>
    </row>
    <row r="27841" spans="17:17" x14ac:dyDescent="0.25">
      <c r="Q27841" s="8"/>
    </row>
    <row r="27842" spans="17:17" x14ac:dyDescent="0.25">
      <c r="Q27842" s="8"/>
    </row>
    <row r="27843" spans="17:17" x14ac:dyDescent="0.25">
      <c r="Q27843" s="8"/>
    </row>
    <row r="27844" spans="17:17" x14ac:dyDescent="0.25">
      <c r="Q27844" s="8"/>
    </row>
    <row r="27845" spans="17:17" x14ac:dyDescent="0.25">
      <c r="Q27845" s="8"/>
    </row>
    <row r="27846" spans="17:17" x14ac:dyDescent="0.25">
      <c r="Q27846" s="8"/>
    </row>
    <row r="27847" spans="17:17" x14ac:dyDescent="0.25">
      <c r="Q27847" s="8"/>
    </row>
    <row r="27848" spans="17:17" x14ac:dyDescent="0.25">
      <c r="Q27848" s="8"/>
    </row>
    <row r="27849" spans="17:17" x14ac:dyDescent="0.25">
      <c r="Q27849" s="8"/>
    </row>
    <row r="27850" spans="17:17" x14ac:dyDescent="0.25">
      <c r="Q27850" s="8"/>
    </row>
    <row r="27851" spans="17:17" x14ac:dyDescent="0.25">
      <c r="Q27851" s="8"/>
    </row>
    <row r="27852" spans="17:17" x14ac:dyDescent="0.25">
      <c r="Q27852" s="8"/>
    </row>
    <row r="27853" spans="17:17" x14ac:dyDescent="0.25">
      <c r="Q27853" s="8"/>
    </row>
    <row r="27854" spans="17:17" x14ac:dyDescent="0.25">
      <c r="Q27854" s="8"/>
    </row>
    <row r="27855" spans="17:17" x14ac:dyDescent="0.25">
      <c r="Q27855" s="8"/>
    </row>
    <row r="27856" spans="17:17" x14ac:dyDescent="0.25">
      <c r="Q27856" s="8"/>
    </row>
    <row r="27857" spans="17:17" x14ac:dyDescent="0.25">
      <c r="Q27857" s="8"/>
    </row>
    <row r="27858" spans="17:17" x14ac:dyDescent="0.25">
      <c r="Q27858" s="8"/>
    </row>
    <row r="27859" spans="17:17" x14ac:dyDescent="0.25">
      <c r="Q27859" s="8"/>
    </row>
    <row r="27860" spans="17:17" x14ac:dyDescent="0.25">
      <c r="Q27860" s="8"/>
    </row>
    <row r="27861" spans="17:17" x14ac:dyDescent="0.25">
      <c r="Q27861" s="8"/>
    </row>
    <row r="27862" spans="17:17" x14ac:dyDescent="0.25">
      <c r="Q27862" s="8"/>
    </row>
    <row r="27863" spans="17:17" x14ac:dyDescent="0.25">
      <c r="Q27863" s="8"/>
    </row>
    <row r="27864" spans="17:17" x14ac:dyDescent="0.25">
      <c r="Q27864" s="8"/>
    </row>
    <row r="27865" spans="17:17" x14ac:dyDescent="0.25">
      <c r="Q27865" s="8"/>
    </row>
    <row r="27866" spans="17:17" x14ac:dyDescent="0.25">
      <c r="Q27866" s="8"/>
    </row>
    <row r="27867" spans="17:17" x14ac:dyDescent="0.25">
      <c r="Q27867" s="8"/>
    </row>
    <row r="27868" spans="17:17" x14ac:dyDescent="0.25">
      <c r="Q27868" s="8"/>
    </row>
    <row r="27869" spans="17:17" x14ac:dyDescent="0.25">
      <c r="Q27869" s="8"/>
    </row>
    <row r="27870" spans="17:17" x14ac:dyDescent="0.25">
      <c r="Q27870" s="8"/>
    </row>
    <row r="27871" spans="17:17" x14ac:dyDescent="0.25">
      <c r="Q27871" s="8"/>
    </row>
    <row r="27872" spans="17:17" x14ac:dyDescent="0.25">
      <c r="Q27872" s="8"/>
    </row>
    <row r="27873" spans="17:17" x14ac:dyDescent="0.25">
      <c r="Q27873" s="8"/>
    </row>
    <row r="27874" spans="17:17" x14ac:dyDescent="0.25">
      <c r="Q27874" s="8"/>
    </row>
    <row r="27875" spans="17:17" x14ac:dyDescent="0.25">
      <c r="Q27875" s="8"/>
    </row>
    <row r="27876" spans="17:17" x14ac:dyDescent="0.25">
      <c r="Q27876" s="8"/>
    </row>
    <row r="27877" spans="17:17" x14ac:dyDescent="0.25">
      <c r="Q27877" s="8"/>
    </row>
    <row r="27878" spans="17:17" x14ac:dyDescent="0.25">
      <c r="Q27878" s="8"/>
    </row>
    <row r="27879" spans="17:17" x14ac:dyDescent="0.25">
      <c r="Q27879" s="8"/>
    </row>
    <row r="27880" spans="17:17" x14ac:dyDescent="0.25">
      <c r="Q27880" s="8"/>
    </row>
    <row r="27881" spans="17:17" x14ac:dyDescent="0.25">
      <c r="Q27881" s="8"/>
    </row>
    <row r="27882" spans="17:17" x14ac:dyDescent="0.25">
      <c r="Q27882" s="8"/>
    </row>
    <row r="27883" spans="17:17" x14ac:dyDescent="0.25">
      <c r="Q27883" s="8"/>
    </row>
    <row r="27884" spans="17:17" x14ac:dyDescent="0.25">
      <c r="Q27884" s="8"/>
    </row>
    <row r="27885" spans="17:17" x14ac:dyDescent="0.25">
      <c r="Q27885" s="8"/>
    </row>
    <row r="27886" spans="17:17" x14ac:dyDescent="0.25">
      <c r="Q27886" s="8"/>
    </row>
    <row r="27887" spans="17:17" x14ac:dyDescent="0.25">
      <c r="Q27887" s="8"/>
    </row>
    <row r="27888" spans="17:17" x14ac:dyDescent="0.25">
      <c r="Q27888" s="8"/>
    </row>
    <row r="27889" spans="17:17" x14ac:dyDescent="0.25">
      <c r="Q27889" s="8"/>
    </row>
    <row r="27890" spans="17:17" x14ac:dyDescent="0.25">
      <c r="Q27890" s="8"/>
    </row>
    <row r="27891" spans="17:17" x14ac:dyDescent="0.25">
      <c r="Q27891" s="8"/>
    </row>
    <row r="27892" spans="17:17" x14ac:dyDescent="0.25">
      <c r="Q27892" s="8"/>
    </row>
    <row r="27893" spans="17:17" x14ac:dyDescent="0.25">
      <c r="Q27893" s="8"/>
    </row>
    <row r="27894" spans="17:17" x14ac:dyDescent="0.25">
      <c r="Q27894" s="8"/>
    </row>
    <row r="27895" spans="17:17" x14ac:dyDescent="0.25">
      <c r="Q27895" s="8"/>
    </row>
    <row r="27896" spans="17:17" x14ac:dyDescent="0.25">
      <c r="Q27896" s="8"/>
    </row>
    <row r="27897" spans="17:17" x14ac:dyDescent="0.25">
      <c r="Q27897" s="8"/>
    </row>
    <row r="27898" spans="17:17" x14ac:dyDescent="0.25">
      <c r="Q27898" s="8"/>
    </row>
    <row r="27899" spans="17:17" x14ac:dyDescent="0.25">
      <c r="Q27899" s="8"/>
    </row>
    <row r="27900" spans="17:17" x14ac:dyDescent="0.25">
      <c r="Q27900" s="8"/>
    </row>
    <row r="27901" spans="17:17" x14ac:dyDescent="0.25">
      <c r="Q27901" s="8"/>
    </row>
    <row r="27902" spans="17:17" x14ac:dyDescent="0.25">
      <c r="Q27902" s="8"/>
    </row>
    <row r="27903" spans="17:17" x14ac:dyDescent="0.25">
      <c r="Q27903" s="8"/>
    </row>
    <row r="27904" spans="17:17" x14ac:dyDescent="0.25">
      <c r="Q27904" s="8"/>
    </row>
    <row r="27905" spans="17:17" x14ac:dyDescent="0.25">
      <c r="Q27905" s="8"/>
    </row>
    <row r="27906" spans="17:17" x14ac:dyDescent="0.25">
      <c r="Q27906" s="8"/>
    </row>
    <row r="27907" spans="17:17" x14ac:dyDescent="0.25">
      <c r="Q27907" s="8"/>
    </row>
    <row r="27908" spans="17:17" x14ac:dyDescent="0.25">
      <c r="Q27908" s="8"/>
    </row>
    <row r="27909" spans="17:17" x14ac:dyDescent="0.25">
      <c r="Q27909" s="8"/>
    </row>
    <row r="27910" spans="17:17" x14ac:dyDescent="0.25">
      <c r="Q27910" s="8"/>
    </row>
    <row r="27911" spans="17:17" x14ac:dyDescent="0.25">
      <c r="Q27911" s="8"/>
    </row>
    <row r="27912" spans="17:17" x14ac:dyDescent="0.25">
      <c r="Q27912" s="8"/>
    </row>
    <row r="27913" spans="17:17" x14ac:dyDescent="0.25">
      <c r="Q27913" s="8"/>
    </row>
    <row r="27914" spans="17:17" x14ac:dyDescent="0.25">
      <c r="Q27914" s="8"/>
    </row>
    <row r="27915" spans="17:17" x14ac:dyDescent="0.25">
      <c r="Q27915" s="8"/>
    </row>
    <row r="27916" spans="17:17" x14ac:dyDescent="0.25">
      <c r="Q27916" s="8"/>
    </row>
    <row r="27917" spans="17:17" x14ac:dyDescent="0.25">
      <c r="Q27917" s="8"/>
    </row>
    <row r="27918" spans="17:17" x14ac:dyDescent="0.25">
      <c r="Q27918" s="8"/>
    </row>
    <row r="27919" spans="17:17" x14ac:dyDescent="0.25">
      <c r="Q27919" s="8"/>
    </row>
    <row r="27920" spans="17:17" x14ac:dyDescent="0.25">
      <c r="Q27920" s="8"/>
    </row>
    <row r="27921" spans="17:17" x14ac:dyDescent="0.25">
      <c r="Q27921" s="8"/>
    </row>
    <row r="27922" spans="17:17" x14ac:dyDescent="0.25">
      <c r="Q27922" s="8"/>
    </row>
    <row r="27923" spans="17:17" x14ac:dyDescent="0.25">
      <c r="Q27923" s="8"/>
    </row>
    <row r="27924" spans="17:17" x14ac:dyDescent="0.25">
      <c r="Q27924" s="8"/>
    </row>
    <row r="27925" spans="17:17" x14ac:dyDescent="0.25">
      <c r="Q27925" s="8"/>
    </row>
    <row r="27926" spans="17:17" x14ac:dyDescent="0.25">
      <c r="Q27926" s="8"/>
    </row>
    <row r="27927" spans="17:17" x14ac:dyDescent="0.25">
      <c r="Q27927" s="8"/>
    </row>
    <row r="27928" spans="17:17" x14ac:dyDescent="0.25">
      <c r="Q27928" s="8"/>
    </row>
    <row r="27929" spans="17:17" x14ac:dyDescent="0.25">
      <c r="Q27929" s="8"/>
    </row>
    <row r="27930" spans="17:17" x14ac:dyDescent="0.25">
      <c r="Q27930" s="8"/>
    </row>
    <row r="27931" spans="17:17" x14ac:dyDescent="0.25">
      <c r="Q27931" s="8"/>
    </row>
    <row r="27932" spans="17:17" x14ac:dyDescent="0.25">
      <c r="Q27932" s="8"/>
    </row>
    <row r="27933" spans="17:17" x14ac:dyDescent="0.25">
      <c r="Q27933" s="8"/>
    </row>
    <row r="27934" spans="17:17" x14ac:dyDescent="0.25">
      <c r="Q27934" s="8"/>
    </row>
    <row r="27935" spans="17:17" x14ac:dyDescent="0.25">
      <c r="Q27935" s="8"/>
    </row>
    <row r="27936" spans="17:17" x14ac:dyDescent="0.25">
      <c r="Q27936" s="8"/>
    </row>
    <row r="27937" spans="17:17" x14ac:dyDescent="0.25">
      <c r="Q27937" s="8"/>
    </row>
    <row r="27938" spans="17:17" x14ac:dyDescent="0.25">
      <c r="Q27938" s="8"/>
    </row>
    <row r="27939" spans="17:17" x14ac:dyDescent="0.25">
      <c r="Q27939" s="8"/>
    </row>
    <row r="27940" spans="17:17" x14ac:dyDescent="0.25">
      <c r="Q27940" s="8"/>
    </row>
    <row r="27941" spans="17:17" x14ac:dyDescent="0.25">
      <c r="Q27941" s="8"/>
    </row>
    <row r="27942" spans="17:17" x14ac:dyDescent="0.25">
      <c r="Q27942" s="8"/>
    </row>
    <row r="27943" spans="17:17" x14ac:dyDescent="0.25">
      <c r="Q27943" s="8"/>
    </row>
    <row r="27944" spans="17:17" x14ac:dyDescent="0.25">
      <c r="Q27944" s="8"/>
    </row>
    <row r="27945" spans="17:17" x14ac:dyDescent="0.25">
      <c r="Q27945" s="8"/>
    </row>
    <row r="27946" spans="17:17" x14ac:dyDescent="0.25">
      <c r="Q27946" s="8"/>
    </row>
    <row r="27947" spans="17:17" x14ac:dyDescent="0.25">
      <c r="Q27947" s="8"/>
    </row>
    <row r="27948" spans="17:17" x14ac:dyDescent="0.25">
      <c r="Q27948" s="8"/>
    </row>
    <row r="27949" spans="17:17" x14ac:dyDescent="0.25">
      <c r="Q27949" s="8"/>
    </row>
    <row r="27950" spans="17:17" x14ac:dyDescent="0.25">
      <c r="Q27950" s="8"/>
    </row>
    <row r="27951" spans="17:17" x14ac:dyDescent="0.25">
      <c r="Q27951" s="8"/>
    </row>
    <row r="27952" spans="17:17" x14ac:dyDescent="0.25">
      <c r="Q27952" s="8"/>
    </row>
    <row r="27953" spans="17:17" x14ac:dyDescent="0.25">
      <c r="Q27953" s="8"/>
    </row>
    <row r="27954" spans="17:17" x14ac:dyDescent="0.25">
      <c r="Q27954" s="8"/>
    </row>
    <row r="27955" spans="17:17" x14ac:dyDescent="0.25">
      <c r="Q27955" s="8"/>
    </row>
    <row r="27956" spans="17:17" x14ac:dyDescent="0.25">
      <c r="Q27956" s="8"/>
    </row>
    <row r="27957" spans="17:17" x14ac:dyDescent="0.25">
      <c r="Q27957" s="8"/>
    </row>
    <row r="27958" spans="17:17" x14ac:dyDescent="0.25">
      <c r="Q27958" s="8"/>
    </row>
    <row r="27959" spans="17:17" x14ac:dyDescent="0.25">
      <c r="Q27959" s="8"/>
    </row>
    <row r="27960" spans="17:17" x14ac:dyDescent="0.25">
      <c r="Q27960" s="8"/>
    </row>
    <row r="27961" spans="17:17" x14ac:dyDescent="0.25">
      <c r="Q27961" s="8"/>
    </row>
    <row r="27962" spans="17:17" x14ac:dyDescent="0.25">
      <c r="Q27962" s="8"/>
    </row>
    <row r="27963" spans="17:17" x14ac:dyDescent="0.25">
      <c r="Q27963" s="8"/>
    </row>
    <row r="27964" spans="17:17" x14ac:dyDescent="0.25">
      <c r="Q27964" s="8"/>
    </row>
    <row r="27965" spans="17:17" x14ac:dyDescent="0.25">
      <c r="Q27965" s="8"/>
    </row>
    <row r="27966" spans="17:17" x14ac:dyDescent="0.25">
      <c r="Q27966" s="8"/>
    </row>
    <row r="27967" spans="17:17" x14ac:dyDescent="0.25">
      <c r="Q27967" s="8"/>
    </row>
    <row r="27968" spans="17:17" x14ac:dyDescent="0.25">
      <c r="Q27968" s="8"/>
    </row>
    <row r="27969" spans="17:17" x14ac:dyDescent="0.25">
      <c r="Q27969" s="8"/>
    </row>
    <row r="27970" spans="17:17" x14ac:dyDescent="0.25">
      <c r="Q27970" s="8"/>
    </row>
    <row r="27971" spans="17:17" x14ac:dyDescent="0.25">
      <c r="Q27971" s="8"/>
    </row>
    <row r="27972" spans="17:17" x14ac:dyDescent="0.25">
      <c r="Q27972" s="8"/>
    </row>
    <row r="27973" spans="17:17" x14ac:dyDescent="0.25">
      <c r="Q27973" s="8"/>
    </row>
    <row r="27974" spans="17:17" x14ac:dyDescent="0.25">
      <c r="Q27974" s="8"/>
    </row>
    <row r="27975" spans="17:17" x14ac:dyDescent="0.25">
      <c r="Q27975" s="8"/>
    </row>
    <row r="27976" spans="17:17" x14ac:dyDescent="0.25">
      <c r="Q27976" s="8"/>
    </row>
    <row r="27977" spans="17:17" x14ac:dyDescent="0.25">
      <c r="Q27977" s="8"/>
    </row>
    <row r="27978" spans="17:17" x14ac:dyDescent="0.25">
      <c r="Q27978" s="8"/>
    </row>
    <row r="27979" spans="17:17" x14ac:dyDescent="0.25">
      <c r="Q27979" s="8"/>
    </row>
    <row r="27980" spans="17:17" x14ac:dyDescent="0.25">
      <c r="Q27980" s="8"/>
    </row>
    <row r="27981" spans="17:17" x14ac:dyDescent="0.25">
      <c r="Q27981" s="8"/>
    </row>
    <row r="27982" spans="17:17" x14ac:dyDescent="0.25">
      <c r="Q27982" s="8"/>
    </row>
    <row r="27983" spans="17:17" x14ac:dyDescent="0.25">
      <c r="Q27983" s="8"/>
    </row>
    <row r="27984" spans="17:17" x14ac:dyDescent="0.25">
      <c r="Q27984" s="8"/>
    </row>
    <row r="27985" spans="17:17" x14ac:dyDescent="0.25">
      <c r="Q27985" s="8"/>
    </row>
    <row r="27986" spans="17:17" x14ac:dyDescent="0.25">
      <c r="Q27986" s="8"/>
    </row>
    <row r="27987" spans="17:17" x14ac:dyDescent="0.25">
      <c r="Q27987" s="8"/>
    </row>
    <row r="27988" spans="17:17" x14ac:dyDescent="0.25">
      <c r="Q27988" s="8"/>
    </row>
    <row r="27989" spans="17:17" x14ac:dyDescent="0.25">
      <c r="Q27989" s="8"/>
    </row>
    <row r="27990" spans="17:17" x14ac:dyDescent="0.25">
      <c r="Q27990" s="8"/>
    </row>
    <row r="27991" spans="17:17" x14ac:dyDescent="0.25">
      <c r="Q27991" s="8"/>
    </row>
    <row r="27992" spans="17:17" x14ac:dyDescent="0.25">
      <c r="Q27992" s="8"/>
    </row>
    <row r="27993" spans="17:17" x14ac:dyDescent="0.25">
      <c r="Q27993" s="8"/>
    </row>
    <row r="27994" spans="17:17" x14ac:dyDescent="0.25">
      <c r="Q27994" s="8"/>
    </row>
    <row r="27995" spans="17:17" x14ac:dyDescent="0.25">
      <c r="Q27995" s="8"/>
    </row>
    <row r="27996" spans="17:17" x14ac:dyDescent="0.25">
      <c r="Q27996" s="8"/>
    </row>
    <row r="27997" spans="17:17" x14ac:dyDescent="0.25">
      <c r="Q27997" s="8"/>
    </row>
    <row r="27998" spans="17:17" x14ac:dyDescent="0.25">
      <c r="Q27998" s="8"/>
    </row>
    <row r="27999" spans="17:17" x14ac:dyDescent="0.25">
      <c r="Q27999" s="8"/>
    </row>
    <row r="28000" spans="17:17" x14ac:dyDescent="0.25">
      <c r="Q28000" s="8"/>
    </row>
    <row r="28001" spans="17:17" x14ac:dyDescent="0.25">
      <c r="Q28001" s="8"/>
    </row>
    <row r="28002" spans="17:17" x14ac:dyDescent="0.25">
      <c r="Q28002" s="8"/>
    </row>
    <row r="28003" spans="17:17" x14ac:dyDescent="0.25">
      <c r="Q28003" s="8"/>
    </row>
    <row r="28004" spans="17:17" x14ac:dyDescent="0.25">
      <c r="Q28004" s="8"/>
    </row>
    <row r="28005" spans="17:17" x14ac:dyDescent="0.25">
      <c r="Q28005" s="8"/>
    </row>
    <row r="28006" spans="17:17" x14ac:dyDescent="0.25">
      <c r="Q28006" s="8"/>
    </row>
    <row r="28007" spans="17:17" x14ac:dyDescent="0.25">
      <c r="Q28007" s="8"/>
    </row>
    <row r="28008" spans="17:17" x14ac:dyDescent="0.25">
      <c r="Q28008" s="8"/>
    </row>
    <row r="28009" spans="17:17" x14ac:dyDescent="0.25">
      <c r="Q28009" s="8"/>
    </row>
    <row r="28010" spans="17:17" x14ac:dyDescent="0.25">
      <c r="Q28010" s="8"/>
    </row>
    <row r="28011" spans="17:17" x14ac:dyDescent="0.25">
      <c r="Q28011" s="8"/>
    </row>
    <row r="28012" spans="17:17" x14ac:dyDescent="0.25">
      <c r="Q28012" s="8"/>
    </row>
    <row r="28013" spans="17:17" x14ac:dyDescent="0.25">
      <c r="Q28013" s="8"/>
    </row>
    <row r="28014" spans="17:17" x14ac:dyDescent="0.25">
      <c r="Q28014" s="8"/>
    </row>
    <row r="28015" spans="17:17" x14ac:dyDescent="0.25">
      <c r="Q28015" s="8"/>
    </row>
    <row r="28016" spans="17:17" x14ac:dyDescent="0.25">
      <c r="Q28016" s="8"/>
    </row>
    <row r="28017" spans="17:17" x14ac:dyDescent="0.25">
      <c r="Q28017" s="8"/>
    </row>
    <row r="28018" spans="17:17" x14ac:dyDescent="0.25">
      <c r="Q28018" s="8"/>
    </row>
    <row r="28019" spans="17:17" x14ac:dyDescent="0.25">
      <c r="Q28019" s="8"/>
    </row>
    <row r="28020" spans="17:17" x14ac:dyDescent="0.25">
      <c r="Q28020" s="8"/>
    </row>
    <row r="28021" spans="17:17" x14ac:dyDescent="0.25">
      <c r="Q28021" s="8"/>
    </row>
    <row r="28022" spans="17:17" x14ac:dyDescent="0.25">
      <c r="Q28022" s="8"/>
    </row>
    <row r="28023" spans="17:17" x14ac:dyDescent="0.25">
      <c r="Q28023" s="8"/>
    </row>
    <row r="28024" spans="17:17" x14ac:dyDescent="0.25">
      <c r="Q28024" s="8"/>
    </row>
    <row r="28025" spans="17:17" x14ac:dyDescent="0.25">
      <c r="Q28025" s="8"/>
    </row>
    <row r="28026" spans="17:17" x14ac:dyDescent="0.25">
      <c r="Q28026" s="8"/>
    </row>
    <row r="28027" spans="17:17" x14ac:dyDescent="0.25">
      <c r="Q28027" s="8"/>
    </row>
    <row r="28028" spans="17:17" x14ac:dyDescent="0.25">
      <c r="Q28028" s="8"/>
    </row>
    <row r="28029" spans="17:17" x14ac:dyDescent="0.25">
      <c r="Q28029" s="8"/>
    </row>
    <row r="28030" spans="17:17" x14ac:dyDescent="0.25">
      <c r="Q28030" s="8"/>
    </row>
    <row r="28031" spans="17:17" x14ac:dyDescent="0.25">
      <c r="Q28031" s="8"/>
    </row>
    <row r="28032" spans="17:17" x14ac:dyDescent="0.25">
      <c r="Q28032" s="8"/>
    </row>
    <row r="28033" spans="17:17" x14ac:dyDescent="0.25">
      <c r="Q28033" s="8"/>
    </row>
    <row r="28034" spans="17:17" x14ac:dyDescent="0.25">
      <c r="Q28034" s="8"/>
    </row>
    <row r="28035" spans="17:17" x14ac:dyDescent="0.25">
      <c r="Q28035" s="8"/>
    </row>
    <row r="28036" spans="17:17" x14ac:dyDescent="0.25">
      <c r="Q28036" s="8"/>
    </row>
    <row r="28037" spans="17:17" x14ac:dyDescent="0.25">
      <c r="Q28037" s="8"/>
    </row>
    <row r="28038" spans="17:17" x14ac:dyDescent="0.25">
      <c r="Q28038" s="8"/>
    </row>
    <row r="28039" spans="17:17" x14ac:dyDescent="0.25">
      <c r="Q28039" s="8"/>
    </row>
    <row r="28040" spans="17:17" x14ac:dyDescent="0.25">
      <c r="Q28040" s="8"/>
    </row>
    <row r="28041" spans="17:17" x14ac:dyDescent="0.25">
      <c r="Q28041" s="8"/>
    </row>
    <row r="28042" spans="17:17" x14ac:dyDescent="0.25">
      <c r="Q28042" s="8"/>
    </row>
    <row r="28043" spans="17:17" x14ac:dyDescent="0.25">
      <c r="Q28043" s="8"/>
    </row>
    <row r="28044" spans="17:17" x14ac:dyDescent="0.25">
      <c r="Q28044" s="8"/>
    </row>
    <row r="28045" spans="17:17" x14ac:dyDescent="0.25">
      <c r="Q28045" s="8"/>
    </row>
    <row r="28046" spans="17:17" x14ac:dyDescent="0.25">
      <c r="Q28046" s="8"/>
    </row>
    <row r="28047" spans="17:17" x14ac:dyDescent="0.25">
      <c r="Q28047" s="8"/>
    </row>
    <row r="28048" spans="17:17" x14ac:dyDescent="0.25">
      <c r="Q28048" s="8"/>
    </row>
    <row r="28049" spans="17:17" x14ac:dyDescent="0.25">
      <c r="Q28049" s="8"/>
    </row>
    <row r="28050" spans="17:17" x14ac:dyDescent="0.25">
      <c r="Q28050" s="8"/>
    </row>
    <row r="28051" spans="17:17" x14ac:dyDescent="0.25">
      <c r="Q28051" s="8"/>
    </row>
    <row r="28052" spans="17:17" x14ac:dyDescent="0.25">
      <c r="Q28052" s="8"/>
    </row>
    <row r="28053" spans="17:17" x14ac:dyDescent="0.25">
      <c r="Q28053" s="8"/>
    </row>
    <row r="28054" spans="17:17" x14ac:dyDescent="0.25">
      <c r="Q28054" s="8"/>
    </row>
    <row r="28055" spans="17:17" x14ac:dyDescent="0.25">
      <c r="Q28055" s="8"/>
    </row>
    <row r="28056" spans="17:17" x14ac:dyDescent="0.25">
      <c r="Q28056" s="8"/>
    </row>
    <row r="28057" spans="17:17" x14ac:dyDescent="0.25">
      <c r="Q28057" s="8"/>
    </row>
    <row r="28058" spans="17:17" x14ac:dyDescent="0.25">
      <c r="Q28058" s="8"/>
    </row>
    <row r="28059" spans="17:17" x14ac:dyDescent="0.25">
      <c r="Q28059" s="8"/>
    </row>
    <row r="28060" spans="17:17" x14ac:dyDescent="0.25">
      <c r="Q28060" s="8"/>
    </row>
    <row r="28061" spans="17:17" x14ac:dyDescent="0.25">
      <c r="Q28061" s="8"/>
    </row>
    <row r="28062" spans="17:17" x14ac:dyDescent="0.25">
      <c r="Q28062" s="8"/>
    </row>
    <row r="28063" spans="17:17" x14ac:dyDescent="0.25">
      <c r="Q28063" s="8"/>
    </row>
    <row r="28064" spans="17:17" x14ac:dyDescent="0.25">
      <c r="Q28064" s="8"/>
    </row>
    <row r="28065" spans="17:17" x14ac:dyDescent="0.25">
      <c r="Q28065" s="8"/>
    </row>
    <row r="28066" spans="17:17" x14ac:dyDescent="0.25">
      <c r="Q28066" s="8"/>
    </row>
    <row r="28067" spans="17:17" x14ac:dyDescent="0.25">
      <c r="Q28067" s="8"/>
    </row>
    <row r="28068" spans="17:17" x14ac:dyDescent="0.25">
      <c r="Q28068" s="8"/>
    </row>
    <row r="28069" spans="17:17" x14ac:dyDescent="0.25">
      <c r="Q28069" s="8"/>
    </row>
    <row r="28070" spans="17:17" x14ac:dyDescent="0.25">
      <c r="Q28070" s="8"/>
    </row>
    <row r="28071" spans="17:17" x14ac:dyDescent="0.25">
      <c r="Q28071" s="8"/>
    </row>
    <row r="28072" spans="17:17" x14ac:dyDescent="0.25">
      <c r="Q28072" s="8"/>
    </row>
    <row r="28073" spans="17:17" x14ac:dyDescent="0.25">
      <c r="Q28073" s="8"/>
    </row>
    <row r="28074" spans="17:17" x14ac:dyDescent="0.25">
      <c r="Q28074" s="8"/>
    </row>
    <row r="28075" spans="17:17" x14ac:dyDescent="0.25">
      <c r="Q28075" s="8"/>
    </row>
    <row r="28076" spans="17:17" x14ac:dyDescent="0.25">
      <c r="Q28076" s="8"/>
    </row>
    <row r="28077" spans="17:17" x14ac:dyDescent="0.25">
      <c r="Q28077" s="8"/>
    </row>
    <row r="28078" spans="17:17" x14ac:dyDescent="0.25">
      <c r="Q28078" s="8"/>
    </row>
    <row r="28079" spans="17:17" x14ac:dyDescent="0.25">
      <c r="Q28079" s="8"/>
    </row>
    <row r="28080" spans="17:17" x14ac:dyDescent="0.25">
      <c r="Q28080" s="8"/>
    </row>
    <row r="28081" spans="17:17" x14ac:dyDescent="0.25">
      <c r="Q28081" s="8"/>
    </row>
    <row r="28082" spans="17:17" x14ac:dyDescent="0.25">
      <c r="Q28082" s="8"/>
    </row>
    <row r="28083" spans="17:17" x14ac:dyDescent="0.25">
      <c r="Q28083" s="8"/>
    </row>
    <row r="28084" spans="17:17" x14ac:dyDescent="0.25">
      <c r="Q28084" s="8"/>
    </row>
    <row r="28085" spans="17:17" x14ac:dyDescent="0.25">
      <c r="Q28085" s="8"/>
    </row>
    <row r="28086" spans="17:17" x14ac:dyDescent="0.25">
      <c r="Q28086" s="8"/>
    </row>
    <row r="28087" spans="17:17" x14ac:dyDescent="0.25">
      <c r="Q28087" s="8"/>
    </row>
    <row r="28088" spans="17:17" x14ac:dyDescent="0.25">
      <c r="Q28088" s="8"/>
    </row>
    <row r="28089" spans="17:17" x14ac:dyDescent="0.25">
      <c r="Q28089" s="8"/>
    </row>
    <row r="28090" spans="17:17" x14ac:dyDescent="0.25">
      <c r="Q28090" s="8"/>
    </row>
    <row r="28091" spans="17:17" x14ac:dyDescent="0.25">
      <c r="Q28091" s="8"/>
    </row>
    <row r="28092" spans="17:17" x14ac:dyDescent="0.25">
      <c r="Q28092" s="8"/>
    </row>
    <row r="28093" spans="17:17" x14ac:dyDescent="0.25">
      <c r="Q28093" s="8"/>
    </row>
    <row r="28094" spans="17:17" x14ac:dyDescent="0.25">
      <c r="Q28094" s="8"/>
    </row>
    <row r="28095" spans="17:17" x14ac:dyDescent="0.25">
      <c r="Q28095" s="8"/>
    </row>
    <row r="28096" spans="17:17" x14ac:dyDescent="0.25">
      <c r="Q28096" s="8"/>
    </row>
    <row r="28097" spans="17:17" x14ac:dyDescent="0.25">
      <c r="Q28097" s="8"/>
    </row>
    <row r="28098" spans="17:17" x14ac:dyDescent="0.25">
      <c r="Q28098" s="8"/>
    </row>
    <row r="28099" spans="17:17" x14ac:dyDescent="0.25">
      <c r="Q28099" s="8"/>
    </row>
    <row r="28100" spans="17:17" x14ac:dyDescent="0.25">
      <c r="Q28100" s="8"/>
    </row>
    <row r="28101" spans="17:17" x14ac:dyDescent="0.25">
      <c r="Q28101" s="8"/>
    </row>
    <row r="28102" spans="17:17" x14ac:dyDescent="0.25">
      <c r="Q28102" s="8"/>
    </row>
    <row r="28103" spans="17:17" x14ac:dyDescent="0.25">
      <c r="Q28103" s="8"/>
    </row>
    <row r="28104" spans="17:17" x14ac:dyDescent="0.25">
      <c r="Q28104" s="8"/>
    </row>
    <row r="28105" spans="17:17" x14ac:dyDescent="0.25">
      <c r="Q28105" s="8"/>
    </row>
    <row r="28106" spans="17:17" x14ac:dyDescent="0.25">
      <c r="Q28106" s="8"/>
    </row>
    <row r="28107" spans="17:17" x14ac:dyDescent="0.25">
      <c r="Q28107" s="8"/>
    </row>
    <row r="28108" spans="17:17" x14ac:dyDescent="0.25">
      <c r="Q28108" s="8"/>
    </row>
    <row r="28109" spans="17:17" x14ac:dyDescent="0.25">
      <c r="Q28109" s="8"/>
    </row>
    <row r="28110" spans="17:17" x14ac:dyDescent="0.25">
      <c r="Q28110" s="8"/>
    </row>
    <row r="28111" spans="17:17" x14ac:dyDescent="0.25">
      <c r="Q28111" s="8"/>
    </row>
    <row r="28112" spans="17:17" x14ac:dyDescent="0.25">
      <c r="Q28112" s="8"/>
    </row>
    <row r="28113" spans="17:17" x14ac:dyDescent="0.25">
      <c r="Q28113" s="8"/>
    </row>
    <row r="28114" spans="17:17" x14ac:dyDescent="0.25">
      <c r="Q28114" s="8"/>
    </row>
    <row r="28115" spans="17:17" x14ac:dyDescent="0.25">
      <c r="Q28115" s="8"/>
    </row>
    <row r="28116" spans="17:17" x14ac:dyDescent="0.25">
      <c r="Q28116" s="8"/>
    </row>
    <row r="28117" spans="17:17" x14ac:dyDescent="0.25">
      <c r="Q28117" s="8"/>
    </row>
    <row r="28118" spans="17:17" x14ac:dyDescent="0.25">
      <c r="Q28118" s="8"/>
    </row>
    <row r="28119" spans="17:17" x14ac:dyDescent="0.25">
      <c r="Q28119" s="8"/>
    </row>
    <row r="28120" spans="17:17" x14ac:dyDescent="0.25">
      <c r="Q28120" s="8"/>
    </row>
    <row r="28121" spans="17:17" x14ac:dyDescent="0.25">
      <c r="Q28121" s="8"/>
    </row>
    <row r="28122" spans="17:17" x14ac:dyDescent="0.25">
      <c r="Q28122" s="8"/>
    </row>
    <row r="28123" spans="17:17" x14ac:dyDescent="0.25">
      <c r="Q28123" s="8"/>
    </row>
    <row r="28124" spans="17:17" x14ac:dyDescent="0.25">
      <c r="Q28124" s="8"/>
    </row>
    <row r="28125" spans="17:17" x14ac:dyDescent="0.25">
      <c r="Q28125" s="8"/>
    </row>
    <row r="28126" spans="17:17" x14ac:dyDescent="0.25">
      <c r="Q28126" s="8"/>
    </row>
    <row r="28127" spans="17:17" x14ac:dyDescent="0.25">
      <c r="Q28127" s="8"/>
    </row>
    <row r="28128" spans="17:17" x14ac:dyDescent="0.25">
      <c r="Q28128" s="8"/>
    </row>
    <row r="28129" spans="17:17" x14ac:dyDescent="0.25">
      <c r="Q28129" s="8"/>
    </row>
    <row r="28130" spans="17:17" x14ac:dyDescent="0.25">
      <c r="Q28130" s="8"/>
    </row>
    <row r="28131" spans="17:17" x14ac:dyDescent="0.25">
      <c r="Q28131" s="8"/>
    </row>
    <row r="28132" spans="17:17" x14ac:dyDescent="0.25">
      <c r="Q28132" s="8"/>
    </row>
    <row r="28133" spans="17:17" x14ac:dyDescent="0.25">
      <c r="Q28133" s="8"/>
    </row>
    <row r="28134" spans="17:17" x14ac:dyDescent="0.25">
      <c r="Q28134" s="8"/>
    </row>
    <row r="28135" spans="17:17" x14ac:dyDescent="0.25">
      <c r="Q28135" s="8"/>
    </row>
    <row r="28136" spans="17:17" x14ac:dyDescent="0.25">
      <c r="Q28136" s="8"/>
    </row>
    <row r="28137" spans="17:17" x14ac:dyDescent="0.25">
      <c r="Q28137" s="8"/>
    </row>
    <row r="28138" spans="17:17" x14ac:dyDescent="0.25">
      <c r="Q28138" s="8"/>
    </row>
    <row r="28139" spans="17:17" x14ac:dyDescent="0.25">
      <c r="Q28139" s="8"/>
    </row>
    <row r="28140" spans="17:17" x14ac:dyDescent="0.25">
      <c r="Q28140" s="8"/>
    </row>
    <row r="28141" spans="17:17" x14ac:dyDescent="0.25">
      <c r="Q28141" s="8"/>
    </row>
    <row r="28142" spans="17:17" x14ac:dyDescent="0.25">
      <c r="Q28142" s="8"/>
    </row>
    <row r="28143" spans="17:17" x14ac:dyDescent="0.25">
      <c r="Q28143" s="8"/>
    </row>
    <row r="28144" spans="17:17" x14ac:dyDescent="0.25">
      <c r="Q28144" s="8"/>
    </row>
    <row r="28145" spans="17:17" x14ac:dyDescent="0.25">
      <c r="Q28145" s="8"/>
    </row>
    <row r="28146" spans="17:17" x14ac:dyDescent="0.25">
      <c r="Q28146" s="8"/>
    </row>
    <row r="28147" spans="17:17" x14ac:dyDescent="0.25">
      <c r="Q28147" s="8"/>
    </row>
    <row r="28148" spans="17:17" x14ac:dyDescent="0.25">
      <c r="Q28148" s="8"/>
    </row>
    <row r="28149" spans="17:17" x14ac:dyDescent="0.25">
      <c r="Q28149" s="8"/>
    </row>
    <row r="28150" spans="17:17" x14ac:dyDescent="0.25">
      <c r="Q28150" s="8"/>
    </row>
    <row r="28151" spans="17:17" x14ac:dyDescent="0.25">
      <c r="Q28151" s="8"/>
    </row>
    <row r="28152" spans="17:17" x14ac:dyDescent="0.25">
      <c r="Q28152" s="8"/>
    </row>
    <row r="28153" spans="17:17" x14ac:dyDescent="0.25">
      <c r="Q28153" s="8"/>
    </row>
    <row r="28154" spans="17:17" x14ac:dyDescent="0.25">
      <c r="Q28154" s="8"/>
    </row>
    <row r="28155" spans="17:17" x14ac:dyDescent="0.25">
      <c r="Q28155" s="8"/>
    </row>
    <row r="28156" spans="17:17" x14ac:dyDescent="0.25">
      <c r="Q28156" s="8"/>
    </row>
    <row r="28157" spans="17:17" x14ac:dyDescent="0.25">
      <c r="Q28157" s="8"/>
    </row>
    <row r="28158" spans="17:17" x14ac:dyDescent="0.25">
      <c r="Q28158" s="8"/>
    </row>
    <row r="28159" spans="17:17" x14ac:dyDescent="0.25">
      <c r="Q28159" s="8"/>
    </row>
    <row r="28160" spans="17:17" x14ac:dyDescent="0.25">
      <c r="Q28160" s="8"/>
    </row>
    <row r="28161" spans="17:17" x14ac:dyDescent="0.25">
      <c r="Q28161" s="8"/>
    </row>
    <row r="28162" spans="17:17" x14ac:dyDescent="0.25">
      <c r="Q28162" s="8"/>
    </row>
    <row r="28163" spans="17:17" x14ac:dyDescent="0.25">
      <c r="Q28163" s="8"/>
    </row>
    <row r="28164" spans="17:17" x14ac:dyDescent="0.25">
      <c r="Q28164" s="8"/>
    </row>
    <row r="28165" spans="17:17" x14ac:dyDescent="0.25">
      <c r="Q28165" s="8"/>
    </row>
    <row r="28166" spans="17:17" x14ac:dyDescent="0.25">
      <c r="Q28166" s="8"/>
    </row>
    <row r="28167" spans="17:17" x14ac:dyDescent="0.25">
      <c r="Q28167" s="8"/>
    </row>
    <row r="28168" spans="17:17" x14ac:dyDescent="0.25">
      <c r="Q28168" s="8"/>
    </row>
    <row r="28169" spans="17:17" x14ac:dyDescent="0.25">
      <c r="Q28169" s="8"/>
    </row>
    <row r="28170" spans="17:17" x14ac:dyDescent="0.25">
      <c r="Q28170" s="8"/>
    </row>
    <row r="28171" spans="17:17" x14ac:dyDescent="0.25">
      <c r="Q28171" s="8"/>
    </row>
    <row r="28172" spans="17:17" x14ac:dyDescent="0.25">
      <c r="Q28172" s="8"/>
    </row>
    <row r="28173" spans="17:17" x14ac:dyDescent="0.25">
      <c r="Q28173" s="8"/>
    </row>
    <row r="28174" spans="17:17" x14ac:dyDescent="0.25">
      <c r="Q28174" s="8"/>
    </row>
    <row r="28175" spans="17:17" x14ac:dyDescent="0.25">
      <c r="Q28175" s="8"/>
    </row>
    <row r="28176" spans="17:17" x14ac:dyDescent="0.25">
      <c r="Q28176" s="8"/>
    </row>
    <row r="28177" spans="17:17" x14ac:dyDescent="0.25">
      <c r="Q28177" s="8"/>
    </row>
    <row r="28178" spans="17:17" x14ac:dyDescent="0.25">
      <c r="Q28178" s="8"/>
    </row>
    <row r="28179" spans="17:17" x14ac:dyDescent="0.25">
      <c r="Q28179" s="8"/>
    </row>
    <row r="28180" spans="17:17" x14ac:dyDescent="0.25">
      <c r="Q28180" s="8"/>
    </row>
    <row r="28181" spans="17:17" x14ac:dyDescent="0.25">
      <c r="Q28181" s="8"/>
    </row>
    <row r="28182" spans="17:17" x14ac:dyDescent="0.25">
      <c r="Q28182" s="8"/>
    </row>
    <row r="28183" spans="17:17" x14ac:dyDescent="0.25">
      <c r="Q28183" s="8"/>
    </row>
    <row r="28184" spans="17:17" x14ac:dyDescent="0.25">
      <c r="Q28184" s="8"/>
    </row>
    <row r="28185" spans="17:17" x14ac:dyDescent="0.25">
      <c r="Q28185" s="8"/>
    </row>
    <row r="28186" spans="17:17" x14ac:dyDescent="0.25">
      <c r="Q28186" s="8"/>
    </row>
    <row r="28187" spans="17:17" x14ac:dyDescent="0.25">
      <c r="Q28187" s="8"/>
    </row>
    <row r="28188" spans="17:17" x14ac:dyDescent="0.25">
      <c r="Q28188" s="8"/>
    </row>
    <row r="28189" spans="17:17" x14ac:dyDescent="0.25">
      <c r="Q28189" s="8"/>
    </row>
    <row r="28190" spans="17:17" x14ac:dyDescent="0.25">
      <c r="Q28190" s="8"/>
    </row>
    <row r="28191" spans="17:17" x14ac:dyDescent="0.25">
      <c r="Q28191" s="8"/>
    </row>
    <row r="28192" spans="17:17" x14ac:dyDescent="0.25">
      <c r="Q28192" s="8"/>
    </row>
    <row r="28193" spans="17:17" x14ac:dyDescent="0.25">
      <c r="Q28193" s="8"/>
    </row>
    <row r="28194" spans="17:17" x14ac:dyDescent="0.25">
      <c r="Q28194" s="8"/>
    </row>
    <row r="28195" spans="17:17" x14ac:dyDescent="0.25">
      <c r="Q28195" s="8"/>
    </row>
    <row r="28196" spans="17:17" x14ac:dyDescent="0.25">
      <c r="Q28196" s="8"/>
    </row>
    <row r="28197" spans="17:17" x14ac:dyDescent="0.25">
      <c r="Q28197" s="8"/>
    </row>
    <row r="28198" spans="17:17" x14ac:dyDescent="0.25">
      <c r="Q28198" s="8"/>
    </row>
    <row r="28199" spans="17:17" x14ac:dyDescent="0.25">
      <c r="Q28199" s="8"/>
    </row>
    <row r="28200" spans="17:17" x14ac:dyDescent="0.25">
      <c r="Q28200" s="8"/>
    </row>
    <row r="28201" spans="17:17" x14ac:dyDescent="0.25">
      <c r="Q28201" s="8"/>
    </row>
    <row r="28202" spans="17:17" x14ac:dyDescent="0.25">
      <c r="Q28202" s="8"/>
    </row>
    <row r="28203" spans="17:17" x14ac:dyDescent="0.25">
      <c r="Q28203" s="8"/>
    </row>
    <row r="28204" spans="17:17" x14ac:dyDescent="0.25">
      <c r="Q28204" s="8"/>
    </row>
    <row r="28205" spans="17:17" x14ac:dyDescent="0.25">
      <c r="Q28205" s="8"/>
    </row>
    <row r="28206" spans="17:17" x14ac:dyDescent="0.25">
      <c r="Q28206" s="8"/>
    </row>
    <row r="28207" spans="17:17" x14ac:dyDescent="0.25">
      <c r="Q28207" s="8"/>
    </row>
    <row r="28208" spans="17:17" x14ac:dyDescent="0.25">
      <c r="Q28208" s="8"/>
    </row>
    <row r="28209" spans="17:17" x14ac:dyDescent="0.25">
      <c r="Q28209" s="8"/>
    </row>
    <row r="28210" spans="17:17" x14ac:dyDescent="0.25">
      <c r="Q28210" s="8"/>
    </row>
    <row r="28211" spans="17:17" x14ac:dyDescent="0.25">
      <c r="Q28211" s="8"/>
    </row>
    <row r="28212" spans="17:17" x14ac:dyDescent="0.25">
      <c r="Q28212" s="8"/>
    </row>
    <row r="28213" spans="17:17" x14ac:dyDescent="0.25">
      <c r="Q28213" s="8"/>
    </row>
    <row r="28214" spans="17:17" x14ac:dyDescent="0.25">
      <c r="Q28214" s="8"/>
    </row>
    <row r="28215" spans="17:17" x14ac:dyDescent="0.25">
      <c r="Q28215" s="8"/>
    </row>
    <row r="28216" spans="17:17" x14ac:dyDescent="0.25">
      <c r="Q28216" s="8"/>
    </row>
    <row r="28217" spans="17:17" x14ac:dyDescent="0.25">
      <c r="Q28217" s="8"/>
    </row>
    <row r="28218" spans="17:17" x14ac:dyDescent="0.25">
      <c r="Q28218" s="8"/>
    </row>
    <row r="28219" spans="17:17" x14ac:dyDescent="0.25">
      <c r="Q28219" s="8"/>
    </row>
    <row r="28220" spans="17:17" x14ac:dyDescent="0.25">
      <c r="Q28220" s="8"/>
    </row>
    <row r="28221" spans="17:17" x14ac:dyDescent="0.25">
      <c r="Q28221" s="8"/>
    </row>
    <row r="28222" spans="17:17" x14ac:dyDescent="0.25">
      <c r="Q28222" s="8"/>
    </row>
    <row r="28223" spans="17:17" x14ac:dyDescent="0.25">
      <c r="Q28223" s="8"/>
    </row>
    <row r="28224" spans="17:17" x14ac:dyDescent="0.25">
      <c r="Q28224" s="8"/>
    </row>
    <row r="28225" spans="17:17" x14ac:dyDescent="0.25">
      <c r="Q28225" s="8"/>
    </row>
    <row r="28226" spans="17:17" x14ac:dyDescent="0.25">
      <c r="Q28226" s="8"/>
    </row>
    <row r="28227" spans="17:17" x14ac:dyDescent="0.25">
      <c r="Q28227" s="8"/>
    </row>
    <row r="28228" spans="17:17" x14ac:dyDescent="0.25">
      <c r="Q28228" s="8"/>
    </row>
    <row r="28229" spans="17:17" x14ac:dyDescent="0.25">
      <c r="Q28229" s="8"/>
    </row>
    <row r="28230" spans="17:17" x14ac:dyDescent="0.25">
      <c r="Q28230" s="8"/>
    </row>
    <row r="28231" spans="17:17" x14ac:dyDescent="0.25">
      <c r="Q28231" s="8"/>
    </row>
    <row r="28232" spans="17:17" x14ac:dyDescent="0.25">
      <c r="Q28232" s="8"/>
    </row>
    <row r="28233" spans="17:17" x14ac:dyDescent="0.25">
      <c r="Q28233" s="8"/>
    </row>
    <row r="28234" spans="17:17" x14ac:dyDescent="0.25">
      <c r="Q28234" s="8"/>
    </row>
    <row r="28235" spans="17:17" x14ac:dyDescent="0.25">
      <c r="Q28235" s="8"/>
    </row>
    <row r="28236" spans="17:17" x14ac:dyDescent="0.25">
      <c r="Q28236" s="8"/>
    </row>
    <row r="28237" spans="17:17" x14ac:dyDescent="0.25">
      <c r="Q28237" s="8"/>
    </row>
    <row r="28238" spans="17:17" x14ac:dyDescent="0.25">
      <c r="Q28238" s="8"/>
    </row>
    <row r="28239" spans="17:17" x14ac:dyDescent="0.25">
      <c r="Q28239" s="8"/>
    </row>
    <row r="28240" spans="17:17" x14ac:dyDescent="0.25">
      <c r="Q28240" s="8"/>
    </row>
    <row r="28241" spans="17:17" x14ac:dyDescent="0.25">
      <c r="Q28241" s="8"/>
    </row>
    <row r="28242" spans="17:17" x14ac:dyDescent="0.25">
      <c r="Q28242" s="8"/>
    </row>
    <row r="28243" spans="17:17" x14ac:dyDescent="0.25">
      <c r="Q28243" s="8"/>
    </row>
    <row r="28244" spans="17:17" x14ac:dyDescent="0.25">
      <c r="Q28244" s="8"/>
    </row>
    <row r="28245" spans="17:17" x14ac:dyDescent="0.25">
      <c r="Q28245" s="8"/>
    </row>
    <row r="28246" spans="17:17" x14ac:dyDescent="0.25">
      <c r="Q28246" s="8"/>
    </row>
    <row r="28247" spans="17:17" x14ac:dyDescent="0.25">
      <c r="Q28247" s="8"/>
    </row>
    <row r="28248" spans="17:17" x14ac:dyDescent="0.25">
      <c r="Q28248" s="8"/>
    </row>
    <row r="28249" spans="17:17" x14ac:dyDescent="0.25">
      <c r="Q28249" s="8"/>
    </row>
    <row r="28250" spans="17:17" x14ac:dyDescent="0.25">
      <c r="Q28250" s="8"/>
    </row>
    <row r="28251" spans="17:17" x14ac:dyDescent="0.25">
      <c r="Q28251" s="8"/>
    </row>
    <row r="28252" spans="17:17" x14ac:dyDescent="0.25">
      <c r="Q28252" s="8"/>
    </row>
    <row r="28253" spans="17:17" x14ac:dyDescent="0.25">
      <c r="Q28253" s="8"/>
    </row>
    <row r="28254" spans="17:17" x14ac:dyDescent="0.25">
      <c r="Q28254" s="8"/>
    </row>
    <row r="28255" spans="17:17" x14ac:dyDescent="0.25">
      <c r="Q28255" s="8"/>
    </row>
    <row r="28256" spans="17:17" x14ac:dyDescent="0.25">
      <c r="Q28256" s="8"/>
    </row>
    <row r="28257" spans="17:17" x14ac:dyDescent="0.25">
      <c r="Q28257" s="8"/>
    </row>
    <row r="28258" spans="17:17" x14ac:dyDescent="0.25">
      <c r="Q28258" s="8"/>
    </row>
    <row r="28259" spans="17:17" x14ac:dyDescent="0.25">
      <c r="Q28259" s="8"/>
    </row>
    <row r="28260" spans="17:17" x14ac:dyDescent="0.25">
      <c r="Q28260" s="8"/>
    </row>
    <row r="28261" spans="17:17" x14ac:dyDescent="0.25">
      <c r="Q28261" s="8"/>
    </row>
    <row r="28262" spans="17:17" x14ac:dyDescent="0.25">
      <c r="Q28262" s="8"/>
    </row>
    <row r="28263" spans="17:17" x14ac:dyDescent="0.25">
      <c r="Q28263" s="8"/>
    </row>
    <row r="28264" spans="17:17" x14ac:dyDescent="0.25">
      <c r="Q28264" s="8"/>
    </row>
    <row r="28265" spans="17:17" x14ac:dyDescent="0.25">
      <c r="Q28265" s="8"/>
    </row>
    <row r="28266" spans="17:17" x14ac:dyDescent="0.25">
      <c r="Q28266" s="8"/>
    </row>
    <row r="28267" spans="17:17" x14ac:dyDescent="0.25">
      <c r="Q28267" s="8"/>
    </row>
    <row r="28268" spans="17:17" x14ac:dyDescent="0.25">
      <c r="Q28268" s="8"/>
    </row>
    <row r="28269" spans="17:17" x14ac:dyDescent="0.25">
      <c r="Q28269" s="8"/>
    </row>
    <row r="28270" spans="17:17" x14ac:dyDescent="0.25">
      <c r="Q28270" s="8"/>
    </row>
    <row r="28271" spans="17:17" x14ac:dyDescent="0.25">
      <c r="Q28271" s="8"/>
    </row>
    <row r="28272" spans="17:17" x14ac:dyDescent="0.25">
      <c r="Q28272" s="8"/>
    </row>
    <row r="28273" spans="17:17" x14ac:dyDescent="0.25">
      <c r="Q28273" s="8"/>
    </row>
    <row r="28274" spans="17:17" x14ac:dyDescent="0.25">
      <c r="Q28274" s="8"/>
    </row>
    <row r="28275" spans="17:17" x14ac:dyDescent="0.25">
      <c r="Q28275" s="8"/>
    </row>
    <row r="28276" spans="17:17" x14ac:dyDescent="0.25">
      <c r="Q28276" s="8"/>
    </row>
    <row r="28277" spans="17:17" x14ac:dyDescent="0.25">
      <c r="Q28277" s="8"/>
    </row>
    <row r="28278" spans="17:17" x14ac:dyDescent="0.25">
      <c r="Q28278" s="8"/>
    </row>
    <row r="28279" spans="17:17" x14ac:dyDescent="0.25">
      <c r="Q28279" s="8"/>
    </row>
    <row r="28280" spans="17:17" x14ac:dyDescent="0.25">
      <c r="Q28280" s="8"/>
    </row>
    <row r="28281" spans="17:17" x14ac:dyDescent="0.25">
      <c r="Q28281" s="8"/>
    </row>
    <row r="28282" spans="17:17" x14ac:dyDescent="0.25">
      <c r="Q28282" s="8"/>
    </row>
    <row r="28283" spans="17:17" x14ac:dyDescent="0.25">
      <c r="Q28283" s="8"/>
    </row>
    <row r="28284" spans="17:17" x14ac:dyDescent="0.25">
      <c r="Q28284" s="8"/>
    </row>
    <row r="28285" spans="17:17" x14ac:dyDescent="0.25">
      <c r="Q28285" s="8"/>
    </row>
    <row r="28286" spans="17:17" x14ac:dyDescent="0.25">
      <c r="Q28286" s="8"/>
    </row>
    <row r="28287" spans="17:17" x14ac:dyDescent="0.25">
      <c r="Q28287" s="8"/>
    </row>
    <row r="28288" spans="17:17" x14ac:dyDescent="0.25">
      <c r="Q28288" s="8"/>
    </row>
    <row r="28289" spans="17:17" x14ac:dyDescent="0.25">
      <c r="Q28289" s="8"/>
    </row>
    <row r="28290" spans="17:17" x14ac:dyDescent="0.25">
      <c r="Q28290" s="8"/>
    </row>
    <row r="28291" spans="17:17" x14ac:dyDescent="0.25">
      <c r="Q28291" s="8"/>
    </row>
    <row r="28292" spans="17:17" x14ac:dyDescent="0.25">
      <c r="Q28292" s="8"/>
    </row>
    <row r="28293" spans="17:17" x14ac:dyDescent="0.25">
      <c r="Q28293" s="8"/>
    </row>
    <row r="28294" spans="17:17" x14ac:dyDescent="0.25">
      <c r="Q28294" s="8"/>
    </row>
    <row r="28295" spans="17:17" x14ac:dyDescent="0.25">
      <c r="Q28295" s="8"/>
    </row>
    <row r="28296" spans="17:17" x14ac:dyDescent="0.25">
      <c r="Q28296" s="8"/>
    </row>
    <row r="28297" spans="17:17" x14ac:dyDescent="0.25">
      <c r="Q28297" s="8"/>
    </row>
    <row r="28298" spans="17:17" x14ac:dyDescent="0.25">
      <c r="Q28298" s="8"/>
    </row>
    <row r="28299" spans="17:17" x14ac:dyDescent="0.25">
      <c r="Q28299" s="8"/>
    </row>
    <row r="28300" spans="17:17" x14ac:dyDescent="0.25">
      <c r="Q28300" s="8"/>
    </row>
    <row r="28301" spans="17:17" x14ac:dyDescent="0.25">
      <c r="Q28301" s="8"/>
    </row>
    <row r="28302" spans="17:17" x14ac:dyDescent="0.25">
      <c r="Q28302" s="8"/>
    </row>
    <row r="28303" spans="17:17" x14ac:dyDescent="0.25">
      <c r="Q28303" s="8"/>
    </row>
    <row r="28304" spans="17:17" x14ac:dyDescent="0.25">
      <c r="Q28304" s="8"/>
    </row>
    <row r="28305" spans="17:17" x14ac:dyDescent="0.25">
      <c r="Q28305" s="8"/>
    </row>
    <row r="28306" spans="17:17" x14ac:dyDescent="0.25">
      <c r="Q28306" s="8"/>
    </row>
    <row r="28307" spans="17:17" x14ac:dyDescent="0.25">
      <c r="Q28307" s="8"/>
    </row>
    <row r="28308" spans="17:17" x14ac:dyDescent="0.25">
      <c r="Q28308" s="8"/>
    </row>
    <row r="28309" spans="17:17" x14ac:dyDescent="0.25">
      <c r="Q28309" s="8"/>
    </row>
    <row r="28310" spans="17:17" x14ac:dyDescent="0.25">
      <c r="Q28310" s="8"/>
    </row>
    <row r="28311" spans="17:17" x14ac:dyDescent="0.25">
      <c r="Q28311" s="8"/>
    </row>
    <row r="28312" spans="17:17" x14ac:dyDescent="0.25">
      <c r="Q28312" s="8"/>
    </row>
    <row r="28313" spans="17:17" x14ac:dyDescent="0.25">
      <c r="Q28313" s="8"/>
    </row>
    <row r="28314" spans="17:17" x14ac:dyDescent="0.25">
      <c r="Q28314" s="8"/>
    </row>
    <row r="28315" spans="17:17" x14ac:dyDescent="0.25">
      <c r="Q28315" s="8"/>
    </row>
    <row r="28316" spans="17:17" x14ac:dyDescent="0.25">
      <c r="Q28316" s="8"/>
    </row>
    <row r="28317" spans="17:17" x14ac:dyDescent="0.25">
      <c r="Q28317" s="8"/>
    </row>
    <row r="28318" spans="17:17" x14ac:dyDescent="0.25">
      <c r="Q28318" s="8"/>
    </row>
    <row r="28319" spans="17:17" x14ac:dyDescent="0.25">
      <c r="Q28319" s="8"/>
    </row>
    <row r="28320" spans="17:17" x14ac:dyDescent="0.25">
      <c r="Q28320" s="8"/>
    </row>
    <row r="28321" spans="17:17" x14ac:dyDescent="0.25">
      <c r="Q28321" s="8"/>
    </row>
    <row r="28322" spans="17:17" x14ac:dyDescent="0.25">
      <c r="Q28322" s="8"/>
    </row>
    <row r="28323" spans="17:17" x14ac:dyDescent="0.25">
      <c r="Q28323" s="8"/>
    </row>
    <row r="28324" spans="17:17" x14ac:dyDescent="0.25">
      <c r="Q28324" s="8"/>
    </row>
    <row r="28325" spans="17:17" x14ac:dyDescent="0.25">
      <c r="Q28325" s="8"/>
    </row>
    <row r="28326" spans="17:17" x14ac:dyDescent="0.25">
      <c r="Q28326" s="8"/>
    </row>
    <row r="28327" spans="17:17" x14ac:dyDescent="0.25">
      <c r="Q28327" s="8"/>
    </row>
    <row r="28328" spans="17:17" x14ac:dyDescent="0.25">
      <c r="Q28328" s="8"/>
    </row>
    <row r="28329" spans="17:17" x14ac:dyDescent="0.25">
      <c r="Q28329" s="8"/>
    </row>
    <row r="28330" spans="17:17" x14ac:dyDescent="0.25">
      <c r="Q28330" s="8"/>
    </row>
    <row r="28331" spans="17:17" x14ac:dyDescent="0.25">
      <c r="Q28331" s="8"/>
    </row>
    <row r="28332" spans="17:17" x14ac:dyDescent="0.25">
      <c r="Q28332" s="8"/>
    </row>
    <row r="28333" spans="17:17" x14ac:dyDescent="0.25">
      <c r="Q28333" s="8"/>
    </row>
    <row r="28334" spans="17:17" x14ac:dyDescent="0.25">
      <c r="Q28334" s="8"/>
    </row>
    <row r="28335" spans="17:17" x14ac:dyDescent="0.25">
      <c r="Q28335" s="8"/>
    </row>
    <row r="28336" spans="17:17" x14ac:dyDescent="0.25">
      <c r="Q28336" s="8"/>
    </row>
    <row r="28337" spans="17:17" x14ac:dyDescent="0.25">
      <c r="Q28337" s="8"/>
    </row>
    <row r="28338" spans="17:17" x14ac:dyDescent="0.25">
      <c r="Q28338" s="8"/>
    </row>
    <row r="28339" spans="17:17" x14ac:dyDescent="0.25">
      <c r="Q28339" s="8"/>
    </row>
    <row r="28340" spans="17:17" x14ac:dyDescent="0.25">
      <c r="Q28340" s="8"/>
    </row>
    <row r="28341" spans="17:17" x14ac:dyDescent="0.25">
      <c r="Q28341" s="8"/>
    </row>
    <row r="28342" spans="17:17" x14ac:dyDescent="0.25">
      <c r="Q28342" s="8"/>
    </row>
    <row r="28343" spans="17:17" x14ac:dyDescent="0.25">
      <c r="Q28343" s="8"/>
    </row>
    <row r="28344" spans="17:17" x14ac:dyDescent="0.25">
      <c r="Q28344" s="8"/>
    </row>
    <row r="28345" spans="17:17" x14ac:dyDescent="0.25">
      <c r="Q28345" s="8"/>
    </row>
    <row r="28346" spans="17:17" x14ac:dyDescent="0.25">
      <c r="Q28346" s="8"/>
    </row>
    <row r="28347" spans="17:17" x14ac:dyDescent="0.25">
      <c r="Q28347" s="8"/>
    </row>
    <row r="28348" spans="17:17" x14ac:dyDescent="0.25">
      <c r="Q28348" s="8"/>
    </row>
    <row r="28349" spans="17:17" x14ac:dyDescent="0.25">
      <c r="Q28349" s="8"/>
    </row>
    <row r="28350" spans="17:17" x14ac:dyDescent="0.25">
      <c r="Q28350" s="8"/>
    </row>
    <row r="28351" spans="17:17" x14ac:dyDescent="0.25">
      <c r="Q28351" s="8"/>
    </row>
    <row r="28352" spans="17:17" x14ac:dyDescent="0.25">
      <c r="Q28352" s="8"/>
    </row>
    <row r="28353" spans="17:17" x14ac:dyDescent="0.25">
      <c r="Q28353" s="8"/>
    </row>
    <row r="28354" spans="17:17" x14ac:dyDescent="0.25">
      <c r="Q28354" s="8"/>
    </row>
    <row r="28355" spans="17:17" x14ac:dyDescent="0.25">
      <c r="Q28355" s="8"/>
    </row>
    <row r="28356" spans="17:17" x14ac:dyDescent="0.25">
      <c r="Q28356" s="8"/>
    </row>
    <row r="28357" spans="17:17" x14ac:dyDescent="0.25">
      <c r="Q28357" s="8"/>
    </row>
    <row r="28358" spans="17:17" x14ac:dyDescent="0.25">
      <c r="Q28358" s="8"/>
    </row>
    <row r="28359" spans="17:17" x14ac:dyDescent="0.25">
      <c r="Q28359" s="8"/>
    </row>
    <row r="28360" spans="17:17" x14ac:dyDescent="0.25">
      <c r="Q28360" s="8"/>
    </row>
    <row r="28361" spans="17:17" x14ac:dyDescent="0.25">
      <c r="Q28361" s="8"/>
    </row>
    <row r="28362" spans="17:17" x14ac:dyDescent="0.25">
      <c r="Q28362" s="8"/>
    </row>
    <row r="28363" spans="17:17" x14ac:dyDescent="0.25">
      <c r="Q28363" s="8"/>
    </row>
    <row r="28364" spans="17:17" x14ac:dyDescent="0.25">
      <c r="Q28364" s="8"/>
    </row>
    <row r="28365" spans="17:17" x14ac:dyDescent="0.25">
      <c r="Q28365" s="8"/>
    </row>
    <row r="28366" spans="17:17" x14ac:dyDescent="0.25">
      <c r="Q28366" s="8"/>
    </row>
    <row r="28367" spans="17:17" x14ac:dyDescent="0.25">
      <c r="Q28367" s="8"/>
    </row>
    <row r="28368" spans="17:17" x14ac:dyDescent="0.25">
      <c r="Q28368" s="8"/>
    </row>
    <row r="28369" spans="17:17" x14ac:dyDescent="0.25">
      <c r="Q28369" s="8"/>
    </row>
    <row r="28370" spans="17:17" x14ac:dyDescent="0.25">
      <c r="Q28370" s="8"/>
    </row>
    <row r="28371" spans="17:17" x14ac:dyDescent="0.25">
      <c r="Q28371" s="8"/>
    </row>
    <row r="28372" spans="17:17" x14ac:dyDescent="0.25">
      <c r="Q28372" s="8"/>
    </row>
    <row r="28373" spans="17:17" x14ac:dyDescent="0.25">
      <c r="Q28373" s="8"/>
    </row>
    <row r="28374" spans="17:17" x14ac:dyDescent="0.25">
      <c r="Q28374" s="8"/>
    </row>
    <row r="28375" spans="17:17" x14ac:dyDescent="0.25">
      <c r="Q28375" s="8"/>
    </row>
    <row r="28376" spans="17:17" x14ac:dyDescent="0.25">
      <c r="Q28376" s="8"/>
    </row>
    <row r="28377" spans="17:17" x14ac:dyDescent="0.25">
      <c r="Q28377" s="8"/>
    </row>
    <row r="28378" spans="17:17" x14ac:dyDescent="0.25">
      <c r="Q28378" s="8"/>
    </row>
    <row r="28379" spans="17:17" x14ac:dyDescent="0.25">
      <c r="Q28379" s="8"/>
    </row>
    <row r="28380" spans="17:17" x14ac:dyDescent="0.25">
      <c r="Q28380" s="8"/>
    </row>
    <row r="28381" spans="17:17" x14ac:dyDescent="0.25">
      <c r="Q28381" s="8"/>
    </row>
    <row r="28382" spans="17:17" x14ac:dyDescent="0.25">
      <c r="Q28382" s="8"/>
    </row>
    <row r="28383" spans="17:17" x14ac:dyDescent="0.25">
      <c r="Q28383" s="8"/>
    </row>
    <row r="28384" spans="17:17" x14ac:dyDescent="0.25">
      <c r="Q28384" s="8"/>
    </row>
    <row r="28385" spans="17:17" x14ac:dyDescent="0.25">
      <c r="Q28385" s="8"/>
    </row>
    <row r="28386" spans="17:17" x14ac:dyDescent="0.25">
      <c r="Q28386" s="8"/>
    </row>
    <row r="28387" spans="17:17" x14ac:dyDescent="0.25">
      <c r="Q28387" s="8"/>
    </row>
    <row r="28388" spans="17:17" x14ac:dyDescent="0.25">
      <c r="Q28388" s="8"/>
    </row>
    <row r="28389" spans="17:17" x14ac:dyDescent="0.25">
      <c r="Q28389" s="8"/>
    </row>
    <row r="28390" spans="17:17" x14ac:dyDescent="0.25">
      <c r="Q28390" s="8"/>
    </row>
    <row r="28391" spans="17:17" x14ac:dyDescent="0.25">
      <c r="Q28391" s="8"/>
    </row>
    <row r="28392" spans="17:17" x14ac:dyDescent="0.25">
      <c r="Q28392" s="8"/>
    </row>
    <row r="28393" spans="17:17" x14ac:dyDescent="0.25">
      <c r="Q28393" s="8"/>
    </row>
    <row r="28394" spans="17:17" x14ac:dyDescent="0.25">
      <c r="Q28394" s="8"/>
    </row>
    <row r="28395" spans="17:17" x14ac:dyDescent="0.25">
      <c r="Q28395" s="8"/>
    </row>
    <row r="28396" spans="17:17" x14ac:dyDescent="0.25">
      <c r="Q28396" s="8"/>
    </row>
    <row r="28397" spans="17:17" x14ac:dyDescent="0.25">
      <c r="Q28397" s="8"/>
    </row>
    <row r="28398" spans="17:17" x14ac:dyDescent="0.25">
      <c r="Q28398" s="8"/>
    </row>
    <row r="28399" spans="17:17" x14ac:dyDescent="0.25">
      <c r="Q28399" s="8"/>
    </row>
    <row r="28400" spans="17:17" x14ac:dyDescent="0.25">
      <c r="Q28400" s="8"/>
    </row>
    <row r="28401" spans="17:17" x14ac:dyDescent="0.25">
      <c r="Q28401" s="8"/>
    </row>
    <row r="28402" spans="17:17" x14ac:dyDescent="0.25">
      <c r="Q28402" s="8"/>
    </row>
    <row r="28403" spans="17:17" x14ac:dyDescent="0.25">
      <c r="Q28403" s="8"/>
    </row>
    <row r="28404" spans="17:17" x14ac:dyDescent="0.25">
      <c r="Q28404" s="8"/>
    </row>
    <row r="28405" spans="17:17" x14ac:dyDescent="0.25">
      <c r="Q28405" s="8"/>
    </row>
    <row r="28406" spans="17:17" x14ac:dyDescent="0.25">
      <c r="Q28406" s="8"/>
    </row>
    <row r="28407" spans="17:17" x14ac:dyDescent="0.25">
      <c r="Q28407" s="8"/>
    </row>
    <row r="28408" spans="17:17" x14ac:dyDescent="0.25">
      <c r="Q28408" s="8"/>
    </row>
    <row r="28409" spans="17:17" x14ac:dyDescent="0.25">
      <c r="Q28409" s="8"/>
    </row>
    <row r="28410" spans="17:17" x14ac:dyDescent="0.25">
      <c r="Q28410" s="8"/>
    </row>
    <row r="28411" spans="17:17" x14ac:dyDescent="0.25">
      <c r="Q28411" s="8"/>
    </row>
    <row r="28412" spans="17:17" x14ac:dyDescent="0.25">
      <c r="Q28412" s="8"/>
    </row>
    <row r="28413" spans="17:17" x14ac:dyDescent="0.25">
      <c r="Q28413" s="8"/>
    </row>
    <row r="28414" spans="17:17" x14ac:dyDescent="0.25">
      <c r="Q28414" s="8"/>
    </row>
    <row r="28415" spans="17:17" x14ac:dyDescent="0.25">
      <c r="Q28415" s="8"/>
    </row>
    <row r="28416" spans="17:17" x14ac:dyDescent="0.25">
      <c r="Q28416" s="8"/>
    </row>
    <row r="28417" spans="17:17" x14ac:dyDescent="0.25">
      <c r="Q28417" s="8"/>
    </row>
    <row r="28418" spans="17:17" x14ac:dyDescent="0.25">
      <c r="Q28418" s="8"/>
    </row>
    <row r="28419" spans="17:17" x14ac:dyDescent="0.25">
      <c r="Q28419" s="8"/>
    </row>
    <row r="28420" spans="17:17" x14ac:dyDescent="0.25">
      <c r="Q28420" s="8"/>
    </row>
    <row r="28421" spans="17:17" x14ac:dyDescent="0.25">
      <c r="Q28421" s="8"/>
    </row>
    <row r="28422" spans="17:17" x14ac:dyDescent="0.25">
      <c r="Q28422" s="8"/>
    </row>
    <row r="28423" spans="17:17" x14ac:dyDescent="0.25">
      <c r="Q28423" s="8"/>
    </row>
    <row r="28424" spans="17:17" x14ac:dyDescent="0.25">
      <c r="Q28424" s="8"/>
    </row>
    <row r="28425" spans="17:17" x14ac:dyDescent="0.25">
      <c r="Q28425" s="8"/>
    </row>
    <row r="28426" spans="17:17" x14ac:dyDescent="0.25">
      <c r="Q28426" s="8"/>
    </row>
    <row r="28427" spans="17:17" x14ac:dyDescent="0.25">
      <c r="Q28427" s="8"/>
    </row>
    <row r="28428" spans="17:17" x14ac:dyDescent="0.25">
      <c r="Q28428" s="8"/>
    </row>
    <row r="28429" spans="17:17" x14ac:dyDescent="0.25">
      <c r="Q28429" s="8"/>
    </row>
    <row r="28430" spans="17:17" x14ac:dyDescent="0.25">
      <c r="Q28430" s="8"/>
    </row>
    <row r="28431" spans="17:17" x14ac:dyDescent="0.25">
      <c r="Q28431" s="8"/>
    </row>
    <row r="28432" spans="17:17" x14ac:dyDescent="0.25">
      <c r="Q28432" s="8"/>
    </row>
    <row r="28433" spans="17:17" x14ac:dyDescent="0.25">
      <c r="Q28433" s="8"/>
    </row>
    <row r="28434" spans="17:17" x14ac:dyDescent="0.25">
      <c r="Q28434" s="8"/>
    </row>
    <row r="28435" spans="17:17" x14ac:dyDescent="0.25">
      <c r="Q28435" s="8"/>
    </row>
    <row r="28436" spans="17:17" x14ac:dyDescent="0.25">
      <c r="Q28436" s="8"/>
    </row>
    <row r="28437" spans="17:17" x14ac:dyDescent="0.25">
      <c r="Q28437" s="8"/>
    </row>
    <row r="28438" spans="17:17" x14ac:dyDescent="0.25">
      <c r="Q28438" s="8"/>
    </row>
    <row r="28439" spans="17:17" x14ac:dyDescent="0.25">
      <c r="Q28439" s="8"/>
    </row>
    <row r="28440" spans="17:17" x14ac:dyDescent="0.25">
      <c r="Q28440" s="8"/>
    </row>
    <row r="28441" spans="17:17" x14ac:dyDescent="0.25">
      <c r="Q28441" s="8"/>
    </row>
    <row r="28442" spans="17:17" x14ac:dyDescent="0.25">
      <c r="Q28442" s="8"/>
    </row>
    <row r="28443" spans="17:17" x14ac:dyDescent="0.25">
      <c r="Q28443" s="8"/>
    </row>
    <row r="28444" spans="17:17" x14ac:dyDescent="0.25">
      <c r="Q28444" s="8"/>
    </row>
    <row r="28445" spans="17:17" x14ac:dyDescent="0.25">
      <c r="Q28445" s="8"/>
    </row>
    <row r="28446" spans="17:17" x14ac:dyDescent="0.25">
      <c r="Q28446" s="8"/>
    </row>
    <row r="28447" spans="17:17" x14ac:dyDescent="0.25">
      <c r="Q28447" s="8"/>
    </row>
    <row r="28448" spans="17:17" x14ac:dyDescent="0.25">
      <c r="Q28448" s="8"/>
    </row>
    <row r="28449" spans="17:17" x14ac:dyDescent="0.25">
      <c r="Q28449" s="8"/>
    </row>
    <row r="28450" spans="17:17" x14ac:dyDescent="0.25">
      <c r="Q28450" s="8"/>
    </row>
    <row r="28451" spans="17:17" x14ac:dyDescent="0.25">
      <c r="Q28451" s="8"/>
    </row>
    <row r="28452" spans="17:17" x14ac:dyDescent="0.25">
      <c r="Q28452" s="8"/>
    </row>
    <row r="28453" spans="17:17" x14ac:dyDescent="0.25">
      <c r="Q28453" s="8"/>
    </row>
    <row r="28454" spans="17:17" x14ac:dyDescent="0.25">
      <c r="Q28454" s="8"/>
    </row>
    <row r="28455" spans="17:17" x14ac:dyDescent="0.25">
      <c r="Q28455" s="8"/>
    </row>
    <row r="28456" spans="17:17" x14ac:dyDescent="0.25">
      <c r="Q28456" s="8"/>
    </row>
    <row r="28457" spans="17:17" x14ac:dyDescent="0.25">
      <c r="Q28457" s="8"/>
    </row>
    <row r="28458" spans="17:17" x14ac:dyDescent="0.25">
      <c r="Q28458" s="8"/>
    </row>
    <row r="28459" spans="17:17" x14ac:dyDescent="0.25">
      <c r="Q28459" s="8"/>
    </row>
    <row r="28460" spans="17:17" x14ac:dyDescent="0.25">
      <c r="Q28460" s="8"/>
    </row>
    <row r="28461" spans="17:17" x14ac:dyDescent="0.25">
      <c r="Q28461" s="8"/>
    </row>
    <row r="28462" spans="17:17" x14ac:dyDescent="0.25">
      <c r="Q28462" s="8"/>
    </row>
    <row r="28463" spans="17:17" x14ac:dyDescent="0.25">
      <c r="Q28463" s="8"/>
    </row>
    <row r="28464" spans="17:17" x14ac:dyDescent="0.25">
      <c r="Q28464" s="8"/>
    </row>
    <row r="28465" spans="17:17" x14ac:dyDescent="0.25">
      <c r="Q28465" s="8"/>
    </row>
    <row r="28466" spans="17:17" x14ac:dyDescent="0.25">
      <c r="Q28466" s="8"/>
    </row>
    <row r="28467" spans="17:17" x14ac:dyDescent="0.25">
      <c r="Q28467" s="8"/>
    </row>
    <row r="28468" spans="17:17" x14ac:dyDescent="0.25">
      <c r="Q28468" s="8"/>
    </row>
    <row r="28469" spans="17:17" x14ac:dyDescent="0.25">
      <c r="Q28469" s="8"/>
    </row>
    <row r="28470" spans="17:17" x14ac:dyDescent="0.25">
      <c r="Q28470" s="8"/>
    </row>
    <row r="28471" spans="17:17" x14ac:dyDescent="0.25">
      <c r="Q28471" s="8"/>
    </row>
    <row r="28472" spans="17:17" x14ac:dyDescent="0.25">
      <c r="Q28472" s="8"/>
    </row>
    <row r="28473" spans="17:17" x14ac:dyDescent="0.25">
      <c r="Q28473" s="8"/>
    </row>
    <row r="28474" spans="17:17" x14ac:dyDescent="0.25">
      <c r="Q28474" s="8"/>
    </row>
    <row r="28475" spans="17:17" x14ac:dyDescent="0.25">
      <c r="Q28475" s="8"/>
    </row>
    <row r="28476" spans="17:17" x14ac:dyDescent="0.25">
      <c r="Q28476" s="8"/>
    </row>
    <row r="28477" spans="17:17" x14ac:dyDescent="0.25">
      <c r="Q28477" s="8"/>
    </row>
    <row r="28478" spans="17:17" x14ac:dyDescent="0.25">
      <c r="Q28478" s="8"/>
    </row>
    <row r="28479" spans="17:17" x14ac:dyDescent="0.25">
      <c r="Q28479" s="8"/>
    </row>
    <row r="28480" spans="17:17" x14ac:dyDescent="0.25">
      <c r="Q28480" s="8"/>
    </row>
    <row r="28481" spans="17:17" x14ac:dyDescent="0.25">
      <c r="Q28481" s="8"/>
    </row>
    <row r="28482" spans="17:17" x14ac:dyDescent="0.25">
      <c r="Q28482" s="8"/>
    </row>
    <row r="28483" spans="17:17" x14ac:dyDescent="0.25">
      <c r="Q28483" s="8"/>
    </row>
    <row r="28484" spans="17:17" x14ac:dyDescent="0.25">
      <c r="Q28484" s="8"/>
    </row>
    <row r="28485" spans="17:17" x14ac:dyDescent="0.25">
      <c r="Q28485" s="8"/>
    </row>
    <row r="28486" spans="17:17" x14ac:dyDescent="0.25">
      <c r="Q28486" s="8"/>
    </row>
    <row r="28487" spans="17:17" x14ac:dyDescent="0.25">
      <c r="Q28487" s="8"/>
    </row>
    <row r="28488" spans="17:17" x14ac:dyDescent="0.25">
      <c r="Q28488" s="8"/>
    </row>
    <row r="28489" spans="17:17" x14ac:dyDescent="0.25">
      <c r="Q28489" s="8"/>
    </row>
    <row r="28490" spans="17:17" x14ac:dyDescent="0.25">
      <c r="Q28490" s="8"/>
    </row>
    <row r="28491" spans="17:17" x14ac:dyDescent="0.25">
      <c r="Q28491" s="8"/>
    </row>
    <row r="28492" spans="17:17" x14ac:dyDescent="0.25">
      <c r="Q28492" s="8"/>
    </row>
    <row r="28493" spans="17:17" x14ac:dyDescent="0.25">
      <c r="Q28493" s="8"/>
    </row>
    <row r="28494" spans="17:17" x14ac:dyDescent="0.25">
      <c r="Q28494" s="8"/>
    </row>
    <row r="28495" spans="17:17" x14ac:dyDescent="0.25">
      <c r="Q28495" s="8"/>
    </row>
    <row r="28496" spans="17:17" x14ac:dyDescent="0.25">
      <c r="Q28496" s="8"/>
    </row>
    <row r="28497" spans="17:17" x14ac:dyDescent="0.25">
      <c r="Q28497" s="8"/>
    </row>
    <row r="28498" spans="17:17" x14ac:dyDescent="0.25">
      <c r="Q28498" s="8"/>
    </row>
    <row r="28499" spans="17:17" x14ac:dyDescent="0.25">
      <c r="Q28499" s="8"/>
    </row>
    <row r="28500" spans="17:17" x14ac:dyDescent="0.25">
      <c r="Q28500" s="8"/>
    </row>
    <row r="28501" spans="17:17" x14ac:dyDescent="0.25">
      <c r="Q28501" s="8"/>
    </row>
    <row r="28502" spans="17:17" x14ac:dyDescent="0.25">
      <c r="Q28502" s="8"/>
    </row>
    <row r="28503" spans="17:17" x14ac:dyDescent="0.25">
      <c r="Q28503" s="8"/>
    </row>
    <row r="28504" spans="17:17" x14ac:dyDescent="0.25">
      <c r="Q28504" s="8"/>
    </row>
    <row r="28505" spans="17:17" x14ac:dyDescent="0.25">
      <c r="Q28505" s="8"/>
    </row>
    <row r="28506" spans="17:17" x14ac:dyDescent="0.25">
      <c r="Q28506" s="8"/>
    </row>
    <row r="28507" spans="17:17" x14ac:dyDescent="0.25">
      <c r="Q28507" s="8"/>
    </row>
    <row r="28508" spans="17:17" x14ac:dyDescent="0.25">
      <c r="Q28508" s="8"/>
    </row>
    <row r="28509" spans="17:17" x14ac:dyDescent="0.25">
      <c r="Q28509" s="8"/>
    </row>
    <row r="28510" spans="17:17" x14ac:dyDescent="0.25">
      <c r="Q28510" s="8"/>
    </row>
    <row r="28511" spans="17:17" x14ac:dyDescent="0.25">
      <c r="Q28511" s="8"/>
    </row>
    <row r="28512" spans="17:17" x14ac:dyDescent="0.25">
      <c r="Q28512" s="8"/>
    </row>
    <row r="28513" spans="17:17" x14ac:dyDescent="0.25">
      <c r="Q28513" s="8"/>
    </row>
    <row r="28514" spans="17:17" x14ac:dyDescent="0.25">
      <c r="Q28514" s="8"/>
    </row>
    <row r="28515" spans="17:17" x14ac:dyDescent="0.25">
      <c r="Q28515" s="8"/>
    </row>
    <row r="28516" spans="17:17" x14ac:dyDescent="0.25">
      <c r="Q28516" s="8"/>
    </row>
    <row r="28517" spans="17:17" x14ac:dyDescent="0.25">
      <c r="Q28517" s="8"/>
    </row>
    <row r="28518" spans="17:17" x14ac:dyDescent="0.25">
      <c r="Q28518" s="8"/>
    </row>
    <row r="28519" spans="17:17" x14ac:dyDescent="0.25">
      <c r="Q28519" s="8"/>
    </row>
    <row r="28520" spans="17:17" x14ac:dyDescent="0.25">
      <c r="Q28520" s="8"/>
    </row>
    <row r="28521" spans="17:17" x14ac:dyDescent="0.25">
      <c r="Q28521" s="8"/>
    </row>
    <row r="28522" spans="17:17" x14ac:dyDescent="0.25">
      <c r="Q28522" s="8"/>
    </row>
    <row r="28523" spans="17:17" x14ac:dyDescent="0.25">
      <c r="Q28523" s="8"/>
    </row>
    <row r="28524" spans="17:17" x14ac:dyDescent="0.25">
      <c r="Q28524" s="8"/>
    </row>
    <row r="28525" spans="17:17" x14ac:dyDescent="0.25">
      <c r="Q28525" s="8"/>
    </row>
    <row r="28526" spans="17:17" x14ac:dyDescent="0.25">
      <c r="Q28526" s="8"/>
    </row>
    <row r="28527" spans="17:17" x14ac:dyDescent="0.25">
      <c r="Q28527" s="8"/>
    </row>
    <row r="28528" spans="17:17" x14ac:dyDescent="0.25">
      <c r="Q28528" s="8"/>
    </row>
    <row r="28529" spans="17:17" x14ac:dyDescent="0.25">
      <c r="Q28529" s="8"/>
    </row>
    <row r="28530" spans="17:17" x14ac:dyDescent="0.25">
      <c r="Q28530" s="8"/>
    </row>
    <row r="28531" spans="17:17" x14ac:dyDescent="0.25">
      <c r="Q28531" s="8"/>
    </row>
    <row r="28532" spans="17:17" x14ac:dyDescent="0.25">
      <c r="Q28532" s="8"/>
    </row>
    <row r="28533" spans="17:17" x14ac:dyDescent="0.25">
      <c r="Q28533" s="8"/>
    </row>
    <row r="28534" spans="17:17" x14ac:dyDescent="0.25">
      <c r="Q28534" s="8"/>
    </row>
    <row r="28535" spans="17:17" x14ac:dyDescent="0.25">
      <c r="Q28535" s="8"/>
    </row>
    <row r="28536" spans="17:17" x14ac:dyDescent="0.25">
      <c r="Q28536" s="8"/>
    </row>
    <row r="28537" spans="17:17" x14ac:dyDescent="0.25">
      <c r="Q28537" s="8"/>
    </row>
    <row r="28538" spans="17:17" x14ac:dyDescent="0.25">
      <c r="Q28538" s="8"/>
    </row>
    <row r="28539" spans="17:17" x14ac:dyDescent="0.25">
      <c r="Q28539" s="8"/>
    </row>
    <row r="28540" spans="17:17" x14ac:dyDescent="0.25">
      <c r="Q28540" s="8"/>
    </row>
    <row r="28541" spans="17:17" x14ac:dyDescent="0.25">
      <c r="Q28541" s="8"/>
    </row>
    <row r="28542" spans="17:17" x14ac:dyDescent="0.25">
      <c r="Q28542" s="8"/>
    </row>
    <row r="28543" spans="17:17" x14ac:dyDescent="0.25">
      <c r="Q28543" s="8"/>
    </row>
    <row r="28544" spans="17:17" x14ac:dyDescent="0.25">
      <c r="Q28544" s="8"/>
    </row>
    <row r="28545" spans="17:17" x14ac:dyDescent="0.25">
      <c r="Q28545" s="8"/>
    </row>
    <row r="28546" spans="17:17" x14ac:dyDescent="0.25">
      <c r="Q28546" s="8"/>
    </row>
    <row r="28547" spans="17:17" x14ac:dyDescent="0.25">
      <c r="Q28547" s="8"/>
    </row>
    <row r="28548" spans="17:17" x14ac:dyDescent="0.25">
      <c r="Q28548" s="8"/>
    </row>
    <row r="28549" spans="17:17" x14ac:dyDescent="0.25">
      <c r="Q28549" s="8"/>
    </row>
    <row r="28550" spans="17:17" x14ac:dyDescent="0.25">
      <c r="Q28550" s="8"/>
    </row>
    <row r="28551" spans="17:17" x14ac:dyDescent="0.25">
      <c r="Q28551" s="8"/>
    </row>
    <row r="28552" spans="17:17" x14ac:dyDescent="0.25">
      <c r="Q28552" s="8"/>
    </row>
    <row r="28553" spans="17:17" x14ac:dyDescent="0.25">
      <c r="Q28553" s="8"/>
    </row>
    <row r="28554" spans="17:17" x14ac:dyDescent="0.25">
      <c r="Q28554" s="8"/>
    </row>
    <row r="28555" spans="17:17" x14ac:dyDescent="0.25">
      <c r="Q28555" s="8"/>
    </row>
    <row r="28556" spans="17:17" x14ac:dyDescent="0.25">
      <c r="Q28556" s="8"/>
    </row>
    <row r="28557" spans="17:17" x14ac:dyDescent="0.25">
      <c r="Q28557" s="8"/>
    </row>
    <row r="28558" spans="17:17" x14ac:dyDescent="0.25">
      <c r="Q28558" s="8"/>
    </row>
    <row r="28559" spans="17:17" x14ac:dyDescent="0.25">
      <c r="Q28559" s="8"/>
    </row>
    <row r="28560" spans="17:17" x14ac:dyDescent="0.25">
      <c r="Q28560" s="8"/>
    </row>
    <row r="28561" spans="17:17" x14ac:dyDescent="0.25">
      <c r="Q28561" s="8"/>
    </row>
    <row r="28562" spans="17:17" x14ac:dyDescent="0.25">
      <c r="Q28562" s="8"/>
    </row>
    <row r="28563" spans="17:17" x14ac:dyDescent="0.25">
      <c r="Q28563" s="8"/>
    </row>
    <row r="28564" spans="17:17" x14ac:dyDescent="0.25">
      <c r="Q28564" s="8"/>
    </row>
    <row r="28565" spans="17:17" x14ac:dyDescent="0.25">
      <c r="Q28565" s="8"/>
    </row>
    <row r="28566" spans="17:17" x14ac:dyDescent="0.25">
      <c r="Q28566" s="8"/>
    </row>
    <row r="28567" spans="17:17" x14ac:dyDescent="0.25">
      <c r="Q28567" s="8"/>
    </row>
    <row r="28568" spans="17:17" x14ac:dyDescent="0.25">
      <c r="Q28568" s="8"/>
    </row>
    <row r="28569" spans="17:17" x14ac:dyDescent="0.25">
      <c r="Q28569" s="8"/>
    </row>
    <row r="28570" spans="17:17" x14ac:dyDescent="0.25">
      <c r="Q28570" s="8"/>
    </row>
    <row r="28571" spans="17:17" x14ac:dyDescent="0.25">
      <c r="Q28571" s="8"/>
    </row>
    <row r="28572" spans="17:17" x14ac:dyDescent="0.25">
      <c r="Q28572" s="8"/>
    </row>
    <row r="28573" spans="17:17" x14ac:dyDescent="0.25">
      <c r="Q28573" s="8"/>
    </row>
    <row r="28574" spans="17:17" x14ac:dyDescent="0.25">
      <c r="Q28574" s="8"/>
    </row>
    <row r="28575" spans="17:17" x14ac:dyDescent="0.25">
      <c r="Q28575" s="8"/>
    </row>
    <row r="28576" spans="17:17" x14ac:dyDescent="0.25">
      <c r="Q28576" s="8"/>
    </row>
    <row r="28577" spans="17:17" x14ac:dyDescent="0.25">
      <c r="Q28577" s="8"/>
    </row>
    <row r="28578" spans="17:17" x14ac:dyDescent="0.25">
      <c r="Q28578" s="8"/>
    </row>
    <row r="28579" spans="17:17" x14ac:dyDescent="0.25">
      <c r="Q28579" s="8"/>
    </row>
    <row r="28580" spans="17:17" x14ac:dyDescent="0.25">
      <c r="Q28580" s="8"/>
    </row>
    <row r="28581" spans="17:17" x14ac:dyDescent="0.25">
      <c r="Q28581" s="8"/>
    </row>
    <row r="28582" spans="17:17" x14ac:dyDescent="0.25">
      <c r="Q28582" s="8"/>
    </row>
    <row r="28583" spans="17:17" x14ac:dyDescent="0.25">
      <c r="Q28583" s="8"/>
    </row>
    <row r="28584" spans="17:17" x14ac:dyDescent="0.25">
      <c r="Q28584" s="8"/>
    </row>
    <row r="28585" spans="17:17" x14ac:dyDescent="0.25">
      <c r="Q28585" s="8"/>
    </row>
    <row r="28586" spans="17:17" x14ac:dyDescent="0.25">
      <c r="Q28586" s="8"/>
    </row>
    <row r="28587" spans="17:17" x14ac:dyDescent="0.25">
      <c r="Q28587" s="8"/>
    </row>
    <row r="28588" spans="17:17" x14ac:dyDescent="0.25">
      <c r="Q28588" s="8"/>
    </row>
    <row r="28589" spans="17:17" x14ac:dyDescent="0.25">
      <c r="Q28589" s="8"/>
    </row>
    <row r="28590" spans="17:17" x14ac:dyDescent="0.25">
      <c r="Q28590" s="8"/>
    </row>
    <row r="28591" spans="17:17" x14ac:dyDescent="0.25">
      <c r="Q28591" s="8"/>
    </row>
    <row r="28592" spans="17:17" x14ac:dyDescent="0.25">
      <c r="Q28592" s="8"/>
    </row>
    <row r="28593" spans="17:17" x14ac:dyDescent="0.25">
      <c r="Q28593" s="8"/>
    </row>
    <row r="28594" spans="17:17" x14ac:dyDescent="0.25">
      <c r="Q28594" s="8"/>
    </row>
    <row r="28595" spans="17:17" x14ac:dyDescent="0.25">
      <c r="Q28595" s="8"/>
    </row>
    <row r="28596" spans="17:17" x14ac:dyDescent="0.25">
      <c r="Q28596" s="8"/>
    </row>
    <row r="28597" spans="17:17" x14ac:dyDescent="0.25">
      <c r="Q28597" s="8"/>
    </row>
    <row r="28598" spans="17:17" x14ac:dyDescent="0.25">
      <c r="Q28598" s="8"/>
    </row>
    <row r="28599" spans="17:17" x14ac:dyDescent="0.25">
      <c r="Q28599" s="8"/>
    </row>
    <row r="28600" spans="17:17" x14ac:dyDescent="0.25">
      <c r="Q28600" s="8"/>
    </row>
    <row r="28601" spans="17:17" x14ac:dyDescent="0.25">
      <c r="Q28601" s="8"/>
    </row>
    <row r="28602" spans="17:17" x14ac:dyDescent="0.25">
      <c r="Q28602" s="8"/>
    </row>
    <row r="28603" spans="17:17" x14ac:dyDescent="0.25">
      <c r="Q28603" s="8"/>
    </row>
    <row r="28604" spans="17:17" x14ac:dyDescent="0.25">
      <c r="Q28604" s="8"/>
    </row>
    <row r="28605" spans="17:17" x14ac:dyDescent="0.25">
      <c r="Q28605" s="8"/>
    </row>
    <row r="28606" spans="17:17" x14ac:dyDescent="0.25">
      <c r="Q28606" s="8"/>
    </row>
    <row r="28607" spans="17:17" x14ac:dyDescent="0.25">
      <c r="Q28607" s="8"/>
    </row>
    <row r="28608" spans="17:17" x14ac:dyDescent="0.25">
      <c r="Q28608" s="8"/>
    </row>
    <row r="28609" spans="17:17" x14ac:dyDescent="0.25">
      <c r="Q28609" s="8"/>
    </row>
    <row r="28610" spans="17:17" x14ac:dyDescent="0.25">
      <c r="Q28610" s="8"/>
    </row>
    <row r="28611" spans="17:17" x14ac:dyDescent="0.25">
      <c r="Q28611" s="8"/>
    </row>
    <row r="28612" spans="17:17" x14ac:dyDescent="0.25">
      <c r="Q28612" s="8"/>
    </row>
    <row r="28613" spans="17:17" x14ac:dyDescent="0.25">
      <c r="Q28613" s="8"/>
    </row>
    <row r="28614" spans="17:17" x14ac:dyDescent="0.25">
      <c r="Q28614" s="8"/>
    </row>
    <row r="28615" spans="17:17" x14ac:dyDescent="0.25">
      <c r="Q28615" s="8"/>
    </row>
    <row r="28616" spans="17:17" x14ac:dyDescent="0.25">
      <c r="Q28616" s="8"/>
    </row>
    <row r="28617" spans="17:17" x14ac:dyDescent="0.25">
      <c r="Q28617" s="8"/>
    </row>
    <row r="28618" spans="17:17" x14ac:dyDescent="0.25">
      <c r="Q28618" s="8"/>
    </row>
    <row r="28619" spans="17:17" x14ac:dyDescent="0.25">
      <c r="Q28619" s="8"/>
    </row>
    <row r="28620" spans="17:17" x14ac:dyDescent="0.25">
      <c r="Q28620" s="8"/>
    </row>
    <row r="28621" spans="17:17" x14ac:dyDescent="0.25">
      <c r="Q28621" s="8"/>
    </row>
    <row r="28622" spans="17:17" x14ac:dyDescent="0.25">
      <c r="Q28622" s="8"/>
    </row>
    <row r="28623" spans="17:17" x14ac:dyDescent="0.25">
      <c r="Q28623" s="8"/>
    </row>
    <row r="28624" spans="17:17" x14ac:dyDescent="0.25">
      <c r="Q28624" s="8"/>
    </row>
    <row r="28625" spans="17:17" x14ac:dyDescent="0.25">
      <c r="Q28625" s="8"/>
    </row>
    <row r="28626" spans="17:17" x14ac:dyDescent="0.25">
      <c r="Q28626" s="8"/>
    </row>
    <row r="28627" spans="17:17" x14ac:dyDescent="0.25">
      <c r="Q28627" s="8"/>
    </row>
    <row r="28628" spans="17:17" x14ac:dyDescent="0.25">
      <c r="Q28628" s="8"/>
    </row>
    <row r="28629" spans="17:17" x14ac:dyDescent="0.25">
      <c r="Q28629" s="8"/>
    </row>
    <row r="28630" spans="17:17" x14ac:dyDescent="0.25">
      <c r="Q28630" s="8"/>
    </row>
    <row r="28631" spans="17:17" x14ac:dyDescent="0.25">
      <c r="Q28631" s="8"/>
    </row>
    <row r="28632" spans="17:17" x14ac:dyDescent="0.25">
      <c r="Q28632" s="8"/>
    </row>
    <row r="28633" spans="17:17" x14ac:dyDescent="0.25">
      <c r="Q28633" s="8"/>
    </row>
    <row r="28634" spans="17:17" x14ac:dyDescent="0.25">
      <c r="Q28634" s="8"/>
    </row>
    <row r="28635" spans="17:17" x14ac:dyDescent="0.25">
      <c r="Q28635" s="8"/>
    </row>
    <row r="28636" spans="17:17" x14ac:dyDescent="0.25">
      <c r="Q28636" s="8"/>
    </row>
    <row r="28637" spans="17:17" x14ac:dyDescent="0.25">
      <c r="Q28637" s="8"/>
    </row>
    <row r="28638" spans="17:17" x14ac:dyDescent="0.25">
      <c r="Q28638" s="8"/>
    </row>
    <row r="28639" spans="17:17" x14ac:dyDescent="0.25">
      <c r="Q28639" s="8"/>
    </row>
    <row r="28640" spans="17:17" x14ac:dyDescent="0.25">
      <c r="Q28640" s="8"/>
    </row>
    <row r="28641" spans="17:17" x14ac:dyDescent="0.25">
      <c r="Q28641" s="8"/>
    </row>
    <row r="28642" spans="17:17" x14ac:dyDescent="0.25">
      <c r="Q28642" s="8"/>
    </row>
    <row r="28643" spans="17:17" x14ac:dyDescent="0.25">
      <c r="Q28643" s="8"/>
    </row>
    <row r="28644" spans="17:17" x14ac:dyDescent="0.25">
      <c r="Q28644" s="8"/>
    </row>
    <row r="28645" spans="17:17" x14ac:dyDescent="0.25">
      <c r="Q28645" s="8"/>
    </row>
    <row r="28646" spans="17:17" x14ac:dyDescent="0.25">
      <c r="Q28646" s="8"/>
    </row>
    <row r="28647" spans="17:17" x14ac:dyDescent="0.25">
      <c r="Q28647" s="8"/>
    </row>
    <row r="28648" spans="17:17" x14ac:dyDescent="0.25">
      <c r="Q28648" s="8"/>
    </row>
    <row r="28649" spans="17:17" x14ac:dyDescent="0.25">
      <c r="Q28649" s="8"/>
    </row>
    <row r="28650" spans="17:17" x14ac:dyDescent="0.25">
      <c r="Q28650" s="8"/>
    </row>
    <row r="28651" spans="17:17" x14ac:dyDescent="0.25">
      <c r="Q28651" s="8"/>
    </row>
    <row r="28652" spans="17:17" x14ac:dyDescent="0.25">
      <c r="Q28652" s="8"/>
    </row>
    <row r="28653" spans="17:17" x14ac:dyDescent="0.25">
      <c r="Q28653" s="8"/>
    </row>
    <row r="28654" spans="17:17" x14ac:dyDescent="0.25">
      <c r="Q28654" s="8"/>
    </row>
    <row r="28655" spans="17:17" x14ac:dyDescent="0.25">
      <c r="Q28655" s="8"/>
    </row>
    <row r="28656" spans="17:17" x14ac:dyDescent="0.25">
      <c r="Q28656" s="8"/>
    </row>
    <row r="28657" spans="17:17" x14ac:dyDescent="0.25">
      <c r="Q28657" s="8"/>
    </row>
    <row r="28658" spans="17:17" x14ac:dyDescent="0.25">
      <c r="Q28658" s="8"/>
    </row>
    <row r="28659" spans="17:17" x14ac:dyDescent="0.25">
      <c r="Q28659" s="8"/>
    </row>
    <row r="28660" spans="17:17" x14ac:dyDescent="0.25">
      <c r="Q28660" s="8"/>
    </row>
    <row r="28661" spans="17:17" x14ac:dyDescent="0.25">
      <c r="Q28661" s="8"/>
    </row>
    <row r="28662" spans="17:17" x14ac:dyDescent="0.25">
      <c r="Q28662" s="8"/>
    </row>
    <row r="28663" spans="17:17" x14ac:dyDescent="0.25">
      <c r="Q28663" s="8"/>
    </row>
    <row r="28664" spans="17:17" x14ac:dyDescent="0.25">
      <c r="Q28664" s="8"/>
    </row>
    <row r="28665" spans="17:17" x14ac:dyDescent="0.25">
      <c r="Q28665" s="8"/>
    </row>
    <row r="28666" spans="17:17" x14ac:dyDescent="0.25">
      <c r="Q28666" s="8"/>
    </row>
    <row r="28667" spans="17:17" x14ac:dyDescent="0.25">
      <c r="Q28667" s="8"/>
    </row>
    <row r="28668" spans="17:17" x14ac:dyDescent="0.25">
      <c r="Q28668" s="8"/>
    </row>
    <row r="28669" spans="17:17" x14ac:dyDescent="0.25">
      <c r="Q28669" s="8"/>
    </row>
    <row r="28670" spans="17:17" x14ac:dyDescent="0.25">
      <c r="Q28670" s="8"/>
    </row>
    <row r="28671" spans="17:17" x14ac:dyDescent="0.25">
      <c r="Q28671" s="8"/>
    </row>
    <row r="28672" spans="17:17" x14ac:dyDescent="0.25">
      <c r="Q28672" s="8"/>
    </row>
    <row r="28673" spans="17:17" x14ac:dyDescent="0.25">
      <c r="Q28673" s="8"/>
    </row>
    <row r="28674" spans="17:17" x14ac:dyDescent="0.25">
      <c r="Q28674" s="8"/>
    </row>
    <row r="28675" spans="17:17" x14ac:dyDescent="0.25">
      <c r="Q28675" s="8"/>
    </row>
    <row r="28676" spans="17:17" x14ac:dyDescent="0.25">
      <c r="Q28676" s="8"/>
    </row>
    <row r="28677" spans="17:17" x14ac:dyDescent="0.25">
      <c r="Q28677" s="8"/>
    </row>
    <row r="28678" spans="17:17" x14ac:dyDescent="0.25">
      <c r="Q28678" s="8"/>
    </row>
    <row r="28679" spans="17:17" x14ac:dyDescent="0.25">
      <c r="Q28679" s="8"/>
    </row>
    <row r="28680" spans="17:17" x14ac:dyDescent="0.25">
      <c r="Q28680" s="8"/>
    </row>
    <row r="28681" spans="17:17" x14ac:dyDescent="0.25">
      <c r="Q28681" s="8"/>
    </row>
    <row r="28682" spans="17:17" x14ac:dyDescent="0.25">
      <c r="Q28682" s="8"/>
    </row>
    <row r="28683" spans="17:17" x14ac:dyDescent="0.25">
      <c r="Q28683" s="8"/>
    </row>
    <row r="28684" spans="17:17" x14ac:dyDescent="0.25">
      <c r="Q28684" s="8"/>
    </row>
    <row r="28685" spans="17:17" x14ac:dyDescent="0.25">
      <c r="Q28685" s="8"/>
    </row>
    <row r="28686" spans="17:17" x14ac:dyDescent="0.25">
      <c r="Q28686" s="8"/>
    </row>
    <row r="28687" spans="17:17" x14ac:dyDescent="0.25">
      <c r="Q28687" s="8"/>
    </row>
    <row r="28688" spans="17:17" x14ac:dyDescent="0.25">
      <c r="Q28688" s="8"/>
    </row>
    <row r="28689" spans="17:17" x14ac:dyDescent="0.25">
      <c r="Q28689" s="8"/>
    </row>
    <row r="28690" spans="17:17" x14ac:dyDescent="0.25">
      <c r="Q28690" s="8"/>
    </row>
    <row r="28691" spans="17:17" x14ac:dyDescent="0.25">
      <c r="Q28691" s="8"/>
    </row>
    <row r="28692" spans="17:17" x14ac:dyDescent="0.25">
      <c r="Q28692" s="8"/>
    </row>
    <row r="28693" spans="17:17" x14ac:dyDescent="0.25">
      <c r="Q28693" s="8"/>
    </row>
    <row r="28694" spans="17:17" x14ac:dyDescent="0.25">
      <c r="Q28694" s="8"/>
    </row>
    <row r="28695" spans="17:17" x14ac:dyDescent="0.25">
      <c r="Q28695" s="8"/>
    </row>
    <row r="28696" spans="17:17" x14ac:dyDescent="0.25">
      <c r="Q28696" s="8"/>
    </row>
    <row r="28697" spans="17:17" x14ac:dyDescent="0.25">
      <c r="Q28697" s="8"/>
    </row>
    <row r="28698" spans="17:17" x14ac:dyDescent="0.25">
      <c r="Q28698" s="8"/>
    </row>
    <row r="28699" spans="17:17" x14ac:dyDescent="0.25">
      <c r="Q28699" s="8"/>
    </row>
    <row r="28700" spans="17:17" x14ac:dyDescent="0.25">
      <c r="Q28700" s="8"/>
    </row>
    <row r="28701" spans="17:17" x14ac:dyDescent="0.25">
      <c r="Q28701" s="8"/>
    </row>
    <row r="28702" spans="17:17" x14ac:dyDescent="0.25">
      <c r="Q28702" s="8"/>
    </row>
    <row r="28703" spans="17:17" x14ac:dyDescent="0.25">
      <c r="Q28703" s="8"/>
    </row>
    <row r="28704" spans="17:17" x14ac:dyDescent="0.25">
      <c r="Q28704" s="8"/>
    </row>
    <row r="28705" spans="17:17" x14ac:dyDescent="0.25">
      <c r="Q28705" s="8"/>
    </row>
    <row r="28706" spans="17:17" x14ac:dyDescent="0.25">
      <c r="Q28706" s="8"/>
    </row>
    <row r="28707" spans="17:17" x14ac:dyDescent="0.25">
      <c r="Q28707" s="8"/>
    </row>
    <row r="28708" spans="17:17" x14ac:dyDescent="0.25">
      <c r="Q28708" s="8"/>
    </row>
    <row r="28709" spans="17:17" x14ac:dyDescent="0.25">
      <c r="Q28709" s="8"/>
    </row>
    <row r="28710" spans="17:17" x14ac:dyDescent="0.25">
      <c r="Q28710" s="8"/>
    </row>
    <row r="28711" spans="17:17" x14ac:dyDescent="0.25">
      <c r="Q28711" s="8"/>
    </row>
    <row r="28712" spans="17:17" x14ac:dyDescent="0.25">
      <c r="Q28712" s="8"/>
    </row>
    <row r="28713" spans="17:17" x14ac:dyDescent="0.25">
      <c r="Q28713" s="8"/>
    </row>
    <row r="28714" spans="17:17" x14ac:dyDescent="0.25">
      <c r="Q28714" s="8"/>
    </row>
    <row r="28715" spans="17:17" x14ac:dyDescent="0.25">
      <c r="Q28715" s="8"/>
    </row>
    <row r="28716" spans="17:17" x14ac:dyDescent="0.25">
      <c r="Q28716" s="8"/>
    </row>
    <row r="28717" spans="17:17" x14ac:dyDescent="0.25">
      <c r="Q28717" s="8"/>
    </row>
    <row r="28718" spans="17:17" x14ac:dyDescent="0.25">
      <c r="Q28718" s="8"/>
    </row>
    <row r="28719" spans="17:17" x14ac:dyDescent="0.25">
      <c r="Q28719" s="8"/>
    </row>
    <row r="28720" spans="17:17" x14ac:dyDescent="0.25">
      <c r="Q28720" s="8"/>
    </row>
    <row r="28721" spans="17:17" x14ac:dyDescent="0.25">
      <c r="Q28721" s="8"/>
    </row>
    <row r="28722" spans="17:17" x14ac:dyDescent="0.25">
      <c r="Q28722" s="8"/>
    </row>
    <row r="28723" spans="17:17" x14ac:dyDescent="0.25">
      <c r="Q28723" s="8"/>
    </row>
    <row r="28724" spans="17:17" x14ac:dyDescent="0.25">
      <c r="Q28724" s="8"/>
    </row>
    <row r="28725" spans="17:17" x14ac:dyDescent="0.25">
      <c r="Q28725" s="8"/>
    </row>
    <row r="28726" spans="17:17" x14ac:dyDescent="0.25">
      <c r="Q28726" s="8"/>
    </row>
    <row r="28727" spans="17:17" x14ac:dyDescent="0.25">
      <c r="Q28727" s="8"/>
    </row>
    <row r="28728" spans="17:17" x14ac:dyDescent="0.25">
      <c r="Q28728" s="8"/>
    </row>
    <row r="28729" spans="17:17" x14ac:dyDescent="0.25">
      <c r="Q28729" s="8"/>
    </row>
    <row r="28730" spans="17:17" x14ac:dyDescent="0.25">
      <c r="Q28730" s="8"/>
    </row>
    <row r="28731" spans="17:17" x14ac:dyDescent="0.25">
      <c r="Q28731" s="8"/>
    </row>
    <row r="28732" spans="17:17" x14ac:dyDescent="0.25">
      <c r="Q28732" s="8"/>
    </row>
    <row r="28733" spans="17:17" x14ac:dyDescent="0.25">
      <c r="Q28733" s="8"/>
    </row>
    <row r="28734" spans="17:17" x14ac:dyDescent="0.25">
      <c r="Q28734" s="8"/>
    </row>
    <row r="28735" spans="17:17" x14ac:dyDescent="0.25">
      <c r="Q28735" s="8"/>
    </row>
    <row r="28736" spans="17:17" x14ac:dyDescent="0.25">
      <c r="Q28736" s="8"/>
    </row>
    <row r="28737" spans="17:17" x14ac:dyDescent="0.25">
      <c r="Q28737" s="8"/>
    </row>
    <row r="28738" spans="17:17" x14ac:dyDescent="0.25">
      <c r="Q28738" s="8"/>
    </row>
    <row r="28739" spans="17:17" x14ac:dyDescent="0.25">
      <c r="Q28739" s="8"/>
    </row>
    <row r="28740" spans="17:17" x14ac:dyDescent="0.25">
      <c r="Q28740" s="8"/>
    </row>
    <row r="28741" spans="17:17" x14ac:dyDescent="0.25">
      <c r="Q28741" s="8"/>
    </row>
    <row r="28742" spans="17:17" x14ac:dyDescent="0.25">
      <c r="Q28742" s="8"/>
    </row>
    <row r="28743" spans="17:17" x14ac:dyDescent="0.25">
      <c r="Q28743" s="8"/>
    </row>
    <row r="28744" spans="17:17" x14ac:dyDescent="0.25">
      <c r="Q28744" s="8"/>
    </row>
    <row r="28745" spans="17:17" x14ac:dyDescent="0.25">
      <c r="Q28745" s="8"/>
    </row>
    <row r="28746" spans="17:17" x14ac:dyDescent="0.25">
      <c r="Q28746" s="8"/>
    </row>
    <row r="28747" spans="17:17" x14ac:dyDescent="0.25">
      <c r="Q28747" s="8"/>
    </row>
    <row r="28748" spans="17:17" x14ac:dyDescent="0.25">
      <c r="Q28748" s="8"/>
    </row>
    <row r="28749" spans="17:17" x14ac:dyDescent="0.25">
      <c r="Q28749" s="8"/>
    </row>
    <row r="28750" spans="17:17" x14ac:dyDescent="0.25">
      <c r="Q28750" s="8"/>
    </row>
    <row r="28751" spans="17:17" x14ac:dyDescent="0.25">
      <c r="Q28751" s="8"/>
    </row>
    <row r="28752" spans="17:17" x14ac:dyDescent="0.25">
      <c r="Q28752" s="8"/>
    </row>
    <row r="28753" spans="17:17" x14ac:dyDescent="0.25">
      <c r="Q28753" s="8"/>
    </row>
    <row r="28754" spans="17:17" x14ac:dyDescent="0.25">
      <c r="Q28754" s="8"/>
    </row>
    <row r="28755" spans="17:17" x14ac:dyDescent="0.25">
      <c r="Q28755" s="8"/>
    </row>
    <row r="28756" spans="17:17" x14ac:dyDescent="0.25">
      <c r="Q28756" s="8"/>
    </row>
    <row r="28757" spans="17:17" x14ac:dyDescent="0.25">
      <c r="Q28757" s="8"/>
    </row>
    <row r="28758" spans="17:17" x14ac:dyDescent="0.25">
      <c r="Q28758" s="8"/>
    </row>
    <row r="28759" spans="17:17" x14ac:dyDescent="0.25">
      <c r="Q28759" s="8"/>
    </row>
    <row r="28760" spans="17:17" x14ac:dyDescent="0.25">
      <c r="Q28760" s="8"/>
    </row>
    <row r="28761" spans="17:17" x14ac:dyDescent="0.25">
      <c r="Q28761" s="8"/>
    </row>
    <row r="28762" spans="17:17" x14ac:dyDescent="0.25">
      <c r="Q28762" s="8"/>
    </row>
    <row r="28763" spans="17:17" x14ac:dyDescent="0.25">
      <c r="Q28763" s="8"/>
    </row>
    <row r="28764" spans="17:17" x14ac:dyDescent="0.25">
      <c r="Q28764" s="8"/>
    </row>
    <row r="28765" spans="17:17" x14ac:dyDescent="0.25">
      <c r="Q28765" s="8"/>
    </row>
    <row r="28766" spans="17:17" x14ac:dyDescent="0.25">
      <c r="Q28766" s="8"/>
    </row>
    <row r="28767" spans="17:17" x14ac:dyDescent="0.25">
      <c r="Q28767" s="8"/>
    </row>
    <row r="28768" spans="17:17" x14ac:dyDescent="0.25">
      <c r="Q28768" s="8"/>
    </row>
    <row r="28769" spans="17:17" x14ac:dyDescent="0.25">
      <c r="Q28769" s="8"/>
    </row>
    <row r="28770" spans="17:17" x14ac:dyDescent="0.25">
      <c r="Q28770" s="8"/>
    </row>
    <row r="28771" spans="17:17" x14ac:dyDescent="0.25">
      <c r="Q28771" s="8"/>
    </row>
    <row r="28772" spans="17:17" x14ac:dyDescent="0.25">
      <c r="Q28772" s="8"/>
    </row>
    <row r="28773" spans="17:17" x14ac:dyDescent="0.25">
      <c r="Q28773" s="8"/>
    </row>
    <row r="28774" spans="17:17" x14ac:dyDescent="0.25">
      <c r="Q28774" s="8"/>
    </row>
    <row r="28775" spans="17:17" x14ac:dyDescent="0.25">
      <c r="Q28775" s="8"/>
    </row>
    <row r="28776" spans="17:17" x14ac:dyDescent="0.25">
      <c r="Q28776" s="8"/>
    </row>
    <row r="28777" spans="17:17" x14ac:dyDescent="0.25">
      <c r="Q28777" s="8"/>
    </row>
    <row r="28778" spans="17:17" x14ac:dyDescent="0.25">
      <c r="Q28778" s="8"/>
    </row>
    <row r="28779" spans="17:17" x14ac:dyDescent="0.25">
      <c r="Q28779" s="8"/>
    </row>
    <row r="28780" spans="17:17" x14ac:dyDescent="0.25">
      <c r="Q28780" s="8"/>
    </row>
    <row r="28781" spans="17:17" x14ac:dyDescent="0.25">
      <c r="Q28781" s="8"/>
    </row>
    <row r="28782" spans="17:17" x14ac:dyDescent="0.25">
      <c r="Q28782" s="8"/>
    </row>
    <row r="28783" spans="17:17" x14ac:dyDescent="0.25">
      <c r="Q28783" s="8"/>
    </row>
    <row r="28784" spans="17:17" x14ac:dyDescent="0.25">
      <c r="Q28784" s="8"/>
    </row>
    <row r="28785" spans="17:17" x14ac:dyDescent="0.25">
      <c r="Q28785" s="8"/>
    </row>
    <row r="28786" spans="17:17" x14ac:dyDescent="0.25">
      <c r="Q28786" s="8"/>
    </row>
    <row r="28787" spans="17:17" x14ac:dyDescent="0.25">
      <c r="Q28787" s="8"/>
    </row>
    <row r="28788" spans="17:17" x14ac:dyDescent="0.25">
      <c r="Q28788" s="8"/>
    </row>
    <row r="28789" spans="17:17" x14ac:dyDescent="0.25">
      <c r="Q28789" s="8"/>
    </row>
    <row r="28790" spans="17:17" x14ac:dyDescent="0.25">
      <c r="Q28790" s="8"/>
    </row>
    <row r="28791" spans="17:17" x14ac:dyDescent="0.25">
      <c r="Q28791" s="8"/>
    </row>
    <row r="28792" spans="17:17" x14ac:dyDescent="0.25">
      <c r="Q28792" s="8"/>
    </row>
    <row r="28793" spans="17:17" x14ac:dyDescent="0.25">
      <c r="Q28793" s="8"/>
    </row>
    <row r="28794" spans="17:17" x14ac:dyDescent="0.25">
      <c r="Q28794" s="8"/>
    </row>
    <row r="28795" spans="17:17" x14ac:dyDescent="0.25">
      <c r="Q28795" s="8"/>
    </row>
    <row r="28796" spans="17:17" x14ac:dyDescent="0.25">
      <c r="Q28796" s="8"/>
    </row>
    <row r="28797" spans="17:17" x14ac:dyDescent="0.25">
      <c r="Q28797" s="8"/>
    </row>
    <row r="28798" spans="17:17" x14ac:dyDescent="0.25">
      <c r="Q28798" s="8"/>
    </row>
    <row r="28799" spans="17:17" x14ac:dyDescent="0.25">
      <c r="Q28799" s="8"/>
    </row>
    <row r="28800" spans="17:17" x14ac:dyDescent="0.25">
      <c r="Q28800" s="8"/>
    </row>
    <row r="28801" spans="17:17" x14ac:dyDescent="0.25">
      <c r="Q28801" s="8"/>
    </row>
    <row r="28802" spans="17:17" x14ac:dyDescent="0.25">
      <c r="Q28802" s="8"/>
    </row>
    <row r="28803" spans="17:17" x14ac:dyDescent="0.25">
      <c r="Q28803" s="8"/>
    </row>
    <row r="28804" spans="17:17" x14ac:dyDescent="0.25">
      <c r="Q28804" s="8"/>
    </row>
    <row r="28805" spans="17:17" x14ac:dyDescent="0.25">
      <c r="Q28805" s="8"/>
    </row>
    <row r="28806" spans="17:17" x14ac:dyDescent="0.25">
      <c r="Q28806" s="8"/>
    </row>
    <row r="28807" spans="17:17" x14ac:dyDescent="0.25">
      <c r="Q28807" s="8"/>
    </row>
    <row r="28808" spans="17:17" x14ac:dyDescent="0.25">
      <c r="Q28808" s="8"/>
    </row>
    <row r="28809" spans="17:17" x14ac:dyDescent="0.25">
      <c r="Q28809" s="8"/>
    </row>
    <row r="28810" spans="17:17" x14ac:dyDescent="0.25">
      <c r="Q28810" s="8"/>
    </row>
    <row r="28811" spans="17:17" x14ac:dyDescent="0.25">
      <c r="Q28811" s="8"/>
    </row>
    <row r="28812" spans="17:17" x14ac:dyDescent="0.25">
      <c r="Q28812" s="8"/>
    </row>
    <row r="28813" spans="17:17" x14ac:dyDescent="0.25">
      <c r="Q28813" s="8"/>
    </row>
    <row r="28814" spans="17:17" x14ac:dyDescent="0.25">
      <c r="Q28814" s="8"/>
    </row>
    <row r="28815" spans="17:17" x14ac:dyDescent="0.25">
      <c r="Q28815" s="8"/>
    </row>
    <row r="28816" spans="17:17" x14ac:dyDescent="0.25">
      <c r="Q28816" s="8"/>
    </row>
    <row r="28817" spans="17:17" x14ac:dyDescent="0.25">
      <c r="Q28817" s="8"/>
    </row>
    <row r="28818" spans="17:17" x14ac:dyDescent="0.25">
      <c r="Q28818" s="8"/>
    </row>
    <row r="28819" spans="17:17" x14ac:dyDescent="0.25">
      <c r="Q28819" s="8"/>
    </row>
    <row r="28820" spans="17:17" x14ac:dyDescent="0.25">
      <c r="Q28820" s="8"/>
    </row>
    <row r="28821" spans="17:17" x14ac:dyDescent="0.25">
      <c r="Q28821" s="8"/>
    </row>
    <row r="28822" spans="17:17" x14ac:dyDescent="0.25">
      <c r="Q28822" s="8"/>
    </row>
    <row r="28823" spans="17:17" x14ac:dyDescent="0.25">
      <c r="Q28823" s="8"/>
    </row>
    <row r="28824" spans="17:17" x14ac:dyDescent="0.25">
      <c r="Q28824" s="8"/>
    </row>
    <row r="28825" spans="17:17" x14ac:dyDescent="0.25">
      <c r="Q28825" s="8"/>
    </row>
    <row r="28826" spans="17:17" x14ac:dyDescent="0.25">
      <c r="Q28826" s="8"/>
    </row>
    <row r="28827" spans="17:17" x14ac:dyDescent="0.25">
      <c r="Q28827" s="8"/>
    </row>
    <row r="28828" spans="17:17" x14ac:dyDescent="0.25">
      <c r="Q28828" s="8"/>
    </row>
    <row r="28829" spans="17:17" x14ac:dyDescent="0.25">
      <c r="Q28829" s="8"/>
    </row>
    <row r="28830" spans="17:17" x14ac:dyDescent="0.25">
      <c r="Q28830" s="8"/>
    </row>
    <row r="28831" spans="17:17" x14ac:dyDescent="0.25">
      <c r="Q28831" s="8"/>
    </row>
    <row r="28832" spans="17:17" x14ac:dyDescent="0.25">
      <c r="Q28832" s="8"/>
    </row>
    <row r="28833" spans="17:17" x14ac:dyDescent="0.25">
      <c r="Q28833" s="8"/>
    </row>
    <row r="28834" spans="17:17" x14ac:dyDescent="0.25">
      <c r="Q28834" s="8"/>
    </row>
    <row r="28835" spans="17:17" x14ac:dyDescent="0.25">
      <c r="Q28835" s="8"/>
    </row>
    <row r="28836" spans="17:17" x14ac:dyDescent="0.25">
      <c r="Q28836" s="8"/>
    </row>
    <row r="28837" spans="17:17" x14ac:dyDescent="0.25">
      <c r="Q28837" s="8"/>
    </row>
    <row r="28838" spans="17:17" x14ac:dyDescent="0.25">
      <c r="Q28838" s="8"/>
    </row>
    <row r="28839" spans="17:17" x14ac:dyDescent="0.25">
      <c r="Q28839" s="8"/>
    </row>
    <row r="28840" spans="17:17" x14ac:dyDescent="0.25">
      <c r="Q28840" s="8"/>
    </row>
    <row r="28841" spans="17:17" x14ac:dyDescent="0.25">
      <c r="Q28841" s="8"/>
    </row>
    <row r="28842" spans="17:17" x14ac:dyDescent="0.25">
      <c r="Q28842" s="8"/>
    </row>
    <row r="28843" spans="17:17" x14ac:dyDescent="0.25">
      <c r="Q28843" s="8"/>
    </row>
    <row r="28844" spans="17:17" x14ac:dyDescent="0.25">
      <c r="Q28844" s="8"/>
    </row>
    <row r="28845" spans="17:17" x14ac:dyDescent="0.25">
      <c r="Q28845" s="8"/>
    </row>
    <row r="28846" spans="17:17" x14ac:dyDescent="0.25">
      <c r="Q28846" s="8"/>
    </row>
    <row r="28847" spans="17:17" x14ac:dyDescent="0.25">
      <c r="Q28847" s="8"/>
    </row>
    <row r="28848" spans="17:17" x14ac:dyDescent="0.25">
      <c r="Q28848" s="8"/>
    </row>
    <row r="28849" spans="17:17" x14ac:dyDescent="0.25">
      <c r="Q28849" s="8"/>
    </row>
    <row r="28850" spans="17:17" x14ac:dyDescent="0.25">
      <c r="Q28850" s="8"/>
    </row>
    <row r="28851" spans="17:17" x14ac:dyDescent="0.25">
      <c r="Q28851" s="8"/>
    </row>
    <row r="28852" spans="17:17" x14ac:dyDescent="0.25">
      <c r="Q28852" s="8"/>
    </row>
    <row r="28853" spans="17:17" x14ac:dyDescent="0.25">
      <c r="Q28853" s="8"/>
    </row>
    <row r="28854" spans="17:17" x14ac:dyDescent="0.25">
      <c r="Q28854" s="8"/>
    </row>
    <row r="28855" spans="17:17" x14ac:dyDescent="0.25">
      <c r="Q28855" s="8"/>
    </row>
    <row r="28856" spans="17:17" x14ac:dyDescent="0.25">
      <c r="Q28856" s="8"/>
    </row>
    <row r="28857" spans="17:17" x14ac:dyDescent="0.25">
      <c r="Q28857" s="8"/>
    </row>
    <row r="28858" spans="17:17" x14ac:dyDescent="0.25">
      <c r="Q28858" s="8"/>
    </row>
    <row r="28859" spans="17:17" x14ac:dyDescent="0.25">
      <c r="Q28859" s="8"/>
    </row>
    <row r="28860" spans="17:17" x14ac:dyDescent="0.25">
      <c r="Q28860" s="8"/>
    </row>
    <row r="28861" spans="17:17" x14ac:dyDescent="0.25">
      <c r="Q28861" s="8"/>
    </row>
    <row r="28862" spans="17:17" x14ac:dyDescent="0.25">
      <c r="Q28862" s="8"/>
    </row>
    <row r="28863" spans="17:17" x14ac:dyDescent="0.25">
      <c r="Q28863" s="8"/>
    </row>
    <row r="28864" spans="17:17" x14ac:dyDescent="0.25">
      <c r="Q28864" s="8"/>
    </row>
    <row r="28865" spans="17:17" x14ac:dyDescent="0.25">
      <c r="Q28865" s="8"/>
    </row>
    <row r="28866" spans="17:17" x14ac:dyDescent="0.25">
      <c r="Q28866" s="8"/>
    </row>
    <row r="28867" spans="17:17" x14ac:dyDescent="0.25">
      <c r="Q28867" s="8"/>
    </row>
    <row r="28868" spans="17:17" x14ac:dyDescent="0.25">
      <c r="Q28868" s="8"/>
    </row>
    <row r="28869" spans="17:17" x14ac:dyDescent="0.25">
      <c r="Q28869" s="8"/>
    </row>
    <row r="28870" spans="17:17" x14ac:dyDescent="0.25">
      <c r="Q28870" s="8"/>
    </row>
    <row r="28871" spans="17:17" x14ac:dyDescent="0.25">
      <c r="Q28871" s="8"/>
    </row>
    <row r="28872" spans="17:17" x14ac:dyDescent="0.25">
      <c r="Q28872" s="8"/>
    </row>
    <row r="28873" spans="17:17" x14ac:dyDescent="0.25">
      <c r="Q28873" s="8"/>
    </row>
    <row r="28874" spans="17:17" x14ac:dyDescent="0.25">
      <c r="Q28874" s="8"/>
    </row>
    <row r="28875" spans="17:17" x14ac:dyDescent="0.25">
      <c r="Q28875" s="8"/>
    </row>
    <row r="28876" spans="17:17" x14ac:dyDescent="0.25">
      <c r="Q28876" s="8"/>
    </row>
    <row r="28877" spans="17:17" x14ac:dyDescent="0.25">
      <c r="Q28877" s="8"/>
    </row>
    <row r="28878" spans="17:17" x14ac:dyDescent="0.25">
      <c r="Q28878" s="8"/>
    </row>
    <row r="28879" spans="17:17" x14ac:dyDescent="0.25">
      <c r="Q28879" s="8"/>
    </row>
    <row r="28880" spans="17:17" x14ac:dyDescent="0.25">
      <c r="Q28880" s="8"/>
    </row>
    <row r="28881" spans="17:17" x14ac:dyDescent="0.25">
      <c r="Q28881" s="8"/>
    </row>
    <row r="28882" spans="17:17" x14ac:dyDescent="0.25">
      <c r="Q28882" s="8"/>
    </row>
    <row r="28883" spans="17:17" x14ac:dyDescent="0.25">
      <c r="Q28883" s="8"/>
    </row>
    <row r="28884" spans="17:17" x14ac:dyDescent="0.25">
      <c r="Q28884" s="8"/>
    </row>
    <row r="28885" spans="17:17" x14ac:dyDescent="0.25">
      <c r="Q28885" s="8"/>
    </row>
    <row r="28886" spans="17:17" x14ac:dyDescent="0.25">
      <c r="Q28886" s="8"/>
    </row>
    <row r="28887" spans="17:17" x14ac:dyDescent="0.25">
      <c r="Q28887" s="8"/>
    </row>
    <row r="28888" spans="17:17" x14ac:dyDescent="0.25">
      <c r="Q28888" s="8"/>
    </row>
    <row r="28889" spans="17:17" x14ac:dyDescent="0.25">
      <c r="Q28889" s="8"/>
    </row>
    <row r="28890" spans="17:17" x14ac:dyDescent="0.25">
      <c r="Q28890" s="8"/>
    </row>
    <row r="28891" spans="17:17" x14ac:dyDescent="0.25">
      <c r="Q28891" s="8"/>
    </row>
    <row r="28892" spans="17:17" x14ac:dyDescent="0.25">
      <c r="Q28892" s="8"/>
    </row>
    <row r="28893" spans="17:17" x14ac:dyDescent="0.25">
      <c r="Q28893" s="8"/>
    </row>
    <row r="28894" spans="17:17" x14ac:dyDescent="0.25">
      <c r="Q28894" s="8"/>
    </row>
    <row r="28895" spans="17:17" x14ac:dyDescent="0.25">
      <c r="Q28895" s="8"/>
    </row>
    <row r="28896" spans="17:17" x14ac:dyDescent="0.25">
      <c r="Q28896" s="8"/>
    </row>
    <row r="28897" spans="17:17" x14ac:dyDescent="0.25">
      <c r="Q28897" s="8"/>
    </row>
    <row r="28898" spans="17:17" x14ac:dyDescent="0.25">
      <c r="Q28898" s="8"/>
    </row>
    <row r="28899" spans="17:17" x14ac:dyDescent="0.25">
      <c r="Q28899" s="8"/>
    </row>
    <row r="28900" spans="17:17" x14ac:dyDescent="0.25">
      <c r="Q28900" s="8"/>
    </row>
    <row r="28901" spans="17:17" x14ac:dyDescent="0.25">
      <c r="Q28901" s="8"/>
    </row>
    <row r="28902" spans="17:17" x14ac:dyDescent="0.25">
      <c r="Q28902" s="8"/>
    </row>
    <row r="28903" spans="17:17" x14ac:dyDescent="0.25">
      <c r="Q28903" s="8"/>
    </row>
    <row r="28904" spans="17:17" x14ac:dyDescent="0.25">
      <c r="Q28904" s="8"/>
    </row>
    <row r="28905" spans="17:17" x14ac:dyDescent="0.25">
      <c r="Q28905" s="8"/>
    </row>
    <row r="28906" spans="17:17" x14ac:dyDescent="0.25">
      <c r="Q28906" s="8"/>
    </row>
    <row r="28907" spans="17:17" x14ac:dyDescent="0.25">
      <c r="Q28907" s="8"/>
    </row>
    <row r="28908" spans="17:17" x14ac:dyDescent="0.25">
      <c r="Q28908" s="8"/>
    </row>
    <row r="28909" spans="17:17" x14ac:dyDescent="0.25">
      <c r="Q28909" s="8"/>
    </row>
    <row r="28910" spans="17:17" x14ac:dyDescent="0.25">
      <c r="Q28910" s="8"/>
    </row>
    <row r="28911" spans="17:17" x14ac:dyDescent="0.25">
      <c r="Q28911" s="8"/>
    </row>
    <row r="28912" spans="17:17" x14ac:dyDescent="0.25">
      <c r="Q28912" s="8"/>
    </row>
    <row r="28913" spans="17:17" x14ac:dyDescent="0.25">
      <c r="Q28913" s="8"/>
    </row>
    <row r="28914" spans="17:17" x14ac:dyDescent="0.25">
      <c r="Q28914" s="8"/>
    </row>
    <row r="28915" spans="17:17" x14ac:dyDescent="0.25">
      <c r="Q28915" s="8"/>
    </row>
    <row r="28916" spans="17:17" x14ac:dyDescent="0.25">
      <c r="Q28916" s="8"/>
    </row>
    <row r="28917" spans="17:17" x14ac:dyDescent="0.25">
      <c r="Q28917" s="8"/>
    </row>
    <row r="28918" spans="17:17" x14ac:dyDescent="0.25">
      <c r="Q28918" s="8"/>
    </row>
    <row r="28919" spans="17:17" x14ac:dyDescent="0.25">
      <c r="Q28919" s="8"/>
    </row>
    <row r="28920" spans="17:17" x14ac:dyDescent="0.25">
      <c r="Q28920" s="8"/>
    </row>
    <row r="28921" spans="17:17" x14ac:dyDescent="0.25">
      <c r="Q28921" s="8"/>
    </row>
    <row r="28922" spans="17:17" x14ac:dyDescent="0.25">
      <c r="Q28922" s="8"/>
    </row>
    <row r="28923" spans="17:17" x14ac:dyDescent="0.25">
      <c r="Q28923" s="8"/>
    </row>
    <row r="28924" spans="17:17" x14ac:dyDescent="0.25">
      <c r="Q28924" s="8"/>
    </row>
    <row r="28925" spans="17:17" x14ac:dyDescent="0.25">
      <c r="Q28925" s="8"/>
    </row>
    <row r="28926" spans="17:17" x14ac:dyDescent="0.25">
      <c r="Q28926" s="8"/>
    </row>
    <row r="28927" spans="17:17" x14ac:dyDescent="0.25">
      <c r="Q28927" s="8"/>
    </row>
    <row r="28928" spans="17:17" x14ac:dyDescent="0.25">
      <c r="Q28928" s="8"/>
    </row>
    <row r="28929" spans="17:17" x14ac:dyDescent="0.25">
      <c r="Q28929" s="8"/>
    </row>
    <row r="28930" spans="17:17" x14ac:dyDescent="0.25">
      <c r="Q28930" s="8"/>
    </row>
    <row r="28931" spans="17:17" x14ac:dyDescent="0.25">
      <c r="Q28931" s="8"/>
    </row>
    <row r="28932" spans="17:17" x14ac:dyDescent="0.25">
      <c r="Q28932" s="8"/>
    </row>
    <row r="28933" spans="17:17" x14ac:dyDescent="0.25">
      <c r="Q28933" s="8"/>
    </row>
    <row r="28934" spans="17:17" x14ac:dyDescent="0.25">
      <c r="Q28934" s="8"/>
    </row>
    <row r="28935" spans="17:17" x14ac:dyDescent="0.25">
      <c r="Q28935" s="8"/>
    </row>
    <row r="28936" spans="17:17" x14ac:dyDescent="0.25">
      <c r="Q28936" s="8"/>
    </row>
    <row r="28937" spans="17:17" x14ac:dyDescent="0.25">
      <c r="Q28937" s="8"/>
    </row>
    <row r="28938" spans="17:17" x14ac:dyDescent="0.25">
      <c r="Q28938" s="8"/>
    </row>
    <row r="28939" spans="17:17" x14ac:dyDescent="0.25">
      <c r="Q28939" s="8"/>
    </row>
    <row r="28940" spans="17:17" x14ac:dyDescent="0.25">
      <c r="Q28940" s="8"/>
    </row>
    <row r="28941" spans="17:17" x14ac:dyDescent="0.25">
      <c r="Q28941" s="8"/>
    </row>
    <row r="28942" spans="17:17" x14ac:dyDescent="0.25">
      <c r="Q28942" s="8"/>
    </row>
    <row r="28943" spans="17:17" x14ac:dyDescent="0.25">
      <c r="Q28943" s="8"/>
    </row>
    <row r="28944" spans="17:17" x14ac:dyDescent="0.25">
      <c r="Q28944" s="8"/>
    </row>
    <row r="28945" spans="17:17" x14ac:dyDescent="0.25">
      <c r="Q28945" s="8"/>
    </row>
    <row r="28946" spans="17:17" x14ac:dyDescent="0.25">
      <c r="Q28946" s="8"/>
    </row>
    <row r="28947" spans="17:17" x14ac:dyDescent="0.25">
      <c r="Q28947" s="8"/>
    </row>
    <row r="28948" spans="17:17" x14ac:dyDescent="0.25">
      <c r="Q28948" s="8"/>
    </row>
    <row r="28949" spans="17:17" x14ac:dyDescent="0.25">
      <c r="Q28949" s="8"/>
    </row>
    <row r="28950" spans="17:17" x14ac:dyDescent="0.25">
      <c r="Q28950" s="8"/>
    </row>
    <row r="28951" spans="17:17" x14ac:dyDescent="0.25">
      <c r="Q28951" s="8"/>
    </row>
    <row r="28952" spans="17:17" x14ac:dyDescent="0.25">
      <c r="Q28952" s="8"/>
    </row>
    <row r="28953" spans="17:17" x14ac:dyDescent="0.25">
      <c r="Q28953" s="8"/>
    </row>
    <row r="28954" spans="17:17" x14ac:dyDescent="0.25">
      <c r="Q28954" s="8"/>
    </row>
    <row r="28955" spans="17:17" x14ac:dyDescent="0.25">
      <c r="Q28955" s="8"/>
    </row>
    <row r="28956" spans="17:17" x14ac:dyDescent="0.25">
      <c r="Q28956" s="8"/>
    </row>
    <row r="28957" spans="17:17" x14ac:dyDescent="0.25">
      <c r="Q28957" s="8"/>
    </row>
    <row r="28958" spans="17:17" x14ac:dyDescent="0.25">
      <c r="Q28958" s="8"/>
    </row>
    <row r="28959" spans="17:17" x14ac:dyDescent="0.25">
      <c r="Q28959" s="8"/>
    </row>
    <row r="28960" spans="17:17" x14ac:dyDescent="0.25">
      <c r="Q28960" s="8"/>
    </row>
    <row r="28961" spans="17:17" x14ac:dyDescent="0.25">
      <c r="Q28961" s="8"/>
    </row>
    <row r="28962" spans="17:17" x14ac:dyDescent="0.25">
      <c r="Q28962" s="8"/>
    </row>
    <row r="28963" spans="17:17" x14ac:dyDescent="0.25">
      <c r="Q28963" s="8"/>
    </row>
    <row r="28964" spans="17:17" x14ac:dyDescent="0.25">
      <c r="Q28964" s="8"/>
    </row>
    <row r="28965" spans="17:17" x14ac:dyDescent="0.25">
      <c r="Q28965" s="8"/>
    </row>
    <row r="28966" spans="17:17" x14ac:dyDescent="0.25">
      <c r="Q28966" s="8"/>
    </row>
    <row r="28967" spans="17:17" x14ac:dyDescent="0.25">
      <c r="Q28967" s="8"/>
    </row>
    <row r="28968" spans="17:17" x14ac:dyDescent="0.25">
      <c r="Q28968" s="8"/>
    </row>
    <row r="28969" spans="17:17" x14ac:dyDescent="0.25">
      <c r="Q28969" s="8"/>
    </row>
    <row r="28970" spans="17:17" x14ac:dyDescent="0.25">
      <c r="Q28970" s="8"/>
    </row>
    <row r="28971" spans="17:17" x14ac:dyDescent="0.25">
      <c r="Q28971" s="8"/>
    </row>
    <row r="28972" spans="17:17" x14ac:dyDescent="0.25">
      <c r="Q28972" s="8"/>
    </row>
    <row r="28973" spans="17:17" x14ac:dyDescent="0.25">
      <c r="Q28973" s="8"/>
    </row>
    <row r="28974" spans="17:17" x14ac:dyDescent="0.25">
      <c r="Q28974" s="8"/>
    </row>
    <row r="28975" spans="17:17" x14ac:dyDescent="0.25">
      <c r="Q28975" s="8"/>
    </row>
    <row r="28976" spans="17:17" x14ac:dyDescent="0.25">
      <c r="Q28976" s="8"/>
    </row>
    <row r="28977" spans="17:17" x14ac:dyDescent="0.25">
      <c r="Q28977" s="8"/>
    </row>
    <row r="28978" spans="17:17" x14ac:dyDescent="0.25">
      <c r="Q28978" s="8"/>
    </row>
    <row r="28979" spans="17:17" x14ac:dyDescent="0.25">
      <c r="Q28979" s="8"/>
    </row>
    <row r="28980" spans="17:17" x14ac:dyDescent="0.25">
      <c r="Q28980" s="8"/>
    </row>
    <row r="28981" spans="17:17" x14ac:dyDescent="0.25">
      <c r="Q28981" s="8"/>
    </row>
    <row r="28982" spans="17:17" x14ac:dyDescent="0.25">
      <c r="Q28982" s="8"/>
    </row>
    <row r="28983" spans="17:17" x14ac:dyDescent="0.25">
      <c r="Q28983" s="8"/>
    </row>
    <row r="28984" spans="17:17" x14ac:dyDescent="0.25">
      <c r="Q28984" s="8"/>
    </row>
    <row r="28985" spans="17:17" x14ac:dyDescent="0.25">
      <c r="Q28985" s="8"/>
    </row>
    <row r="28986" spans="17:17" x14ac:dyDescent="0.25">
      <c r="Q28986" s="8"/>
    </row>
    <row r="28987" spans="17:17" x14ac:dyDescent="0.25">
      <c r="Q28987" s="8"/>
    </row>
    <row r="28988" spans="17:17" x14ac:dyDescent="0.25">
      <c r="Q28988" s="8"/>
    </row>
    <row r="28989" spans="17:17" x14ac:dyDescent="0.25">
      <c r="Q28989" s="8"/>
    </row>
    <row r="28990" spans="17:17" x14ac:dyDescent="0.25">
      <c r="Q28990" s="8"/>
    </row>
    <row r="28991" spans="17:17" x14ac:dyDescent="0.25">
      <c r="Q28991" s="8"/>
    </row>
    <row r="28992" spans="17:17" x14ac:dyDescent="0.25">
      <c r="Q28992" s="8"/>
    </row>
    <row r="28993" spans="17:17" x14ac:dyDescent="0.25">
      <c r="Q28993" s="8"/>
    </row>
    <row r="28994" spans="17:17" x14ac:dyDescent="0.25">
      <c r="Q28994" s="8"/>
    </row>
    <row r="28995" spans="17:17" x14ac:dyDescent="0.25">
      <c r="Q28995" s="8"/>
    </row>
    <row r="28996" spans="17:17" x14ac:dyDescent="0.25">
      <c r="Q28996" s="8"/>
    </row>
    <row r="28997" spans="17:17" x14ac:dyDescent="0.25">
      <c r="Q28997" s="8"/>
    </row>
    <row r="28998" spans="17:17" x14ac:dyDescent="0.25">
      <c r="Q28998" s="8"/>
    </row>
    <row r="28999" spans="17:17" x14ac:dyDescent="0.25">
      <c r="Q28999" s="8"/>
    </row>
    <row r="29000" spans="17:17" x14ac:dyDescent="0.25">
      <c r="Q29000" s="8"/>
    </row>
    <row r="29001" spans="17:17" x14ac:dyDescent="0.25">
      <c r="Q29001" s="8"/>
    </row>
    <row r="29002" spans="17:17" x14ac:dyDescent="0.25">
      <c r="Q29002" s="8"/>
    </row>
    <row r="29003" spans="17:17" x14ac:dyDescent="0.25">
      <c r="Q29003" s="8"/>
    </row>
    <row r="29004" spans="17:17" x14ac:dyDescent="0.25">
      <c r="Q29004" s="8"/>
    </row>
    <row r="29005" spans="17:17" x14ac:dyDescent="0.25">
      <c r="Q29005" s="8"/>
    </row>
    <row r="29006" spans="17:17" x14ac:dyDescent="0.25">
      <c r="Q29006" s="8"/>
    </row>
    <row r="29007" spans="17:17" x14ac:dyDescent="0.25">
      <c r="Q29007" s="8"/>
    </row>
    <row r="29008" spans="17:17" x14ac:dyDescent="0.25">
      <c r="Q29008" s="8"/>
    </row>
    <row r="29009" spans="17:17" x14ac:dyDescent="0.25">
      <c r="Q29009" s="8"/>
    </row>
    <row r="29010" spans="17:17" x14ac:dyDescent="0.25">
      <c r="Q29010" s="8"/>
    </row>
    <row r="29011" spans="17:17" x14ac:dyDescent="0.25">
      <c r="Q29011" s="8"/>
    </row>
    <row r="29012" spans="17:17" x14ac:dyDescent="0.25">
      <c r="Q29012" s="8"/>
    </row>
    <row r="29013" spans="17:17" x14ac:dyDescent="0.25">
      <c r="Q29013" s="8"/>
    </row>
    <row r="29014" spans="17:17" x14ac:dyDescent="0.25">
      <c r="Q29014" s="8"/>
    </row>
    <row r="29015" spans="17:17" x14ac:dyDescent="0.25">
      <c r="Q29015" s="8"/>
    </row>
    <row r="29016" spans="17:17" x14ac:dyDescent="0.25">
      <c r="Q29016" s="8"/>
    </row>
    <row r="29017" spans="17:17" x14ac:dyDescent="0.25">
      <c r="Q29017" s="8"/>
    </row>
    <row r="29018" spans="17:17" x14ac:dyDescent="0.25">
      <c r="Q29018" s="8"/>
    </row>
    <row r="29019" spans="17:17" x14ac:dyDescent="0.25">
      <c r="Q29019" s="8"/>
    </row>
    <row r="29020" spans="17:17" x14ac:dyDescent="0.25">
      <c r="Q29020" s="8"/>
    </row>
    <row r="29021" spans="17:17" x14ac:dyDescent="0.25">
      <c r="Q29021" s="8"/>
    </row>
    <row r="29022" spans="17:17" x14ac:dyDescent="0.25">
      <c r="Q29022" s="8"/>
    </row>
    <row r="29023" spans="17:17" x14ac:dyDescent="0.25">
      <c r="Q29023" s="8"/>
    </row>
    <row r="29024" spans="17:17" x14ac:dyDescent="0.25">
      <c r="Q29024" s="8"/>
    </row>
    <row r="29025" spans="17:17" x14ac:dyDescent="0.25">
      <c r="Q29025" s="8"/>
    </row>
    <row r="29026" spans="17:17" x14ac:dyDescent="0.25">
      <c r="Q29026" s="8"/>
    </row>
    <row r="29027" spans="17:17" x14ac:dyDescent="0.25">
      <c r="Q29027" s="8"/>
    </row>
    <row r="29028" spans="17:17" x14ac:dyDescent="0.25">
      <c r="Q29028" s="8"/>
    </row>
    <row r="29029" spans="17:17" x14ac:dyDescent="0.25">
      <c r="Q29029" s="8"/>
    </row>
    <row r="29030" spans="17:17" x14ac:dyDescent="0.25">
      <c r="Q29030" s="8"/>
    </row>
    <row r="29031" spans="17:17" x14ac:dyDescent="0.25">
      <c r="Q29031" s="8"/>
    </row>
    <row r="29032" spans="17:17" x14ac:dyDescent="0.25">
      <c r="Q29032" s="8"/>
    </row>
    <row r="29033" spans="17:17" x14ac:dyDescent="0.25">
      <c r="Q29033" s="8"/>
    </row>
    <row r="29034" spans="17:17" x14ac:dyDescent="0.25">
      <c r="Q29034" s="8"/>
    </row>
    <row r="29035" spans="17:17" x14ac:dyDescent="0.25">
      <c r="Q29035" s="8"/>
    </row>
    <row r="29036" spans="17:17" x14ac:dyDescent="0.25">
      <c r="Q29036" s="8"/>
    </row>
    <row r="29037" spans="17:17" x14ac:dyDescent="0.25">
      <c r="Q29037" s="8"/>
    </row>
    <row r="29038" spans="17:17" x14ac:dyDescent="0.25">
      <c r="Q29038" s="8"/>
    </row>
    <row r="29039" spans="17:17" x14ac:dyDescent="0.25">
      <c r="Q29039" s="8"/>
    </row>
    <row r="29040" spans="17:17" x14ac:dyDescent="0.25">
      <c r="Q29040" s="8"/>
    </row>
    <row r="29041" spans="17:17" x14ac:dyDescent="0.25">
      <c r="Q29041" s="8"/>
    </row>
    <row r="29042" spans="17:17" x14ac:dyDescent="0.25">
      <c r="Q29042" s="8"/>
    </row>
    <row r="29043" spans="17:17" x14ac:dyDescent="0.25">
      <c r="Q29043" s="8"/>
    </row>
    <row r="29044" spans="17:17" x14ac:dyDescent="0.25">
      <c r="Q29044" s="8"/>
    </row>
    <row r="29045" spans="17:17" x14ac:dyDescent="0.25">
      <c r="Q29045" s="8"/>
    </row>
    <row r="29046" spans="17:17" x14ac:dyDescent="0.25">
      <c r="Q29046" s="8"/>
    </row>
    <row r="29047" spans="17:17" x14ac:dyDescent="0.25">
      <c r="Q29047" s="8"/>
    </row>
    <row r="29048" spans="17:17" x14ac:dyDescent="0.25">
      <c r="Q29048" s="8"/>
    </row>
    <row r="29049" spans="17:17" x14ac:dyDescent="0.25">
      <c r="Q29049" s="8"/>
    </row>
    <row r="29050" spans="17:17" x14ac:dyDescent="0.25">
      <c r="Q29050" s="8"/>
    </row>
    <row r="29051" spans="17:17" x14ac:dyDescent="0.25">
      <c r="Q29051" s="8"/>
    </row>
    <row r="29052" spans="17:17" x14ac:dyDescent="0.25">
      <c r="Q29052" s="8"/>
    </row>
    <row r="29053" spans="17:17" x14ac:dyDescent="0.25">
      <c r="Q29053" s="8"/>
    </row>
    <row r="29054" spans="17:17" x14ac:dyDescent="0.25">
      <c r="Q29054" s="8"/>
    </row>
    <row r="29055" spans="17:17" x14ac:dyDescent="0.25">
      <c r="Q29055" s="8"/>
    </row>
    <row r="29056" spans="17:17" x14ac:dyDescent="0.25">
      <c r="Q29056" s="8"/>
    </row>
    <row r="29057" spans="17:17" x14ac:dyDescent="0.25">
      <c r="Q29057" s="8"/>
    </row>
    <row r="29058" spans="17:17" x14ac:dyDescent="0.25">
      <c r="Q29058" s="8"/>
    </row>
    <row r="29059" spans="17:17" x14ac:dyDescent="0.25">
      <c r="Q29059" s="8"/>
    </row>
    <row r="29060" spans="17:17" x14ac:dyDescent="0.25">
      <c r="Q29060" s="8"/>
    </row>
    <row r="29061" spans="17:17" x14ac:dyDescent="0.25">
      <c r="Q29061" s="8"/>
    </row>
    <row r="29062" spans="17:17" x14ac:dyDescent="0.25">
      <c r="Q29062" s="8"/>
    </row>
    <row r="29063" spans="17:17" x14ac:dyDescent="0.25">
      <c r="Q29063" s="8"/>
    </row>
    <row r="29064" spans="17:17" x14ac:dyDescent="0.25">
      <c r="Q29064" s="8"/>
    </row>
    <row r="29065" spans="17:17" x14ac:dyDescent="0.25">
      <c r="Q29065" s="8"/>
    </row>
    <row r="29066" spans="17:17" x14ac:dyDescent="0.25">
      <c r="Q29066" s="8"/>
    </row>
    <row r="29067" spans="17:17" x14ac:dyDescent="0.25">
      <c r="Q29067" s="8"/>
    </row>
    <row r="29068" spans="17:17" x14ac:dyDescent="0.25">
      <c r="Q29068" s="8"/>
    </row>
    <row r="29069" spans="17:17" x14ac:dyDescent="0.25">
      <c r="Q29069" s="8"/>
    </row>
    <row r="29070" spans="17:17" x14ac:dyDescent="0.25">
      <c r="Q29070" s="8"/>
    </row>
    <row r="29071" spans="17:17" x14ac:dyDescent="0.25">
      <c r="Q29071" s="8"/>
    </row>
    <row r="29072" spans="17:17" x14ac:dyDescent="0.25">
      <c r="Q29072" s="8"/>
    </row>
    <row r="29073" spans="17:17" x14ac:dyDescent="0.25">
      <c r="Q29073" s="8"/>
    </row>
    <row r="29074" spans="17:17" x14ac:dyDescent="0.25">
      <c r="Q29074" s="8"/>
    </row>
    <row r="29075" spans="17:17" x14ac:dyDescent="0.25">
      <c r="Q29075" s="8"/>
    </row>
    <row r="29076" spans="17:17" x14ac:dyDescent="0.25">
      <c r="Q29076" s="8"/>
    </row>
    <row r="29077" spans="17:17" x14ac:dyDescent="0.25">
      <c r="Q29077" s="8"/>
    </row>
    <row r="29078" spans="17:17" x14ac:dyDescent="0.25">
      <c r="Q29078" s="8"/>
    </row>
    <row r="29079" spans="17:17" x14ac:dyDescent="0.25">
      <c r="Q29079" s="8"/>
    </row>
    <row r="29080" spans="17:17" x14ac:dyDescent="0.25">
      <c r="Q29080" s="8"/>
    </row>
    <row r="29081" spans="17:17" x14ac:dyDescent="0.25">
      <c r="Q29081" s="8"/>
    </row>
    <row r="29082" spans="17:17" x14ac:dyDescent="0.25">
      <c r="Q29082" s="8"/>
    </row>
    <row r="29083" spans="17:17" x14ac:dyDescent="0.25">
      <c r="Q29083" s="8"/>
    </row>
    <row r="29084" spans="17:17" x14ac:dyDescent="0.25">
      <c r="Q29084" s="8"/>
    </row>
    <row r="29085" spans="17:17" x14ac:dyDescent="0.25">
      <c r="Q29085" s="8"/>
    </row>
    <row r="29086" spans="17:17" x14ac:dyDescent="0.25">
      <c r="Q29086" s="8"/>
    </row>
    <row r="29087" spans="17:17" x14ac:dyDescent="0.25">
      <c r="Q29087" s="8"/>
    </row>
    <row r="29088" spans="17:17" x14ac:dyDescent="0.25">
      <c r="Q29088" s="8"/>
    </row>
    <row r="29089" spans="17:17" x14ac:dyDescent="0.25">
      <c r="Q29089" s="8"/>
    </row>
    <row r="29090" spans="17:17" x14ac:dyDescent="0.25">
      <c r="Q29090" s="8"/>
    </row>
    <row r="29091" spans="17:17" x14ac:dyDescent="0.25">
      <c r="Q29091" s="8"/>
    </row>
    <row r="29092" spans="17:17" x14ac:dyDescent="0.25">
      <c r="Q29092" s="8"/>
    </row>
    <row r="29093" spans="17:17" x14ac:dyDescent="0.25">
      <c r="Q29093" s="8"/>
    </row>
    <row r="29094" spans="17:17" x14ac:dyDescent="0.25">
      <c r="Q29094" s="8"/>
    </row>
    <row r="29095" spans="17:17" x14ac:dyDescent="0.25">
      <c r="Q29095" s="8"/>
    </row>
    <row r="29096" spans="17:17" x14ac:dyDescent="0.25">
      <c r="Q29096" s="8"/>
    </row>
    <row r="29097" spans="17:17" x14ac:dyDescent="0.25">
      <c r="Q29097" s="8"/>
    </row>
    <row r="29098" spans="17:17" x14ac:dyDescent="0.25">
      <c r="Q29098" s="8"/>
    </row>
    <row r="29099" spans="17:17" x14ac:dyDescent="0.25">
      <c r="Q29099" s="8"/>
    </row>
    <row r="29100" spans="17:17" x14ac:dyDescent="0.25">
      <c r="Q29100" s="8"/>
    </row>
    <row r="29101" spans="17:17" x14ac:dyDescent="0.25">
      <c r="Q29101" s="8"/>
    </row>
    <row r="29102" spans="17:17" x14ac:dyDescent="0.25">
      <c r="Q29102" s="8"/>
    </row>
    <row r="29103" spans="17:17" x14ac:dyDescent="0.25">
      <c r="Q29103" s="8"/>
    </row>
    <row r="29104" spans="17:17" x14ac:dyDescent="0.25">
      <c r="Q29104" s="8"/>
    </row>
    <row r="29105" spans="17:17" x14ac:dyDescent="0.25">
      <c r="Q29105" s="8"/>
    </row>
    <row r="29106" spans="17:17" x14ac:dyDescent="0.25">
      <c r="Q29106" s="8"/>
    </row>
    <row r="29107" spans="17:17" x14ac:dyDescent="0.25">
      <c r="Q29107" s="8"/>
    </row>
    <row r="29108" spans="17:17" x14ac:dyDescent="0.25">
      <c r="Q29108" s="8"/>
    </row>
    <row r="29109" spans="17:17" x14ac:dyDescent="0.25">
      <c r="Q29109" s="8"/>
    </row>
    <row r="29110" spans="17:17" x14ac:dyDescent="0.25">
      <c r="Q29110" s="8"/>
    </row>
    <row r="29111" spans="17:17" x14ac:dyDescent="0.25">
      <c r="Q29111" s="8"/>
    </row>
    <row r="29112" spans="17:17" x14ac:dyDescent="0.25">
      <c r="Q29112" s="8"/>
    </row>
    <row r="29113" spans="17:17" x14ac:dyDescent="0.25">
      <c r="Q29113" s="8"/>
    </row>
    <row r="29114" spans="17:17" x14ac:dyDescent="0.25">
      <c r="Q29114" s="8"/>
    </row>
    <row r="29115" spans="17:17" x14ac:dyDescent="0.25">
      <c r="Q29115" s="8"/>
    </row>
    <row r="29116" spans="17:17" x14ac:dyDescent="0.25">
      <c r="Q29116" s="8"/>
    </row>
    <row r="29117" spans="17:17" x14ac:dyDescent="0.25">
      <c r="Q29117" s="8"/>
    </row>
    <row r="29118" spans="17:17" x14ac:dyDescent="0.25">
      <c r="Q29118" s="8"/>
    </row>
    <row r="29119" spans="17:17" x14ac:dyDescent="0.25">
      <c r="Q29119" s="8"/>
    </row>
    <row r="29120" spans="17:17" x14ac:dyDescent="0.25">
      <c r="Q29120" s="8"/>
    </row>
    <row r="29121" spans="17:17" x14ac:dyDescent="0.25">
      <c r="Q29121" s="8"/>
    </row>
    <row r="29122" spans="17:17" x14ac:dyDescent="0.25">
      <c r="Q29122" s="8"/>
    </row>
    <row r="29123" spans="17:17" x14ac:dyDescent="0.25">
      <c r="Q29123" s="8"/>
    </row>
    <row r="29124" spans="17:17" x14ac:dyDescent="0.25">
      <c r="Q29124" s="8"/>
    </row>
    <row r="29125" spans="17:17" x14ac:dyDescent="0.25">
      <c r="Q29125" s="8"/>
    </row>
    <row r="29126" spans="17:17" x14ac:dyDescent="0.25">
      <c r="Q29126" s="8"/>
    </row>
    <row r="29127" spans="17:17" x14ac:dyDescent="0.25">
      <c r="Q29127" s="8"/>
    </row>
    <row r="29128" spans="17:17" x14ac:dyDescent="0.25">
      <c r="Q29128" s="8"/>
    </row>
    <row r="29129" spans="17:17" x14ac:dyDescent="0.25">
      <c r="Q29129" s="8"/>
    </row>
    <row r="29130" spans="17:17" x14ac:dyDescent="0.25">
      <c r="Q29130" s="8"/>
    </row>
    <row r="29131" spans="17:17" x14ac:dyDescent="0.25">
      <c r="Q29131" s="8"/>
    </row>
    <row r="29132" spans="17:17" x14ac:dyDescent="0.25">
      <c r="Q29132" s="8"/>
    </row>
    <row r="29133" spans="17:17" x14ac:dyDescent="0.25">
      <c r="Q29133" s="8"/>
    </row>
    <row r="29134" spans="17:17" x14ac:dyDescent="0.25">
      <c r="Q29134" s="8"/>
    </row>
    <row r="29135" spans="17:17" x14ac:dyDescent="0.25">
      <c r="Q29135" s="8"/>
    </row>
    <row r="29136" spans="17:17" x14ac:dyDescent="0.25">
      <c r="Q29136" s="8"/>
    </row>
    <row r="29137" spans="17:17" x14ac:dyDescent="0.25">
      <c r="Q29137" s="8"/>
    </row>
    <row r="29138" spans="17:17" x14ac:dyDescent="0.25">
      <c r="Q29138" s="8"/>
    </row>
    <row r="29139" spans="17:17" x14ac:dyDescent="0.25">
      <c r="Q29139" s="8"/>
    </row>
    <row r="29140" spans="17:17" x14ac:dyDescent="0.25">
      <c r="Q29140" s="8"/>
    </row>
    <row r="29141" spans="17:17" x14ac:dyDescent="0.25">
      <c r="Q29141" s="8"/>
    </row>
    <row r="29142" spans="17:17" x14ac:dyDescent="0.25">
      <c r="Q29142" s="8"/>
    </row>
    <row r="29143" spans="17:17" x14ac:dyDescent="0.25">
      <c r="Q29143" s="8"/>
    </row>
    <row r="29144" spans="17:17" x14ac:dyDescent="0.25">
      <c r="Q29144" s="8"/>
    </row>
    <row r="29145" spans="17:17" x14ac:dyDescent="0.25">
      <c r="Q29145" s="8"/>
    </row>
    <row r="29146" spans="17:17" x14ac:dyDescent="0.25">
      <c r="Q29146" s="8"/>
    </row>
    <row r="29147" spans="17:17" x14ac:dyDescent="0.25">
      <c r="Q29147" s="8"/>
    </row>
    <row r="29148" spans="17:17" x14ac:dyDescent="0.25">
      <c r="Q29148" s="8"/>
    </row>
    <row r="29149" spans="17:17" x14ac:dyDescent="0.25">
      <c r="Q29149" s="8"/>
    </row>
    <row r="29150" spans="17:17" x14ac:dyDescent="0.25">
      <c r="Q29150" s="8"/>
    </row>
    <row r="29151" spans="17:17" x14ac:dyDescent="0.25">
      <c r="Q29151" s="8"/>
    </row>
    <row r="29152" spans="17:17" x14ac:dyDescent="0.25">
      <c r="Q29152" s="8"/>
    </row>
    <row r="29153" spans="17:17" x14ac:dyDescent="0.25">
      <c r="Q29153" s="8"/>
    </row>
    <row r="29154" spans="17:17" x14ac:dyDescent="0.25">
      <c r="Q29154" s="8"/>
    </row>
    <row r="29155" spans="17:17" x14ac:dyDescent="0.25">
      <c r="Q29155" s="8"/>
    </row>
    <row r="29156" spans="17:17" x14ac:dyDescent="0.25">
      <c r="Q29156" s="8"/>
    </row>
    <row r="29157" spans="17:17" x14ac:dyDescent="0.25">
      <c r="Q29157" s="8"/>
    </row>
    <row r="29158" spans="17:17" x14ac:dyDescent="0.25">
      <c r="Q29158" s="8"/>
    </row>
    <row r="29159" spans="17:17" x14ac:dyDescent="0.25">
      <c r="Q29159" s="8"/>
    </row>
    <row r="29160" spans="17:17" x14ac:dyDescent="0.25">
      <c r="Q29160" s="8"/>
    </row>
    <row r="29161" spans="17:17" x14ac:dyDescent="0.25">
      <c r="Q29161" s="8"/>
    </row>
    <row r="29162" spans="17:17" x14ac:dyDescent="0.25">
      <c r="Q29162" s="8"/>
    </row>
    <row r="29163" spans="17:17" x14ac:dyDescent="0.25">
      <c r="Q29163" s="8"/>
    </row>
    <row r="29164" spans="17:17" x14ac:dyDescent="0.25">
      <c r="Q29164" s="8"/>
    </row>
    <row r="29165" spans="17:17" x14ac:dyDescent="0.25">
      <c r="Q29165" s="8"/>
    </row>
    <row r="29166" spans="17:17" x14ac:dyDescent="0.25">
      <c r="Q29166" s="8"/>
    </row>
    <row r="29167" spans="17:17" x14ac:dyDescent="0.25">
      <c r="Q29167" s="8"/>
    </row>
    <row r="29168" spans="17:17" x14ac:dyDescent="0.25">
      <c r="Q29168" s="8"/>
    </row>
    <row r="29169" spans="17:17" x14ac:dyDescent="0.25">
      <c r="Q29169" s="8"/>
    </row>
    <row r="29170" spans="17:17" x14ac:dyDescent="0.25">
      <c r="Q29170" s="8"/>
    </row>
    <row r="29171" spans="17:17" x14ac:dyDescent="0.25">
      <c r="Q29171" s="8"/>
    </row>
    <row r="29172" spans="17:17" x14ac:dyDescent="0.25">
      <c r="Q29172" s="8"/>
    </row>
    <row r="29173" spans="17:17" x14ac:dyDescent="0.25">
      <c r="Q29173" s="8"/>
    </row>
    <row r="29174" spans="17:17" x14ac:dyDescent="0.25">
      <c r="Q29174" s="8"/>
    </row>
    <row r="29175" spans="17:17" x14ac:dyDescent="0.25">
      <c r="Q29175" s="8"/>
    </row>
    <row r="29176" spans="17:17" x14ac:dyDescent="0.25">
      <c r="Q29176" s="8"/>
    </row>
    <row r="29177" spans="17:17" x14ac:dyDescent="0.25">
      <c r="Q29177" s="8"/>
    </row>
    <row r="29178" spans="17:17" x14ac:dyDescent="0.25">
      <c r="Q29178" s="8"/>
    </row>
    <row r="29179" spans="17:17" x14ac:dyDescent="0.25">
      <c r="Q29179" s="8"/>
    </row>
    <row r="29180" spans="17:17" x14ac:dyDescent="0.25">
      <c r="Q29180" s="8"/>
    </row>
    <row r="29181" spans="17:17" x14ac:dyDescent="0.25">
      <c r="Q29181" s="8"/>
    </row>
    <row r="29182" spans="17:17" x14ac:dyDescent="0.25">
      <c r="Q29182" s="8"/>
    </row>
    <row r="29183" spans="17:17" x14ac:dyDescent="0.25">
      <c r="Q29183" s="8"/>
    </row>
    <row r="29184" spans="17:17" x14ac:dyDescent="0.25">
      <c r="Q29184" s="8"/>
    </row>
    <row r="29185" spans="17:17" x14ac:dyDescent="0.25">
      <c r="Q29185" s="8"/>
    </row>
    <row r="29186" spans="17:17" x14ac:dyDescent="0.25">
      <c r="Q29186" s="8"/>
    </row>
    <row r="29187" spans="17:17" x14ac:dyDescent="0.25">
      <c r="Q29187" s="8"/>
    </row>
    <row r="29188" spans="17:17" x14ac:dyDescent="0.25">
      <c r="Q29188" s="8"/>
    </row>
    <row r="29189" spans="17:17" x14ac:dyDescent="0.25">
      <c r="Q29189" s="8"/>
    </row>
    <row r="29190" spans="17:17" x14ac:dyDescent="0.25">
      <c r="Q29190" s="8"/>
    </row>
    <row r="29191" spans="17:17" x14ac:dyDescent="0.25">
      <c r="Q29191" s="8"/>
    </row>
    <row r="29192" spans="17:17" x14ac:dyDescent="0.25">
      <c r="Q29192" s="8"/>
    </row>
    <row r="29193" spans="17:17" x14ac:dyDescent="0.25">
      <c r="Q29193" s="8"/>
    </row>
    <row r="29194" spans="17:17" x14ac:dyDescent="0.25">
      <c r="Q29194" s="8"/>
    </row>
    <row r="29195" spans="17:17" x14ac:dyDescent="0.25">
      <c r="Q29195" s="8"/>
    </row>
    <row r="29196" spans="17:17" x14ac:dyDescent="0.25">
      <c r="Q29196" s="8"/>
    </row>
    <row r="29197" spans="17:17" x14ac:dyDescent="0.25">
      <c r="Q29197" s="8"/>
    </row>
    <row r="29198" spans="17:17" x14ac:dyDescent="0.25">
      <c r="Q29198" s="8"/>
    </row>
    <row r="29199" spans="17:17" x14ac:dyDescent="0.25">
      <c r="Q29199" s="8"/>
    </row>
    <row r="29200" spans="17:17" x14ac:dyDescent="0.25">
      <c r="Q29200" s="8"/>
    </row>
    <row r="29201" spans="17:17" x14ac:dyDescent="0.25">
      <c r="Q29201" s="8"/>
    </row>
    <row r="29202" spans="17:17" x14ac:dyDescent="0.25">
      <c r="Q29202" s="8"/>
    </row>
    <row r="29203" spans="17:17" x14ac:dyDescent="0.25">
      <c r="Q29203" s="8"/>
    </row>
    <row r="29204" spans="17:17" x14ac:dyDescent="0.25">
      <c r="Q29204" s="8"/>
    </row>
    <row r="29205" spans="17:17" x14ac:dyDescent="0.25">
      <c r="Q29205" s="8"/>
    </row>
    <row r="29206" spans="17:17" x14ac:dyDescent="0.25">
      <c r="Q29206" s="8"/>
    </row>
    <row r="29207" spans="17:17" x14ac:dyDescent="0.25">
      <c r="Q29207" s="8"/>
    </row>
    <row r="29208" spans="17:17" x14ac:dyDescent="0.25">
      <c r="Q29208" s="8"/>
    </row>
    <row r="29209" spans="17:17" x14ac:dyDescent="0.25">
      <c r="Q29209" s="8"/>
    </row>
    <row r="29210" spans="17:17" x14ac:dyDescent="0.25">
      <c r="Q29210" s="8"/>
    </row>
    <row r="29211" spans="17:17" x14ac:dyDescent="0.25">
      <c r="Q29211" s="8"/>
    </row>
    <row r="29212" spans="17:17" x14ac:dyDescent="0.25">
      <c r="Q29212" s="8"/>
    </row>
    <row r="29213" spans="17:17" x14ac:dyDescent="0.25">
      <c r="Q29213" s="8"/>
    </row>
    <row r="29214" spans="17:17" x14ac:dyDescent="0.25">
      <c r="Q29214" s="8"/>
    </row>
    <row r="29215" spans="17:17" x14ac:dyDescent="0.25">
      <c r="Q29215" s="8"/>
    </row>
    <row r="29216" spans="17:17" x14ac:dyDescent="0.25">
      <c r="Q29216" s="8"/>
    </row>
    <row r="29217" spans="17:17" x14ac:dyDescent="0.25">
      <c r="Q29217" s="8"/>
    </row>
    <row r="29218" spans="17:17" x14ac:dyDescent="0.25">
      <c r="Q29218" s="8"/>
    </row>
    <row r="29219" spans="17:17" x14ac:dyDescent="0.25">
      <c r="Q29219" s="8"/>
    </row>
    <row r="29220" spans="17:17" x14ac:dyDescent="0.25">
      <c r="Q29220" s="8"/>
    </row>
    <row r="29221" spans="17:17" x14ac:dyDescent="0.25">
      <c r="Q29221" s="8"/>
    </row>
    <row r="29222" spans="17:17" x14ac:dyDescent="0.25">
      <c r="Q29222" s="8"/>
    </row>
    <row r="29223" spans="17:17" x14ac:dyDescent="0.25">
      <c r="Q29223" s="8"/>
    </row>
    <row r="29224" spans="17:17" x14ac:dyDescent="0.25">
      <c r="Q29224" s="8"/>
    </row>
    <row r="29225" spans="17:17" x14ac:dyDescent="0.25">
      <c r="Q29225" s="8"/>
    </row>
    <row r="29226" spans="17:17" x14ac:dyDescent="0.25">
      <c r="Q29226" s="8"/>
    </row>
    <row r="29227" spans="17:17" x14ac:dyDescent="0.25">
      <c r="Q29227" s="8"/>
    </row>
    <row r="29228" spans="17:17" x14ac:dyDescent="0.25">
      <c r="Q29228" s="8"/>
    </row>
    <row r="29229" spans="17:17" x14ac:dyDescent="0.25">
      <c r="Q29229" s="8"/>
    </row>
    <row r="29230" spans="17:17" x14ac:dyDescent="0.25">
      <c r="Q29230" s="8"/>
    </row>
    <row r="29231" spans="17:17" x14ac:dyDescent="0.25">
      <c r="Q29231" s="8"/>
    </row>
    <row r="29232" spans="17:17" x14ac:dyDescent="0.25">
      <c r="Q29232" s="8"/>
    </row>
    <row r="29233" spans="17:17" x14ac:dyDescent="0.25">
      <c r="Q29233" s="8"/>
    </row>
    <row r="29234" spans="17:17" x14ac:dyDescent="0.25">
      <c r="Q29234" s="8"/>
    </row>
    <row r="29235" spans="17:17" x14ac:dyDescent="0.25">
      <c r="Q29235" s="8"/>
    </row>
    <row r="29236" spans="17:17" x14ac:dyDescent="0.25">
      <c r="Q29236" s="8"/>
    </row>
    <row r="29237" spans="17:17" x14ac:dyDescent="0.25">
      <c r="Q29237" s="8"/>
    </row>
    <row r="29238" spans="17:17" x14ac:dyDescent="0.25">
      <c r="Q29238" s="8"/>
    </row>
    <row r="29239" spans="17:17" x14ac:dyDescent="0.25">
      <c r="Q29239" s="8"/>
    </row>
    <row r="29240" spans="17:17" x14ac:dyDescent="0.25">
      <c r="Q29240" s="8"/>
    </row>
    <row r="29241" spans="17:17" x14ac:dyDescent="0.25">
      <c r="Q29241" s="8"/>
    </row>
    <row r="29242" spans="17:17" x14ac:dyDescent="0.25">
      <c r="Q29242" s="8"/>
    </row>
    <row r="29243" spans="17:17" x14ac:dyDescent="0.25">
      <c r="Q29243" s="8"/>
    </row>
    <row r="29244" spans="17:17" x14ac:dyDescent="0.25">
      <c r="Q29244" s="8"/>
    </row>
    <row r="29245" spans="17:17" x14ac:dyDescent="0.25">
      <c r="Q29245" s="8"/>
    </row>
    <row r="29246" spans="17:17" x14ac:dyDescent="0.25">
      <c r="Q29246" s="8"/>
    </row>
    <row r="29247" spans="17:17" x14ac:dyDescent="0.25">
      <c r="Q29247" s="8"/>
    </row>
    <row r="29248" spans="17:17" x14ac:dyDescent="0.25">
      <c r="Q29248" s="8"/>
    </row>
    <row r="29249" spans="17:17" x14ac:dyDescent="0.25">
      <c r="Q29249" s="8"/>
    </row>
    <row r="29250" spans="17:17" x14ac:dyDescent="0.25">
      <c r="Q29250" s="8"/>
    </row>
    <row r="29251" spans="17:17" x14ac:dyDescent="0.25">
      <c r="Q29251" s="8"/>
    </row>
    <row r="29252" spans="17:17" x14ac:dyDescent="0.25">
      <c r="Q29252" s="8"/>
    </row>
    <row r="29253" spans="17:17" x14ac:dyDescent="0.25">
      <c r="Q29253" s="8"/>
    </row>
    <row r="29254" spans="17:17" x14ac:dyDescent="0.25">
      <c r="Q29254" s="8"/>
    </row>
    <row r="29255" spans="17:17" x14ac:dyDescent="0.25">
      <c r="Q29255" s="8"/>
    </row>
    <row r="29256" spans="17:17" x14ac:dyDescent="0.25">
      <c r="Q29256" s="8"/>
    </row>
    <row r="29257" spans="17:17" x14ac:dyDescent="0.25">
      <c r="Q29257" s="8"/>
    </row>
    <row r="29258" spans="17:17" x14ac:dyDescent="0.25">
      <c r="Q29258" s="8"/>
    </row>
    <row r="29259" spans="17:17" x14ac:dyDescent="0.25">
      <c r="Q29259" s="8"/>
    </row>
    <row r="29260" spans="17:17" x14ac:dyDescent="0.25">
      <c r="Q29260" s="8"/>
    </row>
    <row r="29261" spans="17:17" x14ac:dyDescent="0.25">
      <c r="Q29261" s="8"/>
    </row>
    <row r="29262" spans="17:17" x14ac:dyDescent="0.25">
      <c r="Q29262" s="8"/>
    </row>
    <row r="29263" spans="17:17" x14ac:dyDescent="0.25">
      <c r="Q29263" s="8"/>
    </row>
    <row r="29264" spans="17:17" x14ac:dyDescent="0.25">
      <c r="Q29264" s="8"/>
    </row>
    <row r="29265" spans="17:17" x14ac:dyDescent="0.25">
      <c r="Q29265" s="8"/>
    </row>
    <row r="29266" spans="17:17" x14ac:dyDescent="0.25">
      <c r="Q29266" s="8"/>
    </row>
    <row r="29267" spans="17:17" x14ac:dyDescent="0.25">
      <c r="Q29267" s="8"/>
    </row>
    <row r="29268" spans="17:17" x14ac:dyDescent="0.25">
      <c r="Q29268" s="8"/>
    </row>
    <row r="29269" spans="17:17" x14ac:dyDescent="0.25">
      <c r="Q29269" s="8"/>
    </row>
    <row r="29270" spans="17:17" x14ac:dyDescent="0.25">
      <c r="Q29270" s="8"/>
    </row>
    <row r="29271" spans="17:17" x14ac:dyDescent="0.25">
      <c r="Q29271" s="8"/>
    </row>
    <row r="29272" spans="17:17" x14ac:dyDescent="0.25">
      <c r="Q29272" s="8"/>
    </row>
    <row r="29273" spans="17:17" x14ac:dyDescent="0.25">
      <c r="Q29273" s="8"/>
    </row>
    <row r="29274" spans="17:17" x14ac:dyDescent="0.25">
      <c r="Q29274" s="8"/>
    </row>
    <row r="29275" spans="17:17" x14ac:dyDescent="0.25">
      <c r="Q29275" s="8"/>
    </row>
    <row r="29276" spans="17:17" x14ac:dyDescent="0.25">
      <c r="Q29276" s="8"/>
    </row>
    <row r="29277" spans="17:17" x14ac:dyDescent="0.25">
      <c r="Q29277" s="8"/>
    </row>
    <row r="29278" spans="17:17" x14ac:dyDescent="0.25">
      <c r="Q29278" s="8"/>
    </row>
    <row r="29279" spans="17:17" x14ac:dyDescent="0.25">
      <c r="Q29279" s="8"/>
    </row>
    <row r="29280" spans="17:17" x14ac:dyDescent="0.25">
      <c r="Q29280" s="8"/>
    </row>
    <row r="29281" spans="17:17" x14ac:dyDescent="0.25">
      <c r="Q29281" s="8"/>
    </row>
    <row r="29282" spans="17:17" x14ac:dyDescent="0.25">
      <c r="Q29282" s="8"/>
    </row>
    <row r="29283" spans="17:17" x14ac:dyDescent="0.25">
      <c r="Q29283" s="8"/>
    </row>
    <row r="29284" spans="17:17" x14ac:dyDescent="0.25">
      <c r="Q29284" s="8"/>
    </row>
    <row r="29285" spans="17:17" x14ac:dyDescent="0.25">
      <c r="Q29285" s="8"/>
    </row>
    <row r="29286" spans="17:17" x14ac:dyDescent="0.25">
      <c r="Q29286" s="8"/>
    </row>
    <row r="29287" spans="17:17" x14ac:dyDescent="0.25">
      <c r="Q29287" s="8"/>
    </row>
    <row r="29288" spans="17:17" x14ac:dyDescent="0.25">
      <c r="Q29288" s="8"/>
    </row>
    <row r="29289" spans="17:17" x14ac:dyDescent="0.25">
      <c r="Q29289" s="8"/>
    </row>
    <row r="29290" spans="17:17" x14ac:dyDescent="0.25">
      <c r="Q29290" s="8"/>
    </row>
    <row r="29291" spans="17:17" x14ac:dyDescent="0.25">
      <c r="Q29291" s="8"/>
    </row>
    <row r="29292" spans="17:17" x14ac:dyDescent="0.25">
      <c r="Q29292" s="8"/>
    </row>
    <row r="29293" spans="17:17" x14ac:dyDescent="0.25">
      <c r="Q29293" s="8"/>
    </row>
    <row r="29294" spans="17:17" x14ac:dyDescent="0.25">
      <c r="Q29294" s="8"/>
    </row>
    <row r="29295" spans="17:17" x14ac:dyDescent="0.25">
      <c r="Q29295" s="8"/>
    </row>
    <row r="29296" spans="17:17" x14ac:dyDescent="0.25">
      <c r="Q29296" s="8"/>
    </row>
    <row r="29297" spans="17:17" x14ac:dyDescent="0.25">
      <c r="Q29297" s="8"/>
    </row>
    <row r="29298" spans="17:17" x14ac:dyDescent="0.25">
      <c r="Q29298" s="8"/>
    </row>
    <row r="29299" spans="17:17" x14ac:dyDescent="0.25">
      <c r="Q29299" s="8"/>
    </row>
    <row r="29300" spans="17:17" x14ac:dyDescent="0.25">
      <c r="Q29300" s="8"/>
    </row>
    <row r="29301" spans="17:17" x14ac:dyDescent="0.25">
      <c r="Q29301" s="8"/>
    </row>
    <row r="29302" spans="17:17" x14ac:dyDescent="0.25">
      <c r="Q29302" s="8"/>
    </row>
    <row r="29303" spans="17:17" x14ac:dyDescent="0.25">
      <c r="Q29303" s="8"/>
    </row>
    <row r="29304" spans="17:17" x14ac:dyDescent="0.25">
      <c r="Q29304" s="8"/>
    </row>
    <row r="29305" spans="17:17" x14ac:dyDescent="0.25">
      <c r="Q29305" s="8"/>
    </row>
    <row r="29306" spans="17:17" x14ac:dyDescent="0.25">
      <c r="Q29306" s="8"/>
    </row>
    <row r="29307" spans="17:17" x14ac:dyDescent="0.25">
      <c r="Q29307" s="8"/>
    </row>
    <row r="29308" spans="17:17" x14ac:dyDescent="0.25">
      <c r="Q29308" s="8"/>
    </row>
    <row r="29309" spans="17:17" x14ac:dyDescent="0.25">
      <c r="Q29309" s="8"/>
    </row>
    <row r="29310" spans="17:17" x14ac:dyDescent="0.25">
      <c r="Q29310" s="8"/>
    </row>
    <row r="29311" spans="17:17" x14ac:dyDescent="0.25">
      <c r="Q29311" s="8"/>
    </row>
    <row r="29312" spans="17:17" x14ac:dyDescent="0.25">
      <c r="Q29312" s="8"/>
    </row>
    <row r="29313" spans="17:17" x14ac:dyDescent="0.25">
      <c r="Q29313" s="8"/>
    </row>
    <row r="29314" spans="17:17" x14ac:dyDescent="0.25">
      <c r="Q29314" s="8"/>
    </row>
    <row r="29315" spans="17:17" x14ac:dyDescent="0.25">
      <c r="Q29315" s="8"/>
    </row>
    <row r="29316" spans="17:17" x14ac:dyDescent="0.25">
      <c r="Q29316" s="8"/>
    </row>
    <row r="29317" spans="17:17" x14ac:dyDescent="0.25">
      <c r="Q29317" s="8"/>
    </row>
    <row r="29318" spans="17:17" x14ac:dyDescent="0.25">
      <c r="Q29318" s="8"/>
    </row>
    <row r="29319" spans="17:17" x14ac:dyDescent="0.25">
      <c r="Q29319" s="8"/>
    </row>
    <row r="29320" spans="17:17" x14ac:dyDescent="0.25">
      <c r="Q29320" s="8"/>
    </row>
    <row r="29321" spans="17:17" x14ac:dyDescent="0.25">
      <c r="Q29321" s="8"/>
    </row>
    <row r="29322" spans="17:17" x14ac:dyDescent="0.25">
      <c r="Q29322" s="8"/>
    </row>
    <row r="29323" spans="17:17" x14ac:dyDescent="0.25">
      <c r="Q29323" s="8"/>
    </row>
    <row r="29324" spans="17:17" x14ac:dyDescent="0.25">
      <c r="Q29324" s="8"/>
    </row>
    <row r="29325" spans="17:17" x14ac:dyDescent="0.25">
      <c r="Q29325" s="8"/>
    </row>
    <row r="29326" spans="17:17" x14ac:dyDescent="0.25">
      <c r="Q29326" s="8"/>
    </row>
    <row r="29327" spans="17:17" x14ac:dyDescent="0.25">
      <c r="Q29327" s="8"/>
    </row>
    <row r="29328" spans="17:17" x14ac:dyDescent="0.25">
      <c r="Q29328" s="8"/>
    </row>
    <row r="29329" spans="17:17" x14ac:dyDescent="0.25">
      <c r="Q29329" s="8"/>
    </row>
    <row r="29330" spans="17:17" x14ac:dyDescent="0.25">
      <c r="Q29330" s="8"/>
    </row>
    <row r="29331" spans="17:17" x14ac:dyDescent="0.25">
      <c r="Q29331" s="8"/>
    </row>
    <row r="29332" spans="17:17" x14ac:dyDescent="0.25">
      <c r="Q29332" s="8"/>
    </row>
    <row r="29333" spans="17:17" x14ac:dyDescent="0.25">
      <c r="Q29333" s="8"/>
    </row>
    <row r="29334" spans="17:17" x14ac:dyDescent="0.25">
      <c r="Q29334" s="8"/>
    </row>
    <row r="29335" spans="17:17" x14ac:dyDescent="0.25">
      <c r="Q29335" s="8"/>
    </row>
    <row r="29336" spans="17:17" x14ac:dyDescent="0.25">
      <c r="Q29336" s="8"/>
    </row>
    <row r="29337" spans="17:17" x14ac:dyDescent="0.25">
      <c r="Q29337" s="8"/>
    </row>
    <row r="29338" spans="17:17" x14ac:dyDescent="0.25">
      <c r="Q29338" s="8"/>
    </row>
    <row r="29339" spans="17:17" x14ac:dyDescent="0.25">
      <c r="Q29339" s="8"/>
    </row>
    <row r="29340" spans="17:17" x14ac:dyDescent="0.25">
      <c r="Q29340" s="8"/>
    </row>
    <row r="29341" spans="17:17" x14ac:dyDescent="0.25">
      <c r="Q29341" s="8"/>
    </row>
    <row r="29342" spans="17:17" x14ac:dyDescent="0.25">
      <c r="Q29342" s="8"/>
    </row>
    <row r="29343" spans="17:17" x14ac:dyDescent="0.25">
      <c r="Q29343" s="8"/>
    </row>
    <row r="29344" spans="17:17" x14ac:dyDescent="0.25">
      <c r="Q29344" s="8"/>
    </row>
    <row r="29345" spans="17:17" x14ac:dyDescent="0.25">
      <c r="Q29345" s="8"/>
    </row>
    <row r="29346" spans="17:17" x14ac:dyDescent="0.25">
      <c r="Q29346" s="8"/>
    </row>
    <row r="29347" spans="17:17" x14ac:dyDescent="0.25">
      <c r="Q29347" s="8"/>
    </row>
    <row r="29348" spans="17:17" x14ac:dyDescent="0.25">
      <c r="Q29348" s="8"/>
    </row>
    <row r="29349" spans="17:17" x14ac:dyDescent="0.25">
      <c r="Q29349" s="8"/>
    </row>
    <row r="29350" spans="17:17" x14ac:dyDescent="0.25">
      <c r="Q29350" s="8"/>
    </row>
    <row r="29351" spans="17:17" x14ac:dyDescent="0.25">
      <c r="Q29351" s="8"/>
    </row>
    <row r="29352" spans="17:17" x14ac:dyDescent="0.25">
      <c r="Q29352" s="8"/>
    </row>
    <row r="29353" spans="17:17" x14ac:dyDescent="0.25">
      <c r="Q29353" s="8"/>
    </row>
    <row r="29354" spans="17:17" x14ac:dyDescent="0.25">
      <c r="Q29354" s="8"/>
    </row>
    <row r="29355" spans="17:17" x14ac:dyDescent="0.25">
      <c r="Q29355" s="8"/>
    </row>
    <row r="29356" spans="17:17" x14ac:dyDescent="0.25">
      <c r="Q29356" s="8"/>
    </row>
    <row r="29357" spans="17:17" x14ac:dyDescent="0.25">
      <c r="Q29357" s="8"/>
    </row>
    <row r="29358" spans="17:17" x14ac:dyDescent="0.25">
      <c r="Q29358" s="8"/>
    </row>
    <row r="29359" spans="17:17" x14ac:dyDescent="0.25">
      <c r="Q29359" s="8"/>
    </row>
    <row r="29360" spans="17:17" x14ac:dyDescent="0.25">
      <c r="Q29360" s="8"/>
    </row>
    <row r="29361" spans="17:17" x14ac:dyDescent="0.25">
      <c r="Q29361" s="8"/>
    </row>
    <row r="29362" spans="17:17" x14ac:dyDescent="0.25">
      <c r="Q29362" s="8"/>
    </row>
    <row r="29363" spans="17:17" x14ac:dyDescent="0.25">
      <c r="Q29363" s="8"/>
    </row>
    <row r="29364" spans="17:17" x14ac:dyDescent="0.25">
      <c r="Q29364" s="8"/>
    </row>
    <row r="29365" spans="17:17" x14ac:dyDescent="0.25">
      <c r="Q29365" s="8"/>
    </row>
    <row r="29366" spans="17:17" x14ac:dyDescent="0.25">
      <c r="Q29366" s="8"/>
    </row>
    <row r="29367" spans="17:17" x14ac:dyDescent="0.25">
      <c r="Q29367" s="8"/>
    </row>
    <row r="29368" spans="17:17" x14ac:dyDescent="0.25">
      <c r="Q29368" s="8"/>
    </row>
    <row r="29369" spans="17:17" x14ac:dyDescent="0.25">
      <c r="Q29369" s="8"/>
    </row>
    <row r="29370" spans="17:17" x14ac:dyDescent="0.25">
      <c r="Q29370" s="8"/>
    </row>
    <row r="29371" spans="17:17" x14ac:dyDescent="0.25">
      <c r="Q29371" s="8"/>
    </row>
    <row r="29372" spans="17:17" x14ac:dyDescent="0.25">
      <c r="Q29372" s="8"/>
    </row>
    <row r="29373" spans="17:17" x14ac:dyDescent="0.25">
      <c r="Q29373" s="8"/>
    </row>
    <row r="29374" spans="17:17" x14ac:dyDescent="0.25">
      <c r="Q29374" s="8"/>
    </row>
    <row r="29375" spans="17:17" x14ac:dyDescent="0.25">
      <c r="Q29375" s="8"/>
    </row>
    <row r="29376" spans="17:17" x14ac:dyDescent="0.25">
      <c r="Q29376" s="8"/>
    </row>
    <row r="29377" spans="17:17" x14ac:dyDescent="0.25">
      <c r="Q29377" s="8"/>
    </row>
    <row r="29378" spans="17:17" x14ac:dyDescent="0.25">
      <c r="Q29378" s="8"/>
    </row>
    <row r="29379" spans="17:17" x14ac:dyDescent="0.25">
      <c r="Q29379" s="8"/>
    </row>
    <row r="29380" spans="17:17" x14ac:dyDescent="0.25">
      <c r="Q29380" s="8"/>
    </row>
    <row r="29381" spans="17:17" x14ac:dyDescent="0.25">
      <c r="Q29381" s="8"/>
    </row>
    <row r="29382" spans="17:17" x14ac:dyDescent="0.25">
      <c r="Q29382" s="8"/>
    </row>
    <row r="29383" spans="17:17" x14ac:dyDescent="0.25">
      <c r="Q29383" s="8"/>
    </row>
    <row r="29384" spans="17:17" x14ac:dyDescent="0.25">
      <c r="Q29384" s="8"/>
    </row>
    <row r="29385" spans="17:17" x14ac:dyDescent="0.25">
      <c r="Q29385" s="8"/>
    </row>
    <row r="29386" spans="17:17" x14ac:dyDescent="0.25">
      <c r="Q29386" s="8"/>
    </row>
    <row r="29387" spans="17:17" x14ac:dyDescent="0.25">
      <c r="Q29387" s="8"/>
    </row>
    <row r="29388" spans="17:17" x14ac:dyDescent="0.25">
      <c r="Q29388" s="8"/>
    </row>
    <row r="29389" spans="17:17" x14ac:dyDescent="0.25">
      <c r="Q29389" s="8"/>
    </row>
    <row r="29390" spans="17:17" x14ac:dyDescent="0.25">
      <c r="Q29390" s="8"/>
    </row>
    <row r="29391" spans="17:17" x14ac:dyDescent="0.25">
      <c r="Q29391" s="8"/>
    </row>
    <row r="29392" spans="17:17" x14ac:dyDescent="0.25">
      <c r="Q29392" s="8"/>
    </row>
    <row r="29393" spans="17:17" x14ac:dyDescent="0.25">
      <c r="Q29393" s="8"/>
    </row>
    <row r="29394" spans="17:17" x14ac:dyDescent="0.25">
      <c r="Q29394" s="8"/>
    </row>
    <row r="29395" spans="17:17" x14ac:dyDescent="0.25">
      <c r="Q29395" s="8"/>
    </row>
    <row r="29396" spans="17:17" x14ac:dyDescent="0.25">
      <c r="Q29396" s="8"/>
    </row>
    <row r="29397" spans="17:17" x14ac:dyDescent="0.25">
      <c r="Q29397" s="8"/>
    </row>
    <row r="29398" spans="17:17" x14ac:dyDescent="0.25">
      <c r="Q29398" s="8"/>
    </row>
    <row r="29399" spans="17:17" x14ac:dyDescent="0.25">
      <c r="Q29399" s="8"/>
    </row>
    <row r="29400" spans="17:17" x14ac:dyDescent="0.25">
      <c r="Q29400" s="8"/>
    </row>
    <row r="29401" spans="17:17" x14ac:dyDescent="0.25">
      <c r="Q29401" s="8"/>
    </row>
    <row r="29402" spans="17:17" x14ac:dyDescent="0.25">
      <c r="Q29402" s="8"/>
    </row>
    <row r="29403" spans="17:17" x14ac:dyDescent="0.25">
      <c r="Q29403" s="8"/>
    </row>
    <row r="29404" spans="17:17" x14ac:dyDescent="0.25">
      <c r="Q29404" s="8"/>
    </row>
    <row r="29405" spans="17:17" x14ac:dyDescent="0.25">
      <c r="Q29405" s="8"/>
    </row>
    <row r="29406" spans="17:17" x14ac:dyDescent="0.25">
      <c r="Q29406" s="8"/>
    </row>
    <row r="29407" spans="17:17" x14ac:dyDescent="0.25">
      <c r="Q29407" s="8"/>
    </row>
    <row r="29408" spans="17:17" x14ac:dyDescent="0.25">
      <c r="Q29408" s="8"/>
    </row>
    <row r="29409" spans="17:17" x14ac:dyDescent="0.25">
      <c r="Q29409" s="8"/>
    </row>
    <row r="29410" spans="17:17" x14ac:dyDescent="0.25">
      <c r="Q29410" s="8"/>
    </row>
    <row r="29411" spans="17:17" x14ac:dyDescent="0.25">
      <c r="Q29411" s="8"/>
    </row>
    <row r="29412" spans="17:17" x14ac:dyDescent="0.25">
      <c r="Q29412" s="8"/>
    </row>
    <row r="29413" spans="17:17" x14ac:dyDescent="0.25">
      <c r="Q29413" s="8"/>
    </row>
    <row r="29414" spans="17:17" x14ac:dyDescent="0.25">
      <c r="Q29414" s="8"/>
    </row>
    <row r="29415" spans="17:17" x14ac:dyDescent="0.25">
      <c r="Q29415" s="8"/>
    </row>
    <row r="29416" spans="17:17" x14ac:dyDescent="0.25">
      <c r="Q29416" s="8"/>
    </row>
    <row r="29417" spans="17:17" x14ac:dyDescent="0.25">
      <c r="Q29417" s="8"/>
    </row>
    <row r="29418" spans="17:17" x14ac:dyDescent="0.25">
      <c r="Q29418" s="8"/>
    </row>
    <row r="29419" spans="17:17" x14ac:dyDescent="0.25">
      <c r="Q29419" s="8"/>
    </row>
    <row r="29420" spans="17:17" x14ac:dyDescent="0.25">
      <c r="Q29420" s="8"/>
    </row>
    <row r="29421" spans="17:17" x14ac:dyDescent="0.25">
      <c r="Q29421" s="8"/>
    </row>
    <row r="29422" spans="17:17" x14ac:dyDescent="0.25">
      <c r="Q29422" s="8"/>
    </row>
    <row r="29423" spans="17:17" x14ac:dyDescent="0.25">
      <c r="Q29423" s="8"/>
    </row>
    <row r="29424" spans="17:17" x14ac:dyDescent="0.25">
      <c r="Q29424" s="8"/>
    </row>
    <row r="29425" spans="17:17" x14ac:dyDescent="0.25">
      <c r="Q29425" s="8"/>
    </row>
    <row r="29426" spans="17:17" x14ac:dyDescent="0.25">
      <c r="Q29426" s="8"/>
    </row>
    <row r="29427" spans="17:17" x14ac:dyDescent="0.25">
      <c r="Q29427" s="8"/>
    </row>
    <row r="29428" spans="17:17" x14ac:dyDescent="0.25">
      <c r="Q29428" s="8"/>
    </row>
    <row r="29429" spans="17:17" x14ac:dyDescent="0.25">
      <c r="Q29429" s="8"/>
    </row>
    <row r="29430" spans="17:17" x14ac:dyDescent="0.25">
      <c r="Q29430" s="8"/>
    </row>
    <row r="29431" spans="17:17" x14ac:dyDescent="0.25">
      <c r="Q29431" s="8"/>
    </row>
    <row r="29432" spans="17:17" x14ac:dyDescent="0.25">
      <c r="Q29432" s="8"/>
    </row>
    <row r="29433" spans="17:17" x14ac:dyDescent="0.25">
      <c r="Q29433" s="8"/>
    </row>
    <row r="29434" spans="17:17" x14ac:dyDescent="0.25">
      <c r="Q29434" s="8"/>
    </row>
    <row r="29435" spans="17:17" x14ac:dyDescent="0.25">
      <c r="Q29435" s="8"/>
    </row>
    <row r="29436" spans="17:17" x14ac:dyDescent="0.25">
      <c r="Q29436" s="8"/>
    </row>
    <row r="29437" spans="17:17" x14ac:dyDescent="0.25">
      <c r="Q29437" s="8"/>
    </row>
    <row r="29438" spans="17:17" x14ac:dyDescent="0.25">
      <c r="Q29438" s="8"/>
    </row>
    <row r="29439" spans="17:17" x14ac:dyDescent="0.25">
      <c r="Q29439" s="8"/>
    </row>
    <row r="29440" spans="17:17" x14ac:dyDescent="0.25">
      <c r="Q29440" s="8"/>
    </row>
    <row r="29441" spans="17:17" x14ac:dyDescent="0.25">
      <c r="Q29441" s="8"/>
    </row>
    <row r="29442" spans="17:17" x14ac:dyDescent="0.25">
      <c r="Q29442" s="8"/>
    </row>
    <row r="29443" spans="17:17" x14ac:dyDescent="0.25">
      <c r="Q29443" s="8"/>
    </row>
    <row r="29444" spans="17:17" x14ac:dyDescent="0.25">
      <c r="Q29444" s="8"/>
    </row>
    <row r="29445" spans="17:17" x14ac:dyDescent="0.25">
      <c r="Q29445" s="8"/>
    </row>
    <row r="29446" spans="17:17" x14ac:dyDescent="0.25">
      <c r="Q29446" s="8"/>
    </row>
    <row r="29447" spans="17:17" x14ac:dyDescent="0.25">
      <c r="Q29447" s="8"/>
    </row>
    <row r="29448" spans="17:17" x14ac:dyDescent="0.25">
      <c r="Q29448" s="8"/>
    </row>
    <row r="29449" spans="17:17" x14ac:dyDescent="0.25">
      <c r="Q29449" s="8"/>
    </row>
    <row r="29450" spans="17:17" x14ac:dyDescent="0.25">
      <c r="Q29450" s="8"/>
    </row>
    <row r="29451" spans="17:17" x14ac:dyDescent="0.25">
      <c r="Q29451" s="8"/>
    </row>
    <row r="29452" spans="17:17" x14ac:dyDescent="0.25">
      <c r="Q29452" s="8"/>
    </row>
    <row r="29453" spans="17:17" x14ac:dyDescent="0.25">
      <c r="Q29453" s="8"/>
    </row>
    <row r="29454" spans="17:17" x14ac:dyDescent="0.25">
      <c r="Q29454" s="8"/>
    </row>
    <row r="29455" spans="17:17" x14ac:dyDescent="0.25">
      <c r="Q29455" s="8"/>
    </row>
    <row r="29456" spans="17:17" x14ac:dyDescent="0.25">
      <c r="Q29456" s="8"/>
    </row>
    <row r="29457" spans="17:17" x14ac:dyDescent="0.25">
      <c r="Q29457" s="8"/>
    </row>
    <row r="29458" spans="17:17" x14ac:dyDescent="0.25">
      <c r="Q29458" s="8"/>
    </row>
    <row r="29459" spans="17:17" x14ac:dyDescent="0.25">
      <c r="Q29459" s="8"/>
    </row>
    <row r="29460" spans="17:17" x14ac:dyDescent="0.25">
      <c r="Q29460" s="8"/>
    </row>
    <row r="29461" spans="17:17" x14ac:dyDescent="0.25">
      <c r="Q29461" s="8"/>
    </row>
    <row r="29462" spans="17:17" x14ac:dyDescent="0.25">
      <c r="Q29462" s="8"/>
    </row>
    <row r="29463" spans="17:17" x14ac:dyDescent="0.25">
      <c r="Q29463" s="8"/>
    </row>
    <row r="29464" spans="17:17" x14ac:dyDescent="0.25">
      <c r="Q29464" s="8"/>
    </row>
    <row r="29465" spans="17:17" x14ac:dyDescent="0.25">
      <c r="Q29465" s="8"/>
    </row>
    <row r="29466" spans="17:17" x14ac:dyDescent="0.25">
      <c r="Q29466" s="8"/>
    </row>
    <row r="29467" spans="17:17" x14ac:dyDescent="0.25">
      <c r="Q29467" s="8"/>
    </row>
    <row r="29468" spans="17:17" x14ac:dyDescent="0.25">
      <c r="Q29468" s="8"/>
    </row>
    <row r="29469" spans="17:17" x14ac:dyDescent="0.25">
      <c r="Q29469" s="8"/>
    </row>
    <row r="29470" spans="17:17" x14ac:dyDescent="0.25">
      <c r="Q29470" s="8"/>
    </row>
    <row r="29471" spans="17:17" x14ac:dyDescent="0.25">
      <c r="Q29471" s="8"/>
    </row>
    <row r="29472" spans="17:17" x14ac:dyDescent="0.25">
      <c r="Q29472" s="8"/>
    </row>
    <row r="29473" spans="17:17" x14ac:dyDescent="0.25">
      <c r="Q29473" s="8"/>
    </row>
    <row r="29474" spans="17:17" x14ac:dyDescent="0.25">
      <c r="Q29474" s="8"/>
    </row>
    <row r="29475" spans="17:17" x14ac:dyDescent="0.25">
      <c r="Q29475" s="8"/>
    </row>
    <row r="29476" spans="17:17" x14ac:dyDescent="0.25">
      <c r="Q29476" s="8"/>
    </row>
    <row r="29477" spans="17:17" x14ac:dyDescent="0.25">
      <c r="Q29477" s="8"/>
    </row>
    <row r="29478" spans="17:17" x14ac:dyDescent="0.25">
      <c r="Q29478" s="8"/>
    </row>
    <row r="29479" spans="17:17" x14ac:dyDescent="0.25">
      <c r="Q29479" s="8"/>
    </row>
    <row r="29480" spans="17:17" x14ac:dyDescent="0.25">
      <c r="Q29480" s="8"/>
    </row>
    <row r="29481" spans="17:17" x14ac:dyDescent="0.25">
      <c r="Q29481" s="8"/>
    </row>
    <row r="29482" spans="17:17" x14ac:dyDescent="0.25">
      <c r="Q29482" s="8"/>
    </row>
    <row r="29483" spans="17:17" x14ac:dyDescent="0.25">
      <c r="Q29483" s="8"/>
    </row>
    <row r="29484" spans="17:17" x14ac:dyDescent="0.25">
      <c r="Q29484" s="8"/>
    </row>
    <row r="29485" spans="17:17" x14ac:dyDescent="0.25">
      <c r="Q29485" s="8"/>
    </row>
    <row r="29486" spans="17:17" x14ac:dyDescent="0.25">
      <c r="Q29486" s="8"/>
    </row>
    <row r="29487" spans="17:17" x14ac:dyDescent="0.25">
      <c r="Q29487" s="8"/>
    </row>
    <row r="29488" spans="17:17" x14ac:dyDescent="0.25">
      <c r="Q29488" s="8"/>
    </row>
    <row r="29489" spans="17:17" x14ac:dyDescent="0.25">
      <c r="Q29489" s="8"/>
    </row>
    <row r="29490" spans="17:17" x14ac:dyDescent="0.25">
      <c r="Q29490" s="8"/>
    </row>
    <row r="29491" spans="17:17" x14ac:dyDescent="0.25">
      <c r="Q29491" s="8"/>
    </row>
    <row r="29492" spans="17:17" x14ac:dyDescent="0.25">
      <c r="Q29492" s="8"/>
    </row>
    <row r="29493" spans="17:17" x14ac:dyDescent="0.25">
      <c r="Q29493" s="8"/>
    </row>
    <row r="29494" spans="17:17" x14ac:dyDescent="0.25">
      <c r="Q29494" s="8"/>
    </row>
    <row r="29495" spans="17:17" x14ac:dyDescent="0.25">
      <c r="Q29495" s="8"/>
    </row>
    <row r="29496" spans="17:17" x14ac:dyDescent="0.25">
      <c r="Q29496" s="8"/>
    </row>
    <row r="29497" spans="17:17" x14ac:dyDescent="0.25">
      <c r="Q29497" s="8"/>
    </row>
    <row r="29498" spans="17:17" x14ac:dyDescent="0.25">
      <c r="Q29498" s="8"/>
    </row>
    <row r="29499" spans="17:17" x14ac:dyDescent="0.25">
      <c r="Q29499" s="8"/>
    </row>
    <row r="29500" spans="17:17" x14ac:dyDescent="0.25">
      <c r="Q29500" s="8"/>
    </row>
    <row r="29501" spans="17:17" x14ac:dyDescent="0.25">
      <c r="Q29501" s="8"/>
    </row>
    <row r="29502" spans="17:17" x14ac:dyDescent="0.25">
      <c r="Q29502" s="8"/>
    </row>
    <row r="29503" spans="17:17" x14ac:dyDescent="0.25">
      <c r="Q29503" s="8"/>
    </row>
    <row r="29504" spans="17:17" x14ac:dyDescent="0.25">
      <c r="Q29504" s="8"/>
    </row>
    <row r="29505" spans="17:17" x14ac:dyDescent="0.25">
      <c r="Q29505" s="8"/>
    </row>
    <row r="29506" spans="17:17" x14ac:dyDescent="0.25">
      <c r="Q29506" s="8"/>
    </row>
    <row r="29507" spans="17:17" x14ac:dyDescent="0.25">
      <c r="Q29507" s="8"/>
    </row>
    <row r="29508" spans="17:17" x14ac:dyDescent="0.25">
      <c r="Q29508" s="8"/>
    </row>
    <row r="29509" spans="17:17" x14ac:dyDescent="0.25">
      <c r="Q29509" s="8"/>
    </row>
    <row r="29510" spans="17:17" x14ac:dyDescent="0.25">
      <c r="Q29510" s="8"/>
    </row>
    <row r="29511" spans="17:17" x14ac:dyDescent="0.25">
      <c r="Q29511" s="8"/>
    </row>
    <row r="29512" spans="17:17" x14ac:dyDescent="0.25">
      <c r="Q29512" s="8"/>
    </row>
    <row r="29513" spans="17:17" x14ac:dyDescent="0.25">
      <c r="Q29513" s="8"/>
    </row>
    <row r="29514" spans="17:17" x14ac:dyDescent="0.25">
      <c r="Q29514" s="8"/>
    </row>
    <row r="29515" spans="17:17" x14ac:dyDescent="0.25">
      <c r="Q29515" s="8"/>
    </row>
    <row r="29516" spans="17:17" x14ac:dyDescent="0.25">
      <c r="Q29516" s="8"/>
    </row>
    <row r="29517" spans="17:17" x14ac:dyDescent="0.25">
      <c r="Q29517" s="8"/>
    </row>
    <row r="29518" spans="17:17" x14ac:dyDescent="0.25">
      <c r="Q29518" s="8"/>
    </row>
    <row r="29519" spans="17:17" x14ac:dyDescent="0.25">
      <c r="Q29519" s="8"/>
    </row>
    <row r="29520" spans="17:17" x14ac:dyDescent="0.25">
      <c r="Q29520" s="8"/>
    </row>
    <row r="29521" spans="17:17" x14ac:dyDescent="0.25">
      <c r="Q29521" s="8"/>
    </row>
    <row r="29522" spans="17:17" x14ac:dyDescent="0.25">
      <c r="Q29522" s="8"/>
    </row>
    <row r="29523" spans="17:17" x14ac:dyDescent="0.25">
      <c r="Q29523" s="8"/>
    </row>
    <row r="29524" spans="17:17" x14ac:dyDescent="0.25">
      <c r="Q29524" s="8"/>
    </row>
    <row r="29525" spans="17:17" x14ac:dyDescent="0.25">
      <c r="Q29525" s="8"/>
    </row>
    <row r="29526" spans="17:17" x14ac:dyDescent="0.25">
      <c r="Q29526" s="8"/>
    </row>
    <row r="29527" spans="17:17" x14ac:dyDescent="0.25">
      <c r="Q29527" s="8"/>
    </row>
    <row r="29528" spans="17:17" x14ac:dyDescent="0.25">
      <c r="Q29528" s="8"/>
    </row>
    <row r="29529" spans="17:17" x14ac:dyDescent="0.25">
      <c r="Q29529" s="8"/>
    </row>
    <row r="29530" spans="17:17" x14ac:dyDescent="0.25">
      <c r="Q29530" s="8"/>
    </row>
    <row r="29531" spans="17:17" x14ac:dyDescent="0.25">
      <c r="Q29531" s="8"/>
    </row>
    <row r="29532" spans="17:17" x14ac:dyDescent="0.25">
      <c r="Q29532" s="8"/>
    </row>
    <row r="29533" spans="17:17" x14ac:dyDescent="0.25">
      <c r="Q29533" s="8"/>
    </row>
    <row r="29534" spans="17:17" x14ac:dyDescent="0.25">
      <c r="Q29534" s="8"/>
    </row>
    <row r="29535" spans="17:17" x14ac:dyDescent="0.25">
      <c r="Q29535" s="8"/>
    </row>
    <row r="29536" spans="17:17" x14ac:dyDescent="0.25">
      <c r="Q29536" s="8"/>
    </row>
    <row r="29537" spans="17:17" x14ac:dyDescent="0.25">
      <c r="Q29537" s="8"/>
    </row>
    <row r="29538" spans="17:17" x14ac:dyDescent="0.25">
      <c r="Q29538" s="8"/>
    </row>
    <row r="29539" spans="17:17" x14ac:dyDescent="0.25">
      <c r="Q29539" s="8"/>
    </row>
    <row r="29540" spans="17:17" x14ac:dyDescent="0.25">
      <c r="Q29540" s="8"/>
    </row>
    <row r="29541" spans="17:17" x14ac:dyDescent="0.25">
      <c r="Q29541" s="8"/>
    </row>
    <row r="29542" spans="17:17" x14ac:dyDescent="0.25">
      <c r="Q29542" s="8"/>
    </row>
    <row r="29543" spans="17:17" x14ac:dyDescent="0.25">
      <c r="Q29543" s="8"/>
    </row>
    <row r="29544" spans="17:17" x14ac:dyDescent="0.25">
      <c r="Q29544" s="8"/>
    </row>
    <row r="29545" spans="17:17" x14ac:dyDescent="0.25">
      <c r="Q29545" s="8"/>
    </row>
    <row r="29546" spans="17:17" x14ac:dyDescent="0.25">
      <c r="Q29546" s="8"/>
    </row>
    <row r="29547" spans="17:17" x14ac:dyDescent="0.25">
      <c r="Q29547" s="8"/>
    </row>
    <row r="29548" spans="17:17" x14ac:dyDescent="0.25">
      <c r="Q29548" s="8"/>
    </row>
    <row r="29549" spans="17:17" x14ac:dyDescent="0.25">
      <c r="Q29549" s="8"/>
    </row>
    <row r="29550" spans="17:17" x14ac:dyDescent="0.25">
      <c r="Q29550" s="8"/>
    </row>
    <row r="29551" spans="17:17" x14ac:dyDescent="0.25">
      <c r="Q29551" s="8"/>
    </row>
    <row r="29552" spans="17:17" x14ac:dyDescent="0.25">
      <c r="Q29552" s="8"/>
    </row>
    <row r="29553" spans="17:17" x14ac:dyDescent="0.25">
      <c r="Q29553" s="8"/>
    </row>
    <row r="29554" spans="17:17" x14ac:dyDescent="0.25">
      <c r="Q29554" s="8"/>
    </row>
    <row r="29555" spans="17:17" x14ac:dyDescent="0.25">
      <c r="Q29555" s="8"/>
    </row>
    <row r="29556" spans="17:17" x14ac:dyDescent="0.25">
      <c r="Q29556" s="8"/>
    </row>
    <row r="29557" spans="17:17" x14ac:dyDescent="0.25">
      <c r="Q29557" s="8"/>
    </row>
    <row r="29558" spans="17:17" x14ac:dyDescent="0.25">
      <c r="Q29558" s="8"/>
    </row>
    <row r="29559" spans="17:17" x14ac:dyDescent="0.25">
      <c r="Q29559" s="8"/>
    </row>
    <row r="29560" spans="17:17" x14ac:dyDescent="0.25">
      <c r="Q29560" s="8"/>
    </row>
    <row r="29561" spans="17:17" x14ac:dyDescent="0.25">
      <c r="Q29561" s="8"/>
    </row>
    <row r="29562" spans="17:17" x14ac:dyDescent="0.25">
      <c r="Q29562" s="8"/>
    </row>
    <row r="29563" spans="17:17" x14ac:dyDescent="0.25">
      <c r="Q29563" s="8"/>
    </row>
    <row r="29564" spans="17:17" x14ac:dyDescent="0.25">
      <c r="Q29564" s="8"/>
    </row>
    <row r="29565" spans="17:17" x14ac:dyDescent="0.25">
      <c r="Q29565" s="8"/>
    </row>
    <row r="29566" spans="17:17" x14ac:dyDescent="0.25">
      <c r="Q29566" s="8"/>
    </row>
    <row r="29567" spans="17:17" x14ac:dyDescent="0.25">
      <c r="Q29567" s="8"/>
    </row>
    <row r="29568" spans="17:17" x14ac:dyDescent="0.25">
      <c r="Q29568" s="8"/>
    </row>
    <row r="29569" spans="17:17" x14ac:dyDescent="0.25">
      <c r="Q29569" s="8"/>
    </row>
    <row r="29570" spans="17:17" x14ac:dyDescent="0.25">
      <c r="Q29570" s="8"/>
    </row>
    <row r="29571" spans="17:17" x14ac:dyDescent="0.25">
      <c r="Q29571" s="8"/>
    </row>
    <row r="29572" spans="17:17" x14ac:dyDescent="0.25">
      <c r="Q29572" s="8"/>
    </row>
    <row r="29573" spans="17:17" x14ac:dyDescent="0.25">
      <c r="Q29573" s="8"/>
    </row>
    <row r="29574" spans="17:17" x14ac:dyDescent="0.25">
      <c r="Q29574" s="8"/>
    </row>
    <row r="29575" spans="17:17" x14ac:dyDescent="0.25">
      <c r="Q29575" s="8"/>
    </row>
    <row r="29576" spans="17:17" x14ac:dyDescent="0.25">
      <c r="Q29576" s="8"/>
    </row>
    <row r="29577" spans="17:17" x14ac:dyDescent="0.25">
      <c r="Q29577" s="8"/>
    </row>
    <row r="29578" spans="17:17" x14ac:dyDescent="0.25">
      <c r="Q29578" s="8"/>
    </row>
    <row r="29579" spans="17:17" x14ac:dyDescent="0.25">
      <c r="Q29579" s="8"/>
    </row>
    <row r="29580" spans="17:17" x14ac:dyDescent="0.25">
      <c r="Q29580" s="8"/>
    </row>
    <row r="29581" spans="17:17" x14ac:dyDescent="0.25">
      <c r="Q29581" s="8"/>
    </row>
    <row r="29582" spans="17:17" x14ac:dyDescent="0.25">
      <c r="Q29582" s="8"/>
    </row>
    <row r="29583" spans="17:17" x14ac:dyDescent="0.25">
      <c r="Q29583" s="8"/>
    </row>
    <row r="29584" spans="17:17" x14ac:dyDescent="0.25">
      <c r="Q29584" s="8"/>
    </row>
    <row r="29585" spans="17:17" x14ac:dyDescent="0.25">
      <c r="Q29585" s="8"/>
    </row>
    <row r="29586" spans="17:17" x14ac:dyDescent="0.25">
      <c r="Q29586" s="8"/>
    </row>
    <row r="29587" spans="17:17" x14ac:dyDescent="0.25">
      <c r="Q29587" s="8"/>
    </row>
    <row r="29588" spans="17:17" x14ac:dyDescent="0.25">
      <c r="Q29588" s="8"/>
    </row>
    <row r="29589" spans="17:17" x14ac:dyDescent="0.25">
      <c r="Q29589" s="8"/>
    </row>
    <row r="29590" spans="17:17" x14ac:dyDescent="0.25">
      <c r="Q29590" s="8"/>
    </row>
    <row r="29591" spans="17:17" x14ac:dyDescent="0.25">
      <c r="Q29591" s="8"/>
    </row>
    <row r="29592" spans="17:17" x14ac:dyDescent="0.25">
      <c r="Q29592" s="8"/>
    </row>
    <row r="29593" spans="17:17" x14ac:dyDescent="0.25">
      <c r="Q29593" s="8"/>
    </row>
    <row r="29594" spans="17:17" x14ac:dyDescent="0.25">
      <c r="Q29594" s="8"/>
    </row>
    <row r="29595" spans="17:17" x14ac:dyDescent="0.25">
      <c r="Q29595" s="8"/>
    </row>
    <row r="29596" spans="17:17" x14ac:dyDescent="0.25">
      <c r="Q29596" s="8"/>
    </row>
    <row r="29597" spans="17:17" x14ac:dyDescent="0.25">
      <c r="Q29597" s="8"/>
    </row>
    <row r="29598" spans="17:17" x14ac:dyDescent="0.25">
      <c r="Q29598" s="8"/>
    </row>
    <row r="29599" spans="17:17" x14ac:dyDescent="0.25">
      <c r="Q29599" s="8"/>
    </row>
    <row r="29600" spans="17:17" x14ac:dyDescent="0.25">
      <c r="Q29600" s="8"/>
    </row>
    <row r="29601" spans="17:17" x14ac:dyDescent="0.25">
      <c r="Q29601" s="8"/>
    </row>
    <row r="29602" spans="17:17" x14ac:dyDescent="0.25">
      <c r="Q29602" s="8"/>
    </row>
    <row r="29603" spans="17:17" x14ac:dyDescent="0.25">
      <c r="Q29603" s="8"/>
    </row>
    <row r="29604" spans="17:17" x14ac:dyDescent="0.25">
      <c r="Q29604" s="8"/>
    </row>
    <row r="29605" spans="17:17" x14ac:dyDescent="0.25">
      <c r="Q29605" s="8"/>
    </row>
    <row r="29606" spans="17:17" x14ac:dyDescent="0.25">
      <c r="Q29606" s="8"/>
    </row>
    <row r="29607" spans="17:17" x14ac:dyDescent="0.25">
      <c r="Q29607" s="8"/>
    </row>
    <row r="29608" spans="17:17" x14ac:dyDescent="0.25">
      <c r="Q29608" s="8"/>
    </row>
    <row r="29609" spans="17:17" x14ac:dyDescent="0.25">
      <c r="Q29609" s="8"/>
    </row>
    <row r="29610" spans="17:17" x14ac:dyDescent="0.25">
      <c r="Q29610" s="8"/>
    </row>
    <row r="29611" spans="17:17" x14ac:dyDescent="0.25">
      <c r="Q29611" s="8"/>
    </row>
    <row r="29612" spans="17:17" x14ac:dyDescent="0.25">
      <c r="Q29612" s="8"/>
    </row>
    <row r="29613" spans="17:17" x14ac:dyDescent="0.25">
      <c r="Q29613" s="8"/>
    </row>
    <row r="29614" spans="17:17" x14ac:dyDescent="0.25">
      <c r="Q29614" s="8"/>
    </row>
    <row r="29615" spans="17:17" x14ac:dyDescent="0.25">
      <c r="Q29615" s="8"/>
    </row>
    <row r="29616" spans="17:17" x14ac:dyDescent="0.25">
      <c r="Q29616" s="8"/>
    </row>
    <row r="29617" spans="17:17" x14ac:dyDescent="0.25">
      <c r="Q29617" s="8"/>
    </row>
    <row r="29618" spans="17:17" x14ac:dyDescent="0.25">
      <c r="Q29618" s="8"/>
    </row>
    <row r="29619" spans="17:17" x14ac:dyDescent="0.25">
      <c r="Q29619" s="8"/>
    </row>
    <row r="29620" spans="17:17" x14ac:dyDescent="0.25">
      <c r="Q29620" s="8"/>
    </row>
    <row r="29621" spans="17:17" x14ac:dyDescent="0.25">
      <c r="Q29621" s="8"/>
    </row>
    <row r="29622" spans="17:17" x14ac:dyDescent="0.25">
      <c r="Q29622" s="8"/>
    </row>
    <row r="29623" spans="17:17" x14ac:dyDescent="0.25">
      <c r="Q29623" s="8"/>
    </row>
    <row r="29624" spans="17:17" x14ac:dyDescent="0.25">
      <c r="Q29624" s="8"/>
    </row>
    <row r="29625" spans="17:17" x14ac:dyDescent="0.25">
      <c r="Q29625" s="8"/>
    </row>
    <row r="29626" spans="17:17" x14ac:dyDescent="0.25">
      <c r="Q29626" s="8"/>
    </row>
    <row r="29627" spans="17:17" x14ac:dyDescent="0.25">
      <c r="Q29627" s="8"/>
    </row>
    <row r="29628" spans="17:17" x14ac:dyDescent="0.25">
      <c r="Q29628" s="8"/>
    </row>
    <row r="29629" spans="17:17" x14ac:dyDescent="0.25">
      <c r="Q29629" s="8"/>
    </row>
    <row r="29630" spans="17:17" x14ac:dyDescent="0.25">
      <c r="Q29630" s="8"/>
    </row>
    <row r="29631" spans="17:17" x14ac:dyDescent="0.25">
      <c r="Q29631" s="8"/>
    </row>
    <row r="29632" spans="17:17" x14ac:dyDescent="0.25">
      <c r="Q29632" s="8"/>
    </row>
    <row r="29633" spans="17:17" x14ac:dyDescent="0.25">
      <c r="Q29633" s="8"/>
    </row>
    <row r="29634" spans="17:17" x14ac:dyDescent="0.25">
      <c r="Q29634" s="8"/>
    </row>
    <row r="29635" spans="17:17" x14ac:dyDescent="0.25">
      <c r="Q29635" s="8"/>
    </row>
    <row r="29636" spans="17:17" x14ac:dyDescent="0.25">
      <c r="Q29636" s="8"/>
    </row>
    <row r="29637" spans="17:17" x14ac:dyDescent="0.25">
      <c r="Q29637" s="8"/>
    </row>
    <row r="29638" spans="17:17" x14ac:dyDescent="0.25">
      <c r="Q29638" s="8"/>
    </row>
    <row r="29639" spans="17:17" x14ac:dyDescent="0.25">
      <c r="Q29639" s="8"/>
    </row>
    <row r="29640" spans="17:17" x14ac:dyDescent="0.25">
      <c r="Q29640" s="8"/>
    </row>
    <row r="29641" spans="17:17" x14ac:dyDescent="0.25">
      <c r="Q29641" s="8"/>
    </row>
    <row r="29642" spans="17:17" x14ac:dyDescent="0.25">
      <c r="Q29642" s="8"/>
    </row>
    <row r="29643" spans="17:17" x14ac:dyDescent="0.25">
      <c r="Q29643" s="8"/>
    </row>
    <row r="29644" spans="17:17" x14ac:dyDescent="0.25">
      <c r="Q29644" s="8"/>
    </row>
    <row r="29645" spans="17:17" x14ac:dyDescent="0.25">
      <c r="Q29645" s="8"/>
    </row>
    <row r="29646" spans="17:17" x14ac:dyDescent="0.25">
      <c r="Q29646" s="8"/>
    </row>
    <row r="29647" spans="17:17" x14ac:dyDescent="0.25">
      <c r="Q29647" s="8"/>
    </row>
    <row r="29648" spans="17:17" x14ac:dyDescent="0.25">
      <c r="Q29648" s="8"/>
    </row>
    <row r="29649" spans="17:17" x14ac:dyDescent="0.25">
      <c r="Q29649" s="8"/>
    </row>
    <row r="29650" spans="17:17" x14ac:dyDescent="0.25">
      <c r="Q29650" s="8"/>
    </row>
    <row r="29651" spans="17:17" x14ac:dyDescent="0.25">
      <c r="Q29651" s="8"/>
    </row>
    <row r="29652" spans="17:17" x14ac:dyDescent="0.25">
      <c r="Q29652" s="8"/>
    </row>
    <row r="29653" spans="17:17" x14ac:dyDescent="0.25">
      <c r="Q29653" s="8"/>
    </row>
    <row r="29654" spans="17:17" x14ac:dyDescent="0.25">
      <c r="Q29654" s="8"/>
    </row>
    <row r="29655" spans="17:17" x14ac:dyDescent="0.25">
      <c r="Q29655" s="8"/>
    </row>
    <row r="29656" spans="17:17" x14ac:dyDescent="0.25">
      <c r="Q29656" s="8"/>
    </row>
    <row r="29657" spans="17:17" x14ac:dyDescent="0.25">
      <c r="Q29657" s="8"/>
    </row>
    <row r="29658" spans="17:17" x14ac:dyDescent="0.25">
      <c r="Q29658" s="8"/>
    </row>
    <row r="29659" spans="17:17" x14ac:dyDescent="0.25">
      <c r="Q29659" s="8"/>
    </row>
    <row r="29660" spans="17:17" x14ac:dyDescent="0.25">
      <c r="Q29660" s="8"/>
    </row>
    <row r="29661" spans="17:17" x14ac:dyDescent="0.25">
      <c r="Q29661" s="8"/>
    </row>
    <row r="29662" spans="17:17" x14ac:dyDescent="0.25">
      <c r="Q29662" s="8"/>
    </row>
    <row r="29663" spans="17:17" x14ac:dyDescent="0.25">
      <c r="Q29663" s="8"/>
    </row>
    <row r="29664" spans="17:17" x14ac:dyDescent="0.25">
      <c r="Q29664" s="8"/>
    </row>
    <row r="29665" spans="17:17" x14ac:dyDescent="0.25">
      <c r="Q29665" s="8"/>
    </row>
    <row r="29666" spans="17:17" x14ac:dyDescent="0.25">
      <c r="Q29666" s="8"/>
    </row>
    <row r="29667" spans="17:17" x14ac:dyDescent="0.25">
      <c r="Q29667" s="8"/>
    </row>
    <row r="29668" spans="17:17" x14ac:dyDescent="0.25">
      <c r="Q29668" s="8"/>
    </row>
    <row r="29669" spans="17:17" x14ac:dyDescent="0.25">
      <c r="Q29669" s="8"/>
    </row>
    <row r="29670" spans="17:17" x14ac:dyDescent="0.25">
      <c r="Q29670" s="8"/>
    </row>
    <row r="29671" spans="17:17" x14ac:dyDescent="0.25">
      <c r="Q29671" s="8"/>
    </row>
    <row r="29672" spans="17:17" x14ac:dyDescent="0.25">
      <c r="Q29672" s="8"/>
    </row>
    <row r="29673" spans="17:17" x14ac:dyDescent="0.25">
      <c r="Q29673" s="8"/>
    </row>
    <row r="29674" spans="17:17" x14ac:dyDescent="0.25">
      <c r="Q29674" s="8"/>
    </row>
    <row r="29675" spans="17:17" x14ac:dyDescent="0.25">
      <c r="Q29675" s="8"/>
    </row>
    <row r="29676" spans="17:17" x14ac:dyDescent="0.25">
      <c r="Q29676" s="8"/>
    </row>
    <row r="29677" spans="17:17" x14ac:dyDescent="0.25">
      <c r="Q29677" s="8"/>
    </row>
    <row r="29678" spans="17:17" x14ac:dyDescent="0.25">
      <c r="Q29678" s="8"/>
    </row>
    <row r="29679" spans="17:17" x14ac:dyDescent="0.25">
      <c r="Q29679" s="8"/>
    </row>
    <row r="29680" spans="17:17" x14ac:dyDescent="0.25">
      <c r="Q29680" s="8"/>
    </row>
    <row r="29681" spans="17:17" x14ac:dyDescent="0.25">
      <c r="Q29681" s="8"/>
    </row>
    <row r="29682" spans="17:17" x14ac:dyDescent="0.25">
      <c r="Q29682" s="8"/>
    </row>
    <row r="29683" spans="17:17" x14ac:dyDescent="0.25">
      <c r="Q29683" s="8"/>
    </row>
    <row r="29684" spans="17:17" x14ac:dyDescent="0.25">
      <c r="Q29684" s="8"/>
    </row>
    <row r="29685" spans="17:17" x14ac:dyDescent="0.25">
      <c r="Q29685" s="8"/>
    </row>
    <row r="29686" spans="17:17" x14ac:dyDescent="0.25">
      <c r="Q29686" s="8"/>
    </row>
    <row r="29687" spans="17:17" x14ac:dyDescent="0.25">
      <c r="Q29687" s="8"/>
    </row>
    <row r="29688" spans="17:17" x14ac:dyDescent="0.25">
      <c r="Q29688" s="8"/>
    </row>
    <row r="29689" spans="17:17" x14ac:dyDescent="0.25">
      <c r="Q29689" s="8"/>
    </row>
    <row r="29690" spans="17:17" x14ac:dyDescent="0.25">
      <c r="Q29690" s="8"/>
    </row>
    <row r="29691" spans="17:17" x14ac:dyDescent="0.25">
      <c r="Q29691" s="8"/>
    </row>
    <row r="29692" spans="17:17" x14ac:dyDescent="0.25">
      <c r="Q29692" s="8"/>
    </row>
    <row r="29693" spans="17:17" x14ac:dyDescent="0.25">
      <c r="Q29693" s="8"/>
    </row>
    <row r="29694" spans="17:17" x14ac:dyDescent="0.25">
      <c r="Q29694" s="8"/>
    </row>
    <row r="29695" spans="17:17" x14ac:dyDescent="0.25">
      <c r="Q29695" s="8"/>
    </row>
    <row r="29696" spans="17:17" x14ac:dyDescent="0.25">
      <c r="Q29696" s="8"/>
    </row>
    <row r="29697" spans="17:17" x14ac:dyDescent="0.25">
      <c r="Q29697" s="8"/>
    </row>
    <row r="29698" spans="17:17" x14ac:dyDescent="0.25">
      <c r="Q29698" s="8"/>
    </row>
    <row r="29699" spans="17:17" x14ac:dyDescent="0.25">
      <c r="Q29699" s="8"/>
    </row>
    <row r="29700" spans="17:17" x14ac:dyDescent="0.25">
      <c r="Q29700" s="8"/>
    </row>
    <row r="29701" spans="17:17" x14ac:dyDescent="0.25">
      <c r="Q29701" s="8"/>
    </row>
    <row r="29702" spans="17:17" x14ac:dyDescent="0.25">
      <c r="Q29702" s="8"/>
    </row>
    <row r="29703" spans="17:17" x14ac:dyDescent="0.25">
      <c r="Q29703" s="8"/>
    </row>
    <row r="29704" spans="17:17" x14ac:dyDescent="0.25">
      <c r="Q29704" s="8"/>
    </row>
    <row r="29705" spans="17:17" x14ac:dyDescent="0.25">
      <c r="Q29705" s="8"/>
    </row>
    <row r="29706" spans="17:17" x14ac:dyDescent="0.25">
      <c r="Q29706" s="8"/>
    </row>
    <row r="29707" spans="17:17" x14ac:dyDescent="0.25">
      <c r="Q29707" s="8"/>
    </row>
    <row r="29708" spans="17:17" x14ac:dyDescent="0.25">
      <c r="Q29708" s="8"/>
    </row>
    <row r="29709" spans="17:17" x14ac:dyDescent="0.25">
      <c r="Q29709" s="8"/>
    </row>
    <row r="29710" spans="17:17" x14ac:dyDescent="0.25">
      <c r="Q29710" s="8"/>
    </row>
    <row r="29711" spans="17:17" x14ac:dyDescent="0.25">
      <c r="Q29711" s="8"/>
    </row>
    <row r="29712" spans="17:17" x14ac:dyDescent="0.25">
      <c r="Q29712" s="8"/>
    </row>
    <row r="29713" spans="17:17" x14ac:dyDescent="0.25">
      <c r="Q29713" s="8"/>
    </row>
    <row r="29714" spans="17:17" x14ac:dyDescent="0.25">
      <c r="Q29714" s="8"/>
    </row>
    <row r="29715" spans="17:17" x14ac:dyDescent="0.25">
      <c r="Q29715" s="8"/>
    </row>
    <row r="29716" spans="17:17" x14ac:dyDescent="0.25">
      <c r="Q29716" s="8"/>
    </row>
    <row r="29717" spans="17:17" x14ac:dyDescent="0.25">
      <c r="Q29717" s="8"/>
    </row>
    <row r="29718" spans="17:17" x14ac:dyDescent="0.25">
      <c r="Q29718" s="8"/>
    </row>
    <row r="29719" spans="17:17" x14ac:dyDescent="0.25">
      <c r="Q29719" s="8"/>
    </row>
    <row r="29720" spans="17:17" x14ac:dyDescent="0.25">
      <c r="Q29720" s="8"/>
    </row>
    <row r="29721" spans="17:17" x14ac:dyDescent="0.25">
      <c r="Q29721" s="8"/>
    </row>
    <row r="29722" spans="17:17" x14ac:dyDescent="0.25">
      <c r="Q29722" s="8"/>
    </row>
    <row r="29723" spans="17:17" x14ac:dyDescent="0.25">
      <c r="Q29723" s="8"/>
    </row>
    <row r="29724" spans="17:17" x14ac:dyDescent="0.25">
      <c r="Q29724" s="8"/>
    </row>
    <row r="29725" spans="17:17" x14ac:dyDescent="0.25">
      <c r="Q29725" s="8"/>
    </row>
    <row r="29726" spans="17:17" x14ac:dyDescent="0.25">
      <c r="Q29726" s="8"/>
    </row>
    <row r="29727" spans="17:17" x14ac:dyDescent="0.25">
      <c r="Q29727" s="8"/>
    </row>
    <row r="29728" spans="17:17" x14ac:dyDescent="0.25">
      <c r="Q29728" s="8"/>
    </row>
    <row r="29729" spans="17:17" x14ac:dyDescent="0.25">
      <c r="Q29729" s="8"/>
    </row>
    <row r="29730" spans="17:17" x14ac:dyDescent="0.25">
      <c r="Q29730" s="8"/>
    </row>
    <row r="29731" spans="17:17" x14ac:dyDescent="0.25">
      <c r="Q29731" s="8"/>
    </row>
    <row r="29732" spans="17:17" x14ac:dyDescent="0.25">
      <c r="Q29732" s="8"/>
    </row>
    <row r="29733" spans="17:17" x14ac:dyDescent="0.25">
      <c r="Q29733" s="8"/>
    </row>
    <row r="29734" spans="17:17" x14ac:dyDescent="0.25">
      <c r="Q29734" s="8"/>
    </row>
    <row r="29735" spans="17:17" x14ac:dyDescent="0.25">
      <c r="Q29735" s="8"/>
    </row>
    <row r="29736" spans="17:17" x14ac:dyDescent="0.25">
      <c r="Q29736" s="8"/>
    </row>
    <row r="29737" spans="17:17" x14ac:dyDescent="0.25">
      <c r="Q29737" s="8"/>
    </row>
    <row r="29738" spans="17:17" x14ac:dyDescent="0.25">
      <c r="Q29738" s="8"/>
    </row>
    <row r="29739" spans="17:17" x14ac:dyDescent="0.25">
      <c r="Q29739" s="8"/>
    </row>
    <row r="29740" spans="17:17" x14ac:dyDescent="0.25">
      <c r="Q29740" s="8"/>
    </row>
    <row r="29741" spans="17:17" x14ac:dyDescent="0.25">
      <c r="Q29741" s="8"/>
    </row>
    <row r="29742" spans="17:17" x14ac:dyDescent="0.25">
      <c r="Q29742" s="8"/>
    </row>
    <row r="29743" spans="17:17" x14ac:dyDescent="0.25">
      <c r="Q29743" s="8"/>
    </row>
    <row r="29744" spans="17:17" x14ac:dyDescent="0.25">
      <c r="Q29744" s="8"/>
    </row>
    <row r="29745" spans="17:17" x14ac:dyDescent="0.25">
      <c r="Q29745" s="8"/>
    </row>
    <row r="29746" spans="17:17" x14ac:dyDescent="0.25">
      <c r="Q29746" s="8"/>
    </row>
    <row r="29747" spans="17:17" x14ac:dyDescent="0.25">
      <c r="Q29747" s="8"/>
    </row>
    <row r="29748" spans="17:17" x14ac:dyDescent="0.25">
      <c r="Q29748" s="8"/>
    </row>
    <row r="29749" spans="17:17" x14ac:dyDescent="0.25">
      <c r="Q29749" s="8"/>
    </row>
    <row r="29750" spans="17:17" x14ac:dyDescent="0.25">
      <c r="Q29750" s="8"/>
    </row>
    <row r="29751" spans="17:17" x14ac:dyDescent="0.25">
      <c r="Q29751" s="8"/>
    </row>
    <row r="29752" spans="17:17" x14ac:dyDescent="0.25">
      <c r="Q29752" s="8"/>
    </row>
    <row r="29753" spans="17:17" x14ac:dyDescent="0.25">
      <c r="Q29753" s="8"/>
    </row>
    <row r="29754" spans="17:17" x14ac:dyDescent="0.25">
      <c r="Q29754" s="8"/>
    </row>
    <row r="29755" spans="17:17" x14ac:dyDescent="0.25">
      <c r="Q29755" s="8"/>
    </row>
    <row r="29756" spans="17:17" x14ac:dyDescent="0.25">
      <c r="Q29756" s="8"/>
    </row>
    <row r="29757" spans="17:17" x14ac:dyDescent="0.25">
      <c r="Q29757" s="8"/>
    </row>
    <row r="29758" spans="17:17" x14ac:dyDescent="0.25">
      <c r="Q29758" s="8"/>
    </row>
    <row r="29759" spans="17:17" x14ac:dyDescent="0.25">
      <c r="Q29759" s="8"/>
    </row>
    <row r="29760" spans="17:17" x14ac:dyDescent="0.25">
      <c r="Q29760" s="8"/>
    </row>
    <row r="29761" spans="17:17" x14ac:dyDescent="0.25">
      <c r="Q29761" s="8"/>
    </row>
    <row r="29762" spans="17:17" x14ac:dyDescent="0.25">
      <c r="Q29762" s="8"/>
    </row>
    <row r="29763" spans="17:17" x14ac:dyDescent="0.25">
      <c r="Q29763" s="8"/>
    </row>
    <row r="29764" spans="17:17" x14ac:dyDescent="0.25">
      <c r="Q29764" s="8"/>
    </row>
    <row r="29765" spans="17:17" x14ac:dyDescent="0.25">
      <c r="Q29765" s="8"/>
    </row>
    <row r="29766" spans="17:17" x14ac:dyDescent="0.25">
      <c r="Q29766" s="8"/>
    </row>
    <row r="29767" spans="17:17" x14ac:dyDescent="0.25">
      <c r="Q29767" s="8"/>
    </row>
    <row r="29768" spans="17:17" x14ac:dyDescent="0.25">
      <c r="Q29768" s="8"/>
    </row>
    <row r="29769" spans="17:17" x14ac:dyDescent="0.25">
      <c r="Q29769" s="8"/>
    </row>
    <row r="29770" spans="17:17" x14ac:dyDescent="0.25">
      <c r="Q29770" s="8"/>
    </row>
    <row r="29771" spans="17:17" x14ac:dyDescent="0.25">
      <c r="Q29771" s="8"/>
    </row>
    <row r="29772" spans="17:17" x14ac:dyDescent="0.25">
      <c r="Q29772" s="8"/>
    </row>
    <row r="29773" spans="17:17" x14ac:dyDescent="0.25">
      <c r="Q29773" s="8"/>
    </row>
    <row r="29774" spans="17:17" x14ac:dyDescent="0.25">
      <c r="Q29774" s="8"/>
    </row>
    <row r="29775" spans="17:17" x14ac:dyDescent="0.25">
      <c r="Q29775" s="8"/>
    </row>
    <row r="29776" spans="17:17" x14ac:dyDescent="0.25">
      <c r="Q29776" s="8"/>
    </row>
    <row r="29777" spans="17:17" x14ac:dyDescent="0.25">
      <c r="Q29777" s="8"/>
    </row>
    <row r="29778" spans="17:17" x14ac:dyDescent="0.25">
      <c r="Q29778" s="8"/>
    </row>
    <row r="29779" spans="17:17" x14ac:dyDescent="0.25">
      <c r="Q29779" s="8"/>
    </row>
    <row r="29780" spans="17:17" x14ac:dyDescent="0.25">
      <c r="Q29780" s="8"/>
    </row>
    <row r="29781" spans="17:17" x14ac:dyDescent="0.25">
      <c r="Q29781" s="8"/>
    </row>
    <row r="29782" spans="17:17" x14ac:dyDescent="0.25">
      <c r="Q29782" s="8"/>
    </row>
    <row r="29783" spans="17:17" x14ac:dyDescent="0.25">
      <c r="Q29783" s="8"/>
    </row>
    <row r="29784" spans="17:17" x14ac:dyDescent="0.25">
      <c r="Q29784" s="8"/>
    </row>
    <row r="29785" spans="17:17" x14ac:dyDescent="0.25">
      <c r="Q29785" s="8"/>
    </row>
    <row r="29786" spans="17:17" x14ac:dyDescent="0.25">
      <c r="Q29786" s="8"/>
    </row>
    <row r="29787" spans="17:17" x14ac:dyDescent="0.25">
      <c r="Q29787" s="8"/>
    </row>
    <row r="29788" spans="17:17" x14ac:dyDescent="0.25">
      <c r="Q29788" s="8"/>
    </row>
    <row r="29789" spans="17:17" x14ac:dyDescent="0.25">
      <c r="Q29789" s="8"/>
    </row>
    <row r="29790" spans="17:17" x14ac:dyDescent="0.25">
      <c r="Q29790" s="8"/>
    </row>
    <row r="29791" spans="17:17" x14ac:dyDescent="0.25">
      <c r="Q29791" s="8"/>
    </row>
    <row r="29792" spans="17:17" x14ac:dyDescent="0.25">
      <c r="Q29792" s="8"/>
    </row>
    <row r="29793" spans="17:17" x14ac:dyDescent="0.25">
      <c r="Q29793" s="8"/>
    </row>
    <row r="29794" spans="17:17" x14ac:dyDescent="0.25">
      <c r="Q29794" s="8"/>
    </row>
    <row r="29795" spans="17:17" x14ac:dyDescent="0.25">
      <c r="Q29795" s="8"/>
    </row>
    <row r="29796" spans="17:17" x14ac:dyDescent="0.25">
      <c r="Q29796" s="8"/>
    </row>
    <row r="29797" spans="17:17" x14ac:dyDescent="0.25">
      <c r="Q29797" s="8"/>
    </row>
    <row r="29798" spans="17:17" x14ac:dyDescent="0.25">
      <c r="Q29798" s="8"/>
    </row>
    <row r="29799" spans="17:17" x14ac:dyDescent="0.25">
      <c r="Q29799" s="8"/>
    </row>
    <row r="29800" spans="17:17" x14ac:dyDescent="0.25">
      <c r="Q29800" s="8"/>
    </row>
    <row r="29801" spans="17:17" x14ac:dyDescent="0.25">
      <c r="Q29801" s="8"/>
    </row>
    <row r="29802" spans="17:17" x14ac:dyDescent="0.25">
      <c r="Q29802" s="8"/>
    </row>
    <row r="29803" spans="17:17" x14ac:dyDescent="0.25">
      <c r="Q29803" s="8"/>
    </row>
    <row r="29804" spans="17:17" x14ac:dyDescent="0.25">
      <c r="Q29804" s="8"/>
    </row>
    <row r="29805" spans="17:17" x14ac:dyDescent="0.25">
      <c r="Q29805" s="8"/>
    </row>
    <row r="29806" spans="17:17" x14ac:dyDescent="0.25">
      <c r="Q29806" s="8"/>
    </row>
    <row r="29807" spans="17:17" x14ac:dyDescent="0.25">
      <c r="Q29807" s="8"/>
    </row>
    <row r="29808" spans="17:17" x14ac:dyDescent="0.25">
      <c r="Q29808" s="8"/>
    </row>
    <row r="29809" spans="17:17" x14ac:dyDescent="0.25">
      <c r="Q29809" s="8"/>
    </row>
    <row r="29810" spans="17:17" x14ac:dyDescent="0.25">
      <c r="Q29810" s="8"/>
    </row>
    <row r="29811" spans="17:17" x14ac:dyDescent="0.25">
      <c r="Q29811" s="8"/>
    </row>
    <row r="29812" spans="17:17" x14ac:dyDescent="0.25">
      <c r="Q29812" s="8"/>
    </row>
    <row r="29813" spans="17:17" x14ac:dyDescent="0.25">
      <c r="Q29813" s="8"/>
    </row>
    <row r="29814" spans="17:17" x14ac:dyDescent="0.25">
      <c r="Q29814" s="8"/>
    </row>
    <row r="29815" spans="17:17" x14ac:dyDescent="0.25">
      <c r="Q29815" s="8"/>
    </row>
    <row r="29816" spans="17:17" x14ac:dyDescent="0.25">
      <c r="Q29816" s="8"/>
    </row>
    <row r="29817" spans="17:17" x14ac:dyDescent="0.25">
      <c r="Q29817" s="8"/>
    </row>
    <row r="29818" spans="17:17" x14ac:dyDescent="0.25">
      <c r="Q29818" s="8"/>
    </row>
    <row r="29819" spans="17:17" x14ac:dyDescent="0.25">
      <c r="Q29819" s="8"/>
    </row>
    <row r="29820" spans="17:17" x14ac:dyDescent="0.25">
      <c r="Q29820" s="8"/>
    </row>
    <row r="29821" spans="17:17" x14ac:dyDescent="0.25">
      <c r="Q29821" s="8"/>
    </row>
    <row r="29822" spans="17:17" x14ac:dyDescent="0.25">
      <c r="Q29822" s="8"/>
    </row>
    <row r="29823" spans="17:17" x14ac:dyDescent="0.25">
      <c r="Q29823" s="8"/>
    </row>
    <row r="29824" spans="17:17" x14ac:dyDescent="0.25">
      <c r="Q29824" s="8"/>
    </row>
    <row r="29825" spans="17:17" x14ac:dyDescent="0.25">
      <c r="Q29825" s="8"/>
    </row>
    <row r="29826" spans="17:17" x14ac:dyDescent="0.25">
      <c r="Q29826" s="8"/>
    </row>
    <row r="29827" spans="17:17" x14ac:dyDescent="0.25">
      <c r="Q29827" s="8"/>
    </row>
    <row r="29828" spans="17:17" x14ac:dyDescent="0.25">
      <c r="Q29828" s="8"/>
    </row>
    <row r="29829" spans="17:17" x14ac:dyDescent="0.25">
      <c r="Q29829" s="8"/>
    </row>
    <row r="29830" spans="17:17" x14ac:dyDescent="0.25">
      <c r="Q29830" s="8"/>
    </row>
    <row r="29831" spans="17:17" x14ac:dyDescent="0.25">
      <c r="Q29831" s="8"/>
    </row>
    <row r="29832" spans="17:17" x14ac:dyDescent="0.25">
      <c r="Q29832" s="8"/>
    </row>
    <row r="29833" spans="17:17" x14ac:dyDescent="0.25">
      <c r="Q29833" s="8"/>
    </row>
    <row r="29834" spans="17:17" x14ac:dyDescent="0.25">
      <c r="Q29834" s="8"/>
    </row>
    <row r="29835" spans="17:17" x14ac:dyDescent="0.25">
      <c r="Q29835" s="8"/>
    </row>
    <row r="29836" spans="17:17" x14ac:dyDescent="0.25">
      <c r="Q29836" s="8"/>
    </row>
    <row r="29837" spans="17:17" x14ac:dyDescent="0.25">
      <c r="Q29837" s="8"/>
    </row>
    <row r="29838" spans="17:17" x14ac:dyDescent="0.25">
      <c r="Q29838" s="8"/>
    </row>
    <row r="29839" spans="17:17" x14ac:dyDescent="0.25">
      <c r="Q29839" s="8"/>
    </row>
    <row r="29840" spans="17:17" x14ac:dyDescent="0.25">
      <c r="Q29840" s="8"/>
    </row>
    <row r="29841" spans="17:17" x14ac:dyDescent="0.25">
      <c r="Q29841" s="8"/>
    </row>
    <row r="29842" spans="17:17" x14ac:dyDescent="0.25">
      <c r="Q29842" s="8"/>
    </row>
    <row r="29843" spans="17:17" x14ac:dyDescent="0.25">
      <c r="Q29843" s="8"/>
    </row>
    <row r="29844" spans="17:17" x14ac:dyDescent="0.25">
      <c r="Q29844" s="8"/>
    </row>
    <row r="29845" spans="17:17" x14ac:dyDescent="0.25">
      <c r="Q29845" s="8"/>
    </row>
    <row r="29846" spans="17:17" x14ac:dyDescent="0.25">
      <c r="Q29846" s="8"/>
    </row>
    <row r="29847" spans="17:17" x14ac:dyDescent="0.25">
      <c r="Q29847" s="8"/>
    </row>
    <row r="29848" spans="17:17" x14ac:dyDescent="0.25">
      <c r="Q29848" s="8"/>
    </row>
    <row r="29849" spans="17:17" x14ac:dyDescent="0.25">
      <c r="Q29849" s="8"/>
    </row>
    <row r="29850" spans="17:17" x14ac:dyDescent="0.25">
      <c r="Q29850" s="8"/>
    </row>
    <row r="29851" spans="17:17" x14ac:dyDescent="0.25">
      <c r="Q29851" s="8"/>
    </row>
    <row r="29852" spans="17:17" x14ac:dyDescent="0.25">
      <c r="Q29852" s="8"/>
    </row>
    <row r="29853" spans="17:17" x14ac:dyDescent="0.25">
      <c r="Q29853" s="8"/>
    </row>
    <row r="29854" spans="17:17" x14ac:dyDescent="0.25">
      <c r="Q29854" s="8"/>
    </row>
    <row r="29855" spans="17:17" x14ac:dyDescent="0.25">
      <c r="Q29855" s="8"/>
    </row>
    <row r="29856" spans="17:17" x14ac:dyDescent="0.25">
      <c r="Q29856" s="8"/>
    </row>
    <row r="29857" spans="17:17" x14ac:dyDescent="0.25">
      <c r="Q29857" s="8"/>
    </row>
    <row r="29858" spans="17:17" x14ac:dyDescent="0.25">
      <c r="Q29858" s="8"/>
    </row>
    <row r="29859" spans="17:17" x14ac:dyDescent="0.25">
      <c r="Q29859" s="8"/>
    </row>
    <row r="29860" spans="17:17" x14ac:dyDescent="0.25">
      <c r="Q29860" s="8"/>
    </row>
    <row r="29861" spans="17:17" x14ac:dyDescent="0.25">
      <c r="Q29861" s="8"/>
    </row>
    <row r="29862" spans="17:17" x14ac:dyDescent="0.25">
      <c r="Q29862" s="8"/>
    </row>
    <row r="29863" spans="17:17" x14ac:dyDescent="0.25">
      <c r="Q29863" s="8"/>
    </row>
    <row r="29864" spans="17:17" x14ac:dyDescent="0.25">
      <c r="Q29864" s="8"/>
    </row>
    <row r="29865" spans="17:17" x14ac:dyDescent="0.25">
      <c r="Q29865" s="8"/>
    </row>
    <row r="29866" spans="17:17" x14ac:dyDescent="0.25">
      <c r="Q29866" s="8"/>
    </row>
    <row r="29867" spans="17:17" x14ac:dyDescent="0.25">
      <c r="Q29867" s="8"/>
    </row>
    <row r="29868" spans="17:17" x14ac:dyDescent="0.25">
      <c r="Q29868" s="8"/>
    </row>
    <row r="29869" spans="17:17" x14ac:dyDescent="0.25">
      <c r="Q29869" s="8"/>
    </row>
    <row r="29870" spans="17:17" x14ac:dyDescent="0.25">
      <c r="Q29870" s="8"/>
    </row>
    <row r="29871" spans="17:17" x14ac:dyDescent="0.25">
      <c r="Q29871" s="8"/>
    </row>
    <row r="29872" spans="17:17" x14ac:dyDescent="0.25">
      <c r="Q29872" s="8"/>
    </row>
    <row r="29873" spans="17:17" x14ac:dyDescent="0.25">
      <c r="Q29873" s="8"/>
    </row>
    <row r="29874" spans="17:17" x14ac:dyDescent="0.25">
      <c r="Q29874" s="8"/>
    </row>
    <row r="29875" spans="17:17" x14ac:dyDescent="0.25">
      <c r="Q29875" s="8"/>
    </row>
    <row r="29876" spans="17:17" x14ac:dyDescent="0.25">
      <c r="Q29876" s="8"/>
    </row>
    <row r="29877" spans="17:17" x14ac:dyDescent="0.25">
      <c r="Q29877" s="8"/>
    </row>
    <row r="29878" spans="17:17" x14ac:dyDescent="0.25">
      <c r="Q29878" s="8"/>
    </row>
    <row r="29879" spans="17:17" x14ac:dyDescent="0.25">
      <c r="Q29879" s="8"/>
    </row>
    <row r="29880" spans="17:17" x14ac:dyDescent="0.25">
      <c r="Q29880" s="8"/>
    </row>
    <row r="29881" spans="17:17" x14ac:dyDescent="0.25">
      <c r="Q29881" s="8"/>
    </row>
    <row r="29882" spans="17:17" x14ac:dyDescent="0.25">
      <c r="Q29882" s="8"/>
    </row>
    <row r="29883" spans="17:17" x14ac:dyDescent="0.25">
      <c r="Q29883" s="8"/>
    </row>
    <row r="29884" spans="17:17" x14ac:dyDescent="0.25">
      <c r="Q29884" s="8"/>
    </row>
    <row r="29885" spans="17:17" x14ac:dyDescent="0.25">
      <c r="Q29885" s="8"/>
    </row>
    <row r="29886" spans="17:17" x14ac:dyDescent="0.25">
      <c r="Q29886" s="8"/>
    </row>
    <row r="29887" spans="17:17" x14ac:dyDescent="0.25">
      <c r="Q29887" s="8"/>
    </row>
    <row r="29888" spans="17:17" x14ac:dyDescent="0.25">
      <c r="Q29888" s="8"/>
    </row>
    <row r="29889" spans="17:17" x14ac:dyDescent="0.25">
      <c r="Q29889" s="8"/>
    </row>
    <row r="29890" spans="17:17" x14ac:dyDescent="0.25">
      <c r="Q29890" s="8"/>
    </row>
    <row r="29891" spans="17:17" x14ac:dyDescent="0.25">
      <c r="Q29891" s="8"/>
    </row>
    <row r="29892" spans="17:17" x14ac:dyDescent="0.25">
      <c r="Q29892" s="8"/>
    </row>
    <row r="29893" spans="17:17" x14ac:dyDescent="0.25">
      <c r="Q29893" s="8"/>
    </row>
    <row r="29894" spans="17:17" x14ac:dyDescent="0.25">
      <c r="Q29894" s="8"/>
    </row>
    <row r="29895" spans="17:17" x14ac:dyDescent="0.25">
      <c r="Q29895" s="8"/>
    </row>
    <row r="29896" spans="17:17" x14ac:dyDescent="0.25">
      <c r="Q29896" s="8"/>
    </row>
    <row r="29897" spans="17:17" x14ac:dyDescent="0.25">
      <c r="Q29897" s="8"/>
    </row>
    <row r="29898" spans="17:17" x14ac:dyDescent="0.25">
      <c r="Q29898" s="8"/>
    </row>
    <row r="29899" spans="17:17" x14ac:dyDescent="0.25">
      <c r="Q29899" s="8"/>
    </row>
    <row r="29900" spans="17:17" x14ac:dyDescent="0.25">
      <c r="Q29900" s="8"/>
    </row>
    <row r="29901" spans="17:17" x14ac:dyDescent="0.25">
      <c r="Q29901" s="8"/>
    </row>
    <row r="29902" spans="17:17" x14ac:dyDescent="0.25">
      <c r="Q29902" s="8"/>
    </row>
    <row r="29903" spans="17:17" x14ac:dyDescent="0.25">
      <c r="Q29903" s="8"/>
    </row>
    <row r="29904" spans="17:17" x14ac:dyDescent="0.25">
      <c r="Q29904" s="8"/>
    </row>
    <row r="29905" spans="17:17" x14ac:dyDescent="0.25">
      <c r="Q29905" s="8"/>
    </row>
    <row r="29906" spans="17:17" x14ac:dyDescent="0.25">
      <c r="Q29906" s="8"/>
    </row>
    <row r="29907" spans="17:17" x14ac:dyDescent="0.25">
      <c r="Q29907" s="8"/>
    </row>
    <row r="29908" spans="17:17" x14ac:dyDescent="0.25">
      <c r="Q29908" s="8"/>
    </row>
    <row r="29909" spans="17:17" x14ac:dyDescent="0.25">
      <c r="Q29909" s="8"/>
    </row>
    <row r="29910" spans="17:17" x14ac:dyDescent="0.25">
      <c r="Q29910" s="8"/>
    </row>
    <row r="29911" spans="17:17" x14ac:dyDescent="0.25">
      <c r="Q29911" s="8"/>
    </row>
    <row r="29912" spans="17:17" x14ac:dyDescent="0.25">
      <c r="Q29912" s="8"/>
    </row>
    <row r="29913" spans="17:17" x14ac:dyDescent="0.25">
      <c r="Q29913" s="8"/>
    </row>
    <row r="29914" spans="17:17" x14ac:dyDescent="0.25">
      <c r="Q29914" s="8"/>
    </row>
    <row r="29915" spans="17:17" x14ac:dyDescent="0.25">
      <c r="Q29915" s="8"/>
    </row>
    <row r="29916" spans="17:17" x14ac:dyDescent="0.25">
      <c r="Q29916" s="8"/>
    </row>
    <row r="29917" spans="17:17" x14ac:dyDescent="0.25">
      <c r="Q29917" s="8"/>
    </row>
    <row r="29918" spans="17:17" x14ac:dyDescent="0.25">
      <c r="Q29918" s="8"/>
    </row>
    <row r="29919" spans="17:17" x14ac:dyDescent="0.25">
      <c r="Q29919" s="8"/>
    </row>
    <row r="29920" spans="17:17" x14ac:dyDescent="0.25">
      <c r="Q29920" s="8"/>
    </row>
    <row r="29921" spans="17:17" x14ac:dyDescent="0.25">
      <c r="Q29921" s="8"/>
    </row>
    <row r="29922" spans="17:17" x14ac:dyDescent="0.25">
      <c r="Q29922" s="8"/>
    </row>
    <row r="29923" spans="17:17" x14ac:dyDescent="0.25">
      <c r="Q29923" s="8"/>
    </row>
    <row r="29924" spans="17:17" x14ac:dyDescent="0.25">
      <c r="Q29924" s="8"/>
    </row>
    <row r="29925" spans="17:17" x14ac:dyDescent="0.25">
      <c r="Q29925" s="8"/>
    </row>
    <row r="29926" spans="17:17" x14ac:dyDescent="0.25">
      <c r="Q29926" s="8"/>
    </row>
    <row r="29927" spans="17:17" x14ac:dyDescent="0.25">
      <c r="Q29927" s="8"/>
    </row>
    <row r="29928" spans="17:17" x14ac:dyDescent="0.25">
      <c r="Q29928" s="8"/>
    </row>
    <row r="29929" spans="17:17" x14ac:dyDescent="0.25">
      <c r="Q29929" s="8"/>
    </row>
    <row r="29930" spans="17:17" x14ac:dyDescent="0.25">
      <c r="Q29930" s="8"/>
    </row>
    <row r="29931" spans="17:17" x14ac:dyDescent="0.25">
      <c r="Q29931" s="8"/>
    </row>
    <row r="29932" spans="17:17" x14ac:dyDescent="0.25">
      <c r="Q29932" s="8"/>
    </row>
    <row r="29933" spans="17:17" x14ac:dyDescent="0.25">
      <c r="Q29933" s="8"/>
    </row>
    <row r="29934" spans="17:17" x14ac:dyDescent="0.25">
      <c r="Q29934" s="8"/>
    </row>
    <row r="29935" spans="17:17" x14ac:dyDescent="0.25">
      <c r="Q29935" s="8"/>
    </row>
    <row r="29936" spans="17:17" x14ac:dyDescent="0.25">
      <c r="Q29936" s="8"/>
    </row>
    <row r="29937" spans="17:17" x14ac:dyDescent="0.25">
      <c r="Q29937" s="8"/>
    </row>
    <row r="29938" spans="17:17" x14ac:dyDescent="0.25">
      <c r="Q29938" s="8"/>
    </row>
    <row r="29939" spans="17:17" x14ac:dyDescent="0.25">
      <c r="Q29939" s="8"/>
    </row>
    <row r="29940" spans="17:17" x14ac:dyDescent="0.25">
      <c r="Q29940" s="8"/>
    </row>
    <row r="29941" spans="17:17" x14ac:dyDescent="0.25">
      <c r="Q29941" s="8"/>
    </row>
    <row r="29942" spans="17:17" x14ac:dyDescent="0.25">
      <c r="Q29942" s="8"/>
    </row>
    <row r="29943" spans="17:17" x14ac:dyDescent="0.25">
      <c r="Q29943" s="8"/>
    </row>
    <row r="29944" spans="17:17" x14ac:dyDescent="0.25">
      <c r="Q29944" s="8"/>
    </row>
    <row r="29945" spans="17:17" x14ac:dyDescent="0.25">
      <c r="Q29945" s="8"/>
    </row>
    <row r="29946" spans="17:17" x14ac:dyDescent="0.25">
      <c r="Q29946" s="8"/>
    </row>
    <row r="29947" spans="17:17" x14ac:dyDescent="0.25">
      <c r="Q29947" s="8"/>
    </row>
    <row r="29948" spans="17:17" x14ac:dyDescent="0.25">
      <c r="Q29948" s="8"/>
    </row>
    <row r="29949" spans="17:17" x14ac:dyDescent="0.25">
      <c r="Q29949" s="8"/>
    </row>
    <row r="29950" spans="17:17" x14ac:dyDescent="0.25">
      <c r="Q29950" s="8"/>
    </row>
    <row r="29951" spans="17:17" x14ac:dyDescent="0.25">
      <c r="Q29951" s="8"/>
    </row>
    <row r="29952" spans="17:17" x14ac:dyDescent="0.25">
      <c r="Q29952" s="8"/>
    </row>
    <row r="29953" spans="17:17" x14ac:dyDescent="0.25">
      <c r="Q29953" s="8"/>
    </row>
    <row r="29954" spans="17:17" x14ac:dyDescent="0.25">
      <c r="Q29954" s="8"/>
    </row>
    <row r="29955" spans="17:17" x14ac:dyDescent="0.25">
      <c r="Q29955" s="8"/>
    </row>
    <row r="29956" spans="17:17" x14ac:dyDescent="0.25">
      <c r="Q29956" s="8"/>
    </row>
    <row r="29957" spans="17:17" x14ac:dyDescent="0.25">
      <c r="Q29957" s="8"/>
    </row>
    <row r="29958" spans="17:17" x14ac:dyDescent="0.25">
      <c r="Q29958" s="8"/>
    </row>
    <row r="29959" spans="17:17" x14ac:dyDescent="0.25">
      <c r="Q29959" s="8"/>
    </row>
    <row r="29960" spans="17:17" x14ac:dyDescent="0.25">
      <c r="Q29960" s="8"/>
    </row>
    <row r="29961" spans="17:17" x14ac:dyDescent="0.25">
      <c r="Q29961" s="8"/>
    </row>
    <row r="29962" spans="17:17" x14ac:dyDescent="0.25">
      <c r="Q29962" s="8"/>
    </row>
    <row r="29963" spans="17:17" x14ac:dyDescent="0.25">
      <c r="Q29963" s="8"/>
    </row>
    <row r="29964" spans="17:17" x14ac:dyDescent="0.25">
      <c r="Q29964" s="8"/>
    </row>
    <row r="29965" spans="17:17" x14ac:dyDescent="0.25">
      <c r="Q29965" s="8"/>
    </row>
    <row r="29966" spans="17:17" x14ac:dyDescent="0.25">
      <c r="Q29966" s="8"/>
    </row>
    <row r="29967" spans="17:17" x14ac:dyDescent="0.25">
      <c r="Q29967" s="8"/>
    </row>
    <row r="29968" spans="17:17" x14ac:dyDescent="0.25">
      <c r="Q29968" s="8"/>
    </row>
    <row r="29969" spans="17:17" x14ac:dyDescent="0.25">
      <c r="Q29969" s="8"/>
    </row>
    <row r="29970" spans="17:17" x14ac:dyDescent="0.25">
      <c r="Q29970" s="8"/>
    </row>
    <row r="29971" spans="17:17" x14ac:dyDescent="0.25">
      <c r="Q29971" s="8"/>
    </row>
    <row r="29972" spans="17:17" x14ac:dyDescent="0.25">
      <c r="Q29972" s="8"/>
    </row>
    <row r="29973" spans="17:17" x14ac:dyDescent="0.25">
      <c r="Q29973" s="8"/>
    </row>
    <row r="29974" spans="17:17" x14ac:dyDescent="0.25">
      <c r="Q29974" s="8"/>
    </row>
    <row r="29975" spans="17:17" x14ac:dyDescent="0.25">
      <c r="Q29975" s="8"/>
    </row>
    <row r="29976" spans="17:17" x14ac:dyDescent="0.25">
      <c r="Q29976" s="8"/>
    </row>
    <row r="29977" spans="17:17" x14ac:dyDescent="0.25">
      <c r="Q29977" s="8"/>
    </row>
    <row r="29978" spans="17:17" x14ac:dyDescent="0.25">
      <c r="Q29978" s="8"/>
    </row>
    <row r="29979" spans="17:17" x14ac:dyDescent="0.25">
      <c r="Q29979" s="8"/>
    </row>
    <row r="29980" spans="17:17" x14ac:dyDescent="0.25">
      <c r="Q29980" s="8"/>
    </row>
    <row r="29981" spans="17:17" x14ac:dyDescent="0.25">
      <c r="Q29981" s="8"/>
    </row>
    <row r="29982" spans="17:17" x14ac:dyDescent="0.25">
      <c r="Q29982" s="8"/>
    </row>
    <row r="29983" spans="17:17" x14ac:dyDescent="0.25">
      <c r="Q29983" s="8"/>
    </row>
    <row r="29984" spans="17:17" x14ac:dyDescent="0.25">
      <c r="Q29984" s="8"/>
    </row>
    <row r="29985" spans="17:17" x14ac:dyDescent="0.25">
      <c r="Q29985" s="8"/>
    </row>
    <row r="29986" spans="17:17" x14ac:dyDescent="0.25">
      <c r="Q29986" s="8"/>
    </row>
    <row r="29987" spans="17:17" x14ac:dyDescent="0.25">
      <c r="Q29987" s="8"/>
    </row>
    <row r="29988" spans="17:17" x14ac:dyDescent="0.25">
      <c r="Q29988" s="8"/>
    </row>
    <row r="29989" spans="17:17" x14ac:dyDescent="0.25">
      <c r="Q29989" s="8"/>
    </row>
    <row r="29990" spans="17:17" x14ac:dyDescent="0.25">
      <c r="Q29990" s="8"/>
    </row>
    <row r="29991" spans="17:17" x14ac:dyDescent="0.25">
      <c r="Q29991" s="8"/>
    </row>
    <row r="29992" spans="17:17" x14ac:dyDescent="0.25">
      <c r="Q29992" s="8"/>
    </row>
    <row r="29993" spans="17:17" x14ac:dyDescent="0.25">
      <c r="Q29993" s="8"/>
    </row>
    <row r="29994" spans="17:17" x14ac:dyDescent="0.25">
      <c r="Q29994" s="8"/>
    </row>
    <row r="29995" spans="17:17" x14ac:dyDescent="0.25">
      <c r="Q29995" s="8"/>
    </row>
    <row r="29996" spans="17:17" x14ac:dyDescent="0.25">
      <c r="Q29996" s="8"/>
    </row>
    <row r="29997" spans="17:17" x14ac:dyDescent="0.25">
      <c r="Q29997" s="8"/>
    </row>
    <row r="29998" spans="17:17" x14ac:dyDescent="0.25">
      <c r="Q29998" s="8"/>
    </row>
    <row r="29999" spans="17:17" x14ac:dyDescent="0.25">
      <c r="Q29999" s="8"/>
    </row>
    <row r="30000" spans="17:17" x14ac:dyDescent="0.25">
      <c r="Q30000" s="8"/>
    </row>
    <row r="30001" spans="17:17" x14ac:dyDescent="0.25">
      <c r="Q30001" s="8"/>
    </row>
    <row r="30002" spans="17:17" x14ac:dyDescent="0.25">
      <c r="Q30002" s="8"/>
    </row>
    <row r="30003" spans="17:17" x14ac:dyDescent="0.25">
      <c r="Q30003" s="8"/>
    </row>
    <row r="30004" spans="17:17" x14ac:dyDescent="0.25">
      <c r="Q30004" s="8"/>
    </row>
    <row r="30005" spans="17:17" x14ac:dyDescent="0.25">
      <c r="Q30005" s="8"/>
    </row>
    <row r="30006" spans="17:17" x14ac:dyDescent="0.25">
      <c r="Q30006" s="8"/>
    </row>
    <row r="30007" spans="17:17" x14ac:dyDescent="0.25">
      <c r="Q30007" s="8"/>
    </row>
    <row r="30008" spans="17:17" x14ac:dyDescent="0.25">
      <c r="Q30008" s="8"/>
    </row>
    <row r="30009" spans="17:17" x14ac:dyDescent="0.25">
      <c r="Q30009" s="8"/>
    </row>
    <row r="30010" spans="17:17" x14ac:dyDescent="0.25">
      <c r="Q30010" s="8"/>
    </row>
    <row r="30011" spans="17:17" x14ac:dyDescent="0.25">
      <c r="Q30011" s="8"/>
    </row>
    <row r="30012" spans="17:17" x14ac:dyDescent="0.25">
      <c r="Q30012" s="8"/>
    </row>
    <row r="30013" spans="17:17" x14ac:dyDescent="0.25">
      <c r="Q30013" s="8"/>
    </row>
    <row r="30014" spans="17:17" x14ac:dyDescent="0.25">
      <c r="Q30014" s="8"/>
    </row>
    <row r="30015" spans="17:17" x14ac:dyDescent="0.25">
      <c r="Q30015" s="8"/>
    </row>
    <row r="30016" spans="17:17" x14ac:dyDescent="0.25">
      <c r="Q30016" s="8"/>
    </row>
    <row r="30017" spans="17:17" x14ac:dyDescent="0.25">
      <c r="Q30017" s="8"/>
    </row>
    <row r="30018" spans="17:17" x14ac:dyDescent="0.25">
      <c r="Q30018" s="8"/>
    </row>
    <row r="30019" spans="17:17" x14ac:dyDescent="0.25">
      <c r="Q30019" s="8"/>
    </row>
    <row r="30020" spans="17:17" x14ac:dyDescent="0.25">
      <c r="Q30020" s="8"/>
    </row>
    <row r="30021" spans="17:17" x14ac:dyDescent="0.25">
      <c r="Q30021" s="8"/>
    </row>
    <row r="30022" spans="17:17" x14ac:dyDescent="0.25">
      <c r="Q30022" s="8"/>
    </row>
    <row r="30023" spans="17:17" x14ac:dyDescent="0.25">
      <c r="Q30023" s="8"/>
    </row>
    <row r="30024" spans="17:17" x14ac:dyDescent="0.25">
      <c r="Q30024" s="8"/>
    </row>
    <row r="30025" spans="17:17" x14ac:dyDescent="0.25">
      <c r="Q30025" s="8"/>
    </row>
    <row r="30026" spans="17:17" x14ac:dyDescent="0.25">
      <c r="Q30026" s="8"/>
    </row>
    <row r="30027" spans="17:17" x14ac:dyDescent="0.25">
      <c r="Q30027" s="8"/>
    </row>
    <row r="30028" spans="17:17" x14ac:dyDescent="0.25">
      <c r="Q30028" s="8"/>
    </row>
    <row r="30029" spans="17:17" x14ac:dyDescent="0.25">
      <c r="Q30029" s="8"/>
    </row>
    <row r="30030" spans="17:17" x14ac:dyDescent="0.25">
      <c r="Q30030" s="8"/>
    </row>
    <row r="30031" spans="17:17" x14ac:dyDescent="0.25">
      <c r="Q30031" s="8"/>
    </row>
    <row r="30032" spans="17:17" x14ac:dyDescent="0.25">
      <c r="Q30032" s="8"/>
    </row>
    <row r="30033" spans="17:17" x14ac:dyDescent="0.25">
      <c r="Q30033" s="8"/>
    </row>
    <row r="30034" spans="17:17" x14ac:dyDescent="0.25">
      <c r="Q30034" s="8"/>
    </row>
    <row r="30035" spans="17:17" x14ac:dyDescent="0.25">
      <c r="Q30035" s="8"/>
    </row>
    <row r="30036" spans="17:17" x14ac:dyDescent="0.25">
      <c r="Q30036" s="8"/>
    </row>
    <row r="30037" spans="17:17" x14ac:dyDescent="0.25">
      <c r="Q30037" s="8"/>
    </row>
    <row r="30038" spans="17:17" x14ac:dyDescent="0.25">
      <c r="Q30038" s="8"/>
    </row>
    <row r="30039" spans="17:17" x14ac:dyDescent="0.25">
      <c r="Q30039" s="8"/>
    </row>
    <row r="30040" spans="17:17" x14ac:dyDescent="0.25">
      <c r="Q30040" s="8"/>
    </row>
    <row r="30041" spans="17:17" x14ac:dyDescent="0.25">
      <c r="Q30041" s="8"/>
    </row>
    <row r="30042" spans="17:17" x14ac:dyDescent="0.25">
      <c r="Q30042" s="8"/>
    </row>
    <row r="30043" spans="17:17" x14ac:dyDescent="0.25">
      <c r="Q30043" s="8"/>
    </row>
    <row r="30044" spans="17:17" x14ac:dyDescent="0.25">
      <c r="Q30044" s="8"/>
    </row>
    <row r="30045" spans="17:17" x14ac:dyDescent="0.25">
      <c r="Q30045" s="8"/>
    </row>
    <row r="30046" spans="17:17" x14ac:dyDescent="0.25">
      <c r="Q30046" s="8"/>
    </row>
    <row r="30047" spans="17:17" x14ac:dyDescent="0.25">
      <c r="Q30047" s="8"/>
    </row>
    <row r="30048" spans="17:17" x14ac:dyDescent="0.25">
      <c r="Q30048" s="8"/>
    </row>
    <row r="30049" spans="17:17" x14ac:dyDescent="0.25">
      <c r="Q30049" s="8"/>
    </row>
    <row r="30050" spans="17:17" x14ac:dyDescent="0.25">
      <c r="Q30050" s="8"/>
    </row>
    <row r="30051" spans="17:17" x14ac:dyDescent="0.25">
      <c r="Q30051" s="8"/>
    </row>
    <row r="30052" spans="17:17" x14ac:dyDescent="0.25">
      <c r="Q30052" s="8"/>
    </row>
    <row r="30053" spans="17:17" x14ac:dyDescent="0.25">
      <c r="Q30053" s="8"/>
    </row>
    <row r="30054" spans="17:17" x14ac:dyDescent="0.25">
      <c r="Q30054" s="8"/>
    </row>
    <row r="30055" spans="17:17" x14ac:dyDescent="0.25">
      <c r="Q30055" s="8"/>
    </row>
    <row r="30056" spans="17:17" x14ac:dyDescent="0.25">
      <c r="Q30056" s="8"/>
    </row>
    <row r="30057" spans="17:17" x14ac:dyDescent="0.25">
      <c r="Q30057" s="8"/>
    </row>
    <row r="30058" spans="17:17" x14ac:dyDescent="0.25">
      <c r="Q30058" s="8"/>
    </row>
    <row r="30059" spans="17:17" x14ac:dyDescent="0.25">
      <c r="Q30059" s="8"/>
    </row>
    <row r="30060" spans="17:17" x14ac:dyDescent="0.25">
      <c r="Q30060" s="8"/>
    </row>
    <row r="30061" spans="17:17" x14ac:dyDescent="0.25">
      <c r="Q30061" s="8"/>
    </row>
    <row r="30062" spans="17:17" x14ac:dyDescent="0.25">
      <c r="Q30062" s="8"/>
    </row>
    <row r="30063" spans="17:17" x14ac:dyDescent="0.25">
      <c r="Q30063" s="8"/>
    </row>
    <row r="30064" spans="17:17" x14ac:dyDescent="0.25">
      <c r="Q30064" s="8"/>
    </row>
    <row r="30065" spans="17:17" x14ac:dyDescent="0.25">
      <c r="Q30065" s="8"/>
    </row>
    <row r="30066" spans="17:17" x14ac:dyDescent="0.25">
      <c r="Q30066" s="8"/>
    </row>
    <row r="30067" spans="17:17" x14ac:dyDescent="0.25">
      <c r="Q30067" s="8"/>
    </row>
    <row r="30068" spans="17:17" x14ac:dyDescent="0.25">
      <c r="Q30068" s="8"/>
    </row>
    <row r="30069" spans="17:17" x14ac:dyDescent="0.25">
      <c r="Q30069" s="8"/>
    </row>
    <row r="30070" spans="17:17" x14ac:dyDescent="0.25">
      <c r="Q30070" s="8"/>
    </row>
    <row r="30071" spans="17:17" x14ac:dyDescent="0.25">
      <c r="Q30071" s="8"/>
    </row>
    <row r="30072" spans="17:17" x14ac:dyDescent="0.25">
      <c r="Q30072" s="8"/>
    </row>
    <row r="30073" spans="17:17" x14ac:dyDescent="0.25">
      <c r="Q30073" s="8"/>
    </row>
    <row r="30074" spans="17:17" x14ac:dyDescent="0.25">
      <c r="Q30074" s="8"/>
    </row>
    <row r="30075" spans="17:17" x14ac:dyDescent="0.25">
      <c r="Q30075" s="8"/>
    </row>
    <row r="30076" spans="17:17" x14ac:dyDescent="0.25">
      <c r="Q30076" s="8"/>
    </row>
    <row r="30077" spans="17:17" x14ac:dyDescent="0.25">
      <c r="Q30077" s="8"/>
    </row>
    <row r="30078" spans="17:17" x14ac:dyDescent="0.25">
      <c r="Q30078" s="8"/>
    </row>
    <row r="30079" spans="17:17" x14ac:dyDescent="0.25">
      <c r="Q30079" s="8"/>
    </row>
    <row r="30080" spans="17:17" x14ac:dyDescent="0.25">
      <c r="Q30080" s="8"/>
    </row>
    <row r="30081" spans="17:17" x14ac:dyDescent="0.25">
      <c r="Q30081" s="8"/>
    </row>
    <row r="30082" spans="17:17" x14ac:dyDescent="0.25">
      <c r="Q30082" s="8"/>
    </row>
    <row r="30083" spans="17:17" x14ac:dyDescent="0.25">
      <c r="Q30083" s="8"/>
    </row>
    <row r="30084" spans="17:17" x14ac:dyDescent="0.25">
      <c r="Q30084" s="8"/>
    </row>
    <row r="30085" spans="17:17" x14ac:dyDescent="0.25">
      <c r="Q30085" s="8"/>
    </row>
    <row r="30086" spans="17:17" x14ac:dyDescent="0.25">
      <c r="Q30086" s="8"/>
    </row>
    <row r="30087" spans="17:17" x14ac:dyDescent="0.25">
      <c r="Q30087" s="8"/>
    </row>
    <row r="30088" spans="17:17" x14ac:dyDescent="0.25">
      <c r="Q30088" s="8"/>
    </row>
    <row r="30089" spans="17:17" x14ac:dyDescent="0.25">
      <c r="Q30089" s="8"/>
    </row>
    <row r="30090" spans="17:17" x14ac:dyDescent="0.25">
      <c r="Q30090" s="8"/>
    </row>
    <row r="30091" spans="17:17" x14ac:dyDescent="0.25">
      <c r="Q30091" s="8"/>
    </row>
    <row r="30092" spans="17:17" x14ac:dyDescent="0.25">
      <c r="Q30092" s="8"/>
    </row>
    <row r="30093" spans="17:17" x14ac:dyDescent="0.25">
      <c r="Q30093" s="8"/>
    </row>
    <row r="30094" spans="17:17" x14ac:dyDescent="0.25">
      <c r="Q30094" s="8"/>
    </row>
    <row r="30095" spans="17:17" x14ac:dyDescent="0.25">
      <c r="Q30095" s="8"/>
    </row>
    <row r="30096" spans="17:17" x14ac:dyDescent="0.25">
      <c r="Q30096" s="8"/>
    </row>
    <row r="30097" spans="17:17" x14ac:dyDescent="0.25">
      <c r="Q30097" s="8"/>
    </row>
    <row r="30098" spans="17:17" x14ac:dyDescent="0.25">
      <c r="Q30098" s="8"/>
    </row>
    <row r="30099" spans="17:17" x14ac:dyDescent="0.25">
      <c r="Q30099" s="8"/>
    </row>
    <row r="30100" spans="17:17" x14ac:dyDescent="0.25">
      <c r="Q30100" s="8"/>
    </row>
    <row r="30101" spans="17:17" x14ac:dyDescent="0.25">
      <c r="Q30101" s="8"/>
    </row>
    <row r="30102" spans="17:17" x14ac:dyDescent="0.25">
      <c r="Q30102" s="8"/>
    </row>
    <row r="30103" spans="17:17" x14ac:dyDescent="0.25">
      <c r="Q30103" s="8"/>
    </row>
    <row r="30104" spans="17:17" x14ac:dyDescent="0.25">
      <c r="Q30104" s="8"/>
    </row>
    <row r="30105" spans="17:17" x14ac:dyDescent="0.25">
      <c r="Q30105" s="8"/>
    </row>
    <row r="30106" spans="17:17" x14ac:dyDescent="0.25">
      <c r="Q30106" s="8"/>
    </row>
    <row r="30107" spans="17:17" x14ac:dyDescent="0.25">
      <c r="Q30107" s="8"/>
    </row>
    <row r="30108" spans="17:17" x14ac:dyDescent="0.25">
      <c r="Q30108" s="8"/>
    </row>
    <row r="30109" spans="17:17" x14ac:dyDescent="0.25">
      <c r="Q30109" s="8"/>
    </row>
    <row r="30110" spans="17:17" x14ac:dyDescent="0.25">
      <c r="Q30110" s="8"/>
    </row>
    <row r="30111" spans="17:17" x14ac:dyDescent="0.25">
      <c r="Q30111" s="8"/>
    </row>
    <row r="30112" spans="17:17" x14ac:dyDescent="0.25">
      <c r="Q30112" s="8"/>
    </row>
    <row r="30113" spans="17:17" x14ac:dyDescent="0.25">
      <c r="Q30113" s="8"/>
    </row>
    <row r="30114" spans="17:17" x14ac:dyDescent="0.25">
      <c r="Q30114" s="8"/>
    </row>
    <row r="30115" spans="17:17" x14ac:dyDescent="0.25">
      <c r="Q30115" s="8"/>
    </row>
    <row r="30116" spans="17:17" x14ac:dyDescent="0.25">
      <c r="Q30116" s="8"/>
    </row>
    <row r="30117" spans="17:17" x14ac:dyDescent="0.25">
      <c r="Q30117" s="8"/>
    </row>
    <row r="30118" spans="17:17" x14ac:dyDescent="0.25">
      <c r="Q30118" s="8"/>
    </row>
    <row r="30119" spans="17:17" x14ac:dyDescent="0.25">
      <c r="Q30119" s="8"/>
    </row>
    <row r="30120" spans="17:17" x14ac:dyDescent="0.25">
      <c r="Q30120" s="8"/>
    </row>
    <row r="30121" spans="17:17" x14ac:dyDescent="0.25">
      <c r="Q30121" s="8"/>
    </row>
    <row r="30122" spans="17:17" x14ac:dyDescent="0.25">
      <c r="Q30122" s="8"/>
    </row>
    <row r="30123" spans="17:17" x14ac:dyDescent="0.25">
      <c r="Q30123" s="8"/>
    </row>
    <row r="30124" spans="17:17" x14ac:dyDescent="0.25">
      <c r="Q30124" s="8"/>
    </row>
    <row r="30125" spans="17:17" x14ac:dyDescent="0.25">
      <c r="Q30125" s="8"/>
    </row>
    <row r="30126" spans="17:17" x14ac:dyDescent="0.25">
      <c r="Q30126" s="8"/>
    </row>
    <row r="30127" spans="17:17" x14ac:dyDescent="0.25">
      <c r="Q30127" s="8"/>
    </row>
    <row r="30128" spans="17:17" x14ac:dyDescent="0.25">
      <c r="Q30128" s="8"/>
    </row>
    <row r="30129" spans="17:17" x14ac:dyDescent="0.25">
      <c r="Q30129" s="8"/>
    </row>
    <row r="30130" spans="17:17" x14ac:dyDescent="0.25">
      <c r="Q30130" s="8"/>
    </row>
    <row r="30131" spans="17:17" x14ac:dyDescent="0.25">
      <c r="Q30131" s="8"/>
    </row>
    <row r="30132" spans="17:17" x14ac:dyDescent="0.25">
      <c r="Q30132" s="8"/>
    </row>
    <row r="30133" spans="17:17" x14ac:dyDescent="0.25">
      <c r="Q30133" s="8"/>
    </row>
    <row r="30134" spans="17:17" x14ac:dyDescent="0.25">
      <c r="Q30134" s="8"/>
    </row>
    <row r="30135" spans="17:17" x14ac:dyDescent="0.25">
      <c r="Q30135" s="8"/>
    </row>
    <row r="30136" spans="17:17" x14ac:dyDescent="0.25">
      <c r="Q30136" s="8"/>
    </row>
    <row r="30137" spans="17:17" x14ac:dyDescent="0.25">
      <c r="Q30137" s="8"/>
    </row>
    <row r="30138" spans="17:17" x14ac:dyDescent="0.25">
      <c r="Q30138" s="8"/>
    </row>
    <row r="30139" spans="17:17" x14ac:dyDescent="0.25">
      <c r="Q30139" s="8"/>
    </row>
    <row r="30140" spans="17:17" x14ac:dyDescent="0.25">
      <c r="Q30140" s="8"/>
    </row>
    <row r="30141" spans="17:17" x14ac:dyDescent="0.25">
      <c r="Q30141" s="8"/>
    </row>
    <row r="30142" spans="17:17" x14ac:dyDescent="0.25">
      <c r="Q30142" s="8"/>
    </row>
    <row r="30143" spans="17:17" x14ac:dyDescent="0.25">
      <c r="Q30143" s="8"/>
    </row>
    <row r="30144" spans="17:17" x14ac:dyDescent="0.25">
      <c r="Q30144" s="8"/>
    </row>
    <row r="30145" spans="17:17" x14ac:dyDescent="0.25">
      <c r="Q30145" s="8"/>
    </row>
    <row r="30146" spans="17:17" x14ac:dyDescent="0.25">
      <c r="Q30146" s="8"/>
    </row>
    <row r="30147" spans="17:17" x14ac:dyDescent="0.25">
      <c r="Q30147" s="8"/>
    </row>
    <row r="30148" spans="17:17" x14ac:dyDescent="0.25">
      <c r="Q30148" s="8"/>
    </row>
    <row r="30149" spans="17:17" x14ac:dyDescent="0.25">
      <c r="Q30149" s="8"/>
    </row>
    <row r="30150" spans="17:17" x14ac:dyDescent="0.25">
      <c r="Q30150" s="8"/>
    </row>
    <row r="30151" spans="17:17" x14ac:dyDescent="0.25">
      <c r="Q30151" s="8"/>
    </row>
    <row r="30152" spans="17:17" x14ac:dyDescent="0.25">
      <c r="Q30152" s="8"/>
    </row>
    <row r="30153" spans="17:17" x14ac:dyDescent="0.25">
      <c r="Q30153" s="8"/>
    </row>
    <row r="30154" spans="17:17" x14ac:dyDescent="0.25">
      <c r="Q30154" s="8"/>
    </row>
    <row r="30155" spans="17:17" x14ac:dyDescent="0.25">
      <c r="Q30155" s="8"/>
    </row>
    <row r="30156" spans="17:17" x14ac:dyDescent="0.25">
      <c r="Q30156" s="8"/>
    </row>
    <row r="30157" spans="17:17" x14ac:dyDescent="0.25">
      <c r="Q30157" s="8"/>
    </row>
    <row r="30158" spans="17:17" x14ac:dyDescent="0.25">
      <c r="Q30158" s="8"/>
    </row>
    <row r="30159" spans="17:17" x14ac:dyDescent="0.25">
      <c r="Q30159" s="8"/>
    </row>
    <row r="30160" spans="17:17" x14ac:dyDescent="0.25">
      <c r="Q30160" s="8"/>
    </row>
    <row r="30161" spans="17:17" x14ac:dyDescent="0.25">
      <c r="Q30161" s="8"/>
    </row>
    <row r="30162" spans="17:17" x14ac:dyDescent="0.25">
      <c r="Q30162" s="8"/>
    </row>
    <row r="30163" spans="17:17" x14ac:dyDescent="0.25">
      <c r="Q30163" s="8"/>
    </row>
    <row r="30164" spans="17:17" x14ac:dyDescent="0.25">
      <c r="Q30164" s="8"/>
    </row>
    <row r="30165" spans="17:17" x14ac:dyDescent="0.25">
      <c r="Q30165" s="8"/>
    </row>
    <row r="30166" spans="17:17" x14ac:dyDescent="0.25">
      <c r="Q30166" s="8"/>
    </row>
    <row r="30167" spans="17:17" x14ac:dyDescent="0.25">
      <c r="Q30167" s="8"/>
    </row>
    <row r="30168" spans="17:17" x14ac:dyDescent="0.25">
      <c r="Q30168" s="8"/>
    </row>
    <row r="30169" spans="17:17" x14ac:dyDescent="0.25">
      <c r="Q30169" s="8"/>
    </row>
    <row r="30170" spans="17:17" x14ac:dyDescent="0.25">
      <c r="Q30170" s="8"/>
    </row>
    <row r="30171" spans="17:17" x14ac:dyDescent="0.25">
      <c r="Q30171" s="8"/>
    </row>
    <row r="30172" spans="17:17" x14ac:dyDescent="0.25">
      <c r="Q30172" s="8"/>
    </row>
    <row r="30173" spans="17:17" x14ac:dyDescent="0.25">
      <c r="Q30173" s="8"/>
    </row>
    <row r="30174" spans="17:17" x14ac:dyDescent="0.25">
      <c r="Q30174" s="8"/>
    </row>
    <row r="30175" spans="17:17" x14ac:dyDescent="0.25">
      <c r="Q30175" s="8"/>
    </row>
    <row r="30176" spans="17:17" x14ac:dyDescent="0.25">
      <c r="Q30176" s="8"/>
    </row>
    <row r="30177" spans="17:17" x14ac:dyDescent="0.25">
      <c r="Q30177" s="8"/>
    </row>
    <row r="30178" spans="17:17" x14ac:dyDescent="0.25">
      <c r="Q30178" s="8"/>
    </row>
    <row r="30179" spans="17:17" x14ac:dyDescent="0.25">
      <c r="Q30179" s="8"/>
    </row>
    <row r="30180" spans="17:17" x14ac:dyDescent="0.25">
      <c r="Q30180" s="8"/>
    </row>
    <row r="30181" spans="17:17" x14ac:dyDescent="0.25">
      <c r="Q30181" s="8"/>
    </row>
    <row r="30182" spans="17:17" x14ac:dyDescent="0.25">
      <c r="Q30182" s="8"/>
    </row>
    <row r="30183" spans="17:17" x14ac:dyDescent="0.25">
      <c r="Q30183" s="8"/>
    </row>
    <row r="30184" spans="17:17" x14ac:dyDescent="0.25">
      <c r="Q30184" s="8"/>
    </row>
    <row r="30185" spans="17:17" x14ac:dyDescent="0.25">
      <c r="Q30185" s="8"/>
    </row>
    <row r="30186" spans="17:17" x14ac:dyDescent="0.25">
      <c r="Q30186" s="8"/>
    </row>
    <row r="30187" spans="17:17" x14ac:dyDescent="0.25">
      <c r="Q30187" s="8"/>
    </row>
    <row r="30188" spans="17:17" x14ac:dyDescent="0.25">
      <c r="Q30188" s="8"/>
    </row>
    <row r="30189" spans="17:17" x14ac:dyDescent="0.25">
      <c r="Q30189" s="8"/>
    </row>
    <row r="30190" spans="17:17" x14ac:dyDescent="0.25">
      <c r="Q30190" s="8"/>
    </row>
    <row r="30191" spans="17:17" x14ac:dyDescent="0.25">
      <c r="Q30191" s="8"/>
    </row>
    <row r="30192" spans="17:17" x14ac:dyDescent="0.25">
      <c r="Q30192" s="8"/>
    </row>
    <row r="30193" spans="17:17" x14ac:dyDescent="0.25">
      <c r="Q30193" s="8"/>
    </row>
    <row r="30194" spans="17:17" x14ac:dyDescent="0.25">
      <c r="Q30194" s="8"/>
    </row>
    <row r="30195" spans="17:17" x14ac:dyDescent="0.25">
      <c r="Q30195" s="8"/>
    </row>
    <row r="30196" spans="17:17" x14ac:dyDescent="0.25">
      <c r="Q30196" s="8"/>
    </row>
    <row r="30197" spans="17:17" x14ac:dyDescent="0.25">
      <c r="Q30197" s="8"/>
    </row>
    <row r="30198" spans="17:17" x14ac:dyDescent="0.25">
      <c r="Q30198" s="8"/>
    </row>
    <row r="30199" spans="17:17" x14ac:dyDescent="0.25">
      <c r="Q30199" s="8"/>
    </row>
    <row r="30200" spans="17:17" x14ac:dyDescent="0.25">
      <c r="Q30200" s="8"/>
    </row>
    <row r="30201" spans="17:17" x14ac:dyDescent="0.25">
      <c r="Q30201" s="8"/>
    </row>
    <row r="30202" spans="17:17" x14ac:dyDescent="0.25">
      <c r="Q30202" s="8"/>
    </row>
    <row r="30203" spans="17:17" x14ac:dyDescent="0.25">
      <c r="Q30203" s="8"/>
    </row>
    <row r="30204" spans="17:17" x14ac:dyDescent="0.25">
      <c r="Q30204" s="8"/>
    </row>
    <row r="30205" spans="17:17" x14ac:dyDescent="0.25">
      <c r="Q30205" s="8"/>
    </row>
    <row r="30206" spans="17:17" x14ac:dyDescent="0.25">
      <c r="Q30206" s="8"/>
    </row>
    <row r="30207" spans="17:17" x14ac:dyDescent="0.25">
      <c r="Q30207" s="8"/>
    </row>
    <row r="30208" spans="17:17" x14ac:dyDescent="0.25">
      <c r="Q30208" s="8"/>
    </row>
    <row r="30209" spans="17:17" x14ac:dyDescent="0.25">
      <c r="Q30209" s="8"/>
    </row>
    <row r="30210" spans="17:17" x14ac:dyDescent="0.25">
      <c r="Q30210" s="8"/>
    </row>
    <row r="30211" spans="17:17" x14ac:dyDescent="0.25">
      <c r="Q30211" s="8"/>
    </row>
    <row r="30212" spans="17:17" x14ac:dyDescent="0.25">
      <c r="Q30212" s="8"/>
    </row>
    <row r="30213" spans="17:17" x14ac:dyDescent="0.25">
      <c r="Q30213" s="8"/>
    </row>
    <row r="30214" spans="17:17" x14ac:dyDescent="0.25">
      <c r="Q30214" s="8"/>
    </row>
    <row r="30215" spans="17:17" x14ac:dyDescent="0.25">
      <c r="Q30215" s="8"/>
    </row>
    <row r="30216" spans="17:17" x14ac:dyDescent="0.25">
      <c r="Q30216" s="8"/>
    </row>
    <row r="30217" spans="17:17" x14ac:dyDescent="0.25">
      <c r="Q30217" s="8"/>
    </row>
    <row r="30218" spans="17:17" x14ac:dyDescent="0.25">
      <c r="Q30218" s="8"/>
    </row>
    <row r="30219" spans="17:17" x14ac:dyDescent="0.25">
      <c r="Q30219" s="8"/>
    </row>
    <row r="30220" spans="17:17" x14ac:dyDescent="0.25">
      <c r="Q30220" s="8"/>
    </row>
    <row r="30221" spans="17:17" x14ac:dyDescent="0.25">
      <c r="Q30221" s="8"/>
    </row>
    <row r="30222" spans="17:17" x14ac:dyDescent="0.25">
      <c r="Q30222" s="8"/>
    </row>
    <row r="30223" spans="17:17" x14ac:dyDescent="0.25">
      <c r="Q30223" s="8"/>
    </row>
    <row r="30224" spans="17:17" x14ac:dyDescent="0.25">
      <c r="Q30224" s="8"/>
    </row>
    <row r="30225" spans="17:17" x14ac:dyDescent="0.25">
      <c r="Q30225" s="8"/>
    </row>
    <row r="30226" spans="17:17" x14ac:dyDescent="0.25">
      <c r="Q30226" s="8"/>
    </row>
    <row r="30227" spans="17:17" x14ac:dyDescent="0.25">
      <c r="Q30227" s="8"/>
    </row>
    <row r="30228" spans="17:17" x14ac:dyDescent="0.25">
      <c r="Q30228" s="8"/>
    </row>
    <row r="30229" spans="17:17" x14ac:dyDescent="0.25">
      <c r="Q30229" s="8"/>
    </row>
    <row r="30230" spans="17:17" x14ac:dyDescent="0.25">
      <c r="Q30230" s="8"/>
    </row>
    <row r="30231" spans="17:17" x14ac:dyDescent="0.25">
      <c r="Q30231" s="8"/>
    </row>
    <row r="30232" spans="17:17" x14ac:dyDescent="0.25">
      <c r="Q30232" s="8"/>
    </row>
    <row r="30233" spans="17:17" x14ac:dyDescent="0.25">
      <c r="Q30233" s="8"/>
    </row>
    <row r="30234" spans="17:17" x14ac:dyDescent="0.25">
      <c r="Q30234" s="8"/>
    </row>
    <row r="30235" spans="17:17" x14ac:dyDescent="0.25">
      <c r="Q30235" s="8"/>
    </row>
    <row r="30236" spans="17:17" x14ac:dyDescent="0.25">
      <c r="Q30236" s="8"/>
    </row>
    <row r="30237" spans="17:17" x14ac:dyDescent="0.25">
      <c r="Q30237" s="8"/>
    </row>
    <row r="30238" spans="17:17" x14ac:dyDescent="0.25">
      <c r="Q30238" s="8"/>
    </row>
    <row r="30239" spans="17:17" x14ac:dyDescent="0.25">
      <c r="Q30239" s="8"/>
    </row>
    <row r="30240" spans="17:17" x14ac:dyDescent="0.25">
      <c r="Q30240" s="8"/>
    </row>
    <row r="30241" spans="17:17" x14ac:dyDescent="0.25">
      <c r="Q30241" s="8"/>
    </row>
    <row r="30242" spans="17:17" x14ac:dyDescent="0.25">
      <c r="Q30242" s="8"/>
    </row>
    <row r="30243" spans="17:17" x14ac:dyDescent="0.25">
      <c r="Q30243" s="8"/>
    </row>
    <row r="30244" spans="17:17" x14ac:dyDescent="0.25">
      <c r="Q30244" s="8"/>
    </row>
    <row r="30245" spans="17:17" x14ac:dyDescent="0.25">
      <c r="Q30245" s="8"/>
    </row>
    <row r="30246" spans="17:17" x14ac:dyDescent="0.25">
      <c r="Q30246" s="8"/>
    </row>
    <row r="30247" spans="17:17" x14ac:dyDescent="0.25">
      <c r="Q30247" s="8"/>
    </row>
    <row r="30248" spans="17:17" x14ac:dyDescent="0.25">
      <c r="Q30248" s="8"/>
    </row>
    <row r="30249" spans="17:17" x14ac:dyDescent="0.25">
      <c r="Q30249" s="8"/>
    </row>
    <row r="30250" spans="17:17" x14ac:dyDescent="0.25">
      <c r="Q30250" s="8"/>
    </row>
    <row r="30251" spans="17:17" x14ac:dyDescent="0.25">
      <c r="Q30251" s="8"/>
    </row>
    <row r="30252" spans="17:17" x14ac:dyDescent="0.25">
      <c r="Q30252" s="8"/>
    </row>
    <row r="30253" spans="17:17" x14ac:dyDescent="0.25">
      <c r="Q30253" s="8"/>
    </row>
    <row r="30254" spans="17:17" x14ac:dyDescent="0.25">
      <c r="Q30254" s="8"/>
    </row>
    <row r="30255" spans="17:17" x14ac:dyDescent="0.25">
      <c r="Q30255" s="8"/>
    </row>
    <row r="30256" spans="17:17" x14ac:dyDescent="0.25">
      <c r="Q30256" s="8"/>
    </row>
    <row r="30257" spans="17:17" x14ac:dyDescent="0.25">
      <c r="Q30257" s="8"/>
    </row>
    <row r="30258" spans="17:17" x14ac:dyDescent="0.25">
      <c r="Q30258" s="8"/>
    </row>
    <row r="30259" spans="17:17" x14ac:dyDescent="0.25">
      <c r="Q30259" s="8"/>
    </row>
    <row r="30260" spans="17:17" x14ac:dyDescent="0.25">
      <c r="Q30260" s="8"/>
    </row>
    <row r="30261" spans="17:17" x14ac:dyDescent="0.25">
      <c r="Q30261" s="8"/>
    </row>
    <row r="30262" spans="17:17" x14ac:dyDescent="0.25">
      <c r="Q30262" s="8"/>
    </row>
    <row r="30263" spans="17:17" x14ac:dyDescent="0.25">
      <c r="Q30263" s="8"/>
    </row>
    <row r="30264" spans="17:17" x14ac:dyDescent="0.25">
      <c r="Q30264" s="8"/>
    </row>
    <row r="30265" spans="17:17" x14ac:dyDescent="0.25">
      <c r="Q30265" s="8"/>
    </row>
    <row r="30266" spans="17:17" x14ac:dyDescent="0.25">
      <c r="Q30266" s="8"/>
    </row>
    <row r="30267" spans="17:17" x14ac:dyDescent="0.25">
      <c r="Q30267" s="8"/>
    </row>
    <row r="30268" spans="17:17" x14ac:dyDescent="0.25">
      <c r="Q30268" s="8"/>
    </row>
    <row r="30269" spans="17:17" x14ac:dyDescent="0.25">
      <c r="Q30269" s="8"/>
    </row>
    <row r="30270" spans="17:17" x14ac:dyDescent="0.25">
      <c r="Q30270" s="8"/>
    </row>
    <row r="30271" spans="17:17" x14ac:dyDescent="0.25">
      <c r="Q30271" s="8"/>
    </row>
    <row r="30272" spans="17:17" x14ac:dyDescent="0.25">
      <c r="Q30272" s="8"/>
    </row>
    <row r="30273" spans="17:17" x14ac:dyDescent="0.25">
      <c r="Q30273" s="8"/>
    </row>
    <row r="30274" spans="17:17" x14ac:dyDescent="0.25">
      <c r="Q30274" s="8"/>
    </row>
    <row r="30275" spans="17:17" x14ac:dyDescent="0.25">
      <c r="Q30275" s="8"/>
    </row>
    <row r="30276" spans="17:17" x14ac:dyDescent="0.25">
      <c r="Q30276" s="8"/>
    </row>
    <row r="30277" spans="17:17" x14ac:dyDescent="0.25">
      <c r="Q30277" s="8"/>
    </row>
    <row r="30278" spans="17:17" x14ac:dyDescent="0.25">
      <c r="Q30278" s="8"/>
    </row>
    <row r="30279" spans="17:17" x14ac:dyDescent="0.25">
      <c r="Q30279" s="8"/>
    </row>
    <row r="30280" spans="17:17" x14ac:dyDescent="0.25">
      <c r="Q30280" s="8"/>
    </row>
    <row r="30281" spans="17:17" x14ac:dyDescent="0.25">
      <c r="Q30281" s="8"/>
    </row>
    <row r="30282" spans="17:17" x14ac:dyDescent="0.25">
      <c r="Q30282" s="8"/>
    </row>
    <row r="30283" spans="17:17" x14ac:dyDescent="0.25">
      <c r="Q30283" s="8"/>
    </row>
    <row r="30284" spans="17:17" x14ac:dyDescent="0.25">
      <c r="Q30284" s="8"/>
    </row>
    <row r="30285" spans="17:17" x14ac:dyDescent="0.25">
      <c r="Q30285" s="8"/>
    </row>
    <row r="30286" spans="17:17" x14ac:dyDescent="0.25">
      <c r="Q30286" s="8"/>
    </row>
    <row r="30287" spans="17:17" x14ac:dyDescent="0.25">
      <c r="Q30287" s="8"/>
    </row>
    <row r="30288" spans="17:17" x14ac:dyDescent="0.25">
      <c r="Q30288" s="8"/>
    </row>
    <row r="30289" spans="17:17" x14ac:dyDescent="0.25">
      <c r="Q30289" s="8"/>
    </row>
    <row r="30290" spans="17:17" x14ac:dyDescent="0.25">
      <c r="Q30290" s="8"/>
    </row>
    <row r="30291" spans="17:17" x14ac:dyDescent="0.25">
      <c r="Q30291" s="8"/>
    </row>
    <row r="30292" spans="17:17" x14ac:dyDescent="0.25">
      <c r="Q30292" s="8"/>
    </row>
    <row r="30293" spans="17:17" x14ac:dyDescent="0.25">
      <c r="Q30293" s="8"/>
    </row>
    <row r="30294" spans="17:17" x14ac:dyDescent="0.25">
      <c r="Q30294" s="8"/>
    </row>
    <row r="30295" spans="17:17" x14ac:dyDescent="0.25">
      <c r="Q30295" s="8"/>
    </row>
    <row r="30296" spans="17:17" x14ac:dyDescent="0.25">
      <c r="Q30296" s="8"/>
    </row>
    <row r="30297" spans="17:17" x14ac:dyDescent="0.25">
      <c r="Q30297" s="8"/>
    </row>
    <row r="30298" spans="17:17" x14ac:dyDescent="0.25">
      <c r="Q30298" s="8"/>
    </row>
    <row r="30299" spans="17:17" x14ac:dyDescent="0.25">
      <c r="Q30299" s="8"/>
    </row>
    <row r="30300" spans="17:17" x14ac:dyDescent="0.25">
      <c r="Q30300" s="8"/>
    </row>
    <row r="30301" spans="17:17" x14ac:dyDescent="0.25">
      <c r="Q30301" s="8"/>
    </row>
    <row r="30302" spans="17:17" x14ac:dyDescent="0.25">
      <c r="Q30302" s="8"/>
    </row>
    <row r="30303" spans="17:17" x14ac:dyDescent="0.25">
      <c r="Q30303" s="8"/>
    </row>
    <row r="30304" spans="17:17" x14ac:dyDescent="0.25">
      <c r="Q30304" s="8"/>
    </row>
    <row r="30305" spans="17:17" x14ac:dyDescent="0.25">
      <c r="Q30305" s="8"/>
    </row>
    <row r="30306" spans="17:17" x14ac:dyDescent="0.25">
      <c r="Q30306" s="8"/>
    </row>
    <row r="30307" spans="17:17" x14ac:dyDescent="0.25">
      <c r="Q30307" s="8"/>
    </row>
    <row r="30308" spans="17:17" x14ac:dyDescent="0.25">
      <c r="Q30308" s="8"/>
    </row>
    <row r="30309" spans="17:17" x14ac:dyDescent="0.25">
      <c r="Q30309" s="8"/>
    </row>
    <row r="30310" spans="17:17" x14ac:dyDescent="0.25">
      <c r="Q30310" s="8"/>
    </row>
    <row r="30311" spans="17:17" x14ac:dyDescent="0.25">
      <c r="Q30311" s="8"/>
    </row>
    <row r="30312" spans="17:17" x14ac:dyDescent="0.25">
      <c r="Q30312" s="8"/>
    </row>
    <row r="30313" spans="17:17" x14ac:dyDescent="0.25">
      <c r="Q30313" s="8"/>
    </row>
    <row r="30314" spans="17:17" x14ac:dyDescent="0.25">
      <c r="Q30314" s="8"/>
    </row>
    <row r="30315" spans="17:17" x14ac:dyDescent="0.25">
      <c r="Q30315" s="8"/>
    </row>
    <row r="30316" spans="17:17" x14ac:dyDescent="0.25">
      <c r="Q30316" s="8"/>
    </row>
    <row r="30317" spans="17:17" x14ac:dyDescent="0.25">
      <c r="Q30317" s="8"/>
    </row>
    <row r="30318" spans="17:17" x14ac:dyDescent="0.25">
      <c r="Q30318" s="8"/>
    </row>
    <row r="30319" spans="17:17" x14ac:dyDescent="0.25">
      <c r="Q30319" s="8"/>
    </row>
    <row r="30320" spans="17:17" x14ac:dyDescent="0.25">
      <c r="Q30320" s="8"/>
    </row>
    <row r="30321" spans="17:17" x14ac:dyDescent="0.25">
      <c r="Q30321" s="8"/>
    </row>
    <row r="30322" spans="17:17" x14ac:dyDescent="0.25">
      <c r="Q30322" s="8"/>
    </row>
    <row r="30323" spans="17:17" x14ac:dyDescent="0.25">
      <c r="Q30323" s="8"/>
    </row>
    <row r="30324" spans="17:17" x14ac:dyDescent="0.25">
      <c r="Q30324" s="8"/>
    </row>
    <row r="30325" spans="17:17" x14ac:dyDescent="0.25">
      <c r="Q30325" s="8"/>
    </row>
    <row r="30326" spans="17:17" x14ac:dyDescent="0.25">
      <c r="Q30326" s="8"/>
    </row>
    <row r="30327" spans="17:17" x14ac:dyDescent="0.25">
      <c r="Q30327" s="8"/>
    </row>
    <row r="30328" spans="17:17" x14ac:dyDescent="0.25">
      <c r="Q30328" s="8"/>
    </row>
    <row r="30329" spans="17:17" x14ac:dyDescent="0.25">
      <c r="Q30329" s="8"/>
    </row>
    <row r="30330" spans="17:17" x14ac:dyDescent="0.25">
      <c r="Q30330" s="8"/>
    </row>
    <row r="30331" spans="17:17" x14ac:dyDescent="0.25">
      <c r="Q30331" s="8"/>
    </row>
    <row r="30332" spans="17:17" x14ac:dyDescent="0.25">
      <c r="Q30332" s="8"/>
    </row>
    <row r="30333" spans="17:17" x14ac:dyDescent="0.25">
      <c r="Q30333" s="8"/>
    </row>
    <row r="30334" spans="17:17" x14ac:dyDescent="0.25">
      <c r="Q30334" s="8"/>
    </row>
    <row r="30335" spans="17:17" x14ac:dyDescent="0.25">
      <c r="Q30335" s="8"/>
    </row>
    <row r="30336" spans="17:17" x14ac:dyDescent="0.25">
      <c r="Q30336" s="8"/>
    </row>
    <row r="30337" spans="17:17" x14ac:dyDescent="0.25">
      <c r="Q30337" s="8"/>
    </row>
    <row r="30338" spans="17:17" x14ac:dyDescent="0.25">
      <c r="Q30338" s="8"/>
    </row>
    <row r="30339" spans="17:17" x14ac:dyDescent="0.25">
      <c r="Q30339" s="8"/>
    </row>
    <row r="30340" spans="17:17" x14ac:dyDescent="0.25">
      <c r="Q30340" s="8"/>
    </row>
    <row r="30341" spans="17:17" x14ac:dyDescent="0.25">
      <c r="Q30341" s="8"/>
    </row>
    <row r="30342" spans="17:17" x14ac:dyDescent="0.25">
      <c r="Q30342" s="8"/>
    </row>
    <row r="30343" spans="17:17" x14ac:dyDescent="0.25">
      <c r="Q30343" s="8"/>
    </row>
    <row r="30344" spans="17:17" x14ac:dyDescent="0.25">
      <c r="Q30344" s="8"/>
    </row>
    <row r="30345" spans="17:17" x14ac:dyDescent="0.25">
      <c r="Q30345" s="8"/>
    </row>
    <row r="30346" spans="17:17" x14ac:dyDescent="0.25">
      <c r="Q30346" s="8"/>
    </row>
    <row r="30347" spans="17:17" x14ac:dyDescent="0.25">
      <c r="Q30347" s="8"/>
    </row>
    <row r="30348" spans="17:17" x14ac:dyDescent="0.25">
      <c r="Q30348" s="8"/>
    </row>
    <row r="30349" spans="17:17" x14ac:dyDescent="0.25">
      <c r="Q30349" s="8"/>
    </row>
    <row r="30350" spans="17:17" x14ac:dyDescent="0.25">
      <c r="Q30350" s="8"/>
    </row>
    <row r="30351" spans="17:17" x14ac:dyDescent="0.25">
      <c r="Q30351" s="8"/>
    </row>
    <row r="30352" spans="17:17" x14ac:dyDescent="0.25">
      <c r="Q30352" s="8"/>
    </row>
    <row r="30353" spans="17:17" x14ac:dyDescent="0.25">
      <c r="Q30353" s="8"/>
    </row>
    <row r="30354" spans="17:17" x14ac:dyDescent="0.25">
      <c r="Q30354" s="8"/>
    </row>
    <row r="30355" spans="17:17" x14ac:dyDescent="0.25">
      <c r="Q30355" s="8"/>
    </row>
    <row r="30356" spans="17:17" x14ac:dyDescent="0.25">
      <c r="Q30356" s="8"/>
    </row>
    <row r="30357" spans="17:17" x14ac:dyDescent="0.25">
      <c r="Q30357" s="8"/>
    </row>
    <row r="30358" spans="17:17" x14ac:dyDescent="0.25">
      <c r="Q30358" s="8"/>
    </row>
    <row r="30359" spans="17:17" x14ac:dyDescent="0.25">
      <c r="Q30359" s="8"/>
    </row>
    <row r="30360" spans="17:17" x14ac:dyDescent="0.25">
      <c r="Q30360" s="8"/>
    </row>
    <row r="30361" spans="17:17" x14ac:dyDescent="0.25">
      <c r="Q30361" s="8"/>
    </row>
    <row r="30362" spans="17:17" x14ac:dyDescent="0.25">
      <c r="Q30362" s="8"/>
    </row>
    <row r="30363" spans="17:17" x14ac:dyDescent="0.25">
      <c r="Q30363" s="8"/>
    </row>
    <row r="30364" spans="17:17" x14ac:dyDescent="0.25">
      <c r="Q30364" s="8"/>
    </row>
    <row r="30365" spans="17:17" x14ac:dyDescent="0.25">
      <c r="Q30365" s="8"/>
    </row>
    <row r="30366" spans="17:17" x14ac:dyDescent="0.25">
      <c r="Q30366" s="8"/>
    </row>
    <row r="30367" spans="17:17" x14ac:dyDescent="0.25">
      <c r="Q30367" s="8"/>
    </row>
    <row r="30368" spans="17:17" x14ac:dyDescent="0.25">
      <c r="Q30368" s="8"/>
    </row>
    <row r="30369" spans="17:17" x14ac:dyDescent="0.25">
      <c r="Q30369" s="8"/>
    </row>
    <row r="30370" spans="17:17" x14ac:dyDescent="0.25">
      <c r="Q30370" s="8"/>
    </row>
    <row r="30371" spans="17:17" x14ac:dyDescent="0.25">
      <c r="Q30371" s="8"/>
    </row>
    <row r="30372" spans="17:17" x14ac:dyDescent="0.25">
      <c r="Q30372" s="8"/>
    </row>
    <row r="30373" spans="17:17" x14ac:dyDescent="0.25">
      <c r="Q30373" s="8"/>
    </row>
    <row r="30374" spans="17:17" x14ac:dyDescent="0.25">
      <c r="Q30374" s="8"/>
    </row>
    <row r="30375" spans="17:17" x14ac:dyDescent="0.25">
      <c r="Q30375" s="8"/>
    </row>
    <row r="30376" spans="17:17" x14ac:dyDescent="0.25">
      <c r="Q30376" s="8"/>
    </row>
    <row r="30377" spans="17:17" x14ac:dyDescent="0.25">
      <c r="Q30377" s="8"/>
    </row>
    <row r="30378" spans="17:17" x14ac:dyDescent="0.25">
      <c r="Q30378" s="8"/>
    </row>
    <row r="30379" spans="17:17" x14ac:dyDescent="0.25">
      <c r="Q30379" s="8"/>
    </row>
    <row r="30380" spans="17:17" x14ac:dyDescent="0.25">
      <c r="Q30380" s="8"/>
    </row>
    <row r="30381" spans="17:17" x14ac:dyDescent="0.25">
      <c r="Q30381" s="8"/>
    </row>
    <row r="30382" spans="17:17" x14ac:dyDescent="0.25">
      <c r="Q30382" s="8"/>
    </row>
    <row r="30383" spans="17:17" x14ac:dyDescent="0.25">
      <c r="Q30383" s="8"/>
    </row>
    <row r="30384" spans="17:17" x14ac:dyDescent="0.25">
      <c r="Q30384" s="8"/>
    </row>
    <row r="30385" spans="17:17" x14ac:dyDescent="0.25">
      <c r="Q30385" s="8"/>
    </row>
    <row r="30386" spans="17:17" x14ac:dyDescent="0.25">
      <c r="Q30386" s="8"/>
    </row>
    <row r="30387" spans="17:17" x14ac:dyDescent="0.25">
      <c r="Q30387" s="8"/>
    </row>
    <row r="30388" spans="17:17" x14ac:dyDescent="0.25">
      <c r="Q30388" s="8"/>
    </row>
    <row r="30389" spans="17:17" x14ac:dyDescent="0.25">
      <c r="Q30389" s="8"/>
    </row>
    <row r="30390" spans="17:17" x14ac:dyDescent="0.25">
      <c r="Q30390" s="8"/>
    </row>
    <row r="30391" spans="17:17" x14ac:dyDescent="0.25">
      <c r="Q30391" s="8"/>
    </row>
    <row r="30392" spans="17:17" x14ac:dyDescent="0.25">
      <c r="Q30392" s="8"/>
    </row>
    <row r="30393" spans="17:17" x14ac:dyDescent="0.25">
      <c r="Q30393" s="8"/>
    </row>
    <row r="30394" spans="17:17" x14ac:dyDescent="0.25">
      <c r="Q30394" s="8"/>
    </row>
    <row r="30395" spans="17:17" x14ac:dyDescent="0.25">
      <c r="Q30395" s="8"/>
    </row>
    <row r="30396" spans="17:17" x14ac:dyDescent="0.25">
      <c r="Q30396" s="8"/>
    </row>
    <row r="30397" spans="17:17" x14ac:dyDescent="0.25">
      <c r="Q30397" s="8"/>
    </row>
    <row r="30398" spans="17:17" x14ac:dyDescent="0.25">
      <c r="Q30398" s="8"/>
    </row>
    <row r="30399" spans="17:17" x14ac:dyDescent="0.25">
      <c r="Q30399" s="8"/>
    </row>
    <row r="30400" spans="17:17" x14ac:dyDescent="0.25">
      <c r="Q30400" s="8"/>
    </row>
    <row r="30401" spans="17:17" x14ac:dyDescent="0.25">
      <c r="Q30401" s="8"/>
    </row>
    <row r="30402" spans="17:17" x14ac:dyDescent="0.25">
      <c r="Q30402" s="8"/>
    </row>
    <row r="30403" spans="17:17" x14ac:dyDescent="0.25">
      <c r="Q30403" s="8"/>
    </row>
    <row r="30404" spans="17:17" x14ac:dyDescent="0.25">
      <c r="Q30404" s="8"/>
    </row>
    <row r="30405" spans="17:17" x14ac:dyDescent="0.25">
      <c r="Q30405" s="8"/>
    </row>
    <row r="30406" spans="17:17" x14ac:dyDescent="0.25">
      <c r="Q30406" s="8"/>
    </row>
    <row r="30407" spans="17:17" x14ac:dyDescent="0.25">
      <c r="Q30407" s="8"/>
    </row>
    <row r="30408" spans="17:17" x14ac:dyDescent="0.25">
      <c r="Q30408" s="8"/>
    </row>
    <row r="30409" spans="17:17" x14ac:dyDescent="0.25">
      <c r="Q30409" s="8"/>
    </row>
    <row r="30410" spans="17:17" x14ac:dyDescent="0.25">
      <c r="Q30410" s="8"/>
    </row>
    <row r="30411" spans="17:17" x14ac:dyDescent="0.25">
      <c r="Q30411" s="8"/>
    </row>
    <row r="30412" spans="17:17" x14ac:dyDescent="0.25">
      <c r="Q30412" s="8"/>
    </row>
    <row r="30413" spans="17:17" x14ac:dyDescent="0.25">
      <c r="Q30413" s="8"/>
    </row>
    <row r="30414" spans="17:17" x14ac:dyDescent="0.25">
      <c r="Q30414" s="8"/>
    </row>
    <row r="30415" spans="17:17" x14ac:dyDescent="0.25">
      <c r="Q30415" s="8"/>
    </row>
    <row r="30416" spans="17:17" x14ac:dyDescent="0.25">
      <c r="Q30416" s="8"/>
    </row>
    <row r="30417" spans="17:17" x14ac:dyDescent="0.25">
      <c r="Q30417" s="8"/>
    </row>
    <row r="30418" spans="17:17" x14ac:dyDescent="0.25">
      <c r="Q30418" s="8"/>
    </row>
    <row r="30419" spans="17:17" x14ac:dyDescent="0.25">
      <c r="Q30419" s="8"/>
    </row>
    <row r="30420" spans="17:17" x14ac:dyDescent="0.25">
      <c r="Q30420" s="8"/>
    </row>
    <row r="30421" spans="17:17" x14ac:dyDescent="0.25">
      <c r="Q30421" s="8"/>
    </row>
    <row r="30422" spans="17:17" x14ac:dyDescent="0.25">
      <c r="Q30422" s="8"/>
    </row>
    <row r="30423" spans="17:17" x14ac:dyDescent="0.25">
      <c r="Q30423" s="8"/>
    </row>
    <row r="30424" spans="17:17" x14ac:dyDescent="0.25">
      <c r="Q30424" s="8"/>
    </row>
    <row r="30425" spans="17:17" x14ac:dyDescent="0.25">
      <c r="Q30425" s="8"/>
    </row>
    <row r="30426" spans="17:17" x14ac:dyDescent="0.25">
      <c r="Q30426" s="8"/>
    </row>
    <row r="30427" spans="17:17" x14ac:dyDescent="0.25">
      <c r="Q30427" s="8"/>
    </row>
    <row r="30428" spans="17:17" x14ac:dyDescent="0.25">
      <c r="Q30428" s="8"/>
    </row>
    <row r="30429" spans="17:17" x14ac:dyDescent="0.25">
      <c r="Q30429" s="8"/>
    </row>
    <row r="30430" spans="17:17" x14ac:dyDescent="0.25">
      <c r="Q30430" s="8"/>
    </row>
    <row r="30431" spans="17:17" x14ac:dyDescent="0.25">
      <c r="Q30431" s="8"/>
    </row>
    <row r="30432" spans="17:17" x14ac:dyDescent="0.25">
      <c r="Q30432" s="8"/>
    </row>
    <row r="30433" spans="17:17" x14ac:dyDescent="0.25">
      <c r="Q30433" s="8"/>
    </row>
    <row r="30434" spans="17:17" x14ac:dyDescent="0.25">
      <c r="Q30434" s="8"/>
    </row>
    <row r="30435" spans="17:17" x14ac:dyDescent="0.25">
      <c r="Q30435" s="8"/>
    </row>
    <row r="30436" spans="17:17" x14ac:dyDescent="0.25">
      <c r="Q30436" s="8"/>
    </row>
    <row r="30437" spans="17:17" x14ac:dyDescent="0.25">
      <c r="Q30437" s="8"/>
    </row>
    <row r="30438" spans="17:17" x14ac:dyDescent="0.25">
      <c r="Q30438" s="8"/>
    </row>
    <row r="30439" spans="17:17" x14ac:dyDescent="0.25">
      <c r="Q30439" s="8"/>
    </row>
    <row r="30440" spans="17:17" x14ac:dyDescent="0.25">
      <c r="Q30440" s="8"/>
    </row>
    <row r="30441" spans="17:17" x14ac:dyDescent="0.25">
      <c r="Q30441" s="8"/>
    </row>
    <row r="30442" spans="17:17" x14ac:dyDescent="0.25">
      <c r="Q30442" s="8"/>
    </row>
    <row r="30443" spans="17:17" x14ac:dyDescent="0.25">
      <c r="Q30443" s="8"/>
    </row>
    <row r="30444" spans="17:17" x14ac:dyDescent="0.25">
      <c r="Q30444" s="8"/>
    </row>
    <row r="30445" spans="17:17" x14ac:dyDescent="0.25">
      <c r="Q30445" s="8"/>
    </row>
    <row r="30446" spans="17:17" x14ac:dyDescent="0.25">
      <c r="Q30446" s="8"/>
    </row>
    <row r="30447" spans="17:17" x14ac:dyDescent="0.25">
      <c r="Q30447" s="8"/>
    </row>
    <row r="30448" spans="17:17" x14ac:dyDescent="0.25">
      <c r="Q30448" s="8"/>
    </row>
    <row r="30449" spans="17:17" x14ac:dyDescent="0.25">
      <c r="Q30449" s="8"/>
    </row>
    <row r="30450" spans="17:17" x14ac:dyDescent="0.25">
      <c r="Q30450" s="8"/>
    </row>
    <row r="30451" spans="17:17" x14ac:dyDescent="0.25">
      <c r="Q30451" s="8"/>
    </row>
    <row r="30452" spans="17:17" x14ac:dyDescent="0.25">
      <c r="Q30452" s="8"/>
    </row>
    <row r="30453" spans="17:17" x14ac:dyDescent="0.25">
      <c r="Q30453" s="8"/>
    </row>
    <row r="30454" spans="17:17" x14ac:dyDescent="0.25">
      <c r="Q30454" s="8"/>
    </row>
    <row r="30455" spans="17:17" x14ac:dyDescent="0.25">
      <c r="Q30455" s="8"/>
    </row>
    <row r="30456" spans="17:17" x14ac:dyDescent="0.25">
      <c r="Q30456" s="8"/>
    </row>
    <row r="30457" spans="17:17" x14ac:dyDescent="0.25">
      <c r="Q30457" s="8"/>
    </row>
    <row r="30458" spans="17:17" x14ac:dyDescent="0.25">
      <c r="Q30458" s="8"/>
    </row>
    <row r="30459" spans="17:17" x14ac:dyDescent="0.25">
      <c r="Q30459" s="8"/>
    </row>
    <row r="30460" spans="17:17" x14ac:dyDescent="0.25">
      <c r="Q30460" s="8"/>
    </row>
    <row r="30461" spans="17:17" x14ac:dyDescent="0.25">
      <c r="Q30461" s="8"/>
    </row>
    <row r="30462" spans="17:17" x14ac:dyDescent="0.25">
      <c r="Q30462" s="8"/>
    </row>
    <row r="30463" spans="17:17" x14ac:dyDescent="0.25">
      <c r="Q30463" s="8"/>
    </row>
    <row r="30464" spans="17:17" x14ac:dyDescent="0.25">
      <c r="Q30464" s="8"/>
    </row>
    <row r="30465" spans="17:17" x14ac:dyDescent="0.25">
      <c r="Q30465" s="8"/>
    </row>
    <row r="30466" spans="17:17" x14ac:dyDescent="0.25">
      <c r="Q30466" s="8"/>
    </row>
    <row r="30467" spans="17:17" x14ac:dyDescent="0.25">
      <c r="Q30467" s="8"/>
    </row>
    <row r="30468" spans="17:17" x14ac:dyDescent="0.25">
      <c r="Q30468" s="8"/>
    </row>
    <row r="30469" spans="17:17" x14ac:dyDescent="0.25">
      <c r="Q30469" s="8"/>
    </row>
    <row r="30470" spans="17:17" x14ac:dyDescent="0.25">
      <c r="Q30470" s="8"/>
    </row>
    <row r="30471" spans="17:17" x14ac:dyDescent="0.25">
      <c r="Q30471" s="8"/>
    </row>
    <row r="30472" spans="17:17" x14ac:dyDescent="0.25">
      <c r="Q30472" s="8"/>
    </row>
    <row r="30473" spans="17:17" x14ac:dyDescent="0.25">
      <c r="Q30473" s="8"/>
    </row>
    <row r="30474" spans="17:17" x14ac:dyDescent="0.25">
      <c r="Q30474" s="8"/>
    </row>
    <row r="30475" spans="17:17" x14ac:dyDescent="0.25">
      <c r="Q30475" s="8"/>
    </row>
    <row r="30476" spans="17:17" x14ac:dyDescent="0.25">
      <c r="Q30476" s="8"/>
    </row>
    <row r="30477" spans="17:17" x14ac:dyDescent="0.25">
      <c r="Q30477" s="8"/>
    </row>
    <row r="30478" spans="17:17" x14ac:dyDescent="0.25">
      <c r="Q30478" s="8"/>
    </row>
    <row r="30479" spans="17:17" x14ac:dyDescent="0.25">
      <c r="Q30479" s="8"/>
    </row>
    <row r="30480" spans="17:17" x14ac:dyDescent="0.25">
      <c r="Q30480" s="8"/>
    </row>
    <row r="30481" spans="17:17" x14ac:dyDescent="0.25">
      <c r="Q30481" s="8"/>
    </row>
    <row r="30482" spans="17:17" x14ac:dyDescent="0.25">
      <c r="Q30482" s="8"/>
    </row>
    <row r="30483" spans="17:17" x14ac:dyDescent="0.25">
      <c r="Q30483" s="8"/>
    </row>
    <row r="30484" spans="17:17" x14ac:dyDescent="0.25">
      <c r="Q30484" s="8"/>
    </row>
    <row r="30485" spans="17:17" x14ac:dyDescent="0.25">
      <c r="Q30485" s="8"/>
    </row>
    <row r="30486" spans="17:17" x14ac:dyDescent="0.25">
      <c r="Q30486" s="8"/>
    </row>
    <row r="30487" spans="17:17" x14ac:dyDescent="0.25">
      <c r="Q30487" s="8"/>
    </row>
    <row r="30488" spans="17:17" x14ac:dyDescent="0.25">
      <c r="Q30488" s="8"/>
    </row>
    <row r="30489" spans="17:17" x14ac:dyDescent="0.25">
      <c r="Q30489" s="8"/>
    </row>
    <row r="30490" spans="17:17" x14ac:dyDescent="0.25">
      <c r="Q30490" s="8"/>
    </row>
    <row r="30491" spans="17:17" x14ac:dyDescent="0.25">
      <c r="Q30491" s="8"/>
    </row>
    <row r="30492" spans="17:17" x14ac:dyDescent="0.25">
      <c r="Q30492" s="8"/>
    </row>
    <row r="30493" spans="17:17" x14ac:dyDescent="0.25">
      <c r="Q30493" s="8"/>
    </row>
    <row r="30494" spans="17:17" x14ac:dyDescent="0.25">
      <c r="Q30494" s="8"/>
    </row>
    <row r="30495" spans="17:17" x14ac:dyDescent="0.25">
      <c r="Q30495" s="8"/>
    </row>
    <row r="30496" spans="17:17" x14ac:dyDescent="0.25">
      <c r="Q30496" s="8"/>
    </row>
    <row r="30497" spans="17:17" x14ac:dyDescent="0.25">
      <c r="Q30497" s="8"/>
    </row>
    <row r="30498" spans="17:17" x14ac:dyDescent="0.25">
      <c r="Q30498" s="8"/>
    </row>
    <row r="30499" spans="17:17" x14ac:dyDescent="0.25">
      <c r="Q30499" s="8"/>
    </row>
    <row r="30500" spans="17:17" x14ac:dyDescent="0.25">
      <c r="Q30500" s="8"/>
    </row>
    <row r="30501" spans="17:17" x14ac:dyDescent="0.25">
      <c r="Q30501" s="8"/>
    </row>
    <row r="30502" spans="17:17" x14ac:dyDescent="0.25">
      <c r="Q30502" s="8"/>
    </row>
    <row r="30503" spans="17:17" x14ac:dyDescent="0.25">
      <c r="Q30503" s="8"/>
    </row>
    <row r="30504" spans="17:17" x14ac:dyDescent="0.25">
      <c r="Q30504" s="8"/>
    </row>
    <row r="30505" spans="17:17" x14ac:dyDescent="0.25">
      <c r="Q30505" s="8"/>
    </row>
    <row r="30506" spans="17:17" x14ac:dyDescent="0.25">
      <c r="Q30506" s="8"/>
    </row>
    <row r="30507" spans="17:17" x14ac:dyDescent="0.25">
      <c r="Q30507" s="8"/>
    </row>
    <row r="30508" spans="17:17" x14ac:dyDescent="0.25">
      <c r="Q30508" s="8"/>
    </row>
    <row r="30509" spans="17:17" x14ac:dyDescent="0.25">
      <c r="Q30509" s="8"/>
    </row>
    <row r="30510" spans="17:17" x14ac:dyDescent="0.25">
      <c r="Q30510" s="8"/>
    </row>
    <row r="30511" spans="17:17" x14ac:dyDescent="0.25">
      <c r="Q30511" s="8"/>
    </row>
    <row r="30512" spans="17:17" x14ac:dyDescent="0.25">
      <c r="Q30512" s="8"/>
    </row>
    <row r="30513" spans="17:17" x14ac:dyDescent="0.25">
      <c r="Q30513" s="8"/>
    </row>
    <row r="30514" spans="17:17" x14ac:dyDescent="0.25">
      <c r="Q30514" s="8"/>
    </row>
    <row r="30515" spans="17:17" x14ac:dyDescent="0.25">
      <c r="Q30515" s="8"/>
    </row>
    <row r="30516" spans="17:17" x14ac:dyDescent="0.25">
      <c r="Q30516" s="8"/>
    </row>
    <row r="30517" spans="17:17" x14ac:dyDescent="0.25">
      <c r="Q30517" s="8"/>
    </row>
    <row r="30518" spans="17:17" x14ac:dyDescent="0.25">
      <c r="Q30518" s="8"/>
    </row>
    <row r="30519" spans="17:17" x14ac:dyDescent="0.25">
      <c r="Q30519" s="8"/>
    </row>
    <row r="30520" spans="17:17" x14ac:dyDescent="0.25">
      <c r="Q30520" s="8"/>
    </row>
    <row r="30521" spans="17:17" x14ac:dyDescent="0.25">
      <c r="Q30521" s="8"/>
    </row>
    <row r="30522" spans="17:17" x14ac:dyDescent="0.25">
      <c r="Q30522" s="8"/>
    </row>
    <row r="30523" spans="17:17" x14ac:dyDescent="0.25">
      <c r="Q30523" s="8"/>
    </row>
    <row r="30524" spans="17:17" x14ac:dyDescent="0.25">
      <c r="Q30524" s="8"/>
    </row>
    <row r="30525" spans="17:17" x14ac:dyDescent="0.25">
      <c r="Q30525" s="8"/>
    </row>
    <row r="30526" spans="17:17" x14ac:dyDescent="0.25">
      <c r="Q30526" s="8"/>
    </row>
    <row r="30527" spans="17:17" x14ac:dyDescent="0.25">
      <c r="Q30527" s="8"/>
    </row>
    <row r="30528" spans="17:17" x14ac:dyDescent="0.25">
      <c r="Q30528" s="8"/>
    </row>
    <row r="30529" spans="17:17" x14ac:dyDescent="0.25">
      <c r="Q30529" s="8"/>
    </row>
    <row r="30530" spans="17:17" x14ac:dyDescent="0.25">
      <c r="Q30530" s="8"/>
    </row>
    <row r="30531" spans="17:17" x14ac:dyDescent="0.25">
      <c r="Q30531" s="8"/>
    </row>
    <row r="30532" spans="17:17" x14ac:dyDescent="0.25">
      <c r="Q30532" s="8"/>
    </row>
    <row r="30533" spans="17:17" x14ac:dyDescent="0.25">
      <c r="Q30533" s="8"/>
    </row>
    <row r="30534" spans="17:17" x14ac:dyDescent="0.25">
      <c r="Q30534" s="8"/>
    </row>
    <row r="30535" spans="17:17" x14ac:dyDescent="0.25">
      <c r="Q30535" s="8"/>
    </row>
    <row r="30536" spans="17:17" x14ac:dyDescent="0.25">
      <c r="Q30536" s="8"/>
    </row>
    <row r="30537" spans="17:17" x14ac:dyDescent="0.25">
      <c r="Q30537" s="8"/>
    </row>
    <row r="30538" spans="17:17" x14ac:dyDescent="0.25">
      <c r="Q30538" s="8"/>
    </row>
    <row r="30539" spans="17:17" x14ac:dyDescent="0.25">
      <c r="Q30539" s="8"/>
    </row>
    <row r="30540" spans="17:17" x14ac:dyDescent="0.25">
      <c r="Q30540" s="8"/>
    </row>
    <row r="30541" spans="17:17" x14ac:dyDescent="0.25">
      <c r="Q30541" s="8"/>
    </row>
    <row r="30542" spans="17:17" x14ac:dyDescent="0.25">
      <c r="Q30542" s="8"/>
    </row>
    <row r="30543" spans="17:17" x14ac:dyDescent="0.25">
      <c r="Q30543" s="8"/>
    </row>
    <row r="30544" spans="17:17" x14ac:dyDescent="0.25">
      <c r="Q30544" s="8"/>
    </row>
    <row r="30545" spans="17:17" x14ac:dyDescent="0.25">
      <c r="Q30545" s="8"/>
    </row>
    <row r="30546" spans="17:17" x14ac:dyDescent="0.25">
      <c r="Q30546" s="8"/>
    </row>
    <row r="30547" spans="17:17" x14ac:dyDescent="0.25">
      <c r="Q30547" s="8"/>
    </row>
    <row r="30548" spans="17:17" x14ac:dyDescent="0.25">
      <c r="Q30548" s="8"/>
    </row>
    <row r="30549" spans="17:17" x14ac:dyDescent="0.25">
      <c r="Q30549" s="8"/>
    </row>
    <row r="30550" spans="17:17" x14ac:dyDescent="0.25">
      <c r="Q30550" s="8"/>
    </row>
    <row r="30551" spans="17:17" x14ac:dyDescent="0.25">
      <c r="Q30551" s="8"/>
    </row>
    <row r="30552" spans="17:17" x14ac:dyDescent="0.25">
      <c r="Q30552" s="8"/>
    </row>
    <row r="30553" spans="17:17" x14ac:dyDescent="0.25">
      <c r="Q30553" s="8"/>
    </row>
    <row r="30554" spans="17:17" x14ac:dyDescent="0.25">
      <c r="Q30554" s="8"/>
    </row>
    <row r="30555" spans="17:17" x14ac:dyDescent="0.25">
      <c r="Q30555" s="8"/>
    </row>
    <row r="30556" spans="17:17" x14ac:dyDescent="0.25">
      <c r="Q30556" s="8"/>
    </row>
    <row r="30557" spans="17:17" x14ac:dyDescent="0.25">
      <c r="Q30557" s="8"/>
    </row>
    <row r="30558" spans="17:17" x14ac:dyDescent="0.25">
      <c r="Q30558" s="8"/>
    </row>
    <row r="30559" spans="17:17" x14ac:dyDescent="0.25">
      <c r="Q30559" s="8"/>
    </row>
    <row r="30560" spans="17:17" x14ac:dyDescent="0.25">
      <c r="Q30560" s="8"/>
    </row>
    <row r="30561" spans="17:17" x14ac:dyDescent="0.25">
      <c r="Q30561" s="8"/>
    </row>
    <row r="30562" spans="17:17" x14ac:dyDescent="0.25">
      <c r="Q30562" s="8"/>
    </row>
    <row r="30563" spans="17:17" x14ac:dyDescent="0.25">
      <c r="Q30563" s="8"/>
    </row>
    <row r="30564" spans="17:17" x14ac:dyDescent="0.25">
      <c r="Q30564" s="8"/>
    </row>
    <row r="30565" spans="17:17" x14ac:dyDescent="0.25">
      <c r="Q30565" s="8"/>
    </row>
    <row r="30566" spans="17:17" x14ac:dyDescent="0.25">
      <c r="Q30566" s="8"/>
    </row>
    <row r="30567" spans="17:17" x14ac:dyDescent="0.25">
      <c r="Q30567" s="8"/>
    </row>
    <row r="30568" spans="17:17" x14ac:dyDescent="0.25">
      <c r="Q30568" s="8"/>
    </row>
    <row r="30569" spans="17:17" x14ac:dyDescent="0.25">
      <c r="Q30569" s="8"/>
    </row>
    <row r="30570" spans="17:17" x14ac:dyDescent="0.25">
      <c r="Q30570" s="8"/>
    </row>
    <row r="30571" spans="17:17" x14ac:dyDescent="0.25">
      <c r="Q30571" s="8"/>
    </row>
    <row r="30572" spans="17:17" x14ac:dyDescent="0.25">
      <c r="Q30572" s="8"/>
    </row>
    <row r="30573" spans="17:17" x14ac:dyDescent="0.25">
      <c r="Q30573" s="8"/>
    </row>
    <row r="30574" spans="17:17" x14ac:dyDescent="0.25">
      <c r="Q30574" s="8"/>
    </row>
    <row r="30575" spans="17:17" x14ac:dyDescent="0.25">
      <c r="Q30575" s="8"/>
    </row>
    <row r="30576" spans="17:17" x14ac:dyDescent="0.25">
      <c r="Q30576" s="8"/>
    </row>
    <row r="30577" spans="17:17" x14ac:dyDescent="0.25">
      <c r="Q30577" s="8"/>
    </row>
    <row r="30578" spans="17:17" x14ac:dyDescent="0.25">
      <c r="Q30578" s="8"/>
    </row>
    <row r="30579" spans="17:17" x14ac:dyDescent="0.25">
      <c r="Q30579" s="8"/>
    </row>
    <row r="30580" spans="17:17" x14ac:dyDescent="0.25">
      <c r="Q30580" s="8"/>
    </row>
    <row r="30581" spans="17:17" x14ac:dyDescent="0.25">
      <c r="Q30581" s="8"/>
    </row>
    <row r="30582" spans="17:17" x14ac:dyDescent="0.25">
      <c r="Q30582" s="8"/>
    </row>
    <row r="30583" spans="17:17" x14ac:dyDescent="0.25">
      <c r="Q30583" s="8"/>
    </row>
    <row r="30584" spans="17:17" x14ac:dyDescent="0.25">
      <c r="Q30584" s="8"/>
    </row>
    <row r="30585" spans="17:17" x14ac:dyDescent="0.25">
      <c r="Q30585" s="8"/>
    </row>
    <row r="30586" spans="17:17" x14ac:dyDescent="0.25">
      <c r="Q30586" s="8"/>
    </row>
    <row r="30587" spans="17:17" x14ac:dyDescent="0.25">
      <c r="Q30587" s="8"/>
    </row>
    <row r="30588" spans="17:17" x14ac:dyDescent="0.25">
      <c r="Q30588" s="8"/>
    </row>
    <row r="30589" spans="17:17" x14ac:dyDescent="0.25">
      <c r="Q30589" s="8"/>
    </row>
    <row r="30590" spans="17:17" x14ac:dyDescent="0.25">
      <c r="Q30590" s="8"/>
    </row>
    <row r="30591" spans="17:17" x14ac:dyDescent="0.25">
      <c r="Q30591" s="8"/>
    </row>
    <row r="30592" spans="17:17" x14ac:dyDescent="0.25">
      <c r="Q30592" s="8"/>
    </row>
    <row r="30593" spans="17:17" x14ac:dyDescent="0.25">
      <c r="Q30593" s="8"/>
    </row>
    <row r="30594" spans="17:17" x14ac:dyDescent="0.25">
      <c r="Q30594" s="8"/>
    </row>
    <row r="30595" spans="17:17" x14ac:dyDescent="0.25">
      <c r="Q30595" s="8"/>
    </row>
    <row r="30596" spans="17:17" x14ac:dyDescent="0.25">
      <c r="Q30596" s="8"/>
    </row>
    <row r="30597" spans="17:17" x14ac:dyDescent="0.25">
      <c r="Q30597" s="8"/>
    </row>
    <row r="30598" spans="17:17" x14ac:dyDescent="0.25">
      <c r="Q30598" s="8"/>
    </row>
    <row r="30599" spans="17:17" x14ac:dyDescent="0.25">
      <c r="Q30599" s="8"/>
    </row>
    <row r="30600" spans="17:17" x14ac:dyDescent="0.25">
      <c r="Q30600" s="8"/>
    </row>
    <row r="30601" spans="17:17" x14ac:dyDescent="0.25">
      <c r="Q30601" s="8"/>
    </row>
    <row r="30602" spans="17:17" x14ac:dyDescent="0.25">
      <c r="Q30602" s="8"/>
    </row>
    <row r="30603" spans="17:17" x14ac:dyDescent="0.25">
      <c r="Q30603" s="8"/>
    </row>
    <row r="30604" spans="17:17" x14ac:dyDescent="0.25">
      <c r="Q30604" s="8"/>
    </row>
    <row r="30605" spans="17:17" x14ac:dyDescent="0.25">
      <c r="Q30605" s="8"/>
    </row>
    <row r="30606" spans="17:17" x14ac:dyDescent="0.25">
      <c r="Q30606" s="8"/>
    </row>
    <row r="30607" spans="17:17" x14ac:dyDescent="0.25">
      <c r="Q30607" s="8"/>
    </row>
    <row r="30608" spans="17:17" x14ac:dyDescent="0.25">
      <c r="Q30608" s="8"/>
    </row>
    <row r="30609" spans="17:17" x14ac:dyDescent="0.25">
      <c r="Q30609" s="8"/>
    </row>
    <row r="30610" spans="17:17" x14ac:dyDescent="0.25">
      <c r="Q30610" s="8"/>
    </row>
    <row r="30611" spans="17:17" x14ac:dyDescent="0.25">
      <c r="Q30611" s="8"/>
    </row>
    <row r="30612" spans="17:17" x14ac:dyDescent="0.25">
      <c r="Q30612" s="8"/>
    </row>
    <row r="30613" spans="17:17" x14ac:dyDescent="0.25">
      <c r="Q30613" s="8"/>
    </row>
    <row r="30614" spans="17:17" x14ac:dyDescent="0.25">
      <c r="Q30614" s="8"/>
    </row>
    <row r="30615" spans="17:17" x14ac:dyDescent="0.25">
      <c r="Q30615" s="8"/>
    </row>
    <row r="30616" spans="17:17" x14ac:dyDescent="0.25">
      <c r="Q30616" s="8"/>
    </row>
    <row r="30617" spans="17:17" x14ac:dyDescent="0.25">
      <c r="Q30617" s="8"/>
    </row>
    <row r="30618" spans="17:17" x14ac:dyDescent="0.25">
      <c r="Q30618" s="8"/>
    </row>
    <row r="30619" spans="17:17" x14ac:dyDescent="0.25">
      <c r="Q30619" s="8"/>
    </row>
    <row r="30620" spans="17:17" x14ac:dyDescent="0.25">
      <c r="Q30620" s="8"/>
    </row>
    <row r="30621" spans="17:17" x14ac:dyDescent="0.25">
      <c r="Q30621" s="8"/>
    </row>
    <row r="30622" spans="17:17" x14ac:dyDescent="0.25">
      <c r="Q30622" s="8"/>
    </row>
    <row r="30623" spans="17:17" x14ac:dyDescent="0.25">
      <c r="Q30623" s="8"/>
    </row>
    <row r="30624" spans="17:17" x14ac:dyDescent="0.25">
      <c r="Q30624" s="8"/>
    </row>
    <row r="30625" spans="17:17" x14ac:dyDescent="0.25">
      <c r="Q30625" s="8"/>
    </row>
    <row r="30626" spans="17:17" x14ac:dyDescent="0.25">
      <c r="Q30626" s="8"/>
    </row>
    <row r="30627" spans="17:17" x14ac:dyDescent="0.25">
      <c r="Q30627" s="8"/>
    </row>
    <row r="30628" spans="17:17" x14ac:dyDescent="0.25">
      <c r="Q30628" s="8"/>
    </row>
    <row r="30629" spans="17:17" x14ac:dyDescent="0.25">
      <c r="Q30629" s="8"/>
    </row>
    <row r="30630" spans="17:17" x14ac:dyDescent="0.25">
      <c r="Q30630" s="8"/>
    </row>
    <row r="30631" spans="17:17" x14ac:dyDescent="0.25">
      <c r="Q30631" s="8"/>
    </row>
    <row r="30632" spans="17:17" x14ac:dyDescent="0.25">
      <c r="Q30632" s="8"/>
    </row>
    <row r="30633" spans="17:17" x14ac:dyDescent="0.25">
      <c r="Q30633" s="8"/>
    </row>
    <row r="30634" spans="17:17" x14ac:dyDescent="0.25">
      <c r="Q30634" s="8"/>
    </row>
    <row r="30635" spans="17:17" x14ac:dyDescent="0.25">
      <c r="Q30635" s="8"/>
    </row>
    <row r="30636" spans="17:17" x14ac:dyDescent="0.25">
      <c r="Q30636" s="8"/>
    </row>
    <row r="30637" spans="17:17" x14ac:dyDescent="0.25">
      <c r="Q30637" s="8"/>
    </row>
    <row r="30638" spans="17:17" x14ac:dyDescent="0.25">
      <c r="Q30638" s="8"/>
    </row>
    <row r="30639" spans="17:17" x14ac:dyDescent="0.25">
      <c r="Q30639" s="8"/>
    </row>
    <row r="30640" spans="17:17" x14ac:dyDescent="0.25">
      <c r="Q30640" s="8"/>
    </row>
    <row r="30641" spans="17:17" x14ac:dyDescent="0.25">
      <c r="Q30641" s="8"/>
    </row>
    <row r="30642" spans="17:17" x14ac:dyDescent="0.25">
      <c r="Q30642" s="8"/>
    </row>
    <row r="30643" spans="17:17" x14ac:dyDescent="0.25">
      <c r="Q30643" s="8"/>
    </row>
    <row r="30644" spans="17:17" x14ac:dyDescent="0.25">
      <c r="Q30644" s="8"/>
    </row>
    <row r="30645" spans="17:17" x14ac:dyDescent="0.25">
      <c r="Q30645" s="8"/>
    </row>
    <row r="30646" spans="17:17" x14ac:dyDescent="0.25">
      <c r="Q30646" s="8"/>
    </row>
    <row r="30647" spans="17:17" x14ac:dyDescent="0.25">
      <c r="Q30647" s="8"/>
    </row>
    <row r="30648" spans="17:17" x14ac:dyDescent="0.25">
      <c r="Q30648" s="8"/>
    </row>
    <row r="30649" spans="17:17" x14ac:dyDescent="0.25">
      <c r="Q30649" s="8"/>
    </row>
    <row r="30650" spans="17:17" x14ac:dyDescent="0.25">
      <c r="Q30650" s="8"/>
    </row>
    <row r="30651" spans="17:17" x14ac:dyDescent="0.25">
      <c r="Q30651" s="8"/>
    </row>
    <row r="30652" spans="17:17" x14ac:dyDescent="0.25">
      <c r="Q30652" s="8"/>
    </row>
    <row r="30653" spans="17:17" x14ac:dyDescent="0.25">
      <c r="Q30653" s="8"/>
    </row>
    <row r="30654" spans="17:17" x14ac:dyDescent="0.25">
      <c r="Q30654" s="8"/>
    </row>
    <row r="30655" spans="17:17" x14ac:dyDescent="0.25">
      <c r="Q30655" s="8"/>
    </row>
    <row r="30656" spans="17:17" x14ac:dyDescent="0.25">
      <c r="Q30656" s="8"/>
    </row>
    <row r="30657" spans="17:17" x14ac:dyDescent="0.25">
      <c r="Q30657" s="8"/>
    </row>
    <row r="30658" spans="17:17" x14ac:dyDescent="0.25">
      <c r="Q30658" s="8"/>
    </row>
    <row r="30659" spans="17:17" x14ac:dyDescent="0.25">
      <c r="Q30659" s="8"/>
    </row>
    <row r="30660" spans="17:17" x14ac:dyDescent="0.25">
      <c r="Q30660" s="8"/>
    </row>
    <row r="30661" spans="17:17" x14ac:dyDescent="0.25">
      <c r="Q30661" s="8"/>
    </row>
    <row r="30662" spans="17:17" x14ac:dyDescent="0.25">
      <c r="Q30662" s="8"/>
    </row>
    <row r="30663" spans="17:17" x14ac:dyDescent="0.25">
      <c r="Q30663" s="8"/>
    </row>
    <row r="30664" spans="17:17" x14ac:dyDescent="0.25">
      <c r="Q30664" s="8"/>
    </row>
    <row r="30665" spans="17:17" x14ac:dyDescent="0.25">
      <c r="Q30665" s="8"/>
    </row>
    <row r="30666" spans="17:17" x14ac:dyDescent="0.25">
      <c r="Q30666" s="8"/>
    </row>
    <row r="30667" spans="17:17" x14ac:dyDescent="0.25">
      <c r="Q30667" s="8"/>
    </row>
    <row r="30668" spans="17:17" x14ac:dyDescent="0.25">
      <c r="Q30668" s="8"/>
    </row>
    <row r="30669" spans="17:17" x14ac:dyDescent="0.25">
      <c r="Q30669" s="8"/>
    </row>
    <row r="30670" spans="17:17" x14ac:dyDescent="0.25">
      <c r="Q30670" s="8"/>
    </row>
    <row r="30671" spans="17:17" x14ac:dyDescent="0.25">
      <c r="Q30671" s="8"/>
    </row>
    <row r="30672" spans="17:17" x14ac:dyDescent="0.25">
      <c r="Q30672" s="8"/>
    </row>
    <row r="30673" spans="17:17" x14ac:dyDescent="0.25">
      <c r="Q30673" s="8"/>
    </row>
    <row r="30674" spans="17:17" x14ac:dyDescent="0.25">
      <c r="Q30674" s="8"/>
    </row>
    <row r="30675" spans="17:17" x14ac:dyDescent="0.25">
      <c r="Q30675" s="8"/>
    </row>
    <row r="30676" spans="17:17" x14ac:dyDescent="0.25">
      <c r="Q30676" s="8"/>
    </row>
    <row r="30677" spans="17:17" x14ac:dyDescent="0.25">
      <c r="Q30677" s="8"/>
    </row>
    <row r="30678" spans="17:17" x14ac:dyDescent="0.25">
      <c r="Q30678" s="8"/>
    </row>
    <row r="30679" spans="17:17" x14ac:dyDescent="0.25">
      <c r="Q30679" s="8"/>
    </row>
    <row r="30680" spans="17:17" x14ac:dyDescent="0.25">
      <c r="Q30680" s="8"/>
    </row>
    <row r="30681" spans="17:17" x14ac:dyDescent="0.25">
      <c r="Q30681" s="8"/>
    </row>
    <row r="30682" spans="17:17" x14ac:dyDescent="0.25">
      <c r="Q30682" s="8"/>
    </row>
    <row r="30683" spans="17:17" x14ac:dyDescent="0.25">
      <c r="Q30683" s="8"/>
    </row>
    <row r="30684" spans="17:17" x14ac:dyDescent="0.25">
      <c r="Q30684" s="8"/>
    </row>
    <row r="30685" spans="17:17" x14ac:dyDescent="0.25">
      <c r="Q30685" s="8"/>
    </row>
    <row r="30686" spans="17:17" x14ac:dyDescent="0.25">
      <c r="Q30686" s="8"/>
    </row>
    <row r="30687" spans="17:17" x14ac:dyDescent="0.25">
      <c r="Q30687" s="8"/>
    </row>
    <row r="30688" spans="17:17" x14ac:dyDescent="0.25">
      <c r="Q30688" s="8"/>
    </row>
    <row r="30689" spans="17:17" x14ac:dyDescent="0.25">
      <c r="Q30689" s="8"/>
    </row>
    <row r="30690" spans="17:17" x14ac:dyDescent="0.25">
      <c r="Q30690" s="8"/>
    </row>
    <row r="30691" spans="17:17" x14ac:dyDescent="0.25">
      <c r="Q30691" s="8"/>
    </row>
    <row r="30692" spans="17:17" x14ac:dyDescent="0.25">
      <c r="Q30692" s="8"/>
    </row>
    <row r="30693" spans="17:17" x14ac:dyDescent="0.25">
      <c r="Q30693" s="8"/>
    </row>
    <row r="30694" spans="17:17" x14ac:dyDescent="0.25">
      <c r="Q30694" s="8"/>
    </row>
    <row r="30695" spans="17:17" x14ac:dyDescent="0.25">
      <c r="Q30695" s="8"/>
    </row>
    <row r="30696" spans="17:17" x14ac:dyDescent="0.25">
      <c r="Q30696" s="8"/>
    </row>
    <row r="30697" spans="17:17" x14ac:dyDescent="0.25">
      <c r="Q30697" s="8"/>
    </row>
    <row r="30698" spans="17:17" x14ac:dyDescent="0.25">
      <c r="Q30698" s="8"/>
    </row>
    <row r="30699" spans="17:17" x14ac:dyDescent="0.25">
      <c r="Q30699" s="8"/>
    </row>
    <row r="30700" spans="17:17" x14ac:dyDescent="0.25">
      <c r="Q30700" s="8"/>
    </row>
    <row r="30701" spans="17:17" x14ac:dyDescent="0.25">
      <c r="Q30701" s="8"/>
    </row>
    <row r="30702" spans="17:17" x14ac:dyDescent="0.25">
      <c r="Q30702" s="8"/>
    </row>
    <row r="30703" spans="17:17" x14ac:dyDescent="0.25">
      <c r="Q30703" s="8"/>
    </row>
    <row r="30704" spans="17:17" x14ac:dyDescent="0.25">
      <c r="Q30704" s="8"/>
    </row>
    <row r="30705" spans="17:17" x14ac:dyDescent="0.25">
      <c r="Q30705" s="8"/>
    </row>
    <row r="30706" spans="17:17" x14ac:dyDescent="0.25">
      <c r="Q30706" s="8"/>
    </row>
    <row r="30707" spans="17:17" x14ac:dyDescent="0.25">
      <c r="Q30707" s="8"/>
    </row>
    <row r="30708" spans="17:17" x14ac:dyDescent="0.25">
      <c r="Q30708" s="8"/>
    </row>
    <row r="30709" spans="17:17" x14ac:dyDescent="0.25">
      <c r="Q30709" s="8"/>
    </row>
    <row r="30710" spans="17:17" x14ac:dyDescent="0.25">
      <c r="Q30710" s="8"/>
    </row>
    <row r="30711" spans="17:17" x14ac:dyDescent="0.25">
      <c r="Q30711" s="8"/>
    </row>
    <row r="30712" spans="17:17" x14ac:dyDescent="0.25">
      <c r="Q30712" s="8"/>
    </row>
    <row r="30713" spans="17:17" x14ac:dyDescent="0.25">
      <c r="Q30713" s="8"/>
    </row>
    <row r="30714" spans="17:17" x14ac:dyDescent="0.25">
      <c r="Q30714" s="8"/>
    </row>
    <row r="30715" spans="17:17" x14ac:dyDescent="0.25">
      <c r="Q30715" s="8"/>
    </row>
    <row r="30716" spans="17:17" x14ac:dyDescent="0.25">
      <c r="Q30716" s="8"/>
    </row>
    <row r="30717" spans="17:17" x14ac:dyDescent="0.25">
      <c r="Q30717" s="8"/>
    </row>
    <row r="30718" spans="17:17" x14ac:dyDescent="0.25">
      <c r="Q30718" s="8"/>
    </row>
    <row r="30719" spans="17:17" x14ac:dyDescent="0.25">
      <c r="Q30719" s="8"/>
    </row>
    <row r="30720" spans="17:17" x14ac:dyDescent="0.25">
      <c r="Q30720" s="8"/>
    </row>
    <row r="30721" spans="17:17" x14ac:dyDescent="0.25">
      <c r="Q30721" s="8"/>
    </row>
    <row r="30722" spans="17:17" x14ac:dyDescent="0.25">
      <c r="Q30722" s="8"/>
    </row>
    <row r="30723" spans="17:17" x14ac:dyDescent="0.25">
      <c r="Q30723" s="8"/>
    </row>
    <row r="30724" spans="17:17" x14ac:dyDescent="0.25">
      <c r="Q30724" s="8"/>
    </row>
    <row r="30725" spans="17:17" x14ac:dyDescent="0.25">
      <c r="Q30725" s="8"/>
    </row>
    <row r="30726" spans="17:17" x14ac:dyDescent="0.25">
      <c r="Q30726" s="8"/>
    </row>
    <row r="30727" spans="17:17" x14ac:dyDescent="0.25">
      <c r="Q30727" s="8"/>
    </row>
    <row r="30728" spans="17:17" x14ac:dyDescent="0.25">
      <c r="Q30728" s="8"/>
    </row>
    <row r="30729" spans="17:17" x14ac:dyDescent="0.25">
      <c r="Q30729" s="8"/>
    </row>
    <row r="30730" spans="17:17" x14ac:dyDescent="0.25">
      <c r="Q30730" s="8"/>
    </row>
    <row r="30731" spans="17:17" x14ac:dyDescent="0.25">
      <c r="Q30731" s="8"/>
    </row>
    <row r="30732" spans="17:17" x14ac:dyDescent="0.25">
      <c r="Q30732" s="8"/>
    </row>
    <row r="30733" spans="17:17" x14ac:dyDescent="0.25">
      <c r="Q30733" s="8"/>
    </row>
    <row r="30734" spans="17:17" x14ac:dyDescent="0.25">
      <c r="Q30734" s="8"/>
    </row>
    <row r="30735" spans="17:17" x14ac:dyDescent="0.25">
      <c r="Q30735" s="8"/>
    </row>
    <row r="30736" spans="17:17" x14ac:dyDescent="0.25">
      <c r="Q30736" s="8"/>
    </row>
    <row r="30737" spans="17:17" x14ac:dyDescent="0.25">
      <c r="Q30737" s="8"/>
    </row>
    <row r="30738" spans="17:17" x14ac:dyDescent="0.25">
      <c r="Q30738" s="8"/>
    </row>
    <row r="30739" spans="17:17" x14ac:dyDescent="0.25">
      <c r="Q30739" s="8"/>
    </row>
    <row r="30740" spans="17:17" x14ac:dyDescent="0.25">
      <c r="Q30740" s="8"/>
    </row>
    <row r="30741" spans="17:17" x14ac:dyDescent="0.25">
      <c r="Q30741" s="8"/>
    </row>
    <row r="30742" spans="17:17" x14ac:dyDescent="0.25">
      <c r="Q30742" s="8"/>
    </row>
    <row r="30743" spans="17:17" x14ac:dyDescent="0.25">
      <c r="Q30743" s="8"/>
    </row>
    <row r="30744" spans="17:17" x14ac:dyDescent="0.25">
      <c r="Q30744" s="8"/>
    </row>
    <row r="30745" spans="17:17" x14ac:dyDescent="0.25">
      <c r="Q30745" s="8"/>
    </row>
    <row r="30746" spans="17:17" x14ac:dyDescent="0.25">
      <c r="Q30746" s="8"/>
    </row>
    <row r="30747" spans="17:17" x14ac:dyDescent="0.25">
      <c r="Q30747" s="8"/>
    </row>
    <row r="30748" spans="17:17" x14ac:dyDescent="0.25">
      <c r="Q30748" s="8"/>
    </row>
    <row r="30749" spans="17:17" x14ac:dyDescent="0.25">
      <c r="Q30749" s="8"/>
    </row>
    <row r="30750" spans="17:17" x14ac:dyDescent="0.25">
      <c r="Q30750" s="8"/>
    </row>
    <row r="30751" spans="17:17" x14ac:dyDescent="0.25">
      <c r="Q30751" s="8"/>
    </row>
    <row r="30752" spans="17:17" x14ac:dyDescent="0.25">
      <c r="Q30752" s="8"/>
    </row>
    <row r="30753" spans="17:17" x14ac:dyDescent="0.25">
      <c r="Q30753" s="8"/>
    </row>
    <row r="30754" spans="17:17" x14ac:dyDescent="0.25">
      <c r="Q30754" s="8"/>
    </row>
    <row r="30755" spans="17:17" x14ac:dyDescent="0.25">
      <c r="Q30755" s="8"/>
    </row>
    <row r="30756" spans="17:17" x14ac:dyDescent="0.25">
      <c r="Q30756" s="8"/>
    </row>
    <row r="30757" spans="17:17" x14ac:dyDescent="0.25">
      <c r="Q30757" s="8"/>
    </row>
    <row r="30758" spans="17:17" x14ac:dyDescent="0.25">
      <c r="Q30758" s="8"/>
    </row>
    <row r="30759" spans="17:17" x14ac:dyDescent="0.25">
      <c r="Q30759" s="8"/>
    </row>
    <row r="30760" spans="17:17" x14ac:dyDescent="0.25">
      <c r="Q30760" s="8"/>
    </row>
    <row r="30761" spans="17:17" x14ac:dyDescent="0.25">
      <c r="Q30761" s="8"/>
    </row>
    <row r="30762" spans="17:17" x14ac:dyDescent="0.25">
      <c r="Q30762" s="8"/>
    </row>
    <row r="30763" spans="17:17" x14ac:dyDescent="0.25">
      <c r="Q30763" s="8"/>
    </row>
    <row r="30764" spans="17:17" x14ac:dyDescent="0.25">
      <c r="Q30764" s="8"/>
    </row>
    <row r="30765" spans="17:17" x14ac:dyDescent="0.25">
      <c r="Q30765" s="8"/>
    </row>
    <row r="30766" spans="17:17" x14ac:dyDescent="0.25">
      <c r="Q30766" s="8"/>
    </row>
    <row r="30767" spans="17:17" x14ac:dyDescent="0.25">
      <c r="Q30767" s="8"/>
    </row>
    <row r="30768" spans="17:17" x14ac:dyDescent="0.25">
      <c r="Q30768" s="8"/>
    </row>
    <row r="30769" spans="17:17" x14ac:dyDescent="0.25">
      <c r="Q30769" s="8"/>
    </row>
    <row r="30770" spans="17:17" x14ac:dyDescent="0.25">
      <c r="Q30770" s="8"/>
    </row>
    <row r="30771" spans="17:17" x14ac:dyDescent="0.25">
      <c r="Q30771" s="8"/>
    </row>
    <row r="30772" spans="17:17" x14ac:dyDescent="0.25">
      <c r="Q30772" s="8"/>
    </row>
    <row r="30773" spans="17:17" x14ac:dyDescent="0.25">
      <c r="Q30773" s="8"/>
    </row>
    <row r="30774" spans="17:17" x14ac:dyDescent="0.25">
      <c r="Q30774" s="8"/>
    </row>
    <row r="30775" spans="17:17" x14ac:dyDescent="0.25">
      <c r="Q30775" s="8"/>
    </row>
    <row r="30776" spans="17:17" x14ac:dyDescent="0.25">
      <c r="Q30776" s="8"/>
    </row>
    <row r="30777" spans="17:17" x14ac:dyDescent="0.25">
      <c r="Q30777" s="8"/>
    </row>
    <row r="30778" spans="17:17" x14ac:dyDescent="0.25">
      <c r="Q30778" s="8"/>
    </row>
    <row r="30779" spans="17:17" x14ac:dyDescent="0.25">
      <c r="Q30779" s="8"/>
    </row>
    <row r="30780" spans="17:17" x14ac:dyDescent="0.25">
      <c r="Q30780" s="8"/>
    </row>
    <row r="30781" spans="17:17" x14ac:dyDescent="0.25">
      <c r="Q30781" s="8"/>
    </row>
    <row r="30782" spans="17:17" x14ac:dyDescent="0.25">
      <c r="Q30782" s="8"/>
    </row>
    <row r="30783" spans="17:17" x14ac:dyDescent="0.25">
      <c r="Q30783" s="8"/>
    </row>
    <row r="30784" spans="17:17" x14ac:dyDescent="0.25">
      <c r="Q30784" s="8"/>
    </row>
    <row r="30785" spans="17:17" x14ac:dyDescent="0.25">
      <c r="Q30785" s="8"/>
    </row>
    <row r="30786" spans="17:17" x14ac:dyDescent="0.25">
      <c r="Q30786" s="8"/>
    </row>
    <row r="30787" spans="17:17" x14ac:dyDescent="0.25">
      <c r="Q30787" s="8"/>
    </row>
    <row r="30788" spans="17:17" x14ac:dyDescent="0.25">
      <c r="Q30788" s="8"/>
    </row>
    <row r="30789" spans="17:17" x14ac:dyDescent="0.25">
      <c r="Q30789" s="8"/>
    </row>
    <row r="30790" spans="17:17" x14ac:dyDescent="0.25">
      <c r="Q30790" s="8"/>
    </row>
    <row r="30791" spans="17:17" x14ac:dyDescent="0.25">
      <c r="Q30791" s="8"/>
    </row>
    <row r="30792" spans="17:17" x14ac:dyDescent="0.25">
      <c r="Q30792" s="8"/>
    </row>
    <row r="30793" spans="17:17" x14ac:dyDescent="0.25">
      <c r="Q30793" s="8"/>
    </row>
    <row r="30794" spans="17:17" x14ac:dyDescent="0.25">
      <c r="Q30794" s="8"/>
    </row>
    <row r="30795" spans="17:17" x14ac:dyDescent="0.25">
      <c r="Q30795" s="8"/>
    </row>
    <row r="30796" spans="17:17" x14ac:dyDescent="0.25">
      <c r="Q30796" s="8"/>
    </row>
    <row r="30797" spans="17:17" x14ac:dyDescent="0.25">
      <c r="Q30797" s="8"/>
    </row>
    <row r="30798" spans="17:17" x14ac:dyDescent="0.25">
      <c r="Q30798" s="8"/>
    </row>
    <row r="30799" spans="17:17" x14ac:dyDescent="0.25">
      <c r="Q30799" s="8"/>
    </row>
    <row r="30800" spans="17:17" x14ac:dyDescent="0.25">
      <c r="Q30800" s="8"/>
    </row>
    <row r="30801" spans="17:17" x14ac:dyDescent="0.25">
      <c r="Q30801" s="8"/>
    </row>
    <row r="30802" spans="17:17" x14ac:dyDescent="0.25">
      <c r="Q30802" s="8"/>
    </row>
    <row r="30803" spans="17:17" x14ac:dyDescent="0.25">
      <c r="Q30803" s="8"/>
    </row>
    <row r="30804" spans="17:17" x14ac:dyDescent="0.25">
      <c r="Q30804" s="8"/>
    </row>
    <row r="30805" spans="17:17" x14ac:dyDescent="0.25">
      <c r="Q30805" s="8"/>
    </row>
    <row r="30806" spans="17:17" x14ac:dyDescent="0.25">
      <c r="Q30806" s="8"/>
    </row>
    <row r="30807" spans="17:17" x14ac:dyDescent="0.25">
      <c r="Q30807" s="8"/>
    </row>
    <row r="30808" spans="17:17" x14ac:dyDescent="0.25">
      <c r="Q30808" s="8"/>
    </row>
    <row r="30809" spans="17:17" x14ac:dyDescent="0.25">
      <c r="Q30809" s="8"/>
    </row>
    <row r="30810" spans="17:17" x14ac:dyDescent="0.25">
      <c r="Q30810" s="8"/>
    </row>
    <row r="30811" spans="17:17" x14ac:dyDescent="0.25">
      <c r="Q30811" s="8"/>
    </row>
    <row r="30812" spans="17:17" x14ac:dyDescent="0.25">
      <c r="Q30812" s="8"/>
    </row>
    <row r="30813" spans="17:17" x14ac:dyDescent="0.25">
      <c r="Q30813" s="8"/>
    </row>
    <row r="30814" spans="17:17" x14ac:dyDescent="0.25">
      <c r="Q30814" s="8"/>
    </row>
    <row r="30815" spans="17:17" x14ac:dyDescent="0.25">
      <c r="Q30815" s="8"/>
    </row>
    <row r="30816" spans="17:17" x14ac:dyDescent="0.25">
      <c r="Q30816" s="8"/>
    </row>
    <row r="30817" spans="17:17" x14ac:dyDescent="0.25">
      <c r="Q30817" s="8"/>
    </row>
    <row r="30818" spans="17:17" x14ac:dyDescent="0.25">
      <c r="Q30818" s="8"/>
    </row>
    <row r="30819" spans="17:17" x14ac:dyDescent="0.25">
      <c r="Q30819" s="8"/>
    </row>
    <row r="30820" spans="17:17" x14ac:dyDescent="0.25">
      <c r="Q30820" s="8"/>
    </row>
    <row r="30821" spans="17:17" x14ac:dyDescent="0.25">
      <c r="Q30821" s="8"/>
    </row>
    <row r="30822" spans="17:17" x14ac:dyDescent="0.25">
      <c r="Q30822" s="8"/>
    </row>
    <row r="30823" spans="17:17" x14ac:dyDescent="0.25">
      <c r="Q30823" s="8"/>
    </row>
    <row r="30824" spans="17:17" x14ac:dyDescent="0.25">
      <c r="Q30824" s="8"/>
    </row>
    <row r="30825" spans="17:17" x14ac:dyDescent="0.25">
      <c r="Q30825" s="8"/>
    </row>
    <row r="30826" spans="17:17" x14ac:dyDescent="0.25">
      <c r="Q30826" s="8"/>
    </row>
    <row r="30827" spans="17:17" x14ac:dyDescent="0.25">
      <c r="Q30827" s="8"/>
    </row>
    <row r="30828" spans="17:17" x14ac:dyDescent="0.25">
      <c r="Q30828" s="8"/>
    </row>
    <row r="30829" spans="17:17" x14ac:dyDescent="0.25">
      <c r="Q30829" s="8"/>
    </row>
    <row r="30830" spans="17:17" x14ac:dyDescent="0.25">
      <c r="Q30830" s="8"/>
    </row>
    <row r="30831" spans="17:17" x14ac:dyDescent="0.25">
      <c r="Q30831" s="8"/>
    </row>
    <row r="30832" spans="17:17" x14ac:dyDescent="0.25">
      <c r="Q30832" s="8"/>
    </row>
    <row r="30833" spans="17:17" x14ac:dyDescent="0.25">
      <c r="Q30833" s="8"/>
    </row>
    <row r="30834" spans="17:17" x14ac:dyDescent="0.25">
      <c r="Q30834" s="8"/>
    </row>
    <row r="30835" spans="17:17" x14ac:dyDescent="0.25">
      <c r="Q30835" s="8"/>
    </row>
    <row r="30836" spans="17:17" x14ac:dyDescent="0.25">
      <c r="Q30836" s="8"/>
    </row>
    <row r="30837" spans="17:17" x14ac:dyDescent="0.25">
      <c r="Q30837" s="8"/>
    </row>
    <row r="30838" spans="17:17" x14ac:dyDescent="0.25">
      <c r="Q30838" s="8"/>
    </row>
    <row r="30839" spans="17:17" x14ac:dyDescent="0.25">
      <c r="Q30839" s="8"/>
    </row>
    <row r="30840" spans="17:17" x14ac:dyDescent="0.25">
      <c r="Q30840" s="8"/>
    </row>
    <row r="30841" spans="17:17" x14ac:dyDescent="0.25">
      <c r="Q30841" s="8"/>
    </row>
    <row r="30842" spans="17:17" x14ac:dyDescent="0.25">
      <c r="Q30842" s="8"/>
    </row>
    <row r="30843" spans="17:17" x14ac:dyDescent="0.25">
      <c r="Q30843" s="8"/>
    </row>
    <row r="30844" spans="17:17" x14ac:dyDescent="0.25">
      <c r="Q30844" s="8"/>
    </row>
    <row r="30845" spans="17:17" x14ac:dyDescent="0.25">
      <c r="Q30845" s="8"/>
    </row>
    <row r="30846" spans="17:17" x14ac:dyDescent="0.25">
      <c r="Q30846" s="8"/>
    </row>
    <row r="30847" spans="17:17" x14ac:dyDescent="0.25">
      <c r="Q30847" s="8"/>
    </row>
    <row r="30848" spans="17:17" x14ac:dyDescent="0.25">
      <c r="Q30848" s="8"/>
    </row>
    <row r="30849" spans="17:17" x14ac:dyDescent="0.25">
      <c r="Q30849" s="8"/>
    </row>
    <row r="30850" spans="17:17" x14ac:dyDescent="0.25">
      <c r="Q30850" s="8"/>
    </row>
    <row r="30851" spans="17:17" x14ac:dyDescent="0.25">
      <c r="Q30851" s="8"/>
    </row>
    <row r="30852" spans="17:17" x14ac:dyDescent="0.25">
      <c r="Q30852" s="8"/>
    </row>
    <row r="30853" spans="17:17" x14ac:dyDescent="0.25">
      <c r="Q30853" s="8"/>
    </row>
    <row r="30854" spans="17:17" x14ac:dyDescent="0.25">
      <c r="Q30854" s="8"/>
    </row>
    <row r="30855" spans="17:17" x14ac:dyDescent="0.25">
      <c r="Q30855" s="8"/>
    </row>
    <row r="30856" spans="17:17" x14ac:dyDescent="0.25">
      <c r="Q30856" s="8"/>
    </row>
    <row r="30857" spans="17:17" x14ac:dyDescent="0.25">
      <c r="Q30857" s="8"/>
    </row>
    <row r="30858" spans="17:17" x14ac:dyDescent="0.25">
      <c r="Q30858" s="8"/>
    </row>
    <row r="30859" spans="17:17" x14ac:dyDescent="0.25">
      <c r="Q30859" s="8"/>
    </row>
    <row r="30860" spans="17:17" x14ac:dyDescent="0.25">
      <c r="Q30860" s="8"/>
    </row>
    <row r="30861" spans="17:17" x14ac:dyDescent="0.25">
      <c r="Q30861" s="8"/>
    </row>
    <row r="30862" spans="17:17" x14ac:dyDescent="0.25">
      <c r="Q30862" s="8"/>
    </row>
    <row r="30863" spans="17:17" x14ac:dyDescent="0.25">
      <c r="Q30863" s="8"/>
    </row>
    <row r="30864" spans="17:17" x14ac:dyDescent="0.25">
      <c r="Q30864" s="8"/>
    </row>
    <row r="30865" spans="17:17" x14ac:dyDescent="0.25">
      <c r="Q30865" s="8"/>
    </row>
    <row r="30866" spans="17:17" x14ac:dyDescent="0.25">
      <c r="Q30866" s="8"/>
    </row>
    <row r="30867" spans="17:17" x14ac:dyDescent="0.25">
      <c r="Q30867" s="8"/>
    </row>
    <row r="30868" spans="17:17" x14ac:dyDescent="0.25">
      <c r="Q30868" s="8"/>
    </row>
    <row r="30869" spans="17:17" x14ac:dyDescent="0.25">
      <c r="Q30869" s="8"/>
    </row>
    <row r="30870" spans="17:17" x14ac:dyDescent="0.25">
      <c r="Q30870" s="8"/>
    </row>
    <row r="30871" spans="17:17" x14ac:dyDescent="0.25">
      <c r="Q30871" s="8"/>
    </row>
    <row r="30872" spans="17:17" x14ac:dyDescent="0.25">
      <c r="Q30872" s="8"/>
    </row>
    <row r="30873" spans="17:17" x14ac:dyDescent="0.25">
      <c r="Q30873" s="8"/>
    </row>
    <row r="30874" spans="17:17" x14ac:dyDescent="0.25">
      <c r="Q30874" s="8"/>
    </row>
    <row r="30875" spans="17:17" x14ac:dyDescent="0.25">
      <c r="Q30875" s="8"/>
    </row>
    <row r="30876" spans="17:17" x14ac:dyDescent="0.25">
      <c r="Q30876" s="8"/>
    </row>
    <row r="30877" spans="17:17" x14ac:dyDescent="0.25">
      <c r="Q30877" s="8"/>
    </row>
    <row r="30878" spans="17:17" x14ac:dyDescent="0.25">
      <c r="Q30878" s="8"/>
    </row>
    <row r="30879" spans="17:17" x14ac:dyDescent="0.25">
      <c r="Q30879" s="8"/>
    </row>
    <row r="30880" spans="17:17" x14ac:dyDescent="0.25">
      <c r="Q30880" s="8"/>
    </row>
    <row r="30881" spans="17:17" x14ac:dyDescent="0.25">
      <c r="Q30881" s="8"/>
    </row>
    <row r="30882" spans="17:17" x14ac:dyDescent="0.25">
      <c r="Q30882" s="8"/>
    </row>
    <row r="30883" spans="17:17" x14ac:dyDescent="0.25">
      <c r="Q30883" s="8"/>
    </row>
    <row r="30884" spans="17:17" x14ac:dyDescent="0.25">
      <c r="Q30884" s="8"/>
    </row>
    <row r="30885" spans="17:17" x14ac:dyDescent="0.25">
      <c r="Q30885" s="8"/>
    </row>
    <row r="30886" spans="17:17" x14ac:dyDescent="0.25">
      <c r="Q30886" s="8"/>
    </row>
    <row r="30887" spans="17:17" x14ac:dyDescent="0.25">
      <c r="Q30887" s="8"/>
    </row>
    <row r="30888" spans="17:17" x14ac:dyDescent="0.25">
      <c r="Q30888" s="8"/>
    </row>
    <row r="30889" spans="17:17" x14ac:dyDescent="0.25">
      <c r="Q30889" s="8"/>
    </row>
    <row r="30890" spans="17:17" x14ac:dyDescent="0.25">
      <c r="Q30890" s="8"/>
    </row>
    <row r="30891" spans="17:17" x14ac:dyDescent="0.25">
      <c r="Q30891" s="8"/>
    </row>
    <row r="30892" spans="17:17" x14ac:dyDescent="0.25">
      <c r="Q30892" s="8"/>
    </row>
    <row r="30893" spans="17:17" x14ac:dyDescent="0.25">
      <c r="Q30893" s="8"/>
    </row>
    <row r="30894" spans="17:17" x14ac:dyDescent="0.25">
      <c r="Q30894" s="8"/>
    </row>
    <row r="30895" spans="17:17" x14ac:dyDescent="0.25">
      <c r="Q30895" s="8"/>
    </row>
    <row r="30896" spans="17:17" x14ac:dyDescent="0.25">
      <c r="Q30896" s="8"/>
    </row>
    <row r="30897" spans="17:17" x14ac:dyDescent="0.25">
      <c r="Q30897" s="8"/>
    </row>
    <row r="30898" spans="17:17" x14ac:dyDescent="0.25">
      <c r="Q30898" s="8"/>
    </row>
    <row r="30899" spans="17:17" x14ac:dyDescent="0.25">
      <c r="Q30899" s="8"/>
    </row>
    <row r="30900" spans="17:17" x14ac:dyDescent="0.25">
      <c r="Q30900" s="8"/>
    </row>
    <row r="30901" spans="17:17" x14ac:dyDescent="0.25">
      <c r="Q30901" s="8"/>
    </row>
    <row r="30902" spans="17:17" x14ac:dyDescent="0.25">
      <c r="Q30902" s="8"/>
    </row>
    <row r="30903" spans="17:17" x14ac:dyDescent="0.25">
      <c r="Q30903" s="8"/>
    </row>
    <row r="30904" spans="17:17" x14ac:dyDescent="0.25">
      <c r="Q30904" s="8"/>
    </row>
    <row r="30905" spans="17:17" x14ac:dyDescent="0.25">
      <c r="Q30905" s="8"/>
    </row>
    <row r="30906" spans="17:17" x14ac:dyDescent="0.25">
      <c r="Q30906" s="8"/>
    </row>
    <row r="30907" spans="17:17" x14ac:dyDescent="0.25">
      <c r="Q30907" s="8"/>
    </row>
    <row r="30908" spans="17:17" x14ac:dyDescent="0.25">
      <c r="Q30908" s="8"/>
    </row>
    <row r="30909" spans="17:17" x14ac:dyDescent="0.25">
      <c r="Q30909" s="8"/>
    </row>
    <row r="30910" spans="17:17" x14ac:dyDescent="0.25">
      <c r="Q30910" s="8"/>
    </row>
    <row r="30911" spans="17:17" x14ac:dyDescent="0.25">
      <c r="Q30911" s="8"/>
    </row>
    <row r="30912" spans="17:17" x14ac:dyDescent="0.25">
      <c r="Q30912" s="8"/>
    </row>
    <row r="30913" spans="17:17" x14ac:dyDescent="0.25">
      <c r="Q30913" s="8"/>
    </row>
    <row r="30914" spans="17:17" x14ac:dyDescent="0.25">
      <c r="Q30914" s="8"/>
    </row>
    <row r="30915" spans="17:17" x14ac:dyDescent="0.25">
      <c r="Q30915" s="8"/>
    </row>
    <row r="30916" spans="17:17" x14ac:dyDescent="0.25">
      <c r="Q30916" s="8"/>
    </row>
    <row r="30917" spans="17:17" x14ac:dyDescent="0.25">
      <c r="Q30917" s="8"/>
    </row>
    <row r="30918" spans="17:17" x14ac:dyDescent="0.25">
      <c r="Q30918" s="8"/>
    </row>
    <row r="30919" spans="17:17" x14ac:dyDescent="0.25">
      <c r="Q30919" s="8"/>
    </row>
    <row r="30920" spans="17:17" x14ac:dyDescent="0.25">
      <c r="Q30920" s="8"/>
    </row>
    <row r="30921" spans="17:17" x14ac:dyDescent="0.25">
      <c r="Q30921" s="8"/>
    </row>
    <row r="30922" spans="17:17" x14ac:dyDescent="0.25">
      <c r="Q30922" s="8"/>
    </row>
    <row r="30923" spans="17:17" x14ac:dyDescent="0.25">
      <c r="Q30923" s="8"/>
    </row>
    <row r="30924" spans="17:17" x14ac:dyDescent="0.25">
      <c r="Q30924" s="8"/>
    </row>
    <row r="30925" spans="17:17" x14ac:dyDescent="0.25">
      <c r="Q30925" s="8"/>
    </row>
    <row r="30926" spans="17:17" x14ac:dyDescent="0.25">
      <c r="Q30926" s="8"/>
    </row>
    <row r="30927" spans="17:17" x14ac:dyDescent="0.25">
      <c r="Q30927" s="8"/>
    </row>
    <row r="30928" spans="17:17" x14ac:dyDescent="0.25">
      <c r="Q30928" s="8"/>
    </row>
    <row r="30929" spans="17:17" x14ac:dyDescent="0.25">
      <c r="Q30929" s="8"/>
    </row>
    <row r="30930" spans="17:17" x14ac:dyDescent="0.25">
      <c r="Q30930" s="8"/>
    </row>
    <row r="30931" spans="17:17" x14ac:dyDescent="0.25">
      <c r="Q30931" s="8"/>
    </row>
    <row r="30932" spans="17:17" x14ac:dyDescent="0.25">
      <c r="Q30932" s="8"/>
    </row>
    <row r="30933" spans="17:17" x14ac:dyDescent="0.25">
      <c r="Q30933" s="8"/>
    </row>
    <row r="30934" spans="17:17" x14ac:dyDescent="0.25">
      <c r="Q30934" s="8"/>
    </row>
    <row r="30935" spans="17:17" x14ac:dyDescent="0.25">
      <c r="Q30935" s="8"/>
    </row>
    <row r="30936" spans="17:17" x14ac:dyDescent="0.25">
      <c r="Q30936" s="8"/>
    </row>
    <row r="30937" spans="17:17" x14ac:dyDescent="0.25">
      <c r="Q30937" s="8"/>
    </row>
    <row r="30938" spans="17:17" x14ac:dyDescent="0.25">
      <c r="Q30938" s="8"/>
    </row>
    <row r="30939" spans="17:17" x14ac:dyDescent="0.25">
      <c r="Q30939" s="8"/>
    </row>
    <row r="30940" spans="17:17" x14ac:dyDescent="0.25">
      <c r="Q30940" s="8"/>
    </row>
    <row r="30941" spans="17:17" x14ac:dyDescent="0.25">
      <c r="Q30941" s="8"/>
    </row>
    <row r="30942" spans="17:17" x14ac:dyDescent="0.25">
      <c r="Q30942" s="8"/>
    </row>
    <row r="30943" spans="17:17" x14ac:dyDescent="0.25">
      <c r="Q30943" s="8"/>
    </row>
    <row r="30944" spans="17:17" x14ac:dyDescent="0.25">
      <c r="Q30944" s="8"/>
    </row>
    <row r="30945" spans="17:17" x14ac:dyDescent="0.25">
      <c r="Q30945" s="8"/>
    </row>
    <row r="30946" spans="17:17" x14ac:dyDescent="0.25">
      <c r="Q30946" s="8"/>
    </row>
    <row r="30947" spans="17:17" x14ac:dyDescent="0.25">
      <c r="Q30947" s="8"/>
    </row>
    <row r="30948" spans="17:17" x14ac:dyDescent="0.25">
      <c r="Q30948" s="8"/>
    </row>
    <row r="30949" spans="17:17" x14ac:dyDescent="0.25">
      <c r="Q30949" s="8"/>
    </row>
    <row r="30950" spans="17:17" x14ac:dyDescent="0.25">
      <c r="Q30950" s="8"/>
    </row>
    <row r="30951" spans="17:17" x14ac:dyDescent="0.25">
      <c r="Q30951" s="8"/>
    </row>
    <row r="30952" spans="17:17" x14ac:dyDescent="0.25">
      <c r="Q30952" s="8"/>
    </row>
    <row r="30953" spans="17:17" x14ac:dyDescent="0.25">
      <c r="Q30953" s="8"/>
    </row>
    <row r="30954" spans="17:17" x14ac:dyDescent="0.25">
      <c r="Q30954" s="8"/>
    </row>
    <row r="30955" spans="17:17" x14ac:dyDescent="0.25">
      <c r="Q30955" s="8"/>
    </row>
    <row r="30956" spans="17:17" x14ac:dyDescent="0.25">
      <c r="Q30956" s="8"/>
    </row>
    <row r="30957" spans="17:17" x14ac:dyDescent="0.25">
      <c r="Q30957" s="8"/>
    </row>
    <row r="30958" spans="17:17" x14ac:dyDescent="0.25">
      <c r="Q30958" s="8"/>
    </row>
    <row r="30959" spans="17:17" x14ac:dyDescent="0.25">
      <c r="Q30959" s="8"/>
    </row>
    <row r="30960" spans="17:17" x14ac:dyDescent="0.25">
      <c r="Q30960" s="8"/>
    </row>
    <row r="30961" spans="17:17" x14ac:dyDescent="0.25">
      <c r="Q30961" s="8"/>
    </row>
    <row r="30962" spans="17:17" x14ac:dyDescent="0.25">
      <c r="Q30962" s="8"/>
    </row>
    <row r="30963" spans="17:17" x14ac:dyDescent="0.25">
      <c r="Q30963" s="8"/>
    </row>
    <row r="30964" spans="17:17" x14ac:dyDescent="0.25">
      <c r="Q30964" s="8"/>
    </row>
    <row r="30965" spans="17:17" x14ac:dyDescent="0.25">
      <c r="Q30965" s="8"/>
    </row>
    <row r="30966" spans="17:17" x14ac:dyDescent="0.25">
      <c r="Q30966" s="8"/>
    </row>
    <row r="30967" spans="17:17" x14ac:dyDescent="0.25">
      <c r="Q30967" s="8"/>
    </row>
    <row r="30968" spans="17:17" x14ac:dyDescent="0.25">
      <c r="Q30968" s="8"/>
    </row>
    <row r="30969" spans="17:17" x14ac:dyDescent="0.25">
      <c r="Q30969" s="8"/>
    </row>
    <row r="30970" spans="17:17" x14ac:dyDescent="0.25">
      <c r="Q30970" s="8"/>
    </row>
    <row r="30971" spans="17:17" x14ac:dyDescent="0.25">
      <c r="Q30971" s="8"/>
    </row>
    <row r="30972" spans="17:17" x14ac:dyDescent="0.25">
      <c r="Q30972" s="8"/>
    </row>
    <row r="30973" spans="17:17" x14ac:dyDescent="0.25">
      <c r="Q30973" s="8"/>
    </row>
    <row r="30974" spans="17:17" x14ac:dyDescent="0.25">
      <c r="Q30974" s="8"/>
    </row>
    <row r="30975" spans="17:17" x14ac:dyDescent="0.25">
      <c r="Q30975" s="8"/>
    </row>
    <row r="30976" spans="17:17" x14ac:dyDescent="0.25">
      <c r="Q30976" s="8"/>
    </row>
    <row r="30977" spans="17:17" x14ac:dyDescent="0.25">
      <c r="Q30977" s="8"/>
    </row>
    <row r="30978" spans="17:17" x14ac:dyDescent="0.25">
      <c r="Q30978" s="8"/>
    </row>
    <row r="30979" spans="17:17" x14ac:dyDescent="0.25">
      <c r="Q30979" s="8"/>
    </row>
    <row r="30980" spans="17:17" x14ac:dyDescent="0.25">
      <c r="Q30980" s="8"/>
    </row>
    <row r="30981" spans="17:17" x14ac:dyDescent="0.25">
      <c r="Q30981" s="8"/>
    </row>
    <row r="30982" spans="17:17" x14ac:dyDescent="0.25">
      <c r="Q30982" s="8"/>
    </row>
    <row r="30983" spans="17:17" x14ac:dyDescent="0.25">
      <c r="Q30983" s="8"/>
    </row>
    <row r="30984" spans="17:17" x14ac:dyDescent="0.25">
      <c r="Q30984" s="8"/>
    </row>
    <row r="30985" spans="17:17" x14ac:dyDescent="0.25">
      <c r="Q30985" s="8"/>
    </row>
    <row r="30986" spans="17:17" x14ac:dyDescent="0.25">
      <c r="Q30986" s="8"/>
    </row>
    <row r="30987" spans="17:17" x14ac:dyDescent="0.25">
      <c r="Q30987" s="8"/>
    </row>
    <row r="30988" spans="17:17" x14ac:dyDescent="0.25">
      <c r="Q30988" s="8"/>
    </row>
    <row r="30989" spans="17:17" x14ac:dyDescent="0.25">
      <c r="Q30989" s="8"/>
    </row>
    <row r="30990" spans="17:17" x14ac:dyDescent="0.25">
      <c r="Q30990" s="8"/>
    </row>
    <row r="30991" spans="17:17" x14ac:dyDescent="0.25">
      <c r="Q30991" s="8"/>
    </row>
    <row r="30992" spans="17:17" x14ac:dyDescent="0.25">
      <c r="Q30992" s="8"/>
    </row>
    <row r="30993" spans="17:17" x14ac:dyDescent="0.25">
      <c r="Q30993" s="8"/>
    </row>
    <row r="30994" spans="17:17" x14ac:dyDescent="0.25">
      <c r="Q30994" s="8"/>
    </row>
    <row r="30995" spans="17:17" x14ac:dyDescent="0.25">
      <c r="Q30995" s="8"/>
    </row>
    <row r="30996" spans="17:17" x14ac:dyDescent="0.25">
      <c r="Q30996" s="8"/>
    </row>
    <row r="30997" spans="17:17" x14ac:dyDescent="0.25">
      <c r="Q30997" s="8"/>
    </row>
    <row r="30998" spans="17:17" x14ac:dyDescent="0.25">
      <c r="Q30998" s="8"/>
    </row>
    <row r="30999" spans="17:17" x14ac:dyDescent="0.25">
      <c r="Q30999" s="8"/>
    </row>
    <row r="31000" spans="17:17" x14ac:dyDescent="0.25">
      <c r="Q31000" s="8"/>
    </row>
    <row r="31001" spans="17:17" x14ac:dyDescent="0.25">
      <c r="Q31001" s="8"/>
    </row>
    <row r="31002" spans="17:17" x14ac:dyDescent="0.25">
      <c r="Q31002" s="8"/>
    </row>
    <row r="31003" spans="17:17" x14ac:dyDescent="0.25">
      <c r="Q31003" s="8"/>
    </row>
    <row r="31004" spans="17:17" x14ac:dyDescent="0.25">
      <c r="Q31004" s="8"/>
    </row>
    <row r="31005" spans="17:17" x14ac:dyDescent="0.25">
      <c r="Q31005" s="8"/>
    </row>
    <row r="31006" spans="17:17" x14ac:dyDescent="0.25">
      <c r="Q31006" s="8"/>
    </row>
    <row r="31007" spans="17:17" x14ac:dyDescent="0.25">
      <c r="Q31007" s="8"/>
    </row>
    <row r="31008" spans="17:17" x14ac:dyDescent="0.25">
      <c r="Q31008" s="8"/>
    </row>
    <row r="31009" spans="17:17" x14ac:dyDescent="0.25">
      <c r="Q31009" s="8"/>
    </row>
    <row r="31010" spans="17:17" x14ac:dyDescent="0.25">
      <c r="Q31010" s="8"/>
    </row>
    <row r="31011" spans="17:17" x14ac:dyDescent="0.25">
      <c r="Q31011" s="8"/>
    </row>
    <row r="31012" spans="17:17" x14ac:dyDescent="0.25">
      <c r="Q31012" s="8"/>
    </row>
    <row r="31013" spans="17:17" x14ac:dyDescent="0.25">
      <c r="Q31013" s="8"/>
    </row>
    <row r="31014" spans="17:17" x14ac:dyDescent="0.25">
      <c r="Q31014" s="8"/>
    </row>
    <row r="31015" spans="17:17" x14ac:dyDescent="0.25">
      <c r="Q31015" s="8"/>
    </row>
    <row r="31016" spans="17:17" x14ac:dyDescent="0.25">
      <c r="Q31016" s="8"/>
    </row>
    <row r="31017" spans="17:17" x14ac:dyDescent="0.25">
      <c r="Q31017" s="8"/>
    </row>
    <row r="31018" spans="17:17" x14ac:dyDescent="0.25">
      <c r="Q31018" s="8"/>
    </row>
    <row r="31019" spans="17:17" x14ac:dyDescent="0.25">
      <c r="Q31019" s="8"/>
    </row>
    <row r="31020" spans="17:17" x14ac:dyDescent="0.25">
      <c r="Q31020" s="8"/>
    </row>
    <row r="31021" spans="17:17" x14ac:dyDescent="0.25">
      <c r="Q31021" s="8"/>
    </row>
    <row r="31022" spans="17:17" x14ac:dyDescent="0.25">
      <c r="Q31022" s="8"/>
    </row>
    <row r="31023" spans="17:17" x14ac:dyDescent="0.25">
      <c r="Q31023" s="8"/>
    </row>
    <row r="31024" spans="17:17" x14ac:dyDescent="0.25">
      <c r="Q31024" s="8"/>
    </row>
    <row r="31025" spans="17:17" x14ac:dyDescent="0.25">
      <c r="Q31025" s="8"/>
    </row>
    <row r="31026" spans="17:17" x14ac:dyDescent="0.25">
      <c r="Q31026" s="8"/>
    </row>
    <row r="31027" spans="17:17" x14ac:dyDescent="0.25">
      <c r="Q31027" s="8"/>
    </row>
    <row r="31028" spans="17:17" x14ac:dyDescent="0.25">
      <c r="Q31028" s="8"/>
    </row>
    <row r="31029" spans="17:17" x14ac:dyDescent="0.25">
      <c r="Q31029" s="8"/>
    </row>
    <row r="31030" spans="17:17" x14ac:dyDescent="0.25">
      <c r="Q31030" s="8"/>
    </row>
    <row r="31031" spans="17:17" x14ac:dyDescent="0.25">
      <c r="Q31031" s="8"/>
    </row>
    <row r="31032" spans="17:17" x14ac:dyDescent="0.25">
      <c r="Q31032" s="8"/>
    </row>
    <row r="31033" spans="17:17" x14ac:dyDescent="0.25">
      <c r="Q31033" s="8"/>
    </row>
    <row r="31034" spans="17:17" x14ac:dyDescent="0.25">
      <c r="Q31034" s="8"/>
    </row>
    <row r="31035" spans="17:17" x14ac:dyDescent="0.25">
      <c r="Q31035" s="8"/>
    </row>
    <row r="31036" spans="17:17" x14ac:dyDescent="0.25">
      <c r="Q31036" s="8"/>
    </row>
    <row r="31037" spans="17:17" x14ac:dyDescent="0.25">
      <c r="Q31037" s="8"/>
    </row>
    <row r="31038" spans="17:17" x14ac:dyDescent="0.25">
      <c r="Q31038" s="8"/>
    </row>
    <row r="31039" spans="17:17" x14ac:dyDescent="0.25">
      <c r="Q31039" s="8"/>
    </row>
    <row r="31040" spans="17:17" x14ac:dyDescent="0.25">
      <c r="Q31040" s="8"/>
    </row>
    <row r="31041" spans="17:17" x14ac:dyDescent="0.25">
      <c r="Q31041" s="8"/>
    </row>
    <row r="31042" spans="17:17" x14ac:dyDescent="0.25">
      <c r="Q31042" s="8"/>
    </row>
    <row r="31043" spans="17:17" x14ac:dyDescent="0.25">
      <c r="Q31043" s="8"/>
    </row>
    <row r="31044" spans="17:17" x14ac:dyDescent="0.25">
      <c r="Q31044" s="8"/>
    </row>
    <row r="31045" spans="17:17" x14ac:dyDescent="0.25">
      <c r="Q31045" s="8"/>
    </row>
    <row r="31046" spans="17:17" x14ac:dyDescent="0.25">
      <c r="Q31046" s="8"/>
    </row>
    <row r="31047" spans="17:17" x14ac:dyDescent="0.25">
      <c r="Q31047" s="8"/>
    </row>
    <row r="31048" spans="17:17" x14ac:dyDescent="0.25">
      <c r="Q31048" s="8"/>
    </row>
    <row r="31049" spans="17:17" x14ac:dyDescent="0.25">
      <c r="Q31049" s="8"/>
    </row>
    <row r="31050" spans="17:17" x14ac:dyDescent="0.25">
      <c r="Q31050" s="8"/>
    </row>
    <row r="31051" spans="17:17" x14ac:dyDescent="0.25">
      <c r="Q31051" s="8"/>
    </row>
    <row r="31052" spans="17:17" x14ac:dyDescent="0.25">
      <c r="Q31052" s="8"/>
    </row>
    <row r="31053" spans="17:17" x14ac:dyDescent="0.25">
      <c r="Q31053" s="8"/>
    </row>
    <row r="31054" spans="17:17" x14ac:dyDescent="0.25">
      <c r="Q31054" s="8"/>
    </row>
    <row r="31055" spans="17:17" x14ac:dyDescent="0.25">
      <c r="Q31055" s="8"/>
    </row>
    <row r="31056" spans="17:17" x14ac:dyDescent="0.25">
      <c r="Q31056" s="8"/>
    </row>
    <row r="31057" spans="17:17" x14ac:dyDescent="0.25">
      <c r="Q31057" s="8"/>
    </row>
    <row r="31058" spans="17:17" x14ac:dyDescent="0.25">
      <c r="Q31058" s="8"/>
    </row>
    <row r="31059" spans="17:17" x14ac:dyDescent="0.25">
      <c r="Q31059" s="8"/>
    </row>
    <row r="31060" spans="17:17" x14ac:dyDescent="0.25">
      <c r="Q31060" s="8"/>
    </row>
    <row r="31061" spans="17:17" x14ac:dyDescent="0.25">
      <c r="Q31061" s="8"/>
    </row>
    <row r="31062" spans="17:17" x14ac:dyDescent="0.25">
      <c r="Q31062" s="8"/>
    </row>
    <row r="31063" spans="17:17" x14ac:dyDescent="0.25">
      <c r="Q31063" s="8"/>
    </row>
    <row r="31064" spans="17:17" x14ac:dyDescent="0.25">
      <c r="Q31064" s="8"/>
    </row>
    <row r="31065" spans="17:17" x14ac:dyDescent="0.25">
      <c r="Q31065" s="8"/>
    </row>
    <row r="31066" spans="17:17" x14ac:dyDescent="0.25">
      <c r="Q31066" s="8"/>
    </row>
    <row r="31067" spans="17:17" x14ac:dyDescent="0.25">
      <c r="Q31067" s="8"/>
    </row>
    <row r="31068" spans="17:17" x14ac:dyDescent="0.25">
      <c r="Q31068" s="8"/>
    </row>
    <row r="31069" spans="17:17" x14ac:dyDescent="0.25">
      <c r="Q31069" s="8"/>
    </row>
    <row r="31070" spans="17:17" x14ac:dyDescent="0.25">
      <c r="Q31070" s="8"/>
    </row>
    <row r="31071" spans="17:17" x14ac:dyDescent="0.25">
      <c r="Q31071" s="8"/>
    </row>
    <row r="31072" spans="17:17" x14ac:dyDescent="0.25">
      <c r="Q31072" s="8"/>
    </row>
    <row r="31073" spans="17:17" x14ac:dyDescent="0.25">
      <c r="Q31073" s="8"/>
    </row>
    <row r="31074" spans="17:17" x14ac:dyDescent="0.25">
      <c r="Q31074" s="8"/>
    </row>
    <row r="31075" spans="17:17" x14ac:dyDescent="0.25">
      <c r="Q31075" s="8"/>
    </row>
    <row r="31076" spans="17:17" x14ac:dyDescent="0.25">
      <c r="Q31076" s="8"/>
    </row>
    <row r="31077" spans="17:17" x14ac:dyDescent="0.25">
      <c r="Q31077" s="8"/>
    </row>
    <row r="31078" spans="17:17" x14ac:dyDescent="0.25">
      <c r="Q31078" s="8"/>
    </row>
    <row r="31079" spans="17:17" x14ac:dyDescent="0.25">
      <c r="Q31079" s="8"/>
    </row>
    <row r="31080" spans="17:17" x14ac:dyDescent="0.25">
      <c r="Q31080" s="8"/>
    </row>
    <row r="31081" spans="17:17" x14ac:dyDescent="0.25">
      <c r="Q31081" s="8"/>
    </row>
    <row r="31082" spans="17:17" x14ac:dyDescent="0.25">
      <c r="Q31082" s="8"/>
    </row>
    <row r="31083" spans="17:17" x14ac:dyDescent="0.25">
      <c r="Q31083" s="8"/>
    </row>
    <row r="31084" spans="17:17" x14ac:dyDescent="0.25">
      <c r="Q31084" s="8"/>
    </row>
    <row r="31085" spans="17:17" x14ac:dyDescent="0.25">
      <c r="Q31085" s="8"/>
    </row>
    <row r="31086" spans="17:17" x14ac:dyDescent="0.25">
      <c r="Q31086" s="8"/>
    </row>
    <row r="31087" spans="17:17" x14ac:dyDescent="0.25">
      <c r="Q31087" s="8"/>
    </row>
    <row r="31088" spans="17:17" x14ac:dyDescent="0.25">
      <c r="Q31088" s="8"/>
    </row>
    <row r="31089" spans="17:17" x14ac:dyDescent="0.25">
      <c r="Q31089" s="8"/>
    </row>
    <row r="31090" spans="17:17" x14ac:dyDescent="0.25">
      <c r="Q31090" s="8"/>
    </row>
    <row r="31091" spans="17:17" x14ac:dyDescent="0.25">
      <c r="Q31091" s="8"/>
    </row>
    <row r="31092" spans="17:17" x14ac:dyDescent="0.25">
      <c r="Q31092" s="8"/>
    </row>
    <row r="31093" spans="17:17" x14ac:dyDescent="0.25">
      <c r="Q31093" s="8"/>
    </row>
    <row r="31094" spans="17:17" x14ac:dyDescent="0.25">
      <c r="Q31094" s="8"/>
    </row>
    <row r="31095" spans="17:17" x14ac:dyDescent="0.25">
      <c r="Q31095" s="8"/>
    </row>
    <row r="31096" spans="17:17" x14ac:dyDescent="0.25">
      <c r="Q31096" s="8"/>
    </row>
    <row r="31097" spans="17:17" x14ac:dyDescent="0.25">
      <c r="Q31097" s="8"/>
    </row>
    <row r="31098" spans="17:17" x14ac:dyDescent="0.25">
      <c r="Q31098" s="8"/>
    </row>
    <row r="31099" spans="17:17" x14ac:dyDescent="0.25">
      <c r="Q31099" s="8"/>
    </row>
    <row r="31100" spans="17:17" x14ac:dyDescent="0.25">
      <c r="Q31100" s="8"/>
    </row>
    <row r="31101" spans="17:17" x14ac:dyDescent="0.25">
      <c r="Q31101" s="8"/>
    </row>
    <row r="31102" spans="17:17" x14ac:dyDescent="0.25">
      <c r="Q31102" s="8"/>
    </row>
    <row r="31103" spans="17:17" x14ac:dyDescent="0.25">
      <c r="Q31103" s="8"/>
    </row>
    <row r="31104" spans="17:17" x14ac:dyDescent="0.25">
      <c r="Q31104" s="8"/>
    </row>
    <row r="31105" spans="17:17" x14ac:dyDescent="0.25">
      <c r="Q31105" s="8"/>
    </row>
    <row r="31106" spans="17:17" x14ac:dyDescent="0.25">
      <c r="Q31106" s="8"/>
    </row>
    <row r="31107" spans="17:17" x14ac:dyDescent="0.25">
      <c r="Q31107" s="8"/>
    </row>
    <row r="31108" spans="17:17" x14ac:dyDescent="0.25">
      <c r="Q31108" s="8"/>
    </row>
    <row r="31109" spans="17:17" x14ac:dyDescent="0.25">
      <c r="Q31109" s="8"/>
    </row>
    <row r="31110" spans="17:17" x14ac:dyDescent="0.25">
      <c r="Q31110" s="8"/>
    </row>
    <row r="31111" spans="17:17" x14ac:dyDescent="0.25">
      <c r="Q31111" s="8"/>
    </row>
    <row r="31112" spans="17:17" x14ac:dyDescent="0.25">
      <c r="Q31112" s="8"/>
    </row>
    <row r="31113" spans="17:17" x14ac:dyDescent="0.25">
      <c r="Q31113" s="8"/>
    </row>
    <row r="31114" spans="17:17" x14ac:dyDescent="0.25">
      <c r="Q31114" s="8"/>
    </row>
    <row r="31115" spans="17:17" x14ac:dyDescent="0.25">
      <c r="Q31115" s="8"/>
    </row>
    <row r="31116" spans="17:17" x14ac:dyDescent="0.25">
      <c r="Q31116" s="8"/>
    </row>
    <row r="31117" spans="17:17" x14ac:dyDescent="0.25">
      <c r="Q31117" s="8"/>
    </row>
    <row r="31118" spans="17:17" x14ac:dyDescent="0.25">
      <c r="Q31118" s="8"/>
    </row>
    <row r="31119" spans="17:17" x14ac:dyDescent="0.25">
      <c r="Q31119" s="8"/>
    </row>
    <row r="31120" spans="17:17" x14ac:dyDescent="0.25">
      <c r="Q31120" s="8"/>
    </row>
    <row r="31121" spans="17:17" x14ac:dyDescent="0.25">
      <c r="Q31121" s="8"/>
    </row>
    <row r="31122" spans="17:17" x14ac:dyDescent="0.25">
      <c r="Q31122" s="8"/>
    </row>
    <row r="31123" spans="17:17" x14ac:dyDescent="0.25">
      <c r="Q31123" s="8"/>
    </row>
    <row r="31124" spans="17:17" x14ac:dyDescent="0.25">
      <c r="Q31124" s="8"/>
    </row>
    <row r="31125" spans="17:17" x14ac:dyDescent="0.25">
      <c r="Q31125" s="8"/>
    </row>
    <row r="31126" spans="17:17" x14ac:dyDescent="0.25">
      <c r="Q31126" s="8"/>
    </row>
    <row r="31127" spans="17:17" x14ac:dyDescent="0.25">
      <c r="Q31127" s="8"/>
    </row>
    <row r="31128" spans="17:17" x14ac:dyDescent="0.25">
      <c r="Q31128" s="8"/>
    </row>
    <row r="31129" spans="17:17" x14ac:dyDescent="0.25">
      <c r="Q31129" s="8"/>
    </row>
    <row r="31130" spans="17:17" x14ac:dyDescent="0.25">
      <c r="Q31130" s="8"/>
    </row>
    <row r="31131" spans="17:17" x14ac:dyDescent="0.25">
      <c r="Q31131" s="8"/>
    </row>
    <row r="31132" spans="17:17" x14ac:dyDescent="0.25">
      <c r="Q31132" s="8"/>
    </row>
    <row r="31133" spans="17:17" x14ac:dyDescent="0.25">
      <c r="Q31133" s="8"/>
    </row>
    <row r="31134" spans="17:17" x14ac:dyDescent="0.25">
      <c r="Q31134" s="8"/>
    </row>
    <row r="31135" spans="17:17" x14ac:dyDescent="0.25">
      <c r="Q31135" s="8"/>
    </row>
    <row r="31136" spans="17:17" x14ac:dyDescent="0.25">
      <c r="Q31136" s="8"/>
    </row>
    <row r="31137" spans="17:17" x14ac:dyDescent="0.25">
      <c r="Q31137" s="8"/>
    </row>
    <row r="31138" spans="17:17" x14ac:dyDescent="0.25">
      <c r="Q31138" s="8"/>
    </row>
    <row r="31139" spans="17:17" x14ac:dyDescent="0.25">
      <c r="Q31139" s="8"/>
    </row>
    <row r="31140" spans="17:17" x14ac:dyDescent="0.25">
      <c r="Q31140" s="8"/>
    </row>
    <row r="31141" spans="17:17" x14ac:dyDescent="0.25">
      <c r="Q31141" s="8"/>
    </row>
    <row r="31142" spans="17:17" x14ac:dyDescent="0.25">
      <c r="Q31142" s="8"/>
    </row>
    <row r="31143" spans="17:17" x14ac:dyDescent="0.25">
      <c r="Q31143" s="8"/>
    </row>
    <row r="31144" spans="17:17" x14ac:dyDescent="0.25">
      <c r="Q31144" s="8"/>
    </row>
    <row r="31145" spans="17:17" x14ac:dyDescent="0.25">
      <c r="Q31145" s="8"/>
    </row>
    <row r="31146" spans="17:17" x14ac:dyDescent="0.25">
      <c r="Q31146" s="8"/>
    </row>
    <row r="31147" spans="17:17" x14ac:dyDescent="0.25">
      <c r="Q31147" s="8"/>
    </row>
    <row r="31148" spans="17:17" x14ac:dyDescent="0.25">
      <c r="Q31148" s="8"/>
    </row>
    <row r="31149" spans="17:17" x14ac:dyDescent="0.25">
      <c r="Q31149" s="8"/>
    </row>
    <row r="31150" spans="17:17" x14ac:dyDescent="0.25">
      <c r="Q31150" s="8"/>
    </row>
    <row r="31151" spans="17:17" x14ac:dyDescent="0.25">
      <c r="Q31151" s="8"/>
    </row>
    <row r="31152" spans="17:17" x14ac:dyDescent="0.25">
      <c r="Q31152" s="8"/>
    </row>
    <row r="31153" spans="17:17" x14ac:dyDescent="0.25">
      <c r="Q31153" s="8"/>
    </row>
    <row r="31154" spans="17:17" x14ac:dyDescent="0.25">
      <c r="Q31154" s="8"/>
    </row>
    <row r="31155" spans="17:17" x14ac:dyDescent="0.25">
      <c r="Q31155" s="8"/>
    </row>
    <row r="31156" spans="17:17" x14ac:dyDescent="0.25">
      <c r="Q31156" s="8"/>
    </row>
    <row r="31157" spans="17:17" x14ac:dyDescent="0.25">
      <c r="Q31157" s="8"/>
    </row>
    <row r="31158" spans="17:17" x14ac:dyDescent="0.25">
      <c r="Q31158" s="8"/>
    </row>
    <row r="31159" spans="17:17" x14ac:dyDescent="0.25">
      <c r="Q31159" s="8"/>
    </row>
    <row r="31160" spans="17:17" x14ac:dyDescent="0.25">
      <c r="Q31160" s="8"/>
    </row>
    <row r="31161" spans="17:17" x14ac:dyDescent="0.25">
      <c r="Q31161" s="8"/>
    </row>
    <row r="31162" spans="17:17" x14ac:dyDescent="0.25">
      <c r="Q31162" s="8"/>
    </row>
    <row r="31163" spans="17:17" x14ac:dyDescent="0.25">
      <c r="Q31163" s="8"/>
    </row>
    <row r="31164" spans="17:17" x14ac:dyDescent="0.25">
      <c r="Q31164" s="8"/>
    </row>
    <row r="31165" spans="17:17" x14ac:dyDescent="0.25">
      <c r="Q31165" s="8"/>
    </row>
    <row r="31166" spans="17:17" x14ac:dyDescent="0.25">
      <c r="Q31166" s="8"/>
    </row>
    <row r="31167" spans="17:17" x14ac:dyDescent="0.25">
      <c r="Q31167" s="8"/>
    </row>
    <row r="31168" spans="17:17" x14ac:dyDescent="0.25">
      <c r="Q31168" s="8"/>
    </row>
    <row r="31169" spans="17:17" x14ac:dyDescent="0.25">
      <c r="Q31169" s="8"/>
    </row>
    <row r="31170" spans="17:17" x14ac:dyDescent="0.25">
      <c r="Q31170" s="8"/>
    </row>
    <row r="31171" spans="17:17" x14ac:dyDescent="0.25">
      <c r="Q31171" s="8"/>
    </row>
    <row r="31172" spans="17:17" x14ac:dyDescent="0.25">
      <c r="Q31172" s="8"/>
    </row>
    <row r="31173" spans="17:17" x14ac:dyDescent="0.25">
      <c r="Q31173" s="8"/>
    </row>
    <row r="31174" spans="17:17" x14ac:dyDescent="0.25">
      <c r="Q31174" s="8"/>
    </row>
    <row r="31175" spans="17:17" x14ac:dyDescent="0.25">
      <c r="Q31175" s="8"/>
    </row>
    <row r="31176" spans="17:17" x14ac:dyDescent="0.25">
      <c r="Q31176" s="8"/>
    </row>
    <row r="31177" spans="17:17" x14ac:dyDescent="0.25">
      <c r="Q31177" s="8"/>
    </row>
    <row r="31178" spans="17:17" x14ac:dyDescent="0.25">
      <c r="Q31178" s="8"/>
    </row>
    <row r="31179" spans="17:17" x14ac:dyDescent="0.25">
      <c r="Q31179" s="8"/>
    </row>
    <row r="31180" spans="17:17" x14ac:dyDescent="0.25">
      <c r="Q31180" s="8"/>
    </row>
    <row r="31181" spans="17:17" x14ac:dyDescent="0.25">
      <c r="Q31181" s="8"/>
    </row>
    <row r="31182" spans="17:17" x14ac:dyDescent="0.25">
      <c r="Q31182" s="8"/>
    </row>
    <row r="31183" spans="17:17" x14ac:dyDescent="0.25">
      <c r="Q31183" s="8"/>
    </row>
    <row r="31184" spans="17:17" x14ac:dyDescent="0.25">
      <c r="Q31184" s="8"/>
    </row>
    <row r="31185" spans="17:17" x14ac:dyDescent="0.25">
      <c r="Q31185" s="8"/>
    </row>
    <row r="31186" spans="17:17" x14ac:dyDescent="0.25">
      <c r="Q31186" s="8"/>
    </row>
    <row r="31187" spans="17:17" x14ac:dyDescent="0.25">
      <c r="Q31187" s="8"/>
    </row>
    <row r="31188" spans="17:17" x14ac:dyDescent="0.25">
      <c r="Q31188" s="8"/>
    </row>
    <row r="31189" spans="17:17" x14ac:dyDescent="0.25">
      <c r="Q31189" s="8"/>
    </row>
    <row r="31190" spans="17:17" x14ac:dyDescent="0.25">
      <c r="Q31190" s="8"/>
    </row>
    <row r="31191" spans="17:17" x14ac:dyDescent="0.25">
      <c r="Q31191" s="8"/>
    </row>
    <row r="31192" spans="17:17" x14ac:dyDescent="0.25">
      <c r="Q31192" s="8"/>
    </row>
    <row r="31193" spans="17:17" x14ac:dyDescent="0.25">
      <c r="Q31193" s="8"/>
    </row>
    <row r="31194" spans="17:17" x14ac:dyDescent="0.25">
      <c r="Q31194" s="8"/>
    </row>
    <row r="31195" spans="17:17" x14ac:dyDescent="0.25">
      <c r="Q31195" s="8"/>
    </row>
    <row r="31196" spans="17:17" x14ac:dyDescent="0.25">
      <c r="Q31196" s="8"/>
    </row>
    <row r="31197" spans="17:17" x14ac:dyDescent="0.25">
      <c r="Q31197" s="8"/>
    </row>
    <row r="31198" spans="17:17" x14ac:dyDescent="0.25">
      <c r="Q31198" s="8"/>
    </row>
    <row r="31199" spans="17:17" x14ac:dyDescent="0.25">
      <c r="Q31199" s="8"/>
    </row>
    <row r="31200" spans="17:17" x14ac:dyDescent="0.25">
      <c r="Q31200" s="8"/>
    </row>
    <row r="31201" spans="17:17" x14ac:dyDescent="0.25">
      <c r="Q31201" s="8"/>
    </row>
    <row r="31202" spans="17:17" x14ac:dyDescent="0.25">
      <c r="Q31202" s="8"/>
    </row>
    <row r="31203" spans="17:17" x14ac:dyDescent="0.25">
      <c r="Q31203" s="8"/>
    </row>
    <row r="31204" spans="17:17" x14ac:dyDescent="0.25">
      <c r="Q31204" s="8"/>
    </row>
    <row r="31205" spans="17:17" x14ac:dyDescent="0.25">
      <c r="Q31205" s="8"/>
    </row>
    <row r="31206" spans="17:17" x14ac:dyDescent="0.25">
      <c r="Q31206" s="8"/>
    </row>
    <row r="31207" spans="17:17" x14ac:dyDescent="0.25">
      <c r="Q31207" s="8"/>
    </row>
    <row r="31208" spans="17:17" x14ac:dyDescent="0.25">
      <c r="Q31208" s="8"/>
    </row>
    <row r="31209" spans="17:17" x14ac:dyDescent="0.25">
      <c r="Q31209" s="8"/>
    </row>
    <row r="31210" spans="17:17" x14ac:dyDescent="0.25">
      <c r="Q31210" s="8"/>
    </row>
    <row r="31211" spans="17:17" x14ac:dyDescent="0.25">
      <c r="Q31211" s="8"/>
    </row>
    <row r="31212" spans="17:17" x14ac:dyDescent="0.25">
      <c r="Q31212" s="8"/>
    </row>
    <row r="31213" spans="17:17" x14ac:dyDescent="0.25">
      <c r="Q31213" s="8"/>
    </row>
    <row r="31214" spans="17:17" x14ac:dyDescent="0.25">
      <c r="Q31214" s="8"/>
    </row>
    <row r="31215" spans="17:17" x14ac:dyDescent="0.25">
      <c r="Q31215" s="8"/>
    </row>
    <row r="31216" spans="17:17" x14ac:dyDescent="0.25">
      <c r="Q31216" s="8"/>
    </row>
    <row r="31217" spans="17:17" x14ac:dyDescent="0.25">
      <c r="Q31217" s="8"/>
    </row>
    <row r="31218" spans="17:17" x14ac:dyDescent="0.25">
      <c r="Q31218" s="8"/>
    </row>
    <row r="31219" spans="17:17" x14ac:dyDescent="0.25">
      <c r="Q31219" s="8"/>
    </row>
    <row r="31220" spans="17:17" x14ac:dyDescent="0.25">
      <c r="Q31220" s="8"/>
    </row>
    <row r="31221" spans="17:17" x14ac:dyDescent="0.25">
      <c r="Q31221" s="8"/>
    </row>
    <row r="31222" spans="17:17" x14ac:dyDescent="0.25">
      <c r="Q31222" s="8"/>
    </row>
    <row r="31223" spans="17:17" x14ac:dyDescent="0.25">
      <c r="Q31223" s="8"/>
    </row>
    <row r="31224" spans="17:17" x14ac:dyDescent="0.25">
      <c r="Q31224" s="8"/>
    </row>
    <row r="31225" spans="17:17" x14ac:dyDescent="0.25">
      <c r="Q31225" s="8"/>
    </row>
    <row r="31226" spans="17:17" x14ac:dyDescent="0.25">
      <c r="Q31226" s="8"/>
    </row>
    <row r="31227" spans="17:17" x14ac:dyDescent="0.25">
      <c r="Q31227" s="8"/>
    </row>
    <row r="31228" spans="17:17" x14ac:dyDescent="0.25">
      <c r="Q31228" s="8"/>
    </row>
    <row r="31229" spans="17:17" x14ac:dyDescent="0.25">
      <c r="Q31229" s="8"/>
    </row>
    <row r="31230" spans="17:17" x14ac:dyDescent="0.25">
      <c r="Q31230" s="8"/>
    </row>
    <row r="31231" spans="17:17" x14ac:dyDescent="0.25">
      <c r="Q31231" s="8"/>
    </row>
    <row r="31232" spans="17:17" x14ac:dyDescent="0.25">
      <c r="Q31232" s="8"/>
    </row>
    <row r="31233" spans="17:17" x14ac:dyDescent="0.25">
      <c r="Q31233" s="8"/>
    </row>
    <row r="31234" spans="17:17" x14ac:dyDescent="0.25">
      <c r="Q31234" s="8"/>
    </row>
    <row r="31235" spans="17:17" x14ac:dyDescent="0.25">
      <c r="Q31235" s="8"/>
    </row>
    <row r="31236" spans="17:17" x14ac:dyDescent="0.25">
      <c r="Q31236" s="8"/>
    </row>
    <row r="31237" spans="17:17" x14ac:dyDescent="0.25">
      <c r="Q31237" s="8"/>
    </row>
    <row r="31238" spans="17:17" x14ac:dyDescent="0.25">
      <c r="Q31238" s="8"/>
    </row>
    <row r="31239" spans="17:17" x14ac:dyDescent="0.25">
      <c r="Q31239" s="8"/>
    </row>
    <row r="31240" spans="17:17" x14ac:dyDescent="0.25">
      <c r="Q31240" s="8"/>
    </row>
    <row r="31241" spans="17:17" x14ac:dyDescent="0.25">
      <c r="Q31241" s="8"/>
    </row>
    <row r="31242" spans="17:17" x14ac:dyDescent="0.25">
      <c r="Q31242" s="8"/>
    </row>
    <row r="31243" spans="17:17" x14ac:dyDescent="0.25">
      <c r="Q31243" s="8"/>
    </row>
    <row r="31244" spans="17:17" x14ac:dyDescent="0.25">
      <c r="Q31244" s="8"/>
    </row>
    <row r="31245" spans="17:17" x14ac:dyDescent="0.25">
      <c r="Q31245" s="8"/>
    </row>
    <row r="31246" spans="17:17" x14ac:dyDescent="0.25">
      <c r="Q31246" s="8"/>
    </row>
    <row r="31247" spans="17:17" x14ac:dyDescent="0.25">
      <c r="Q31247" s="8"/>
    </row>
    <row r="31248" spans="17:17" x14ac:dyDescent="0.25">
      <c r="Q31248" s="8"/>
    </row>
    <row r="31249" spans="17:17" x14ac:dyDescent="0.25">
      <c r="Q31249" s="8"/>
    </row>
    <row r="31250" spans="17:17" x14ac:dyDescent="0.25">
      <c r="Q31250" s="8"/>
    </row>
    <row r="31251" spans="17:17" x14ac:dyDescent="0.25">
      <c r="Q31251" s="8"/>
    </row>
    <row r="31252" spans="17:17" x14ac:dyDescent="0.25">
      <c r="Q31252" s="8"/>
    </row>
    <row r="31253" spans="17:17" x14ac:dyDescent="0.25">
      <c r="Q31253" s="8"/>
    </row>
    <row r="31254" spans="17:17" x14ac:dyDescent="0.25">
      <c r="Q31254" s="8"/>
    </row>
    <row r="31255" spans="17:17" x14ac:dyDescent="0.25">
      <c r="Q31255" s="8"/>
    </row>
    <row r="31256" spans="17:17" x14ac:dyDescent="0.25">
      <c r="Q31256" s="8"/>
    </row>
    <row r="31257" spans="17:17" x14ac:dyDescent="0.25">
      <c r="Q31257" s="8"/>
    </row>
    <row r="31258" spans="17:17" x14ac:dyDescent="0.25">
      <c r="Q31258" s="8"/>
    </row>
    <row r="31259" spans="17:17" x14ac:dyDescent="0.25">
      <c r="Q31259" s="8"/>
    </row>
    <row r="31260" spans="17:17" x14ac:dyDescent="0.25">
      <c r="Q31260" s="8"/>
    </row>
    <row r="31261" spans="17:17" x14ac:dyDescent="0.25">
      <c r="Q31261" s="8"/>
    </row>
    <row r="31262" spans="17:17" x14ac:dyDescent="0.25">
      <c r="Q31262" s="8"/>
    </row>
    <row r="31263" spans="17:17" x14ac:dyDescent="0.25">
      <c r="Q31263" s="8"/>
    </row>
    <row r="31264" spans="17:17" x14ac:dyDescent="0.25">
      <c r="Q31264" s="8"/>
    </row>
    <row r="31265" spans="17:17" x14ac:dyDescent="0.25">
      <c r="Q31265" s="8"/>
    </row>
    <row r="31266" spans="17:17" x14ac:dyDescent="0.25">
      <c r="Q31266" s="8"/>
    </row>
    <row r="31267" spans="17:17" x14ac:dyDescent="0.25">
      <c r="Q31267" s="8"/>
    </row>
    <row r="31268" spans="17:17" x14ac:dyDescent="0.25">
      <c r="Q31268" s="8"/>
    </row>
    <row r="31269" spans="17:17" x14ac:dyDescent="0.25">
      <c r="Q31269" s="8"/>
    </row>
    <row r="31270" spans="17:17" x14ac:dyDescent="0.25">
      <c r="Q31270" s="8"/>
    </row>
    <row r="31271" spans="17:17" x14ac:dyDescent="0.25">
      <c r="Q31271" s="8"/>
    </row>
    <row r="31272" spans="17:17" x14ac:dyDescent="0.25">
      <c r="Q31272" s="8"/>
    </row>
    <row r="31273" spans="17:17" x14ac:dyDescent="0.25">
      <c r="Q31273" s="8"/>
    </row>
    <row r="31274" spans="17:17" x14ac:dyDescent="0.25">
      <c r="Q31274" s="8"/>
    </row>
    <row r="31275" spans="17:17" x14ac:dyDescent="0.25">
      <c r="Q31275" s="8"/>
    </row>
    <row r="31276" spans="17:17" x14ac:dyDescent="0.25">
      <c r="Q31276" s="8"/>
    </row>
    <row r="31277" spans="17:17" x14ac:dyDescent="0.25">
      <c r="Q31277" s="8"/>
    </row>
    <row r="31278" spans="17:17" x14ac:dyDescent="0.25">
      <c r="Q31278" s="8"/>
    </row>
    <row r="31279" spans="17:17" x14ac:dyDescent="0.25">
      <c r="Q31279" s="8"/>
    </row>
    <row r="31280" spans="17:17" x14ac:dyDescent="0.25">
      <c r="Q31280" s="8"/>
    </row>
    <row r="31281" spans="17:17" x14ac:dyDescent="0.25">
      <c r="Q31281" s="8"/>
    </row>
    <row r="31282" spans="17:17" x14ac:dyDescent="0.25">
      <c r="Q31282" s="8"/>
    </row>
    <row r="31283" spans="17:17" x14ac:dyDescent="0.25">
      <c r="Q31283" s="8"/>
    </row>
    <row r="31284" spans="17:17" x14ac:dyDescent="0.25">
      <c r="Q31284" s="8"/>
    </row>
    <row r="31285" spans="17:17" x14ac:dyDescent="0.25">
      <c r="Q31285" s="8"/>
    </row>
    <row r="31286" spans="17:17" x14ac:dyDescent="0.25">
      <c r="Q31286" s="8"/>
    </row>
    <row r="31287" spans="17:17" x14ac:dyDescent="0.25">
      <c r="Q31287" s="8"/>
    </row>
    <row r="31288" spans="17:17" x14ac:dyDescent="0.25">
      <c r="Q31288" s="8"/>
    </row>
    <row r="31289" spans="17:17" x14ac:dyDescent="0.25">
      <c r="Q31289" s="8"/>
    </row>
    <row r="31290" spans="17:17" x14ac:dyDescent="0.25">
      <c r="Q31290" s="8"/>
    </row>
    <row r="31291" spans="17:17" x14ac:dyDescent="0.25">
      <c r="Q31291" s="8"/>
    </row>
    <row r="31292" spans="17:17" x14ac:dyDescent="0.25">
      <c r="Q31292" s="8"/>
    </row>
    <row r="31293" spans="17:17" x14ac:dyDescent="0.25">
      <c r="Q31293" s="8"/>
    </row>
    <row r="31294" spans="17:17" x14ac:dyDescent="0.25">
      <c r="Q31294" s="8"/>
    </row>
    <row r="31295" spans="17:17" x14ac:dyDescent="0.25">
      <c r="Q31295" s="8"/>
    </row>
    <row r="31296" spans="17:17" x14ac:dyDescent="0.25">
      <c r="Q31296" s="8"/>
    </row>
    <row r="31297" spans="17:17" x14ac:dyDescent="0.25">
      <c r="Q31297" s="8"/>
    </row>
    <row r="31298" spans="17:17" x14ac:dyDescent="0.25">
      <c r="Q31298" s="8"/>
    </row>
    <row r="31299" spans="17:17" x14ac:dyDescent="0.25">
      <c r="Q31299" s="8"/>
    </row>
    <row r="31300" spans="17:17" x14ac:dyDescent="0.25">
      <c r="Q31300" s="8"/>
    </row>
    <row r="31301" spans="17:17" x14ac:dyDescent="0.25">
      <c r="Q31301" s="8"/>
    </row>
    <row r="31302" spans="17:17" x14ac:dyDescent="0.25">
      <c r="Q31302" s="8"/>
    </row>
    <row r="31303" spans="17:17" x14ac:dyDescent="0.25">
      <c r="Q31303" s="8"/>
    </row>
    <row r="31304" spans="17:17" x14ac:dyDescent="0.25">
      <c r="Q31304" s="8"/>
    </row>
    <row r="31305" spans="17:17" x14ac:dyDescent="0.25">
      <c r="Q31305" s="8"/>
    </row>
    <row r="31306" spans="17:17" x14ac:dyDescent="0.25">
      <c r="Q31306" s="8"/>
    </row>
    <row r="31307" spans="17:17" x14ac:dyDescent="0.25">
      <c r="Q31307" s="8"/>
    </row>
    <row r="31308" spans="17:17" x14ac:dyDescent="0.25">
      <c r="Q31308" s="8"/>
    </row>
    <row r="31309" spans="17:17" x14ac:dyDescent="0.25">
      <c r="Q31309" s="8"/>
    </row>
    <row r="31310" spans="17:17" x14ac:dyDescent="0.25">
      <c r="Q31310" s="8"/>
    </row>
    <row r="31311" spans="17:17" x14ac:dyDescent="0.25">
      <c r="Q31311" s="8"/>
    </row>
    <row r="31312" spans="17:17" x14ac:dyDescent="0.25">
      <c r="Q31312" s="8"/>
    </row>
    <row r="31313" spans="17:17" x14ac:dyDescent="0.25">
      <c r="Q31313" s="8"/>
    </row>
    <row r="31314" spans="17:17" x14ac:dyDescent="0.25">
      <c r="Q31314" s="8"/>
    </row>
    <row r="31315" spans="17:17" x14ac:dyDescent="0.25">
      <c r="Q31315" s="8"/>
    </row>
    <row r="31316" spans="17:17" x14ac:dyDescent="0.25">
      <c r="Q31316" s="8"/>
    </row>
    <row r="31317" spans="17:17" x14ac:dyDescent="0.25">
      <c r="Q31317" s="8"/>
    </row>
    <row r="31318" spans="17:17" x14ac:dyDescent="0.25">
      <c r="Q31318" s="8"/>
    </row>
    <row r="31319" spans="17:17" x14ac:dyDescent="0.25">
      <c r="Q31319" s="8"/>
    </row>
    <row r="31320" spans="17:17" x14ac:dyDescent="0.25">
      <c r="Q31320" s="8"/>
    </row>
    <row r="31321" spans="17:17" x14ac:dyDescent="0.25">
      <c r="Q31321" s="8"/>
    </row>
    <row r="31322" spans="17:17" x14ac:dyDescent="0.25">
      <c r="Q31322" s="8"/>
    </row>
    <row r="31323" spans="17:17" x14ac:dyDescent="0.25">
      <c r="Q31323" s="8"/>
    </row>
    <row r="31324" spans="17:17" x14ac:dyDescent="0.25">
      <c r="Q31324" s="8"/>
    </row>
    <row r="31325" spans="17:17" x14ac:dyDescent="0.25">
      <c r="Q31325" s="8"/>
    </row>
    <row r="31326" spans="17:17" x14ac:dyDescent="0.25">
      <c r="Q31326" s="8"/>
    </row>
    <row r="31327" spans="17:17" x14ac:dyDescent="0.25">
      <c r="Q31327" s="8"/>
    </row>
    <row r="31328" spans="17:17" x14ac:dyDescent="0.25">
      <c r="Q31328" s="8"/>
    </row>
    <row r="31329" spans="17:17" x14ac:dyDescent="0.25">
      <c r="Q31329" s="8"/>
    </row>
    <row r="31330" spans="17:17" x14ac:dyDescent="0.25">
      <c r="Q31330" s="8"/>
    </row>
    <row r="31331" spans="17:17" x14ac:dyDescent="0.25">
      <c r="Q31331" s="8"/>
    </row>
    <row r="31332" spans="17:17" x14ac:dyDescent="0.25">
      <c r="Q31332" s="8"/>
    </row>
    <row r="31333" spans="17:17" x14ac:dyDescent="0.25">
      <c r="Q31333" s="8"/>
    </row>
    <row r="31334" spans="17:17" x14ac:dyDescent="0.25">
      <c r="Q31334" s="8"/>
    </row>
    <row r="31335" spans="17:17" x14ac:dyDescent="0.25">
      <c r="Q31335" s="8"/>
    </row>
    <row r="31336" spans="17:17" x14ac:dyDescent="0.25">
      <c r="Q31336" s="8"/>
    </row>
    <row r="31337" spans="17:17" x14ac:dyDescent="0.25">
      <c r="Q31337" s="8"/>
    </row>
    <row r="31338" spans="17:17" x14ac:dyDescent="0.25">
      <c r="Q31338" s="8"/>
    </row>
    <row r="31339" spans="17:17" x14ac:dyDescent="0.25">
      <c r="Q31339" s="8"/>
    </row>
    <row r="31340" spans="17:17" x14ac:dyDescent="0.25">
      <c r="Q31340" s="8"/>
    </row>
    <row r="31341" spans="17:17" x14ac:dyDescent="0.25">
      <c r="Q31341" s="8"/>
    </row>
    <row r="31342" spans="17:17" x14ac:dyDescent="0.25">
      <c r="Q31342" s="8"/>
    </row>
    <row r="31343" spans="17:17" x14ac:dyDescent="0.25">
      <c r="Q31343" s="8"/>
    </row>
    <row r="31344" spans="17:17" x14ac:dyDescent="0.25">
      <c r="Q31344" s="8"/>
    </row>
    <row r="31345" spans="17:17" x14ac:dyDescent="0.25">
      <c r="Q31345" s="8"/>
    </row>
    <row r="31346" spans="17:17" x14ac:dyDescent="0.25">
      <c r="Q31346" s="8"/>
    </row>
    <row r="31347" spans="17:17" x14ac:dyDescent="0.25">
      <c r="Q31347" s="8"/>
    </row>
    <row r="31348" spans="17:17" x14ac:dyDescent="0.25">
      <c r="Q31348" s="8"/>
    </row>
    <row r="31349" spans="17:17" x14ac:dyDescent="0.25">
      <c r="Q31349" s="8"/>
    </row>
    <row r="31350" spans="17:17" x14ac:dyDescent="0.25">
      <c r="Q31350" s="8"/>
    </row>
    <row r="31351" spans="17:17" x14ac:dyDescent="0.25">
      <c r="Q31351" s="8"/>
    </row>
    <row r="31352" spans="17:17" x14ac:dyDescent="0.25">
      <c r="Q31352" s="8"/>
    </row>
    <row r="31353" spans="17:17" x14ac:dyDescent="0.25">
      <c r="Q31353" s="8"/>
    </row>
    <row r="31354" spans="17:17" x14ac:dyDescent="0.25">
      <c r="Q31354" s="8"/>
    </row>
    <row r="31355" spans="17:17" x14ac:dyDescent="0.25">
      <c r="Q31355" s="8"/>
    </row>
    <row r="31356" spans="17:17" x14ac:dyDescent="0.25">
      <c r="Q31356" s="8"/>
    </row>
    <row r="31357" spans="17:17" x14ac:dyDescent="0.25">
      <c r="Q31357" s="8"/>
    </row>
    <row r="31358" spans="17:17" x14ac:dyDescent="0.25">
      <c r="Q31358" s="8"/>
    </row>
    <row r="31359" spans="17:17" x14ac:dyDescent="0.25">
      <c r="Q31359" s="8"/>
    </row>
    <row r="31360" spans="17:17" x14ac:dyDescent="0.25">
      <c r="Q31360" s="8"/>
    </row>
    <row r="31361" spans="17:17" x14ac:dyDescent="0.25">
      <c r="Q31361" s="8"/>
    </row>
    <row r="31362" spans="17:17" x14ac:dyDescent="0.25">
      <c r="Q31362" s="8"/>
    </row>
    <row r="31363" spans="17:17" x14ac:dyDescent="0.25">
      <c r="Q31363" s="8"/>
    </row>
    <row r="31364" spans="17:17" x14ac:dyDescent="0.25">
      <c r="Q31364" s="8"/>
    </row>
    <row r="31365" spans="17:17" x14ac:dyDescent="0.25">
      <c r="Q31365" s="8"/>
    </row>
    <row r="31366" spans="17:17" x14ac:dyDescent="0.25">
      <c r="Q31366" s="8"/>
    </row>
    <row r="31367" spans="17:17" x14ac:dyDescent="0.25">
      <c r="Q31367" s="8"/>
    </row>
    <row r="31368" spans="17:17" x14ac:dyDescent="0.25">
      <c r="Q31368" s="8"/>
    </row>
    <row r="31369" spans="17:17" x14ac:dyDescent="0.25">
      <c r="Q31369" s="8"/>
    </row>
    <row r="31370" spans="17:17" x14ac:dyDescent="0.25">
      <c r="Q31370" s="8"/>
    </row>
    <row r="31371" spans="17:17" x14ac:dyDescent="0.25">
      <c r="Q31371" s="8"/>
    </row>
    <row r="31372" spans="17:17" x14ac:dyDescent="0.25">
      <c r="Q31372" s="8"/>
    </row>
    <row r="31373" spans="17:17" x14ac:dyDescent="0.25">
      <c r="Q31373" s="8"/>
    </row>
    <row r="31374" spans="17:17" x14ac:dyDescent="0.25">
      <c r="Q31374" s="8"/>
    </row>
    <row r="31375" spans="17:17" x14ac:dyDescent="0.25">
      <c r="Q31375" s="8"/>
    </row>
    <row r="31376" spans="17:17" x14ac:dyDescent="0.25">
      <c r="Q31376" s="8"/>
    </row>
    <row r="31377" spans="17:17" x14ac:dyDescent="0.25">
      <c r="Q31377" s="8"/>
    </row>
    <row r="31378" spans="17:17" x14ac:dyDescent="0.25">
      <c r="Q31378" s="8"/>
    </row>
    <row r="31379" spans="17:17" x14ac:dyDescent="0.25">
      <c r="Q31379" s="8"/>
    </row>
    <row r="31380" spans="17:17" x14ac:dyDescent="0.25">
      <c r="Q31380" s="8"/>
    </row>
    <row r="31381" spans="17:17" x14ac:dyDescent="0.25">
      <c r="Q31381" s="8"/>
    </row>
    <row r="31382" spans="17:17" x14ac:dyDescent="0.25">
      <c r="Q31382" s="8"/>
    </row>
    <row r="31383" spans="17:17" x14ac:dyDescent="0.25">
      <c r="Q31383" s="8"/>
    </row>
    <row r="31384" spans="17:17" x14ac:dyDescent="0.25">
      <c r="Q31384" s="8"/>
    </row>
    <row r="31385" spans="17:17" x14ac:dyDescent="0.25">
      <c r="Q31385" s="8"/>
    </row>
    <row r="31386" spans="17:17" x14ac:dyDescent="0.25">
      <c r="Q31386" s="8"/>
    </row>
    <row r="31387" spans="17:17" x14ac:dyDescent="0.25">
      <c r="Q31387" s="8"/>
    </row>
    <row r="31388" spans="17:17" x14ac:dyDescent="0.25">
      <c r="Q31388" s="8"/>
    </row>
    <row r="31389" spans="17:17" x14ac:dyDescent="0.25">
      <c r="Q31389" s="8"/>
    </row>
    <row r="31390" spans="17:17" x14ac:dyDescent="0.25">
      <c r="Q31390" s="8"/>
    </row>
    <row r="31391" spans="17:17" x14ac:dyDescent="0.25">
      <c r="Q31391" s="8"/>
    </row>
    <row r="31392" spans="17:17" x14ac:dyDescent="0.25">
      <c r="Q31392" s="8"/>
    </row>
    <row r="31393" spans="17:17" x14ac:dyDescent="0.25">
      <c r="Q31393" s="8"/>
    </row>
    <row r="31394" spans="17:17" x14ac:dyDescent="0.25">
      <c r="Q31394" s="8"/>
    </row>
    <row r="31395" spans="17:17" x14ac:dyDescent="0.25">
      <c r="Q31395" s="8"/>
    </row>
    <row r="31396" spans="17:17" x14ac:dyDescent="0.25">
      <c r="Q31396" s="8"/>
    </row>
    <row r="31397" spans="17:17" x14ac:dyDescent="0.25">
      <c r="Q31397" s="8"/>
    </row>
    <row r="31398" spans="17:17" x14ac:dyDescent="0.25">
      <c r="Q31398" s="8"/>
    </row>
    <row r="31399" spans="17:17" x14ac:dyDescent="0.25">
      <c r="Q31399" s="8"/>
    </row>
    <row r="31400" spans="17:17" x14ac:dyDescent="0.25">
      <c r="Q31400" s="8"/>
    </row>
    <row r="31401" spans="17:17" x14ac:dyDescent="0.25">
      <c r="Q31401" s="8"/>
    </row>
    <row r="31402" spans="17:17" x14ac:dyDescent="0.25">
      <c r="Q31402" s="8"/>
    </row>
    <row r="31403" spans="17:17" x14ac:dyDescent="0.25">
      <c r="Q31403" s="8"/>
    </row>
    <row r="31404" spans="17:17" x14ac:dyDescent="0.25">
      <c r="Q31404" s="8"/>
    </row>
    <row r="31405" spans="17:17" x14ac:dyDescent="0.25">
      <c r="Q31405" s="8"/>
    </row>
    <row r="31406" spans="17:17" x14ac:dyDescent="0.25">
      <c r="Q31406" s="8"/>
    </row>
    <row r="31407" spans="17:17" x14ac:dyDescent="0.25">
      <c r="Q31407" s="8"/>
    </row>
    <row r="31408" spans="17:17" x14ac:dyDescent="0.25">
      <c r="Q31408" s="8"/>
    </row>
    <row r="31409" spans="17:17" x14ac:dyDescent="0.25">
      <c r="Q31409" s="8"/>
    </row>
    <row r="31410" spans="17:17" x14ac:dyDescent="0.25">
      <c r="Q31410" s="8"/>
    </row>
    <row r="31411" spans="17:17" x14ac:dyDescent="0.25">
      <c r="Q31411" s="8"/>
    </row>
    <row r="31412" spans="17:17" x14ac:dyDescent="0.25">
      <c r="Q31412" s="8"/>
    </row>
    <row r="31413" spans="17:17" x14ac:dyDescent="0.25">
      <c r="Q31413" s="8"/>
    </row>
    <row r="31414" spans="17:17" x14ac:dyDescent="0.25">
      <c r="Q31414" s="8"/>
    </row>
    <row r="31415" spans="17:17" x14ac:dyDescent="0.25">
      <c r="Q31415" s="8"/>
    </row>
    <row r="31416" spans="17:17" x14ac:dyDescent="0.25">
      <c r="Q31416" s="8"/>
    </row>
    <row r="31417" spans="17:17" x14ac:dyDescent="0.25">
      <c r="Q31417" s="8"/>
    </row>
    <row r="31418" spans="17:17" x14ac:dyDescent="0.25">
      <c r="Q31418" s="8"/>
    </row>
    <row r="31419" spans="17:17" x14ac:dyDescent="0.25">
      <c r="Q31419" s="8"/>
    </row>
    <row r="31420" spans="17:17" x14ac:dyDescent="0.25">
      <c r="Q31420" s="8"/>
    </row>
    <row r="31421" spans="17:17" x14ac:dyDescent="0.25">
      <c r="Q31421" s="8"/>
    </row>
    <row r="31422" spans="17:17" x14ac:dyDescent="0.25">
      <c r="Q31422" s="8"/>
    </row>
    <row r="31423" spans="17:17" x14ac:dyDescent="0.25">
      <c r="Q31423" s="8"/>
    </row>
    <row r="31424" spans="17:17" x14ac:dyDescent="0.25">
      <c r="Q31424" s="8"/>
    </row>
    <row r="31425" spans="17:17" x14ac:dyDescent="0.25">
      <c r="Q31425" s="8"/>
    </row>
    <row r="31426" spans="17:17" x14ac:dyDescent="0.25">
      <c r="Q31426" s="8"/>
    </row>
    <row r="31427" spans="17:17" x14ac:dyDescent="0.25">
      <c r="Q31427" s="8"/>
    </row>
    <row r="31428" spans="17:17" x14ac:dyDescent="0.25">
      <c r="Q31428" s="8"/>
    </row>
    <row r="31429" spans="17:17" x14ac:dyDescent="0.25">
      <c r="Q31429" s="8"/>
    </row>
    <row r="31430" spans="17:17" x14ac:dyDescent="0.25">
      <c r="Q31430" s="8"/>
    </row>
    <row r="31431" spans="17:17" x14ac:dyDescent="0.25">
      <c r="Q31431" s="8"/>
    </row>
    <row r="31432" spans="17:17" x14ac:dyDescent="0.25">
      <c r="Q31432" s="8"/>
    </row>
    <row r="31433" spans="17:17" x14ac:dyDescent="0.25">
      <c r="Q31433" s="8"/>
    </row>
    <row r="31434" spans="17:17" x14ac:dyDescent="0.25">
      <c r="Q31434" s="8"/>
    </row>
    <row r="31435" spans="17:17" x14ac:dyDescent="0.25">
      <c r="Q31435" s="8"/>
    </row>
    <row r="31436" spans="17:17" x14ac:dyDescent="0.25">
      <c r="Q31436" s="8"/>
    </row>
    <row r="31437" spans="17:17" x14ac:dyDescent="0.25">
      <c r="Q31437" s="8"/>
    </row>
    <row r="31438" spans="17:17" x14ac:dyDescent="0.25">
      <c r="Q31438" s="8"/>
    </row>
    <row r="31439" spans="17:17" x14ac:dyDescent="0.25">
      <c r="Q31439" s="8"/>
    </row>
    <row r="31440" spans="17:17" x14ac:dyDescent="0.25">
      <c r="Q31440" s="8"/>
    </row>
    <row r="31441" spans="17:17" x14ac:dyDescent="0.25">
      <c r="Q31441" s="8"/>
    </row>
    <row r="31442" spans="17:17" x14ac:dyDescent="0.25">
      <c r="Q31442" s="8"/>
    </row>
    <row r="31443" spans="17:17" x14ac:dyDescent="0.25">
      <c r="Q31443" s="8"/>
    </row>
    <row r="31444" spans="17:17" x14ac:dyDescent="0.25">
      <c r="Q31444" s="8"/>
    </row>
    <row r="31445" spans="17:17" x14ac:dyDescent="0.25">
      <c r="Q31445" s="8"/>
    </row>
    <row r="31446" spans="17:17" x14ac:dyDescent="0.25">
      <c r="Q31446" s="8"/>
    </row>
    <row r="31447" spans="17:17" x14ac:dyDescent="0.25">
      <c r="Q31447" s="8"/>
    </row>
    <row r="31448" spans="17:17" x14ac:dyDescent="0.25">
      <c r="Q31448" s="8"/>
    </row>
    <row r="31449" spans="17:17" x14ac:dyDescent="0.25">
      <c r="Q31449" s="8"/>
    </row>
    <row r="31450" spans="17:17" x14ac:dyDescent="0.25">
      <c r="Q31450" s="8"/>
    </row>
    <row r="31451" spans="17:17" x14ac:dyDescent="0.25">
      <c r="Q31451" s="8"/>
    </row>
    <row r="31452" spans="17:17" x14ac:dyDescent="0.25">
      <c r="Q31452" s="8"/>
    </row>
    <row r="31453" spans="17:17" x14ac:dyDescent="0.25">
      <c r="Q31453" s="8"/>
    </row>
    <row r="31454" spans="17:17" x14ac:dyDescent="0.25">
      <c r="Q31454" s="8"/>
    </row>
    <row r="31455" spans="17:17" x14ac:dyDescent="0.25">
      <c r="Q31455" s="8"/>
    </row>
    <row r="31456" spans="17:17" x14ac:dyDescent="0.25">
      <c r="Q31456" s="8"/>
    </row>
    <row r="31457" spans="17:17" x14ac:dyDescent="0.25">
      <c r="Q31457" s="8"/>
    </row>
    <row r="31458" spans="17:17" x14ac:dyDescent="0.25">
      <c r="Q31458" s="8"/>
    </row>
    <row r="31459" spans="17:17" x14ac:dyDescent="0.25">
      <c r="Q31459" s="8"/>
    </row>
    <row r="31460" spans="17:17" x14ac:dyDescent="0.25">
      <c r="Q31460" s="8"/>
    </row>
    <row r="31461" spans="17:17" x14ac:dyDescent="0.25">
      <c r="Q31461" s="8"/>
    </row>
    <row r="31462" spans="17:17" x14ac:dyDescent="0.25">
      <c r="Q31462" s="8"/>
    </row>
    <row r="31463" spans="17:17" x14ac:dyDescent="0.25">
      <c r="Q31463" s="8"/>
    </row>
    <row r="31464" spans="17:17" x14ac:dyDescent="0.25">
      <c r="Q31464" s="8"/>
    </row>
    <row r="31465" spans="17:17" x14ac:dyDescent="0.25">
      <c r="Q31465" s="8"/>
    </row>
    <row r="31466" spans="17:17" x14ac:dyDescent="0.25">
      <c r="Q31466" s="8"/>
    </row>
    <row r="31467" spans="17:17" x14ac:dyDescent="0.25">
      <c r="Q31467" s="8"/>
    </row>
    <row r="31468" spans="17:17" x14ac:dyDescent="0.25">
      <c r="Q31468" s="8"/>
    </row>
    <row r="31469" spans="17:17" x14ac:dyDescent="0.25">
      <c r="Q31469" s="8"/>
    </row>
    <row r="31470" spans="17:17" x14ac:dyDescent="0.25">
      <c r="Q31470" s="8"/>
    </row>
    <row r="31471" spans="17:17" x14ac:dyDescent="0.25">
      <c r="Q31471" s="8"/>
    </row>
    <row r="31472" spans="17:17" x14ac:dyDescent="0.25">
      <c r="Q31472" s="8"/>
    </row>
    <row r="31473" spans="17:17" x14ac:dyDescent="0.25">
      <c r="Q31473" s="8"/>
    </row>
    <row r="31474" spans="17:17" x14ac:dyDescent="0.25">
      <c r="Q31474" s="8"/>
    </row>
    <row r="31475" spans="17:17" x14ac:dyDescent="0.25">
      <c r="Q31475" s="8"/>
    </row>
    <row r="31476" spans="17:17" x14ac:dyDescent="0.25">
      <c r="Q31476" s="8"/>
    </row>
    <row r="31477" spans="17:17" x14ac:dyDescent="0.25">
      <c r="Q31477" s="8"/>
    </row>
    <row r="31478" spans="17:17" x14ac:dyDescent="0.25">
      <c r="Q31478" s="8"/>
    </row>
    <row r="31479" spans="17:17" x14ac:dyDescent="0.25">
      <c r="Q31479" s="8"/>
    </row>
    <row r="31480" spans="17:17" x14ac:dyDescent="0.25">
      <c r="Q31480" s="8"/>
    </row>
    <row r="31481" spans="17:17" x14ac:dyDescent="0.25">
      <c r="Q31481" s="8"/>
    </row>
    <row r="31482" spans="17:17" x14ac:dyDescent="0.25">
      <c r="Q31482" s="8"/>
    </row>
    <row r="31483" spans="17:17" x14ac:dyDescent="0.25">
      <c r="Q31483" s="8"/>
    </row>
    <row r="31484" spans="17:17" x14ac:dyDescent="0.25">
      <c r="Q31484" s="8"/>
    </row>
    <row r="31485" spans="17:17" x14ac:dyDescent="0.25">
      <c r="Q31485" s="8"/>
    </row>
    <row r="31486" spans="17:17" x14ac:dyDescent="0.25">
      <c r="Q31486" s="8"/>
    </row>
    <row r="31487" spans="17:17" x14ac:dyDescent="0.25">
      <c r="Q31487" s="8"/>
    </row>
    <row r="31488" spans="17:17" x14ac:dyDescent="0.25">
      <c r="Q31488" s="8"/>
    </row>
    <row r="31489" spans="17:17" x14ac:dyDescent="0.25">
      <c r="Q31489" s="8"/>
    </row>
    <row r="31490" spans="17:17" x14ac:dyDescent="0.25">
      <c r="Q31490" s="8"/>
    </row>
    <row r="31491" spans="17:17" x14ac:dyDescent="0.25">
      <c r="Q31491" s="8"/>
    </row>
    <row r="31492" spans="17:17" x14ac:dyDescent="0.25">
      <c r="Q31492" s="8"/>
    </row>
    <row r="31493" spans="17:17" x14ac:dyDescent="0.25">
      <c r="Q31493" s="8"/>
    </row>
    <row r="31494" spans="17:17" x14ac:dyDescent="0.25">
      <c r="Q31494" s="8"/>
    </row>
    <row r="31495" spans="17:17" x14ac:dyDescent="0.25">
      <c r="Q31495" s="8"/>
    </row>
    <row r="31496" spans="17:17" x14ac:dyDescent="0.25">
      <c r="Q31496" s="8"/>
    </row>
    <row r="31497" spans="17:17" x14ac:dyDescent="0.25">
      <c r="Q31497" s="8"/>
    </row>
    <row r="31498" spans="17:17" x14ac:dyDescent="0.25">
      <c r="Q31498" s="8"/>
    </row>
    <row r="31499" spans="17:17" x14ac:dyDescent="0.25">
      <c r="Q31499" s="8"/>
    </row>
    <row r="31500" spans="17:17" x14ac:dyDescent="0.25">
      <c r="Q31500" s="8"/>
    </row>
    <row r="31501" spans="17:17" x14ac:dyDescent="0.25">
      <c r="Q31501" s="8"/>
    </row>
    <row r="31502" spans="17:17" x14ac:dyDescent="0.25">
      <c r="Q31502" s="8"/>
    </row>
    <row r="31503" spans="17:17" x14ac:dyDescent="0.25">
      <c r="Q31503" s="8"/>
    </row>
    <row r="31504" spans="17:17" x14ac:dyDescent="0.25">
      <c r="Q31504" s="8"/>
    </row>
    <row r="31505" spans="17:17" x14ac:dyDescent="0.25">
      <c r="Q31505" s="8"/>
    </row>
    <row r="31506" spans="17:17" x14ac:dyDescent="0.25">
      <c r="Q31506" s="8"/>
    </row>
    <row r="31507" spans="17:17" x14ac:dyDescent="0.25">
      <c r="Q31507" s="8"/>
    </row>
    <row r="31508" spans="17:17" x14ac:dyDescent="0.25">
      <c r="Q31508" s="8"/>
    </row>
    <row r="31509" spans="17:17" x14ac:dyDescent="0.25">
      <c r="Q31509" s="8"/>
    </row>
    <row r="31510" spans="17:17" x14ac:dyDescent="0.25">
      <c r="Q31510" s="8"/>
    </row>
    <row r="31511" spans="17:17" x14ac:dyDescent="0.25">
      <c r="Q31511" s="8"/>
    </row>
    <row r="31512" spans="17:17" x14ac:dyDescent="0.25">
      <c r="Q31512" s="8"/>
    </row>
    <row r="31513" spans="17:17" x14ac:dyDescent="0.25">
      <c r="Q31513" s="8"/>
    </row>
    <row r="31514" spans="17:17" x14ac:dyDescent="0.25">
      <c r="Q31514" s="8"/>
    </row>
    <row r="31515" spans="17:17" x14ac:dyDescent="0.25">
      <c r="Q31515" s="8"/>
    </row>
    <row r="31516" spans="17:17" x14ac:dyDescent="0.25">
      <c r="Q31516" s="8"/>
    </row>
    <row r="31517" spans="17:17" x14ac:dyDescent="0.25">
      <c r="Q31517" s="8"/>
    </row>
    <row r="31518" spans="17:17" x14ac:dyDescent="0.25">
      <c r="Q31518" s="8"/>
    </row>
    <row r="31519" spans="17:17" x14ac:dyDescent="0.25">
      <c r="Q31519" s="8"/>
    </row>
    <row r="31520" spans="17:17" x14ac:dyDescent="0.25">
      <c r="Q31520" s="8"/>
    </row>
    <row r="31521" spans="17:17" x14ac:dyDescent="0.25">
      <c r="Q31521" s="8"/>
    </row>
    <row r="31522" spans="17:17" x14ac:dyDescent="0.25">
      <c r="Q31522" s="8"/>
    </row>
    <row r="31523" spans="17:17" x14ac:dyDescent="0.25">
      <c r="Q31523" s="8"/>
    </row>
    <row r="31524" spans="17:17" x14ac:dyDescent="0.25">
      <c r="Q31524" s="8"/>
    </row>
    <row r="31525" spans="17:17" x14ac:dyDescent="0.25">
      <c r="Q31525" s="8"/>
    </row>
    <row r="31526" spans="17:17" x14ac:dyDescent="0.25">
      <c r="Q31526" s="8"/>
    </row>
    <row r="31527" spans="17:17" x14ac:dyDescent="0.25">
      <c r="Q31527" s="8"/>
    </row>
    <row r="31528" spans="17:17" x14ac:dyDescent="0.25">
      <c r="Q31528" s="8"/>
    </row>
    <row r="31529" spans="17:17" x14ac:dyDescent="0.25">
      <c r="Q31529" s="8"/>
    </row>
    <row r="31530" spans="17:17" x14ac:dyDescent="0.25">
      <c r="Q31530" s="8"/>
    </row>
    <row r="31531" spans="17:17" x14ac:dyDescent="0.25">
      <c r="Q31531" s="8"/>
    </row>
    <row r="31532" spans="17:17" x14ac:dyDescent="0.25">
      <c r="Q31532" s="8"/>
    </row>
    <row r="31533" spans="17:17" x14ac:dyDescent="0.25">
      <c r="Q31533" s="8"/>
    </row>
    <row r="31534" spans="17:17" x14ac:dyDescent="0.25">
      <c r="Q31534" s="8"/>
    </row>
    <row r="31535" spans="17:17" x14ac:dyDescent="0.25">
      <c r="Q31535" s="8"/>
    </row>
    <row r="31536" spans="17:17" x14ac:dyDescent="0.25">
      <c r="Q31536" s="8"/>
    </row>
    <row r="31537" spans="17:17" x14ac:dyDescent="0.25">
      <c r="Q31537" s="8"/>
    </row>
    <row r="31538" spans="17:17" x14ac:dyDescent="0.25">
      <c r="Q31538" s="8"/>
    </row>
    <row r="31539" spans="17:17" x14ac:dyDescent="0.25">
      <c r="Q31539" s="8"/>
    </row>
    <row r="31540" spans="17:17" x14ac:dyDescent="0.25">
      <c r="Q31540" s="8"/>
    </row>
    <row r="31541" spans="17:17" x14ac:dyDescent="0.25">
      <c r="Q31541" s="8"/>
    </row>
    <row r="31542" spans="17:17" x14ac:dyDescent="0.25">
      <c r="Q31542" s="8"/>
    </row>
    <row r="31543" spans="17:17" x14ac:dyDescent="0.25">
      <c r="Q31543" s="8"/>
    </row>
    <row r="31544" spans="17:17" x14ac:dyDescent="0.25">
      <c r="Q31544" s="8"/>
    </row>
    <row r="31545" spans="17:17" x14ac:dyDescent="0.25">
      <c r="Q31545" s="8"/>
    </row>
    <row r="31546" spans="17:17" x14ac:dyDescent="0.25">
      <c r="Q31546" s="8"/>
    </row>
    <row r="31547" spans="17:17" x14ac:dyDescent="0.25">
      <c r="Q31547" s="8"/>
    </row>
    <row r="31548" spans="17:17" x14ac:dyDescent="0.25">
      <c r="Q31548" s="8"/>
    </row>
    <row r="31549" spans="17:17" x14ac:dyDescent="0.25">
      <c r="Q31549" s="8"/>
    </row>
    <row r="31550" spans="17:17" x14ac:dyDescent="0.25">
      <c r="Q31550" s="8"/>
    </row>
    <row r="31551" spans="17:17" x14ac:dyDescent="0.25">
      <c r="Q31551" s="8"/>
    </row>
    <row r="31552" spans="17:17" x14ac:dyDescent="0.25">
      <c r="Q31552" s="8"/>
    </row>
    <row r="31553" spans="17:17" x14ac:dyDescent="0.25">
      <c r="Q31553" s="8"/>
    </row>
    <row r="31554" spans="17:17" x14ac:dyDescent="0.25">
      <c r="Q31554" s="8"/>
    </row>
    <row r="31555" spans="17:17" x14ac:dyDescent="0.25">
      <c r="Q31555" s="8"/>
    </row>
    <row r="31556" spans="17:17" x14ac:dyDescent="0.25">
      <c r="Q31556" s="8"/>
    </row>
    <row r="31557" spans="17:17" x14ac:dyDescent="0.25">
      <c r="Q31557" s="8"/>
    </row>
    <row r="31558" spans="17:17" x14ac:dyDescent="0.25">
      <c r="Q31558" s="8"/>
    </row>
    <row r="31559" spans="17:17" x14ac:dyDescent="0.25">
      <c r="Q31559" s="8"/>
    </row>
    <row r="31560" spans="17:17" x14ac:dyDescent="0.25">
      <c r="Q31560" s="8"/>
    </row>
    <row r="31561" spans="17:17" x14ac:dyDescent="0.25">
      <c r="Q31561" s="8"/>
    </row>
    <row r="31562" spans="17:17" x14ac:dyDescent="0.25">
      <c r="Q31562" s="8"/>
    </row>
    <row r="31563" spans="17:17" x14ac:dyDescent="0.25">
      <c r="Q31563" s="8"/>
    </row>
    <row r="31564" spans="17:17" x14ac:dyDescent="0.25">
      <c r="Q31564" s="8"/>
    </row>
    <row r="31565" spans="17:17" x14ac:dyDescent="0.25">
      <c r="Q31565" s="8"/>
    </row>
    <row r="31566" spans="17:17" x14ac:dyDescent="0.25">
      <c r="Q31566" s="8"/>
    </row>
    <row r="31567" spans="17:17" x14ac:dyDescent="0.25">
      <c r="Q31567" s="8"/>
    </row>
    <row r="31568" spans="17:17" x14ac:dyDescent="0.25">
      <c r="Q31568" s="8"/>
    </row>
    <row r="31569" spans="17:17" x14ac:dyDescent="0.25">
      <c r="Q31569" s="8"/>
    </row>
    <row r="31570" spans="17:17" x14ac:dyDescent="0.25">
      <c r="Q31570" s="8"/>
    </row>
    <row r="31571" spans="17:17" x14ac:dyDescent="0.25">
      <c r="Q31571" s="8"/>
    </row>
    <row r="31572" spans="17:17" x14ac:dyDescent="0.25">
      <c r="Q31572" s="8"/>
    </row>
    <row r="31573" spans="17:17" x14ac:dyDescent="0.25">
      <c r="Q31573" s="8"/>
    </row>
    <row r="31574" spans="17:17" x14ac:dyDescent="0.25">
      <c r="Q31574" s="8"/>
    </row>
    <row r="31575" spans="17:17" x14ac:dyDescent="0.25">
      <c r="Q31575" s="8"/>
    </row>
    <row r="31576" spans="17:17" x14ac:dyDescent="0.25">
      <c r="Q31576" s="8"/>
    </row>
    <row r="31577" spans="17:17" x14ac:dyDescent="0.25">
      <c r="Q31577" s="8"/>
    </row>
    <row r="31578" spans="17:17" x14ac:dyDescent="0.25">
      <c r="Q31578" s="8"/>
    </row>
    <row r="31579" spans="17:17" x14ac:dyDescent="0.25">
      <c r="Q31579" s="8"/>
    </row>
    <row r="31580" spans="17:17" x14ac:dyDescent="0.25">
      <c r="Q31580" s="8"/>
    </row>
    <row r="31581" spans="17:17" x14ac:dyDescent="0.25">
      <c r="Q31581" s="8"/>
    </row>
    <row r="31582" spans="17:17" x14ac:dyDescent="0.25">
      <c r="Q31582" s="8"/>
    </row>
    <row r="31583" spans="17:17" x14ac:dyDescent="0.25">
      <c r="Q31583" s="8"/>
    </row>
    <row r="31584" spans="17:17" x14ac:dyDescent="0.25">
      <c r="Q31584" s="8"/>
    </row>
    <row r="31585" spans="17:17" x14ac:dyDescent="0.25">
      <c r="Q31585" s="8"/>
    </row>
    <row r="31586" spans="17:17" x14ac:dyDescent="0.25">
      <c r="Q31586" s="8"/>
    </row>
    <row r="31587" spans="17:17" x14ac:dyDescent="0.25">
      <c r="Q31587" s="8"/>
    </row>
    <row r="31588" spans="17:17" x14ac:dyDescent="0.25">
      <c r="Q31588" s="8"/>
    </row>
    <row r="31589" spans="17:17" x14ac:dyDescent="0.25">
      <c r="Q31589" s="8"/>
    </row>
    <row r="31590" spans="17:17" x14ac:dyDescent="0.25">
      <c r="Q31590" s="8"/>
    </row>
    <row r="31591" spans="17:17" x14ac:dyDescent="0.25">
      <c r="Q31591" s="8"/>
    </row>
    <row r="31592" spans="17:17" x14ac:dyDescent="0.25">
      <c r="Q31592" s="8"/>
    </row>
    <row r="31593" spans="17:17" x14ac:dyDescent="0.25">
      <c r="Q31593" s="8"/>
    </row>
    <row r="31594" spans="17:17" x14ac:dyDescent="0.25">
      <c r="Q31594" s="8"/>
    </row>
    <row r="31595" spans="17:17" x14ac:dyDescent="0.25">
      <c r="Q31595" s="8"/>
    </row>
    <row r="31596" spans="17:17" x14ac:dyDescent="0.25">
      <c r="Q31596" s="8"/>
    </row>
    <row r="31597" spans="17:17" x14ac:dyDescent="0.25">
      <c r="Q31597" s="8"/>
    </row>
    <row r="31598" spans="17:17" x14ac:dyDescent="0.25">
      <c r="Q31598" s="8"/>
    </row>
    <row r="31599" spans="17:17" x14ac:dyDescent="0.25">
      <c r="Q31599" s="8"/>
    </row>
    <row r="31600" spans="17:17" x14ac:dyDescent="0.25">
      <c r="Q31600" s="8"/>
    </row>
    <row r="31601" spans="17:17" x14ac:dyDescent="0.25">
      <c r="Q31601" s="8"/>
    </row>
    <row r="31602" spans="17:17" x14ac:dyDescent="0.25">
      <c r="Q31602" s="8"/>
    </row>
    <row r="31603" spans="17:17" x14ac:dyDescent="0.25">
      <c r="Q31603" s="8"/>
    </row>
    <row r="31604" spans="17:17" x14ac:dyDescent="0.25">
      <c r="Q31604" s="8"/>
    </row>
    <row r="31605" spans="17:17" x14ac:dyDescent="0.25">
      <c r="Q31605" s="8"/>
    </row>
    <row r="31606" spans="17:17" x14ac:dyDescent="0.25">
      <c r="Q31606" s="8"/>
    </row>
    <row r="31607" spans="17:17" x14ac:dyDescent="0.25">
      <c r="Q31607" s="8"/>
    </row>
    <row r="31608" spans="17:17" x14ac:dyDescent="0.25">
      <c r="Q31608" s="8"/>
    </row>
    <row r="31609" spans="17:17" x14ac:dyDescent="0.25">
      <c r="Q31609" s="8"/>
    </row>
    <row r="31610" spans="17:17" x14ac:dyDescent="0.25">
      <c r="Q31610" s="8"/>
    </row>
    <row r="31611" spans="17:17" x14ac:dyDescent="0.25">
      <c r="Q31611" s="8"/>
    </row>
    <row r="31612" spans="17:17" x14ac:dyDescent="0.25">
      <c r="Q31612" s="8"/>
    </row>
    <row r="31613" spans="17:17" x14ac:dyDescent="0.25">
      <c r="Q31613" s="8"/>
    </row>
    <row r="31614" spans="17:17" x14ac:dyDescent="0.25">
      <c r="Q31614" s="8"/>
    </row>
    <row r="31615" spans="17:17" x14ac:dyDescent="0.25">
      <c r="Q31615" s="8"/>
    </row>
    <row r="31616" spans="17:17" x14ac:dyDescent="0.25">
      <c r="Q31616" s="8"/>
    </row>
    <row r="31617" spans="17:17" x14ac:dyDescent="0.25">
      <c r="Q31617" s="8"/>
    </row>
    <row r="31618" spans="17:17" x14ac:dyDescent="0.25">
      <c r="Q31618" s="8"/>
    </row>
    <row r="31619" spans="17:17" x14ac:dyDescent="0.25">
      <c r="Q31619" s="8"/>
    </row>
    <row r="31620" spans="17:17" x14ac:dyDescent="0.25">
      <c r="Q31620" s="8"/>
    </row>
    <row r="31621" spans="17:17" x14ac:dyDescent="0.25">
      <c r="Q31621" s="8"/>
    </row>
    <row r="31622" spans="17:17" x14ac:dyDescent="0.25">
      <c r="Q31622" s="8"/>
    </row>
    <row r="31623" spans="17:17" x14ac:dyDescent="0.25">
      <c r="Q31623" s="8"/>
    </row>
    <row r="31624" spans="17:17" x14ac:dyDescent="0.25">
      <c r="Q31624" s="8"/>
    </row>
    <row r="31625" spans="17:17" x14ac:dyDescent="0.25">
      <c r="Q31625" s="8"/>
    </row>
    <row r="31626" spans="17:17" x14ac:dyDescent="0.25">
      <c r="Q31626" s="8"/>
    </row>
    <row r="31627" spans="17:17" x14ac:dyDescent="0.25">
      <c r="Q31627" s="8"/>
    </row>
    <row r="31628" spans="17:17" x14ac:dyDescent="0.25">
      <c r="Q31628" s="8"/>
    </row>
    <row r="31629" spans="17:17" x14ac:dyDescent="0.25">
      <c r="Q31629" s="8"/>
    </row>
    <row r="31630" spans="17:17" x14ac:dyDescent="0.25">
      <c r="Q31630" s="8"/>
    </row>
    <row r="31631" spans="17:17" x14ac:dyDescent="0.25">
      <c r="Q31631" s="8"/>
    </row>
    <row r="31632" spans="17:17" x14ac:dyDescent="0.25">
      <c r="Q31632" s="8"/>
    </row>
    <row r="31633" spans="17:17" x14ac:dyDescent="0.25">
      <c r="Q31633" s="8"/>
    </row>
    <row r="31634" spans="17:17" x14ac:dyDescent="0.25">
      <c r="Q31634" s="8"/>
    </row>
    <row r="31635" spans="17:17" x14ac:dyDescent="0.25">
      <c r="Q31635" s="8"/>
    </row>
    <row r="31636" spans="17:17" x14ac:dyDescent="0.25">
      <c r="Q31636" s="8"/>
    </row>
    <row r="31637" spans="17:17" x14ac:dyDescent="0.25">
      <c r="Q31637" s="8"/>
    </row>
    <row r="31638" spans="17:17" x14ac:dyDescent="0.25">
      <c r="Q31638" s="8"/>
    </row>
    <row r="31639" spans="17:17" x14ac:dyDescent="0.25">
      <c r="Q31639" s="8"/>
    </row>
    <row r="31640" spans="17:17" x14ac:dyDescent="0.25">
      <c r="Q31640" s="8"/>
    </row>
    <row r="31641" spans="17:17" x14ac:dyDescent="0.25">
      <c r="Q31641" s="8"/>
    </row>
    <row r="31642" spans="17:17" x14ac:dyDescent="0.25">
      <c r="Q31642" s="8"/>
    </row>
    <row r="31643" spans="17:17" x14ac:dyDescent="0.25">
      <c r="Q31643" s="8"/>
    </row>
    <row r="31644" spans="17:17" x14ac:dyDescent="0.25">
      <c r="Q31644" s="8"/>
    </row>
    <row r="31645" spans="17:17" x14ac:dyDescent="0.25">
      <c r="Q31645" s="8"/>
    </row>
    <row r="31646" spans="17:17" x14ac:dyDescent="0.25">
      <c r="Q31646" s="8"/>
    </row>
    <row r="31647" spans="17:17" x14ac:dyDescent="0.25">
      <c r="Q31647" s="8"/>
    </row>
    <row r="31648" spans="17:17" x14ac:dyDescent="0.25">
      <c r="Q31648" s="8"/>
    </row>
    <row r="31649" spans="17:17" x14ac:dyDescent="0.25">
      <c r="Q31649" s="8"/>
    </row>
    <row r="31650" spans="17:17" x14ac:dyDescent="0.25">
      <c r="Q31650" s="8"/>
    </row>
    <row r="31651" spans="17:17" x14ac:dyDescent="0.25">
      <c r="Q31651" s="8"/>
    </row>
    <row r="31652" spans="17:17" x14ac:dyDescent="0.25">
      <c r="Q31652" s="8"/>
    </row>
    <row r="31653" spans="17:17" x14ac:dyDescent="0.25">
      <c r="Q31653" s="8"/>
    </row>
    <row r="31654" spans="17:17" x14ac:dyDescent="0.25">
      <c r="Q31654" s="8"/>
    </row>
    <row r="31655" spans="17:17" x14ac:dyDescent="0.25">
      <c r="Q31655" s="8"/>
    </row>
    <row r="31656" spans="17:17" x14ac:dyDescent="0.25">
      <c r="Q31656" s="8"/>
    </row>
    <row r="31657" spans="17:17" x14ac:dyDescent="0.25">
      <c r="Q31657" s="8"/>
    </row>
    <row r="31658" spans="17:17" x14ac:dyDescent="0.25">
      <c r="Q31658" s="8"/>
    </row>
    <row r="31659" spans="17:17" x14ac:dyDescent="0.25">
      <c r="Q31659" s="8"/>
    </row>
    <row r="31660" spans="17:17" x14ac:dyDescent="0.25">
      <c r="Q31660" s="8"/>
    </row>
    <row r="31661" spans="17:17" x14ac:dyDescent="0.25">
      <c r="Q31661" s="8"/>
    </row>
    <row r="31662" spans="17:17" x14ac:dyDescent="0.25">
      <c r="Q31662" s="8"/>
    </row>
    <row r="31663" spans="17:17" x14ac:dyDescent="0.25">
      <c r="Q31663" s="8"/>
    </row>
    <row r="31664" spans="17:17" x14ac:dyDescent="0.25">
      <c r="Q31664" s="8"/>
    </row>
    <row r="31665" spans="17:17" x14ac:dyDescent="0.25">
      <c r="Q31665" s="8"/>
    </row>
    <row r="31666" spans="17:17" x14ac:dyDescent="0.25">
      <c r="Q31666" s="8"/>
    </row>
    <row r="31667" spans="17:17" x14ac:dyDescent="0.25">
      <c r="Q31667" s="8"/>
    </row>
    <row r="31668" spans="17:17" x14ac:dyDescent="0.25">
      <c r="Q31668" s="8"/>
    </row>
    <row r="31669" spans="17:17" x14ac:dyDescent="0.25">
      <c r="Q31669" s="8"/>
    </row>
    <row r="31670" spans="17:17" x14ac:dyDescent="0.25">
      <c r="Q31670" s="8"/>
    </row>
    <row r="31671" spans="17:17" x14ac:dyDescent="0.25">
      <c r="Q31671" s="8"/>
    </row>
    <row r="31672" spans="17:17" x14ac:dyDescent="0.25">
      <c r="Q31672" s="8"/>
    </row>
    <row r="31673" spans="17:17" x14ac:dyDescent="0.25">
      <c r="Q31673" s="8"/>
    </row>
    <row r="31674" spans="17:17" x14ac:dyDescent="0.25">
      <c r="Q31674" s="8"/>
    </row>
    <row r="31675" spans="17:17" x14ac:dyDescent="0.25">
      <c r="Q31675" s="8"/>
    </row>
    <row r="31676" spans="17:17" x14ac:dyDescent="0.25">
      <c r="Q31676" s="8"/>
    </row>
    <row r="31677" spans="17:17" x14ac:dyDescent="0.25">
      <c r="Q31677" s="8"/>
    </row>
    <row r="31678" spans="17:17" x14ac:dyDescent="0.25">
      <c r="Q31678" s="8"/>
    </row>
    <row r="31679" spans="17:17" x14ac:dyDescent="0.25">
      <c r="Q31679" s="8"/>
    </row>
    <row r="31680" spans="17:17" x14ac:dyDescent="0.25">
      <c r="Q31680" s="8"/>
    </row>
    <row r="31681" spans="17:17" x14ac:dyDescent="0.25">
      <c r="Q31681" s="8"/>
    </row>
    <row r="31682" spans="17:17" x14ac:dyDescent="0.25">
      <c r="Q31682" s="8"/>
    </row>
    <row r="31683" spans="17:17" x14ac:dyDescent="0.25">
      <c r="Q31683" s="8"/>
    </row>
    <row r="31684" spans="17:17" x14ac:dyDescent="0.25">
      <c r="Q31684" s="8"/>
    </row>
    <row r="31685" spans="17:17" x14ac:dyDescent="0.25">
      <c r="Q31685" s="8"/>
    </row>
    <row r="31686" spans="17:17" x14ac:dyDescent="0.25">
      <c r="Q31686" s="8"/>
    </row>
    <row r="31687" spans="17:17" x14ac:dyDescent="0.25">
      <c r="Q31687" s="8"/>
    </row>
    <row r="31688" spans="17:17" x14ac:dyDescent="0.25">
      <c r="Q31688" s="8"/>
    </row>
    <row r="31689" spans="17:17" x14ac:dyDescent="0.25">
      <c r="Q31689" s="8"/>
    </row>
    <row r="31690" spans="17:17" x14ac:dyDescent="0.25">
      <c r="Q31690" s="8"/>
    </row>
    <row r="31691" spans="17:17" x14ac:dyDescent="0.25">
      <c r="Q31691" s="8"/>
    </row>
    <row r="31692" spans="17:17" x14ac:dyDescent="0.25">
      <c r="Q31692" s="8"/>
    </row>
    <row r="31693" spans="17:17" x14ac:dyDescent="0.25">
      <c r="Q31693" s="8"/>
    </row>
    <row r="31694" spans="17:17" x14ac:dyDescent="0.25">
      <c r="Q31694" s="8"/>
    </row>
    <row r="31695" spans="17:17" x14ac:dyDescent="0.25">
      <c r="Q31695" s="8"/>
    </row>
    <row r="31696" spans="17:17" x14ac:dyDescent="0.25">
      <c r="Q31696" s="8"/>
    </row>
    <row r="31697" spans="17:17" x14ac:dyDescent="0.25">
      <c r="Q31697" s="8"/>
    </row>
    <row r="31698" spans="17:17" x14ac:dyDescent="0.25">
      <c r="Q31698" s="8"/>
    </row>
    <row r="31699" spans="17:17" x14ac:dyDescent="0.25">
      <c r="Q31699" s="8"/>
    </row>
    <row r="31700" spans="17:17" x14ac:dyDescent="0.25">
      <c r="Q31700" s="8"/>
    </row>
    <row r="31701" spans="17:17" x14ac:dyDescent="0.25">
      <c r="Q31701" s="8"/>
    </row>
    <row r="31702" spans="17:17" x14ac:dyDescent="0.25">
      <c r="Q31702" s="8"/>
    </row>
    <row r="31703" spans="17:17" x14ac:dyDescent="0.25">
      <c r="Q31703" s="8"/>
    </row>
    <row r="31704" spans="17:17" x14ac:dyDescent="0.25">
      <c r="Q31704" s="8"/>
    </row>
    <row r="31705" spans="17:17" x14ac:dyDescent="0.25">
      <c r="Q31705" s="8"/>
    </row>
    <row r="31706" spans="17:17" x14ac:dyDescent="0.25">
      <c r="Q31706" s="8"/>
    </row>
    <row r="31707" spans="17:17" x14ac:dyDescent="0.25">
      <c r="Q31707" s="8"/>
    </row>
    <row r="31708" spans="17:17" x14ac:dyDescent="0.25">
      <c r="Q31708" s="8"/>
    </row>
    <row r="31709" spans="17:17" x14ac:dyDescent="0.25">
      <c r="Q31709" s="8"/>
    </row>
    <row r="31710" spans="17:17" x14ac:dyDescent="0.25">
      <c r="Q31710" s="8"/>
    </row>
    <row r="31711" spans="17:17" x14ac:dyDescent="0.25">
      <c r="Q31711" s="8"/>
    </row>
    <row r="31712" spans="17:17" x14ac:dyDescent="0.25">
      <c r="Q31712" s="8"/>
    </row>
    <row r="31713" spans="17:17" x14ac:dyDescent="0.25">
      <c r="Q31713" s="8"/>
    </row>
    <row r="31714" spans="17:17" x14ac:dyDescent="0.25">
      <c r="Q31714" s="8"/>
    </row>
    <row r="31715" spans="17:17" x14ac:dyDescent="0.25">
      <c r="Q31715" s="8"/>
    </row>
    <row r="31716" spans="17:17" x14ac:dyDescent="0.25">
      <c r="Q31716" s="8"/>
    </row>
    <row r="31717" spans="17:17" x14ac:dyDescent="0.25">
      <c r="Q31717" s="8"/>
    </row>
    <row r="31718" spans="17:17" x14ac:dyDescent="0.25">
      <c r="Q31718" s="8"/>
    </row>
    <row r="31719" spans="17:17" x14ac:dyDescent="0.25">
      <c r="Q31719" s="8"/>
    </row>
    <row r="31720" spans="17:17" x14ac:dyDescent="0.25">
      <c r="Q31720" s="8"/>
    </row>
    <row r="31721" spans="17:17" x14ac:dyDescent="0.25">
      <c r="Q31721" s="8"/>
    </row>
    <row r="31722" spans="17:17" x14ac:dyDescent="0.25">
      <c r="Q31722" s="8"/>
    </row>
    <row r="31723" spans="17:17" x14ac:dyDescent="0.25">
      <c r="Q31723" s="8"/>
    </row>
    <row r="31724" spans="17:17" x14ac:dyDescent="0.25">
      <c r="Q31724" s="8"/>
    </row>
    <row r="31725" spans="17:17" x14ac:dyDescent="0.25">
      <c r="Q31725" s="8"/>
    </row>
    <row r="31726" spans="17:17" x14ac:dyDescent="0.25">
      <c r="Q31726" s="8"/>
    </row>
    <row r="31727" spans="17:17" x14ac:dyDescent="0.25">
      <c r="Q31727" s="8"/>
    </row>
    <row r="31728" spans="17:17" x14ac:dyDescent="0.25">
      <c r="Q31728" s="8"/>
    </row>
    <row r="31729" spans="17:17" x14ac:dyDescent="0.25">
      <c r="Q31729" s="8"/>
    </row>
    <row r="31730" spans="17:17" x14ac:dyDescent="0.25">
      <c r="Q31730" s="8"/>
    </row>
    <row r="31731" spans="17:17" x14ac:dyDescent="0.25">
      <c r="Q31731" s="8"/>
    </row>
    <row r="31732" spans="17:17" x14ac:dyDescent="0.25">
      <c r="Q31732" s="8"/>
    </row>
    <row r="31733" spans="17:17" x14ac:dyDescent="0.25">
      <c r="Q31733" s="8"/>
    </row>
    <row r="31734" spans="17:17" x14ac:dyDescent="0.25">
      <c r="Q31734" s="8"/>
    </row>
    <row r="31735" spans="17:17" x14ac:dyDescent="0.25">
      <c r="Q31735" s="8"/>
    </row>
    <row r="31736" spans="17:17" x14ac:dyDescent="0.25">
      <c r="Q31736" s="8"/>
    </row>
    <row r="31737" spans="17:17" x14ac:dyDescent="0.25">
      <c r="Q31737" s="8"/>
    </row>
    <row r="31738" spans="17:17" x14ac:dyDescent="0.25">
      <c r="Q31738" s="8"/>
    </row>
    <row r="31739" spans="17:17" x14ac:dyDescent="0.25">
      <c r="Q31739" s="8"/>
    </row>
    <row r="31740" spans="17:17" x14ac:dyDescent="0.25">
      <c r="Q31740" s="8"/>
    </row>
    <row r="31741" spans="17:17" x14ac:dyDescent="0.25">
      <c r="Q31741" s="8"/>
    </row>
    <row r="31742" spans="17:17" x14ac:dyDescent="0.25">
      <c r="Q31742" s="8"/>
    </row>
    <row r="31743" spans="17:17" x14ac:dyDescent="0.25">
      <c r="Q31743" s="8"/>
    </row>
    <row r="31744" spans="17:17" x14ac:dyDescent="0.25">
      <c r="Q31744" s="8"/>
    </row>
    <row r="31745" spans="17:17" x14ac:dyDescent="0.25">
      <c r="Q31745" s="8"/>
    </row>
    <row r="31746" spans="17:17" x14ac:dyDescent="0.25">
      <c r="Q31746" s="8"/>
    </row>
    <row r="31747" spans="17:17" x14ac:dyDescent="0.25">
      <c r="Q31747" s="8"/>
    </row>
    <row r="31748" spans="17:17" x14ac:dyDescent="0.25">
      <c r="Q31748" s="8"/>
    </row>
    <row r="31749" spans="17:17" x14ac:dyDescent="0.25">
      <c r="Q31749" s="8"/>
    </row>
    <row r="31750" spans="17:17" x14ac:dyDescent="0.25">
      <c r="Q31750" s="8"/>
    </row>
    <row r="31751" spans="17:17" x14ac:dyDescent="0.25">
      <c r="Q31751" s="8"/>
    </row>
    <row r="31752" spans="17:17" x14ac:dyDescent="0.25">
      <c r="Q31752" s="8"/>
    </row>
    <row r="31753" spans="17:17" x14ac:dyDescent="0.25">
      <c r="Q31753" s="8"/>
    </row>
    <row r="31754" spans="17:17" x14ac:dyDescent="0.25">
      <c r="Q31754" s="8"/>
    </row>
    <row r="31755" spans="17:17" x14ac:dyDescent="0.25">
      <c r="Q31755" s="8"/>
    </row>
    <row r="31756" spans="17:17" x14ac:dyDescent="0.25">
      <c r="Q31756" s="8"/>
    </row>
    <row r="31757" spans="17:17" x14ac:dyDescent="0.25">
      <c r="Q31757" s="8"/>
    </row>
    <row r="31758" spans="17:17" x14ac:dyDescent="0.25">
      <c r="Q31758" s="8"/>
    </row>
    <row r="31759" spans="17:17" x14ac:dyDescent="0.25">
      <c r="Q31759" s="8"/>
    </row>
    <row r="31760" spans="17:17" x14ac:dyDescent="0.25">
      <c r="Q31760" s="8"/>
    </row>
    <row r="31761" spans="17:17" x14ac:dyDescent="0.25">
      <c r="Q31761" s="8"/>
    </row>
    <row r="31762" spans="17:17" x14ac:dyDescent="0.25">
      <c r="Q31762" s="8"/>
    </row>
    <row r="31763" spans="17:17" x14ac:dyDescent="0.25">
      <c r="Q31763" s="8"/>
    </row>
    <row r="31764" spans="17:17" x14ac:dyDescent="0.25">
      <c r="Q31764" s="8"/>
    </row>
    <row r="31765" spans="17:17" x14ac:dyDescent="0.25">
      <c r="Q31765" s="8"/>
    </row>
    <row r="31766" spans="17:17" x14ac:dyDescent="0.25">
      <c r="Q31766" s="8"/>
    </row>
    <row r="31767" spans="17:17" x14ac:dyDescent="0.25">
      <c r="Q31767" s="8"/>
    </row>
    <row r="31768" spans="17:17" x14ac:dyDescent="0.25">
      <c r="Q31768" s="8"/>
    </row>
    <row r="31769" spans="17:17" x14ac:dyDescent="0.25">
      <c r="Q31769" s="8"/>
    </row>
    <row r="31770" spans="17:17" x14ac:dyDescent="0.25">
      <c r="Q31770" s="8"/>
    </row>
    <row r="31771" spans="17:17" x14ac:dyDescent="0.25">
      <c r="Q31771" s="8"/>
    </row>
    <row r="31772" spans="17:17" x14ac:dyDescent="0.25">
      <c r="Q31772" s="8"/>
    </row>
    <row r="31773" spans="17:17" x14ac:dyDescent="0.25">
      <c r="Q31773" s="8"/>
    </row>
    <row r="31774" spans="17:17" x14ac:dyDescent="0.25">
      <c r="Q31774" s="8"/>
    </row>
    <row r="31775" spans="17:17" x14ac:dyDescent="0.25">
      <c r="Q31775" s="8"/>
    </row>
    <row r="31776" spans="17:17" x14ac:dyDescent="0.25">
      <c r="Q31776" s="8"/>
    </row>
    <row r="31777" spans="17:17" x14ac:dyDescent="0.25">
      <c r="Q31777" s="8"/>
    </row>
    <row r="31778" spans="17:17" x14ac:dyDescent="0.25">
      <c r="Q31778" s="8"/>
    </row>
    <row r="31779" spans="17:17" x14ac:dyDescent="0.25">
      <c r="Q31779" s="8"/>
    </row>
    <row r="31780" spans="17:17" x14ac:dyDescent="0.25">
      <c r="Q31780" s="8"/>
    </row>
    <row r="31781" spans="17:17" x14ac:dyDescent="0.25">
      <c r="Q31781" s="8"/>
    </row>
    <row r="31782" spans="17:17" x14ac:dyDescent="0.25">
      <c r="Q31782" s="8"/>
    </row>
    <row r="31783" spans="17:17" x14ac:dyDescent="0.25">
      <c r="Q31783" s="8"/>
    </row>
    <row r="31784" spans="17:17" x14ac:dyDescent="0.25">
      <c r="Q31784" s="8"/>
    </row>
    <row r="31785" spans="17:17" x14ac:dyDescent="0.25">
      <c r="Q31785" s="8"/>
    </row>
    <row r="31786" spans="17:17" x14ac:dyDescent="0.25">
      <c r="Q31786" s="8"/>
    </row>
    <row r="31787" spans="17:17" x14ac:dyDescent="0.25">
      <c r="Q31787" s="8"/>
    </row>
    <row r="31788" spans="17:17" x14ac:dyDescent="0.25">
      <c r="Q31788" s="8"/>
    </row>
    <row r="31789" spans="17:17" x14ac:dyDescent="0.25">
      <c r="Q31789" s="8"/>
    </row>
    <row r="31790" spans="17:17" x14ac:dyDescent="0.25">
      <c r="Q31790" s="8"/>
    </row>
    <row r="31791" spans="17:17" x14ac:dyDescent="0.25">
      <c r="Q31791" s="8"/>
    </row>
    <row r="31792" spans="17:17" x14ac:dyDescent="0.25">
      <c r="Q31792" s="8"/>
    </row>
    <row r="31793" spans="17:17" x14ac:dyDescent="0.25">
      <c r="Q31793" s="8"/>
    </row>
    <row r="31794" spans="17:17" x14ac:dyDescent="0.25">
      <c r="Q31794" s="8"/>
    </row>
    <row r="31795" spans="17:17" x14ac:dyDescent="0.25">
      <c r="Q31795" s="8"/>
    </row>
    <row r="31796" spans="17:17" x14ac:dyDescent="0.25">
      <c r="Q31796" s="8"/>
    </row>
    <row r="31797" spans="17:17" x14ac:dyDescent="0.25">
      <c r="Q31797" s="8"/>
    </row>
    <row r="31798" spans="17:17" x14ac:dyDescent="0.25">
      <c r="Q31798" s="8"/>
    </row>
    <row r="31799" spans="17:17" x14ac:dyDescent="0.25">
      <c r="Q31799" s="8"/>
    </row>
    <row r="31800" spans="17:17" x14ac:dyDescent="0.25">
      <c r="Q31800" s="8"/>
    </row>
    <row r="31801" spans="17:17" x14ac:dyDescent="0.25">
      <c r="Q31801" s="8"/>
    </row>
    <row r="31802" spans="17:17" x14ac:dyDescent="0.25">
      <c r="Q31802" s="8"/>
    </row>
    <row r="31803" spans="17:17" x14ac:dyDescent="0.25">
      <c r="Q31803" s="8"/>
    </row>
    <row r="31804" spans="17:17" x14ac:dyDescent="0.25">
      <c r="Q31804" s="8"/>
    </row>
    <row r="31805" spans="17:17" x14ac:dyDescent="0.25">
      <c r="Q31805" s="8"/>
    </row>
    <row r="31806" spans="17:17" x14ac:dyDescent="0.25">
      <c r="Q31806" s="8"/>
    </row>
    <row r="31807" spans="17:17" x14ac:dyDescent="0.25">
      <c r="Q31807" s="8"/>
    </row>
    <row r="31808" spans="17:17" x14ac:dyDescent="0.25">
      <c r="Q31808" s="8"/>
    </row>
    <row r="31809" spans="17:17" x14ac:dyDescent="0.25">
      <c r="Q31809" s="8"/>
    </row>
    <row r="31810" spans="17:17" x14ac:dyDescent="0.25">
      <c r="Q31810" s="8"/>
    </row>
    <row r="31811" spans="17:17" x14ac:dyDescent="0.25">
      <c r="Q31811" s="8"/>
    </row>
    <row r="31812" spans="17:17" x14ac:dyDescent="0.25">
      <c r="Q31812" s="8"/>
    </row>
    <row r="31813" spans="17:17" x14ac:dyDescent="0.25">
      <c r="Q31813" s="8"/>
    </row>
    <row r="31814" spans="17:17" x14ac:dyDescent="0.25">
      <c r="Q31814" s="8"/>
    </row>
    <row r="31815" spans="17:17" x14ac:dyDescent="0.25">
      <c r="Q31815" s="8"/>
    </row>
    <row r="31816" spans="17:17" x14ac:dyDescent="0.25">
      <c r="Q31816" s="8"/>
    </row>
    <row r="31817" spans="17:17" x14ac:dyDescent="0.25">
      <c r="Q31817" s="8"/>
    </row>
    <row r="31818" spans="17:17" x14ac:dyDescent="0.25">
      <c r="Q31818" s="8"/>
    </row>
    <row r="31819" spans="17:17" x14ac:dyDescent="0.25">
      <c r="Q31819" s="8"/>
    </row>
    <row r="31820" spans="17:17" x14ac:dyDescent="0.25">
      <c r="Q31820" s="8"/>
    </row>
    <row r="31821" spans="17:17" x14ac:dyDescent="0.25">
      <c r="Q31821" s="8"/>
    </row>
    <row r="31822" spans="17:17" x14ac:dyDescent="0.25">
      <c r="Q31822" s="8"/>
    </row>
    <row r="31823" spans="17:17" x14ac:dyDescent="0.25">
      <c r="Q31823" s="8"/>
    </row>
    <row r="31824" spans="17:17" x14ac:dyDescent="0.25">
      <c r="Q31824" s="8"/>
    </row>
    <row r="31825" spans="17:17" x14ac:dyDescent="0.25">
      <c r="Q31825" s="8"/>
    </row>
    <row r="31826" spans="17:17" x14ac:dyDescent="0.25">
      <c r="Q31826" s="8"/>
    </row>
    <row r="31827" spans="17:17" x14ac:dyDescent="0.25">
      <c r="Q31827" s="8"/>
    </row>
    <row r="31828" spans="17:17" x14ac:dyDescent="0.25">
      <c r="Q31828" s="8"/>
    </row>
    <row r="31829" spans="17:17" x14ac:dyDescent="0.25">
      <c r="Q31829" s="8"/>
    </row>
    <row r="31830" spans="17:17" x14ac:dyDescent="0.25">
      <c r="Q31830" s="8"/>
    </row>
    <row r="31831" spans="17:17" x14ac:dyDescent="0.25">
      <c r="Q31831" s="8"/>
    </row>
    <row r="31832" spans="17:17" x14ac:dyDescent="0.25">
      <c r="Q31832" s="8"/>
    </row>
    <row r="31833" spans="17:17" x14ac:dyDescent="0.25">
      <c r="Q31833" s="8"/>
    </row>
    <row r="31834" spans="17:17" x14ac:dyDescent="0.25">
      <c r="Q31834" s="8"/>
    </row>
    <row r="31835" spans="17:17" x14ac:dyDescent="0.25">
      <c r="Q31835" s="8"/>
    </row>
    <row r="31836" spans="17:17" x14ac:dyDescent="0.25">
      <c r="Q31836" s="8"/>
    </row>
    <row r="31837" spans="17:17" x14ac:dyDescent="0.25">
      <c r="Q31837" s="8"/>
    </row>
    <row r="31838" spans="17:17" x14ac:dyDescent="0.25">
      <c r="Q31838" s="8"/>
    </row>
    <row r="31839" spans="17:17" x14ac:dyDescent="0.25">
      <c r="Q31839" s="8"/>
    </row>
    <row r="31840" spans="17:17" x14ac:dyDescent="0.25">
      <c r="Q31840" s="8"/>
    </row>
    <row r="31841" spans="17:17" x14ac:dyDescent="0.25">
      <c r="Q31841" s="8"/>
    </row>
    <row r="31842" spans="17:17" x14ac:dyDescent="0.25">
      <c r="Q31842" s="8"/>
    </row>
    <row r="31843" spans="17:17" x14ac:dyDescent="0.25">
      <c r="Q31843" s="8"/>
    </row>
    <row r="31844" spans="17:17" x14ac:dyDescent="0.25">
      <c r="Q31844" s="8"/>
    </row>
    <row r="31845" spans="17:17" x14ac:dyDescent="0.25">
      <c r="Q31845" s="8"/>
    </row>
    <row r="31846" spans="17:17" x14ac:dyDescent="0.25">
      <c r="Q31846" s="8"/>
    </row>
    <row r="31847" spans="17:17" x14ac:dyDescent="0.25">
      <c r="Q31847" s="8"/>
    </row>
    <row r="31848" spans="17:17" x14ac:dyDescent="0.25">
      <c r="Q31848" s="8"/>
    </row>
    <row r="31849" spans="17:17" x14ac:dyDescent="0.25">
      <c r="Q31849" s="8"/>
    </row>
    <row r="31850" spans="17:17" x14ac:dyDescent="0.25">
      <c r="Q31850" s="8"/>
    </row>
    <row r="31851" spans="17:17" x14ac:dyDescent="0.25">
      <c r="Q31851" s="8"/>
    </row>
    <row r="31852" spans="17:17" x14ac:dyDescent="0.25">
      <c r="Q31852" s="8"/>
    </row>
    <row r="31853" spans="17:17" x14ac:dyDescent="0.25">
      <c r="Q31853" s="8"/>
    </row>
    <row r="31854" spans="17:17" x14ac:dyDescent="0.25">
      <c r="Q31854" s="8"/>
    </row>
    <row r="31855" spans="17:17" x14ac:dyDescent="0.25">
      <c r="Q31855" s="8"/>
    </row>
    <row r="31856" spans="17:17" x14ac:dyDescent="0.25">
      <c r="Q31856" s="8"/>
    </row>
    <row r="31857" spans="17:17" x14ac:dyDescent="0.25">
      <c r="Q31857" s="8"/>
    </row>
    <row r="31858" spans="17:17" x14ac:dyDescent="0.25">
      <c r="Q31858" s="8"/>
    </row>
    <row r="31859" spans="17:17" x14ac:dyDescent="0.25">
      <c r="Q31859" s="8"/>
    </row>
    <row r="31860" spans="17:17" x14ac:dyDescent="0.25">
      <c r="Q31860" s="8"/>
    </row>
    <row r="31861" spans="17:17" x14ac:dyDescent="0.25">
      <c r="Q31861" s="8"/>
    </row>
    <row r="31862" spans="17:17" x14ac:dyDescent="0.25">
      <c r="Q31862" s="8"/>
    </row>
    <row r="31863" spans="17:17" x14ac:dyDescent="0.25">
      <c r="Q31863" s="8"/>
    </row>
    <row r="31864" spans="17:17" x14ac:dyDescent="0.25">
      <c r="Q31864" s="8"/>
    </row>
    <row r="31865" spans="17:17" x14ac:dyDescent="0.25">
      <c r="Q31865" s="8"/>
    </row>
    <row r="31866" spans="17:17" x14ac:dyDescent="0.25">
      <c r="Q31866" s="8"/>
    </row>
    <row r="31867" spans="17:17" x14ac:dyDescent="0.25">
      <c r="Q31867" s="8"/>
    </row>
    <row r="31868" spans="17:17" x14ac:dyDescent="0.25">
      <c r="Q31868" s="8"/>
    </row>
    <row r="31869" spans="17:17" x14ac:dyDescent="0.25">
      <c r="Q31869" s="8"/>
    </row>
    <row r="31870" spans="17:17" x14ac:dyDescent="0.25">
      <c r="Q31870" s="8"/>
    </row>
    <row r="31871" spans="17:17" x14ac:dyDescent="0.25">
      <c r="Q31871" s="8"/>
    </row>
    <row r="31872" spans="17:17" x14ac:dyDescent="0.25">
      <c r="Q31872" s="8"/>
    </row>
    <row r="31873" spans="17:17" x14ac:dyDescent="0.25">
      <c r="Q31873" s="8"/>
    </row>
    <row r="31874" spans="17:17" x14ac:dyDescent="0.25">
      <c r="Q31874" s="8"/>
    </row>
    <row r="31875" spans="17:17" x14ac:dyDescent="0.25">
      <c r="Q31875" s="8"/>
    </row>
    <row r="31876" spans="17:17" x14ac:dyDescent="0.25">
      <c r="Q31876" s="8"/>
    </row>
    <row r="31877" spans="17:17" x14ac:dyDescent="0.25">
      <c r="Q31877" s="8"/>
    </row>
    <row r="31878" spans="17:17" x14ac:dyDescent="0.25">
      <c r="Q31878" s="8"/>
    </row>
    <row r="31879" spans="17:17" x14ac:dyDescent="0.25">
      <c r="Q31879" s="8"/>
    </row>
    <row r="31880" spans="17:17" x14ac:dyDescent="0.25">
      <c r="Q31880" s="8"/>
    </row>
    <row r="31881" spans="17:17" x14ac:dyDescent="0.25">
      <c r="Q31881" s="8"/>
    </row>
    <row r="31882" spans="17:17" x14ac:dyDescent="0.25">
      <c r="Q31882" s="8"/>
    </row>
    <row r="31883" spans="17:17" x14ac:dyDescent="0.25">
      <c r="Q31883" s="8"/>
    </row>
    <row r="31884" spans="17:17" x14ac:dyDescent="0.25">
      <c r="Q31884" s="8"/>
    </row>
    <row r="31885" spans="17:17" x14ac:dyDescent="0.25">
      <c r="Q31885" s="8"/>
    </row>
    <row r="31886" spans="17:17" x14ac:dyDescent="0.25">
      <c r="Q31886" s="8"/>
    </row>
    <row r="31887" spans="17:17" x14ac:dyDescent="0.25">
      <c r="Q31887" s="8"/>
    </row>
    <row r="31888" spans="17:17" x14ac:dyDescent="0.25">
      <c r="Q31888" s="8"/>
    </row>
    <row r="31889" spans="17:17" x14ac:dyDescent="0.25">
      <c r="Q31889" s="8"/>
    </row>
    <row r="31890" spans="17:17" x14ac:dyDescent="0.25">
      <c r="Q31890" s="8"/>
    </row>
    <row r="31891" spans="17:17" x14ac:dyDescent="0.25">
      <c r="Q31891" s="8"/>
    </row>
    <row r="31892" spans="17:17" x14ac:dyDescent="0.25">
      <c r="Q31892" s="8"/>
    </row>
    <row r="31893" spans="17:17" x14ac:dyDescent="0.25">
      <c r="Q31893" s="8"/>
    </row>
    <row r="31894" spans="17:17" x14ac:dyDescent="0.25">
      <c r="Q31894" s="8"/>
    </row>
    <row r="31895" spans="17:17" x14ac:dyDescent="0.25">
      <c r="Q31895" s="8"/>
    </row>
    <row r="31896" spans="17:17" x14ac:dyDescent="0.25">
      <c r="Q31896" s="8"/>
    </row>
    <row r="31897" spans="17:17" x14ac:dyDescent="0.25">
      <c r="Q31897" s="8"/>
    </row>
    <row r="31898" spans="17:17" x14ac:dyDescent="0.25">
      <c r="Q31898" s="8"/>
    </row>
    <row r="31899" spans="17:17" x14ac:dyDescent="0.25">
      <c r="Q31899" s="8"/>
    </row>
    <row r="31900" spans="17:17" x14ac:dyDescent="0.25">
      <c r="Q31900" s="8"/>
    </row>
    <row r="31901" spans="17:17" x14ac:dyDescent="0.25">
      <c r="Q31901" s="8"/>
    </row>
    <row r="31902" spans="17:17" x14ac:dyDescent="0.25">
      <c r="Q31902" s="8"/>
    </row>
    <row r="31903" spans="17:17" x14ac:dyDescent="0.25">
      <c r="Q31903" s="8"/>
    </row>
    <row r="31904" spans="17:17" x14ac:dyDescent="0.25">
      <c r="Q31904" s="8"/>
    </row>
    <row r="31905" spans="17:17" x14ac:dyDescent="0.25">
      <c r="Q31905" s="8"/>
    </row>
    <row r="31906" spans="17:17" x14ac:dyDescent="0.25">
      <c r="Q31906" s="8"/>
    </row>
    <row r="31907" spans="17:17" x14ac:dyDescent="0.25">
      <c r="Q31907" s="8"/>
    </row>
    <row r="31908" spans="17:17" x14ac:dyDescent="0.25">
      <c r="Q31908" s="8"/>
    </row>
    <row r="31909" spans="17:17" x14ac:dyDescent="0.25">
      <c r="Q31909" s="8"/>
    </row>
    <row r="31910" spans="17:17" x14ac:dyDescent="0.25">
      <c r="Q31910" s="8"/>
    </row>
    <row r="31911" spans="17:17" x14ac:dyDescent="0.25">
      <c r="Q31911" s="8"/>
    </row>
    <row r="31912" spans="17:17" x14ac:dyDescent="0.25">
      <c r="Q31912" s="8"/>
    </row>
    <row r="31913" spans="17:17" x14ac:dyDescent="0.25">
      <c r="Q31913" s="8"/>
    </row>
    <row r="31914" spans="17:17" x14ac:dyDescent="0.25">
      <c r="Q31914" s="8"/>
    </row>
    <row r="31915" spans="17:17" x14ac:dyDescent="0.25">
      <c r="Q31915" s="8"/>
    </row>
    <row r="31916" spans="17:17" x14ac:dyDescent="0.25">
      <c r="Q31916" s="8"/>
    </row>
    <row r="31917" spans="17:17" x14ac:dyDescent="0.25">
      <c r="Q31917" s="8"/>
    </row>
    <row r="31918" spans="17:17" x14ac:dyDescent="0.25">
      <c r="Q31918" s="8"/>
    </row>
    <row r="31919" spans="17:17" x14ac:dyDescent="0.25">
      <c r="Q31919" s="8"/>
    </row>
    <row r="31920" spans="17:17" x14ac:dyDescent="0.25">
      <c r="Q31920" s="8"/>
    </row>
    <row r="31921" spans="17:17" x14ac:dyDescent="0.25">
      <c r="Q31921" s="8"/>
    </row>
    <row r="31922" spans="17:17" x14ac:dyDescent="0.25">
      <c r="Q31922" s="8"/>
    </row>
    <row r="31923" spans="17:17" x14ac:dyDescent="0.25">
      <c r="Q31923" s="8"/>
    </row>
    <row r="31924" spans="17:17" x14ac:dyDescent="0.25">
      <c r="Q31924" s="8"/>
    </row>
    <row r="31925" spans="17:17" x14ac:dyDescent="0.25">
      <c r="Q31925" s="8"/>
    </row>
    <row r="31926" spans="17:17" x14ac:dyDescent="0.25">
      <c r="Q31926" s="8"/>
    </row>
    <row r="31927" spans="17:17" x14ac:dyDescent="0.25">
      <c r="Q31927" s="8"/>
    </row>
    <row r="31928" spans="17:17" x14ac:dyDescent="0.25">
      <c r="Q31928" s="8"/>
    </row>
    <row r="31929" spans="17:17" x14ac:dyDescent="0.25">
      <c r="Q31929" s="8"/>
    </row>
    <row r="31930" spans="17:17" x14ac:dyDescent="0.25">
      <c r="Q31930" s="8"/>
    </row>
    <row r="31931" spans="17:17" x14ac:dyDescent="0.25">
      <c r="Q31931" s="8"/>
    </row>
    <row r="31932" spans="17:17" x14ac:dyDescent="0.25">
      <c r="Q31932" s="8"/>
    </row>
    <row r="31933" spans="17:17" x14ac:dyDescent="0.25">
      <c r="Q31933" s="8"/>
    </row>
    <row r="31934" spans="17:17" x14ac:dyDescent="0.25">
      <c r="Q31934" s="8"/>
    </row>
    <row r="31935" spans="17:17" x14ac:dyDescent="0.25">
      <c r="Q31935" s="8"/>
    </row>
    <row r="31936" spans="17:17" x14ac:dyDescent="0.25">
      <c r="Q31936" s="8"/>
    </row>
    <row r="31937" spans="17:17" x14ac:dyDescent="0.25">
      <c r="Q31937" s="8"/>
    </row>
    <row r="31938" spans="17:17" x14ac:dyDescent="0.25">
      <c r="Q31938" s="8"/>
    </row>
    <row r="31939" spans="17:17" x14ac:dyDescent="0.25">
      <c r="Q31939" s="8"/>
    </row>
    <row r="31940" spans="17:17" x14ac:dyDescent="0.25">
      <c r="Q31940" s="8"/>
    </row>
    <row r="31941" spans="17:17" x14ac:dyDescent="0.25">
      <c r="Q31941" s="8"/>
    </row>
    <row r="31942" spans="17:17" x14ac:dyDescent="0.25">
      <c r="Q31942" s="8"/>
    </row>
    <row r="31943" spans="17:17" x14ac:dyDescent="0.25">
      <c r="Q31943" s="8"/>
    </row>
    <row r="31944" spans="17:17" x14ac:dyDescent="0.25">
      <c r="Q31944" s="8"/>
    </row>
    <row r="31945" spans="17:17" x14ac:dyDescent="0.25">
      <c r="Q31945" s="8"/>
    </row>
    <row r="31946" spans="17:17" x14ac:dyDescent="0.25">
      <c r="Q31946" s="8"/>
    </row>
    <row r="31947" spans="17:17" x14ac:dyDescent="0.25">
      <c r="Q31947" s="8"/>
    </row>
    <row r="31948" spans="17:17" x14ac:dyDescent="0.25">
      <c r="Q31948" s="8"/>
    </row>
    <row r="31949" spans="17:17" x14ac:dyDescent="0.25">
      <c r="Q31949" s="8"/>
    </row>
    <row r="31950" spans="17:17" x14ac:dyDescent="0.25">
      <c r="Q31950" s="8"/>
    </row>
    <row r="31951" spans="17:17" x14ac:dyDescent="0.25">
      <c r="Q31951" s="8"/>
    </row>
    <row r="31952" spans="17:17" x14ac:dyDescent="0.25">
      <c r="Q31952" s="8"/>
    </row>
    <row r="31953" spans="17:17" x14ac:dyDescent="0.25">
      <c r="Q31953" s="8"/>
    </row>
    <row r="31954" spans="17:17" x14ac:dyDescent="0.25">
      <c r="Q31954" s="8"/>
    </row>
    <row r="31955" spans="17:17" x14ac:dyDescent="0.25">
      <c r="Q31955" s="8"/>
    </row>
    <row r="31956" spans="17:17" x14ac:dyDescent="0.25">
      <c r="Q31956" s="8"/>
    </row>
    <row r="31957" spans="17:17" x14ac:dyDescent="0.25">
      <c r="Q31957" s="8"/>
    </row>
    <row r="31958" spans="17:17" x14ac:dyDescent="0.25">
      <c r="Q31958" s="8"/>
    </row>
    <row r="31959" spans="17:17" x14ac:dyDescent="0.25">
      <c r="Q31959" s="8"/>
    </row>
    <row r="31960" spans="17:17" x14ac:dyDescent="0.25">
      <c r="Q31960" s="8"/>
    </row>
    <row r="31961" spans="17:17" x14ac:dyDescent="0.25">
      <c r="Q31961" s="8"/>
    </row>
    <row r="31962" spans="17:17" x14ac:dyDescent="0.25">
      <c r="Q31962" s="8"/>
    </row>
    <row r="31963" spans="17:17" x14ac:dyDescent="0.25">
      <c r="Q31963" s="8"/>
    </row>
    <row r="31964" spans="17:17" x14ac:dyDescent="0.25">
      <c r="Q31964" s="8"/>
    </row>
    <row r="31965" spans="17:17" x14ac:dyDescent="0.25">
      <c r="Q31965" s="8"/>
    </row>
    <row r="31966" spans="17:17" x14ac:dyDescent="0.25">
      <c r="Q31966" s="8"/>
    </row>
    <row r="31967" spans="17:17" x14ac:dyDescent="0.25">
      <c r="Q31967" s="8"/>
    </row>
    <row r="31968" spans="17:17" x14ac:dyDescent="0.25">
      <c r="Q31968" s="8"/>
    </row>
    <row r="31969" spans="17:17" x14ac:dyDescent="0.25">
      <c r="Q31969" s="8"/>
    </row>
    <row r="31970" spans="17:17" x14ac:dyDescent="0.25">
      <c r="Q31970" s="8"/>
    </row>
    <row r="31971" spans="17:17" x14ac:dyDescent="0.25">
      <c r="Q31971" s="8"/>
    </row>
    <row r="31972" spans="17:17" x14ac:dyDescent="0.25">
      <c r="Q31972" s="8"/>
    </row>
    <row r="31973" spans="17:17" x14ac:dyDescent="0.25">
      <c r="Q31973" s="8"/>
    </row>
    <row r="31974" spans="17:17" x14ac:dyDescent="0.25">
      <c r="Q31974" s="8"/>
    </row>
    <row r="31975" spans="17:17" x14ac:dyDescent="0.25">
      <c r="Q31975" s="8"/>
    </row>
    <row r="31976" spans="17:17" x14ac:dyDescent="0.25">
      <c r="Q31976" s="8"/>
    </row>
    <row r="31977" spans="17:17" x14ac:dyDescent="0.25">
      <c r="Q31977" s="8"/>
    </row>
    <row r="31978" spans="17:17" x14ac:dyDescent="0.25">
      <c r="Q31978" s="8"/>
    </row>
    <row r="31979" spans="17:17" x14ac:dyDescent="0.25">
      <c r="Q31979" s="8"/>
    </row>
    <row r="31980" spans="17:17" x14ac:dyDescent="0.25">
      <c r="Q31980" s="8"/>
    </row>
    <row r="31981" spans="17:17" x14ac:dyDescent="0.25">
      <c r="Q31981" s="8"/>
    </row>
    <row r="31982" spans="17:17" x14ac:dyDescent="0.25">
      <c r="Q31982" s="8"/>
    </row>
    <row r="31983" spans="17:17" x14ac:dyDescent="0.25">
      <c r="Q31983" s="8"/>
    </row>
    <row r="31984" spans="17:17" x14ac:dyDescent="0.25">
      <c r="Q31984" s="8"/>
    </row>
    <row r="31985" spans="17:17" x14ac:dyDescent="0.25">
      <c r="Q31985" s="8"/>
    </row>
    <row r="31986" spans="17:17" x14ac:dyDescent="0.25">
      <c r="Q31986" s="8"/>
    </row>
    <row r="31987" spans="17:17" x14ac:dyDescent="0.25">
      <c r="Q31987" s="8"/>
    </row>
    <row r="31988" spans="17:17" x14ac:dyDescent="0.25">
      <c r="Q31988" s="8"/>
    </row>
    <row r="31989" spans="17:17" x14ac:dyDescent="0.25">
      <c r="Q31989" s="8"/>
    </row>
    <row r="31990" spans="17:17" x14ac:dyDescent="0.25">
      <c r="Q31990" s="8"/>
    </row>
    <row r="31991" spans="17:17" x14ac:dyDescent="0.25">
      <c r="Q31991" s="8"/>
    </row>
    <row r="31992" spans="17:17" x14ac:dyDescent="0.25">
      <c r="Q31992" s="8"/>
    </row>
    <row r="31993" spans="17:17" x14ac:dyDescent="0.25">
      <c r="Q31993" s="8"/>
    </row>
    <row r="31994" spans="17:17" x14ac:dyDescent="0.25">
      <c r="Q31994" s="8"/>
    </row>
    <row r="31995" spans="17:17" x14ac:dyDescent="0.25">
      <c r="Q31995" s="8"/>
    </row>
    <row r="31996" spans="17:17" x14ac:dyDescent="0.25">
      <c r="Q31996" s="8"/>
    </row>
    <row r="31997" spans="17:17" x14ac:dyDescent="0.25">
      <c r="Q31997" s="8"/>
    </row>
    <row r="31998" spans="17:17" x14ac:dyDescent="0.25">
      <c r="Q31998" s="8"/>
    </row>
    <row r="31999" spans="17:17" x14ac:dyDescent="0.25">
      <c r="Q31999" s="8"/>
    </row>
    <row r="32000" spans="17:17" x14ac:dyDescent="0.25">
      <c r="Q32000" s="8"/>
    </row>
    <row r="32001" spans="17:17" x14ac:dyDescent="0.25">
      <c r="Q32001" s="8"/>
    </row>
    <row r="32002" spans="17:17" x14ac:dyDescent="0.25">
      <c r="Q32002" s="8"/>
    </row>
    <row r="32003" spans="17:17" x14ac:dyDescent="0.25">
      <c r="Q32003" s="8"/>
    </row>
    <row r="32004" spans="17:17" x14ac:dyDescent="0.25">
      <c r="Q32004" s="8"/>
    </row>
    <row r="32005" spans="17:17" x14ac:dyDescent="0.25">
      <c r="Q32005" s="8"/>
    </row>
    <row r="32006" spans="17:17" x14ac:dyDescent="0.25">
      <c r="Q32006" s="8"/>
    </row>
    <row r="32007" spans="17:17" x14ac:dyDescent="0.25">
      <c r="Q32007" s="8"/>
    </row>
    <row r="32008" spans="17:17" x14ac:dyDescent="0.25">
      <c r="Q32008" s="8"/>
    </row>
    <row r="32009" spans="17:17" x14ac:dyDescent="0.25">
      <c r="Q32009" s="8"/>
    </row>
    <row r="32010" spans="17:17" x14ac:dyDescent="0.25">
      <c r="Q32010" s="8"/>
    </row>
    <row r="32011" spans="17:17" x14ac:dyDescent="0.25">
      <c r="Q32011" s="8"/>
    </row>
    <row r="32012" spans="17:17" x14ac:dyDescent="0.25">
      <c r="Q32012" s="8"/>
    </row>
    <row r="32013" spans="17:17" x14ac:dyDescent="0.25">
      <c r="Q32013" s="8"/>
    </row>
    <row r="32014" spans="17:17" x14ac:dyDescent="0.25">
      <c r="Q32014" s="8"/>
    </row>
    <row r="32015" spans="17:17" x14ac:dyDescent="0.25">
      <c r="Q32015" s="8"/>
    </row>
    <row r="32016" spans="17:17" x14ac:dyDescent="0.25">
      <c r="Q32016" s="8"/>
    </row>
    <row r="32017" spans="17:17" x14ac:dyDescent="0.25">
      <c r="Q32017" s="8"/>
    </row>
    <row r="32018" spans="17:17" x14ac:dyDescent="0.25">
      <c r="Q32018" s="8"/>
    </row>
    <row r="32019" spans="17:17" x14ac:dyDescent="0.25">
      <c r="Q32019" s="8"/>
    </row>
    <row r="32020" spans="17:17" x14ac:dyDescent="0.25">
      <c r="Q32020" s="8"/>
    </row>
    <row r="32021" spans="17:17" x14ac:dyDescent="0.25">
      <c r="Q32021" s="8"/>
    </row>
    <row r="32022" spans="17:17" x14ac:dyDescent="0.25">
      <c r="Q32022" s="8"/>
    </row>
    <row r="32023" spans="17:17" x14ac:dyDescent="0.25">
      <c r="Q32023" s="8"/>
    </row>
    <row r="32024" spans="17:17" x14ac:dyDescent="0.25">
      <c r="Q32024" s="8"/>
    </row>
    <row r="32025" spans="17:17" x14ac:dyDescent="0.25">
      <c r="Q32025" s="8"/>
    </row>
    <row r="32026" spans="17:17" x14ac:dyDescent="0.25">
      <c r="Q32026" s="8"/>
    </row>
    <row r="32027" spans="17:17" x14ac:dyDescent="0.25">
      <c r="Q32027" s="8"/>
    </row>
    <row r="32028" spans="17:17" x14ac:dyDescent="0.25">
      <c r="Q32028" s="8"/>
    </row>
    <row r="32029" spans="17:17" x14ac:dyDescent="0.25">
      <c r="Q32029" s="8"/>
    </row>
    <row r="32030" spans="17:17" x14ac:dyDescent="0.25">
      <c r="Q32030" s="8"/>
    </row>
    <row r="32031" spans="17:17" x14ac:dyDescent="0.25">
      <c r="Q32031" s="8"/>
    </row>
    <row r="32032" spans="17:17" x14ac:dyDescent="0.25">
      <c r="Q32032" s="8"/>
    </row>
    <row r="32033" spans="17:17" x14ac:dyDescent="0.25">
      <c r="Q32033" s="8"/>
    </row>
    <row r="32034" spans="17:17" x14ac:dyDescent="0.25">
      <c r="Q32034" s="8"/>
    </row>
    <row r="32035" spans="17:17" x14ac:dyDescent="0.25">
      <c r="Q32035" s="8"/>
    </row>
    <row r="32036" spans="17:17" x14ac:dyDescent="0.25">
      <c r="Q32036" s="8"/>
    </row>
    <row r="32037" spans="17:17" x14ac:dyDescent="0.25">
      <c r="Q32037" s="8"/>
    </row>
    <row r="32038" spans="17:17" x14ac:dyDescent="0.25">
      <c r="Q32038" s="8"/>
    </row>
    <row r="32039" spans="17:17" x14ac:dyDescent="0.25">
      <c r="Q32039" s="8"/>
    </row>
    <row r="32040" spans="17:17" x14ac:dyDescent="0.25">
      <c r="Q32040" s="8"/>
    </row>
    <row r="32041" spans="17:17" x14ac:dyDescent="0.25">
      <c r="Q32041" s="8"/>
    </row>
    <row r="32042" spans="17:17" x14ac:dyDescent="0.25">
      <c r="Q32042" s="8"/>
    </row>
    <row r="32043" spans="17:17" x14ac:dyDescent="0.25">
      <c r="Q32043" s="8"/>
    </row>
    <row r="32044" spans="17:17" x14ac:dyDescent="0.25">
      <c r="Q32044" s="8"/>
    </row>
    <row r="32045" spans="17:17" x14ac:dyDescent="0.25">
      <c r="Q32045" s="8"/>
    </row>
    <row r="32046" spans="17:17" x14ac:dyDescent="0.25">
      <c r="Q32046" s="8"/>
    </row>
    <row r="32047" spans="17:17" x14ac:dyDescent="0.25">
      <c r="Q32047" s="8"/>
    </row>
    <row r="32048" spans="17:17" x14ac:dyDescent="0.25">
      <c r="Q32048" s="8"/>
    </row>
    <row r="32049" spans="17:17" x14ac:dyDescent="0.25">
      <c r="Q32049" s="8"/>
    </row>
    <row r="32050" spans="17:17" x14ac:dyDescent="0.25">
      <c r="Q32050" s="8"/>
    </row>
    <row r="32051" spans="17:17" x14ac:dyDescent="0.25">
      <c r="Q32051" s="8"/>
    </row>
    <row r="32052" spans="17:17" x14ac:dyDescent="0.25">
      <c r="Q32052" s="8"/>
    </row>
    <row r="32053" spans="17:17" x14ac:dyDescent="0.25">
      <c r="Q32053" s="8"/>
    </row>
    <row r="32054" spans="17:17" x14ac:dyDescent="0.25">
      <c r="Q32054" s="8"/>
    </row>
    <row r="32055" spans="17:17" x14ac:dyDescent="0.25">
      <c r="Q32055" s="8"/>
    </row>
    <row r="32056" spans="17:17" x14ac:dyDescent="0.25">
      <c r="Q32056" s="8"/>
    </row>
    <row r="32057" spans="17:17" x14ac:dyDescent="0.25">
      <c r="Q32057" s="8"/>
    </row>
    <row r="32058" spans="17:17" x14ac:dyDescent="0.25">
      <c r="Q32058" s="8"/>
    </row>
    <row r="32059" spans="17:17" x14ac:dyDescent="0.25">
      <c r="Q32059" s="8"/>
    </row>
    <row r="32060" spans="17:17" x14ac:dyDescent="0.25">
      <c r="Q32060" s="8"/>
    </row>
    <row r="32061" spans="17:17" x14ac:dyDescent="0.25">
      <c r="Q32061" s="8"/>
    </row>
    <row r="32062" spans="17:17" x14ac:dyDescent="0.25">
      <c r="Q32062" s="8"/>
    </row>
    <row r="32063" spans="17:17" x14ac:dyDescent="0.25">
      <c r="Q32063" s="8"/>
    </row>
    <row r="32064" spans="17:17" x14ac:dyDescent="0.25">
      <c r="Q32064" s="8"/>
    </row>
    <row r="32065" spans="17:17" x14ac:dyDescent="0.25">
      <c r="Q32065" s="8"/>
    </row>
    <row r="32066" spans="17:17" x14ac:dyDescent="0.25">
      <c r="Q32066" s="8"/>
    </row>
    <row r="32067" spans="17:17" x14ac:dyDescent="0.25">
      <c r="Q32067" s="8"/>
    </row>
    <row r="32068" spans="17:17" x14ac:dyDescent="0.25">
      <c r="Q32068" s="8"/>
    </row>
    <row r="32069" spans="17:17" x14ac:dyDescent="0.25">
      <c r="Q32069" s="8"/>
    </row>
    <row r="32070" spans="17:17" x14ac:dyDescent="0.25">
      <c r="Q32070" s="8"/>
    </row>
    <row r="32071" spans="17:17" x14ac:dyDescent="0.25">
      <c r="Q32071" s="8"/>
    </row>
    <row r="32072" spans="17:17" x14ac:dyDescent="0.25">
      <c r="Q32072" s="8"/>
    </row>
    <row r="32073" spans="17:17" x14ac:dyDescent="0.25">
      <c r="Q32073" s="8"/>
    </row>
    <row r="32074" spans="17:17" x14ac:dyDescent="0.25">
      <c r="Q32074" s="8"/>
    </row>
    <row r="32075" spans="17:17" x14ac:dyDescent="0.25">
      <c r="Q32075" s="8"/>
    </row>
    <row r="32076" spans="17:17" x14ac:dyDescent="0.25">
      <c r="Q32076" s="8"/>
    </row>
    <row r="32077" spans="17:17" x14ac:dyDescent="0.25">
      <c r="Q32077" s="8"/>
    </row>
    <row r="32078" spans="17:17" x14ac:dyDescent="0.25">
      <c r="Q32078" s="8"/>
    </row>
    <row r="32079" spans="17:17" x14ac:dyDescent="0.25">
      <c r="Q32079" s="8"/>
    </row>
    <row r="32080" spans="17:17" x14ac:dyDescent="0.25">
      <c r="Q32080" s="8"/>
    </row>
    <row r="32081" spans="17:17" x14ac:dyDescent="0.25">
      <c r="Q32081" s="8"/>
    </row>
    <row r="32082" spans="17:17" x14ac:dyDescent="0.25">
      <c r="Q32082" s="8"/>
    </row>
    <row r="32083" spans="17:17" x14ac:dyDescent="0.25">
      <c r="Q32083" s="8"/>
    </row>
    <row r="32084" spans="17:17" x14ac:dyDescent="0.25">
      <c r="Q32084" s="8"/>
    </row>
    <row r="32085" spans="17:17" x14ac:dyDescent="0.25">
      <c r="Q32085" s="8"/>
    </row>
    <row r="32086" spans="17:17" x14ac:dyDescent="0.25">
      <c r="Q32086" s="8"/>
    </row>
    <row r="32087" spans="17:17" x14ac:dyDescent="0.25">
      <c r="Q32087" s="8"/>
    </row>
    <row r="32088" spans="17:17" x14ac:dyDescent="0.25">
      <c r="Q32088" s="8"/>
    </row>
    <row r="32089" spans="17:17" x14ac:dyDescent="0.25">
      <c r="Q32089" s="8"/>
    </row>
    <row r="32090" spans="17:17" x14ac:dyDescent="0.25">
      <c r="Q32090" s="8"/>
    </row>
    <row r="32091" spans="17:17" x14ac:dyDescent="0.25">
      <c r="Q32091" s="8"/>
    </row>
    <row r="32092" spans="17:17" x14ac:dyDescent="0.25">
      <c r="Q32092" s="8"/>
    </row>
    <row r="32093" spans="17:17" x14ac:dyDescent="0.25">
      <c r="Q32093" s="8"/>
    </row>
    <row r="32094" spans="17:17" x14ac:dyDescent="0.25">
      <c r="Q32094" s="8"/>
    </row>
    <row r="32095" spans="17:17" x14ac:dyDescent="0.25">
      <c r="Q32095" s="8"/>
    </row>
    <row r="32096" spans="17:17" x14ac:dyDescent="0.25">
      <c r="Q32096" s="8"/>
    </row>
    <row r="32097" spans="17:17" x14ac:dyDescent="0.25">
      <c r="Q32097" s="8"/>
    </row>
    <row r="32098" spans="17:17" x14ac:dyDescent="0.25">
      <c r="Q32098" s="8"/>
    </row>
    <row r="32099" spans="17:17" x14ac:dyDescent="0.25">
      <c r="Q32099" s="8"/>
    </row>
    <row r="32100" spans="17:17" x14ac:dyDescent="0.25">
      <c r="Q32100" s="8"/>
    </row>
    <row r="32101" spans="17:17" x14ac:dyDescent="0.25">
      <c r="Q32101" s="8"/>
    </row>
    <row r="32102" spans="17:17" x14ac:dyDescent="0.25">
      <c r="Q32102" s="8"/>
    </row>
    <row r="32103" spans="17:17" x14ac:dyDescent="0.25">
      <c r="Q32103" s="8"/>
    </row>
    <row r="32104" spans="17:17" x14ac:dyDescent="0.25">
      <c r="Q32104" s="8"/>
    </row>
    <row r="32105" spans="17:17" x14ac:dyDescent="0.25">
      <c r="Q32105" s="8"/>
    </row>
    <row r="32106" spans="17:17" x14ac:dyDescent="0.25">
      <c r="Q32106" s="8"/>
    </row>
    <row r="32107" spans="17:17" x14ac:dyDescent="0.25">
      <c r="Q32107" s="8"/>
    </row>
    <row r="32108" spans="17:17" x14ac:dyDescent="0.25">
      <c r="Q32108" s="8"/>
    </row>
    <row r="32109" spans="17:17" x14ac:dyDescent="0.25">
      <c r="Q32109" s="8"/>
    </row>
    <row r="32110" spans="17:17" x14ac:dyDescent="0.25">
      <c r="Q32110" s="8"/>
    </row>
    <row r="32111" spans="17:17" x14ac:dyDescent="0.25">
      <c r="Q32111" s="8"/>
    </row>
    <row r="32112" spans="17:17" x14ac:dyDescent="0.25">
      <c r="Q32112" s="8"/>
    </row>
    <row r="32113" spans="17:17" x14ac:dyDescent="0.25">
      <c r="Q32113" s="8"/>
    </row>
    <row r="32114" spans="17:17" x14ac:dyDescent="0.25">
      <c r="Q32114" s="8"/>
    </row>
    <row r="32115" spans="17:17" x14ac:dyDescent="0.25">
      <c r="Q32115" s="8"/>
    </row>
    <row r="32116" spans="17:17" x14ac:dyDescent="0.25">
      <c r="Q32116" s="8"/>
    </row>
    <row r="32117" spans="17:17" x14ac:dyDescent="0.25">
      <c r="Q32117" s="8"/>
    </row>
    <row r="32118" spans="17:17" x14ac:dyDescent="0.25">
      <c r="Q32118" s="8"/>
    </row>
    <row r="32119" spans="17:17" x14ac:dyDescent="0.25">
      <c r="Q32119" s="8"/>
    </row>
    <row r="32120" spans="17:17" x14ac:dyDescent="0.25">
      <c r="Q32120" s="8"/>
    </row>
    <row r="32121" spans="17:17" x14ac:dyDescent="0.25">
      <c r="Q32121" s="8"/>
    </row>
    <row r="32122" spans="17:17" x14ac:dyDescent="0.25">
      <c r="Q32122" s="8"/>
    </row>
    <row r="32123" spans="17:17" x14ac:dyDescent="0.25">
      <c r="Q32123" s="8"/>
    </row>
    <row r="32124" spans="17:17" x14ac:dyDescent="0.25">
      <c r="Q32124" s="8"/>
    </row>
    <row r="32125" spans="17:17" x14ac:dyDescent="0.25">
      <c r="Q32125" s="8"/>
    </row>
    <row r="32126" spans="17:17" x14ac:dyDescent="0.25">
      <c r="Q32126" s="8"/>
    </row>
    <row r="32127" spans="17:17" x14ac:dyDescent="0.25">
      <c r="Q32127" s="8"/>
    </row>
    <row r="32128" spans="17:17" x14ac:dyDescent="0.25">
      <c r="Q32128" s="8"/>
    </row>
    <row r="32129" spans="17:17" x14ac:dyDescent="0.25">
      <c r="Q32129" s="8"/>
    </row>
    <row r="32130" spans="17:17" x14ac:dyDescent="0.25">
      <c r="Q32130" s="8"/>
    </row>
    <row r="32131" spans="17:17" x14ac:dyDescent="0.25">
      <c r="Q32131" s="8"/>
    </row>
    <row r="32132" spans="17:17" x14ac:dyDescent="0.25">
      <c r="Q32132" s="8"/>
    </row>
    <row r="32133" spans="17:17" x14ac:dyDescent="0.25">
      <c r="Q32133" s="8"/>
    </row>
    <row r="32134" spans="17:17" x14ac:dyDescent="0.25">
      <c r="Q32134" s="8"/>
    </row>
    <row r="32135" spans="17:17" x14ac:dyDescent="0.25">
      <c r="Q32135" s="8"/>
    </row>
    <row r="32136" spans="17:17" x14ac:dyDescent="0.25">
      <c r="Q32136" s="8"/>
    </row>
    <row r="32137" spans="17:17" x14ac:dyDescent="0.25">
      <c r="Q32137" s="8"/>
    </row>
    <row r="32138" spans="17:17" x14ac:dyDescent="0.25">
      <c r="Q32138" s="8"/>
    </row>
    <row r="32139" spans="17:17" x14ac:dyDescent="0.25">
      <c r="Q32139" s="8"/>
    </row>
    <row r="32140" spans="17:17" x14ac:dyDescent="0.25">
      <c r="Q32140" s="8"/>
    </row>
    <row r="32141" spans="17:17" x14ac:dyDescent="0.25">
      <c r="Q32141" s="8"/>
    </row>
    <row r="32142" spans="17:17" x14ac:dyDescent="0.25">
      <c r="Q32142" s="8"/>
    </row>
    <row r="32143" spans="17:17" x14ac:dyDescent="0.25">
      <c r="Q32143" s="8"/>
    </row>
    <row r="32144" spans="17:17" x14ac:dyDescent="0.25">
      <c r="Q32144" s="8"/>
    </row>
    <row r="32145" spans="17:17" x14ac:dyDescent="0.25">
      <c r="Q32145" s="8"/>
    </row>
    <row r="32146" spans="17:17" x14ac:dyDescent="0.25">
      <c r="Q32146" s="8"/>
    </row>
    <row r="32147" spans="17:17" x14ac:dyDescent="0.25">
      <c r="Q32147" s="8"/>
    </row>
    <row r="32148" spans="17:17" x14ac:dyDescent="0.25">
      <c r="Q32148" s="8"/>
    </row>
    <row r="32149" spans="17:17" x14ac:dyDescent="0.25">
      <c r="Q32149" s="8"/>
    </row>
    <row r="32150" spans="17:17" x14ac:dyDescent="0.25">
      <c r="Q32150" s="8"/>
    </row>
    <row r="32151" spans="17:17" x14ac:dyDescent="0.25">
      <c r="Q32151" s="8"/>
    </row>
    <row r="32152" spans="17:17" x14ac:dyDescent="0.25">
      <c r="Q32152" s="8"/>
    </row>
    <row r="32153" spans="17:17" x14ac:dyDescent="0.25">
      <c r="Q32153" s="8"/>
    </row>
    <row r="32154" spans="17:17" x14ac:dyDescent="0.25">
      <c r="Q32154" s="8"/>
    </row>
    <row r="32155" spans="17:17" x14ac:dyDescent="0.25">
      <c r="Q32155" s="8"/>
    </row>
    <row r="32156" spans="17:17" x14ac:dyDescent="0.25">
      <c r="Q32156" s="8"/>
    </row>
    <row r="32157" spans="17:17" x14ac:dyDescent="0.25">
      <c r="Q32157" s="8"/>
    </row>
    <row r="32158" spans="17:17" x14ac:dyDescent="0.25">
      <c r="Q32158" s="8"/>
    </row>
    <row r="32159" spans="17:17" x14ac:dyDescent="0.25">
      <c r="Q32159" s="8"/>
    </row>
    <row r="32160" spans="17:17" x14ac:dyDescent="0.25">
      <c r="Q32160" s="8"/>
    </row>
    <row r="32161" spans="17:17" x14ac:dyDescent="0.25">
      <c r="Q32161" s="8"/>
    </row>
    <row r="32162" spans="17:17" x14ac:dyDescent="0.25">
      <c r="Q32162" s="8"/>
    </row>
    <row r="32163" spans="17:17" x14ac:dyDescent="0.25">
      <c r="Q32163" s="8"/>
    </row>
    <row r="32164" spans="17:17" x14ac:dyDescent="0.25">
      <c r="Q32164" s="8"/>
    </row>
    <row r="32165" spans="17:17" x14ac:dyDescent="0.25">
      <c r="Q32165" s="8"/>
    </row>
    <row r="32166" spans="17:17" x14ac:dyDescent="0.25">
      <c r="Q32166" s="8"/>
    </row>
    <row r="32167" spans="17:17" x14ac:dyDescent="0.25">
      <c r="Q32167" s="8"/>
    </row>
    <row r="32168" spans="17:17" x14ac:dyDescent="0.25">
      <c r="Q32168" s="8"/>
    </row>
    <row r="32169" spans="17:17" x14ac:dyDescent="0.25">
      <c r="Q32169" s="8"/>
    </row>
    <row r="32170" spans="17:17" x14ac:dyDescent="0.25">
      <c r="Q32170" s="8"/>
    </row>
    <row r="32171" spans="17:17" x14ac:dyDescent="0.25">
      <c r="Q32171" s="8"/>
    </row>
    <row r="32172" spans="17:17" x14ac:dyDescent="0.25">
      <c r="Q32172" s="8"/>
    </row>
    <row r="32173" spans="17:17" x14ac:dyDescent="0.25">
      <c r="Q32173" s="8"/>
    </row>
    <row r="32174" spans="17:17" x14ac:dyDescent="0.25">
      <c r="Q32174" s="8"/>
    </row>
    <row r="32175" spans="17:17" x14ac:dyDescent="0.25">
      <c r="Q32175" s="8"/>
    </row>
    <row r="32176" spans="17:17" x14ac:dyDescent="0.25">
      <c r="Q32176" s="8"/>
    </row>
    <row r="32177" spans="17:17" x14ac:dyDescent="0.25">
      <c r="Q32177" s="8"/>
    </row>
    <row r="32178" spans="17:17" x14ac:dyDescent="0.25">
      <c r="Q32178" s="8"/>
    </row>
    <row r="32179" spans="17:17" x14ac:dyDescent="0.25">
      <c r="Q32179" s="8"/>
    </row>
    <row r="32180" spans="17:17" x14ac:dyDescent="0.25">
      <c r="Q32180" s="8"/>
    </row>
    <row r="32181" spans="17:17" x14ac:dyDescent="0.25">
      <c r="Q32181" s="8"/>
    </row>
    <row r="32182" spans="17:17" x14ac:dyDescent="0.25">
      <c r="Q32182" s="8"/>
    </row>
    <row r="32183" spans="17:17" x14ac:dyDescent="0.25">
      <c r="Q32183" s="8"/>
    </row>
    <row r="32184" spans="17:17" x14ac:dyDescent="0.25">
      <c r="Q32184" s="8"/>
    </row>
    <row r="32185" spans="17:17" x14ac:dyDescent="0.25">
      <c r="Q32185" s="8"/>
    </row>
    <row r="32186" spans="17:17" x14ac:dyDescent="0.25">
      <c r="Q32186" s="8"/>
    </row>
    <row r="32187" spans="17:17" x14ac:dyDescent="0.25">
      <c r="Q32187" s="8"/>
    </row>
    <row r="32188" spans="17:17" x14ac:dyDescent="0.25">
      <c r="Q32188" s="8"/>
    </row>
    <row r="32189" spans="17:17" x14ac:dyDescent="0.25">
      <c r="Q32189" s="8"/>
    </row>
    <row r="32190" spans="17:17" x14ac:dyDescent="0.25">
      <c r="Q32190" s="8"/>
    </row>
    <row r="32191" spans="17:17" x14ac:dyDescent="0.25">
      <c r="Q32191" s="8"/>
    </row>
    <row r="32192" spans="17:17" x14ac:dyDescent="0.25">
      <c r="Q32192" s="8"/>
    </row>
    <row r="32193" spans="17:17" x14ac:dyDescent="0.25">
      <c r="Q32193" s="8"/>
    </row>
    <row r="32194" spans="17:17" x14ac:dyDescent="0.25">
      <c r="Q32194" s="8"/>
    </row>
    <row r="32195" spans="17:17" x14ac:dyDescent="0.25">
      <c r="Q32195" s="8"/>
    </row>
    <row r="32196" spans="17:17" x14ac:dyDescent="0.25">
      <c r="Q32196" s="8"/>
    </row>
    <row r="32197" spans="17:17" x14ac:dyDescent="0.25">
      <c r="Q32197" s="8"/>
    </row>
    <row r="32198" spans="17:17" x14ac:dyDescent="0.25">
      <c r="Q32198" s="8"/>
    </row>
    <row r="32199" spans="17:17" x14ac:dyDescent="0.25">
      <c r="Q32199" s="8"/>
    </row>
    <row r="32200" spans="17:17" x14ac:dyDescent="0.25">
      <c r="Q32200" s="8"/>
    </row>
    <row r="32201" spans="17:17" x14ac:dyDescent="0.25">
      <c r="Q32201" s="8"/>
    </row>
    <row r="32202" spans="17:17" x14ac:dyDescent="0.25">
      <c r="Q32202" s="8"/>
    </row>
    <row r="32203" spans="17:17" x14ac:dyDescent="0.25">
      <c r="Q32203" s="8"/>
    </row>
    <row r="32204" spans="17:17" x14ac:dyDescent="0.25">
      <c r="Q32204" s="8"/>
    </row>
    <row r="32205" spans="17:17" x14ac:dyDescent="0.25">
      <c r="Q32205" s="8"/>
    </row>
    <row r="32206" spans="17:17" x14ac:dyDescent="0.25">
      <c r="Q32206" s="8"/>
    </row>
    <row r="32207" spans="17:17" x14ac:dyDescent="0.25">
      <c r="Q32207" s="8"/>
    </row>
    <row r="32208" spans="17:17" x14ac:dyDescent="0.25">
      <c r="Q32208" s="8"/>
    </row>
    <row r="32209" spans="17:17" x14ac:dyDescent="0.25">
      <c r="Q32209" s="8"/>
    </row>
    <row r="32210" spans="17:17" x14ac:dyDescent="0.25">
      <c r="Q32210" s="8"/>
    </row>
    <row r="32211" spans="17:17" x14ac:dyDescent="0.25">
      <c r="Q32211" s="8"/>
    </row>
    <row r="32212" spans="17:17" x14ac:dyDescent="0.25">
      <c r="Q32212" s="8"/>
    </row>
    <row r="32213" spans="17:17" x14ac:dyDescent="0.25">
      <c r="Q32213" s="8"/>
    </row>
    <row r="32214" spans="17:17" x14ac:dyDescent="0.25">
      <c r="Q32214" s="8"/>
    </row>
    <row r="32215" spans="17:17" x14ac:dyDescent="0.25">
      <c r="Q32215" s="8"/>
    </row>
    <row r="32216" spans="17:17" x14ac:dyDescent="0.25">
      <c r="Q32216" s="8"/>
    </row>
    <row r="32217" spans="17:17" x14ac:dyDescent="0.25">
      <c r="Q32217" s="8"/>
    </row>
    <row r="32218" spans="17:17" x14ac:dyDescent="0.25">
      <c r="Q32218" s="8"/>
    </row>
    <row r="32219" spans="17:17" x14ac:dyDescent="0.25">
      <c r="Q32219" s="8"/>
    </row>
    <row r="32220" spans="17:17" x14ac:dyDescent="0.25">
      <c r="Q32220" s="8"/>
    </row>
    <row r="32221" spans="17:17" x14ac:dyDescent="0.25">
      <c r="Q32221" s="8"/>
    </row>
    <row r="32222" spans="17:17" x14ac:dyDescent="0.25">
      <c r="Q32222" s="8"/>
    </row>
    <row r="32223" spans="17:17" x14ac:dyDescent="0.25">
      <c r="Q32223" s="8"/>
    </row>
    <row r="32224" spans="17:17" x14ac:dyDescent="0.25">
      <c r="Q32224" s="8"/>
    </row>
    <row r="32225" spans="17:17" x14ac:dyDescent="0.25">
      <c r="Q32225" s="8"/>
    </row>
    <row r="32226" spans="17:17" x14ac:dyDescent="0.25">
      <c r="Q32226" s="8"/>
    </row>
    <row r="32227" spans="17:17" x14ac:dyDescent="0.25">
      <c r="Q32227" s="8"/>
    </row>
    <row r="32228" spans="17:17" x14ac:dyDescent="0.25">
      <c r="Q32228" s="8"/>
    </row>
    <row r="32229" spans="17:17" x14ac:dyDescent="0.25">
      <c r="Q32229" s="8"/>
    </row>
    <row r="32230" spans="17:17" x14ac:dyDescent="0.25">
      <c r="Q32230" s="8"/>
    </row>
    <row r="32231" spans="17:17" x14ac:dyDescent="0.25">
      <c r="Q32231" s="8"/>
    </row>
    <row r="32232" spans="17:17" x14ac:dyDescent="0.25">
      <c r="Q32232" s="8"/>
    </row>
    <row r="32233" spans="17:17" x14ac:dyDescent="0.25">
      <c r="Q32233" s="8"/>
    </row>
    <row r="32234" spans="17:17" x14ac:dyDescent="0.25">
      <c r="Q32234" s="8"/>
    </row>
    <row r="32235" spans="17:17" x14ac:dyDescent="0.25">
      <c r="Q32235" s="8"/>
    </row>
    <row r="32236" spans="17:17" x14ac:dyDescent="0.25">
      <c r="Q32236" s="8"/>
    </row>
    <row r="32237" spans="17:17" x14ac:dyDescent="0.25">
      <c r="Q32237" s="8"/>
    </row>
    <row r="32238" spans="17:17" x14ac:dyDescent="0.25">
      <c r="Q32238" s="8"/>
    </row>
    <row r="32239" spans="17:17" x14ac:dyDescent="0.25">
      <c r="Q32239" s="8"/>
    </row>
    <row r="32240" spans="17:17" x14ac:dyDescent="0.25">
      <c r="Q32240" s="8"/>
    </row>
    <row r="32241" spans="17:17" x14ac:dyDescent="0.25">
      <c r="Q32241" s="8"/>
    </row>
    <row r="32242" spans="17:17" x14ac:dyDescent="0.25">
      <c r="Q32242" s="8"/>
    </row>
    <row r="32243" spans="17:17" x14ac:dyDescent="0.25">
      <c r="Q32243" s="8"/>
    </row>
    <row r="32244" spans="17:17" x14ac:dyDescent="0.25">
      <c r="Q32244" s="8"/>
    </row>
    <row r="32245" spans="17:17" x14ac:dyDescent="0.25">
      <c r="Q32245" s="8"/>
    </row>
    <row r="32246" spans="17:17" x14ac:dyDescent="0.25">
      <c r="Q32246" s="8"/>
    </row>
    <row r="32247" spans="17:17" x14ac:dyDescent="0.25">
      <c r="Q32247" s="8"/>
    </row>
    <row r="32248" spans="17:17" x14ac:dyDescent="0.25">
      <c r="Q32248" s="8"/>
    </row>
    <row r="32249" spans="17:17" x14ac:dyDescent="0.25">
      <c r="Q32249" s="8"/>
    </row>
    <row r="32250" spans="17:17" x14ac:dyDescent="0.25">
      <c r="Q32250" s="8"/>
    </row>
    <row r="32251" spans="17:17" x14ac:dyDescent="0.25">
      <c r="Q32251" s="8"/>
    </row>
    <row r="32252" spans="17:17" x14ac:dyDescent="0.25">
      <c r="Q32252" s="8"/>
    </row>
    <row r="32253" spans="17:17" x14ac:dyDescent="0.25">
      <c r="Q32253" s="8"/>
    </row>
    <row r="32254" spans="17:17" x14ac:dyDescent="0.25">
      <c r="Q32254" s="8"/>
    </row>
    <row r="32255" spans="17:17" x14ac:dyDescent="0.25">
      <c r="Q32255" s="8"/>
    </row>
    <row r="32256" spans="17:17" x14ac:dyDescent="0.25">
      <c r="Q32256" s="8"/>
    </row>
    <row r="32257" spans="17:17" x14ac:dyDescent="0.25">
      <c r="Q32257" s="8"/>
    </row>
    <row r="32258" spans="17:17" x14ac:dyDescent="0.25">
      <c r="Q32258" s="8"/>
    </row>
    <row r="32259" spans="17:17" x14ac:dyDescent="0.25">
      <c r="Q32259" s="8"/>
    </row>
    <row r="32260" spans="17:17" x14ac:dyDescent="0.25">
      <c r="Q32260" s="8"/>
    </row>
    <row r="32261" spans="17:17" x14ac:dyDescent="0.25">
      <c r="Q32261" s="8"/>
    </row>
    <row r="32262" spans="17:17" x14ac:dyDescent="0.25">
      <c r="Q32262" s="8"/>
    </row>
    <row r="32263" spans="17:17" x14ac:dyDescent="0.25">
      <c r="Q32263" s="8"/>
    </row>
    <row r="32264" spans="17:17" x14ac:dyDescent="0.25">
      <c r="Q32264" s="8"/>
    </row>
    <row r="32265" spans="17:17" x14ac:dyDescent="0.25">
      <c r="Q32265" s="8"/>
    </row>
    <row r="32266" spans="17:17" x14ac:dyDescent="0.25">
      <c r="Q32266" s="8"/>
    </row>
    <row r="32267" spans="17:17" x14ac:dyDescent="0.25">
      <c r="Q32267" s="8"/>
    </row>
    <row r="32268" spans="17:17" x14ac:dyDescent="0.25">
      <c r="Q32268" s="8"/>
    </row>
    <row r="32269" spans="17:17" x14ac:dyDescent="0.25">
      <c r="Q32269" s="8"/>
    </row>
    <row r="32270" spans="17:17" x14ac:dyDescent="0.25">
      <c r="Q32270" s="8"/>
    </row>
    <row r="32271" spans="17:17" x14ac:dyDescent="0.25">
      <c r="Q32271" s="8"/>
    </row>
    <row r="32272" spans="17:17" x14ac:dyDescent="0.25">
      <c r="Q32272" s="8"/>
    </row>
    <row r="32273" spans="17:17" x14ac:dyDescent="0.25">
      <c r="Q32273" s="8"/>
    </row>
    <row r="32274" spans="17:17" x14ac:dyDescent="0.25">
      <c r="Q32274" s="8"/>
    </row>
    <row r="32275" spans="17:17" x14ac:dyDescent="0.25">
      <c r="Q32275" s="8"/>
    </row>
    <row r="32276" spans="17:17" x14ac:dyDescent="0.25">
      <c r="Q32276" s="8"/>
    </row>
    <row r="32277" spans="17:17" x14ac:dyDescent="0.25">
      <c r="Q32277" s="8"/>
    </row>
    <row r="32278" spans="17:17" x14ac:dyDescent="0.25">
      <c r="Q32278" s="8"/>
    </row>
    <row r="32279" spans="17:17" x14ac:dyDescent="0.25">
      <c r="Q32279" s="8"/>
    </row>
    <row r="32280" spans="17:17" x14ac:dyDescent="0.25">
      <c r="Q32280" s="8"/>
    </row>
    <row r="32281" spans="17:17" x14ac:dyDescent="0.25">
      <c r="Q32281" s="8"/>
    </row>
    <row r="32282" spans="17:17" x14ac:dyDescent="0.25">
      <c r="Q32282" s="8"/>
    </row>
    <row r="32283" spans="17:17" x14ac:dyDescent="0.25">
      <c r="Q32283" s="8"/>
    </row>
    <row r="32284" spans="17:17" x14ac:dyDescent="0.25">
      <c r="Q32284" s="8"/>
    </row>
    <row r="32285" spans="17:17" x14ac:dyDescent="0.25">
      <c r="Q32285" s="8"/>
    </row>
    <row r="32286" spans="17:17" x14ac:dyDescent="0.25">
      <c r="Q32286" s="8"/>
    </row>
    <row r="32287" spans="17:17" x14ac:dyDescent="0.25">
      <c r="Q32287" s="8"/>
    </row>
    <row r="32288" spans="17:17" x14ac:dyDescent="0.25">
      <c r="Q32288" s="8"/>
    </row>
    <row r="32289" spans="17:17" x14ac:dyDescent="0.25">
      <c r="Q32289" s="8"/>
    </row>
    <row r="32290" spans="17:17" x14ac:dyDescent="0.25">
      <c r="Q32290" s="8"/>
    </row>
    <row r="32291" spans="17:17" x14ac:dyDescent="0.25">
      <c r="Q32291" s="8"/>
    </row>
    <row r="32292" spans="17:17" x14ac:dyDescent="0.25">
      <c r="Q32292" s="8"/>
    </row>
    <row r="32293" spans="17:17" x14ac:dyDescent="0.25">
      <c r="Q32293" s="8"/>
    </row>
    <row r="32294" spans="17:17" x14ac:dyDescent="0.25">
      <c r="Q32294" s="8"/>
    </row>
    <row r="32295" spans="17:17" x14ac:dyDescent="0.25">
      <c r="Q32295" s="8"/>
    </row>
    <row r="32296" spans="17:17" x14ac:dyDescent="0.25">
      <c r="Q32296" s="8"/>
    </row>
    <row r="32297" spans="17:17" x14ac:dyDescent="0.25">
      <c r="Q32297" s="8"/>
    </row>
    <row r="32298" spans="17:17" x14ac:dyDescent="0.25">
      <c r="Q32298" s="8"/>
    </row>
    <row r="32299" spans="17:17" x14ac:dyDescent="0.25">
      <c r="Q32299" s="8"/>
    </row>
    <row r="32300" spans="17:17" x14ac:dyDescent="0.25">
      <c r="Q32300" s="8"/>
    </row>
    <row r="32301" spans="17:17" x14ac:dyDescent="0.25">
      <c r="Q32301" s="8"/>
    </row>
    <row r="32302" spans="17:17" x14ac:dyDescent="0.25">
      <c r="Q32302" s="8"/>
    </row>
    <row r="32303" spans="17:17" x14ac:dyDescent="0.25">
      <c r="Q32303" s="8"/>
    </row>
    <row r="32304" spans="17:17" x14ac:dyDescent="0.25">
      <c r="Q32304" s="8"/>
    </row>
    <row r="32305" spans="17:17" x14ac:dyDescent="0.25">
      <c r="Q32305" s="8"/>
    </row>
    <row r="32306" spans="17:17" x14ac:dyDescent="0.25">
      <c r="Q32306" s="8"/>
    </row>
    <row r="32307" spans="17:17" x14ac:dyDescent="0.25">
      <c r="Q32307" s="8"/>
    </row>
    <row r="32308" spans="17:17" x14ac:dyDescent="0.25">
      <c r="Q32308" s="8"/>
    </row>
    <row r="32309" spans="17:17" x14ac:dyDescent="0.25">
      <c r="Q32309" s="8"/>
    </row>
    <row r="32310" spans="17:17" x14ac:dyDescent="0.25">
      <c r="Q32310" s="8"/>
    </row>
    <row r="32311" spans="17:17" x14ac:dyDescent="0.25">
      <c r="Q32311" s="8"/>
    </row>
    <row r="32312" spans="17:17" x14ac:dyDescent="0.25">
      <c r="Q32312" s="8"/>
    </row>
    <row r="32313" spans="17:17" x14ac:dyDescent="0.25">
      <c r="Q32313" s="8"/>
    </row>
    <row r="32314" spans="17:17" x14ac:dyDescent="0.25">
      <c r="Q32314" s="8"/>
    </row>
    <row r="32315" spans="17:17" x14ac:dyDescent="0.25">
      <c r="Q32315" s="8"/>
    </row>
    <row r="32316" spans="17:17" x14ac:dyDescent="0.25">
      <c r="Q32316" s="8"/>
    </row>
    <row r="32317" spans="17:17" x14ac:dyDescent="0.25">
      <c r="Q32317" s="8"/>
    </row>
    <row r="32318" spans="17:17" x14ac:dyDescent="0.25">
      <c r="Q32318" s="8"/>
    </row>
    <row r="32319" spans="17:17" x14ac:dyDescent="0.25">
      <c r="Q32319" s="8"/>
    </row>
    <row r="32320" spans="17:17" x14ac:dyDescent="0.25">
      <c r="Q32320" s="8"/>
    </row>
    <row r="32321" spans="17:17" x14ac:dyDescent="0.25">
      <c r="Q32321" s="8"/>
    </row>
    <row r="32322" spans="17:17" x14ac:dyDescent="0.25">
      <c r="Q32322" s="8"/>
    </row>
    <row r="32323" spans="17:17" x14ac:dyDescent="0.25">
      <c r="Q32323" s="8"/>
    </row>
    <row r="32324" spans="17:17" x14ac:dyDescent="0.25">
      <c r="Q32324" s="8"/>
    </row>
    <row r="32325" spans="17:17" x14ac:dyDescent="0.25">
      <c r="Q32325" s="8"/>
    </row>
    <row r="32326" spans="17:17" x14ac:dyDescent="0.25">
      <c r="Q32326" s="8"/>
    </row>
    <row r="32327" spans="17:17" x14ac:dyDescent="0.25">
      <c r="Q32327" s="8"/>
    </row>
    <row r="32328" spans="17:17" x14ac:dyDescent="0.25">
      <c r="Q32328" s="8"/>
    </row>
    <row r="32329" spans="17:17" x14ac:dyDescent="0.25">
      <c r="Q32329" s="8"/>
    </row>
    <row r="32330" spans="17:17" x14ac:dyDescent="0.25">
      <c r="Q32330" s="8"/>
    </row>
    <row r="32331" spans="17:17" x14ac:dyDescent="0.25">
      <c r="Q32331" s="8"/>
    </row>
    <row r="32332" spans="17:17" x14ac:dyDescent="0.25">
      <c r="Q32332" s="8"/>
    </row>
    <row r="32333" spans="17:17" x14ac:dyDescent="0.25">
      <c r="Q32333" s="8"/>
    </row>
    <row r="32334" spans="17:17" x14ac:dyDescent="0.25">
      <c r="Q32334" s="8"/>
    </row>
    <row r="32335" spans="17:17" x14ac:dyDescent="0.25">
      <c r="Q32335" s="8"/>
    </row>
    <row r="32336" spans="17:17" x14ac:dyDescent="0.25">
      <c r="Q32336" s="8"/>
    </row>
    <row r="32337" spans="17:17" x14ac:dyDescent="0.25">
      <c r="Q32337" s="8"/>
    </row>
    <row r="32338" spans="17:17" x14ac:dyDescent="0.25">
      <c r="Q32338" s="8"/>
    </row>
    <row r="32339" spans="17:17" x14ac:dyDescent="0.25">
      <c r="Q32339" s="8"/>
    </row>
    <row r="32340" spans="17:17" x14ac:dyDescent="0.25">
      <c r="Q32340" s="8"/>
    </row>
    <row r="32341" spans="17:17" x14ac:dyDescent="0.25">
      <c r="Q32341" s="8"/>
    </row>
    <row r="32342" spans="17:17" x14ac:dyDescent="0.25">
      <c r="Q32342" s="8"/>
    </row>
    <row r="32343" spans="17:17" x14ac:dyDescent="0.25">
      <c r="Q32343" s="8"/>
    </row>
    <row r="32344" spans="17:17" x14ac:dyDescent="0.25">
      <c r="Q32344" s="8"/>
    </row>
    <row r="32345" spans="17:17" x14ac:dyDescent="0.25">
      <c r="Q32345" s="8"/>
    </row>
    <row r="32346" spans="17:17" x14ac:dyDescent="0.25">
      <c r="Q32346" s="8"/>
    </row>
    <row r="32347" spans="17:17" x14ac:dyDescent="0.25">
      <c r="Q32347" s="8"/>
    </row>
    <row r="32348" spans="17:17" x14ac:dyDescent="0.25">
      <c r="Q32348" s="8"/>
    </row>
    <row r="32349" spans="17:17" x14ac:dyDescent="0.25">
      <c r="Q32349" s="8"/>
    </row>
    <row r="32350" spans="17:17" x14ac:dyDescent="0.25">
      <c r="Q32350" s="8"/>
    </row>
    <row r="32351" spans="17:17" x14ac:dyDescent="0.25">
      <c r="Q32351" s="8"/>
    </row>
    <row r="32352" spans="17:17" x14ac:dyDescent="0.25">
      <c r="Q32352" s="8"/>
    </row>
    <row r="32353" spans="17:17" x14ac:dyDescent="0.25">
      <c r="Q32353" s="8"/>
    </row>
    <row r="32354" spans="17:17" x14ac:dyDescent="0.25">
      <c r="Q32354" s="8"/>
    </row>
    <row r="32355" spans="17:17" x14ac:dyDescent="0.25">
      <c r="Q32355" s="8"/>
    </row>
    <row r="32356" spans="17:17" x14ac:dyDescent="0.25">
      <c r="Q32356" s="8"/>
    </row>
    <row r="32357" spans="17:17" x14ac:dyDescent="0.25">
      <c r="Q32357" s="8"/>
    </row>
    <row r="32358" spans="17:17" x14ac:dyDescent="0.25">
      <c r="Q32358" s="8"/>
    </row>
    <row r="32359" spans="17:17" x14ac:dyDescent="0.25">
      <c r="Q32359" s="8"/>
    </row>
    <row r="32360" spans="17:17" x14ac:dyDescent="0.25">
      <c r="Q32360" s="8"/>
    </row>
    <row r="32361" spans="17:17" x14ac:dyDescent="0.25">
      <c r="Q32361" s="8"/>
    </row>
    <row r="32362" spans="17:17" x14ac:dyDescent="0.25">
      <c r="Q32362" s="8"/>
    </row>
    <row r="32363" spans="17:17" x14ac:dyDescent="0.25">
      <c r="Q32363" s="8"/>
    </row>
    <row r="32364" spans="17:17" x14ac:dyDescent="0.25">
      <c r="Q32364" s="8"/>
    </row>
    <row r="32365" spans="17:17" x14ac:dyDescent="0.25">
      <c r="Q32365" s="8"/>
    </row>
    <row r="32366" spans="17:17" x14ac:dyDescent="0.25">
      <c r="Q32366" s="8"/>
    </row>
    <row r="32367" spans="17:17" x14ac:dyDescent="0.25">
      <c r="Q32367" s="8"/>
    </row>
    <row r="32368" spans="17:17" x14ac:dyDescent="0.25">
      <c r="Q32368" s="8"/>
    </row>
    <row r="32369" spans="17:17" x14ac:dyDescent="0.25">
      <c r="Q32369" s="8"/>
    </row>
    <row r="32370" spans="17:17" x14ac:dyDescent="0.25">
      <c r="Q32370" s="8"/>
    </row>
    <row r="32371" spans="17:17" x14ac:dyDescent="0.25">
      <c r="Q32371" s="8"/>
    </row>
    <row r="32372" spans="17:17" x14ac:dyDescent="0.25">
      <c r="Q32372" s="8"/>
    </row>
    <row r="32373" spans="17:17" x14ac:dyDescent="0.25">
      <c r="Q32373" s="8"/>
    </row>
    <row r="32374" spans="17:17" x14ac:dyDescent="0.25">
      <c r="Q32374" s="8"/>
    </row>
    <row r="32375" spans="17:17" x14ac:dyDescent="0.25">
      <c r="Q32375" s="8"/>
    </row>
    <row r="32376" spans="17:17" x14ac:dyDescent="0.25">
      <c r="Q32376" s="8"/>
    </row>
    <row r="32377" spans="17:17" x14ac:dyDescent="0.25">
      <c r="Q32377" s="8"/>
    </row>
    <row r="32378" spans="17:17" x14ac:dyDescent="0.25">
      <c r="Q32378" s="8"/>
    </row>
    <row r="32379" spans="17:17" x14ac:dyDescent="0.25">
      <c r="Q32379" s="8"/>
    </row>
    <row r="32380" spans="17:17" x14ac:dyDescent="0.25">
      <c r="Q32380" s="8"/>
    </row>
    <row r="32381" spans="17:17" x14ac:dyDescent="0.25">
      <c r="Q32381" s="8"/>
    </row>
    <row r="32382" spans="17:17" x14ac:dyDescent="0.25">
      <c r="Q32382" s="8"/>
    </row>
    <row r="32383" spans="17:17" x14ac:dyDescent="0.25">
      <c r="Q32383" s="8"/>
    </row>
    <row r="32384" spans="17:17" x14ac:dyDescent="0.25">
      <c r="Q32384" s="8"/>
    </row>
    <row r="32385" spans="17:17" x14ac:dyDescent="0.25">
      <c r="Q32385" s="8"/>
    </row>
    <row r="32386" spans="17:17" x14ac:dyDescent="0.25">
      <c r="Q32386" s="8"/>
    </row>
    <row r="32387" spans="17:17" x14ac:dyDescent="0.25">
      <c r="Q32387" s="8"/>
    </row>
    <row r="32388" spans="17:17" x14ac:dyDescent="0.25">
      <c r="Q32388" s="8"/>
    </row>
    <row r="32389" spans="17:17" x14ac:dyDescent="0.25">
      <c r="Q32389" s="8"/>
    </row>
    <row r="32390" spans="17:17" x14ac:dyDescent="0.25">
      <c r="Q32390" s="8"/>
    </row>
    <row r="32391" spans="17:17" x14ac:dyDescent="0.25">
      <c r="Q32391" s="8"/>
    </row>
    <row r="32392" spans="17:17" x14ac:dyDescent="0.25">
      <c r="Q32392" s="8"/>
    </row>
    <row r="32393" spans="17:17" x14ac:dyDescent="0.25">
      <c r="Q32393" s="8"/>
    </row>
    <row r="32394" spans="17:17" x14ac:dyDescent="0.25">
      <c r="Q32394" s="8"/>
    </row>
    <row r="32395" spans="17:17" x14ac:dyDescent="0.25">
      <c r="Q32395" s="8"/>
    </row>
    <row r="32396" spans="17:17" x14ac:dyDescent="0.25">
      <c r="Q32396" s="8"/>
    </row>
    <row r="32397" spans="17:17" x14ac:dyDescent="0.25">
      <c r="Q32397" s="8"/>
    </row>
    <row r="32398" spans="17:17" x14ac:dyDescent="0.25">
      <c r="Q32398" s="8"/>
    </row>
    <row r="32399" spans="17:17" x14ac:dyDescent="0.25">
      <c r="Q32399" s="8"/>
    </row>
    <row r="32400" spans="17:17" x14ac:dyDescent="0.25">
      <c r="Q32400" s="8"/>
    </row>
    <row r="32401" spans="17:17" x14ac:dyDescent="0.25">
      <c r="Q32401" s="8"/>
    </row>
    <row r="32402" spans="17:17" x14ac:dyDescent="0.25">
      <c r="Q32402" s="8"/>
    </row>
    <row r="32403" spans="17:17" x14ac:dyDescent="0.25">
      <c r="Q32403" s="8"/>
    </row>
    <row r="32404" spans="17:17" x14ac:dyDescent="0.25">
      <c r="Q32404" s="8"/>
    </row>
    <row r="32405" spans="17:17" x14ac:dyDescent="0.25">
      <c r="Q32405" s="8"/>
    </row>
    <row r="32406" spans="17:17" x14ac:dyDescent="0.25">
      <c r="Q32406" s="8"/>
    </row>
    <row r="32407" spans="17:17" x14ac:dyDescent="0.25">
      <c r="Q32407" s="8"/>
    </row>
    <row r="32408" spans="17:17" x14ac:dyDescent="0.25">
      <c r="Q32408" s="8"/>
    </row>
    <row r="32409" spans="17:17" x14ac:dyDescent="0.25">
      <c r="Q32409" s="8"/>
    </row>
    <row r="32410" spans="17:17" x14ac:dyDescent="0.25">
      <c r="Q32410" s="8"/>
    </row>
    <row r="32411" spans="17:17" x14ac:dyDescent="0.25">
      <c r="Q32411" s="8"/>
    </row>
    <row r="32412" spans="17:17" x14ac:dyDescent="0.25">
      <c r="Q32412" s="8"/>
    </row>
    <row r="32413" spans="17:17" x14ac:dyDescent="0.25">
      <c r="Q32413" s="8"/>
    </row>
    <row r="32414" spans="17:17" x14ac:dyDescent="0.25">
      <c r="Q32414" s="8"/>
    </row>
    <row r="32415" spans="17:17" x14ac:dyDescent="0.25">
      <c r="Q32415" s="8"/>
    </row>
    <row r="32416" spans="17:17" x14ac:dyDescent="0.25">
      <c r="Q32416" s="8"/>
    </row>
    <row r="32417" spans="17:17" x14ac:dyDescent="0.25">
      <c r="Q32417" s="8"/>
    </row>
    <row r="32418" spans="17:17" x14ac:dyDescent="0.25">
      <c r="Q32418" s="8"/>
    </row>
    <row r="32419" spans="17:17" x14ac:dyDescent="0.25">
      <c r="Q32419" s="8"/>
    </row>
    <row r="32420" spans="17:17" x14ac:dyDescent="0.25">
      <c r="Q32420" s="8"/>
    </row>
    <row r="32421" spans="17:17" x14ac:dyDescent="0.25">
      <c r="Q32421" s="8"/>
    </row>
    <row r="32422" spans="17:17" x14ac:dyDescent="0.25">
      <c r="Q32422" s="8"/>
    </row>
    <row r="32423" spans="17:17" x14ac:dyDescent="0.25">
      <c r="Q32423" s="8"/>
    </row>
    <row r="32424" spans="17:17" x14ac:dyDescent="0.25">
      <c r="Q32424" s="8"/>
    </row>
    <row r="32425" spans="17:17" x14ac:dyDescent="0.25">
      <c r="Q32425" s="8"/>
    </row>
    <row r="32426" spans="17:17" x14ac:dyDescent="0.25">
      <c r="Q32426" s="8"/>
    </row>
    <row r="32427" spans="17:17" x14ac:dyDescent="0.25">
      <c r="Q32427" s="8"/>
    </row>
    <row r="32428" spans="17:17" x14ac:dyDescent="0.25">
      <c r="Q32428" s="8"/>
    </row>
    <row r="32429" spans="17:17" x14ac:dyDescent="0.25">
      <c r="Q32429" s="8"/>
    </row>
    <row r="32430" spans="17:17" x14ac:dyDescent="0.25">
      <c r="Q32430" s="8"/>
    </row>
    <row r="32431" spans="17:17" x14ac:dyDescent="0.25">
      <c r="Q32431" s="8"/>
    </row>
    <row r="32432" spans="17:17" x14ac:dyDescent="0.25">
      <c r="Q32432" s="8"/>
    </row>
    <row r="32433" spans="17:17" x14ac:dyDescent="0.25">
      <c r="Q32433" s="8"/>
    </row>
    <row r="32434" spans="17:17" x14ac:dyDescent="0.25">
      <c r="Q32434" s="8"/>
    </row>
    <row r="32435" spans="17:17" x14ac:dyDescent="0.25">
      <c r="Q32435" s="8"/>
    </row>
    <row r="32436" spans="17:17" x14ac:dyDescent="0.25">
      <c r="Q32436" s="8"/>
    </row>
    <row r="32437" spans="17:17" x14ac:dyDescent="0.25">
      <c r="Q32437" s="8"/>
    </row>
    <row r="32438" spans="17:17" x14ac:dyDescent="0.25">
      <c r="Q32438" s="8"/>
    </row>
    <row r="32439" spans="17:17" x14ac:dyDescent="0.25">
      <c r="Q32439" s="8"/>
    </row>
    <row r="32440" spans="17:17" x14ac:dyDescent="0.25">
      <c r="Q32440" s="8"/>
    </row>
    <row r="32441" spans="17:17" x14ac:dyDescent="0.25">
      <c r="Q32441" s="8"/>
    </row>
    <row r="32442" spans="17:17" x14ac:dyDescent="0.25">
      <c r="Q32442" s="8"/>
    </row>
    <row r="32443" spans="17:17" x14ac:dyDescent="0.25">
      <c r="Q32443" s="8"/>
    </row>
    <row r="32444" spans="17:17" x14ac:dyDescent="0.25">
      <c r="Q32444" s="8"/>
    </row>
    <row r="32445" spans="17:17" x14ac:dyDescent="0.25">
      <c r="Q32445" s="8"/>
    </row>
    <row r="32446" spans="17:17" x14ac:dyDescent="0.25">
      <c r="Q32446" s="8"/>
    </row>
    <row r="32447" spans="17:17" x14ac:dyDescent="0.25">
      <c r="Q32447" s="8"/>
    </row>
    <row r="32448" spans="17:17" x14ac:dyDescent="0.25">
      <c r="Q32448" s="8"/>
    </row>
    <row r="32449" spans="17:17" x14ac:dyDescent="0.25">
      <c r="Q32449" s="8"/>
    </row>
    <row r="32450" spans="17:17" x14ac:dyDescent="0.25">
      <c r="Q32450" s="8"/>
    </row>
    <row r="32451" spans="17:17" x14ac:dyDescent="0.25">
      <c r="Q32451" s="8"/>
    </row>
    <row r="32452" spans="17:17" x14ac:dyDescent="0.25">
      <c r="Q32452" s="8"/>
    </row>
    <row r="32453" spans="17:17" x14ac:dyDescent="0.25">
      <c r="Q32453" s="8"/>
    </row>
    <row r="32454" spans="17:17" x14ac:dyDescent="0.25">
      <c r="Q32454" s="8"/>
    </row>
    <row r="32455" spans="17:17" x14ac:dyDescent="0.25">
      <c r="Q32455" s="8"/>
    </row>
    <row r="32456" spans="17:17" x14ac:dyDescent="0.25">
      <c r="Q32456" s="8"/>
    </row>
    <row r="32457" spans="17:17" x14ac:dyDescent="0.25">
      <c r="Q32457" s="8"/>
    </row>
    <row r="32458" spans="17:17" x14ac:dyDescent="0.25">
      <c r="Q32458" s="8"/>
    </row>
    <row r="32459" spans="17:17" x14ac:dyDescent="0.25">
      <c r="Q32459" s="8"/>
    </row>
    <row r="32460" spans="17:17" x14ac:dyDescent="0.25">
      <c r="Q32460" s="8"/>
    </row>
    <row r="32461" spans="17:17" x14ac:dyDescent="0.25">
      <c r="Q32461" s="8"/>
    </row>
    <row r="32462" spans="17:17" x14ac:dyDescent="0.25">
      <c r="Q32462" s="8"/>
    </row>
    <row r="32463" spans="17:17" x14ac:dyDescent="0.25">
      <c r="Q32463" s="8"/>
    </row>
    <row r="32464" spans="17:17" x14ac:dyDescent="0.25">
      <c r="Q32464" s="8"/>
    </row>
    <row r="32465" spans="17:17" x14ac:dyDescent="0.25">
      <c r="Q32465" s="8"/>
    </row>
    <row r="32466" spans="17:17" x14ac:dyDescent="0.25">
      <c r="Q32466" s="8"/>
    </row>
    <row r="32467" spans="17:17" x14ac:dyDescent="0.25">
      <c r="Q32467" s="8"/>
    </row>
    <row r="32468" spans="17:17" x14ac:dyDescent="0.25">
      <c r="Q32468" s="8"/>
    </row>
    <row r="32469" spans="17:17" x14ac:dyDescent="0.25">
      <c r="Q32469" s="8"/>
    </row>
    <row r="32470" spans="17:17" x14ac:dyDescent="0.25">
      <c r="Q32470" s="8"/>
    </row>
    <row r="32471" spans="17:17" x14ac:dyDescent="0.25">
      <c r="Q32471" s="8"/>
    </row>
    <row r="32472" spans="17:17" x14ac:dyDescent="0.25">
      <c r="Q32472" s="8"/>
    </row>
    <row r="32473" spans="17:17" x14ac:dyDescent="0.25">
      <c r="Q32473" s="8"/>
    </row>
    <row r="32474" spans="17:17" x14ac:dyDescent="0.25">
      <c r="Q32474" s="8"/>
    </row>
    <row r="32475" spans="17:17" x14ac:dyDescent="0.25">
      <c r="Q32475" s="8"/>
    </row>
    <row r="32476" spans="17:17" x14ac:dyDescent="0.25">
      <c r="Q32476" s="8"/>
    </row>
    <row r="32477" spans="17:17" x14ac:dyDescent="0.25">
      <c r="Q32477" s="8"/>
    </row>
    <row r="32478" spans="17:17" x14ac:dyDescent="0.25">
      <c r="Q32478" s="8"/>
    </row>
    <row r="32479" spans="17:17" x14ac:dyDescent="0.25">
      <c r="Q32479" s="8"/>
    </row>
    <row r="32480" spans="17:17" x14ac:dyDescent="0.25">
      <c r="Q32480" s="8"/>
    </row>
    <row r="32481" spans="17:17" x14ac:dyDescent="0.25">
      <c r="Q32481" s="8"/>
    </row>
    <row r="32482" spans="17:17" x14ac:dyDescent="0.25">
      <c r="Q32482" s="8"/>
    </row>
    <row r="32483" spans="17:17" x14ac:dyDescent="0.25">
      <c r="Q32483" s="8"/>
    </row>
    <row r="32484" spans="17:17" x14ac:dyDescent="0.25">
      <c r="Q32484" s="8"/>
    </row>
    <row r="32485" spans="17:17" x14ac:dyDescent="0.25">
      <c r="Q32485" s="8"/>
    </row>
    <row r="32486" spans="17:17" x14ac:dyDescent="0.25">
      <c r="Q32486" s="8"/>
    </row>
    <row r="32487" spans="17:17" x14ac:dyDescent="0.25">
      <c r="Q32487" s="8"/>
    </row>
    <row r="32488" spans="17:17" x14ac:dyDescent="0.25">
      <c r="Q32488" s="8"/>
    </row>
    <row r="32489" spans="17:17" x14ac:dyDescent="0.25">
      <c r="Q32489" s="8"/>
    </row>
    <row r="32490" spans="17:17" x14ac:dyDescent="0.25">
      <c r="Q32490" s="8"/>
    </row>
    <row r="32491" spans="17:17" x14ac:dyDescent="0.25">
      <c r="Q32491" s="8"/>
    </row>
    <row r="32492" spans="17:17" x14ac:dyDescent="0.25">
      <c r="Q32492" s="8"/>
    </row>
    <row r="32493" spans="17:17" x14ac:dyDescent="0.25">
      <c r="Q32493" s="8"/>
    </row>
    <row r="32494" spans="17:17" x14ac:dyDescent="0.25">
      <c r="Q32494" s="8"/>
    </row>
    <row r="32495" spans="17:17" x14ac:dyDescent="0.25">
      <c r="Q32495" s="8"/>
    </row>
    <row r="32496" spans="17:17" x14ac:dyDescent="0.25">
      <c r="Q32496" s="8"/>
    </row>
    <row r="32497" spans="17:17" x14ac:dyDescent="0.25">
      <c r="Q32497" s="8"/>
    </row>
    <row r="32498" spans="17:17" x14ac:dyDescent="0.25">
      <c r="Q32498" s="8"/>
    </row>
    <row r="32499" spans="17:17" x14ac:dyDescent="0.25">
      <c r="Q32499" s="8"/>
    </row>
    <row r="32500" spans="17:17" x14ac:dyDescent="0.25">
      <c r="Q32500" s="8"/>
    </row>
    <row r="32501" spans="17:17" x14ac:dyDescent="0.25">
      <c r="Q32501" s="8"/>
    </row>
    <row r="32502" spans="17:17" x14ac:dyDescent="0.25">
      <c r="Q32502" s="8"/>
    </row>
    <row r="32503" spans="17:17" x14ac:dyDescent="0.25">
      <c r="Q32503" s="8"/>
    </row>
    <row r="32504" spans="17:17" x14ac:dyDescent="0.25">
      <c r="Q32504" s="8"/>
    </row>
    <row r="32505" spans="17:17" x14ac:dyDescent="0.25">
      <c r="Q32505" s="8"/>
    </row>
    <row r="32506" spans="17:17" x14ac:dyDescent="0.25">
      <c r="Q32506" s="8"/>
    </row>
    <row r="32507" spans="17:17" x14ac:dyDescent="0.25">
      <c r="Q32507" s="8"/>
    </row>
    <row r="32508" spans="17:17" x14ac:dyDescent="0.25">
      <c r="Q32508" s="8"/>
    </row>
    <row r="32509" spans="17:17" x14ac:dyDescent="0.25">
      <c r="Q32509" s="8"/>
    </row>
    <row r="32510" spans="17:17" x14ac:dyDescent="0.25">
      <c r="Q32510" s="8"/>
    </row>
    <row r="32511" spans="17:17" x14ac:dyDescent="0.25">
      <c r="Q32511" s="8"/>
    </row>
    <row r="32512" spans="17:17" x14ac:dyDescent="0.25">
      <c r="Q32512" s="8"/>
    </row>
    <row r="32513" spans="17:17" x14ac:dyDescent="0.25">
      <c r="Q32513" s="8"/>
    </row>
    <row r="32514" spans="17:17" x14ac:dyDescent="0.25">
      <c r="Q32514" s="8"/>
    </row>
    <row r="32515" spans="17:17" x14ac:dyDescent="0.25">
      <c r="Q32515" s="8"/>
    </row>
    <row r="32516" spans="17:17" x14ac:dyDescent="0.25">
      <c r="Q32516" s="8"/>
    </row>
    <row r="32517" spans="17:17" x14ac:dyDescent="0.25">
      <c r="Q32517" s="8"/>
    </row>
    <row r="32518" spans="17:17" x14ac:dyDescent="0.25">
      <c r="Q32518" s="8"/>
    </row>
    <row r="32519" spans="17:17" x14ac:dyDescent="0.25">
      <c r="Q32519" s="8"/>
    </row>
    <row r="32520" spans="17:17" x14ac:dyDescent="0.25">
      <c r="Q32520" s="8"/>
    </row>
    <row r="32521" spans="17:17" x14ac:dyDescent="0.25">
      <c r="Q32521" s="8"/>
    </row>
    <row r="32522" spans="17:17" x14ac:dyDescent="0.25">
      <c r="Q32522" s="8"/>
    </row>
    <row r="32523" spans="17:17" x14ac:dyDescent="0.25">
      <c r="Q32523" s="8"/>
    </row>
    <row r="32524" spans="17:17" x14ac:dyDescent="0.25">
      <c r="Q32524" s="8"/>
    </row>
    <row r="32525" spans="17:17" x14ac:dyDescent="0.25">
      <c r="Q32525" s="8"/>
    </row>
    <row r="32526" spans="17:17" x14ac:dyDescent="0.25">
      <c r="Q32526" s="8"/>
    </row>
    <row r="32527" spans="17:17" x14ac:dyDescent="0.25">
      <c r="Q32527" s="8"/>
    </row>
    <row r="32528" spans="17:17" x14ac:dyDescent="0.25">
      <c r="Q32528" s="8"/>
    </row>
    <row r="32529" spans="17:17" x14ac:dyDescent="0.25">
      <c r="Q32529" s="8"/>
    </row>
    <row r="32530" spans="17:17" x14ac:dyDescent="0.25">
      <c r="Q32530" s="8"/>
    </row>
    <row r="32531" spans="17:17" x14ac:dyDescent="0.25">
      <c r="Q32531" s="8"/>
    </row>
    <row r="32532" spans="17:17" x14ac:dyDescent="0.25">
      <c r="Q32532" s="8"/>
    </row>
    <row r="32533" spans="17:17" x14ac:dyDescent="0.25">
      <c r="Q32533" s="8"/>
    </row>
    <row r="32534" spans="17:17" x14ac:dyDescent="0.25">
      <c r="Q32534" s="8"/>
    </row>
    <row r="32535" spans="17:17" x14ac:dyDescent="0.25">
      <c r="Q32535" s="8"/>
    </row>
    <row r="32536" spans="17:17" x14ac:dyDescent="0.25">
      <c r="Q32536" s="8"/>
    </row>
    <row r="32537" spans="17:17" x14ac:dyDescent="0.25">
      <c r="Q32537" s="8"/>
    </row>
    <row r="32538" spans="17:17" x14ac:dyDescent="0.25">
      <c r="Q32538" s="8"/>
    </row>
    <row r="32539" spans="17:17" x14ac:dyDescent="0.25">
      <c r="Q32539" s="8"/>
    </row>
    <row r="32540" spans="17:17" x14ac:dyDescent="0.25">
      <c r="Q32540" s="8"/>
    </row>
    <row r="32541" spans="17:17" x14ac:dyDescent="0.25">
      <c r="Q32541" s="8"/>
    </row>
    <row r="32542" spans="17:17" x14ac:dyDescent="0.25">
      <c r="Q32542" s="8"/>
    </row>
    <row r="32543" spans="17:17" x14ac:dyDescent="0.25">
      <c r="Q32543" s="8"/>
    </row>
    <row r="32544" spans="17:17" x14ac:dyDescent="0.25">
      <c r="Q32544" s="8"/>
    </row>
    <row r="32545" spans="17:17" x14ac:dyDescent="0.25">
      <c r="Q32545" s="8"/>
    </row>
    <row r="32546" spans="17:17" x14ac:dyDescent="0.25">
      <c r="Q32546" s="8"/>
    </row>
    <row r="32547" spans="17:17" x14ac:dyDescent="0.25">
      <c r="Q32547" s="8"/>
    </row>
    <row r="32548" spans="17:17" x14ac:dyDescent="0.25">
      <c r="Q32548" s="8"/>
    </row>
    <row r="32549" spans="17:17" x14ac:dyDescent="0.25">
      <c r="Q32549" s="8"/>
    </row>
    <row r="32550" spans="17:17" x14ac:dyDescent="0.25">
      <c r="Q32550" s="8"/>
    </row>
    <row r="32551" spans="17:17" x14ac:dyDescent="0.25">
      <c r="Q32551" s="8"/>
    </row>
    <row r="32552" spans="17:17" x14ac:dyDescent="0.25">
      <c r="Q32552" s="8"/>
    </row>
    <row r="32553" spans="17:17" x14ac:dyDescent="0.25">
      <c r="Q32553" s="8"/>
    </row>
    <row r="32554" spans="17:17" x14ac:dyDescent="0.25">
      <c r="Q32554" s="8"/>
    </row>
    <row r="32555" spans="17:17" x14ac:dyDescent="0.25">
      <c r="Q32555" s="8"/>
    </row>
    <row r="32556" spans="17:17" x14ac:dyDescent="0.25">
      <c r="Q32556" s="8"/>
    </row>
    <row r="32557" spans="17:17" x14ac:dyDescent="0.25">
      <c r="Q32557" s="8"/>
    </row>
    <row r="32558" spans="17:17" x14ac:dyDescent="0.25">
      <c r="Q32558" s="8"/>
    </row>
    <row r="32559" spans="17:17" x14ac:dyDescent="0.25">
      <c r="Q32559" s="8"/>
    </row>
    <row r="32560" spans="17:17" x14ac:dyDescent="0.25">
      <c r="Q32560" s="8"/>
    </row>
    <row r="32561" spans="17:17" x14ac:dyDescent="0.25">
      <c r="Q32561" s="8"/>
    </row>
    <row r="32562" spans="17:17" x14ac:dyDescent="0.25">
      <c r="Q32562" s="8"/>
    </row>
    <row r="32563" spans="17:17" x14ac:dyDescent="0.25">
      <c r="Q32563" s="8"/>
    </row>
    <row r="32564" spans="17:17" x14ac:dyDescent="0.25">
      <c r="Q32564" s="8"/>
    </row>
    <row r="32565" spans="17:17" x14ac:dyDescent="0.25">
      <c r="Q32565" s="8"/>
    </row>
    <row r="32566" spans="17:17" x14ac:dyDescent="0.25">
      <c r="Q32566" s="8"/>
    </row>
    <row r="32567" spans="17:17" x14ac:dyDescent="0.25">
      <c r="Q32567" s="8"/>
    </row>
    <row r="32568" spans="17:17" x14ac:dyDescent="0.25">
      <c r="Q32568" s="8"/>
    </row>
    <row r="32569" spans="17:17" x14ac:dyDescent="0.25">
      <c r="Q32569" s="8"/>
    </row>
    <row r="32570" spans="17:17" x14ac:dyDescent="0.25">
      <c r="Q32570" s="8"/>
    </row>
    <row r="32571" spans="17:17" x14ac:dyDescent="0.25">
      <c r="Q32571" s="8"/>
    </row>
    <row r="32572" spans="17:17" x14ac:dyDescent="0.25">
      <c r="Q32572" s="8"/>
    </row>
    <row r="32573" spans="17:17" x14ac:dyDescent="0.25">
      <c r="Q32573" s="8"/>
    </row>
    <row r="32574" spans="17:17" x14ac:dyDescent="0.25">
      <c r="Q32574" s="8"/>
    </row>
    <row r="32575" spans="17:17" x14ac:dyDescent="0.25">
      <c r="Q32575" s="8"/>
    </row>
    <row r="32576" spans="17:17" x14ac:dyDescent="0.25">
      <c r="Q32576" s="8"/>
    </row>
    <row r="32577" spans="17:17" x14ac:dyDescent="0.25">
      <c r="Q32577" s="8"/>
    </row>
    <row r="32578" spans="17:17" x14ac:dyDescent="0.25">
      <c r="Q32578" s="8"/>
    </row>
    <row r="32579" spans="17:17" x14ac:dyDescent="0.25">
      <c r="Q32579" s="8"/>
    </row>
    <row r="32580" spans="17:17" x14ac:dyDescent="0.25">
      <c r="Q32580" s="8"/>
    </row>
    <row r="32581" spans="17:17" x14ac:dyDescent="0.25">
      <c r="Q32581" s="8"/>
    </row>
    <row r="32582" spans="17:17" x14ac:dyDescent="0.25">
      <c r="Q32582" s="8"/>
    </row>
    <row r="32583" spans="17:17" x14ac:dyDescent="0.25">
      <c r="Q32583" s="8"/>
    </row>
    <row r="32584" spans="17:17" x14ac:dyDescent="0.25">
      <c r="Q32584" s="8"/>
    </row>
    <row r="32585" spans="17:17" x14ac:dyDescent="0.25">
      <c r="Q32585" s="8"/>
    </row>
    <row r="32586" spans="17:17" x14ac:dyDescent="0.25">
      <c r="Q32586" s="8"/>
    </row>
    <row r="32587" spans="17:17" x14ac:dyDescent="0.25">
      <c r="Q32587" s="8"/>
    </row>
    <row r="32588" spans="17:17" x14ac:dyDescent="0.25">
      <c r="Q32588" s="8"/>
    </row>
    <row r="32589" spans="17:17" x14ac:dyDescent="0.25">
      <c r="Q32589" s="8"/>
    </row>
    <row r="32590" spans="17:17" x14ac:dyDescent="0.25">
      <c r="Q32590" s="8"/>
    </row>
    <row r="32591" spans="17:17" x14ac:dyDescent="0.25">
      <c r="Q32591" s="8"/>
    </row>
    <row r="32592" spans="17:17" x14ac:dyDescent="0.25">
      <c r="Q32592" s="8"/>
    </row>
    <row r="32593" spans="17:17" x14ac:dyDescent="0.25">
      <c r="Q32593" s="8"/>
    </row>
    <row r="32594" spans="17:17" x14ac:dyDescent="0.25">
      <c r="Q32594" s="8"/>
    </row>
    <row r="32595" spans="17:17" x14ac:dyDescent="0.25">
      <c r="Q32595" s="8"/>
    </row>
    <row r="32596" spans="17:17" x14ac:dyDescent="0.25">
      <c r="Q32596" s="8"/>
    </row>
    <row r="32597" spans="17:17" x14ac:dyDescent="0.25">
      <c r="Q32597" s="8"/>
    </row>
    <row r="32598" spans="17:17" x14ac:dyDescent="0.25">
      <c r="Q32598" s="8"/>
    </row>
    <row r="32599" spans="17:17" x14ac:dyDescent="0.25">
      <c r="Q32599" s="8"/>
    </row>
    <row r="32600" spans="17:17" x14ac:dyDescent="0.25">
      <c r="Q32600" s="8"/>
    </row>
    <row r="32601" spans="17:17" x14ac:dyDescent="0.25">
      <c r="Q32601" s="8"/>
    </row>
    <row r="32602" spans="17:17" x14ac:dyDescent="0.25">
      <c r="Q32602" s="8"/>
    </row>
    <row r="32603" spans="17:17" x14ac:dyDescent="0.25">
      <c r="Q32603" s="8"/>
    </row>
    <row r="32604" spans="17:17" x14ac:dyDescent="0.25">
      <c r="Q32604" s="8"/>
    </row>
    <row r="32605" spans="17:17" x14ac:dyDescent="0.25">
      <c r="Q32605" s="8"/>
    </row>
    <row r="32606" spans="17:17" x14ac:dyDescent="0.25">
      <c r="Q32606" s="8"/>
    </row>
    <row r="32607" spans="17:17" x14ac:dyDescent="0.25">
      <c r="Q32607" s="8"/>
    </row>
    <row r="32608" spans="17:17" x14ac:dyDescent="0.25">
      <c r="Q32608" s="8"/>
    </row>
    <row r="32609" spans="17:17" x14ac:dyDescent="0.25">
      <c r="Q32609" s="8"/>
    </row>
    <row r="32610" spans="17:17" x14ac:dyDescent="0.25">
      <c r="Q32610" s="8"/>
    </row>
    <row r="32611" spans="17:17" x14ac:dyDescent="0.25">
      <c r="Q32611" s="8"/>
    </row>
    <row r="32612" spans="17:17" x14ac:dyDescent="0.25">
      <c r="Q32612" s="8"/>
    </row>
    <row r="32613" spans="17:17" x14ac:dyDescent="0.25">
      <c r="Q32613" s="8"/>
    </row>
    <row r="32614" spans="17:17" x14ac:dyDescent="0.25">
      <c r="Q32614" s="8"/>
    </row>
    <row r="32615" spans="17:17" x14ac:dyDescent="0.25">
      <c r="Q32615" s="8"/>
    </row>
    <row r="32616" spans="17:17" x14ac:dyDescent="0.25">
      <c r="Q32616" s="8"/>
    </row>
    <row r="32617" spans="17:17" x14ac:dyDescent="0.25">
      <c r="Q32617" s="8"/>
    </row>
    <row r="32618" spans="17:17" x14ac:dyDescent="0.25">
      <c r="Q32618" s="8"/>
    </row>
    <row r="32619" spans="17:17" x14ac:dyDescent="0.25">
      <c r="Q32619" s="8"/>
    </row>
    <row r="32620" spans="17:17" x14ac:dyDescent="0.25">
      <c r="Q32620" s="8"/>
    </row>
    <row r="32621" spans="17:17" x14ac:dyDescent="0.25">
      <c r="Q32621" s="8"/>
    </row>
    <row r="32622" spans="17:17" x14ac:dyDescent="0.25">
      <c r="Q32622" s="8"/>
    </row>
    <row r="32623" spans="17:17" x14ac:dyDescent="0.25">
      <c r="Q32623" s="8"/>
    </row>
    <row r="32624" spans="17:17" x14ac:dyDescent="0.25">
      <c r="Q32624" s="8"/>
    </row>
    <row r="32625" spans="17:17" x14ac:dyDescent="0.25">
      <c r="Q32625" s="8"/>
    </row>
    <row r="32626" spans="17:17" x14ac:dyDescent="0.25">
      <c r="Q32626" s="8"/>
    </row>
    <row r="32627" spans="17:17" x14ac:dyDescent="0.25">
      <c r="Q32627" s="8"/>
    </row>
    <row r="32628" spans="17:17" x14ac:dyDescent="0.25">
      <c r="Q32628" s="8"/>
    </row>
    <row r="32629" spans="17:17" x14ac:dyDescent="0.25">
      <c r="Q32629" s="8"/>
    </row>
    <row r="32630" spans="17:17" x14ac:dyDescent="0.25">
      <c r="Q32630" s="8"/>
    </row>
    <row r="32631" spans="17:17" x14ac:dyDescent="0.25">
      <c r="Q32631" s="8"/>
    </row>
    <row r="32632" spans="17:17" x14ac:dyDescent="0.25">
      <c r="Q32632" s="8"/>
    </row>
    <row r="32633" spans="17:17" x14ac:dyDescent="0.25">
      <c r="Q32633" s="8"/>
    </row>
    <row r="32634" spans="17:17" x14ac:dyDescent="0.25">
      <c r="Q32634" s="8"/>
    </row>
    <row r="32635" spans="17:17" x14ac:dyDescent="0.25">
      <c r="Q32635" s="8"/>
    </row>
    <row r="32636" spans="17:17" x14ac:dyDescent="0.25">
      <c r="Q32636" s="8"/>
    </row>
    <row r="32637" spans="17:17" x14ac:dyDescent="0.25">
      <c r="Q32637" s="8"/>
    </row>
    <row r="32638" spans="17:17" x14ac:dyDescent="0.25">
      <c r="Q32638" s="8"/>
    </row>
    <row r="32639" spans="17:17" x14ac:dyDescent="0.25">
      <c r="Q32639" s="8"/>
    </row>
    <row r="32640" spans="17:17" x14ac:dyDescent="0.25">
      <c r="Q32640" s="8"/>
    </row>
    <row r="32641" spans="17:17" x14ac:dyDescent="0.25">
      <c r="Q32641" s="8"/>
    </row>
    <row r="32642" spans="17:17" x14ac:dyDescent="0.25">
      <c r="Q32642" s="8"/>
    </row>
    <row r="32643" spans="17:17" x14ac:dyDescent="0.25">
      <c r="Q32643" s="8"/>
    </row>
    <row r="32644" spans="17:17" x14ac:dyDescent="0.25">
      <c r="Q32644" s="8"/>
    </row>
    <row r="32645" spans="17:17" x14ac:dyDescent="0.25">
      <c r="Q32645" s="8"/>
    </row>
    <row r="32646" spans="17:17" x14ac:dyDescent="0.25">
      <c r="Q32646" s="8"/>
    </row>
    <row r="32647" spans="17:17" x14ac:dyDescent="0.25">
      <c r="Q32647" s="8"/>
    </row>
    <row r="32648" spans="17:17" x14ac:dyDescent="0.25">
      <c r="Q32648" s="8"/>
    </row>
    <row r="32649" spans="17:17" x14ac:dyDescent="0.25">
      <c r="Q32649" s="8"/>
    </row>
    <row r="32650" spans="17:17" x14ac:dyDescent="0.25">
      <c r="Q32650" s="8"/>
    </row>
    <row r="32651" spans="17:17" x14ac:dyDescent="0.25">
      <c r="Q32651" s="8"/>
    </row>
    <row r="32652" spans="17:17" x14ac:dyDescent="0.25">
      <c r="Q32652" s="8"/>
    </row>
    <row r="32653" spans="17:17" x14ac:dyDescent="0.25">
      <c r="Q32653" s="8"/>
    </row>
    <row r="32654" spans="17:17" x14ac:dyDescent="0.25">
      <c r="Q32654" s="8"/>
    </row>
    <row r="32655" spans="17:17" x14ac:dyDescent="0.25">
      <c r="Q32655" s="8"/>
    </row>
    <row r="32656" spans="17:17" x14ac:dyDescent="0.25">
      <c r="Q32656" s="8"/>
    </row>
    <row r="32657" spans="17:17" x14ac:dyDescent="0.25">
      <c r="Q32657" s="8"/>
    </row>
    <row r="32658" spans="17:17" x14ac:dyDescent="0.25">
      <c r="Q32658" s="8"/>
    </row>
    <row r="32659" spans="17:17" x14ac:dyDescent="0.25">
      <c r="Q32659" s="8"/>
    </row>
    <row r="32660" spans="17:17" x14ac:dyDescent="0.25">
      <c r="Q32660" s="8"/>
    </row>
    <row r="32661" spans="17:17" x14ac:dyDescent="0.25">
      <c r="Q32661" s="8"/>
    </row>
    <row r="32662" spans="17:17" x14ac:dyDescent="0.25">
      <c r="Q32662" s="8"/>
    </row>
    <row r="32663" spans="17:17" x14ac:dyDescent="0.25">
      <c r="Q32663" s="8"/>
    </row>
    <row r="32664" spans="17:17" x14ac:dyDescent="0.25">
      <c r="Q32664" s="8"/>
    </row>
    <row r="32665" spans="17:17" x14ac:dyDescent="0.25">
      <c r="Q32665" s="8"/>
    </row>
    <row r="32666" spans="17:17" x14ac:dyDescent="0.25">
      <c r="Q32666" s="8"/>
    </row>
    <row r="32667" spans="17:17" x14ac:dyDescent="0.25">
      <c r="Q32667" s="8"/>
    </row>
    <row r="32668" spans="17:17" x14ac:dyDescent="0.25">
      <c r="Q32668" s="8"/>
    </row>
    <row r="32669" spans="17:17" x14ac:dyDescent="0.25">
      <c r="Q32669" s="8"/>
    </row>
    <row r="32670" spans="17:17" x14ac:dyDescent="0.25">
      <c r="Q32670" s="8"/>
    </row>
    <row r="32671" spans="17:17" x14ac:dyDescent="0.25">
      <c r="Q32671" s="8"/>
    </row>
    <row r="32672" spans="17:17" x14ac:dyDescent="0.25">
      <c r="Q32672" s="8"/>
    </row>
    <row r="32673" spans="17:17" x14ac:dyDescent="0.25">
      <c r="Q32673" s="8"/>
    </row>
    <row r="32674" spans="17:17" x14ac:dyDescent="0.25">
      <c r="Q32674" s="8"/>
    </row>
    <row r="32675" spans="17:17" x14ac:dyDescent="0.25">
      <c r="Q32675" s="8"/>
    </row>
    <row r="32676" spans="17:17" x14ac:dyDescent="0.25">
      <c r="Q32676" s="8"/>
    </row>
    <row r="32677" spans="17:17" x14ac:dyDescent="0.25">
      <c r="Q32677" s="8"/>
    </row>
    <row r="32678" spans="17:17" x14ac:dyDescent="0.25">
      <c r="Q32678" s="8"/>
    </row>
    <row r="32679" spans="17:17" x14ac:dyDescent="0.25">
      <c r="Q32679" s="8"/>
    </row>
    <row r="32680" spans="17:17" x14ac:dyDescent="0.25">
      <c r="Q32680" s="8"/>
    </row>
    <row r="32681" spans="17:17" x14ac:dyDescent="0.25">
      <c r="Q32681" s="8"/>
    </row>
    <row r="32682" spans="17:17" x14ac:dyDescent="0.25">
      <c r="Q32682" s="8"/>
    </row>
    <row r="32683" spans="17:17" x14ac:dyDescent="0.25">
      <c r="Q32683" s="8"/>
    </row>
    <row r="32684" spans="17:17" x14ac:dyDescent="0.25">
      <c r="Q32684" s="8"/>
    </row>
    <row r="32685" spans="17:17" x14ac:dyDescent="0.25">
      <c r="Q32685" s="8"/>
    </row>
    <row r="32686" spans="17:17" x14ac:dyDescent="0.25">
      <c r="Q32686" s="8"/>
    </row>
    <row r="32687" spans="17:17" x14ac:dyDescent="0.25">
      <c r="Q32687" s="8"/>
    </row>
    <row r="32688" spans="17:17" x14ac:dyDescent="0.25">
      <c r="Q32688" s="8"/>
    </row>
    <row r="32689" spans="17:17" x14ac:dyDescent="0.25">
      <c r="Q32689" s="8"/>
    </row>
    <row r="32690" spans="17:17" x14ac:dyDescent="0.25">
      <c r="Q32690" s="8"/>
    </row>
    <row r="32691" spans="17:17" x14ac:dyDescent="0.25">
      <c r="Q32691" s="8"/>
    </row>
    <row r="32692" spans="17:17" x14ac:dyDescent="0.25">
      <c r="Q32692" s="8"/>
    </row>
    <row r="32693" spans="17:17" x14ac:dyDescent="0.25">
      <c r="Q32693" s="8"/>
    </row>
    <row r="32694" spans="17:17" x14ac:dyDescent="0.25">
      <c r="Q32694" s="8"/>
    </row>
    <row r="32695" spans="17:17" x14ac:dyDescent="0.25">
      <c r="Q32695" s="8"/>
    </row>
    <row r="32696" spans="17:17" x14ac:dyDescent="0.25">
      <c r="Q32696" s="8"/>
    </row>
    <row r="32697" spans="17:17" x14ac:dyDescent="0.25">
      <c r="Q32697" s="8"/>
    </row>
    <row r="32698" spans="17:17" x14ac:dyDescent="0.25">
      <c r="Q32698" s="8"/>
    </row>
    <row r="32699" spans="17:17" x14ac:dyDescent="0.25">
      <c r="Q32699" s="8"/>
    </row>
    <row r="32700" spans="17:17" x14ac:dyDescent="0.25">
      <c r="Q32700" s="8"/>
    </row>
    <row r="32701" spans="17:17" x14ac:dyDescent="0.25">
      <c r="Q32701" s="8"/>
    </row>
    <row r="32702" spans="17:17" x14ac:dyDescent="0.25">
      <c r="Q32702" s="8"/>
    </row>
    <row r="32703" spans="17:17" x14ac:dyDescent="0.25">
      <c r="Q32703" s="8"/>
    </row>
    <row r="32704" spans="17:17" x14ac:dyDescent="0.25">
      <c r="Q32704" s="8"/>
    </row>
    <row r="32705" spans="17:17" x14ac:dyDescent="0.25">
      <c r="Q32705" s="8"/>
    </row>
    <row r="32706" spans="17:17" x14ac:dyDescent="0.25">
      <c r="Q32706" s="8"/>
    </row>
    <row r="32707" spans="17:17" x14ac:dyDescent="0.25">
      <c r="Q32707" s="8"/>
    </row>
    <row r="32708" spans="17:17" x14ac:dyDescent="0.25">
      <c r="Q32708" s="8"/>
    </row>
    <row r="32709" spans="17:17" x14ac:dyDescent="0.25">
      <c r="Q32709" s="8"/>
    </row>
    <row r="32710" spans="17:17" x14ac:dyDescent="0.25">
      <c r="Q32710" s="8"/>
    </row>
    <row r="32711" spans="17:17" x14ac:dyDescent="0.25">
      <c r="Q32711" s="8"/>
    </row>
    <row r="32712" spans="17:17" x14ac:dyDescent="0.25">
      <c r="Q32712" s="8"/>
    </row>
    <row r="32713" spans="17:17" x14ac:dyDescent="0.25">
      <c r="Q32713" s="8"/>
    </row>
    <row r="32714" spans="17:17" x14ac:dyDescent="0.25">
      <c r="Q32714" s="8"/>
    </row>
    <row r="32715" spans="17:17" x14ac:dyDescent="0.25">
      <c r="Q32715" s="8"/>
    </row>
    <row r="32716" spans="17:17" x14ac:dyDescent="0.25">
      <c r="Q32716" s="8"/>
    </row>
    <row r="32717" spans="17:17" x14ac:dyDescent="0.25">
      <c r="Q32717" s="8"/>
    </row>
    <row r="32718" spans="17:17" x14ac:dyDescent="0.25">
      <c r="Q32718" s="8"/>
    </row>
    <row r="32719" spans="17:17" x14ac:dyDescent="0.25">
      <c r="Q32719" s="8"/>
    </row>
    <row r="32720" spans="17:17" x14ac:dyDescent="0.25">
      <c r="Q32720" s="8"/>
    </row>
    <row r="32721" spans="17:17" x14ac:dyDescent="0.25">
      <c r="Q32721" s="8"/>
    </row>
    <row r="32722" spans="17:17" x14ac:dyDescent="0.25">
      <c r="Q32722" s="8"/>
    </row>
    <row r="32723" spans="17:17" x14ac:dyDescent="0.25">
      <c r="Q32723" s="8"/>
    </row>
    <row r="32724" spans="17:17" x14ac:dyDescent="0.25">
      <c r="Q32724" s="8"/>
    </row>
    <row r="32725" spans="17:17" x14ac:dyDescent="0.25">
      <c r="Q32725" s="8"/>
    </row>
    <row r="32726" spans="17:17" x14ac:dyDescent="0.25">
      <c r="Q32726" s="8"/>
    </row>
    <row r="32727" spans="17:17" x14ac:dyDescent="0.25">
      <c r="Q32727" s="8"/>
    </row>
    <row r="32728" spans="17:17" x14ac:dyDescent="0.25">
      <c r="Q32728" s="8"/>
    </row>
    <row r="32729" spans="17:17" x14ac:dyDescent="0.25">
      <c r="Q32729" s="8"/>
    </row>
    <row r="32730" spans="17:17" x14ac:dyDescent="0.25">
      <c r="Q32730" s="8"/>
    </row>
    <row r="32731" spans="17:17" x14ac:dyDescent="0.25">
      <c r="Q32731" s="8"/>
    </row>
    <row r="32732" spans="17:17" x14ac:dyDescent="0.25">
      <c r="Q32732" s="8"/>
    </row>
    <row r="32733" spans="17:17" x14ac:dyDescent="0.25">
      <c r="Q32733" s="8"/>
    </row>
    <row r="32734" spans="17:17" x14ac:dyDescent="0.25">
      <c r="Q32734" s="8"/>
    </row>
    <row r="32735" spans="17:17" x14ac:dyDescent="0.25">
      <c r="Q32735" s="8"/>
    </row>
    <row r="32736" spans="17:17" x14ac:dyDescent="0.25">
      <c r="Q32736" s="8"/>
    </row>
    <row r="32737" spans="17:17" x14ac:dyDescent="0.25">
      <c r="Q32737" s="8"/>
    </row>
    <row r="32738" spans="17:17" x14ac:dyDescent="0.25">
      <c r="Q32738" s="8"/>
    </row>
    <row r="32739" spans="17:17" x14ac:dyDescent="0.25">
      <c r="Q32739" s="8"/>
    </row>
    <row r="32740" spans="17:17" x14ac:dyDescent="0.25">
      <c r="Q32740" s="8"/>
    </row>
    <row r="32741" spans="17:17" x14ac:dyDescent="0.25">
      <c r="Q32741" s="8"/>
    </row>
    <row r="32742" spans="17:17" x14ac:dyDescent="0.25">
      <c r="Q32742" s="8"/>
    </row>
    <row r="32743" spans="17:17" x14ac:dyDescent="0.25">
      <c r="Q32743" s="8"/>
    </row>
    <row r="32744" spans="17:17" x14ac:dyDescent="0.25">
      <c r="Q32744" s="8"/>
    </row>
    <row r="32745" spans="17:17" x14ac:dyDescent="0.25">
      <c r="Q32745" s="8"/>
    </row>
    <row r="32746" spans="17:17" x14ac:dyDescent="0.25">
      <c r="Q32746" s="8"/>
    </row>
    <row r="32747" spans="17:17" x14ac:dyDescent="0.25">
      <c r="Q32747" s="8"/>
    </row>
    <row r="32748" spans="17:17" x14ac:dyDescent="0.25">
      <c r="Q32748" s="8"/>
    </row>
    <row r="32749" spans="17:17" x14ac:dyDescent="0.25">
      <c r="Q32749" s="8"/>
    </row>
    <row r="32750" spans="17:17" x14ac:dyDescent="0.25">
      <c r="Q32750" s="8"/>
    </row>
    <row r="32751" spans="17:17" x14ac:dyDescent="0.25">
      <c r="Q32751" s="8"/>
    </row>
    <row r="32752" spans="17:17" x14ac:dyDescent="0.25">
      <c r="Q32752" s="8"/>
    </row>
    <row r="32753" spans="17:17" x14ac:dyDescent="0.25">
      <c r="Q32753" s="8"/>
    </row>
    <row r="32754" spans="17:17" x14ac:dyDescent="0.25">
      <c r="Q32754" s="8"/>
    </row>
    <row r="32755" spans="17:17" x14ac:dyDescent="0.25">
      <c r="Q32755" s="8"/>
    </row>
    <row r="32756" spans="17:17" x14ac:dyDescent="0.25">
      <c r="Q32756" s="8"/>
    </row>
    <row r="32757" spans="17:17" x14ac:dyDescent="0.25">
      <c r="Q32757" s="8"/>
    </row>
    <row r="32758" spans="17:17" x14ac:dyDescent="0.25">
      <c r="Q32758" s="8"/>
    </row>
    <row r="32759" spans="17:17" x14ac:dyDescent="0.25">
      <c r="Q32759" s="8"/>
    </row>
    <row r="32760" spans="17:17" x14ac:dyDescent="0.25">
      <c r="Q32760" s="8"/>
    </row>
    <row r="32761" spans="17:17" x14ac:dyDescent="0.25">
      <c r="Q32761" s="8"/>
    </row>
    <row r="32762" spans="17:17" x14ac:dyDescent="0.25">
      <c r="Q32762" s="8"/>
    </row>
    <row r="32763" spans="17:17" x14ac:dyDescent="0.25">
      <c r="Q32763" s="8"/>
    </row>
    <row r="32764" spans="17:17" x14ac:dyDescent="0.25">
      <c r="Q32764" s="8"/>
    </row>
    <row r="32765" spans="17:17" x14ac:dyDescent="0.25">
      <c r="Q32765" s="8"/>
    </row>
    <row r="32766" spans="17:17" x14ac:dyDescent="0.25">
      <c r="Q32766" s="8"/>
    </row>
    <row r="32767" spans="17:17" x14ac:dyDescent="0.25">
      <c r="Q32767" s="8"/>
    </row>
    <row r="32768" spans="17:17" x14ac:dyDescent="0.25">
      <c r="Q32768" s="8"/>
    </row>
    <row r="32769" spans="17:17" x14ac:dyDescent="0.25">
      <c r="Q32769" s="8"/>
    </row>
    <row r="32770" spans="17:17" x14ac:dyDescent="0.25">
      <c r="Q32770" s="8"/>
    </row>
    <row r="32771" spans="17:17" x14ac:dyDescent="0.25">
      <c r="Q32771" s="8"/>
    </row>
    <row r="32772" spans="17:17" x14ac:dyDescent="0.25">
      <c r="Q32772" s="8"/>
    </row>
    <row r="32773" spans="17:17" x14ac:dyDescent="0.25">
      <c r="Q32773" s="8"/>
    </row>
    <row r="32774" spans="17:17" x14ac:dyDescent="0.25">
      <c r="Q32774" s="8"/>
    </row>
    <row r="32775" spans="17:17" x14ac:dyDescent="0.25">
      <c r="Q32775" s="8"/>
    </row>
    <row r="32776" spans="17:17" x14ac:dyDescent="0.25">
      <c r="Q32776" s="8"/>
    </row>
    <row r="32777" spans="17:17" x14ac:dyDescent="0.25">
      <c r="Q32777" s="8"/>
    </row>
    <row r="32778" spans="17:17" x14ac:dyDescent="0.25">
      <c r="Q32778" s="8"/>
    </row>
    <row r="32779" spans="17:17" x14ac:dyDescent="0.25">
      <c r="Q32779" s="8"/>
    </row>
    <row r="32780" spans="17:17" x14ac:dyDescent="0.25">
      <c r="Q32780" s="8"/>
    </row>
    <row r="32781" spans="17:17" x14ac:dyDescent="0.25">
      <c r="Q32781" s="8"/>
    </row>
    <row r="32782" spans="17:17" x14ac:dyDescent="0.25">
      <c r="Q32782" s="8"/>
    </row>
    <row r="32783" spans="17:17" x14ac:dyDescent="0.25">
      <c r="Q32783" s="8"/>
    </row>
    <row r="32784" spans="17:17" x14ac:dyDescent="0.25">
      <c r="Q32784" s="8"/>
    </row>
    <row r="32785" spans="17:17" x14ac:dyDescent="0.25">
      <c r="Q32785" s="8"/>
    </row>
    <row r="32786" spans="17:17" x14ac:dyDescent="0.25">
      <c r="Q32786" s="8"/>
    </row>
    <row r="32787" spans="17:17" x14ac:dyDescent="0.25">
      <c r="Q32787" s="8"/>
    </row>
    <row r="32788" spans="17:17" x14ac:dyDescent="0.25">
      <c r="Q32788" s="8"/>
    </row>
    <row r="32789" spans="17:17" x14ac:dyDescent="0.25">
      <c r="Q32789" s="8"/>
    </row>
    <row r="32790" spans="17:17" x14ac:dyDescent="0.25">
      <c r="Q32790" s="8"/>
    </row>
    <row r="32791" spans="17:17" x14ac:dyDescent="0.25">
      <c r="Q32791" s="8"/>
    </row>
    <row r="32792" spans="17:17" x14ac:dyDescent="0.25">
      <c r="Q32792" s="8"/>
    </row>
    <row r="32793" spans="17:17" x14ac:dyDescent="0.25">
      <c r="Q32793" s="8"/>
    </row>
    <row r="32794" spans="17:17" x14ac:dyDescent="0.25">
      <c r="Q32794" s="8"/>
    </row>
    <row r="32795" spans="17:17" x14ac:dyDescent="0.25">
      <c r="Q32795" s="8"/>
    </row>
    <row r="32796" spans="17:17" x14ac:dyDescent="0.25">
      <c r="Q32796" s="8"/>
    </row>
    <row r="32797" spans="17:17" x14ac:dyDescent="0.25">
      <c r="Q32797" s="8"/>
    </row>
    <row r="32798" spans="17:17" x14ac:dyDescent="0.25">
      <c r="Q32798" s="8"/>
    </row>
    <row r="32799" spans="17:17" x14ac:dyDescent="0.25">
      <c r="Q32799" s="8"/>
    </row>
    <row r="32800" spans="17:17" x14ac:dyDescent="0.25">
      <c r="Q32800" s="8"/>
    </row>
    <row r="32801" spans="17:17" x14ac:dyDescent="0.25">
      <c r="Q32801" s="8"/>
    </row>
    <row r="32802" spans="17:17" x14ac:dyDescent="0.25">
      <c r="Q32802" s="8"/>
    </row>
    <row r="32803" spans="17:17" x14ac:dyDescent="0.25">
      <c r="Q32803" s="8"/>
    </row>
    <row r="32804" spans="17:17" x14ac:dyDescent="0.25">
      <c r="Q32804" s="8"/>
    </row>
    <row r="32805" spans="17:17" x14ac:dyDescent="0.25">
      <c r="Q32805" s="8"/>
    </row>
    <row r="32806" spans="17:17" x14ac:dyDescent="0.25">
      <c r="Q32806" s="8"/>
    </row>
    <row r="32807" spans="17:17" x14ac:dyDescent="0.25">
      <c r="Q32807" s="8"/>
    </row>
    <row r="32808" spans="17:17" x14ac:dyDescent="0.25">
      <c r="Q32808" s="8"/>
    </row>
    <row r="32809" spans="17:17" x14ac:dyDescent="0.25">
      <c r="Q32809" s="8"/>
    </row>
    <row r="32810" spans="17:17" x14ac:dyDescent="0.25">
      <c r="Q32810" s="8"/>
    </row>
    <row r="32811" spans="17:17" x14ac:dyDescent="0.25">
      <c r="Q32811" s="8"/>
    </row>
    <row r="32812" spans="17:17" x14ac:dyDescent="0.25">
      <c r="Q32812" s="8"/>
    </row>
    <row r="32813" spans="17:17" x14ac:dyDescent="0.25">
      <c r="Q32813" s="8"/>
    </row>
    <row r="32814" spans="17:17" x14ac:dyDescent="0.25">
      <c r="Q32814" s="8"/>
    </row>
    <row r="32815" spans="17:17" x14ac:dyDescent="0.25">
      <c r="Q32815" s="8"/>
    </row>
    <row r="32816" spans="17:17" x14ac:dyDescent="0.25">
      <c r="Q32816" s="8"/>
    </row>
    <row r="32817" spans="17:17" x14ac:dyDescent="0.25">
      <c r="Q32817" s="8"/>
    </row>
    <row r="32818" spans="17:17" x14ac:dyDescent="0.25">
      <c r="Q32818" s="8"/>
    </row>
    <row r="32819" spans="17:17" x14ac:dyDescent="0.25">
      <c r="Q32819" s="8"/>
    </row>
    <row r="32820" spans="17:17" x14ac:dyDescent="0.25">
      <c r="Q32820" s="8"/>
    </row>
    <row r="32821" spans="17:17" x14ac:dyDescent="0.25">
      <c r="Q32821" s="8"/>
    </row>
    <row r="32822" spans="17:17" x14ac:dyDescent="0.25">
      <c r="Q32822" s="8"/>
    </row>
    <row r="32823" spans="17:17" x14ac:dyDescent="0.25">
      <c r="Q32823" s="8"/>
    </row>
    <row r="32824" spans="17:17" x14ac:dyDescent="0.25">
      <c r="Q32824" s="8"/>
    </row>
    <row r="32825" spans="17:17" x14ac:dyDescent="0.25">
      <c r="Q32825" s="8"/>
    </row>
    <row r="32826" spans="17:17" x14ac:dyDescent="0.25">
      <c r="Q32826" s="8"/>
    </row>
    <row r="32827" spans="17:17" x14ac:dyDescent="0.25">
      <c r="Q32827" s="8"/>
    </row>
    <row r="32828" spans="17:17" x14ac:dyDescent="0.25">
      <c r="Q32828" s="8"/>
    </row>
    <row r="32829" spans="17:17" x14ac:dyDescent="0.25">
      <c r="Q32829" s="8"/>
    </row>
    <row r="32830" spans="17:17" x14ac:dyDescent="0.25">
      <c r="Q32830" s="8"/>
    </row>
    <row r="32831" spans="17:17" x14ac:dyDescent="0.25">
      <c r="Q32831" s="8"/>
    </row>
    <row r="32832" spans="17:17" x14ac:dyDescent="0.25">
      <c r="Q32832" s="8"/>
    </row>
    <row r="32833" spans="17:17" x14ac:dyDescent="0.25">
      <c r="Q32833" s="8"/>
    </row>
    <row r="32834" spans="17:17" x14ac:dyDescent="0.25">
      <c r="Q32834" s="8"/>
    </row>
    <row r="32835" spans="17:17" x14ac:dyDescent="0.25">
      <c r="Q32835" s="8"/>
    </row>
    <row r="32836" spans="17:17" x14ac:dyDescent="0.25">
      <c r="Q32836" s="8"/>
    </row>
    <row r="32837" spans="17:17" x14ac:dyDescent="0.25">
      <c r="Q32837" s="8"/>
    </row>
    <row r="32838" spans="17:17" x14ac:dyDescent="0.25">
      <c r="Q32838" s="8"/>
    </row>
    <row r="32839" spans="17:17" x14ac:dyDescent="0.25">
      <c r="Q32839" s="8"/>
    </row>
    <row r="32840" spans="17:17" x14ac:dyDescent="0.25">
      <c r="Q32840" s="8"/>
    </row>
    <row r="32841" spans="17:17" x14ac:dyDescent="0.25">
      <c r="Q32841" s="8"/>
    </row>
    <row r="32842" spans="17:17" x14ac:dyDescent="0.25">
      <c r="Q32842" s="8"/>
    </row>
    <row r="32843" spans="17:17" x14ac:dyDescent="0.25">
      <c r="Q32843" s="8"/>
    </row>
    <row r="32844" spans="17:17" x14ac:dyDescent="0.25">
      <c r="Q32844" s="8"/>
    </row>
    <row r="32845" spans="17:17" x14ac:dyDescent="0.25">
      <c r="Q32845" s="8"/>
    </row>
    <row r="32846" spans="17:17" x14ac:dyDescent="0.25">
      <c r="Q32846" s="8"/>
    </row>
    <row r="32847" spans="17:17" x14ac:dyDescent="0.25">
      <c r="Q32847" s="8"/>
    </row>
    <row r="32848" spans="17:17" x14ac:dyDescent="0.25">
      <c r="Q32848" s="8"/>
    </row>
    <row r="32849" spans="17:17" x14ac:dyDescent="0.25">
      <c r="Q32849" s="8"/>
    </row>
    <row r="32850" spans="17:17" x14ac:dyDescent="0.25">
      <c r="Q32850" s="8"/>
    </row>
    <row r="32851" spans="17:17" x14ac:dyDescent="0.25">
      <c r="Q32851" s="8"/>
    </row>
    <row r="32852" spans="17:17" x14ac:dyDescent="0.25">
      <c r="Q32852" s="8"/>
    </row>
    <row r="32853" spans="17:17" x14ac:dyDescent="0.25">
      <c r="Q32853" s="8"/>
    </row>
    <row r="32854" spans="17:17" x14ac:dyDescent="0.25">
      <c r="Q32854" s="8"/>
    </row>
    <row r="32855" spans="17:17" x14ac:dyDescent="0.25">
      <c r="Q32855" s="8"/>
    </row>
    <row r="32856" spans="17:17" x14ac:dyDescent="0.25">
      <c r="Q32856" s="8"/>
    </row>
    <row r="32857" spans="17:17" x14ac:dyDescent="0.25">
      <c r="Q32857" s="8"/>
    </row>
    <row r="32858" spans="17:17" x14ac:dyDescent="0.25">
      <c r="Q32858" s="8"/>
    </row>
    <row r="32859" spans="17:17" x14ac:dyDescent="0.25">
      <c r="Q32859" s="8"/>
    </row>
    <row r="32860" spans="17:17" x14ac:dyDescent="0.25">
      <c r="Q32860" s="8"/>
    </row>
    <row r="32861" spans="17:17" x14ac:dyDescent="0.25">
      <c r="Q32861" s="8"/>
    </row>
    <row r="32862" spans="17:17" x14ac:dyDescent="0.25">
      <c r="Q32862" s="8"/>
    </row>
    <row r="32863" spans="17:17" x14ac:dyDescent="0.25">
      <c r="Q32863" s="8"/>
    </row>
    <row r="32864" spans="17:17" x14ac:dyDescent="0.25">
      <c r="Q32864" s="8"/>
    </row>
    <row r="32865" spans="17:17" x14ac:dyDescent="0.25">
      <c r="Q32865" s="8"/>
    </row>
    <row r="32866" spans="17:17" x14ac:dyDescent="0.25">
      <c r="Q32866" s="8"/>
    </row>
    <row r="32867" spans="17:17" x14ac:dyDescent="0.25">
      <c r="Q32867" s="8"/>
    </row>
    <row r="32868" spans="17:17" x14ac:dyDescent="0.25">
      <c r="Q32868" s="8"/>
    </row>
    <row r="32869" spans="17:17" x14ac:dyDescent="0.25">
      <c r="Q32869" s="8"/>
    </row>
    <row r="32870" spans="17:17" x14ac:dyDescent="0.25">
      <c r="Q32870" s="8"/>
    </row>
    <row r="32871" spans="17:17" x14ac:dyDescent="0.25">
      <c r="Q32871" s="8"/>
    </row>
    <row r="32872" spans="17:17" x14ac:dyDescent="0.25">
      <c r="Q32872" s="8"/>
    </row>
    <row r="32873" spans="17:17" x14ac:dyDescent="0.25">
      <c r="Q32873" s="8"/>
    </row>
    <row r="32874" spans="17:17" x14ac:dyDescent="0.25">
      <c r="Q32874" s="8"/>
    </row>
    <row r="32875" spans="17:17" x14ac:dyDescent="0.25">
      <c r="Q32875" s="8"/>
    </row>
    <row r="32876" spans="17:17" x14ac:dyDescent="0.25">
      <c r="Q32876" s="8"/>
    </row>
    <row r="32877" spans="17:17" x14ac:dyDescent="0.25">
      <c r="Q32877" s="8"/>
    </row>
    <row r="32878" spans="17:17" x14ac:dyDescent="0.25">
      <c r="Q32878" s="8"/>
    </row>
    <row r="32879" spans="17:17" x14ac:dyDescent="0.25">
      <c r="Q32879" s="8"/>
    </row>
    <row r="32880" spans="17:17" x14ac:dyDescent="0.25">
      <c r="Q32880" s="8"/>
    </row>
    <row r="32881" spans="17:17" x14ac:dyDescent="0.25">
      <c r="Q32881" s="8"/>
    </row>
    <row r="32882" spans="17:17" x14ac:dyDescent="0.25">
      <c r="Q32882" s="8"/>
    </row>
    <row r="32883" spans="17:17" x14ac:dyDescent="0.25">
      <c r="Q32883" s="8"/>
    </row>
    <row r="32884" spans="17:17" x14ac:dyDescent="0.25">
      <c r="Q32884" s="8"/>
    </row>
    <row r="32885" spans="17:17" x14ac:dyDescent="0.25">
      <c r="Q32885" s="8"/>
    </row>
    <row r="32886" spans="17:17" x14ac:dyDescent="0.25">
      <c r="Q32886" s="8"/>
    </row>
    <row r="32887" spans="17:17" x14ac:dyDescent="0.25">
      <c r="Q32887" s="8"/>
    </row>
    <row r="32888" spans="17:17" x14ac:dyDescent="0.25">
      <c r="Q32888" s="8"/>
    </row>
    <row r="32889" spans="17:17" x14ac:dyDescent="0.25">
      <c r="Q32889" s="8"/>
    </row>
    <row r="32890" spans="17:17" x14ac:dyDescent="0.25">
      <c r="Q32890" s="8"/>
    </row>
    <row r="32891" spans="17:17" x14ac:dyDescent="0.25">
      <c r="Q32891" s="8"/>
    </row>
    <row r="32892" spans="17:17" x14ac:dyDescent="0.25">
      <c r="Q32892" s="8"/>
    </row>
    <row r="32893" spans="17:17" x14ac:dyDescent="0.25">
      <c r="Q32893" s="8"/>
    </row>
    <row r="32894" spans="17:17" x14ac:dyDescent="0.25">
      <c r="Q32894" s="8"/>
    </row>
    <row r="32895" spans="17:17" x14ac:dyDescent="0.25">
      <c r="Q32895" s="8"/>
    </row>
    <row r="32896" spans="17:17" x14ac:dyDescent="0.25">
      <c r="Q32896" s="8"/>
    </row>
    <row r="32897" spans="17:17" x14ac:dyDescent="0.25">
      <c r="Q32897" s="8"/>
    </row>
    <row r="32898" spans="17:17" x14ac:dyDescent="0.25">
      <c r="Q32898" s="8"/>
    </row>
    <row r="32899" spans="17:17" x14ac:dyDescent="0.25">
      <c r="Q32899" s="8"/>
    </row>
    <row r="32900" spans="17:17" x14ac:dyDescent="0.25">
      <c r="Q32900" s="8"/>
    </row>
    <row r="32901" spans="17:17" x14ac:dyDescent="0.25">
      <c r="Q32901" s="8"/>
    </row>
    <row r="32902" spans="17:17" x14ac:dyDescent="0.25">
      <c r="Q32902" s="8"/>
    </row>
    <row r="32903" spans="17:17" x14ac:dyDescent="0.25">
      <c r="Q32903" s="8"/>
    </row>
    <row r="32904" spans="17:17" x14ac:dyDescent="0.25">
      <c r="Q32904" s="8"/>
    </row>
    <row r="32905" spans="17:17" x14ac:dyDescent="0.25">
      <c r="Q32905" s="8"/>
    </row>
    <row r="32906" spans="17:17" x14ac:dyDescent="0.25">
      <c r="Q32906" s="8"/>
    </row>
    <row r="32907" spans="17:17" x14ac:dyDescent="0.25">
      <c r="Q32907" s="8"/>
    </row>
    <row r="32908" spans="17:17" x14ac:dyDescent="0.25">
      <c r="Q32908" s="8"/>
    </row>
    <row r="32909" spans="17:17" x14ac:dyDescent="0.25">
      <c r="Q32909" s="8"/>
    </row>
    <row r="32910" spans="17:17" x14ac:dyDescent="0.25">
      <c r="Q32910" s="8"/>
    </row>
    <row r="32911" spans="17:17" x14ac:dyDescent="0.25">
      <c r="Q32911" s="8"/>
    </row>
    <row r="32912" spans="17:17" x14ac:dyDescent="0.25">
      <c r="Q32912" s="8"/>
    </row>
    <row r="32913" spans="17:17" x14ac:dyDescent="0.25">
      <c r="Q32913" s="8"/>
    </row>
    <row r="32914" spans="17:17" x14ac:dyDescent="0.25">
      <c r="Q32914" s="8"/>
    </row>
    <row r="32915" spans="17:17" x14ac:dyDescent="0.25">
      <c r="Q32915" s="8"/>
    </row>
    <row r="32916" spans="17:17" x14ac:dyDescent="0.25">
      <c r="Q32916" s="8"/>
    </row>
    <row r="32917" spans="17:17" x14ac:dyDescent="0.25">
      <c r="Q32917" s="8"/>
    </row>
    <row r="32918" spans="17:17" x14ac:dyDescent="0.25">
      <c r="Q32918" s="8"/>
    </row>
    <row r="32919" spans="17:17" x14ac:dyDescent="0.25">
      <c r="Q32919" s="8"/>
    </row>
    <row r="32920" spans="17:17" x14ac:dyDescent="0.25">
      <c r="Q32920" s="8"/>
    </row>
    <row r="32921" spans="17:17" x14ac:dyDescent="0.25">
      <c r="Q32921" s="8"/>
    </row>
    <row r="32922" spans="17:17" x14ac:dyDescent="0.25">
      <c r="Q32922" s="8"/>
    </row>
    <row r="32923" spans="17:17" x14ac:dyDescent="0.25">
      <c r="Q32923" s="8"/>
    </row>
    <row r="32924" spans="17:17" x14ac:dyDescent="0.25">
      <c r="Q32924" s="8"/>
    </row>
    <row r="32925" spans="17:17" x14ac:dyDescent="0.25">
      <c r="Q32925" s="8"/>
    </row>
    <row r="32926" spans="17:17" x14ac:dyDescent="0.25">
      <c r="Q32926" s="8"/>
    </row>
    <row r="32927" spans="17:17" x14ac:dyDescent="0.25">
      <c r="Q32927" s="8"/>
    </row>
    <row r="32928" spans="17:17" x14ac:dyDescent="0.25">
      <c r="Q32928" s="8"/>
    </row>
    <row r="32929" spans="17:17" x14ac:dyDescent="0.25">
      <c r="Q32929" s="8"/>
    </row>
    <row r="32930" spans="17:17" x14ac:dyDescent="0.25">
      <c r="Q32930" s="8"/>
    </row>
    <row r="32931" spans="17:17" x14ac:dyDescent="0.25">
      <c r="Q32931" s="8"/>
    </row>
    <row r="32932" spans="17:17" x14ac:dyDescent="0.25">
      <c r="Q32932" s="8"/>
    </row>
    <row r="32933" spans="17:17" x14ac:dyDescent="0.25">
      <c r="Q32933" s="8"/>
    </row>
    <row r="32934" spans="17:17" x14ac:dyDescent="0.25">
      <c r="Q32934" s="8"/>
    </row>
    <row r="32935" spans="17:17" x14ac:dyDescent="0.25">
      <c r="Q32935" s="8"/>
    </row>
    <row r="32936" spans="17:17" x14ac:dyDescent="0.25">
      <c r="Q32936" s="8"/>
    </row>
    <row r="32937" spans="17:17" x14ac:dyDescent="0.25">
      <c r="Q32937" s="8"/>
    </row>
    <row r="32938" spans="17:17" x14ac:dyDescent="0.25">
      <c r="Q32938" s="8"/>
    </row>
    <row r="32939" spans="17:17" x14ac:dyDescent="0.25">
      <c r="Q32939" s="8"/>
    </row>
    <row r="32940" spans="17:17" x14ac:dyDescent="0.25">
      <c r="Q32940" s="8"/>
    </row>
    <row r="32941" spans="17:17" x14ac:dyDescent="0.25">
      <c r="Q32941" s="8"/>
    </row>
    <row r="32942" spans="17:17" x14ac:dyDescent="0.25">
      <c r="Q32942" s="8"/>
    </row>
    <row r="32943" spans="17:17" x14ac:dyDescent="0.25">
      <c r="Q32943" s="8"/>
    </row>
    <row r="32944" spans="17:17" x14ac:dyDescent="0.25">
      <c r="Q32944" s="8"/>
    </row>
    <row r="32945" spans="17:17" x14ac:dyDescent="0.25">
      <c r="Q32945" s="8"/>
    </row>
    <row r="32946" spans="17:17" x14ac:dyDescent="0.25">
      <c r="Q32946" s="8"/>
    </row>
    <row r="32947" spans="17:17" x14ac:dyDescent="0.25">
      <c r="Q32947" s="8"/>
    </row>
    <row r="32948" spans="17:17" x14ac:dyDescent="0.25">
      <c r="Q32948" s="8"/>
    </row>
    <row r="32949" spans="17:17" x14ac:dyDescent="0.25">
      <c r="Q32949" s="8"/>
    </row>
    <row r="32950" spans="17:17" x14ac:dyDescent="0.25">
      <c r="Q32950" s="8"/>
    </row>
    <row r="32951" spans="17:17" x14ac:dyDescent="0.25">
      <c r="Q32951" s="8"/>
    </row>
    <row r="32952" spans="17:17" x14ac:dyDescent="0.25">
      <c r="Q32952" s="8"/>
    </row>
    <row r="32953" spans="17:17" x14ac:dyDescent="0.25">
      <c r="Q32953" s="8"/>
    </row>
    <row r="32954" spans="17:17" x14ac:dyDescent="0.25">
      <c r="Q32954" s="8"/>
    </row>
    <row r="32955" spans="17:17" x14ac:dyDescent="0.25">
      <c r="Q32955" s="8"/>
    </row>
    <row r="32956" spans="17:17" x14ac:dyDescent="0.25">
      <c r="Q32956" s="8"/>
    </row>
    <row r="32957" spans="17:17" x14ac:dyDescent="0.25">
      <c r="Q32957" s="8"/>
    </row>
    <row r="32958" spans="17:17" x14ac:dyDescent="0.25">
      <c r="Q32958" s="8"/>
    </row>
    <row r="32959" spans="17:17" x14ac:dyDescent="0.25">
      <c r="Q32959" s="8"/>
    </row>
    <row r="32960" spans="17:17" x14ac:dyDescent="0.25">
      <c r="Q32960" s="8"/>
    </row>
    <row r="32961" spans="17:17" x14ac:dyDescent="0.25">
      <c r="Q32961" s="8"/>
    </row>
    <row r="32962" spans="17:17" x14ac:dyDescent="0.25">
      <c r="Q32962" s="8"/>
    </row>
    <row r="32963" spans="17:17" x14ac:dyDescent="0.25">
      <c r="Q32963" s="8"/>
    </row>
    <row r="32964" spans="17:17" x14ac:dyDescent="0.25">
      <c r="Q32964" s="8"/>
    </row>
    <row r="32965" spans="17:17" x14ac:dyDescent="0.25">
      <c r="Q32965" s="8"/>
    </row>
    <row r="32966" spans="17:17" x14ac:dyDescent="0.25">
      <c r="Q32966" s="8"/>
    </row>
    <row r="32967" spans="17:17" x14ac:dyDescent="0.25">
      <c r="Q32967" s="8"/>
    </row>
    <row r="32968" spans="17:17" x14ac:dyDescent="0.25">
      <c r="Q32968" s="8"/>
    </row>
    <row r="32969" spans="17:17" x14ac:dyDescent="0.25">
      <c r="Q32969" s="8"/>
    </row>
    <row r="32970" spans="17:17" x14ac:dyDescent="0.25">
      <c r="Q32970" s="8"/>
    </row>
    <row r="32971" spans="17:17" x14ac:dyDescent="0.25">
      <c r="Q32971" s="8"/>
    </row>
    <row r="32972" spans="17:17" x14ac:dyDescent="0.25">
      <c r="Q32972" s="8"/>
    </row>
    <row r="32973" spans="17:17" x14ac:dyDescent="0.25">
      <c r="Q32973" s="8"/>
    </row>
    <row r="32974" spans="17:17" x14ac:dyDescent="0.25">
      <c r="Q32974" s="8"/>
    </row>
    <row r="32975" spans="17:17" x14ac:dyDescent="0.25">
      <c r="Q32975" s="8"/>
    </row>
    <row r="32976" spans="17:17" x14ac:dyDescent="0.25">
      <c r="Q32976" s="8"/>
    </row>
    <row r="32977" spans="17:17" x14ac:dyDescent="0.25">
      <c r="Q32977" s="8"/>
    </row>
    <row r="32978" spans="17:17" x14ac:dyDescent="0.25">
      <c r="Q32978" s="8"/>
    </row>
    <row r="32979" spans="17:17" x14ac:dyDescent="0.25">
      <c r="Q32979" s="8"/>
    </row>
    <row r="32980" spans="17:17" x14ac:dyDescent="0.25">
      <c r="Q32980" s="8"/>
    </row>
    <row r="32981" spans="17:17" x14ac:dyDescent="0.25">
      <c r="Q32981" s="8"/>
    </row>
    <row r="32982" spans="17:17" x14ac:dyDescent="0.25">
      <c r="Q32982" s="8"/>
    </row>
    <row r="32983" spans="17:17" x14ac:dyDescent="0.25">
      <c r="Q32983" s="8"/>
    </row>
    <row r="32984" spans="17:17" x14ac:dyDescent="0.25">
      <c r="Q32984" s="8"/>
    </row>
    <row r="32985" spans="17:17" x14ac:dyDescent="0.25">
      <c r="Q32985" s="8"/>
    </row>
    <row r="32986" spans="17:17" x14ac:dyDescent="0.25">
      <c r="Q32986" s="8"/>
    </row>
    <row r="32987" spans="17:17" x14ac:dyDescent="0.25">
      <c r="Q32987" s="8"/>
    </row>
    <row r="32988" spans="17:17" x14ac:dyDescent="0.25">
      <c r="Q32988" s="8"/>
    </row>
    <row r="32989" spans="17:17" x14ac:dyDescent="0.25">
      <c r="Q32989" s="8"/>
    </row>
    <row r="32990" spans="17:17" x14ac:dyDescent="0.25">
      <c r="Q32990" s="8"/>
    </row>
    <row r="32991" spans="17:17" x14ac:dyDescent="0.25">
      <c r="Q32991" s="8"/>
    </row>
    <row r="32992" spans="17:17" x14ac:dyDescent="0.25">
      <c r="Q32992" s="8"/>
    </row>
    <row r="32993" spans="17:17" x14ac:dyDescent="0.25">
      <c r="Q32993" s="8"/>
    </row>
    <row r="32994" spans="17:17" x14ac:dyDescent="0.25">
      <c r="Q32994" s="8"/>
    </row>
    <row r="32995" spans="17:17" x14ac:dyDescent="0.25">
      <c r="Q32995" s="8"/>
    </row>
    <row r="32996" spans="17:17" x14ac:dyDescent="0.25">
      <c r="Q32996" s="8"/>
    </row>
    <row r="32997" spans="17:17" x14ac:dyDescent="0.25">
      <c r="Q32997" s="8"/>
    </row>
    <row r="32998" spans="17:17" x14ac:dyDescent="0.25">
      <c r="Q32998" s="8"/>
    </row>
    <row r="32999" spans="17:17" x14ac:dyDescent="0.25">
      <c r="Q32999" s="8"/>
    </row>
    <row r="33000" spans="17:17" x14ac:dyDescent="0.25">
      <c r="Q33000" s="8"/>
    </row>
    <row r="33001" spans="17:17" x14ac:dyDescent="0.25">
      <c r="Q33001" s="8"/>
    </row>
    <row r="33002" spans="17:17" x14ac:dyDescent="0.25">
      <c r="Q33002" s="8"/>
    </row>
    <row r="33003" spans="17:17" x14ac:dyDescent="0.25">
      <c r="Q33003" s="8"/>
    </row>
    <row r="33004" spans="17:17" x14ac:dyDescent="0.25">
      <c r="Q33004" s="8"/>
    </row>
    <row r="33005" spans="17:17" x14ac:dyDescent="0.25">
      <c r="Q33005" s="8"/>
    </row>
    <row r="33006" spans="17:17" x14ac:dyDescent="0.25">
      <c r="Q33006" s="8"/>
    </row>
    <row r="33007" spans="17:17" x14ac:dyDescent="0.25">
      <c r="Q33007" s="8"/>
    </row>
    <row r="33008" spans="17:17" x14ac:dyDescent="0.25">
      <c r="Q33008" s="8"/>
    </row>
    <row r="33009" spans="17:17" x14ac:dyDescent="0.25">
      <c r="Q33009" s="8"/>
    </row>
    <row r="33010" spans="17:17" x14ac:dyDescent="0.25">
      <c r="Q33010" s="8"/>
    </row>
    <row r="33011" spans="17:17" x14ac:dyDescent="0.25">
      <c r="Q33011" s="8"/>
    </row>
    <row r="33012" spans="17:17" x14ac:dyDescent="0.25">
      <c r="Q33012" s="8"/>
    </row>
    <row r="33013" spans="17:17" x14ac:dyDescent="0.25">
      <c r="Q33013" s="8"/>
    </row>
    <row r="33014" spans="17:17" x14ac:dyDescent="0.25">
      <c r="Q33014" s="8"/>
    </row>
    <row r="33015" spans="17:17" x14ac:dyDescent="0.25">
      <c r="Q33015" s="8"/>
    </row>
    <row r="33016" spans="17:17" x14ac:dyDescent="0.25">
      <c r="Q33016" s="8"/>
    </row>
    <row r="33017" spans="17:17" x14ac:dyDescent="0.25">
      <c r="Q33017" s="8"/>
    </row>
    <row r="33018" spans="17:17" x14ac:dyDescent="0.25">
      <c r="Q33018" s="8"/>
    </row>
    <row r="33019" spans="17:17" x14ac:dyDescent="0.25">
      <c r="Q33019" s="8"/>
    </row>
    <row r="33020" spans="17:17" x14ac:dyDescent="0.25">
      <c r="Q33020" s="8"/>
    </row>
    <row r="33021" spans="17:17" x14ac:dyDescent="0.25">
      <c r="Q33021" s="8"/>
    </row>
    <row r="33022" spans="17:17" x14ac:dyDescent="0.25">
      <c r="Q33022" s="8"/>
    </row>
    <row r="33023" spans="17:17" x14ac:dyDescent="0.25">
      <c r="Q33023" s="8"/>
    </row>
    <row r="33024" spans="17:17" x14ac:dyDescent="0.25">
      <c r="Q33024" s="8"/>
    </row>
    <row r="33025" spans="17:17" x14ac:dyDescent="0.25">
      <c r="Q33025" s="8"/>
    </row>
    <row r="33026" spans="17:17" x14ac:dyDescent="0.25">
      <c r="Q33026" s="8"/>
    </row>
    <row r="33027" spans="17:17" x14ac:dyDescent="0.25">
      <c r="Q33027" s="8"/>
    </row>
    <row r="33028" spans="17:17" x14ac:dyDescent="0.25">
      <c r="Q33028" s="8"/>
    </row>
    <row r="33029" spans="17:17" x14ac:dyDescent="0.25">
      <c r="Q33029" s="8"/>
    </row>
    <row r="33030" spans="17:17" x14ac:dyDescent="0.25">
      <c r="Q33030" s="8"/>
    </row>
    <row r="33031" spans="17:17" x14ac:dyDescent="0.25">
      <c r="Q33031" s="8"/>
    </row>
    <row r="33032" spans="17:17" x14ac:dyDescent="0.25">
      <c r="Q33032" s="8"/>
    </row>
    <row r="33033" spans="17:17" x14ac:dyDescent="0.25">
      <c r="Q33033" s="8"/>
    </row>
    <row r="33034" spans="17:17" x14ac:dyDescent="0.25">
      <c r="Q33034" s="8"/>
    </row>
    <row r="33035" spans="17:17" x14ac:dyDescent="0.25">
      <c r="Q33035" s="8"/>
    </row>
    <row r="33036" spans="17:17" x14ac:dyDescent="0.25">
      <c r="Q33036" s="8"/>
    </row>
    <row r="33037" spans="17:17" x14ac:dyDescent="0.25">
      <c r="Q33037" s="8"/>
    </row>
    <row r="33038" spans="17:17" x14ac:dyDescent="0.25">
      <c r="Q33038" s="8"/>
    </row>
    <row r="33039" spans="17:17" x14ac:dyDescent="0.25">
      <c r="Q33039" s="8"/>
    </row>
    <row r="33040" spans="17:17" x14ac:dyDescent="0.25">
      <c r="Q33040" s="8"/>
    </row>
    <row r="33041" spans="17:17" x14ac:dyDescent="0.25">
      <c r="Q33041" s="8"/>
    </row>
    <row r="33042" spans="17:17" x14ac:dyDescent="0.25">
      <c r="Q33042" s="8"/>
    </row>
    <row r="33043" spans="17:17" x14ac:dyDescent="0.25">
      <c r="Q33043" s="8"/>
    </row>
    <row r="33044" spans="17:17" x14ac:dyDescent="0.25">
      <c r="Q33044" s="8"/>
    </row>
    <row r="33045" spans="17:17" x14ac:dyDescent="0.25">
      <c r="Q33045" s="8"/>
    </row>
    <row r="33046" spans="17:17" x14ac:dyDescent="0.25">
      <c r="Q33046" s="8"/>
    </row>
    <row r="33047" spans="17:17" x14ac:dyDescent="0.25">
      <c r="Q33047" s="8"/>
    </row>
    <row r="33048" spans="17:17" x14ac:dyDescent="0.25">
      <c r="Q33048" s="8"/>
    </row>
    <row r="33049" spans="17:17" x14ac:dyDescent="0.25">
      <c r="Q33049" s="8"/>
    </row>
    <row r="33050" spans="17:17" x14ac:dyDescent="0.25">
      <c r="Q33050" s="8"/>
    </row>
    <row r="33051" spans="17:17" x14ac:dyDescent="0.25">
      <c r="Q33051" s="8"/>
    </row>
    <row r="33052" spans="17:17" x14ac:dyDescent="0.25">
      <c r="Q33052" s="8"/>
    </row>
    <row r="33053" spans="17:17" x14ac:dyDescent="0.25">
      <c r="Q33053" s="8"/>
    </row>
    <row r="33054" spans="17:17" x14ac:dyDescent="0.25">
      <c r="Q33054" s="8"/>
    </row>
    <row r="33055" spans="17:17" x14ac:dyDescent="0.25">
      <c r="Q33055" s="8"/>
    </row>
    <row r="33056" spans="17:17" x14ac:dyDescent="0.25">
      <c r="Q33056" s="8"/>
    </row>
    <row r="33057" spans="17:17" x14ac:dyDescent="0.25">
      <c r="Q33057" s="8"/>
    </row>
    <row r="33058" spans="17:17" x14ac:dyDescent="0.25">
      <c r="Q33058" s="8"/>
    </row>
    <row r="33059" spans="17:17" x14ac:dyDescent="0.25">
      <c r="Q33059" s="8"/>
    </row>
    <row r="33060" spans="17:17" x14ac:dyDescent="0.25">
      <c r="Q33060" s="8"/>
    </row>
    <row r="33061" spans="17:17" x14ac:dyDescent="0.25">
      <c r="Q33061" s="8"/>
    </row>
    <row r="33062" spans="17:17" x14ac:dyDescent="0.25">
      <c r="Q33062" s="8"/>
    </row>
    <row r="33063" spans="17:17" x14ac:dyDescent="0.25">
      <c r="Q33063" s="8"/>
    </row>
    <row r="33064" spans="17:17" x14ac:dyDescent="0.25">
      <c r="Q33064" s="8"/>
    </row>
    <row r="33065" spans="17:17" x14ac:dyDescent="0.25">
      <c r="Q33065" s="8"/>
    </row>
    <row r="33066" spans="17:17" x14ac:dyDescent="0.25">
      <c r="Q33066" s="8"/>
    </row>
    <row r="33067" spans="17:17" x14ac:dyDescent="0.25">
      <c r="Q33067" s="8"/>
    </row>
    <row r="33068" spans="17:17" x14ac:dyDescent="0.25">
      <c r="Q33068" s="8"/>
    </row>
    <row r="33069" spans="17:17" x14ac:dyDescent="0.25">
      <c r="Q33069" s="8"/>
    </row>
    <row r="33070" spans="17:17" x14ac:dyDescent="0.25">
      <c r="Q33070" s="8"/>
    </row>
    <row r="33071" spans="17:17" x14ac:dyDescent="0.25">
      <c r="Q33071" s="8"/>
    </row>
    <row r="33072" spans="17:17" x14ac:dyDescent="0.25">
      <c r="Q33072" s="8"/>
    </row>
    <row r="33073" spans="17:17" x14ac:dyDescent="0.25">
      <c r="Q33073" s="8"/>
    </row>
    <row r="33074" spans="17:17" x14ac:dyDescent="0.25">
      <c r="Q33074" s="8"/>
    </row>
    <row r="33075" spans="17:17" x14ac:dyDescent="0.25">
      <c r="Q33075" s="8"/>
    </row>
    <row r="33076" spans="17:17" x14ac:dyDescent="0.25">
      <c r="Q33076" s="8"/>
    </row>
    <row r="33077" spans="17:17" x14ac:dyDescent="0.25">
      <c r="Q33077" s="8"/>
    </row>
    <row r="33078" spans="17:17" x14ac:dyDescent="0.25">
      <c r="Q33078" s="8"/>
    </row>
    <row r="33079" spans="17:17" x14ac:dyDescent="0.25">
      <c r="Q33079" s="8"/>
    </row>
    <row r="33080" spans="17:17" x14ac:dyDescent="0.25">
      <c r="Q33080" s="8"/>
    </row>
    <row r="33081" spans="17:17" x14ac:dyDescent="0.25">
      <c r="Q33081" s="8"/>
    </row>
    <row r="33082" spans="17:17" x14ac:dyDescent="0.25">
      <c r="Q33082" s="8"/>
    </row>
    <row r="33083" spans="17:17" x14ac:dyDescent="0.25">
      <c r="Q33083" s="8"/>
    </row>
    <row r="33084" spans="17:17" x14ac:dyDescent="0.25">
      <c r="Q33084" s="8"/>
    </row>
    <row r="33085" spans="17:17" x14ac:dyDescent="0.25">
      <c r="Q33085" s="8"/>
    </row>
    <row r="33086" spans="17:17" x14ac:dyDescent="0.25">
      <c r="Q33086" s="8"/>
    </row>
    <row r="33087" spans="17:17" x14ac:dyDescent="0.25">
      <c r="Q33087" s="8"/>
    </row>
    <row r="33088" spans="17:17" x14ac:dyDescent="0.25">
      <c r="Q33088" s="8"/>
    </row>
    <row r="33089" spans="17:17" x14ac:dyDescent="0.25">
      <c r="Q33089" s="8"/>
    </row>
    <row r="33090" spans="17:17" x14ac:dyDescent="0.25">
      <c r="Q33090" s="8"/>
    </row>
    <row r="33091" spans="17:17" x14ac:dyDescent="0.25">
      <c r="Q33091" s="8"/>
    </row>
    <row r="33092" spans="17:17" x14ac:dyDescent="0.25">
      <c r="Q33092" s="8"/>
    </row>
    <row r="33093" spans="17:17" x14ac:dyDescent="0.25">
      <c r="Q33093" s="8"/>
    </row>
    <row r="33094" spans="17:17" x14ac:dyDescent="0.25">
      <c r="Q33094" s="8"/>
    </row>
    <row r="33095" spans="17:17" x14ac:dyDescent="0.25">
      <c r="Q33095" s="8"/>
    </row>
    <row r="33096" spans="17:17" x14ac:dyDescent="0.25">
      <c r="Q33096" s="8"/>
    </row>
    <row r="33097" spans="17:17" x14ac:dyDescent="0.25">
      <c r="Q33097" s="8"/>
    </row>
    <row r="33098" spans="17:17" x14ac:dyDescent="0.25">
      <c r="Q33098" s="8"/>
    </row>
    <row r="33099" spans="17:17" x14ac:dyDescent="0.25">
      <c r="Q33099" s="8"/>
    </row>
    <row r="33100" spans="17:17" x14ac:dyDescent="0.25">
      <c r="Q33100" s="8"/>
    </row>
    <row r="33101" spans="17:17" x14ac:dyDescent="0.25">
      <c r="Q33101" s="8"/>
    </row>
    <row r="33102" spans="17:17" x14ac:dyDescent="0.25">
      <c r="Q33102" s="8"/>
    </row>
    <row r="33103" spans="17:17" x14ac:dyDescent="0.25">
      <c r="Q33103" s="8"/>
    </row>
    <row r="33104" spans="17:17" x14ac:dyDescent="0.25">
      <c r="Q33104" s="8"/>
    </row>
    <row r="33105" spans="17:17" x14ac:dyDescent="0.25">
      <c r="Q33105" s="8"/>
    </row>
    <row r="33106" spans="17:17" x14ac:dyDescent="0.25">
      <c r="Q33106" s="8"/>
    </row>
    <row r="33107" spans="17:17" x14ac:dyDescent="0.25">
      <c r="Q33107" s="8"/>
    </row>
    <row r="33108" spans="17:17" x14ac:dyDescent="0.25">
      <c r="Q33108" s="8"/>
    </row>
    <row r="33109" spans="17:17" x14ac:dyDescent="0.25">
      <c r="Q33109" s="8"/>
    </row>
    <row r="33110" spans="17:17" x14ac:dyDescent="0.25">
      <c r="Q33110" s="8"/>
    </row>
    <row r="33111" spans="17:17" x14ac:dyDescent="0.25">
      <c r="Q33111" s="8"/>
    </row>
    <row r="33112" spans="17:17" x14ac:dyDescent="0.25">
      <c r="Q33112" s="8"/>
    </row>
    <row r="33113" spans="17:17" x14ac:dyDescent="0.25">
      <c r="Q33113" s="8"/>
    </row>
    <row r="33114" spans="17:17" x14ac:dyDescent="0.25">
      <c r="Q33114" s="8"/>
    </row>
    <row r="33115" spans="17:17" x14ac:dyDescent="0.25">
      <c r="Q33115" s="8"/>
    </row>
    <row r="33116" spans="17:17" x14ac:dyDescent="0.25">
      <c r="Q33116" s="8"/>
    </row>
    <row r="33117" spans="17:17" x14ac:dyDescent="0.25">
      <c r="Q33117" s="8"/>
    </row>
    <row r="33118" spans="17:17" x14ac:dyDescent="0.25">
      <c r="Q33118" s="8"/>
    </row>
    <row r="33119" spans="17:17" x14ac:dyDescent="0.25">
      <c r="Q33119" s="8"/>
    </row>
    <row r="33120" spans="17:17" x14ac:dyDescent="0.25">
      <c r="Q33120" s="8"/>
    </row>
    <row r="33121" spans="17:17" x14ac:dyDescent="0.25">
      <c r="Q33121" s="8"/>
    </row>
    <row r="33122" spans="17:17" x14ac:dyDescent="0.25">
      <c r="Q33122" s="8"/>
    </row>
    <row r="33123" spans="17:17" x14ac:dyDescent="0.25">
      <c r="Q33123" s="8"/>
    </row>
    <row r="33124" spans="17:17" x14ac:dyDescent="0.25">
      <c r="Q33124" s="8"/>
    </row>
    <row r="33125" spans="17:17" x14ac:dyDescent="0.25">
      <c r="Q33125" s="8"/>
    </row>
    <row r="33126" spans="17:17" x14ac:dyDescent="0.25">
      <c r="Q33126" s="8"/>
    </row>
    <row r="33127" spans="17:17" x14ac:dyDescent="0.25">
      <c r="Q33127" s="8"/>
    </row>
    <row r="33128" spans="17:17" x14ac:dyDescent="0.25">
      <c r="Q33128" s="8"/>
    </row>
    <row r="33129" spans="17:17" x14ac:dyDescent="0.25">
      <c r="Q33129" s="8"/>
    </row>
    <row r="33130" spans="17:17" x14ac:dyDescent="0.25">
      <c r="Q33130" s="8"/>
    </row>
    <row r="33131" spans="17:17" x14ac:dyDescent="0.25">
      <c r="Q33131" s="8"/>
    </row>
    <row r="33132" spans="17:17" x14ac:dyDescent="0.25">
      <c r="Q33132" s="8"/>
    </row>
    <row r="33133" spans="17:17" x14ac:dyDescent="0.25">
      <c r="Q33133" s="8"/>
    </row>
    <row r="33134" spans="17:17" x14ac:dyDescent="0.25">
      <c r="Q33134" s="8"/>
    </row>
    <row r="33135" spans="17:17" x14ac:dyDescent="0.25">
      <c r="Q33135" s="8"/>
    </row>
    <row r="33136" spans="17:17" x14ac:dyDescent="0.25">
      <c r="Q33136" s="8"/>
    </row>
    <row r="33137" spans="17:17" x14ac:dyDescent="0.25">
      <c r="Q33137" s="8"/>
    </row>
    <row r="33138" spans="17:17" x14ac:dyDescent="0.25">
      <c r="Q33138" s="8"/>
    </row>
    <row r="33139" spans="17:17" x14ac:dyDescent="0.25">
      <c r="Q33139" s="8"/>
    </row>
    <row r="33140" spans="17:17" x14ac:dyDescent="0.25">
      <c r="Q33140" s="8"/>
    </row>
    <row r="33141" spans="17:17" x14ac:dyDescent="0.25">
      <c r="Q33141" s="8"/>
    </row>
    <row r="33142" spans="17:17" x14ac:dyDescent="0.25">
      <c r="Q33142" s="8"/>
    </row>
    <row r="33143" spans="17:17" x14ac:dyDescent="0.25">
      <c r="Q33143" s="8"/>
    </row>
    <row r="33144" spans="17:17" x14ac:dyDescent="0.25">
      <c r="Q33144" s="8"/>
    </row>
    <row r="33145" spans="17:17" x14ac:dyDescent="0.25">
      <c r="Q33145" s="8"/>
    </row>
    <row r="33146" spans="17:17" x14ac:dyDescent="0.25">
      <c r="Q33146" s="8"/>
    </row>
    <row r="33147" spans="17:17" x14ac:dyDescent="0.25">
      <c r="Q33147" s="8"/>
    </row>
    <row r="33148" spans="17:17" x14ac:dyDescent="0.25">
      <c r="Q33148" s="8"/>
    </row>
    <row r="33149" spans="17:17" x14ac:dyDescent="0.25">
      <c r="Q33149" s="8"/>
    </row>
    <row r="33150" spans="17:17" x14ac:dyDescent="0.25">
      <c r="Q33150" s="8"/>
    </row>
    <row r="33151" spans="17:17" x14ac:dyDescent="0.25">
      <c r="Q33151" s="8"/>
    </row>
    <row r="33152" spans="17:17" x14ac:dyDescent="0.25">
      <c r="Q33152" s="8"/>
    </row>
    <row r="33153" spans="17:17" x14ac:dyDescent="0.25">
      <c r="Q33153" s="8"/>
    </row>
    <row r="33154" spans="17:17" x14ac:dyDescent="0.25">
      <c r="Q33154" s="8"/>
    </row>
    <row r="33155" spans="17:17" x14ac:dyDescent="0.25">
      <c r="Q33155" s="8"/>
    </row>
    <row r="33156" spans="17:17" x14ac:dyDescent="0.25">
      <c r="Q33156" s="8"/>
    </row>
    <row r="33157" spans="17:17" x14ac:dyDescent="0.25">
      <c r="Q33157" s="8"/>
    </row>
    <row r="33158" spans="17:17" x14ac:dyDescent="0.25">
      <c r="Q33158" s="8"/>
    </row>
    <row r="33159" spans="17:17" x14ac:dyDescent="0.25">
      <c r="Q33159" s="8"/>
    </row>
    <row r="33160" spans="17:17" x14ac:dyDescent="0.25">
      <c r="Q33160" s="8"/>
    </row>
    <row r="33161" spans="17:17" x14ac:dyDescent="0.25">
      <c r="Q33161" s="8"/>
    </row>
    <row r="33162" spans="17:17" x14ac:dyDescent="0.25">
      <c r="Q33162" s="8"/>
    </row>
    <row r="33163" spans="17:17" x14ac:dyDescent="0.25">
      <c r="Q33163" s="8"/>
    </row>
    <row r="33164" spans="17:17" x14ac:dyDescent="0.25">
      <c r="Q33164" s="8"/>
    </row>
    <row r="33165" spans="17:17" x14ac:dyDescent="0.25">
      <c r="Q33165" s="8"/>
    </row>
    <row r="33166" spans="17:17" x14ac:dyDescent="0.25">
      <c r="Q33166" s="8"/>
    </row>
    <row r="33167" spans="17:17" x14ac:dyDescent="0.25">
      <c r="Q33167" s="8"/>
    </row>
    <row r="33168" spans="17:17" x14ac:dyDescent="0.25">
      <c r="Q33168" s="8"/>
    </row>
    <row r="33169" spans="17:17" x14ac:dyDescent="0.25">
      <c r="Q33169" s="8"/>
    </row>
    <row r="33170" spans="17:17" x14ac:dyDescent="0.25">
      <c r="Q33170" s="8"/>
    </row>
    <row r="33171" spans="17:17" x14ac:dyDescent="0.25">
      <c r="Q33171" s="8"/>
    </row>
    <row r="33172" spans="17:17" x14ac:dyDescent="0.25">
      <c r="Q33172" s="8"/>
    </row>
    <row r="33173" spans="17:17" x14ac:dyDescent="0.25">
      <c r="Q33173" s="8"/>
    </row>
    <row r="33174" spans="17:17" x14ac:dyDescent="0.25">
      <c r="Q33174" s="8"/>
    </row>
    <row r="33175" spans="17:17" x14ac:dyDescent="0.25">
      <c r="Q33175" s="8"/>
    </row>
    <row r="33176" spans="17:17" x14ac:dyDescent="0.25">
      <c r="Q33176" s="8"/>
    </row>
    <row r="33177" spans="17:17" x14ac:dyDescent="0.25">
      <c r="Q33177" s="8"/>
    </row>
    <row r="33178" spans="17:17" x14ac:dyDescent="0.25">
      <c r="Q33178" s="8"/>
    </row>
    <row r="33179" spans="17:17" x14ac:dyDescent="0.25">
      <c r="Q33179" s="8"/>
    </row>
    <row r="33180" spans="17:17" x14ac:dyDescent="0.25">
      <c r="Q33180" s="8"/>
    </row>
    <row r="33181" spans="17:17" x14ac:dyDescent="0.25">
      <c r="Q33181" s="8"/>
    </row>
    <row r="33182" spans="17:17" x14ac:dyDescent="0.25">
      <c r="Q33182" s="8"/>
    </row>
    <row r="33183" spans="17:17" x14ac:dyDescent="0.25">
      <c r="Q33183" s="8"/>
    </row>
    <row r="33184" spans="17:17" x14ac:dyDescent="0.25">
      <c r="Q33184" s="8"/>
    </row>
    <row r="33185" spans="17:17" x14ac:dyDescent="0.25">
      <c r="Q33185" s="8"/>
    </row>
    <row r="33186" spans="17:17" x14ac:dyDescent="0.25">
      <c r="Q33186" s="8"/>
    </row>
    <row r="33187" spans="17:17" x14ac:dyDescent="0.25">
      <c r="Q33187" s="8"/>
    </row>
    <row r="33188" spans="17:17" x14ac:dyDescent="0.25">
      <c r="Q33188" s="8"/>
    </row>
    <row r="33189" spans="17:17" x14ac:dyDescent="0.25">
      <c r="Q33189" s="8"/>
    </row>
    <row r="33190" spans="17:17" x14ac:dyDescent="0.25">
      <c r="Q33190" s="8"/>
    </row>
    <row r="33191" spans="17:17" x14ac:dyDescent="0.25">
      <c r="Q33191" s="8"/>
    </row>
    <row r="33192" spans="17:17" x14ac:dyDescent="0.25">
      <c r="Q33192" s="8"/>
    </row>
    <row r="33193" spans="17:17" x14ac:dyDescent="0.25">
      <c r="Q33193" s="8"/>
    </row>
    <row r="33194" spans="17:17" x14ac:dyDescent="0.25">
      <c r="Q33194" s="8"/>
    </row>
    <row r="33195" spans="17:17" x14ac:dyDescent="0.25">
      <c r="Q33195" s="8"/>
    </row>
    <row r="33196" spans="17:17" x14ac:dyDescent="0.25">
      <c r="Q33196" s="8"/>
    </row>
    <row r="33197" spans="17:17" x14ac:dyDescent="0.25">
      <c r="Q33197" s="8"/>
    </row>
    <row r="33198" spans="17:17" x14ac:dyDescent="0.25">
      <c r="Q33198" s="8"/>
    </row>
    <row r="33199" spans="17:17" x14ac:dyDescent="0.25">
      <c r="Q33199" s="8"/>
    </row>
    <row r="33200" spans="17:17" x14ac:dyDescent="0.25">
      <c r="Q33200" s="8"/>
    </row>
    <row r="33201" spans="17:17" x14ac:dyDescent="0.25">
      <c r="Q33201" s="8"/>
    </row>
    <row r="33202" spans="17:17" x14ac:dyDescent="0.25">
      <c r="Q33202" s="8"/>
    </row>
    <row r="33203" spans="17:17" x14ac:dyDescent="0.25">
      <c r="Q33203" s="8"/>
    </row>
    <row r="33204" spans="17:17" x14ac:dyDescent="0.25">
      <c r="Q33204" s="8"/>
    </row>
    <row r="33205" spans="17:17" x14ac:dyDescent="0.25">
      <c r="Q33205" s="8"/>
    </row>
    <row r="33206" spans="17:17" x14ac:dyDescent="0.25">
      <c r="Q33206" s="8"/>
    </row>
    <row r="33207" spans="17:17" x14ac:dyDescent="0.25">
      <c r="Q33207" s="8"/>
    </row>
    <row r="33208" spans="17:17" x14ac:dyDescent="0.25">
      <c r="Q33208" s="8"/>
    </row>
    <row r="33209" spans="17:17" x14ac:dyDescent="0.25">
      <c r="Q33209" s="8"/>
    </row>
    <row r="33210" spans="17:17" x14ac:dyDescent="0.25">
      <c r="Q33210" s="8"/>
    </row>
    <row r="33211" spans="17:17" x14ac:dyDescent="0.25">
      <c r="Q33211" s="8"/>
    </row>
    <row r="33212" spans="17:17" x14ac:dyDescent="0.25">
      <c r="Q33212" s="8"/>
    </row>
    <row r="33213" spans="17:17" x14ac:dyDescent="0.25">
      <c r="Q33213" s="8"/>
    </row>
    <row r="33214" spans="17:17" x14ac:dyDescent="0.25">
      <c r="Q33214" s="8"/>
    </row>
    <row r="33215" spans="17:17" x14ac:dyDescent="0.25">
      <c r="Q33215" s="8"/>
    </row>
    <row r="33216" spans="17:17" x14ac:dyDescent="0.25">
      <c r="Q33216" s="8"/>
    </row>
    <row r="33217" spans="17:17" x14ac:dyDescent="0.25">
      <c r="Q33217" s="8"/>
    </row>
    <row r="33218" spans="17:17" x14ac:dyDescent="0.25">
      <c r="Q33218" s="8"/>
    </row>
    <row r="33219" spans="17:17" x14ac:dyDescent="0.25">
      <c r="Q33219" s="8"/>
    </row>
    <row r="33220" spans="17:17" x14ac:dyDescent="0.25">
      <c r="Q33220" s="8"/>
    </row>
    <row r="33221" spans="17:17" x14ac:dyDescent="0.25">
      <c r="Q33221" s="8"/>
    </row>
    <row r="33222" spans="17:17" x14ac:dyDescent="0.25">
      <c r="Q33222" s="8"/>
    </row>
    <row r="33223" spans="17:17" x14ac:dyDescent="0.25">
      <c r="Q33223" s="8"/>
    </row>
    <row r="33224" spans="17:17" x14ac:dyDescent="0.25">
      <c r="Q33224" s="8"/>
    </row>
    <row r="33225" spans="17:17" x14ac:dyDescent="0.25">
      <c r="Q33225" s="8"/>
    </row>
    <row r="33226" spans="17:17" x14ac:dyDescent="0.25">
      <c r="Q33226" s="8"/>
    </row>
    <row r="33227" spans="17:17" x14ac:dyDescent="0.25">
      <c r="Q33227" s="8"/>
    </row>
    <row r="33228" spans="17:17" x14ac:dyDescent="0.25">
      <c r="Q33228" s="8"/>
    </row>
    <row r="33229" spans="17:17" x14ac:dyDescent="0.25">
      <c r="Q33229" s="8"/>
    </row>
    <row r="33230" spans="17:17" x14ac:dyDescent="0.25">
      <c r="Q33230" s="8"/>
    </row>
    <row r="33231" spans="17:17" x14ac:dyDescent="0.25">
      <c r="Q33231" s="8"/>
    </row>
    <row r="33232" spans="17:17" x14ac:dyDescent="0.25">
      <c r="Q33232" s="8"/>
    </row>
    <row r="33233" spans="17:17" x14ac:dyDescent="0.25">
      <c r="Q33233" s="8"/>
    </row>
    <row r="33234" spans="17:17" x14ac:dyDescent="0.25">
      <c r="Q33234" s="8"/>
    </row>
    <row r="33235" spans="17:17" x14ac:dyDescent="0.25">
      <c r="Q33235" s="8"/>
    </row>
    <row r="33236" spans="17:17" x14ac:dyDescent="0.25">
      <c r="Q33236" s="8"/>
    </row>
    <row r="33237" spans="17:17" x14ac:dyDescent="0.25">
      <c r="Q33237" s="8"/>
    </row>
    <row r="33238" spans="17:17" x14ac:dyDescent="0.25">
      <c r="Q33238" s="8"/>
    </row>
    <row r="33239" spans="17:17" x14ac:dyDescent="0.25">
      <c r="Q33239" s="8"/>
    </row>
    <row r="33240" spans="17:17" x14ac:dyDescent="0.25">
      <c r="Q33240" s="8"/>
    </row>
    <row r="33241" spans="17:17" x14ac:dyDescent="0.25">
      <c r="Q33241" s="8"/>
    </row>
    <row r="33242" spans="17:17" x14ac:dyDescent="0.25">
      <c r="Q33242" s="8"/>
    </row>
    <row r="33243" spans="17:17" x14ac:dyDescent="0.25">
      <c r="Q33243" s="8"/>
    </row>
    <row r="33244" spans="17:17" x14ac:dyDescent="0.25">
      <c r="Q33244" s="8"/>
    </row>
    <row r="33245" spans="17:17" x14ac:dyDescent="0.25">
      <c r="Q33245" s="8"/>
    </row>
    <row r="33246" spans="17:17" x14ac:dyDescent="0.25">
      <c r="Q33246" s="8"/>
    </row>
    <row r="33247" spans="17:17" x14ac:dyDescent="0.25">
      <c r="Q33247" s="8"/>
    </row>
    <row r="33248" spans="17:17" x14ac:dyDescent="0.25">
      <c r="Q33248" s="8"/>
    </row>
    <row r="33249" spans="17:17" x14ac:dyDescent="0.25">
      <c r="Q33249" s="8"/>
    </row>
    <row r="33250" spans="17:17" x14ac:dyDescent="0.25">
      <c r="Q33250" s="8"/>
    </row>
    <row r="33251" spans="17:17" x14ac:dyDescent="0.25">
      <c r="Q33251" s="8"/>
    </row>
    <row r="33252" spans="17:17" x14ac:dyDescent="0.25">
      <c r="Q33252" s="8"/>
    </row>
    <row r="33253" spans="17:17" x14ac:dyDescent="0.25">
      <c r="Q33253" s="8"/>
    </row>
    <row r="33254" spans="17:17" x14ac:dyDescent="0.25">
      <c r="Q33254" s="8"/>
    </row>
    <row r="33255" spans="17:17" x14ac:dyDescent="0.25">
      <c r="Q33255" s="8"/>
    </row>
    <row r="33256" spans="17:17" x14ac:dyDescent="0.25">
      <c r="Q33256" s="8"/>
    </row>
    <row r="33257" spans="17:17" x14ac:dyDescent="0.25">
      <c r="Q33257" s="8"/>
    </row>
    <row r="33258" spans="17:17" x14ac:dyDescent="0.25">
      <c r="Q33258" s="8"/>
    </row>
    <row r="33259" spans="17:17" x14ac:dyDescent="0.25">
      <c r="Q33259" s="8"/>
    </row>
    <row r="33260" spans="17:17" x14ac:dyDescent="0.25">
      <c r="Q33260" s="8"/>
    </row>
    <row r="33261" spans="17:17" x14ac:dyDescent="0.25">
      <c r="Q33261" s="8"/>
    </row>
    <row r="33262" spans="17:17" x14ac:dyDescent="0.25">
      <c r="Q33262" s="8"/>
    </row>
    <row r="33263" spans="17:17" x14ac:dyDescent="0.25">
      <c r="Q33263" s="8"/>
    </row>
    <row r="33264" spans="17:17" x14ac:dyDescent="0.25">
      <c r="Q33264" s="8"/>
    </row>
    <row r="33265" spans="17:17" x14ac:dyDescent="0.25">
      <c r="Q33265" s="8"/>
    </row>
    <row r="33266" spans="17:17" x14ac:dyDescent="0.25">
      <c r="Q33266" s="8"/>
    </row>
    <row r="33267" spans="17:17" x14ac:dyDescent="0.25">
      <c r="Q33267" s="8"/>
    </row>
    <row r="33268" spans="17:17" x14ac:dyDescent="0.25">
      <c r="Q33268" s="8"/>
    </row>
    <row r="33269" spans="17:17" x14ac:dyDescent="0.25">
      <c r="Q33269" s="8"/>
    </row>
    <row r="33270" spans="17:17" x14ac:dyDescent="0.25">
      <c r="Q33270" s="8"/>
    </row>
    <row r="33271" spans="17:17" x14ac:dyDescent="0.25">
      <c r="Q33271" s="8"/>
    </row>
    <row r="33272" spans="17:17" x14ac:dyDescent="0.25">
      <c r="Q33272" s="8"/>
    </row>
    <row r="33273" spans="17:17" x14ac:dyDescent="0.25">
      <c r="Q33273" s="8"/>
    </row>
    <row r="33274" spans="17:17" x14ac:dyDescent="0.25">
      <c r="Q33274" s="8"/>
    </row>
    <row r="33275" spans="17:17" x14ac:dyDescent="0.25">
      <c r="Q33275" s="8"/>
    </row>
    <row r="33276" spans="17:17" x14ac:dyDescent="0.25">
      <c r="Q33276" s="8"/>
    </row>
    <row r="33277" spans="17:17" x14ac:dyDescent="0.25">
      <c r="Q33277" s="8"/>
    </row>
    <row r="33278" spans="17:17" x14ac:dyDescent="0.25">
      <c r="Q33278" s="8"/>
    </row>
    <row r="33279" spans="17:17" x14ac:dyDescent="0.25">
      <c r="Q33279" s="8"/>
    </row>
    <row r="33280" spans="17:17" x14ac:dyDescent="0.25">
      <c r="Q33280" s="8"/>
    </row>
    <row r="33281" spans="17:17" x14ac:dyDescent="0.25">
      <c r="Q33281" s="8"/>
    </row>
    <row r="33282" spans="17:17" x14ac:dyDescent="0.25">
      <c r="Q33282" s="8"/>
    </row>
    <row r="33283" spans="17:17" x14ac:dyDescent="0.25">
      <c r="Q33283" s="8"/>
    </row>
    <row r="33284" spans="17:17" x14ac:dyDescent="0.25">
      <c r="Q33284" s="8"/>
    </row>
    <row r="33285" spans="17:17" x14ac:dyDescent="0.25">
      <c r="Q33285" s="8"/>
    </row>
    <row r="33286" spans="17:17" x14ac:dyDescent="0.25">
      <c r="Q33286" s="8"/>
    </row>
    <row r="33287" spans="17:17" x14ac:dyDescent="0.25">
      <c r="Q33287" s="8"/>
    </row>
    <row r="33288" spans="17:17" x14ac:dyDescent="0.25">
      <c r="Q33288" s="8"/>
    </row>
    <row r="33289" spans="17:17" x14ac:dyDescent="0.25">
      <c r="Q33289" s="8"/>
    </row>
    <row r="33290" spans="17:17" x14ac:dyDescent="0.25">
      <c r="Q33290" s="8"/>
    </row>
    <row r="33291" spans="17:17" x14ac:dyDescent="0.25">
      <c r="Q33291" s="8"/>
    </row>
    <row r="33292" spans="17:17" x14ac:dyDescent="0.25">
      <c r="Q33292" s="8"/>
    </row>
    <row r="33293" spans="17:17" x14ac:dyDescent="0.25">
      <c r="Q33293" s="8"/>
    </row>
    <row r="33294" spans="17:17" x14ac:dyDescent="0.25">
      <c r="Q33294" s="8"/>
    </row>
    <row r="33295" spans="17:17" x14ac:dyDescent="0.25">
      <c r="Q33295" s="8"/>
    </row>
    <row r="33296" spans="17:17" x14ac:dyDescent="0.25">
      <c r="Q33296" s="8"/>
    </row>
    <row r="33297" spans="17:17" x14ac:dyDescent="0.25">
      <c r="Q33297" s="8"/>
    </row>
    <row r="33298" spans="17:17" x14ac:dyDescent="0.25">
      <c r="Q33298" s="8"/>
    </row>
    <row r="33299" spans="17:17" x14ac:dyDescent="0.25">
      <c r="Q33299" s="8"/>
    </row>
    <row r="33300" spans="17:17" x14ac:dyDescent="0.25">
      <c r="Q33300" s="8"/>
    </row>
    <row r="33301" spans="17:17" x14ac:dyDescent="0.25">
      <c r="Q33301" s="8"/>
    </row>
    <row r="33302" spans="17:17" x14ac:dyDescent="0.25">
      <c r="Q33302" s="8"/>
    </row>
    <row r="33303" spans="17:17" x14ac:dyDescent="0.25">
      <c r="Q33303" s="8"/>
    </row>
    <row r="33304" spans="17:17" x14ac:dyDescent="0.25">
      <c r="Q33304" s="8"/>
    </row>
    <row r="33305" spans="17:17" x14ac:dyDescent="0.25">
      <c r="Q33305" s="8"/>
    </row>
    <row r="33306" spans="17:17" x14ac:dyDescent="0.25">
      <c r="Q33306" s="8"/>
    </row>
    <row r="33307" spans="17:17" x14ac:dyDescent="0.25">
      <c r="Q33307" s="8"/>
    </row>
    <row r="33308" spans="17:17" x14ac:dyDescent="0.25">
      <c r="Q33308" s="8"/>
    </row>
    <row r="33309" spans="17:17" x14ac:dyDescent="0.25">
      <c r="Q33309" s="8"/>
    </row>
    <row r="33310" spans="17:17" x14ac:dyDescent="0.25">
      <c r="Q33310" s="8"/>
    </row>
    <row r="33311" spans="17:17" x14ac:dyDescent="0.25">
      <c r="Q33311" s="8"/>
    </row>
    <row r="33312" spans="17:17" x14ac:dyDescent="0.25">
      <c r="Q33312" s="8"/>
    </row>
    <row r="33313" spans="17:17" x14ac:dyDescent="0.25">
      <c r="Q33313" s="8"/>
    </row>
    <row r="33314" spans="17:17" x14ac:dyDescent="0.25">
      <c r="Q33314" s="8"/>
    </row>
    <row r="33315" spans="17:17" x14ac:dyDescent="0.25">
      <c r="Q33315" s="8"/>
    </row>
    <row r="33316" spans="17:17" x14ac:dyDescent="0.25">
      <c r="Q33316" s="8"/>
    </row>
    <row r="33317" spans="17:17" x14ac:dyDescent="0.25">
      <c r="Q33317" s="8"/>
    </row>
    <row r="33318" spans="17:17" x14ac:dyDescent="0.25">
      <c r="Q33318" s="8"/>
    </row>
    <row r="33319" spans="17:17" x14ac:dyDescent="0.25">
      <c r="Q33319" s="8"/>
    </row>
    <row r="33320" spans="17:17" x14ac:dyDescent="0.25">
      <c r="Q33320" s="8"/>
    </row>
    <row r="33321" spans="17:17" x14ac:dyDescent="0.25">
      <c r="Q33321" s="8"/>
    </row>
    <row r="33322" spans="17:17" x14ac:dyDescent="0.25">
      <c r="Q33322" s="8"/>
    </row>
    <row r="33323" spans="17:17" x14ac:dyDescent="0.25">
      <c r="Q33323" s="8"/>
    </row>
    <row r="33324" spans="17:17" x14ac:dyDescent="0.25">
      <c r="Q33324" s="8"/>
    </row>
    <row r="33325" spans="17:17" x14ac:dyDescent="0.25">
      <c r="Q33325" s="8"/>
    </row>
    <row r="33326" spans="17:17" x14ac:dyDescent="0.25">
      <c r="Q33326" s="8"/>
    </row>
    <row r="33327" spans="17:17" x14ac:dyDescent="0.25">
      <c r="Q33327" s="8"/>
    </row>
    <row r="33328" spans="17:17" x14ac:dyDescent="0.25">
      <c r="Q33328" s="8"/>
    </row>
    <row r="33329" spans="17:17" x14ac:dyDescent="0.25">
      <c r="Q33329" s="8"/>
    </row>
    <row r="33330" spans="17:17" x14ac:dyDescent="0.25">
      <c r="Q33330" s="8"/>
    </row>
    <row r="33331" spans="17:17" x14ac:dyDescent="0.25">
      <c r="Q33331" s="8"/>
    </row>
    <row r="33332" spans="17:17" x14ac:dyDescent="0.25">
      <c r="Q33332" s="8"/>
    </row>
    <row r="33333" spans="17:17" x14ac:dyDescent="0.25">
      <c r="Q33333" s="8"/>
    </row>
    <row r="33334" spans="17:17" x14ac:dyDescent="0.25">
      <c r="Q33334" s="8"/>
    </row>
    <row r="33335" spans="17:17" x14ac:dyDescent="0.25">
      <c r="Q33335" s="8"/>
    </row>
    <row r="33336" spans="17:17" x14ac:dyDescent="0.25">
      <c r="Q33336" s="8"/>
    </row>
    <row r="33337" spans="17:17" x14ac:dyDescent="0.25">
      <c r="Q33337" s="8"/>
    </row>
    <row r="33338" spans="17:17" x14ac:dyDescent="0.25">
      <c r="Q33338" s="8"/>
    </row>
    <row r="33339" spans="17:17" x14ac:dyDescent="0.25">
      <c r="Q33339" s="8"/>
    </row>
    <row r="33340" spans="17:17" x14ac:dyDescent="0.25">
      <c r="Q33340" s="8"/>
    </row>
    <row r="33341" spans="17:17" x14ac:dyDescent="0.25">
      <c r="Q33341" s="8"/>
    </row>
    <row r="33342" spans="17:17" x14ac:dyDescent="0.25">
      <c r="Q33342" s="8"/>
    </row>
    <row r="33343" spans="17:17" x14ac:dyDescent="0.25">
      <c r="Q33343" s="8"/>
    </row>
    <row r="33344" spans="17:17" x14ac:dyDescent="0.25">
      <c r="Q33344" s="8"/>
    </row>
    <row r="33345" spans="17:17" x14ac:dyDescent="0.25">
      <c r="Q33345" s="8"/>
    </row>
    <row r="33346" spans="17:17" x14ac:dyDescent="0.25">
      <c r="Q33346" s="8"/>
    </row>
    <row r="33347" spans="17:17" x14ac:dyDescent="0.25">
      <c r="Q33347" s="8"/>
    </row>
    <row r="33348" spans="17:17" x14ac:dyDescent="0.25">
      <c r="Q33348" s="8"/>
    </row>
    <row r="33349" spans="17:17" x14ac:dyDescent="0.25">
      <c r="Q33349" s="8"/>
    </row>
    <row r="33350" spans="17:17" x14ac:dyDescent="0.25">
      <c r="Q33350" s="8"/>
    </row>
    <row r="33351" spans="17:17" x14ac:dyDescent="0.25">
      <c r="Q33351" s="8"/>
    </row>
    <row r="33352" spans="17:17" x14ac:dyDescent="0.25">
      <c r="Q33352" s="8"/>
    </row>
    <row r="33353" spans="17:17" x14ac:dyDescent="0.25">
      <c r="Q33353" s="8"/>
    </row>
    <row r="33354" spans="17:17" x14ac:dyDescent="0.25">
      <c r="Q33354" s="8"/>
    </row>
    <row r="33355" spans="17:17" x14ac:dyDescent="0.25">
      <c r="Q33355" s="8"/>
    </row>
    <row r="33356" spans="17:17" x14ac:dyDescent="0.25">
      <c r="Q33356" s="8"/>
    </row>
    <row r="33357" spans="17:17" x14ac:dyDescent="0.25">
      <c r="Q33357" s="8"/>
    </row>
    <row r="33358" spans="17:17" x14ac:dyDescent="0.25">
      <c r="Q33358" s="8"/>
    </row>
    <row r="33359" spans="17:17" x14ac:dyDescent="0.25">
      <c r="Q33359" s="8"/>
    </row>
    <row r="33360" spans="17:17" x14ac:dyDescent="0.25">
      <c r="Q33360" s="8"/>
    </row>
    <row r="33361" spans="17:17" x14ac:dyDescent="0.25">
      <c r="Q33361" s="8"/>
    </row>
    <row r="33362" spans="17:17" x14ac:dyDescent="0.25">
      <c r="Q33362" s="8"/>
    </row>
    <row r="33363" spans="17:17" x14ac:dyDescent="0.25">
      <c r="Q33363" s="8"/>
    </row>
    <row r="33364" spans="17:17" x14ac:dyDescent="0.25">
      <c r="Q33364" s="8"/>
    </row>
    <row r="33365" spans="17:17" x14ac:dyDescent="0.25">
      <c r="Q33365" s="8"/>
    </row>
    <row r="33366" spans="17:17" x14ac:dyDescent="0.25">
      <c r="Q33366" s="8"/>
    </row>
    <row r="33367" spans="17:17" x14ac:dyDescent="0.25">
      <c r="Q33367" s="8"/>
    </row>
    <row r="33368" spans="17:17" x14ac:dyDescent="0.25">
      <c r="Q33368" s="8"/>
    </row>
    <row r="33369" spans="17:17" x14ac:dyDescent="0.25">
      <c r="Q33369" s="8"/>
    </row>
    <row r="33370" spans="17:17" x14ac:dyDescent="0.25">
      <c r="Q33370" s="8"/>
    </row>
    <row r="33371" spans="17:17" x14ac:dyDescent="0.25">
      <c r="Q33371" s="8"/>
    </row>
    <row r="33372" spans="17:17" x14ac:dyDescent="0.25">
      <c r="Q33372" s="8"/>
    </row>
    <row r="33373" spans="17:17" x14ac:dyDescent="0.25">
      <c r="Q33373" s="8"/>
    </row>
    <row r="33374" spans="17:17" x14ac:dyDescent="0.25">
      <c r="Q33374" s="8"/>
    </row>
    <row r="33375" spans="17:17" x14ac:dyDescent="0.25">
      <c r="Q33375" s="8"/>
    </row>
    <row r="33376" spans="17:17" x14ac:dyDescent="0.25">
      <c r="Q33376" s="8"/>
    </row>
    <row r="33377" spans="17:17" x14ac:dyDescent="0.25">
      <c r="Q33377" s="8"/>
    </row>
    <row r="33378" spans="17:17" x14ac:dyDescent="0.25">
      <c r="Q33378" s="8"/>
    </row>
    <row r="33379" spans="17:17" x14ac:dyDescent="0.25">
      <c r="Q33379" s="8"/>
    </row>
    <row r="33380" spans="17:17" x14ac:dyDescent="0.25">
      <c r="Q33380" s="8"/>
    </row>
    <row r="33381" spans="17:17" x14ac:dyDescent="0.25">
      <c r="Q33381" s="8"/>
    </row>
    <row r="33382" spans="17:17" x14ac:dyDescent="0.25">
      <c r="Q33382" s="8"/>
    </row>
    <row r="33383" spans="17:17" x14ac:dyDescent="0.25">
      <c r="Q33383" s="8"/>
    </row>
    <row r="33384" spans="17:17" x14ac:dyDescent="0.25">
      <c r="Q33384" s="8"/>
    </row>
    <row r="33385" spans="17:17" x14ac:dyDescent="0.25">
      <c r="Q33385" s="8"/>
    </row>
    <row r="33386" spans="17:17" x14ac:dyDescent="0.25">
      <c r="Q33386" s="8"/>
    </row>
    <row r="33387" spans="17:17" x14ac:dyDescent="0.25">
      <c r="Q33387" s="8"/>
    </row>
    <row r="33388" spans="17:17" x14ac:dyDescent="0.25">
      <c r="Q33388" s="8"/>
    </row>
    <row r="33389" spans="17:17" x14ac:dyDescent="0.25">
      <c r="Q33389" s="8"/>
    </row>
    <row r="33390" spans="17:17" x14ac:dyDescent="0.25">
      <c r="Q33390" s="8"/>
    </row>
    <row r="33391" spans="17:17" x14ac:dyDescent="0.25">
      <c r="Q33391" s="8"/>
    </row>
    <row r="33392" spans="17:17" x14ac:dyDescent="0.25">
      <c r="Q33392" s="8"/>
    </row>
    <row r="33393" spans="17:17" x14ac:dyDescent="0.25">
      <c r="Q33393" s="8"/>
    </row>
    <row r="33394" spans="17:17" x14ac:dyDescent="0.25">
      <c r="Q33394" s="8"/>
    </row>
    <row r="33395" spans="17:17" x14ac:dyDescent="0.25">
      <c r="Q33395" s="8"/>
    </row>
    <row r="33396" spans="17:17" x14ac:dyDescent="0.25">
      <c r="Q33396" s="8"/>
    </row>
    <row r="33397" spans="17:17" x14ac:dyDescent="0.25">
      <c r="Q33397" s="8"/>
    </row>
    <row r="33398" spans="17:17" x14ac:dyDescent="0.25">
      <c r="Q33398" s="8"/>
    </row>
    <row r="33399" spans="17:17" x14ac:dyDescent="0.25">
      <c r="Q33399" s="8"/>
    </row>
    <row r="33400" spans="17:17" x14ac:dyDescent="0.25">
      <c r="Q33400" s="8"/>
    </row>
    <row r="33401" spans="17:17" x14ac:dyDescent="0.25">
      <c r="Q33401" s="8"/>
    </row>
    <row r="33402" spans="17:17" x14ac:dyDescent="0.25">
      <c r="Q33402" s="8"/>
    </row>
    <row r="33403" spans="17:17" x14ac:dyDescent="0.25">
      <c r="Q33403" s="8"/>
    </row>
    <row r="33404" spans="17:17" x14ac:dyDescent="0.25">
      <c r="Q33404" s="8"/>
    </row>
    <row r="33405" spans="17:17" x14ac:dyDescent="0.25">
      <c r="Q33405" s="8"/>
    </row>
    <row r="33406" spans="17:17" x14ac:dyDescent="0.25">
      <c r="Q33406" s="8"/>
    </row>
    <row r="33407" spans="17:17" x14ac:dyDescent="0.25">
      <c r="Q33407" s="8"/>
    </row>
    <row r="33408" spans="17:17" x14ac:dyDescent="0.25">
      <c r="Q33408" s="8"/>
    </row>
    <row r="33409" spans="17:17" x14ac:dyDescent="0.25">
      <c r="Q33409" s="8"/>
    </row>
    <row r="33410" spans="17:17" x14ac:dyDescent="0.25">
      <c r="Q33410" s="8"/>
    </row>
    <row r="33411" spans="17:17" x14ac:dyDescent="0.25">
      <c r="Q33411" s="8"/>
    </row>
    <row r="33412" spans="17:17" x14ac:dyDescent="0.25">
      <c r="Q33412" s="8"/>
    </row>
    <row r="33413" spans="17:17" x14ac:dyDescent="0.25">
      <c r="Q33413" s="8"/>
    </row>
    <row r="33414" spans="17:17" x14ac:dyDescent="0.25">
      <c r="Q33414" s="8"/>
    </row>
    <row r="33415" spans="17:17" x14ac:dyDescent="0.25">
      <c r="Q33415" s="8"/>
    </row>
    <row r="33416" spans="17:17" x14ac:dyDescent="0.25">
      <c r="Q33416" s="8"/>
    </row>
    <row r="33417" spans="17:17" x14ac:dyDescent="0.25">
      <c r="Q33417" s="8"/>
    </row>
    <row r="33418" spans="17:17" x14ac:dyDescent="0.25">
      <c r="Q33418" s="8"/>
    </row>
    <row r="33419" spans="17:17" x14ac:dyDescent="0.25">
      <c r="Q33419" s="8"/>
    </row>
    <row r="33420" spans="17:17" x14ac:dyDescent="0.25">
      <c r="Q33420" s="8"/>
    </row>
    <row r="33421" spans="17:17" x14ac:dyDescent="0.25">
      <c r="Q33421" s="8"/>
    </row>
    <row r="33422" spans="17:17" x14ac:dyDescent="0.25">
      <c r="Q33422" s="8"/>
    </row>
    <row r="33423" spans="17:17" x14ac:dyDescent="0.25">
      <c r="Q33423" s="8"/>
    </row>
    <row r="33424" spans="17:17" x14ac:dyDescent="0.25">
      <c r="Q33424" s="8"/>
    </row>
    <row r="33425" spans="17:17" x14ac:dyDescent="0.25">
      <c r="Q33425" s="8"/>
    </row>
    <row r="33426" spans="17:17" x14ac:dyDescent="0.25">
      <c r="Q33426" s="8"/>
    </row>
    <row r="33427" spans="17:17" x14ac:dyDescent="0.25">
      <c r="Q33427" s="8"/>
    </row>
    <row r="33428" spans="17:17" x14ac:dyDescent="0.25">
      <c r="Q33428" s="8"/>
    </row>
    <row r="33429" spans="17:17" x14ac:dyDescent="0.25">
      <c r="Q33429" s="8"/>
    </row>
    <row r="33430" spans="17:17" x14ac:dyDescent="0.25">
      <c r="Q33430" s="8"/>
    </row>
    <row r="33431" spans="17:17" x14ac:dyDescent="0.25">
      <c r="Q33431" s="8"/>
    </row>
    <row r="33432" spans="17:17" x14ac:dyDescent="0.25">
      <c r="Q33432" s="8"/>
    </row>
    <row r="33433" spans="17:17" x14ac:dyDescent="0.25">
      <c r="Q33433" s="8"/>
    </row>
    <row r="33434" spans="17:17" x14ac:dyDescent="0.25">
      <c r="Q33434" s="8"/>
    </row>
    <row r="33435" spans="17:17" x14ac:dyDescent="0.25">
      <c r="Q33435" s="8"/>
    </row>
    <row r="33436" spans="17:17" x14ac:dyDescent="0.25">
      <c r="Q33436" s="8"/>
    </row>
    <row r="33437" spans="17:17" x14ac:dyDescent="0.25">
      <c r="Q33437" s="8"/>
    </row>
    <row r="33438" spans="17:17" x14ac:dyDescent="0.25">
      <c r="Q33438" s="8"/>
    </row>
    <row r="33439" spans="17:17" x14ac:dyDescent="0.25">
      <c r="Q33439" s="8"/>
    </row>
    <row r="33440" spans="17:17" x14ac:dyDescent="0.25">
      <c r="Q33440" s="8"/>
    </row>
    <row r="33441" spans="17:17" x14ac:dyDescent="0.25">
      <c r="Q33441" s="8"/>
    </row>
    <row r="33442" spans="17:17" x14ac:dyDescent="0.25">
      <c r="Q33442" s="8"/>
    </row>
    <row r="33443" spans="17:17" x14ac:dyDescent="0.25">
      <c r="Q33443" s="8"/>
    </row>
    <row r="33444" spans="17:17" x14ac:dyDescent="0.25">
      <c r="Q33444" s="8"/>
    </row>
    <row r="33445" spans="17:17" x14ac:dyDescent="0.25">
      <c r="Q33445" s="8"/>
    </row>
    <row r="33446" spans="17:17" x14ac:dyDescent="0.25">
      <c r="Q33446" s="8"/>
    </row>
    <row r="33447" spans="17:17" x14ac:dyDescent="0.25">
      <c r="Q33447" s="8"/>
    </row>
    <row r="33448" spans="17:17" x14ac:dyDescent="0.25">
      <c r="Q33448" s="8"/>
    </row>
    <row r="33449" spans="17:17" x14ac:dyDescent="0.25">
      <c r="Q33449" s="8"/>
    </row>
    <row r="33450" spans="17:17" x14ac:dyDescent="0.25">
      <c r="Q33450" s="8"/>
    </row>
    <row r="33451" spans="17:17" x14ac:dyDescent="0.25">
      <c r="Q33451" s="8"/>
    </row>
    <row r="33452" spans="17:17" x14ac:dyDescent="0.25">
      <c r="Q33452" s="8"/>
    </row>
    <row r="33453" spans="17:17" x14ac:dyDescent="0.25">
      <c r="Q33453" s="8"/>
    </row>
    <row r="33454" spans="17:17" x14ac:dyDescent="0.25">
      <c r="Q33454" s="8"/>
    </row>
    <row r="33455" spans="17:17" x14ac:dyDescent="0.25">
      <c r="Q33455" s="8"/>
    </row>
    <row r="33456" spans="17:17" x14ac:dyDescent="0.25">
      <c r="Q33456" s="8"/>
    </row>
    <row r="33457" spans="17:17" x14ac:dyDescent="0.25">
      <c r="Q33457" s="8"/>
    </row>
    <row r="33458" spans="17:17" x14ac:dyDescent="0.25">
      <c r="Q33458" s="8"/>
    </row>
    <row r="33459" spans="17:17" x14ac:dyDescent="0.25">
      <c r="Q33459" s="8"/>
    </row>
    <row r="33460" spans="17:17" x14ac:dyDescent="0.25">
      <c r="Q33460" s="8"/>
    </row>
    <row r="33461" spans="17:17" x14ac:dyDescent="0.25">
      <c r="Q33461" s="8"/>
    </row>
    <row r="33462" spans="17:17" x14ac:dyDescent="0.25">
      <c r="Q33462" s="8"/>
    </row>
    <row r="33463" spans="17:17" x14ac:dyDescent="0.25">
      <c r="Q33463" s="8"/>
    </row>
    <row r="33464" spans="17:17" x14ac:dyDescent="0.25">
      <c r="Q33464" s="8"/>
    </row>
    <row r="33465" spans="17:17" x14ac:dyDescent="0.25">
      <c r="Q33465" s="8"/>
    </row>
    <row r="33466" spans="17:17" x14ac:dyDescent="0.25">
      <c r="Q33466" s="8"/>
    </row>
    <row r="33467" spans="17:17" x14ac:dyDescent="0.25">
      <c r="Q33467" s="8"/>
    </row>
    <row r="33468" spans="17:17" x14ac:dyDescent="0.25">
      <c r="Q33468" s="8"/>
    </row>
    <row r="33469" spans="17:17" x14ac:dyDescent="0.25">
      <c r="Q33469" s="8"/>
    </row>
    <row r="33470" spans="17:17" x14ac:dyDescent="0.25">
      <c r="Q33470" s="8"/>
    </row>
    <row r="33471" spans="17:17" x14ac:dyDescent="0.25">
      <c r="Q33471" s="8"/>
    </row>
    <row r="33472" spans="17:17" x14ac:dyDescent="0.25">
      <c r="Q33472" s="8"/>
    </row>
    <row r="33473" spans="17:17" x14ac:dyDescent="0.25">
      <c r="Q33473" s="8"/>
    </row>
    <row r="33474" spans="17:17" x14ac:dyDescent="0.25">
      <c r="Q33474" s="8"/>
    </row>
    <row r="33475" spans="17:17" x14ac:dyDescent="0.25">
      <c r="Q33475" s="8"/>
    </row>
    <row r="33476" spans="17:17" x14ac:dyDescent="0.25">
      <c r="Q33476" s="8"/>
    </row>
    <row r="33477" spans="17:17" x14ac:dyDescent="0.25">
      <c r="Q33477" s="8"/>
    </row>
    <row r="33478" spans="17:17" x14ac:dyDescent="0.25">
      <c r="Q33478" s="8"/>
    </row>
    <row r="33479" spans="17:17" x14ac:dyDescent="0.25">
      <c r="Q33479" s="8"/>
    </row>
    <row r="33480" spans="17:17" x14ac:dyDescent="0.25">
      <c r="Q33480" s="8"/>
    </row>
    <row r="33481" spans="17:17" x14ac:dyDescent="0.25">
      <c r="Q33481" s="8"/>
    </row>
    <row r="33482" spans="17:17" x14ac:dyDescent="0.25">
      <c r="Q33482" s="8"/>
    </row>
    <row r="33483" spans="17:17" x14ac:dyDescent="0.25">
      <c r="Q33483" s="8"/>
    </row>
    <row r="33484" spans="17:17" x14ac:dyDescent="0.25">
      <c r="Q33484" s="8"/>
    </row>
    <row r="33485" spans="17:17" x14ac:dyDescent="0.25">
      <c r="Q33485" s="8"/>
    </row>
    <row r="33486" spans="17:17" x14ac:dyDescent="0.25">
      <c r="Q33486" s="8"/>
    </row>
    <row r="33487" spans="17:17" x14ac:dyDescent="0.25">
      <c r="Q33487" s="8"/>
    </row>
    <row r="33488" spans="17:17" x14ac:dyDescent="0.25">
      <c r="Q33488" s="8"/>
    </row>
    <row r="33489" spans="17:17" x14ac:dyDescent="0.25">
      <c r="Q33489" s="8"/>
    </row>
    <row r="33490" spans="17:17" x14ac:dyDescent="0.25">
      <c r="Q33490" s="8"/>
    </row>
    <row r="33491" spans="17:17" x14ac:dyDescent="0.25">
      <c r="Q33491" s="8"/>
    </row>
    <row r="33492" spans="17:17" x14ac:dyDescent="0.25">
      <c r="Q33492" s="8"/>
    </row>
    <row r="33493" spans="17:17" x14ac:dyDescent="0.25">
      <c r="Q33493" s="8"/>
    </row>
    <row r="33494" spans="17:17" x14ac:dyDescent="0.25">
      <c r="Q33494" s="8"/>
    </row>
    <row r="33495" spans="17:17" x14ac:dyDescent="0.25">
      <c r="Q33495" s="8"/>
    </row>
    <row r="33496" spans="17:17" x14ac:dyDescent="0.25">
      <c r="Q33496" s="8"/>
    </row>
    <row r="33497" spans="17:17" x14ac:dyDescent="0.25">
      <c r="Q33497" s="8"/>
    </row>
    <row r="33498" spans="17:17" x14ac:dyDescent="0.25">
      <c r="Q33498" s="8"/>
    </row>
    <row r="33499" spans="17:17" x14ac:dyDescent="0.25">
      <c r="Q33499" s="8"/>
    </row>
    <row r="33500" spans="17:17" x14ac:dyDescent="0.25">
      <c r="Q33500" s="8"/>
    </row>
    <row r="33501" spans="17:17" x14ac:dyDescent="0.25">
      <c r="Q33501" s="8"/>
    </row>
    <row r="33502" spans="17:17" x14ac:dyDescent="0.25">
      <c r="Q33502" s="8"/>
    </row>
    <row r="33503" spans="17:17" x14ac:dyDescent="0.25">
      <c r="Q33503" s="8"/>
    </row>
    <row r="33504" spans="17:17" x14ac:dyDescent="0.25">
      <c r="Q33504" s="8"/>
    </row>
    <row r="33505" spans="17:17" x14ac:dyDescent="0.25">
      <c r="Q33505" s="8"/>
    </row>
    <row r="33506" spans="17:17" x14ac:dyDescent="0.25">
      <c r="Q33506" s="8"/>
    </row>
    <row r="33507" spans="17:17" x14ac:dyDescent="0.25">
      <c r="Q33507" s="8"/>
    </row>
    <row r="33508" spans="17:17" x14ac:dyDescent="0.25">
      <c r="Q33508" s="8"/>
    </row>
    <row r="33509" spans="17:17" x14ac:dyDescent="0.25">
      <c r="Q33509" s="8"/>
    </row>
    <row r="33510" spans="17:17" x14ac:dyDescent="0.25">
      <c r="Q33510" s="8"/>
    </row>
    <row r="33511" spans="17:17" x14ac:dyDescent="0.25">
      <c r="Q33511" s="8"/>
    </row>
    <row r="33512" spans="17:17" x14ac:dyDescent="0.25">
      <c r="Q33512" s="8"/>
    </row>
    <row r="33513" spans="17:17" x14ac:dyDescent="0.25">
      <c r="Q33513" s="8"/>
    </row>
    <row r="33514" spans="17:17" x14ac:dyDescent="0.25">
      <c r="Q33514" s="8"/>
    </row>
    <row r="33515" spans="17:17" x14ac:dyDescent="0.25">
      <c r="Q33515" s="8"/>
    </row>
    <row r="33516" spans="17:17" x14ac:dyDescent="0.25">
      <c r="Q33516" s="8"/>
    </row>
    <row r="33517" spans="17:17" x14ac:dyDescent="0.25">
      <c r="Q33517" s="8"/>
    </row>
    <row r="33518" spans="17:17" x14ac:dyDescent="0.25">
      <c r="Q33518" s="8"/>
    </row>
    <row r="33519" spans="17:17" x14ac:dyDescent="0.25">
      <c r="Q33519" s="8"/>
    </row>
    <row r="33520" spans="17:17" x14ac:dyDescent="0.25">
      <c r="Q33520" s="8"/>
    </row>
    <row r="33521" spans="17:17" x14ac:dyDescent="0.25">
      <c r="Q33521" s="8"/>
    </row>
    <row r="33522" spans="17:17" x14ac:dyDescent="0.25">
      <c r="Q33522" s="8"/>
    </row>
    <row r="33523" spans="17:17" x14ac:dyDescent="0.25">
      <c r="Q33523" s="8"/>
    </row>
    <row r="33524" spans="17:17" x14ac:dyDescent="0.25">
      <c r="Q33524" s="8"/>
    </row>
    <row r="33525" spans="17:17" x14ac:dyDescent="0.25">
      <c r="Q33525" s="8"/>
    </row>
    <row r="33526" spans="17:17" x14ac:dyDescent="0.25">
      <c r="Q33526" s="8"/>
    </row>
    <row r="33527" spans="17:17" x14ac:dyDescent="0.25">
      <c r="Q33527" s="8"/>
    </row>
    <row r="33528" spans="17:17" x14ac:dyDescent="0.25">
      <c r="Q33528" s="8"/>
    </row>
    <row r="33529" spans="17:17" x14ac:dyDescent="0.25">
      <c r="Q33529" s="8"/>
    </row>
    <row r="33530" spans="17:17" x14ac:dyDescent="0.25">
      <c r="Q33530" s="8"/>
    </row>
    <row r="33531" spans="17:17" x14ac:dyDescent="0.25">
      <c r="Q33531" s="8"/>
    </row>
    <row r="33532" spans="17:17" x14ac:dyDescent="0.25">
      <c r="Q33532" s="8"/>
    </row>
    <row r="33533" spans="17:17" x14ac:dyDescent="0.25">
      <c r="Q33533" s="8"/>
    </row>
    <row r="33534" spans="17:17" x14ac:dyDescent="0.25">
      <c r="Q33534" s="8"/>
    </row>
    <row r="33535" spans="17:17" x14ac:dyDescent="0.25">
      <c r="Q33535" s="8"/>
    </row>
    <row r="33536" spans="17:17" x14ac:dyDescent="0.25">
      <c r="Q33536" s="8"/>
    </row>
    <row r="33537" spans="17:17" x14ac:dyDescent="0.25">
      <c r="Q33537" s="8"/>
    </row>
    <row r="33538" spans="17:17" x14ac:dyDescent="0.25">
      <c r="Q33538" s="8"/>
    </row>
    <row r="33539" spans="17:17" x14ac:dyDescent="0.25">
      <c r="Q33539" s="8"/>
    </row>
    <row r="33540" spans="17:17" x14ac:dyDescent="0.25">
      <c r="Q33540" s="8"/>
    </row>
    <row r="33541" spans="17:17" x14ac:dyDescent="0.25">
      <c r="Q33541" s="8"/>
    </row>
    <row r="33542" spans="17:17" x14ac:dyDescent="0.25">
      <c r="Q33542" s="8"/>
    </row>
    <row r="33543" spans="17:17" x14ac:dyDescent="0.25">
      <c r="Q33543" s="8"/>
    </row>
    <row r="33544" spans="17:17" x14ac:dyDescent="0.25">
      <c r="Q33544" s="8"/>
    </row>
    <row r="33545" spans="17:17" x14ac:dyDescent="0.25">
      <c r="Q33545" s="8"/>
    </row>
    <row r="33546" spans="17:17" x14ac:dyDescent="0.25">
      <c r="Q33546" s="8"/>
    </row>
    <row r="33547" spans="17:17" x14ac:dyDescent="0.25">
      <c r="Q33547" s="8"/>
    </row>
    <row r="33548" spans="17:17" x14ac:dyDescent="0.25">
      <c r="Q33548" s="8"/>
    </row>
    <row r="33549" spans="17:17" x14ac:dyDescent="0.25">
      <c r="Q33549" s="8"/>
    </row>
    <row r="33550" spans="17:17" x14ac:dyDescent="0.25">
      <c r="Q33550" s="8"/>
    </row>
    <row r="33551" spans="17:17" x14ac:dyDescent="0.25">
      <c r="Q33551" s="8"/>
    </row>
    <row r="33552" spans="17:17" x14ac:dyDescent="0.25">
      <c r="Q33552" s="8"/>
    </row>
    <row r="33553" spans="17:17" x14ac:dyDescent="0.25">
      <c r="Q33553" s="8"/>
    </row>
    <row r="33554" spans="17:17" x14ac:dyDescent="0.25">
      <c r="Q33554" s="8"/>
    </row>
    <row r="33555" spans="17:17" x14ac:dyDescent="0.25">
      <c r="Q33555" s="8"/>
    </row>
    <row r="33556" spans="17:17" x14ac:dyDescent="0.25">
      <c r="Q33556" s="8"/>
    </row>
    <row r="33557" spans="17:17" x14ac:dyDescent="0.25">
      <c r="Q33557" s="8"/>
    </row>
    <row r="33558" spans="17:17" x14ac:dyDescent="0.25">
      <c r="Q33558" s="8"/>
    </row>
    <row r="33559" spans="17:17" x14ac:dyDescent="0.25">
      <c r="Q33559" s="8"/>
    </row>
    <row r="33560" spans="17:17" x14ac:dyDescent="0.25">
      <c r="Q33560" s="8"/>
    </row>
    <row r="33561" spans="17:17" x14ac:dyDescent="0.25">
      <c r="Q33561" s="8"/>
    </row>
    <row r="33562" spans="17:17" x14ac:dyDescent="0.25">
      <c r="Q33562" s="8"/>
    </row>
    <row r="33563" spans="17:17" x14ac:dyDescent="0.25">
      <c r="Q33563" s="8"/>
    </row>
    <row r="33564" spans="17:17" x14ac:dyDescent="0.25">
      <c r="Q33564" s="8"/>
    </row>
    <row r="33565" spans="17:17" x14ac:dyDescent="0.25">
      <c r="Q33565" s="8"/>
    </row>
    <row r="33566" spans="17:17" x14ac:dyDescent="0.25">
      <c r="Q33566" s="8"/>
    </row>
    <row r="33567" spans="17:17" x14ac:dyDescent="0.25">
      <c r="Q33567" s="8"/>
    </row>
    <row r="33568" spans="17:17" x14ac:dyDescent="0.25">
      <c r="Q33568" s="8"/>
    </row>
    <row r="33569" spans="17:17" x14ac:dyDescent="0.25">
      <c r="Q33569" s="8"/>
    </row>
    <row r="33570" spans="17:17" x14ac:dyDescent="0.25">
      <c r="Q33570" s="8"/>
    </row>
    <row r="33571" spans="17:17" x14ac:dyDescent="0.25">
      <c r="Q33571" s="8"/>
    </row>
    <row r="33572" spans="17:17" x14ac:dyDescent="0.25">
      <c r="Q33572" s="8"/>
    </row>
    <row r="33573" spans="17:17" x14ac:dyDescent="0.25">
      <c r="Q33573" s="8"/>
    </row>
    <row r="33574" spans="17:17" x14ac:dyDescent="0.25">
      <c r="Q33574" s="8"/>
    </row>
    <row r="33575" spans="17:17" x14ac:dyDescent="0.25">
      <c r="Q33575" s="8"/>
    </row>
    <row r="33576" spans="17:17" x14ac:dyDescent="0.25">
      <c r="Q33576" s="8"/>
    </row>
    <row r="33577" spans="17:17" x14ac:dyDescent="0.25">
      <c r="Q33577" s="8"/>
    </row>
    <row r="33578" spans="17:17" x14ac:dyDescent="0.25">
      <c r="Q33578" s="8"/>
    </row>
    <row r="33579" spans="17:17" x14ac:dyDescent="0.25">
      <c r="Q33579" s="8"/>
    </row>
    <row r="33580" spans="17:17" x14ac:dyDescent="0.25">
      <c r="Q33580" s="8"/>
    </row>
    <row r="33581" spans="17:17" x14ac:dyDescent="0.25">
      <c r="Q33581" s="8"/>
    </row>
    <row r="33582" spans="17:17" x14ac:dyDescent="0.25">
      <c r="Q33582" s="8"/>
    </row>
    <row r="33583" spans="17:17" x14ac:dyDescent="0.25">
      <c r="Q33583" s="8"/>
    </row>
    <row r="33584" spans="17:17" x14ac:dyDescent="0.25">
      <c r="Q33584" s="8"/>
    </row>
    <row r="33585" spans="17:17" x14ac:dyDescent="0.25">
      <c r="Q33585" s="8"/>
    </row>
    <row r="33586" spans="17:17" x14ac:dyDescent="0.25">
      <c r="Q33586" s="8"/>
    </row>
    <row r="33587" spans="17:17" x14ac:dyDescent="0.25">
      <c r="Q33587" s="8"/>
    </row>
    <row r="33588" spans="17:17" x14ac:dyDescent="0.25">
      <c r="Q33588" s="8"/>
    </row>
    <row r="33589" spans="17:17" x14ac:dyDescent="0.25">
      <c r="Q33589" s="8"/>
    </row>
    <row r="33590" spans="17:17" x14ac:dyDescent="0.25">
      <c r="Q33590" s="8"/>
    </row>
    <row r="33591" spans="17:17" x14ac:dyDescent="0.25">
      <c r="Q33591" s="8"/>
    </row>
    <row r="33592" spans="17:17" x14ac:dyDescent="0.25">
      <c r="Q33592" s="8"/>
    </row>
    <row r="33593" spans="17:17" x14ac:dyDescent="0.25">
      <c r="Q33593" s="8"/>
    </row>
    <row r="33594" spans="17:17" x14ac:dyDescent="0.25">
      <c r="Q33594" s="8"/>
    </row>
    <row r="33595" spans="17:17" x14ac:dyDescent="0.25">
      <c r="Q33595" s="8"/>
    </row>
    <row r="33596" spans="17:17" x14ac:dyDescent="0.25">
      <c r="Q33596" s="8"/>
    </row>
    <row r="33597" spans="17:17" x14ac:dyDescent="0.25">
      <c r="Q33597" s="8"/>
    </row>
    <row r="33598" spans="17:17" x14ac:dyDescent="0.25">
      <c r="Q33598" s="8"/>
    </row>
    <row r="33599" spans="17:17" x14ac:dyDescent="0.25">
      <c r="Q33599" s="8"/>
    </row>
    <row r="33600" spans="17:17" x14ac:dyDescent="0.25">
      <c r="Q33600" s="8"/>
    </row>
    <row r="33601" spans="17:17" x14ac:dyDescent="0.25">
      <c r="Q33601" s="8"/>
    </row>
    <row r="33602" spans="17:17" x14ac:dyDescent="0.25">
      <c r="Q33602" s="8"/>
    </row>
    <row r="33603" spans="17:17" x14ac:dyDescent="0.25">
      <c r="Q33603" s="8"/>
    </row>
    <row r="33604" spans="17:17" x14ac:dyDescent="0.25">
      <c r="Q33604" s="8"/>
    </row>
    <row r="33605" spans="17:17" x14ac:dyDescent="0.25">
      <c r="Q33605" s="8"/>
    </row>
    <row r="33606" spans="17:17" x14ac:dyDescent="0.25">
      <c r="Q33606" s="8"/>
    </row>
    <row r="33607" spans="17:17" x14ac:dyDescent="0.25">
      <c r="Q33607" s="8"/>
    </row>
    <row r="33608" spans="17:17" x14ac:dyDescent="0.25">
      <c r="Q33608" s="8"/>
    </row>
    <row r="33609" spans="17:17" x14ac:dyDescent="0.25">
      <c r="Q33609" s="8"/>
    </row>
    <row r="33610" spans="17:17" x14ac:dyDescent="0.25">
      <c r="Q33610" s="8"/>
    </row>
    <row r="33611" spans="17:17" x14ac:dyDescent="0.25">
      <c r="Q33611" s="8"/>
    </row>
    <row r="33612" spans="17:17" x14ac:dyDescent="0.25">
      <c r="Q33612" s="8"/>
    </row>
    <row r="33613" spans="17:17" x14ac:dyDescent="0.25">
      <c r="Q33613" s="8"/>
    </row>
    <row r="33614" spans="17:17" x14ac:dyDescent="0.25">
      <c r="Q33614" s="8"/>
    </row>
    <row r="33615" spans="17:17" x14ac:dyDescent="0.25">
      <c r="Q33615" s="8"/>
    </row>
    <row r="33616" spans="17:17" x14ac:dyDescent="0.25">
      <c r="Q33616" s="8"/>
    </row>
    <row r="33617" spans="17:17" x14ac:dyDescent="0.25">
      <c r="Q33617" s="8"/>
    </row>
    <row r="33618" spans="17:17" x14ac:dyDescent="0.25">
      <c r="Q33618" s="8"/>
    </row>
    <row r="33619" spans="17:17" x14ac:dyDescent="0.25">
      <c r="Q33619" s="8"/>
    </row>
    <row r="33620" spans="17:17" x14ac:dyDescent="0.25">
      <c r="Q33620" s="8"/>
    </row>
    <row r="33621" spans="17:17" x14ac:dyDescent="0.25">
      <c r="Q33621" s="8"/>
    </row>
    <row r="33622" spans="17:17" x14ac:dyDescent="0.25">
      <c r="Q33622" s="8"/>
    </row>
    <row r="33623" spans="17:17" x14ac:dyDescent="0.25">
      <c r="Q33623" s="8"/>
    </row>
    <row r="33624" spans="17:17" x14ac:dyDescent="0.25">
      <c r="Q33624" s="8"/>
    </row>
    <row r="33625" spans="17:17" x14ac:dyDescent="0.25">
      <c r="Q33625" s="8"/>
    </row>
    <row r="33626" spans="17:17" x14ac:dyDescent="0.25">
      <c r="Q33626" s="8"/>
    </row>
    <row r="33627" spans="17:17" x14ac:dyDescent="0.25">
      <c r="Q33627" s="8"/>
    </row>
    <row r="33628" spans="17:17" x14ac:dyDescent="0.25">
      <c r="Q33628" s="8"/>
    </row>
    <row r="33629" spans="17:17" x14ac:dyDescent="0.25">
      <c r="Q33629" s="8"/>
    </row>
    <row r="33630" spans="17:17" x14ac:dyDescent="0.25">
      <c r="Q33630" s="8"/>
    </row>
    <row r="33631" spans="17:17" x14ac:dyDescent="0.25">
      <c r="Q33631" s="8"/>
    </row>
    <row r="33632" spans="17:17" x14ac:dyDescent="0.25">
      <c r="Q33632" s="8"/>
    </row>
    <row r="33633" spans="17:17" x14ac:dyDescent="0.25">
      <c r="Q33633" s="8"/>
    </row>
    <row r="33634" spans="17:17" x14ac:dyDescent="0.25">
      <c r="Q33634" s="8"/>
    </row>
    <row r="33635" spans="17:17" x14ac:dyDescent="0.25">
      <c r="Q33635" s="8"/>
    </row>
    <row r="33636" spans="17:17" x14ac:dyDescent="0.25">
      <c r="Q33636" s="8"/>
    </row>
    <row r="33637" spans="17:17" x14ac:dyDescent="0.25">
      <c r="Q33637" s="8"/>
    </row>
    <row r="33638" spans="17:17" x14ac:dyDescent="0.25">
      <c r="Q33638" s="8"/>
    </row>
    <row r="33639" spans="17:17" x14ac:dyDescent="0.25">
      <c r="Q33639" s="8"/>
    </row>
    <row r="33640" spans="17:17" x14ac:dyDescent="0.25">
      <c r="Q33640" s="8"/>
    </row>
    <row r="33641" spans="17:17" x14ac:dyDescent="0.25">
      <c r="Q33641" s="8"/>
    </row>
    <row r="33642" spans="17:17" x14ac:dyDescent="0.25">
      <c r="Q33642" s="8"/>
    </row>
    <row r="33643" spans="17:17" x14ac:dyDescent="0.25">
      <c r="Q33643" s="8"/>
    </row>
    <row r="33644" spans="17:17" x14ac:dyDescent="0.25">
      <c r="Q33644" s="8"/>
    </row>
    <row r="33645" spans="17:17" x14ac:dyDescent="0.25">
      <c r="Q33645" s="8"/>
    </row>
    <row r="33646" spans="17:17" x14ac:dyDescent="0.25">
      <c r="Q33646" s="8"/>
    </row>
    <row r="33647" spans="17:17" x14ac:dyDescent="0.25">
      <c r="Q33647" s="8"/>
    </row>
    <row r="33648" spans="17:17" x14ac:dyDescent="0.25">
      <c r="Q33648" s="8"/>
    </row>
    <row r="33649" spans="17:17" x14ac:dyDescent="0.25">
      <c r="Q33649" s="8"/>
    </row>
    <row r="33650" spans="17:17" x14ac:dyDescent="0.25">
      <c r="Q33650" s="8"/>
    </row>
    <row r="33651" spans="17:17" x14ac:dyDescent="0.25">
      <c r="Q33651" s="8"/>
    </row>
    <row r="33652" spans="17:17" x14ac:dyDescent="0.25">
      <c r="Q33652" s="8"/>
    </row>
    <row r="33653" spans="17:17" x14ac:dyDescent="0.25">
      <c r="Q33653" s="8"/>
    </row>
    <row r="33654" spans="17:17" x14ac:dyDescent="0.25">
      <c r="Q33654" s="8"/>
    </row>
    <row r="33655" spans="17:17" x14ac:dyDescent="0.25">
      <c r="Q33655" s="8"/>
    </row>
    <row r="33656" spans="17:17" x14ac:dyDescent="0.25">
      <c r="Q33656" s="8"/>
    </row>
    <row r="33657" spans="17:17" x14ac:dyDescent="0.25">
      <c r="Q33657" s="8"/>
    </row>
    <row r="33658" spans="17:17" x14ac:dyDescent="0.25">
      <c r="Q33658" s="8"/>
    </row>
    <row r="33659" spans="17:17" x14ac:dyDescent="0.25">
      <c r="Q33659" s="8"/>
    </row>
    <row r="33660" spans="17:17" x14ac:dyDescent="0.25">
      <c r="Q33660" s="8"/>
    </row>
    <row r="33661" spans="17:17" x14ac:dyDescent="0.25">
      <c r="Q33661" s="8"/>
    </row>
    <row r="33662" spans="17:17" x14ac:dyDescent="0.25">
      <c r="Q33662" s="8"/>
    </row>
    <row r="33663" spans="17:17" x14ac:dyDescent="0.25">
      <c r="Q33663" s="8"/>
    </row>
    <row r="33664" spans="17:17" x14ac:dyDescent="0.25">
      <c r="Q33664" s="8"/>
    </row>
    <row r="33665" spans="17:17" x14ac:dyDescent="0.25">
      <c r="Q33665" s="8"/>
    </row>
    <row r="33666" spans="17:17" x14ac:dyDescent="0.25">
      <c r="Q33666" s="8"/>
    </row>
    <row r="33667" spans="17:17" x14ac:dyDescent="0.25">
      <c r="Q33667" s="8"/>
    </row>
    <row r="33668" spans="17:17" x14ac:dyDescent="0.25">
      <c r="Q33668" s="8"/>
    </row>
    <row r="33669" spans="17:17" x14ac:dyDescent="0.25">
      <c r="Q33669" s="8"/>
    </row>
    <row r="33670" spans="17:17" x14ac:dyDescent="0.25">
      <c r="Q33670" s="8"/>
    </row>
    <row r="33671" spans="17:17" x14ac:dyDescent="0.25">
      <c r="Q33671" s="8"/>
    </row>
    <row r="33672" spans="17:17" x14ac:dyDescent="0.25">
      <c r="Q33672" s="8"/>
    </row>
    <row r="33673" spans="17:17" x14ac:dyDescent="0.25">
      <c r="Q33673" s="8"/>
    </row>
    <row r="33674" spans="17:17" x14ac:dyDescent="0.25">
      <c r="Q33674" s="8"/>
    </row>
    <row r="33675" spans="17:17" x14ac:dyDescent="0.25">
      <c r="Q33675" s="8"/>
    </row>
    <row r="33676" spans="17:17" x14ac:dyDescent="0.25">
      <c r="Q33676" s="8"/>
    </row>
    <row r="33677" spans="17:17" x14ac:dyDescent="0.25">
      <c r="Q33677" s="8"/>
    </row>
    <row r="33678" spans="17:17" x14ac:dyDescent="0.25">
      <c r="Q33678" s="8"/>
    </row>
    <row r="33679" spans="17:17" x14ac:dyDescent="0.25">
      <c r="Q33679" s="8"/>
    </row>
    <row r="33680" spans="17:17" x14ac:dyDescent="0.25">
      <c r="Q33680" s="8"/>
    </row>
    <row r="33681" spans="17:17" x14ac:dyDescent="0.25">
      <c r="Q33681" s="8"/>
    </row>
    <row r="33682" spans="17:17" x14ac:dyDescent="0.25">
      <c r="Q33682" s="8"/>
    </row>
    <row r="33683" spans="17:17" x14ac:dyDescent="0.25">
      <c r="Q33683" s="8"/>
    </row>
    <row r="33684" spans="17:17" x14ac:dyDescent="0.25">
      <c r="Q33684" s="8"/>
    </row>
    <row r="33685" spans="17:17" x14ac:dyDescent="0.25">
      <c r="Q33685" s="8"/>
    </row>
    <row r="33686" spans="17:17" x14ac:dyDescent="0.25">
      <c r="Q33686" s="8"/>
    </row>
    <row r="33687" spans="17:17" x14ac:dyDescent="0.25">
      <c r="Q33687" s="8"/>
    </row>
    <row r="33688" spans="17:17" x14ac:dyDescent="0.25">
      <c r="Q33688" s="8"/>
    </row>
    <row r="33689" spans="17:17" x14ac:dyDescent="0.25">
      <c r="Q33689" s="8"/>
    </row>
    <row r="33690" spans="17:17" x14ac:dyDescent="0.25">
      <c r="Q33690" s="8"/>
    </row>
    <row r="33691" spans="17:17" x14ac:dyDescent="0.25">
      <c r="Q33691" s="8"/>
    </row>
    <row r="33692" spans="17:17" x14ac:dyDescent="0.25">
      <c r="Q33692" s="8"/>
    </row>
    <row r="33693" spans="17:17" x14ac:dyDescent="0.25">
      <c r="Q33693" s="8"/>
    </row>
    <row r="33694" spans="17:17" x14ac:dyDescent="0.25">
      <c r="Q33694" s="8"/>
    </row>
    <row r="33695" spans="17:17" x14ac:dyDescent="0.25">
      <c r="Q33695" s="8"/>
    </row>
    <row r="33696" spans="17:17" x14ac:dyDescent="0.25">
      <c r="Q33696" s="8"/>
    </row>
    <row r="33697" spans="17:17" x14ac:dyDescent="0.25">
      <c r="Q33697" s="8"/>
    </row>
    <row r="33698" spans="17:17" x14ac:dyDescent="0.25">
      <c r="Q33698" s="8"/>
    </row>
    <row r="33699" spans="17:17" x14ac:dyDescent="0.25">
      <c r="Q33699" s="8"/>
    </row>
    <row r="33700" spans="17:17" x14ac:dyDescent="0.25">
      <c r="Q33700" s="8"/>
    </row>
    <row r="33701" spans="17:17" x14ac:dyDescent="0.25">
      <c r="Q33701" s="8"/>
    </row>
    <row r="33702" spans="17:17" x14ac:dyDescent="0.25">
      <c r="Q33702" s="8"/>
    </row>
    <row r="33703" spans="17:17" x14ac:dyDescent="0.25">
      <c r="Q33703" s="8"/>
    </row>
    <row r="33704" spans="17:17" x14ac:dyDescent="0.25">
      <c r="Q33704" s="8"/>
    </row>
    <row r="33705" spans="17:17" x14ac:dyDescent="0.25">
      <c r="Q33705" s="8"/>
    </row>
    <row r="33706" spans="17:17" x14ac:dyDescent="0.25">
      <c r="Q33706" s="8"/>
    </row>
    <row r="33707" spans="17:17" x14ac:dyDescent="0.25">
      <c r="Q33707" s="8"/>
    </row>
    <row r="33708" spans="17:17" x14ac:dyDescent="0.25">
      <c r="Q33708" s="8"/>
    </row>
    <row r="33709" spans="17:17" x14ac:dyDescent="0.25">
      <c r="Q33709" s="8"/>
    </row>
    <row r="33710" spans="17:17" x14ac:dyDescent="0.25">
      <c r="Q33710" s="8"/>
    </row>
    <row r="33711" spans="17:17" x14ac:dyDescent="0.25">
      <c r="Q33711" s="8"/>
    </row>
    <row r="33712" spans="17:17" x14ac:dyDescent="0.25">
      <c r="Q33712" s="8"/>
    </row>
    <row r="33713" spans="17:17" x14ac:dyDescent="0.25">
      <c r="Q33713" s="8"/>
    </row>
    <row r="33714" spans="17:17" x14ac:dyDescent="0.25">
      <c r="Q33714" s="8"/>
    </row>
    <row r="33715" spans="17:17" x14ac:dyDescent="0.25">
      <c r="Q33715" s="8"/>
    </row>
    <row r="33716" spans="17:17" x14ac:dyDescent="0.25">
      <c r="Q33716" s="8"/>
    </row>
    <row r="33717" spans="17:17" x14ac:dyDescent="0.25">
      <c r="Q33717" s="8"/>
    </row>
    <row r="33718" spans="17:17" x14ac:dyDescent="0.25">
      <c r="Q33718" s="8"/>
    </row>
    <row r="33719" spans="17:17" x14ac:dyDescent="0.25">
      <c r="Q33719" s="8"/>
    </row>
    <row r="33720" spans="17:17" x14ac:dyDescent="0.25">
      <c r="Q33720" s="8"/>
    </row>
    <row r="33721" spans="17:17" x14ac:dyDescent="0.25">
      <c r="Q33721" s="8"/>
    </row>
    <row r="33722" spans="17:17" x14ac:dyDescent="0.25">
      <c r="Q33722" s="8"/>
    </row>
    <row r="33723" spans="17:17" x14ac:dyDescent="0.25">
      <c r="Q33723" s="8"/>
    </row>
    <row r="33724" spans="17:17" x14ac:dyDescent="0.25">
      <c r="Q33724" s="8"/>
    </row>
    <row r="33725" spans="17:17" x14ac:dyDescent="0.25">
      <c r="Q33725" s="8"/>
    </row>
    <row r="33726" spans="17:17" x14ac:dyDescent="0.25">
      <c r="Q33726" s="8"/>
    </row>
    <row r="33727" spans="17:17" x14ac:dyDescent="0.25">
      <c r="Q33727" s="8"/>
    </row>
    <row r="33728" spans="17:17" x14ac:dyDescent="0.25">
      <c r="Q33728" s="8"/>
    </row>
    <row r="33729" spans="17:17" x14ac:dyDescent="0.25">
      <c r="Q33729" s="8"/>
    </row>
    <row r="33730" spans="17:17" x14ac:dyDescent="0.25">
      <c r="Q33730" s="8"/>
    </row>
    <row r="33731" spans="17:17" x14ac:dyDescent="0.25">
      <c r="Q33731" s="8"/>
    </row>
    <row r="33732" spans="17:17" x14ac:dyDescent="0.25">
      <c r="Q33732" s="8"/>
    </row>
    <row r="33733" spans="17:17" x14ac:dyDescent="0.25">
      <c r="Q33733" s="8"/>
    </row>
    <row r="33734" spans="17:17" x14ac:dyDescent="0.25">
      <c r="Q33734" s="8"/>
    </row>
    <row r="33735" spans="17:17" x14ac:dyDescent="0.25">
      <c r="Q33735" s="8"/>
    </row>
    <row r="33736" spans="17:17" x14ac:dyDescent="0.25">
      <c r="Q33736" s="8"/>
    </row>
    <row r="33737" spans="17:17" x14ac:dyDescent="0.25">
      <c r="Q33737" s="8"/>
    </row>
    <row r="33738" spans="17:17" x14ac:dyDescent="0.25">
      <c r="Q33738" s="8"/>
    </row>
    <row r="33739" spans="17:17" x14ac:dyDescent="0.25">
      <c r="Q33739" s="8"/>
    </row>
    <row r="33740" spans="17:17" x14ac:dyDescent="0.25">
      <c r="Q33740" s="8"/>
    </row>
    <row r="33741" spans="17:17" x14ac:dyDescent="0.25">
      <c r="Q33741" s="8"/>
    </row>
    <row r="33742" spans="17:17" x14ac:dyDescent="0.25">
      <c r="Q33742" s="8"/>
    </row>
    <row r="33743" spans="17:17" x14ac:dyDescent="0.25">
      <c r="Q33743" s="8"/>
    </row>
    <row r="33744" spans="17:17" x14ac:dyDescent="0.25">
      <c r="Q33744" s="8"/>
    </row>
    <row r="33745" spans="17:17" x14ac:dyDescent="0.25">
      <c r="Q33745" s="8"/>
    </row>
    <row r="33746" spans="17:17" x14ac:dyDescent="0.25">
      <c r="Q33746" s="8"/>
    </row>
    <row r="33747" spans="17:17" x14ac:dyDescent="0.25">
      <c r="Q33747" s="8"/>
    </row>
    <row r="33748" spans="17:17" x14ac:dyDescent="0.25">
      <c r="Q33748" s="8"/>
    </row>
    <row r="33749" spans="17:17" x14ac:dyDescent="0.25">
      <c r="Q33749" s="8"/>
    </row>
    <row r="33750" spans="17:17" x14ac:dyDescent="0.25">
      <c r="Q33750" s="8"/>
    </row>
    <row r="33751" spans="17:17" x14ac:dyDescent="0.25">
      <c r="Q33751" s="8"/>
    </row>
    <row r="33752" spans="17:17" x14ac:dyDescent="0.25">
      <c r="Q33752" s="8"/>
    </row>
    <row r="33753" spans="17:17" x14ac:dyDescent="0.25">
      <c r="Q33753" s="8"/>
    </row>
    <row r="33754" spans="17:17" x14ac:dyDescent="0.25">
      <c r="Q33754" s="8"/>
    </row>
    <row r="33755" spans="17:17" x14ac:dyDescent="0.25">
      <c r="Q33755" s="8"/>
    </row>
    <row r="33756" spans="17:17" x14ac:dyDescent="0.25">
      <c r="Q33756" s="8"/>
    </row>
    <row r="33757" spans="17:17" x14ac:dyDescent="0.25">
      <c r="Q33757" s="8"/>
    </row>
    <row r="33758" spans="17:17" x14ac:dyDescent="0.25">
      <c r="Q33758" s="8"/>
    </row>
    <row r="33759" spans="17:17" x14ac:dyDescent="0.25">
      <c r="Q33759" s="8"/>
    </row>
    <row r="33760" spans="17:17" x14ac:dyDescent="0.25">
      <c r="Q33760" s="8"/>
    </row>
    <row r="33761" spans="17:17" x14ac:dyDescent="0.25">
      <c r="Q33761" s="8"/>
    </row>
    <row r="33762" spans="17:17" x14ac:dyDescent="0.25">
      <c r="Q33762" s="8"/>
    </row>
    <row r="33763" spans="17:17" x14ac:dyDescent="0.25">
      <c r="Q33763" s="8"/>
    </row>
    <row r="33764" spans="17:17" x14ac:dyDescent="0.25">
      <c r="Q33764" s="8"/>
    </row>
    <row r="33765" spans="17:17" x14ac:dyDescent="0.25">
      <c r="Q33765" s="8"/>
    </row>
    <row r="33766" spans="17:17" x14ac:dyDescent="0.25">
      <c r="Q33766" s="8"/>
    </row>
    <row r="33767" spans="17:17" x14ac:dyDescent="0.25">
      <c r="Q33767" s="8"/>
    </row>
    <row r="33768" spans="17:17" x14ac:dyDescent="0.25">
      <c r="Q33768" s="8"/>
    </row>
    <row r="33769" spans="17:17" x14ac:dyDescent="0.25">
      <c r="Q33769" s="8"/>
    </row>
    <row r="33770" spans="17:17" x14ac:dyDescent="0.25">
      <c r="Q33770" s="8"/>
    </row>
    <row r="33771" spans="17:17" x14ac:dyDescent="0.25">
      <c r="Q33771" s="8"/>
    </row>
    <row r="33772" spans="17:17" x14ac:dyDescent="0.25">
      <c r="Q33772" s="8"/>
    </row>
    <row r="33773" spans="17:17" x14ac:dyDescent="0.25">
      <c r="Q33773" s="8"/>
    </row>
    <row r="33774" spans="17:17" x14ac:dyDescent="0.25">
      <c r="Q33774" s="8"/>
    </row>
    <row r="33775" spans="17:17" x14ac:dyDescent="0.25">
      <c r="Q33775" s="8"/>
    </row>
    <row r="33776" spans="17:17" x14ac:dyDescent="0.25">
      <c r="Q33776" s="8"/>
    </row>
    <row r="33777" spans="17:17" x14ac:dyDescent="0.25">
      <c r="Q33777" s="8"/>
    </row>
    <row r="33778" spans="17:17" x14ac:dyDescent="0.25">
      <c r="Q33778" s="8"/>
    </row>
    <row r="33779" spans="17:17" x14ac:dyDescent="0.25">
      <c r="Q33779" s="8"/>
    </row>
    <row r="33780" spans="17:17" x14ac:dyDescent="0.25">
      <c r="Q33780" s="8"/>
    </row>
    <row r="33781" spans="17:17" x14ac:dyDescent="0.25">
      <c r="Q33781" s="8"/>
    </row>
    <row r="33782" spans="17:17" x14ac:dyDescent="0.25">
      <c r="Q33782" s="8"/>
    </row>
    <row r="33783" spans="17:17" x14ac:dyDescent="0.25">
      <c r="Q33783" s="8"/>
    </row>
    <row r="33784" spans="17:17" x14ac:dyDescent="0.25">
      <c r="Q33784" s="8"/>
    </row>
    <row r="33785" spans="17:17" x14ac:dyDescent="0.25">
      <c r="Q33785" s="8"/>
    </row>
    <row r="33786" spans="17:17" x14ac:dyDescent="0.25">
      <c r="Q33786" s="8"/>
    </row>
    <row r="33787" spans="17:17" x14ac:dyDescent="0.25">
      <c r="Q33787" s="8"/>
    </row>
    <row r="33788" spans="17:17" x14ac:dyDescent="0.25">
      <c r="Q33788" s="8"/>
    </row>
    <row r="33789" spans="17:17" x14ac:dyDescent="0.25">
      <c r="Q33789" s="8"/>
    </row>
    <row r="33790" spans="17:17" x14ac:dyDescent="0.25">
      <c r="Q33790" s="8"/>
    </row>
    <row r="33791" spans="17:17" x14ac:dyDescent="0.25">
      <c r="Q33791" s="8"/>
    </row>
    <row r="33792" spans="17:17" x14ac:dyDescent="0.25">
      <c r="Q33792" s="8"/>
    </row>
    <row r="33793" spans="17:17" x14ac:dyDescent="0.25">
      <c r="Q33793" s="8"/>
    </row>
    <row r="33794" spans="17:17" x14ac:dyDescent="0.25">
      <c r="Q33794" s="8"/>
    </row>
    <row r="33795" spans="17:17" x14ac:dyDescent="0.25">
      <c r="Q33795" s="8"/>
    </row>
    <row r="33796" spans="17:17" x14ac:dyDescent="0.25">
      <c r="Q33796" s="8"/>
    </row>
    <row r="33797" spans="17:17" x14ac:dyDescent="0.25">
      <c r="Q33797" s="8"/>
    </row>
    <row r="33798" spans="17:17" x14ac:dyDescent="0.25">
      <c r="Q33798" s="8"/>
    </row>
    <row r="33799" spans="17:17" x14ac:dyDescent="0.25">
      <c r="Q33799" s="8"/>
    </row>
    <row r="33800" spans="17:17" x14ac:dyDescent="0.25">
      <c r="Q33800" s="8"/>
    </row>
    <row r="33801" spans="17:17" x14ac:dyDescent="0.25">
      <c r="Q33801" s="8"/>
    </row>
    <row r="33802" spans="17:17" x14ac:dyDescent="0.25">
      <c r="Q33802" s="8"/>
    </row>
    <row r="33803" spans="17:17" x14ac:dyDescent="0.25">
      <c r="Q33803" s="8"/>
    </row>
    <row r="33804" spans="17:17" x14ac:dyDescent="0.25">
      <c r="Q33804" s="8"/>
    </row>
    <row r="33805" spans="17:17" x14ac:dyDescent="0.25">
      <c r="Q33805" s="8"/>
    </row>
    <row r="33806" spans="17:17" x14ac:dyDescent="0.25">
      <c r="Q33806" s="8"/>
    </row>
    <row r="33807" spans="17:17" x14ac:dyDescent="0.25">
      <c r="Q33807" s="8"/>
    </row>
    <row r="33808" spans="17:17" x14ac:dyDescent="0.25">
      <c r="Q33808" s="8"/>
    </row>
    <row r="33809" spans="17:17" x14ac:dyDescent="0.25">
      <c r="Q33809" s="8"/>
    </row>
    <row r="33810" spans="17:17" x14ac:dyDescent="0.25">
      <c r="Q33810" s="8"/>
    </row>
    <row r="33811" spans="17:17" x14ac:dyDescent="0.25">
      <c r="Q33811" s="8"/>
    </row>
    <row r="33812" spans="17:17" x14ac:dyDescent="0.25">
      <c r="Q33812" s="8"/>
    </row>
    <row r="33813" spans="17:17" x14ac:dyDescent="0.25">
      <c r="Q33813" s="8"/>
    </row>
    <row r="33814" spans="17:17" x14ac:dyDescent="0.25">
      <c r="Q33814" s="8"/>
    </row>
    <row r="33815" spans="17:17" x14ac:dyDescent="0.25">
      <c r="Q33815" s="8"/>
    </row>
    <row r="33816" spans="17:17" x14ac:dyDescent="0.25">
      <c r="Q33816" s="8"/>
    </row>
    <row r="33817" spans="17:17" x14ac:dyDescent="0.25">
      <c r="Q33817" s="8"/>
    </row>
    <row r="33818" spans="17:17" x14ac:dyDescent="0.25">
      <c r="Q33818" s="8"/>
    </row>
    <row r="33819" spans="17:17" x14ac:dyDescent="0.25">
      <c r="Q33819" s="8"/>
    </row>
    <row r="33820" spans="17:17" x14ac:dyDescent="0.25">
      <c r="Q33820" s="8"/>
    </row>
    <row r="33821" spans="17:17" x14ac:dyDescent="0.25">
      <c r="Q33821" s="8"/>
    </row>
    <row r="33822" spans="17:17" x14ac:dyDescent="0.25">
      <c r="Q33822" s="8"/>
    </row>
    <row r="33823" spans="17:17" x14ac:dyDescent="0.25">
      <c r="Q33823" s="8"/>
    </row>
    <row r="33824" spans="17:17" x14ac:dyDescent="0.25">
      <c r="Q33824" s="8"/>
    </row>
    <row r="33825" spans="17:17" x14ac:dyDescent="0.25">
      <c r="Q33825" s="8"/>
    </row>
    <row r="33826" spans="17:17" x14ac:dyDescent="0.25">
      <c r="Q33826" s="8"/>
    </row>
    <row r="33827" spans="17:17" x14ac:dyDescent="0.25">
      <c r="Q33827" s="8"/>
    </row>
    <row r="33828" spans="17:17" x14ac:dyDescent="0.25">
      <c r="Q33828" s="8"/>
    </row>
    <row r="33829" spans="17:17" x14ac:dyDescent="0.25">
      <c r="Q33829" s="8"/>
    </row>
    <row r="33830" spans="17:17" x14ac:dyDescent="0.25">
      <c r="Q33830" s="8"/>
    </row>
    <row r="33831" spans="17:17" x14ac:dyDescent="0.25">
      <c r="Q33831" s="8"/>
    </row>
    <row r="33832" spans="17:17" x14ac:dyDescent="0.25">
      <c r="Q33832" s="8"/>
    </row>
    <row r="33833" spans="17:17" x14ac:dyDescent="0.25">
      <c r="Q33833" s="8"/>
    </row>
    <row r="33834" spans="17:17" x14ac:dyDescent="0.25">
      <c r="Q33834" s="8"/>
    </row>
    <row r="33835" spans="17:17" x14ac:dyDescent="0.25">
      <c r="Q33835" s="8"/>
    </row>
    <row r="33836" spans="17:17" x14ac:dyDescent="0.25">
      <c r="Q33836" s="8"/>
    </row>
    <row r="33837" spans="17:17" x14ac:dyDescent="0.25">
      <c r="Q33837" s="8"/>
    </row>
    <row r="33838" spans="17:17" x14ac:dyDescent="0.25">
      <c r="Q33838" s="8"/>
    </row>
    <row r="33839" spans="17:17" x14ac:dyDescent="0.25">
      <c r="Q33839" s="8"/>
    </row>
    <row r="33840" spans="17:17" x14ac:dyDescent="0.25">
      <c r="Q33840" s="8"/>
    </row>
    <row r="33841" spans="17:17" x14ac:dyDescent="0.25">
      <c r="Q33841" s="8"/>
    </row>
    <row r="33842" spans="17:17" x14ac:dyDescent="0.25">
      <c r="Q33842" s="8"/>
    </row>
    <row r="33843" spans="17:17" x14ac:dyDescent="0.25">
      <c r="Q33843" s="8"/>
    </row>
    <row r="33844" spans="17:17" x14ac:dyDescent="0.25">
      <c r="Q33844" s="8"/>
    </row>
    <row r="33845" spans="17:17" x14ac:dyDescent="0.25">
      <c r="Q33845" s="8"/>
    </row>
    <row r="33846" spans="17:17" x14ac:dyDescent="0.25">
      <c r="Q33846" s="8"/>
    </row>
    <row r="33847" spans="17:17" x14ac:dyDescent="0.25">
      <c r="Q33847" s="8"/>
    </row>
    <row r="33848" spans="17:17" x14ac:dyDescent="0.25">
      <c r="Q33848" s="8"/>
    </row>
    <row r="33849" spans="17:17" x14ac:dyDescent="0.25">
      <c r="Q33849" s="8"/>
    </row>
    <row r="33850" spans="17:17" x14ac:dyDescent="0.25">
      <c r="Q33850" s="8"/>
    </row>
    <row r="33851" spans="17:17" x14ac:dyDescent="0.25">
      <c r="Q33851" s="8"/>
    </row>
    <row r="33852" spans="17:17" x14ac:dyDescent="0.25">
      <c r="Q33852" s="8"/>
    </row>
    <row r="33853" spans="17:17" x14ac:dyDescent="0.25">
      <c r="Q33853" s="8"/>
    </row>
    <row r="33854" spans="17:17" x14ac:dyDescent="0.25">
      <c r="Q33854" s="8"/>
    </row>
    <row r="33855" spans="17:17" x14ac:dyDescent="0.25">
      <c r="Q33855" s="8"/>
    </row>
    <row r="33856" spans="17:17" x14ac:dyDescent="0.25">
      <c r="Q33856" s="8"/>
    </row>
    <row r="33857" spans="17:17" x14ac:dyDescent="0.25">
      <c r="Q33857" s="8"/>
    </row>
    <row r="33858" spans="17:17" x14ac:dyDescent="0.25">
      <c r="Q33858" s="8"/>
    </row>
    <row r="33859" spans="17:17" x14ac:dyDescent="0.25">
      <c r="Q33859" s="8"/>
    </row>
    <row r="33860" spans="17:17" x14ac:dyDescent="0.25">
      <c r="Q33860" s="8"/>
    </row>
    <row r="33861" spans="17:17" x14ac:dyDescent="0.25">
      <c r="Q33861" s="8"/>
    </row>
    <row r="33862" spans="17:17" x14ac:dyDescent="0.25">
      <c r="Q33862" s="8"/>
    </row>
    <row r="33863" spans="17:17" x14ac:dyDescent="0.25">
      <c r="Q33863" s="8"/>
    </row>
    <row r="33864" spans="17:17" x14ac:dyDescent="0.25">
      <c r="Q33864" s="8"/>
    </row>
    <row r="33865" spans="17:17" x14ac:dyDescent="0.25">
      <c r="Q33865" s="8"/>
    </row>
    <row r="33866" spans="17:17" x14ac:dyDescent="0.25">
      <c r="Q33866" s="8"/>
    </row>
    <row r="33867" spans="17:17" x14ac:dyDescent="0.25">
      <c r="Q33867" s="8"/>
    </row>
    <row r="33868" spans="17:17" x14ac:dyDescent="0.25">
      <c r="Q33868" s="8"/>
    </row>
    <row r="33869" spans="17:17" x14ac:dyDescent="0.25">
      <c r="Q33869" s="8"/>
    </row>
    <row r="33870" spans="17:17" x14ac:dyDescent="0.25">
      <c r="Q33870" s="8"/>
    </row>
    <row r="33871" spans="17:17" x14ac:dyDescent="0.25">
      <c r="Q33871" s="8"/>
    </row>
    <row r="33872" spans="17:17" x14ac:dyDescent="0.25">
      <c r="Q33872" s="8"/>
    </row>
    <row r="33873" spans="17:17" x14ac:dyDescent="0.25">
      <c r="Q33873" s="8"/>
    </row>
    <row r="33874" spans="17:17" x14ac:dyDescent="0.25">
      <c r="Q33874" s="8"/>
    </row>
    <row r="33875" spans="17:17" x14ac:dyDescent="0.25">
      <c r="Q33875" s="8"/>
    </row>
    <row r="33876" spans="17:17" x14ac:dyDescent="0.25">
      <c r="Q33876" s="8"/>
    </row>
    <row r="33877" spans="17:17" x14ac:dyDescent="0.25">
      <c r="Q33877" s="8"/>
    </row>
    <row r="33878" spans="17:17" x14ac:dyDescent="0.25">
      <c r="Q33878" s="8"/>
    </row>
    <row r="33879" spans="17:17" x14ac:dyDescent="0.25">
      <c r="Q33879" s="8"/>
    </row>
    <row r="33880" spans="17:17" x14ac:dyDescent="0.25">
      <c r="Q33880" s="8"/>
    </row>
    <row r="33881" spans="17:17" x14ac:dyDescent="0.25">
      <c r="Q33881" s="8"/>
    </row>
    <row r="33882" spans="17:17" x14ac:dyDescent="0.25">
      <c r="Q33882" s="8"/>
    </row>
    <row r="33883" spans="17:17" x14ac:dyDescent="0.25">
      <c r="Q33883" s="8"/>
    </row>
    <row r="33884" spans="17:17" x14ac:dyDescent="0.25">
      <c r="Q33884" s="8"/>
    </row>
    <row r="33885" spans="17:17" x14ac:dyDescent="0.25">
      <c r="Q33885" s="8"/>
    </row>
    <row r="33886" spans="17:17" x14ac:dyDescent="0.25">
      <c r="Q33886" s="8"/>
    </row>
    <row r="33887" spans="17:17" x14ac:dyDescent="0.25">
      <c r="Q33887" s="8"/>
    </row>
    <row r="33888" spans="17:17" x14ac:dyDescent="0.25">
      <c r="Q33888" s="8"/>
    </row>
    <row r="33889" spans="17:17" x14ac:dyDescent="0.25">
      <c r="Q33889" s="8"/>
    </row>
    <row r="33890" spans="17:17" x14ac:dyDescent="0.25">
      <c r="Q33890" s="8"/>
    </row>
    <row r="33891" spans="17:17" x14ac:dyDescent="0.25">
      <c r="Q33891" s="8"/>
    </row>
    <row r="33892" spans="17:17" x14ac:dyDescent="0.25">
      <c r="Q33892" s="8"/>
    </row>
    <row r="33893" spans="17:17" x14ac:dyDescent="0.25">
      <c r="Q33893" s="8"/>
    </row>
    <row r="33894" spans="17:17" x14ac:dyDescent="0.25">
      <c r="Q33894" s="8"/>
    </row>
    <row r="33895" spans="17:17" x14ac:dyDescent="0.25">
      <c r="Q33895" s="8"/>
    </row>
    <row r="33896" spans="17:17" x14ac:dyDescent="0.25">
      <c r="Q33896" s="8"/>
    </row>
    <row r="33897" spans="17:17" x14ac:dyDescent="0.25">
      <c r="Q33897" s="8"/>
    </row>
    <row r="33898" spans="17:17" x14ac:dyDescent="0.25">
      <c r="Q33898" s="8"/>
    </row>
    <row r="33899" spans="17:17" x14ac:dyDescent="0.25">
      <c r="Q33899" s="8"/>
    </row>
    <row r="33900" spans="17:17" x14ac:dyDescent="0.25">
      <c r="Q33900" s="8"/>
    </row>
    <row r="33901" spans="17:17" x14ac:dyDescent="0.25">
      <c r="Q33901" s="8"/>
    </row>
    <row r="33902" spans="17:17" x14ac:dyDescent="0.25">
      <c r="Q33902" s="8"/>
    </row>
    <row r="33903" spans="17:17" x14ac:dyDescent="0.25">
      <c r="Q33903" s="8"/>
    </row>
    <row r="33904" spans="17:17" x14ac:dyDescent="0.25">
      <c r="Q33904" s="8"/>
    </row>
    <row r="33905" spans="17:17" x14ac:dyDescent="0.25">
      <c r="Q33905" s="8"/>
    </row>
    <row r="33906" spans="17:17" x14ac:dyDescent="0.25">
      <c r="Q33906" s="8"/>
    </row>
    <row r="33907" spans="17:17" x14ac:dyDescent="0.25">
      <c r="Q33907" s="8"/>
    </row>
    <row r="33908" spans="17:17" x14ac:dyDescent="0.25">
      <c r="Q33908" s="8"/>
    </row>
    <row r="33909" spans="17:17" x14ac:dyDescent="0.25">
      <c r="Q33909" s="8"/>
    </row>
    <row r="33910" spans="17:17" x14ac:dyDescent="0.25">
      <c r="Q33910" s="8"/>
    </row>
    <row r="33911" spans="17:17" x14ac:dyDescent="0.25">
      <c r="Q33911" s="8"/>
    </row>
    <row r="33912" spans="17:17" x14ac:dyDescent="0.25">
      <c r="Q33912" s="8"/>
    </row>
    <row r="33913" spans="17:17" x14ac:dyDescent="0.25">
      <c r="Q33913" s="8"/>
    </row>
    <row r="33914" spans="17:17" x14ac:dyDescent="0.25">
      <c r="Q33914" s="8"/>
    </row>
    <row r="33915" spans="17:17" x14ac:dyDescent="0.25">
      <c r="Q33915" s="8"/>
    </row>
    <row r="33916" spans="17:17" x14ac:dyDescent="0.25">
      <c r="Q33916" s="8"/>
    </row>
    <row r="33917" spans="17:17" x14ac:dyDescent="0.25">
      <c r="Q33917" s="8"/>
    </row>
    <row r="33918" spans="17:17" x14ac:dyDescent="0.25">
      <c r="Q33918" s="8"/>
    </row>
    <row r="33919" spans="17:17" x14ac:dyDescent="0.25">
      <c r="Q33919" s="8"/>
    </row>
    <row r="33920" spans="17:17" x14ac:dyDescent="0.25">
      <c r="Q33920" s="8"/>
    </row>
    <row r="33921" spans="17:17" x14ac:dyDescent="0.25">
      <c r="Q33921" s="8"/>
    </row>
    <row r="33922" spans="17:17" x14ac:dyDescent="0.25">
      <c r="Q33922" s="8"/>
    </row>
    <row r="33923" spans="17:17" x14ac:dyDescent="0.25">
      <c r="Q33923" s="8"/>
    </row>
    <row r="33924" spans="17:17" x14ac:dyDescent="0.25">
      <c r="Q33924" s="8"/>
    </row>
    <row r="33925" spans="17:17" x14ac:dyDescent="0.25">
      <c r="Q33925" s="8"/>
    </row>
    <row r="33926" spans="17:17" x14ac:dyDescent="0.25">
      <c r="Q33926" s="8"/>
    </row>
    <row r="33927" spans="17:17" x14ac:dyDescent="0.25">
      <c r="Q33927" s="8"/>
    </row>
    <row r="33928" spans="17:17" x14ac:dyDescent="0.25">
      <c r="Q33928" s="8"/>
    </row>
    <row r="33929" spans="17:17" x14ac:dyDescent="0.25">
      <c r="Q33929" s="8"/>
    </row>
    <row r="33930" spans="17:17" x14ac:dyDescent="0.25">
      <c r="Q33930" s="8"/>
    </row>
    <row r="33931" spans="17:17" x14ac:dyDescent="0.25">
      <c r="Q33931" s="8"/>
    </row>
    <row r="33932" spans="17:17" x14ac:dyDescent="0.25">
      <c r="Q33932" s="8"/>
    </row>
    <row r="33933" spans="17:17" x14ac:dyDescent="0.25">
      <c r="Q33933" s="8"/>
    </row>
    <row r="33934" spans="17:17" x14ac:dyDescent="0.25">
      <c r="Q33934" s="8"/>
    </row>
    <row r="33935" spans="17:17" x14ac:dyDescent="0.25">
      <c r="Q33935" s="8"/>
    </row>
    <row r="33936" spans="17:17" x14ac:dyDescent="0.25">
      <c r="Q33936" s="8"/>
    </row>
    <row r="33937" spans="17:17" x14ac:dyDescent="0.25">
      <c r="Q33937" s="8"/>
    </row>
    <row r="33938" spans="17:17" x14ac:dyDescent="0.25">
      <c r="Q33938" s="8"/>
    </row>
    <row r="33939" spans="17:17" x14ac:dyDescent="0.25">
      <c r="Q33939" s="8"/>
    </row>
    <row r="33940" spans="17:17" x14ac:dyDescent="0.25">
      <c r="Q33940" s="8"/>
    </row>
    <row r="33941" spans="17:17" x14ac:dyDescent="0.25">
      <c r="Q33941" s="8"/>
    </row>
    <row r="33942" spans="17:17" x14ac:dyDescent="0.25">
      <c r="Q33942" s="8"/>
    </row>
    <row r="33943" spans="17:17" x14ac:dyDescent="0.25">
      <c r="Q33943" s="8"/>
    </row>
    <row r="33944" spans="17:17" x14ac:dyDescent="0.25">
      <c r="Q33944" s="8"/>
    </row>
    <row r="33945" spans="17:17" x14ac:dyDescent="0.25">
      <c r="Q33945" s="8"/>
    </row>
    <row r="33946" spans="17:17" x14ac:dyDescent="0.25">
      <c r="Q33946" s="8"/>
    </row>
    <row r="33947" spans="17:17" x14ac:dyDescent="0.25">
      <c r="Q33947" s="8"/>
    </row>
    <row r="33948" spans="17:17" x14ac:dyDescent="0.25">
      <c r="Q33948" s="8"/>
    </row>
    <row r="33949" spans="17:17" x14ac:dyDescent="0.25">
      <c r="Q33949" s="8"/>
    </row>
    <row r="33950" spans="17:17" x14ac:dyDescent="0.25">
      <c r="Q33950" s="8"/>
    </row>
    <row r="33951" spans="17:17" x14ac:dyDescent="0.25">
      <c r="Q33951" s="8"/>
    </row>
    <row r="33952" spans="17:17" x14ac:dyDescent="0.25">
      <c r="Q33952" s="8"/>
    </row>
    <row r="33953" spans="17:17" x14ac:dyDescent="0.25">
      <c r="Q33953" s="8"/>
    </row>
    <row r="33954" spans="17:17" x14ac:dyDescent="0.25">
      <c r="Q33954" s="8"/>
    </row>
    <row r="33955" spans="17:17" x14ac:dyDescent="0.25">
      <c r="Q33955" s="8"/>
    </row>
    <row r="33956" spans="17:17" x14ac:dyDescent="0.25">
      <c r="Q33956" s="8"/>
    </row>
    <row r="33957" spans="17:17" x14ac:dyDescent="0.25">
      <c r="Q33957" s="8"/>
    </row>
    <row r="33958" spans="17:17" x14ac:dyDescent="0.25">
      <c r="Q33958" s="8"/>
    </row>
    <row r="33959" spans="17:17" x14ac:dyDescent="0.25">
      <c r="Q33959" s="8"/>
    </row>
    <row r="33960" spans="17:17" x14ac:dyDescent="0.25">
      <c r="Q33960" s="8"/>
    </row>
    <row r="33961" spans="17:17" x14ac:dyDescent="0.25">
      <c r="Q33961" s="8"/>
    </row>
    <row r="33962" spans="17:17" x14ac:dyDescent="0.25">
      <c r="Q33962" s="8"/>
    </row>
    <row r="33963" spans="17:17" x14ac:dyDescent="0.25">
      <c r="Q33963" s="8"/>
    </row>
    <row r="33964" spans="17:17" x14ac:dyDescent="0.25">
      <c r="Q33964" s="8"/>
    </row>
    <row r="33965" spans="17:17" x14ac:dyDescent="0.25">
      <c r="Q33965" s="8"/>
    </row>
    <row r="33966" spans="17:17" x14ac:dyDescent="0.25">
      <c r="Q33966" s="8"/>
    </row>
    <row r="33967" spans="17:17" x14ac:dyDescent="0.25">
      <c r="Q33967" s="8"/>
    </row>
    <row r="33968" spans="17:17" x14ac:dyDescent="0.25">
      <c r="Q33968" s="8"/>
    </row>
    <row r="33969" spans="17:17" x14ac:dyDescent="0.25">
      <c r="Q33969" s="8"/>
    </row>
    <row r="33970" spans="17:17" x14ac:dyDescent="0.25">
      <c r="Q33970" s="8"/>
    </row>
    <row r="33971" spans="17:17" x14ac:dyDescent="0.25">
      <c r="Q33971" s="8"/>
    </row>
    <row r="33972" spans="17:17" x14ac:dyDescent="0.25">
      <c r="Q33972" s="8"/>
    </row>
    <row r="33973" spans="17:17" x14ac:dyDescent="0.25">
      <c r="Q33973" s="8"/>
    </row>
    <row r="33974" spans="17:17" x14ac:dyDescent="0.25">
      <c r="Q33974" s="8"/>
    </row>
    <row r="33975" spans="17:17" x14ac:dyDescent="0.25">
      <c r="Q33975" s="8"/>
    </row>
    <row r="33976" spans="17:17" x14ac:dyDescent="0.25">
      <c r="Q33976" s="8"/>
    </row>
    <row r="33977" spans="17:17" x14ac:dyDescent="0.25">
      <c r="Q33977" s="8"/>
    </row>
    <row r="33978" spans="17:17" x14ac:dyDescent="0.25">
      <c r="Q33978" s="8"/>
    </row>
    <row r="33979" spans="17:17" x14ac:dyDescent="0.25">
      <c r="Q33979" s="8"/>
    </row>
    <row r="33980" spans="17:17" x14ac:dyDescent="0.25">
      <c r="Q33980" s="8"/>
    </row>
    <row r="33981" spans="17:17" x14ac:dyDescent="0.25">
      <c r="Q33981" s="8"/>
    </row>
    <row r="33982" spans="17:17" x14ac:dyDescent="0.25">
      <c r="Q33982" s="8"/>
    </row>
    <row r="33983" spans="17:17" x14ac:dyDescent="0.25">
      <c r="Q33983" s="8"/>
    </row>
    <row r="33984" spans="17:17" x14ac:dyDescent="0.25">
      <c r="Q33984" s="8"/>
    </row>
    <row r="33985" spans="17:17" x14ac:dyDescent="0.25">
      <c r="Q33985" s="8"/>
    </row>
    <row r="33986" spans="17:17" x14ac:dyDescent="0.25">
      <c r="Q33986" s="8"/>
    </row>
    <row r="33987" spans="17:17" x14ac:dyDescent="0.25">
      <c r="Q33987" s="8"/>
    </row>
    <row r="33988" spans="17:17" x14ac:dyDescent="0.25">
      <c r="Q33988" s="8"/>
    </row>
    <row r="33989" spans="17:17" x14ac:dyDescent="0.25">
      <c r="Q33989" s="8"/>
    </row>
    <row r="33990" spans="17:17" x14ac:dyDescent="0.25">
      <c r="Q33990" s="8"/>
    </row>
    <row r="33991" spans="17:17" x14ac:dyDescent="0.25">
      <c r="Q33991" s="8"/>
    </row>
    <row r="33992" spans="17:17" x14ac:dyDescent="0.25">
      <c r="Q33992" s="8"/>
    </row>
    <row r="33993" spans="17:17" x14ac:dyDescent="0.25">
      <c r="Q33993" s="8"/>
    </row>
    <row r="33994" spans="17:17" x14ac:dyDescent="0.25">
      <c r="Q33994" s="8"/>
    </row>
    <row r="33995" spans="17:17" x14ac:dyDescent="0.25">
      <c r="Q33995" s="8"/>
    </row>
    <row r="33996" spans="17:17" x14ac:dyDescent="0.25">
      <c r="Q33996" s="8"/>
    </row>
    <row r="33997" spans="17:17" x14ac:dyDescent="0.25">
      <c r="Q33997" s="8"/>
    </row>
    <row r="33998" spans="17:17" x14ac:dyDescent="0.25">
      <c r="Q33998" s="8"/>
    </row>
    <row r="33999" spans="17:17" x14ac:dyDescent="0.25">
      <c r="Q33999" s="8"/>
    </row>
    <row r="34000" spans="17:17" x14ac:dyDescent="0.25">
      <c r="Q34000" s="8"/>
    </row>
    <row r="34001" spans="17:17" x14ac:dyDescent="0.25">
      <c r="Q34001" s="8"/>
    </row>
    <row r="34002" spans="17:17" x14ac:dyDescent="0.25">
      <c r="Q34002" s="8"/>
    </row>
    <row r="34003" spans="17:17" x14ac:dyDescent="0.25">
      <c r="Q34003" s="8"/>
    </row>
    <row r="34004" spans="17:17" x14ac:dyDescent="0.25">
      <c r="Q34004" s="8"/>
    </row>
    <row r="34005" spans="17:17" x14ac:dyDescent="0.25">
      <c r="Q34005" s="8"/>
    </row>
    <row r="34006" spans="17:17" x14ac:dyDescent="0.25">
      <c r="Q34006" s="8"/>
    </row>
    <row r="34007" spans="17:17" x14ac:dyDescent="0.25">
      <c r="Q34007" s="8"/>
    </row>
    <row r="34008" spans="17:17" x14ac:dyDescent="0.25">
      <c r="Q34008" s="8"/>
    </row>
    <row r="34009" spans="17:17" x14ac:dyDescent="0.25">
      <c r="Q34009" s="8"/>
    </row>
    <row r="34010" spans="17:17" x14ac:dyDescent="0.25">
      <c r="Q34010" s="8"/>
    </row>
    <row r="34011" spans="17:17" x14ac:dyDescent="0.25">
      <c r="Q34011" s="8"/>
    </row>
    <row r="34012" spans="17:17" x14ac:dyDescent="0.25">
      <c r="Q34012" s="8"/>
    </row>
    <row r="34013" spans="17:17" x14ac:dyDescent="0.25">
      <c r="Q34013" s="8"/>
    </row>
    <row r="34014" spans="17:17" x14ac:dyDescent="0.25">
      <c r="Q34014" s="8"/>
    </row>
    <row r="34015" spans="17:17" x14ac:dyDescent="0.25">
      <c r="Q34015" s="8"/>
    </row>
    <row r="34016" spans="17:17" x14ac:dyDescent="0.25">
      <c r="Q34016" s="8"/>
    </row>
    <row r="34017" spans="17:17" x14ac:dyDescent="0.25">
      <c r="Q34017" s="8"/>
    </row>
    <row r="34018" spans="17:17" x14ac:dyDescent="0.25">
      <c r="Q34018" s="8"/>
    </row>
    <row r="34019" spans="17:17" x14ac:dyDescent="0.25">
      <c r="Q34019" s="8"/>
    </row>
    <row r="34020" spans="17:17" x14ac:dyDescent="0.25">
      <c r="Q34020" s="8"/>
    </row>
    <row r="34021" spans="17:17" x14ac:dyDescent="0.25">
      <c r="Q34021" s="8"/>
    </row>
    <row r="34022" spans="17:17" x14ac:dyDescent="0.25">
      <c r="Q34022" s="8"/>
    </row>
    <row r="34023" spans="17:17" x14ac:dyDescent="0.25">
      <c r="Q34023" s="8"/>
    </row>
    <row r="34024" spans="17:17" x14ac:dyDescent="0.25">
      <c r="Q34024" s="8"/>
    </row>
    <row r="34025" spans="17:17" x14ac:dyDescent="0.25">
      <c r="Q34025" s="8"/>
    </row>
    <row r="34026" spans="17:17" x14ac:dyDescent="0.25">
      <c r="Q34026" s="8"/>
    </row>
    <row r="34027" spans="17:17" x14ac:dyDescent="0.25">
      <c r="Q34027" s="8"/>
    </row>
    <row r="34028" spans="17:17" x14ac:dyDescent="0.25">
      <c r="Q34028" s="8"/>
    </row>
    <row r="34029" spans="17:17" x14ac:dyDescent="0.25">
      <c r="Q34029" s="8"/>
    </row>
    <row r="34030" spans="17:17" x14ac:dyDescent="0.25">
      <c r="Q34030" s="8"/>
    </row>
    <row r="34031" spans="17:17" x14ac:dyDescent="0.25">
      <c r="Q34031" s="8"/>
    </row>
    <row r="34032" spans="17:17" x14ac:dyDescent="0.25">
      <c r="Q34032" s="8"/>
    </row>
    <row r="34033" spans="17:17" x14ac:dyDescent="0.25">
      <c r="Q34033" s="8"/>
    </row>
    <row r="34034" spans="17:17" x14ac:dyDescent="0.25">
      <c r="Q34034" s="8"/>
    </row>
    <row r="34035" spans="17:17" x14ac:dyDescent="0.25">
      <c r="Q34035" s="8"/>
    </row>
    <row r="34036" spans="17:17" x14ac:dyDescent="0.25">
      <c r="Q34036" s="8"/>
    </row>
    <row r="34037" spans="17:17" x14ac:dyDescent="0.25">
      <c r="Q34037" s="8"/>
    </row>
    <row r="34038" spans="17:17" x14ac:dyDescent="0.25">
      <c r="Q34038" s="8"/>
    </row>
    <row r="34039" spans="17:17" x14ac:dyDescent="0.25">
      <c r="Q34039" s="8"/>
    </row>
    <row r="34040" spans="17:17" x14ac:dyDescent="0.25">
      <c r="Q34040" s="8"/>
    </row>
    <row r="34041" spans="17:17" x14ac:dyDescent="0.25">
      <c r="Q34041" s="8"/>
    </row>
    <row r="34042" spans="17:17" x14ac:dyDescent="0.25">
      <c r="Q34042" s="8"/>
    </row>
    <row r="34043" spans="17:17" x14ac:dyDescent="0.25">
      <c r="Q34043" s="8"/>
    </row>
    <row r="34044" spans="17:17" x14ac:dyDescent="0.25">
      <c r="Q34044" s="8"/>
    </row>
    <row r="34045" spans="17:17" x14ac:dyDescent="0.25">
      <c r="Q34045" s="8"/>
    </row>
    <row r="34046" spans="17:17" x14ac:dyDescent="0.25">
      <c r="Q34046" s="8"/>
    </row>
    <row r="34047" spans="17:17" x14ac:dyDescent="0.25">
      <c r="Q34047" s="8"/>
    </row>
    <row r="34048" spans="17:17" x14ac:dyDescent="0.25">
      <c r="Q34048" s="8"/>
    </row>
    <row r="34049" spans="17:17" x14ac:dyDescent="0.25">
      <c r="Q34049" s="8"/>
    </row>
    <row r="34050" spans="17:17" x14ac:dyDescent="0.25">
      <c r="Q34050" s="8"/>
    </row>
    <row r="34051" spans="17:17" x14ac:dyDescent="0.25">
      <c r="Q34051" s="8"/>
    </row>
    <row r="34052" spans="17:17" x14ac:dyDescent="0.25">
      <c r="Q34052" s="8"/>
    </row>
    <row r="34053" spans="17:17" x14ac:dyDescent="0.25">
      <c r="Q34053" s="8"/>
    </row>
    <row r="34054" spans="17:17" x14ac:dyDescent="0.25">
      <c r="Q34054" s="8"/>
    </row>
    <row r="34055" spans="17:17" x14ac:dyDescent="0.25">
      <c r="Q34055" s="8"/>
    </row>
    <row r="34056" spans="17:17" x14ac:dyDescent="0.25">
      <c r="Q34056" s="8"/>
    </row>
    <row r="34057" spans="17:17" x14ac:dyDescent="0.25">
      <c r="Q34057" s="8"/>
    </row>
    <row r="34058" spans="17:17" x14ac:dyDescent="0.25">
      <c r="Q34058" s="8"/>
    </row>
    <row r="34059" spans="17:17" x14ac:dyDescent="0.25">
      <c r="Q34059" s="8"/>
    </row>
    <row r="34060" spans="17:17" x14ac:dyDescent="0.25">
      <c r="Q34060" s="8"/>
    </row>
    <row r="34061" spans="17:17" x14ac:dyDescent="0.25">
      <c r="Q34061" s="8"/>
    </row>
    <row r="34062" spans="17:17" x14ac:dyDescent="0.25">
      <c r="Q34062" s="8"/>
    </row>
    <row r="34063" spans="17:17" x14ac:dyDescent="0.25">
      <c r="Q34063" s="8"/>
    </row>
    <row r="34064" spans="17:17" x14ac:dyDescent="0.25">
      <c r="Q34064" s="8"/>
    </row>
    <row r="34065" spans="17:17" x14ac:dyDescent="0.25">
      <c r="Q34065" s="8"/>
    </row>
    <row r="34066" spans="17:17" x14ac:dyDescent="0.25">
      <c r="Q34066" s="8"/>
    </row>
    <row r="34067" spans="17:17" x14ac:dyDescent="0.25">
      <c r="Q34067" s="8"/>
    </row>
    <row r="34068" spans="17:17" x14ac:dyDescent="0.25">
      <c r="Q34068" s="8"/>
    </row>
    <row r="34069" spans="17:17" x14ac:dyDescent="0.25">
      <c r="Q34069" s="8"/>
    </row>
    <row r="34070" spans="17:17" x14ac:dyDescent="0.25">
      <c r="Q34070" s="8"/>
    </row>
    <row r="34071" spans="17:17" x14ac:dyDescent="0.25">
      <c r="Q34071" s="8"/>
    </row>
    <row r="34072" spans="17:17" x14ac:dyDescent="0.25">
      <c r="Q34072" s="8"/>
    </row>
    <row r="34073" spans="17:17" x14ac:dyDescent="0.25">
      <c r="Q34073" s="8"/>
    </row>
    <row r="34074" spans="17:17" x14ac:dyDescent="0.25">
      <c r="Q34074" s="8"/>
    </row>
    <row r="34075" spans="17:17" x14ac:dyDescent="0.25">
      <c r="Q34075" s="8"/>
    </row>
    <row r="34076" spans="17:17" x14ac:dyDescent="0.25">
      <c r="Q34076" s="8"/>
    </row>
    <row r="34077" spans="17:17" x14ac:dyDescent="0.25">
      <c r="Q34077" s="8"/>
    </row>
    <row r="34078" spans="17:17" x14ac:dyDescent="0.25">
      <c r="Q34078" s="8"/>
    </row>
    <row r="34079" spans="17:17" x14ac:dyDescent="0.25">
      <c r="Q34079" s="8"/>
    </row>
    <row r="34080" spans="17:17" x14ac:dyDescent="0.25">
      <c r="Q34080" s="8"/>
    </row>
    <row r="34081" spans="17:17" x14ac:dyDescent="0.25">
      <c r="Q34081" s="8"/>
    </row>
    <row r="34082" spans="17:17" x14ac:dyDescent="0.25">
      <c r="Q34082" s="8"/>
    </row>
    <row r="34083" spans="17:17" x14ac:dyDescent="0.25">
      <c r="Q34083" s="8"/>
    </row>
    <row r="34084" spans="17:17" x14ac:dyDescent="0.25">
      <c r="Q34084" s="8"/>
    </row>
    <row r="34085" spans="17:17" x14ac:dyDescent="0.25">
      <c r="Q34085" s="8"/>
    </row>
    <row r="34086" spans="17:17" x14ac:dyDescent="0.25">
      <c r="Q34086" s="8"/>
    </row>
    <row r="34087" spans="17:17" x14ac:dyDescent="0.25">
      <c r="Q34087" s="8"/>
    </row>
    <row r="34088" spans="17:17" x14ac:dyDescent="0.25">
      <c r="Q34088" s="8"/>
    </row>
    <row r="34089" spans="17:17" x14ac:dyDescent="0.25">
      <c r="Q34089" s="8"/>
    </row>
    <row r="34090" spans="17:17" x14ac:dyDescent="0.25">
      <c r="Q34090" s="8"/>
    </row>
    <row r="34091" spans="17:17" x14ac:dyDescent="0.25">
      <c r="Q34091" s="8"/>
    </row>
    <row r="34092" spans="17:17" x14ac:dyDescent="0.25">
      <c r="Q34092" s="8"/>
    </row>
    <row r="34093" spans="17:17" x14ac:dyDescent="0.25">
      <c r="Q34093" s="8"/>
    </row>
    <row r="34094" spans="17:17" x14ac:dyDescent="0.25">
      <c r="Q34094" s="8"/>
    </row>
    <row r="34095" spans="17:17" x14ac:dyDescent="0.25">
      <c r="Q34095" s="8"/>
    </row>
    <row r="34096" spans="17:17" x14ac:dyDescent="0.25">
      <c r="Q34096" s="8"/>
    </row>
    <row r="34097" spans="17:17" x14ac:dyDescent="0.25">
      <c r="Q34097" s="8"/>
    </row>
    <row r="34098" spans="17:17" x14ac:dyDescent="0.25">
      <c r="Q34098" s="8"/>
    </row>
    <row r="34099" spans="17:17" x14ac:dyDescent="0.25">
      <c r="Q34099" s="8"/>
    </row>
    <row r="34100" spans="17:17" x14ac:dyDescent="0.25">
      <c r="Q34100" s="8"/>
    </row>
    <row r="34101" spans="17:17" x14ac:dyDescent="0.25">
      <c r="Q34101" s="8"/>
    </row>
    <row r="34102" spans="17:17" x14ac:dyDescent="0.25">
      <c r="Q34102" s="8"/>
    </row>
    <row r="34103" spans="17:17" x14ac:dyDescent="0.25">
      <c r="Q34103" s="8"/>
    </row>
    <row r="34104" spans="17:17" x14ac:dyDescent="0.25">
      <c r="Q34104" s="8"/>
    </row>
    <row r="34105" spans="17:17" x14ac:dyDescent="0.25">
      <c r="Q34105" s="8"/>
    </row>
    <row r="34106" spans="17:17" x14ac:dyDescent="0.25">
      <c r="Q34106" s="8"/>
    </row>
    <row r="34107" spans="17:17" x14ac:dyDescent="0.25">
      <c r="Q34107" s="8"/>
    </row>
    <row r="34108" spans="17:17" x14ac:dyDescent="0.25">
      <c r="Q34108" s="8"/>
    </row>
    <row r="34109" spans="17:17" x14ac:dyDescent="0.25">
      <c r="Q34109" s="8"/>
    </row>
    <row r="34110" spans="17:17" x14ac:dyDescent="0.25">
      <c r="Q34110" s="8"/>
    </row>
    <row r="34111" spans="17:17" x14ac:dyDescent="0.25">
      <c r="Q34111" s="8"/>
    </row>
    <row r="34112" spans="17:17" x14ac:dyDescent="0.25">
      <c r="Q34112" s="8"/>
    </row>
    <row r="34113" spans="17:17" x14ac:dyDescent="0.25">
      <c r="Q34113" s="8"/>
    </row>
    <row r="34114" spans="17:17" x14ac:dyDescent="0.25">
      <c r="Q34114" s="8"/>
    </row>
    <row r="34115" spans="17:17" x14ac:dyDescent="0.25">
      <c r="Q34115" s="8"/>
    </row>
    <row r="34116" spans="17:17" x14ac:dyDescent="0.25">
      <c r="Q34116" s="8"/>
    </row>
    <row r="34117" spans="17:17" x14ac:dyDescent="0.25">
      <c r="Q34117" s="8"/>
    </row>
    <row r="34118" spans="17:17" x14ac:dyDescent="0.25">
      <c r="Q34118" s="8"/>
    </row>
    <row r="34119" spans="17:17" x14ac:dyDescent="0.25">
      <c r="Q34119" s="8"/>
    </row>
    <row r="34120" spans="17:17" x14ac:dyDescent="0.25">
      <c r="Q34120" s="8"/>
    </row>
    <row r="34121" spans="17:17" x14ac:dyDescent="0.25">
      <c r="Q34121" s="8"/>
    </row>
    <row r="34122" spans="17:17" x14ac:dyDescent="0.25">
      <c r="Q34122" s="8"/>
    </row>
    <row r="34123" spans="17:17" x14ac:dyDescent="0.25">
      <c r="Q34123" s="8"/>
    </row>
    <row r="34124" spans="17:17" x14ac:dyDescent="0.25">
      <c r="Q34124" s="8"/>
    </row>
    <row r="34125" spans="17:17" x14ac:dyDescent="0.25">
      <c r="Q34125" s="8"/>
    </row>
    <row r="34126" spans="17:17" x14ac:dyDescent="0.25">
      <c r="Q34126" s="8"/>
    </row>
    <row r="34127" spans="17:17" x14ac:dyDescent="0.25">
      <c r="Q34127" s="8"/>
    </row>
    <row r="34128" spans="17:17" x14ac:dyDescent="0.25">
      <c r="Q34128" s="8"/>
    </row>
    <row r="34129" spans="17:17" x14ac:dyDescent="0.25">
      <c r="Q34129" s="8"/>
    </row>
    <row r="34130" spans="17:17" x14ac:dyDescent="0.25">
      <c r="Q34130" s="8"/>
    </row>
    <row r="34131" spans="17:17" x14ac:dyDescent="0.25">
      <c r="Q34131" s="8"/>
    </row>
    <row r="34132" spans="17:17" x14ac:dyDescent="0.25">
      <c r="Q34132" s="8"/>
    </row>
    <row r="34133" spans="17:17" x14ac:dyDescent="0.25">
      <c r="Q34133" s="8"/>
    </row>
    <row r="34134" spans="17:17" x14ac:dyDescent="0.25">
      <c r="Q34134" s="8"/>
    </row>
    <row r="34135" spans="17:17" x14ac:dyDescent="0.25">
      <c r="Q34135" s="8"/>
    </row>
    <row r="34136" spans="17:17" x14ac:dyDescent="0.25">
      <c r="Q34136" s="8"/>
    </row>
    <row r="34137" spans="17:17" x14ac:dyDescent="0.25">
      <c r="Q34137" s="8"/>
    </row>
    <row r="34138" spans="17:17" x14ac:dyDescent="0.25">
      <c r="Q34138" s="8"/>
    </row>
    <row r="34139" spans="17:17" x14ac:dyDescent="0.25">
      <c r="Q34139" s="8"/>
    </row>
    <row r="34140" spans="17:17" x14ac:dyDescent="0.25">
      <c r="Q34140" s="8"/>
    </row>
    <row r="34141" spans="17:17" x14ac:dyDescent="0.25">
      <c r="Q34141" s="8"/>
    </row>
    <row r="34142" spans="17:17" x14ac:dyDescent="0.25">
      <c r="Q34142" s="8"/>
    </row>
    <row r="34143" spans="17:17" x14ac:dyDescent="0.25">
      <c r="Q34143" s="8"/>
    </row>
    <row r="34144" spans="17:17" x14ac:dyDescent="0.25">
      <c r="Q34144" s="8"/>
    </row>
    <row r="34145" spans="17:17" x14ac:dyDescent="0.25">
      <c r="Q34145" s="8"/>
    </row>
    <row r="34146" spans="17:17" x14ac:dyDescent="0.25">
      <c r="Q34146" s="8"/>
    </row>
    <row r="34147" spans="17:17" x14ac:dyDescent="0.25">
      <c r="Q34147" s="8"/>
    </row>
    <row r="34148" spans="17:17" x14ac:dyDescent="0.25">
      <c r="Q34148" s="8"/>
    </row>
    <row r="34149" spans="17:17" x14ac:dyDescent="0.25">
      <c r="Q34149" s="8"/>
    </row>
    <row r="34150" spans="17:17" x14ac:dyDescent="0.25">
      <c r="Q34150" s="8"/>
    </row>
    <row r="34151" spans="17:17" x14ac:dyDescent="0.25">
      <c r="Q34151" s="8"/>
    </row>
    <row r="34152" spans="17:17" x14ac:dyDescent="0.25">
      <c r="Q34152" s="8"/>
    </row>
    <row r="34153" spans="17:17" x14ac:dyDescent="0.25">
      <c r="Q34153" s="8"/>
    </row>
    <row r="34154" spans="17:17" x14ac:dyDescent="0.25">
      <c r="Q34154" s="8"/>
    </row>
    <row r="34155" spans="17:17" x14ac:dyDescent="0.25">
      <c r="Q34155" s="8"/>
    </row>
    <row r="34156" spans="17:17" x14ac:dyDescent="0.25">
      <c r="Q34156" s="8"/>
    </row>
    <row r="34157" spans="17:17" x14ac:dyDescent="0.25">
      <c r="Q34157" s="8"/>
    </row>
    <row r="34158" spans="17:17" x14ac:dyDescent="0.25">
      <c r="Q34158" s="8"/>
    </row>
    <row r="34159" spans="17:17" x14ac:dyDescent="0.25">
      <c r="Q34159" s="8"/>
    </row>
    <row r="34160" spans="17:17" x14ac:dyDescent="0.25">
      <c r="Q34160" s="8"/>
    </row>
    <row r="34161" spans="17:17" x14ac:dyDescent="0.25">
      <c r="Q34161" s="8"/>
    </row>
    <row r="34162" spans="17:17" x14ac:dyDescent="0.25">
      <c r="Q34162" s="8"/>
    </row>
    <row r="34163" spans="17:17" x14ac:dyDescent="0.25">
      <c r="Q34163" s="8"/>
    </row>
    <row r="34164" spans="17:17" x14ac:dyDescent="0.25">
      <c r="Q34164" s="8"/>
    </row>
    <row r="34165" spans="17:17" x14ac:dyDescent="0.25">
      <c r="Q34165" s="8"/>
    </row>
    <row r="34166" spans="17:17" x14ac:dyDescent="0.25">
      <c r="Q34166" s="8"/>
    </row>
    <row r="34167" spans="17:17" x14ac:dyDescent="0.25">
      <c r="Q34167" s="8"/>
    </row>
    <row r="34168" spans="17:17" x14ac:dyDescent="0.25">
      <c r="Q34168" s="8"/>
    </row>
    <row r="34169" spans="17:17" x14ac:dyDescent="0.25">
      <c r="Q34169" s="8"/>
    </row>
    <row r="34170" spans="17:17" x14ac:dyDescent="0.25">
      <c r="Q34170" s="8"/>
    </row>
    <row r="34171" spans="17:17" x14ac:dyDescent="0.25">
      <c r="Q34171" s="8"/>
    </row>
    <row r="34172" spans="17:17" x14ac:dyDescent="0.25">
      <c r="Q34172" s="8"/>
    </row>
    <row r="34173" spans="17:17" x14ac:dyDescent="0.25">
      <c r="Q34173" s="8"/>
    </row>
    <row r="34174" spans="17:17" x14ac:dyDescent="0.25">
      <c r="Q34174" s="8"/>
    </row>
    <row r="34175" spans="17:17" x14ac:dyDescent="0.25">
      <c r="Q34175" s="8"/>
    </row>
    <row r="34176" spans="17:17" x14ac:dyDescent="0.25">
      <c r="Q34176" s="8"/>
    </row>
    <row r="34177" spans="17:17" x14ac:dyDescent="0.25">
      <c r="Q34177" s="8"/>
    </row>
    <row r="34178" spans="17:17" x14ac:dyDescent="0.25">
      <c r="Q34178" s="8"/>
    </row>
    <row r="34179" spans="17:17" x14ac:dyDescent="0.25">
      <c r="Q34179" s="8"/>
    </row>
    <row r="34180" spans="17:17" x14ac:dyDescent="0.25">
      <c r="Q34180" s="8"/>
    </row>
    <row r="34181" spans="17:17" x14ac:dyDescent="0.25">
      <c r="Q34181" s="8"/>
    </row>
    <row r="34182" spans="17:17" x14ac:dyDescent="0.25">
      <c r="Q34182" s="8"/>
    </row>
    <row r="34183" spans="17:17" x14ac:dyDescent="0.25">
      <c r="Q34183" s="8"/>
    </row>
    <row r="34184" spans="17:17" x14ac:dyDescent="0.25">
      <c r="Q34184" s="8"/>
    </row>
    <row r="34185" spans="17:17" x14ac:dyDescent="0.25">
      <c r="Q34185" s="8"/>
    </row>
    <row r="34186" spans="17:17" x14ac:dyDescent="0.25">
      <c r="Q34186" s="8"/>
    </row>
    <row r="34187" spans="17:17" x14ac:dyDescent="0.25">
      <c r="Q34187" s="8"/>
    </row>
    <row r="34188" spans="17:17" x14ac:dyDescent="0.25">
      <c r="Q34188" s="8"/>
    </row>
    <row r="34189" spans="17:17" x14ac:dyDescent="0.25">
      <c r="Q34189" s="8"/>
    </row>
    <row r="34190" spans="17:17" x14ac:dyDescent="0.25">
      <c r="Q34190" s="8"/>
    </row>
    <row r="34191" spans="17:17" x14ac:dyDescent="0.25">
      <c r="Q34191" s="8"/>
    </row>
    <row r="34192" spans="17:17" x14ac:dyDescent="0.25">
      <c r="Q34192" s="8"/>
    </row>
    <row r="34193" spans="17:17" x14ac:dyDescent="0.25">
      <c r="Q34193" s="8"/>
    </row>
    <row r="34194" spans="17:17" x14ac:dyDescent="0.25">
      <c r="Q34194" s="8"/>
    </row>
    <row r="34195" spans="17:17" x14ac:dyDescent="0.25">
      <c r="Q34195" s="8"/>
    </row>
    <row r="34196" spans="17:17" x14ac:dyDescent="0.25">
      <c r="Q34196" s="8"/>
    </row>
    <row r="34197" spans="17:17" x14ac:dyDescent="0.25">
      <c r="Q34197" s="8"/>
    </row>
    <row r="34198" spans="17:17" x14ac:dyDescent="0.25">
      <c r="Q34198" s="8"/>
    </row>
    <row r="34199" spans="17:17" x14ac:dyDescent="0.25">
      <c r="Q34199" s="8"/>
    </row>
    <row r="34200" spans="17:17" x14ac:dyDescent="0.25">
      <c r="Q34200" s="8"/>
    </row>
    <row r="34201" spans="17:17" x14ac:dyDescent="0.25">
      <c r="Q34201" s="8"/>
    </row>
    <row r="34202" spans="17:17" x14ac:dyDescent="0.25">
      <c r="Q34202" s="8"/>
    </row>
    <row r="34203" spans="17:17" x14ac:dyDescent="0.25">
      <c r="Q34203" s="8"/>
    </row>
    <row r="34204" spans="17:17" x14ac:dyDescent="0.25">
      <c r="Q34204" s="8"/>
    </row>
    <row r="34205" spans="17:17" x14ac:dyDescent="0.25">
      <c r="Q34205" s="8"/>
    </row>
    <row r="34206" spans="17:17" x14ac:dyDescent="0.25">
      <c r="Q34206" s="8"/>
    </row>
    <row r="34207" spans="17:17" x14ac:dyDescent="0.25">
      <c r="Q34207" s="8"/>
    </row>
    <row r="34208" spans="17:17" x14ac:dyDescent="0.25">
      <c r="Q34208" s="8"/>
    </row>
    <row r="34209" spans="17:17" x14ac:dyDescent="0.25">
      <c r="Q34209" s="8"/>
    </row>
    <row r="34210" spans="17:17" x14ac:dyDescent="0.25">
      <c r="Q34210" s="8"/>
    </row>
    <row r="34211" spans="17:17" x14ac:dyDescent="0.25">
      <c r="Q34211" s="8"/>
    </row>
    <row r="34212" spans="17:17" x14ac:dyDescent="0.25">
      <c r="Q34212" s="8"/>
    </row>
    <row r="34213" spans="17:17" x14ac:dyDescent="0.25">
      <c r="Q34213" s="8"/>
    </row>
    <row r="34214" spans="17:17" x14ac:dyDescent="0.25">
      <c r="Q34214" s="8"/>
    </row>
    <row r="34215" spans="17:17" x14ac:dyDescent="0.25">
      <c r="Q34215" s="8"/>
    </row>
    <row r="34216" spans="17:17" x14ac:dyDescent="0.25">
      <c r="Q34216" s="8"/>
    </row>
    <row r="34217" spans="17:17" x14ac:dyDescent="0.25">
      <c r="Q34217" s="8"/>
    </row>
    <row r="34218" spans="17:17" x14ac:dyDescent="0.25">
      <c r="Q34218" s="8"/>
    </row>
    <row r="34219" spans="17:17" x14ac:dyDescent="0.25">
      <c r="Q34219" s="8"/>
    </row>
    <row r="34220" spans="17:17" x14ac:dyDescent="0.25">
      <c r="Q34220" s="8"/>
    </row>
    <row r="34221" spans="17:17" x14ac:dyDescent="0.25">
      <c r="Q34221" s="8"/>
    </row>
    <row r="34222" spans="17:17" x14ac:dyDescent="0.25">
      <c r="Q34222" s="8"/>
    </row>
    <row r="34223" spans="17:17" x14ac:dyDescent="0.25">
      <c r="Q34223" s="8"/>
    </row>
    <row r="34224" spans="17:17" x14ac:dyDescent="0.25">
      <c r="Q34224" s="8"/>
    </row>
    <row r="34225" spans="17:17" x14ac:dyDescent="0.25">
      <c r="Q34225" s="8"/>
    </row>
    <row r="34226" spans="17:17" x14ac:dyDescent="0.25">
      <c r="Q34226" s="8"/>
    </row>
    <row r="34227" spans="17:17" x14ac:dyDescent="0.25">
      <c r="Q34227" s="8"/>
    </row>
    <row r="34228" spans="17:17" x14ac:dyDescent="0.25">
      <c r="Q34228" s="8"/>
    </row>
    <row r="34229" spans="17:17" x14ac:dyDescent="0.25">
      <c r="Q34229" s="8"/>
    </row>
    <row r="34230" spans="17:17" x14ac:dyDescent="0.25">
      <c r="Q34230" s="8"/>
    </row>
    <row r="34231" spans="17:17" x14ac:dyDescent="0.25">
      <c r="Q34231" s="8"/>
    </row>
    <row r="34232" spans="17:17" x14ac:dyDescent="0.25">
      <c r="Q34232" s="8"/>
    </row>
    <row r="34233" spans="17:17" x14ac:dyDescent="0.25">
      <c r="Q34233" s="8"/>
    </row>
    <row r="34234" spans="17:17" x14ac:dyDescent="0.25">
      <c r="Q34234" s="8"/>
    </row>
    <row r="34235" spans="17:17" x14ac:dyDescent="0.25">
      <c r="Q34235" s="8"/>
    </row>
    <row r="34236" spans="17:17" x14ac:dyDescent="0.25">
      <c r="Q34236" s="8"/>
    </row>
    <row r="34237" spans="17:17" x14ac:dyDescent="0.25">
      <c r="Q34237" s="8"/>
    </row>
    <row r="34238" spans="17:17" x14ac:dyDescent="0.25">
      <c r="Q34238" s="8"/>
    </row>
    <row r="34239" spans="17:17" x14ac:dyDescent="0.25">
      <c r="Q34239" s="8"/>
    </row>
    <row r="34240" spans="17:17" x14ac:dyDescent="0.25">
      <c r="Q34240" s="8"/>
    </row>
    <row r="34241" spans="17:17" x14ac:dyDescent="0.25">
      <c r="Q34241" s="8"/>
    </row>
    <row r="34242" spans="17:17" x14ac:dyDescent="0.25">
      <c r="Q34242" s="8"/>
    </row>
    <row r="34243" spans="17:17" x14ac:dyDescent="0.25">
      <c r="Q34243" s="8"/>
    </row>
    <row r="34244" spans="17:17" x14ac:dyDescent="0.25">
      <c r="Q34244" s="8"/>
    </row>
    <row r="34245" spans="17:17" x14ac:dyDescent="0.25">
      <c r="Q34245" s="8"/>
    </row>
    <row r="34246" spans="17:17" x14ac:dyDescent="0.25">
      <c r="Q34246" s="8"/>
    </row>
    <row r="34247" spans="17:17" x14ac:dyDescent="0.25">
      <c r="Q34247" s="8"/>
    </row>
    <row r="34248" spans="17:17" x14ac:dyDescent="0.25">
      <c r="Q34248" s="8"/>
    </row>
    <row r="34249" spans="17:17" x14ac:dyDescent="0.25">
      <c r="Q34249" s="8"/>
    </row>
    <row r="34250" spans="17:17" x14ac:dyDescent="0.25">
      <c r="Q34250" s="8"/>
    </row>
    <row r="34251" spans="17:17" x14ac:dyDescent="0.25">
      <c r="Q34251" s="8"/>
    </row>
    <row r="34252" spans="17:17" x14ac:dyDescent="0.25">
      <c r="Q34252" s="8"/>
    </row>
    <row r="34253" spans="17:17" x14ac:dyDescent="0.25">
      <c r="Q34253" s="8"/>
    </row>
    <row r="34254" spans="17:17" x14ac:dyDescent="0.25">
      <c r="Q34254" s="8"/>
    </row>
    <row r="34255" spans="17:17" x14ac:dyDescent="0.25">
      <c r="Q34255" s="8"/>
    </row>
    <row r="34256" spans="17:17" x14ac:dyDescent="0.25">
      <c r="Q34256" s="8"/>
    </row>
    <row r="34257" spans="17:17" x14ac:dyDescent="0.25">
      <c r="Q34257" s="8"/>
    </row>
    <row r="34258" spans="17:17" x14ac:dyDescent="0.25">
      <c r="Q34258" s="8"/>
    </row>
    <row r="34259" spans="17:17" x14ac:dyDescent="0.25">
      <c r="Q34259" s="8"/>
    </row>
    <row r="34260" spans="17:17" x14ac:dyDescent="0.25">
      <c r="Q34260" s="8"/>
    </row>
    <row r="34261" spans="17:17" x14ac:dyDescent="0.25">
      <c r="Q34261" s="8"/>
    </row>
    <row r="34262" spans="17:17" x14ac:dyDescent="0.25">
      <c r="Q34262" s="8"/>
    </row>
    <row r="34263" spans="17:17" x14ac:dyDescent="0.25">
      <c r="Q34263" s="8"/>
    </row>
    <row r="34264" spans="17:17" x14ac:dyDescent="0.25">
      <c r="Q34264" s="8"/>
    </row>
    <row r="34265" spans="17:17" x14ac:dyDescent="0.25">
      <c r="Q34265" s="8"/>
    </row>
    <row r="34266" spans="17:17" x14ac:dyDescent="0.25">
      <c r="Q34266" s="8"/>
    </row>
    <row r="34267" spans="17:17" x14ac:dyDescent="0.25">
      <c r="Q34267" s="8"/>
    </row>
    <row r="34268" spans="17:17" x14ac:dyDescent="0.25">
      <c r="Q34268" s="8"/>
    </row>
    <row r="34269" spans="17:17" x14ac:dyDescent="0.25">
      <c r="Q34269" s="8"/>
    </row>
    <row r="34270" spans="17:17" x14ac:dyDescent="0.25">
      <c r="Q34270" s="8"/>
    </row>
    <row r="34271" spans="17:17" x14ac:dyDescent="0.25">
      <c r="Q34271" s="8"/>
    </row>
    <row r="34272" spans="17:17" x14ac:dyDescent="0.25">
      <c r="Q34272" s="8"/>
    </row>
    <row r="34273" spans="17:17" x14ac:dyDescent="0.25">
      <c r="Q34273" s="8"/>
    </row>
    <row r="34274" spans="17:17" x14ac:dyDescent="0.25">
      <c r="Q34274" s="8"/>
    </row>
    <row r="34275" spans="17:17" x14ac:dyDescent="0.25">
      <c r="Q34275" s="8"/>
    </row>
    <row r="34276" spans="17:17" x14ac:dyDescent="0.25">
      <c r="Q34276" s="8"/>
    </row>
    <row r="34277" spans="17:17" x14ac:dyDescent="0.25">
      <c r="Q34277" s="8"/>
    </row>
    <row r="34278" spans="17:17" x14ac:dyDescent="0.25">
      <c r="Q34278" s="8"/>
    </row>
    <row r="34279" spans="17:17" x14ac:dyDescent="0.25">
      <c r="Q34279" s="8"/>
    </row>
    <row r="34280" spans="17:17" x14ac:dyDescent="0.25">
      <c r="Q34280" s="8"/>
    </row>
    <row r="34281" spans="17:17" x14ac:dyDescent="0.25">
      <c r="Q34281" s="8"/>
    </row>
    <row r="34282" spans="17:17" x14ac:dyDescent="0.25">
      <c r="Q34282" s="8"/>
    </row>
    <row r="34283" spans="17:17" x14ac:dyDescent="0.25">
      <c r="Q34283" s="8"/>
    </row>
    <row r="34284" spans="17:17" x14ac:dyDescent="0.25">
      <c r="Q34284" s="8"/>
    </row>
    <row r="34285" spans="17:17" x14ac:dyDescent="0.25">
      <c r="Q34285" s="8"/>
    </row>
    <row r="34286" spans="17:17" x14ac:dyDescent="0.25">
      <c r="Q34286" s="8"/>
    </row>
    <row r="34287" spans="17:17" x14ac:dyDescent="0.25">
      <c r="Q34287" s="8"/>
    </row>
    <row r="34288" spans="17:17" x14ac:dyDescent="0.25">
      <c r="Q34288" s="8"/>
    </row>
    <row r="34289" spans="17:17" x14ac:dyDescent="0.25">
      <c r="Q34289" s="8"/>
    </row>
    <row r="34290" spans="17:17" x14ac:dyDescent="0.25">
      <c r="Q34290" s="8"/>
    </row>
    <row r="34291" spans="17:17" x14ac:dyDescent="0.25">
      <c r="Q34291" s="8"/>
    </row>
    <row r="34292" spans="17:17" x14ac:dyDescent="0.25">
      <c r="Q34292" s="8"/>
    </row>
    <row r="34293" spans="17:17" x14ac:dyDescent="0.25">
      <c r="Q34293" s="8"/>
    </row>
    <row r="34294" spans="17:17" x14ac:dyDescent="0.25">
      <c r="Q34294" s="8"/>
    </row>
    <row r="34295" spans="17:17" x14ac:dyDescent="0.25">
      <c r="Q34295" s="8"/>
    </row>
    <row r="34296" spans="17:17" x14ac:dyDescent="0.25">
      <c r="Q34296" s="8"/>
    </row>
    <row r="34297" spans="17:17" x14ac:dyDescent="0.25">
      <c r="Q34297" s="8"/>
    </row>
    <row r="34298" spans="17:17" x14ac:dyDescent="0.25">
      <c r="Q34298" s="8"/>
    </row>
    <row r="34299" spans="17:17" x14ac:dyDescent="0.25">
      <c r="Q34299" s="8"/>
    </row>
    <row r="34300" spans="17:17" x14ac:dyDescent="0.25">
      <c r="Q34300" s="8"/>
    </row>
    <row r="34301" spans="17:17" x14ac:dyDescent="0.25">
      <c r="Q34301" s="8"/>
    </row>
    <row r="34302" spans="17:17" x14ac:dyDescent="0.25">
      <c r="Q34302" s="8"/>
    </row>
    <row r="34303" spans="17:17" x14ac:dyDescent="0.25">
      <c r="Q34303" s="8"/>
    </row>
    <row r="34304" spans="17:17" x14ac:dyDescent="0.25">
      <c r="Q34304" s="8"/>
    </row>
    <row r="34305" spans="17:17" x14ac:dyDescent="0.25">
      <c r="Q34305" s="8"/>
    </row>
    <row r="34306" spans="17:17" x14ac:dyDescent="0.25">
      <c r="Q34306" s="8"/>
    </row>
    <row r="34307" spans="17:17" x14ac:dyDescent="0.25">
      <c r="Q34307" s="8"/>
    </row>
    <row r="34308" spans="17:17" x14ac:dyDescent="0.25">
      <c r="Q34308" s="8"/>
    </row>
    <row r="34309" spans="17:17" x14ac:dyDescent="0.25">
      <c r="Q34309" s="8"/>
    </row>
    <row r="34310" spans="17:17" x14ac:dyDescent="0.25">
      <c r="Q34310" s="8"/>
    </row>
    <row r="34311" spans="17:17" x14ac:dyDescent="0.25">
      <c r="Q34311" s="8"/>
    </row>
    <row r="34312" spans="17:17" x14ac:dyDescent="0.25">
      <c r="Q34312" s="8"/>
    </row>
    <row r="34313" spans="17:17" x14ac:dyDescent="0.25">
      <c r="Q34313" s="8"/>
    </row>
    <row r="34314" spans="17:17" x14ac:dyDescent="0.25">
      <c r="Q34314" s="8"/>
    </row>
    <row r="34315" spans="17:17" x14ac:dyDescent="0.25">
      <c r="Q34315" s="8"/>
    </row>
    <row r="34316" spans="17:17" x14ac:dyDescent="0.25">
      <c r="Q34316" s="8"/>
    </row>
    <row r="34317" spans="17:17" x14ac:dyDescent="0.25">
      <c r="Q34317" s="8"/>
    </row>
    <row r="34318" spans="17:17" x14ac:dyDescent="0.25">
      <c r="Q34318" s="8"/>
    </row>
    <row r="34319" spans="17:17" x14ac:dyDescent="0.25">
      <c r="Q34319" s="8"/>
    </row>
    <row r="34320" spans="17:17" x14ac:dyDescent="0.25">
      <c r="Q34320" s="8"/>
    </row>
    <row r="34321" spans="17:17" x14ac:dyDescent="0.25">
      <c r="Q34321" s="8"/>
    </row>
    <row r="34322" spans="17:17" x14ac:dyDescent="0.25">
      <c r="Q34322" s="8"/>
    </row>
    <row r="34323" spans="17:17" x14ac:dyDescent="0.25">
      <c r="Q34323" s="8"/>
    </row>
    <row r="34324" spans="17:17" x14ac:dyDescent="0.25">
      <c r="Q34324" s="8"/>
    </row>
    <row r="34325" spans="17:17" x14ac:dyDescent="0.25">
      <c r="Q34325" s="8"/>
    </row>
    <row r="34326" spans="17:17" x14ac:dyDescent="0.25">
      <c r="Q34326" s="8"/>
    </row>
    <row r="34327" spans="17:17" x14ac:dyDescent="0.25">
      <c r="Q34327" s="8"/>
    </row>
    <row r="34328" spans="17:17" x14ac:dyDescent="0.25">
      <c r="Q34328" s="8"/>
    </row>
    <row r="34329" spans="17:17" x14ac:dyDescent="0.25">
      <c r="Q34329" s="8"/>
    </row>
    <row r="34330" spans="17:17" x14ac:dyDescent="0.25">
      <c r="Q34330" s="8"/>
    </row>
    <row r="34331" spans="17:17" x14ac:dyDescent="0.25">
      <c r="Q34331" s="8"/>
    </row>
    <row r="34332" spans="17:17" x14ac:dyDescent="0.25">
      <c r="Q34332" s="8"/>
    </row>
    <row r="34333" spans="17:17" x14ac:dyDescent="0.25">
      <c r="Q34333" s="8"/>
    </row>
    <row r="34334" spans="17:17" x14ac:dyDescent="0.25">
      <c r="Q34334" s="8"/>
    </row>
    <row r="34335" spans="17:17" x14ac:dyDescent="0.25">
      <c r="Q34335" s="8"/>
    </row>
    <row r="34336" spans="17:17" x14ac:dyDescent="0.25">
      <c r="Q34336" s="8"/>
    </row>
    <row r="34337" spans="17:17" x14ac:dyDescent="0.25">
      <c r="Q34337" s="8"/>
    </row>
    <row r="34338" spans="17:17" x14ac:dyDescent="0.25">
      <c r="Q34338" s="8"/>
    </row>
    <row r="34339" spans="17:17" x14ac:dyDescent="0.25">
      <c r="Q34339" s="8"/>
    </row>
    <row r="34340" spans="17:17" x14ac:dyDescent="0.25">
      <c r="Q34340" s="8"/>
    </row>
    <row r="34341" spans="17:17" x14ac:dyDescent="0.25">
      <c r="Q34341" s="8"/>
    </row>
    <row r="34342" spans="17:17" x14ac:dyDescent="0.25">
      <c r="Q34342" s="8"/>
    </row>
    <row r="34343" spans="17:17" x14ac:dyDescent="0.25">
      <c r="Q34343" s="8"/>
    </row>
    <row r="34344" spans="17:17" x14ac:dyDescent="0.25">
      <c r="Q34344" s="8"/>
    </row>
    <row r="34345" spans="17:17" x14ac:dyDescent="0.25">
      <c r="Q34345" s="8"/>
    </row>
    <row r="34346" spans="17:17" x14ac:dyDescent="0.25">
      <c r="Q34346" s="8"/>
    </row>
    <row r="34347" spans="17:17" x14ac:dyDescent="0.25">
      <c r="Q34347" s="8"/>
    </row>
    <row r="34348" spans="17:17" x14ac:dyDescent="0.25">
      <c r="Q34348" s="8"/>
    </row>
    <row r="34349" spans="17:17" x14ac:dyDescent="0.25">
      <c r="Q34349" s="8"/>
    </row>
    <row r="34350" spans="17:17" x14ac:dyDescent="0.25">
      <c r="Q34350" s="8"/>
    </row>
    <row r="34351" spans="17:17" x14ac:dyDescent="0.25">
      <c r="Q34351" s="8"/>
    </row>
    <row r="34352" spans="17:17" x14ac:dyDescent="0.25">
      <c r="Q34352" s="8"/>
    </row>
    <row r="34353" spans="17:17" x14ac:dyDescent="0.25">
      <c r="Q34353" s="8"/>
    </row>
    <row r="34354" spans="17:17" x14ac:dyDescent="0.25">
      <c r="Q34354" s="8"/>
    </row>
    <row r="34355" spans="17:17" x14ac:dyDescent="0.25">
      <c r="Q34355" s="8"/>
    </row>
    <row r="34356" spans="17:17" x14ac:dyDescent="0.25">
      <c r="Q34356" s="8"/>
    </row>
    <row r="34357" spans="17:17" x14ac:dyDescent="0.25">
      <c r="Q34357" s="8"/>
    </row>
    <row r="34358" spans="17:17" x14ac:dyDescent="0.25">
      <c r="Q34358" s="8"/>
    </row>
    <row r="34359" spans="17:17" x14ac:dyDescent="0.25">
      <c r="Q34359" s="8"/>
    </row>
    <row r="34360" spans="17:17" x14ac:dyDescent="0.25">
      <c r="Q34360" s="8"/>
    </row>
    <row r="34361" spans="17:17" x14ac:dyDescent="0.25">
      <c r="Q34361" s="8"/>
    </row>
    <row r="34362" spans="17:17" x14ac:dyDescent="0.25">
      <c r="Q34362" s="8"/>
    </row>
    <row r="34363" spans="17:17" x14ac:dyDescent="0.25">
      <c r="Q34363" s="8"/>
    </row>
    <row r="34364" spans="17:17" x14ac:dyDescent="0.25">
      <c r="Q34364" s="8"/>
    </row>
    <row r="34365" spans="17:17" x14ac:dyDescent="0.25">
      <c r="Q34365" s="8"/>
    </row>
    <row r="34366" spans="17:17" x14ac:dyDescent="0.25">
      <c r="Q34366" s="8"/>
    </row>
    <row r="34367" spans="17:17" x14ac:dyDescent="0.25">
      <c r="Q34367" s="8"/>
    </row>
    <row r="34368" spans="17:17" x14ac:dyDescent="0.25">
      <c r="Q34368" s="8"/>
    </row>
    <row r="34369" spans="17:17" x14ac:dyDescent="0.25">
      <c r="Q34369" s="8"/>
    </row>
    <row r="34370" spans="17:17" x14ac:dyDescent="0.25">
      <c r="Q34370" s="8"/>
    </row>
    <row r="34371" spans="17:17" x14ac:dyDescent="0.25">
      <c r="Q34371" s="8"/>
    </row>
    <row r="34372" spans="17:17" x14ac:dyDescent="0.25">
      <c r="Q34372" s="8"/>
    </row>
    <row r="34373" spans="17:17" x14ac:dyDescent="0.25">
      <c r="Q34373" s="8"/>
    </row>
    <row r="34374" spans="17:17" x14ac:dyDescent="0.25">
      <c r="Q34374" s="8"/>
    </row>
    <row r="34375" spans="17:17" x14ac:dyDescent="0.25">
      <c r="Q34375" s="8"/>
    </row>
    <row r="34376" spans="17:17" x14ac:dyDescent="0.25">
      <c r="Q34376" s="8"/>
    </row>
    <row r="34377" spans="17:17" x14ac:dyDescent="0.25">
      <c r="Q34377" s="8"/>
    </row>
    <row r="34378" spans="17:17" x14ac:dyDescent="0.25">
      <c r="Q34378" s="8"/>
    </row>
    <row r="34379" spans="17:17" x14ac:dyDescent="0.25">
      <c r="Q34379" s="8"/>
    </row>
    <row r="34380" spans="17:17" x14ac:dyDescent="0.25">
      <c r="Q34380" s="8"/>
    </row>
    <row r="34381" spans="17:17" x14ac:dyDescent="0.25">
      <c r="Q34381" s="8"/>
    </row>
    <row r="34382" spans="17:17" x14ac:dyDescent="0.25">
      <c r="Q34382" s="8"/>
    </row>
    <row r="34383" spans="17:17" x14ac:dyDescent="0.25">
      <c r="Q34383" s="8"/>
    </row>
    <row r="34384" spans="17:17" x14ac:dyDescent="0.25">
      <c r="Q34384" s="8"/>
    </row>
    <row r="34385" spans="17:17" x14ac:dyDescent="0.25">
      <c r="Q34385" s="8"/>
    </row>
    <row r="34386" spans="17:17" x14ac:dyDescent="0.25">
      <c r="Q34386" s="8"/>
    </row>
    <row r="34387" spans="17:17" x14ac:dyDescent="0.25">
      <c r="Q34387" s="8"/>
    </row>
    <row r="34388" spans="17:17" x14ac:dyDescent="0.25">
      <c r="Q34388" s="8"/>
    </row>
    <row r="34389" spans="17:17" x14ac:dyDescent="0.25">
      <c r="Q34389" s="8"/>
    </row>
    <row r="34390" spans="17:17" x14ac:dyDescent="0.25">
      <c r="Q34390" s="8"/>
    </row>
    <row r="34391" spans="17:17" x14ac:dyDescent="0.25">
      <c r="Q34391" s="8"/>
    </row>
    <row r="34392" spans="17:17" x14ac:dyDescent="0.25">
      <c r="Q34392" s="8"/>
    </row>
    <row r="34393" spans="17:17" x14ac:dyDescent="0.25">
      <c r="Q34393" s="8"/>
    </row>
    <row r="34394" spans="17:17" x14ac:dyDescent="0.25">
      <c r="Q34394" s="8"/>
    </row>
    <row r="34395" spans="17:17" x14ac:dyDescent="0.25">
      <c r="Q34395" s="8"/>
    </row>
    <row r="34396" spans="17:17" x14ac:dyDescent="0.25">
      <c r="Q34396" s="8"/>
    </row>
    <row r="34397" spans="17:17" x14ac:dyDescent="0.25">
      <c r="Q34397" s="8"/>
    </row>
    <row r="34398" spans="17:17" x14ac:dyDescent="0.25">
      <c r="Q34398" s="8"/>
    </row>
    <row r="34399" spans="17:17" x14ac:dyDescent="0.25">
      <c r="Q34399" s="8"/>
    </row>
    <row r="34400" spans="17:17" x14ac:dyDescent="0.25">
      <c r="Q34400" s="8"/>
    </row>
    <row r="34401" spans="17:17" x14ac:dyDescent="0.25">
      <c r="Q34401" s="8"/>
    </row>
    <row r="34402" spans="17:17" x14ac:dyDescent="0.25">
      <c r="Q34402" s="8"/>
    </row>
    <row r="34403" spans="17:17" x14ac:dyDescent="0.25">
      <c r="Q34403" s="8"/>
    </row>
    <row r="34404" spans="17:17" x14ac:dyDescent="0.25">
      <c r="Q34404" s="8"/>
    </row>
    <row r="34405" spans="17:17" x14ac:dyDescent="0.25">
      <c r="Q34405" s="8"/>
    </row>
    <row r="34406" spans="17:17" x14ac:dyDescent="0.25">
      <c r="Q34406" s="8"/>
    </row>
    <row r="34407" spans="17:17" x14ac:dyDescent="0.25">
      <c r="Q34407" s="8"/>
    </row>
    <row r="34408" spans="17:17" x14ac:dyDescent="0.25">
      <c r="Q34408" s="8"/>
    </row>
    <row r="34409" spans="17:17" x14ac:dyDescent="0.25">
      <c r="Q34409" s="8"/>
    </row>
    <row r="34410" spans="17:17" x14ac:dyDescent="0.25">
      <c r="Q34410" s="8"/>
    </row>
    <row r="34411" spans="17:17" x14ac:dyDescent="0.25">
      <c r="Q34411" s="8"/>
    </row>
    <row r="34412" spans="17:17" x14ac:dyDescent="0.25">
      <c r="Q34412" s="8"/>
    </row>
    <row r="34413" spans="17:17" x14ac:dyDescent="0.25">
      <c r="Q34413" s="8"/>
    </row>
    <row r="34414" spans="17:17" x14ac:dyDescent="0.25">
      <c r="Q34414" s="8"/>
    </row>
    <row r="34415" spans="17:17" x14ac:dyDescent="0.25">
      <c r="Q34415" s="8"/>
    </row>
    <row r="34416" spans="17:17" x14ac:dyDescent="0.25">
      <c r="Q34416" s="8"/>
    </row>
    <row r="34417" spans="17:17" x14ac:dyDescent="0.25">
      <c r="Q34417" s="8"/>
    </row>
    <row r="34418" spans="17:17" x14ac:dyDescent="0.25">
      <c r="Q34418" s="8"/>
    </row>
    <row r="34419" spans="17:17" x14ac:dyDescent="0.25">
      <c r="Q34419" s="8"/>
    </row>
    <row r="34420" spans="17:17" x14ac:dyDescent="0.25">
      <c r="Q34420" s="8"/>
    </row>
    <row r="34421" spans="17:17" x14ac:dyDescent="0.25">
      <c r="Q34421" s="8"/>
    </row>
    <row r="34422" spans="17:17" x14ac:dyDescent="0.25">
      <c r="Q34422" s="8"/>
    </row>
    <row r="34423" spans="17:17" x14ac:dyDescent="0.25">
      <c r="Q34423" s="8"/>
    </row>
    <row r="34424" spans="17:17" x14ac:dyDescent="0.25">
      <c r="Q34424" s="8"/>
    </row>
    <row r="34425" spans="17:17" x14ac:dyDescent="0.25">
      <c r="Q34425" s="8"/>
    </row>
    <row r="34426" spans="17:17" x14ac:dyDescent="0.25">
      <c r="Q34426" s="8"/>
    </row>
    <row r="34427" spans="17:17" x14ac:dyDescent="0.25">
      <c r="Q34427" s="8"/>
    </row>
    <row r="34428" spans="17:17" x14ac:dyDescent="0.25">
      <c r="Q34428" s="8"/>
    </row>
    <row r="34429" spans="17:17" x14ac:dyDescent="0.25">
      <c r="Q34429" s="8"/>
    </row>
    <row r="34430" spans="17:17" x14ac:dyDescent="0.25">
      <c r="Q34430" s="8"/>
    </row>
    <row r="34431" spans="17:17" x14ac:dyDescent="0.25">
      <c r="Q34431" s="8"/>
    </row>
    <row r="34432" spans="17:17" x14ac:dyDescent="0.25">
      <c r="Q34432" s="8"/>
    </row>
    <row r="34433" spans="17:17" x14ac:dyDescent="0.25">
      <c r="Q34433" s="8"/>
    </row>
    <row r="34434" spans="17:17" x14ac:dyDescent="0.25">
      <c r="Q34434" s="8"/>
    </row>
    <row r="34435" spans="17:17" x14ac:dyDescent="0.25">
      <c r="Q34435" s="8"/>
    </row>
    <row r="34436" spans="17:17" x14ac:dyDescent="0.25">
      <c r="Q34436" s="8"/>
    </row>
    <row r="34437" spans="17:17" x14ac:dyDescent="0.25">
      <c r="Q34437" s="8"/>
    </row>
    <row r="34438" spans="17:17" x14ac:dyDescent="0.25">
      <c r="Q34438" s="8"/>
    </row>
    <row r="34439" spans="17:17" x14ac:dyDescent="0.25">
      <c r="Q34439" s="8"/>
    </row>
    <row r="34440" spans="17:17" x14ac:dyDescent="0.25">
      <c r="Q34440" s="8"/>
    </row>
    <row r="34441" spans="17:17" x14ac:dyDescent="0.25">
      <c r="Q34441" s="8"/>
    </row>
    <row r="34442" spans="17:17" x14ac:dyDescent="0.25">
      <c r="Q34442" s="8"/>
    </row>
    <row r="34443" spans="17:17" x14ac:dyDescent="0.25">
      <c r="Q34443" s="8"/>
    </row>
    <row r="34444" spans="17:17" x14ac:dyDescent="0.25">
      <c r="Q34444" s="8"/>
    </row>
    <row r="34445" spans="17:17" x14ac:dyDescent="0.25">
      <c r="Q34445" s="8"/>
    </row>
    <row r="34446" spans="17:17" x14ac:dyDescent="0.25">
      <c r="Q34446" s="8"/>
    </row>
    <row r="34447" spans="17:17" x14ac:dyDescent="0.25">
      <c r="Q34447" s="8"/>
    </row>
    <row r="34448" spans="17:17" x14ac:dyDescent="0.25">
      <c r="Q34448" s="8"/>
    </row>
    <row r="34449" spans="17:17" x14ac:dyDescent="0.25">
      <c r="Q34449" s="8"/>
    </row>
    <row r="34450" spans="17:17" x14ac:dyDescent="0.25">
      <c r="Q34450" s="8"/>
    </row>
    <row r="34451" spans="17:17" x14ac:dyDescent="0.25">
      <c r="Q34451" s="8"/>
    </row>
    <row r="34452" spans="17:17" x14ac:dyDescent="0.25">
      <c r="Q34452" s="8"/>
    </row>
    <row r="34453" spans="17:17" x14ac:dyDescent="0.25">
      <c r="Q34453" s="8"/>
    </row>
    <row r="34454" spans="17:17" x14ac:dyDescent="0.25">
      <c r="Q34454" s="8"/>
    </row>
    <row r="34455" spans="17:17" x14ac:dyDescent="0.25">
      <c r="Q34455" s="8"/>
    </row>
    <row r="34456" spans="17:17" x14ac:dyDescent="0.25">
      <c r="Q34456" s="8"/>
    </row>
    <row r="34457" spans="17:17" x14ac:dyDescent="0.25">
      <c r="Q34457" s="8"/>
    </row>
    <row r="34458" spans="17:17" x14ac:dyDescent="0.25">
      <c r="Q34458" s="8"/>
    </row>
    <row r="34459" spans="17:17" x14ac:dyDescent="0.25">
      <c r="Q34459" s="8"/>
    </row>
    <row r="34460" spans="17:17" x14ac:dyDescent="0.25">
      <c r="Q34460" s="8"/>
    </row>
    <row r="34461" spans="17:17" x14ac:dyDescent="0.25">
      <c r="Q34461" s="8"/>
    </row>
    <row r="34462" spans="17:17" x14ac:dyDescent="0.25">
      <c r="Q34462" s="8"/>
    </row>
    <row r="34463" spans="17:17" x14ac:dyDescent="0.25">
      <c r="Q34463" s="8"/>
    </row>
    <row r="34464" spans="17:17" x14ac:dyDescent="0.25">
      <c r="Q34464" s="8"/>
    </row>
    <row r="34465" spans="17:17" x14ac:dyDescent="0.25">
      <c r="Q34465" s="8"/>
    </row>
    <row r="34466" spans="17:17" x14ac:dyDescent="0.25">
      <c r="Q34466" s="8"/>
    </row>
    <row r="34467" spans="17:17" x14ac:dyDescent="0.25">
      <c r="Q34467" s="8"/>
    </row>
    <row r="34468" spans="17:17" x14ac:dyDescent="0.25">
      <c r="Q34468" s="8"/>
    </row>
    <row r="34469" spans="17:17" x14ac:dyDescent="0.25">
      <c r="Q34469" s="8"/>
    </row>
    <row r="34470" spans="17:17" x14ac:dyDescent="0.25">
      <c r="Q34470" s="8"/>
    </row>
    <row r="34471" spans="17:17" x14ac:dyDescent="0.25">
      <c r="Q34471" s="8"/>
    </row>
    <row r="34472" spans="17:17" x14ac:dyDescent="0.25">
      <c r="Q34472" s="8"/>
    </row>
    <row r="34473" spans="17:17" x14ac:dyDescent="0.25">
      <c r="Q34473" s="8"/>
    </row>
    <row r="34474" spans="17:17" x14ac:dyDescent="0.25">
      <c r="Q34474" s="8"/>
    </row>
    <row r="34475" spans="17:17" x14ac:dyDescent="0.25">
      <c r="Q34475" s="8"/>
    </row>
    <row r="34476" spans="17:17" x14ac:dyDescent="0.25">
      <c r="Q34476" s="8"/>
    </row>
    <row r="34477" spans="17:17" x14ac:dyDescent="0.25">
      <c r="Q34477" s="8"/>
    </row>
    <row r="34478" spans="17:17" x14ac:dyDescent="0.25">
      <c r="Q34478" s="8"/>
    </row>
    <row r="34479" spans="17:17" x14ac:dyDescent="0.25">
      <c r="Q34479" s="8"/>
    </row>
    <row r="34480" spans="17:17" x14ac:dyDescent="0.25">
      <c r="Q34480" s="8"/>
    </row>
    <row r="34481" spans="17:17" x14ac:dyDescent="0.25">
      <c r="Q34481" s="8"/>
    </row>
    <row r="34482" spans="17:17" x14ac:dyDescent="0.25">
      <c r="Q34482" s="8"/>
    </row>
    <row r="34483" spans="17:17" x14ac:dyDescent="0.25">
      <c r="Q34483" s="8"/>
    </row>
    <row r="34484" spans="17:17" x14ac:dyDescent="0.25">
      <c r="Q34484" s="8"/>
    </row>
    <row r="34485" spans="17:17" x14ac:dyDescent="0.25">
      <c r="Q34485" s="8"/>
    </row>
    <row r="34486" spans="17:17" x14ac:dyDescent="0.25">
      <c r="Q34486" s="8"/>
    </row>
    <row r="34487" spans="17:17" x14ac:dyDescent="0.25">
      <c r="Q34487" s="8"/>
    </row>
    <row r="34488" spans="17:17" x14ac:dyDescent="0.25">
      <c r="Q34488" s="8"/>
    </row>
    <row r="34489" spans="17:17" x14ac:dyDescent="0.25">
      <c r="Q34489" s="8"/>
    </row>
    <row r="34490" spans="17:17" x14ac:dyDescent="0.25">
      <c r="Q34490" s="8"/>
    </row>
    <row r="34491" spans="17:17" x14ac:dyDescent="0.25">
      <c r="Q34491" s="8"/>
    </row>
    <row r="34492" spans="17:17" x14ac:dyDescent="0.25">
      <c r="Q34492" s="8"/>
    </row>
    <row r="34493" spans="17:17" x14ac:dyDescent="0.25">
      <c r="Q34493" s="8"/>
    </row>
    <row r="34494" spans="17:17" x14ac:dyDescent="0.25">
      <c r="Q34494" s="8"/>
    </row>
    <row r="34495" spans="17:17" x14ac:dyDescent="0.25">
      <c r="Q34495" s="8"/>
    </row>
    <row r="34496" spans="17:17" x14ac:dyDescent="0.25">
      <c r="Q34496" s="8"/>
    </row>
    <row r="34497" spans="17:17" x14ac:dyDescent="0.25">
      <c r="Q34497" s="8"/>
    </row>
    <row r="34498" spans="17:17" x14ac:dyDescent="0.25">
      <c r="Q34498" s="8"/>
    </row>
    <row r="34499" spans="17:17" x14ac:dyDescent="0.25">
      <c r="Q34499" s="8"/>
    </row>
    <row r="34500" spans="17:17" x14ac:dyDescent="0.25">
      <c r="Q34500" s="8"/>
    </row>
    <row r="34501" spans="17:17" x14ac:dyDescent="0.25">
      <c r="Q34501" s="8"/>
    </row>
    <row r="34502" spans="17:17" x14ac:dyDescent="0.25">
      <c r="Q34502" s="8"/>
    </row>
    <row r="34503" spans="17:17" x14ac:dyDescent="0.25">
      <c r="Q34503" s="8"/>
    </row>
    <row r="34504" spans="17:17" x14ac:dyDescent="0.25">
      <c r="Q34504" s="8"/>
    </row>
    <row r="34505" spans="17:17" x14ac:dyDescent="0.25">
      <c r="Q34505" s="8"/>
    </row>
    <row r="34506" spans="17:17" x14ac:dyDescent="0.25">
      <c r="Q34506" s="8"/>
    </row>
    <row r="34507" spans="17:17" x14ac:dyDescent="0.25">
      <c r="Q34507" s="8"/>
    </row>
    <row r="34508" spans="17:17" x14ac:dyDescent="0.25">
      <c r="Q34508" s="8"/>
    </row>
    <row r="34509" spans="17:17" x14ac:dyDescent="0.25">
      <c r="Q34509" s="8"/>
    </row>
    <row r="34510" spans="17:17" x14ac:dyDescent="0.25">
      <c r="Q34510" s="8"/>
    </row>
    <row r="34511" spans="17:17" x14ac:dyDescent="0.25">
      <c r="Q34511" s="8"/>
    </row>
    <row r="34512" spans="17:17" x14ac:dyDescent="0.25">
      <c r="Q34512" s="8"/>
    </row>
    <row r="34513" spans="17:17" x14ac:dyDescent="0.25">
      <c r="Q34513" s="8"/>
    </row>
    <row r="34514" spans="17:17" x14ac:dyDescent="0.25">
      <c r="Q34514" s="8"/>
    </row>
    <row r="34515" spans="17:17" x14ac:dyDescent="0.25">
      <c r="Q34515" s="8"/>
    </row>
    <row r="34516" spans="17:17" x14ac:dyDescent="0.25">
      <c r="Q34516" s="8"/>
    </row>
    <row r="34517" spans="17:17" x14ac:dyDescent="0.25">
      <c r="Q34517" s="8"/>
    </row>
    <row r="34518" spans="17:17" x14ac:dyDescent="0.25">
      <c r="Q34518" s="8"/>
    </row>
    <row r="34519" spans="17:17" x14ac:dyDescent="0.25">
      <c r="Q34519" s="8"/>
    </row>
    <row r="34520" spans="17:17" x14ac:dyDescent="0.25">
      <c r="Q34520" s="8"/>
    </row>
    <row r="34521" spans="17:17" x14ac:dyDescent="0.25">
      <c r="Q34521" s="8"/>
    </row>
    <row r="34522" spans="17:17" x14ac:dyDescent="0.25">
      <c r="Q34522" s="8"/>
    </row>
    <row r="34523" spans="17:17" x14ac:dyDescent="0.25">
      <c r="Q34523" s="8"/>
    </row>
    <row r="34524" spans="17:17" x14ac:dyDescent="0.25">
      <c r="Q34524" s="8"/>
    </row>
    <row r="34525" spans="17:17" x14ac:dyDescent="0.25">
      <c r="Q34525" s="8"/>
    </row>
    <row r="34526" spans="17:17" x14ac:dyDescent="0.25">
      <c r="Q34526" s="8"/>
    </row>
    <row r="34527" spans="17:17" x14ac:dyDescent="0.25">
      <c r="Q34527" s="8"/>
    </row>
    <row r="34528" spans="17:17" x14ac:dyDescent="0.25">
      <c r="Q34528" s="8"/>
    </row>
    <row r="34529" spans="17:17" x14ac:dyDescent="0.25">
      <c r="Q34529" s="8"/>
    </row>
    <row r="34530" spans="17:17" x14ac:dyDescent="0.25">
      <c r="Q34530" s="8"/>
    </row>
    <row r="34531" spans="17:17" x14ac:dyDescent="0.25">
      <c r="Q34531" s="8"/>
    </row>
    <row r="34532" spans="17:17" x14ac:dyDescent="0.25">
      <c r="Q34532" s="8"/>
    </row>
    <row r="34533" spans="17:17" x14ac:dyDescent="0.25">
      <c r="Q34533" s="8"/>
    </row>
    <row r="34534" spans="17:17" x14ac:dyDescent="0.25">
      <c r="Q34534" s="8"/>
    </row>
    <row r="34535" spans="17:17" x14ac:dyDescent="0.25">
      <c r="Q34535" s="8"/>
    </row>
    <row r="34536" spans="17:17" x14ac:dyDescent="0.25">
      <c r="Q34536" s="8"/>
    </row>
    <row r="34537" spans="17:17" x14ac:dyDescent="0.25">
      <c r="Q34537" s="8"/>
    </row>
    <row r="34538" spans="17:17" x14ac:dyDescent="0.25">
      <c r="Q34538" s="8"/>
    </row>
    <row r="34539" spans="17:17" x14ac:dyDescent="0.25">
      <c r="Q34539" s="8"/>
    </row>
    <row r="34540" spans="17:17" x14ac:dyDescent="0.25">
      <c r="Q34540" s="8"/>
    </row>
    <row r="34541" spans="17:17" x14ac:dyDescent="0.25">
      <c r="Q34541" s="8"/>
    </row>
    <row r="34542" spans="17:17" x14ac:dyDescent="0.25">
      <c r="Q34542" s="8"/>
    </row>
    <row r="34543" spans="17:17" x14ac:dyDescent="0.25">
      <c r="Q34543" s="8"/>
    </row>
    <row r="34544" spans="17:17" x14ac:dyDescent="0.25">
      <c r="Q34544" s="8"/>
    </row>
    <row r="34545" spans="17:17" x14ac:dyDescent="0.25">
      <c r="Q34545" s="8"/>
    </row>
    <row r="34546" spans="17:17" x14ac:dyDescent="0.25">
      <c r="Q34546" s="8"/>
    </row>
    <row r="34547" spans="17:17" x14ac:dyDescent="0.25">
      <c r="Q34547" s="8"/>
    </row>
    <row r="34548" spans="17:17" x14ac:dyDescent="0.25">
      <c r="Q34548" s="8"/>
    </row>
    <row r="34549" spans="17:17" x14ac:dyDescent="0.25">
      <c r="Q34549" s="8"/>
    </row>
    <row r="34550" spans="17:17" x14ac:dyDescent="0.25">
      <c r="Q34550" s="8"/>
    </row>
    <row r="34551" spans="17:17" x14ac:dyDescent="0.25">
      <c r="Q34551" s="8"/>
    </row>
    <row r="34552" spans="17:17" x14ac:dyDescent="0.25">
      <c r="Q34552" s="8"/>
    </row>
    <row r="34553" spans="17:17" x14ac:dyDescent="0.25">
      <c r="Q34553" s="8"/>
    </row>
    <row r="34554" spans="17:17" x14ac:dyDescent="0.25">
      <c r="Q34554" s="8"/>
    </row>
    <row r="34555" spans="17:17" x14ac:dyDescent="0.25">
      <c r="Q34555" s="8"/>
    </row>
    <row r="34556" spans="17:17" x14ac:dyDescent="0.25">
      <c r="Q34556" s="8"/>
    </row>
    <row r="34557" spans="17:17" x14ac:dyDescent="0.25">
      <c r="Q34557" s="8"/>
    </row>
    <row r="34558" spans="17:17" x14ac:dyDescent="0.25">
      <c r="Q34558" s="8"/>
    </row>
    <row r="34559" spans="17:17" x14ac:dyDescent="0.25">
      <c r="Q34559" s="8"/>
    </row>
    <row r="34560" spans="17:17" x14ac:dyDescent="0.25">
      <c r="Q34560" s="8"/>
    </row>
    <row r="34561" spans="17:17" x14ac:dyDescent="0.25">
      <c r="Q34561" s="8"/>
    </row>
    <row r="34562" spans="17:17" x14ac:dyDescent="0.25">
      <c r="Q34562" s="8"/>
    </row>
    <row r="34563" spans="17:17" x14ac:dyDescent="0.25">
      <c r="Q34563" s="8"/>
    </row>
    <row r="34564" spans="17:17" x14ac:dyDescent="0.25">
      <c r="Q34564" s="8"/>
    </row>
    <row r="34565" spans="17:17" x14ac:dyDescent="0.25">
      <c r="Q34565" s="8"/>
    </row>
    <row r="34566" spans="17:17" x14ac:dyDescent="0.25">
      <c r="Q34566" s="8"/>
    </row>
    <row r="34567" spans="17:17" x14ac:dyDescent="0.25">
      <c r="Q34567" s="8"/>
    </row>
    <row r="34568" spans="17:17" x14ac:dyDescent="0.25">
      <c r="Q34568" s="8"/>
    </row>
    <row r="34569" spans="17:17" x14ac:dyDescent="0.25">
      <c r="Q34569" s="8"/>
    </row>
    <row r="34570" spans="17:17" x14ac:dyDescent="0.25">
      <c r="Q34570" s="8"/>
    </row>
    <row r="34571" spans="17:17" x14ac:dyDescent="0.25">
      <c r="Q34571" s="8"/>
    </row>
    <row r="34572" spans="17:17" x14ac:dyDescent="0.25">
      <c r="Q34572" s="8"/>
    </row>
    <row r="34573" spans="17:17" x14ac:dyDescent="0.25">
      <c r="Q34573" s="8"/>
    </row>
    <row r="34574" spans="17:17" x14ac:dyDescent="0.25">
      <c r="Q34574" s="8"/>
    </row>
    <row r="34575" spans="17:17" x14ac:dyDescent="0.25">
      <c r="Q34575" s="8"/>
    </row>
    <row r="34576" spans="17:17" x14ac:dyDescent="0.25">
      <c r="Q34576" s="8"/>
    </row>
    <row r="34577" spans="17:17" x14ac:dyDescent="0.25">
      <c r="Q34577" s="8"/>
    </row>
    <row r="34578" spans="17:17" x14ac:dyDescent="0.25">
      <c r="Q34578" s="8"/>
    </row>
    <row r="34579" spans="17:17" x14ac:dyDescent="0.25">
      <c r="Q34579" s="8"/>
    </row>
    <row r="34580" spans="17:17" x14ac:dyDescent="0.25">
      <c r="Q34580" s="8"/>
    </row>
    <row r="34581" spans="17:17" x14ac:dyDescent="0.25">
      <c r="Q34581" s="8"/>
    </row>
    <row r="34582" spans="17:17" x14ac:dyDescent="0.25">
      <c r="Q34582" s="8"/>
    </row>
    <row r="34583" spans="17:17" x14ac:dyDescent="0.25">
      <c r="Q34583" s="8"/>
    </row>
    <row r="34584" spans="17:17" x14ac:dyDescent="0.25">
      <c r="Q34584" s="8"/>
    </row>
    <row r="34585" spans="17:17" x14ac:dyDescent="0.25">
      <c r="Q34585" s="8"/>
    </row>
    <row r="34586" spans="17:17" x14ac:dyDescent="0.25">
      <c r="Q34586" s="8"/>
    </row>
    <row r="34587" spans="17:17" x14ac:dyDescent="0.25">
      <c r="Q34587" s="8"/>
    </row>
    <row r="34588" spans="17:17" x14ac:dyDescent="0.25">
      <c r="Q34588" s="8"/>
    </row>
    <row r="34589" spans="17:17" x14ac:dyDescent="0.25">
      <c r="Q34589" s="8"/>
    </row>
    <row r="34590" spans="17:17" x14ac:dyDescent="0.25">
      <c r="Q34590" s="8"/>
    </row>
    <row r="34591" spans="17:17" x14ac:dyDescent="0.25">
      <c r="Q34591" s="8"/>
    </row>
    <row r="34592" spans="17:17" x14ac:dyDescent="0.25">
      <c r="Q34592" s="8"/>
    </row>
    <row r="34593" spans="17:17" x14ac:dyDescent="0.25">
      <c r="Q34593" s="8"/>
    </row>
    <row r="34594" spans="17:17" x14ac:dyDescent="0.25">
      <c r="Q34594" s="8"/>
    </row>
    <row r="34595" spans="17:17" x14ac:dyDescent="0.25">
      <c r="Q34595" s="8"/>
    </row>
    <row r="34596" spans="17:17" x14ac:dyDescent="0.25">
      <c r="Q34596" s="8"/>
    </row>
    <row r="34597" spans="17:17" x14ac:dyDescent="0.25">
      <c r="Q34597" s="8"/>
    </row>
    <row r="34598" spans="17:17" x14ac:dyDescent="0.25">
      <c r="Q34598" s="8"/>
    </row>
    <row r="34599" spans="17:17" x14ac:dyDescent="0.25">
      <c r="Q34599" s="8"/>
    </row>
    <row r="34600" spans="17:17" x14ac:dyDescent="0.25">
      <c r="Q34600" s="8"/>
    </row>
    <row r="34601" spans="17:17" x14ac:dyDescent="0.25">
      <c r="Q34601" s="8"/>
    </row>
    <row r="34602" spans="17:17" x14ac:dyDescent="0.25">
      <c r="Q34602" s="8"/>
    </row>
    <row r="34603" spans="17:17" x14ac:dyDescent="0.25">
      <c r="Q34603" s="8"/>
    </row>
    <row r="34604" spans="17:17" x14ac:dyDescent="0.25">
      <c r="Q34604" s="8"/>
    </row>
    <row r="34605" spans="17:17" x14ac:dyDescent="0.25">
      <c r="Q34605" s="8"/>
    </row>
    <row r="34606" spans="17:17" x14ac:dyDescent="0.25">
      <c r="Q34606" s="8"/>
    </row>
    <row r="34607" spans="17:17" x14ac:dyDescent="0.25">
      <c r="Q34607" s="8"/>
    </row>
    <row r="34608" spans="17:17" x14ac:dyDescent="0.25">
      <c r="Q34608" s="8"/>
    </row>
    <row r="34609" spans="17:17" x14ac:dyDescent="0.25">
      <c r="Q34609" s="8"/>
    </row>
    <row r="34610" spans="17:17" x14ac:dyDescent="0.25">
      <c r="Q34610" s="8"/>
    </row>
    <row r="34611" spans="17:17" x14ac:dyDescent="0.25">
      <c r="Q34611" s="8"/>
    </row>
    <row r="34612" spans="17:17" x14ac:dyDescent="0.25">
      <c r="Q34612" s="8"/>
    </row>
    <row r="34613" spans="17:17" x14ac:dyDescent="0.25">
      <c r="Q34613" s="8"/>
    </row>
    <row r="34614" spans="17:17" x14ac:dyDescent="0.25">
      <c r="Q34614" s="8"/>
    </row>
    <row r="34615" spans="17:17" x14ac:dyDescent="0.25">
      <c r="Q34615" s="8"/>
    </row>
    <row r="34616" spans="17:17" x14ac:dyDescent="0.25">
      <c r="Q34616" s="8"/>
    </row>
    <row r="34617" spans="17:17" x14ac:dyDescent="0.25">
      <c r="Q34617" s="8"/>
    </row>
    <row r="34618" spans="17:17" x14ac:dyDescent="0.25">
      <c r="Q34618" s="8"/>
    </row>
    <row r="34619" spans="17:17" x14ac:dyDescent="0.25">
      <c r="Q34619" s="8"/>
    </row>
    <row r="34620" spans="17:17" x14ac:dyDescent="0.25">
      <c r="Q34620" s="8"/>
    </row>
    <row r="34621" spans="17:17" x14ac:dyDescent="0.25">
      <c r="Q34621" s="8"/>
    </row>
    <row r="34622" spans="17:17" x14ac:dyDescent="0.25">
      <c r="Q34622" s="8"/>
    </row>
    <row r="34623" spans="17:17" x14ac:dyDescent="0.25">
      <c r="Q34623" s="8"/>
    </row>
    <row r="34624" spans="17:17" x14ac:dyDescent="0.25">
      <c r="Q34624" s="8"/>
    </row>
    <row r="34625" spans="17:17" x14ac:dyDescent="0.25">
      <c r="Q34625" s="8"/>
    </row>
    <row r="34626" spans="17:17" x14ac:dyDescent="0.25">
      <c r="Q34626" s="8"/>
    </row>
    <row r="34627" spans="17:17" x14ac:dyDescent="0.25">
      <c r="Q34627" s="8"/>
    </row>
    <row r="34628" spans="17:17" x14ac:dyDescent="0.25">
      <c r="Q34628" s="8"/>
    </row>
    <row r="34629" spans="17:17" x14ac:dyDescent="0.25">
      <c r="Q34629" s="8"/>
    </row>
    <row r="34630" spans="17:17" x14ac:dyDescent="0.25">
      <c r="Q34630" s="8"/>
    </row>
    <row r="34631" spans="17:17" x14ac:dyDescent="0.25">
      <c r="Q34631" s="8"/>
    </row>
    <row r="34632" spans="17:17" x14ac:dyDescent="0.25">
      <c r="Q34632" s="8"/>
    </row>
    <row r="34633" spans="17:17" x14ac:dyDescent="0.25">
      <c r="Q34633" s="8"/>
    </row>
    <row r="34634" spans="17:17" x14ac:dyDescent="0.25">
      <c r="Q34634" s="8"/>
    </row>
    <row r="34635" spans="17:17" x14ac:dyDescent="0.25">
      <c r="Q34635" s="8"/>
    </row>
    <row r="34636" spans="17:17" x14ac:dyDescent="0.25">
      <c r="Q34636" s="8"/>
    </row>
    <row r="34637" spans="17:17" x14ac:dyDescent="0.25">
      <c r="Q34637" s="8"/>
    </row>
    <row r="34638" spans="17:17" x14ac:dyDescent="0.25">
      <c r="Q34638" s="8"/>
    </row>
    <row r="34639" spans="17:17" x14ac:dyDescent="0.25">
      <c r="Q34639" s="8"/>
    </row>
    <row r="34640" spans="17:17" x14ac:dyDescent="0.25">
      <c r="Q34640" s="8"/>
    </row>
    <row r="34641" spans="17:17" x14ac:dyDescent="0.25">
      <c r="Q34641" s="8"/>
    </row>
    <row r="34642" spans="17:17" x14ac:dyDescent="0.25">
      <c r="Q34642" s="8"/>
    </row>
    <row r="34643" spans="17:17" x14ac:dyDescent="0.25">
      <c r="Q34643" s="8"/>
    </row>
    <row r="34644" spans="17:17" x14ac:dyDescent="0.25">
      <c r="Q34644" s="8"/>
    </row>
    <row r="34645" spans="17:17" x14ac:dyDescent="0.25">
      <c r="Q34645" s="8"/>
    </row>
    <row r="34646" spans="17:17" x14ac:dyDescent="0.25">
      <c r="Q34646" s="8"/>
    </row>
    <row r="34647" spans="17:17" x14ac:dyDescent="0.25">
      <c r="Q34647" s="8"/>
    </row>
    <row r="34648" spans="17:17" x14ac:dyDescent="0.25">
      <c r="Q34648" s="8"/>
    </row>
    <row r="34649" spans="17:17" x14ac:dyDescent="0.25">
      <c r="Q34649" s="8"/>
    </row>
    <row r="34650" spans="17:17" x14ac:dyDescent="0.25">
      <c r="Q34650" s="8"/>
    </row>
    <row r="34651" spans="17:17" x14ac:dyDescent="0.25">
      <c r="Q34651" s="8"/>
    </row>
    <row r="34652" spans="17:17" x14ac:dyDescent="0.25">
      <c r="Q34652" s="8"/>
    </row>
    <row r="34653" spans="17:17" x14ac:dyDescent="0.25">
      <c r="Q34653" s="8"/>
    </row>
    <row r="34654" spans="17:17" x14ac:dyDescent="0.25">
      <c r="Q34654" s="8"/>
    </row>
    <row r="34655" spans="17:17" x14ac:dyDescent="0.25">
      <c r="Q34655" s="8"/>
    </row>
    <row r="34656" spans="17:17" x14ac:dyDescent="0.25">
      <c r="Q34656" s="8"/>
    </row>
    <row r="34657" spans="17:17" x14ac:dyDescent="0.25">
      <c r="Q34657" s="8"/>
    </row>
    <row r="34658" spans="17:17" x14ac:dyDescent="0.25">
      <c r="Q34658" s="8"/>
    </row>
    <row r="34659" spans="17:17" x14ac:dyDescent="0.25">
      <c r="Q34659" s="8"/>
    </row>
    <row r="34660" spans="17:17" x14ac:dyDescent="0.25">
      <c r="Q34660" s="8"/>
    </row>
    <row r="34661" spans="17:17" x14ac:dyDescent="0.25">
      <c r="Q34661" s="8"/>
    </row>
    <row r="34662" spans="17:17" x14ac:dyDescent="0.25">
      <c r="Q34662" s="8"/>
    </row>
    <row r="34663" spans="17:17" x14ac:dyDescent="0.25">
      <c r="Q34663" s="8"/>
    </row>
    <row r="34664" spans="17:17" x14ac:dyDescent="0.25">
      <c r="Q34664" s="8"/>
    </row>
    <row r="34665" spans="17:17" x14ac:dyDescent="0.25">
      <c r="Q34665" s="8"/>
    </row>
    <row r="34666" spans="17:17" x14ac:dyDescent="0.25">
      <c r="Q34666" s="8"/>
    </row>
    <row r="34667" spans="17:17" x14ac:dyDescent="0.25">
      <c r="Q34667" s="8"/>
    </row>
    <row r="34668" spans="17:17" x14ac:dyDescent="0.25">
      <c r="Q34668" s="8"/>
    </row>
    <row r="34669" spans="17:17" x14ac:dyDescent="0.25">
      <c r="Q34669" s="8"/>
    </row>
    <row r="34670" spans="17:17" x14ac:dyDescent="0.25">
      <c r="Q34670" s="8"/>
    </row>
    <row r="34671" spans="17:17" x14ac:dyDescent="0.25">
      <c r="Q34671" s="8"/>
    </row>
    <row r="34672" spans="17:17" x14ac:dyDescent="0.25">
      <c r="Q34672" s="8"/>
    </row>
    <row r="34673" spans="17:17" x14ac:dyDescent="0.25">
      <c r="Q34673" s="8"/>
    </row>
    <row r="34674" spans="17:17" x14ac:dyDescent="0.25">
      <c r="Q34674" s="8"/>
    </row>
    <row r="34675" spans="17:17" x14ac:dyDescent="0.25">
      <c r="Q34675" s="8"/>
    </row>
    <row r="34676" spans="17:17" x14ac:dyDescent="0.25">
      <c r="Q34676" s="8"/>
    </row>
    <row r="34677" spans="17:17" x14ac:dyDescent="0.25">
      <c r="Q34677" s="8"/>
    </row>
    <row r="34678" spans="17:17" x14ac:dyDescent="0.25">
      <c r="Q34678" s="8"/>
    </row>
    <row r="34679" spans="17:17" x14ac:dyDescent="0.25">
      <c r="Q34679" s="8"/>
    </row>
    <row r="34680" spans="17:17" x14ac:dyDescent="0.25">
      <c r="Q34680" s="8"/>
    </row>
    <row r="34681" spans="17:17" x14ac:dyDescent="0.25">
      <c r="Q34681" s="8"/>
    </row>
    <row r="34682" spans="17:17" x14ac:dyDescent="0.25">
      <c r="Q34682" s="8"/>
    </row>
    <row r="34683" spans="17:17" x14ac:dyDescent="0.25">
      <c r="Q34683" s="8"/>
    </row>
    <row r="34684" spans="17:17" x14ac:dyDescent="0.25">
      <c r="Q34684" s="8"/>
    </row>
    <row r="34685" spans="17:17" x14ac:dyDescent="0.25">
      <c r="Q34685" s="8"/>
    </row>
    <row r="34686" spans="17:17" x14ac:dyDescent="0.25">
      <c r="Q34686" s="8"/>
    </row>
    <row r="34687" spans="17:17" x14ac:dyDescent="0.25">
      <c r="Q34687" s="8"/>
    </row>
    <row r="34688" spans="17:17" x14ac:dyDescent="0.25">
      <c r="Q34688" s="8"/>
    </row>
    <row r="34689" spans="17:17" x14ac:dyDescent="0.25">
      <c r="Q34689" s="8"/>
    </row>
    <row r="34690" spans="17:17" x14ac:dyDescent="0.25">
      <c r="Q34690" s="8"/>
    </row>
    <row r="34691" spans="17:17" x14ac:dyDescent="0.25">
      <c r="Q34691" s="8"/>
    </row>
    <row r="34692" spans="17:17" x14ac:dyDescent="0.25">
      <c r="Q34692" s="8"/>
    </row>
    <row r="34693" spans="17:17" x14ac:dyDescent="0.25">
      <c r="Q34693" s="8"/>
    </row>
    <row r="34694" spans="17:17" x14ac:dyDescent="0.25">
      <c r="Q34694" s="8"/>
    </row>
    <row r="34695" spans="17:17" x14ac:dyDescent="0.25">
      <c r="Q34695" s="8"/>
    </row>
    <row r="34696" spans="17:17" x14ac:dyDescent="0.25">
      <c r="Q34696" s="8"/>
    </row>
    <row r="34697" spans="17:17" x14ac:dyDescent="0.25">
      <c r="Q34697" s="8"/>
    </row>
    <row r="34698" spans="17:17" x14ac:dyDescent="0.25">
      <c r="Q34698" s="8"/>
    </row>
    <row r="34699" spans="17:17" x14ac:dyDescent="0.25">
      <c r="Q34699" s="8"/>
    </row>
    <row r="34700" spans="17:17" x14ac:dyDescent="0.25">
      <c r="Q34700" s="8"/>
    </row>
    <row r="34701" spans="17:17" x14ac:dyDescent="0.25">
      <c r="Q34701" s="8"/>
    </row>
    <row r="34702" spans="17:17" x14ac:dyDescent="0.25">
      <c r="Q34702" s="8"/>
    </row>
    <row r="34703" spans="17:17" x14ac:dyDescent="0.25">
      <c r="Q34703" s="8"/>
    </row>
    <row r="34704" spans="17:17" x14ac:dyDescent="0.25">
      <c r="Q34704" s="8"/>
    </row>
    <row r="34705" spans="17:17" x14ac:dyDescent="0.25">
      <c r="Q34705" s="8"/>
    </row>
    <row r="34706" spans="17:17" x14ac:dyDescent="0.25">
      <c r="Q34706" s="8"/>
    </row>
    <row r="34707" spans="17:17" x14ac:dyDescent="0.25">
      <c r="Q34707" s="8"/>
    </row>
    <row r="34708" spans="17:17" x14ac:dyDescent="0.25">
      <c r="Q34708" s="8"/>
    </row>
    <row r="34709" spans="17:17" x14ac:dyDescent="0.25">
      <c r="Q34709" s="8"/>
    </row>
    <row r="34710" spans="17:17" x14ac:dyDescent="0.25">
      <c r="Q34710" s="8"/>
    </row>
    <row r="34711" spans="17:17" x14ac:dyDescent="0.25">
      <c r="Q34711" s="8"/>
    </row>
    <row r="34712" spans="17:17" x14ac:dyDescent="0.25">
      <c r="Q34712" s="8"/>
    </row>
    <row r="34713" spans="17:17" x14ac:dyDescent="0.25">
      <c r="Q34713" s="8"/>
    </row>
    <row r="34714" spans="17:17" x14ac:dyDescent="0.25">
      <c r="Q34714" s="8"/>
    </row>
    <row r="34715" spans="17:17" x14ac:dyDescent="0.25">
      <c r="Q34715" s="8"/>
    </row>
    <row r="34716" spans="17:17" x14ac:dyDescent="0.25">
      <c r="Q34716" s="8"/>
    </row>
    <row r="34717" spans="17:17" x14ac:dyDescent="0.25">
      <c r="Q34717" s="8"/>
    </row>
    <row r="34718" spans="17:17" x14ac:dyDescent="0.25">
      <c r="Q34718" s="8"/>
    </row>
    <row r="34719" spans="17:17" x14ac:dyDescent="0.25">
      <c r="Q34719" s="8"/>
    </row>
    <row r="34720" spans="17:17" x14ac:dyDescent="0.25">
      <c r="Q34720" s="8"/>
    </row>
    <row r="34721" spans="17:17" x14ac:dyDescent="0.25">
      <c r="Q34721" s="8"/>
    </row>
    <row r="34722" spans="17:17" x14ac:dyDescent="0.25">
      <c r="Q34722" s="8"/>
    </row>
    <row r="34723" spans="17:17" x14ac:dyDescent="0.25">
      <c r="Q34723" s="8"/>
    </row>
    <row r="34724" spans="17:17" x14ac:dyDescent="0.25">
      <c r="Q34724" s="8"/>
    </row>
    <row r="34725" spans="17:17" x14ac:dyDescent="0.25">
      <c r="Q34725" s="8"/>
    </row>
    <row r="34726" spans="17:17" x14ac:dyDescent="0.25">
      <c r="Q34726" s="8"/>
    </row>
    <row r="34727" spans="17:17" x14ac:dyDescent="0.25">
      <c r="Q34727" s="8"/>
    </row>
    <row r="34728" spans="17:17" x14ac:dyDescent="0.25">
      <c r="Q34728" s="8"/>
    </row>
    <row r="34729" spans="17:17" x14ac:dyDescent="0.25">
      <c r="Q34729" s="8"/>
    </row>
    <row r="34730" spans="17:17" x14ac:dyDescent="0.25">
      <c r="Q34730" s="8"/>
    </row>
    <row r="34731" spans="17:17" x14ac:dyDescent="0.25">
      <c r="Q34731" s="8"/>
    </row>
    <row r="34732" spans="17:17" x14ac:dyDescent="0.25">
      <c r="Q34732" s="8"/>
    </row>
    <row r="34733" spans="17:17" x14ac:dyDescent="0.25">
      <c r="Q34733" s="8"/>
    </row>
    <row r="34734" spans="17:17" x14ac:dyDescent="0.25">
      <c r="Q34734" s="8"/>
    </row>
    <row r="34735" spans="17:17" x14ac:dyDescent="0.25">
      <c r="Q34735" s="8"/>
    </row>
    <row r="34736" spans="17:17" x14ac:dyDescent="0.25">
      <c r="Q34736" s="8"/>
    </row>
    <row r="34737" spans="17:17" x14ac:dyDescent="0.25">
      <c r="Q34737" s="8"/>
    </row>
    <row r="34738" spans="17:17" x14ac:dyDescent="0.25">
      <c r="Q34738" s="8"/>
    </row>
    <row r="34739" spans="17:17" x14ac:dyDescent="0.25">
      <c r="Q34739" s="8"/>
    </row>
    <row r="34740" spans="17:17" x14ac:dyDescent="0.25">
      <c r="Q34740" s="8"/>
    </row>
    <row r="34741" spans="17:17" x14ac:dyDescent="0.25">
      <c r="Q34741" s="8"/>
    </row>
    <row r="34742" spans="17:17" x14ac:dyDescent="0.25">
      <c r="Q34742" s="8"/>
    </row>
    <row r="34743" spans="17:17" x14ac:dyDescent="0.25">
      <c r="Q34743" s="8"/>
    </row>
    <row r="34744" spans="17:17" x14ac:dyDescent="0.25">
      <c r="Q34744" s="8"/>
    </row>
    <row r="34745" spans="17:17" x14ac:dyDescent="0.25">
      <c r="Q34745" s="8"/>
    </row>
    <row r="34746" spans="17:17" x14ac:dyDescent="0.25">
      <c r="Q34746" s="8"/>
    </row>
    <row r="34747" spans="17:17" x14ac:dyDescent="0.25">
      <c r="Q34747" s="8"/>
    </row>
    <row r="34748" spans="17:17" x14ac:dyDescent="0.25">
      <c r="Q34748" s="8"/>
    </row>
    <row r="34749" spans="17:17" x14ac:dyDescent="0.25">
      <c r="Q34749" s="8"/>
    </row>
    <row r="34750" spans="17:17" x14ac:dyDescent="0.25">
      <c r="Q34750" s="8"/>
    </row>
    <row r="34751" spans="17:17" x14ac:dyDescent="0.25">
      <c r="Q34751" s="8"/>
    </row>
    <row r="34752" spans="17:17" x14ac:dyDescent="0.25">
      <c r="Q34752" s="8"/>
    </row>
    <row r="34753" spans="17:17" x14ac:dyDescent="0.25">
      <c r="Q34753" s="8"/>
    </row>
    <row r="34754" spans="17:17" x14ac:dyDescent="0.25">
      <c r="Q34754" s="8"/>
    </row>
    <row r="34755" spans="17:17" x14ac:dyDescent="0.25">
      <c r="Q34755" s="8"/>
    </row>
    <row r="34756" spans="17:17" x14ac:dyDescent="0.25">
      <c r="Q34756" s="8"/>
    </row>
    <row r="34757" spans="17:17" x14ac:dyDescent="0.25">
      <c r="Q34757" s="8"/>
    </row>
    <row r="34758" spans="17:17" x14ac:dyDescent="0.25">
      <c r="Q34758" s="8"/>
    </row>
    <row r="34759" spans="17:17" x14ac:dyDescent="0.25">
      <c r="Q34759" s="8"/>
    </row>
    <row r="34760" spans="17:17" x14ac:dyDescent="0.25">
      <c r="Q34760" s="8"/>
    </row>
    <row r="34761" spans="17:17" x14ac:dyDescent="0.25">
      <c r="Q34761" s="8"/>
    </row>
    <row r="34762" spans="17:17" x14ac:dyDescent="0.25">
      <c r="Q34762" s="8"/>
    </row>
    <row r="34763" spans="17:17" x14ac:dyDescent="0.25">
      <c r="Q34763" s="8"/>
    </row>
    <row r="34764" spans="17:17" x14ac:dyDescent="0.25">
      <c r="Q34764" s="8"/>
    </row>
    <row r="34765" spans="17:17" x14ac:dyDescent="0.25">
      <c r="Q34765" s="8"/>
    </row>
    <row r="34766" spans="17:17" x14ac:dyDescent="0.25">
      <c r="Q34766" s="8"/>
    </row>
    <row r="34767" spans="17:17" x14ac:dyDescent="0.25">
      <c r="Q34767" s="8"/>
    </row>
    <row r="34768" spans="17:17" x14ac:dyDescent="0.25">
      <c r="Q34768" s="8"/>
    </row>
    <row r="34769" spans="17:17" x14ac:dyDescent="0.25">
      <c r="Q34769" s="8"/>
    </row>
    <row r="34770" spans="17:17" x14ac:dyDescent="0.25">
      <c r="Q34770" s="8"/>
    </row>
    <row r="34771" spans="17:17" x14ac:dyDescent="0.25">
      <c r="Q34771" s="8"/>
    </row>
    <row r="34772" spans="17:17" x14ac:dyDescent="0.25">
      <c r="Q34772" s="8"/>
    </row>
    <row r="34773" spans="17:17" x14ac:dyDescent="0.25">
      <c r="Q34773" s="8"/>
    </row>
    <row r="34774" spans="17:17" x14ac:dyDescent="0.25">
      <c r="Q34774" s="8"/>
    </row>
    <row r="34775" spans="17:17" x14ac:dyDescent="0.25">
      <c r="Q34775" s="8"/>
    </row>
    <row r="34776" spans="17:17" x14ac:dyDescent="0.25">
      <c r="Q34776" s="8"/>
    </row>
    <row r="34777" spans="17:17" x14ac:dyDescent="0.25">
      <c r="Q34777" s="8"/>
    </row>
    <row r="34778" spans="17:17" x14ac:dyDescent="0.25">
      <c r="Q34778" s="8"/>
    </row>
    <row r="34779" spans="17:17" x14ac:dyDescent="0.25">
      <c r="Q34779" s="8"/>
    </row>
    <row r="34780" spans="17:17" x14ac:dyDescent="0.25">
      <c r="Q34780" s="8"/>
    </row>
    <row r="34781" spans="17:17" x14ac:dyDescent="0.25">
      <c r="Q34781" s="8"/>
    </row>
    <row r="34782" spans="17:17" x14ac:dyDescent="0.25">
      <c r="Q34782" s="8"/>
    </row>
    <row r="34783" spans="17:17" x14ac:dyDescent="0.25">
      <c r="Q34783" s="8"/>
    </row>
    <row r="34784" spans="17:17" x14ac:dyDescent="0.25">
      <c r="Q34784" s="8"/>
    </row>
    <row r="34785" spans="17:17" x14ac:dyDescent="0.25">
      <c r="Q34785" s="8"/>
    </row>
    <row r="34786" spans="17:17" x14ac:dyDescent="0.25">
      <c r="Q34786" s="8"/>
    </row>
    <row r="34787" spans="17:17" x14ac:dyDescent="0.25">
      <c r="Q34787" s="8"/>
    </row>
    <row r="34788" spans="17:17" x14ac:dyDescent="0.25">
      <c r="Q34788" s="8"/>
    </row>
    <row r="34789" spans="17:17" x14ac:dyDescent="0.25">
      <c r="Q34789" s="8"/>
    </row>
    <row r="34790" spans="17:17" x14ac:dyDescent="0.25">
      <c r="Q34790" s="8"/>
    </row>
    <row r="34791" spans="17:17" x14ac:dyDescent="0.25">
      <c r="Q34791" s="8"/>
    </row>
    <row r="34792" spans="17:17" x14ac:dyDescent="0.25">
      <c r="Q34792" s="8"/>
    </row>
    <row r="34793" spans="17:17" x14ac:dyDescent="0.25">
      <c r="Q34793" s="8"/>
    </row>
    <row r="34794" spans="17:17" x14ac:dyDescent="0.25">
      <c r="Q34794" s="8"/>
    </row>
    <row r="34795" spans="17:17" x14ac:dyDescent="0.25">
      <c r="Q34795" s="8"/>
    </row>
    <row r="34796" spans="17:17" x14ac:dyDescent="0.25">
      <c r="Q34796" s="8"/>
    </row>
    <row r="34797" spans="17:17" x14ac:dyDescent="0.25">
      <c r="Q34797" s="8"/>
    </row>
    <row r="34798" spans="17:17" x14ac:dyDescent="0.25">
      <c r="Q34798" s="8"/>
    </row>
    <row r="34799" spans="17:17" x14ac:dyDescent="0.25">
      <c r="Q34799" s="8"/>
    </row>
    <row r="34800" spans="17:17" x14ac:dyDescent="0.25">
      <c r="Q34800" s="8"/>
    </row>
    <row r="34801" spans="17:17" x14ac:dyDescent="0.25">
      <c r="Q34801" s="8"/>
    </row>
    <row r="34802" spans="17:17" x14ac:dyDescent="0.25">
      <c r="Q34802" s="8"/>
    </row>
    <row r="34803" spans="17:17" x14ac:dyDescent="0.25">
      <c r="Q34803" s="8"/>
    </row>
    <row r="34804" spans="17:17" x14ac:dyDescent="0.25">
      <c r="Q34804" s="8"/>
    </row>
    <row r="34805" spans="17:17" x14ac:dyDescent="0.25">
      <c r="Q34805" s="8"/>
    </row>
    <row r="34806" spans="17:17" x14ac:dyDescent="0.25">
      <c r="Q34806" s="8"/>
    </row>
    <row r="34807" spans="17:17" x14ac:dyDescent="0.25">
      <c r="Q34807" s="8"/>
    </row>
    <row r="34808" spans="17:17" x14ac:dyDescent="0.25">
      <c r="Q34808" s="8"/>
    </row>
    <row r="34809" spans="17:17" x14ac:dyDescent="0.25">
      <c r="Q34809" s="8"/>
    </row>
    <row r="34810" spans="17:17" x14ac:dyDescent="0.25">
      <c r="Q34810" s="8"/>
    </row>
    <row r="34811" spans="17:17" x14ac:dyDescent="0.25">
      <c r="Q34811" s="8"/>
    </row>
    <row r="34812" spans="17:17" x14ac:dyDescent="0.25">
      <c r="Q34812" s="8"/>
    </row>
    <row r="34813" spans="17:17" x14ac:dyDescent="0.25">
      <c r="Q34813" s="8"/>
    </row>
    <row r="34814" spans="17:17" x14ac:dyDescent="0.25">
      <c r="Q34814" s="8"/>
    </row>
    <row r="34815" spans="17:17" x14ac:dyDescent="0.25">
      <c r="Q34815" s="8"/>
    </row>
    <row r="34816" spans="17:17" x14ac:dyDescent="0.25">
      <c r="Q34816" s="8"/>
    </row>
    <row r="34817" spans="17:17" x14ac:dyDescent="0.25">
      <c r="Q34817" s="8"/>
    </row>
    <row r="34818" spans="17:17" x14ac:dyDescent="0.25">
      <c r="Q34818" s="8"/>
    </row>
    <row r="34819" spans="17:17" x14ac:dyDescent="0.25">
      <c r="Q34819" s="8"/>
    </row>
    <row r="34820" spans="17:17" x14ac:dyDescent="0.25">
      <c r="Q34820" s="8"/>
    </row>
    <row r="34821" spans="17:17" x14ac:dyDescent="0.25">
      <c r="Q34821" s="8"/>
    </row>
    <row r="34822" spans="17:17" x14ac:dyDescent="0.25">
      <c r="Q34822" s="8"/>
    </row>
    <row r="34823" spans="17:17" x14ac:dyDescent="0.25">
      <c r="Q34823" s="8"/>
    </row>
    <row r="34824" spans="17:17" x14ac:dyDescent="0.25">
      <c r="Q34824" s="8"/>
    </row>
    <row r="34825" spans="17:17" x14ac:dyDescent="0.25">
      <c r="Q34825" s="8"/>
    </row>
    <row r="34826" spans="17:17" x14ac:dyDescent="0.25">
      <c r="Q34826" s="8"/>
    </row>
    <row r="34827" spans="17:17" x14ac:dyDescent="0.25">
      <c r="Q34827" s="8"/>
    </row>
    <row r="34828" spans="17:17" x14ac:dyDescent="0.25">
      <c r="Q34828" s="8"/>
    </row>
    <row r="34829" spans="17:17" x14ac:dyDescent="0.25">
      <c r="Q34829" s="8"/>
    </row>
    <row r="34830" spans="17:17" x14ac:dyDescent="0.25">
      <c r="Q34830" s="8"/>
    </row>
    <row r="34831" spans="17:17" x14ac:dyDescent="0.25">
      <c r="Q34831" s="8"/>
    </row>
    <row r="34832" spans="17:17" x14ac:dyDescent="0.25">
      <c r="Q34832" s="8"/>
    </row>
    <row r="34833" spans="17:17" x14ac:dyDescent="0.25">
      <c r="Q34833" s="8"/>
    </row>
    <row r="34834" spans="17:17" x14ac:dyDescent="0.25">
      <c r="Q34834" s="8"/>
    </row>
    <row r="34835" spans="17:17" x14ac:dyDescent="0.25">
      <c r="Q34835" s="8"/>
    </row>
    <row r="34836" spans="17:17" x14ac:dyDescent="0.25">
      <c r="Q34836" s="8"/>
    </row>
    <row r="34837" spans="17:17" x14ac:dyDescent="0.25">
      <c r="Q34837" s="8"/>
    </row>
    <row r="34838" spans="17:17" x14ac:dyDescent="0.25">
      <c r="Q34838" s="8"/>
    </row>
    <row r="34839" spans="17:17" x14ac:dyDescent="0.25">
      <c r="Q34839" s="8"/>
    </row>
    <row r="34840" spans="17:17" x14ac:dyDescent="0.25">
      <c r="Q34840" s="8"/>
    </row>
    <row r="34841" spans="17:17" x14ac:dyDescent="0.25">
      <c r="Q34841" s="8"/>
    </row>
    <row r="34842" spans="17:17" x14ac:dyDescent="0.25">
      <c r="Q34842" s="8"/>
    </row>
    <row r="34843" spans="17:17" x14ac:dyDescent="0.25">
      <c r="Q34843" s="8"/>
    </row>
    <row r="34844" spans="17:17" x14ac:dyDescent="0.25">
      <c r="Q34844" s="8"/>
    </row>
    <row r="34845" spans="17:17" x14ac:dyDescent="0.25">
      <c r="Q34845" s="8"/>
    </row>
    <row r="34846" spans="17:17" x14ac:dyDescent="0.25">
      <c r="Q34846" s="8"/>
    </row>
    <row r="34847" spans="17:17" x14ac:dyDescent="0.25">
      <c r="Q34847" s="8"/>
    </row>
    <row r="34848" spans="17:17" x14ac:dyDescent="0.25">
      <c r="Q34848" s="8"/>
    </row>
    <row r="34849" spans="17:17" x14ac:dyDescent="0.25">
      <c r="Q34849" s="8"/>
    </row>
    <row r="34850" spans="17:17" x14ac:dyDescent="0.25">
      <c r="Q34850" s="8"/>
    </row>
    <row r="34851" spans="17:17" x14ac:dyDescent="0.25">
      <c r="Q34851" s="8"/>
    </row>
    <row r="34852" spans="17:17" x14ac:dyDescent="0.25">
      <c r="Q34852" s="8"/>
    </row>
    <row r="34853" spans="17:17" x14ac:dyDescent="0.25">
      <c r="Q34853" s="8"/>
    </row>
    <row r="34854" spans="17:17" x14ac:dyDescent="0.25">
      <c r="Q34854" s="8"/>
    </row>
    <row r="34855" spans="17:17" x14ac:dyDescent="0.25">
      <c r="Q34855" s="8"/>
    </row>
    <row r="34856" spans="17:17" x14ac:dyDescent="0.25">
      <c r="Q34856" s="8"/>
    </row>
    <row r="34857" spans="17:17" x14ac:dyDescent="0.25">
      <c r="Q34857" s="8"/>
    </row>
    <row r="34858" spans="17:17" x14ac:dyDescent="0.25">
      <c r="Q34858" s="8"/>
    </row>
    <row r="34859" spans="17:17" x14ac:dyDescent="0.25">
      <c r="Q34859" s="8"/>
    </row>
    <row r="34860" spans="17:17" x14ac:dyDescent="0.25">
      <c r="Q34860" s="8"/>
    </row>
    <row r="34861" spans="17:17" x14ac:dyDescent="0.25">
      <c r="Q34861" s="8"/>
    </row>
    <row r="34862" spans="17:17" x14ac:dyDescent="0.25">
      <c r="Q34862" s="8"/>
    </row>
    <row r="34863" spans="17:17" x14ac:dyDescent="0.25">
      <c r="Q34863" s="8"/>
    </row>
    <row r="34864" spans="17:17" x14ac:dyDescent="0.25">
      <c r="Q34864" s="8"/>
    </row>
    <row r="34865" spans="17:17" x14ac:dyDescent="0.25">
      <c r="Q34865" s="8"/>
    </row>
    <row r="34866" spans="17:17" x14ac:dyDescent="0.25">
      <c r="Q34866" s="8"/>
    </row>
    <row r="34867" spans="17:17" x14ac:dyDescent="0.25">
      <c r="Q34867" s="8"/>
    </row>
    <row r="34868" spans="17:17" x14ac:dyDescent="0.25">
      <c r="Q34868" s="8"/>
    </row>
    <row r="34869" spans="17:17" x14ac:dyDescent="0.25">
      <c r="Q34869" s="8"/>
    </row>
    <row r="34870" spans="17:17" x14ac:dyDescent="0.25">
      <c r="Q34870" s="8"/>
    </row>
    <row r="34871" spans="17:17" x14ac:dyDescent="0.25">
      <c r="Q34871" s="8"/>
    </row>
    <row r="34872" spans="17:17" x14ac:dyDescent="0.25">
      <c r="Q34872" s="8"/>
    </row>
    <row r="34873" spans="17:17" x14ac:dyDescent="0.25">
      <c r="Q34873" s="8"/>
    </row>
    <row r="34874" spans="17:17" x14ac:dyDescent="0.25">
      <c r="Q34874" s="8"/>
    </row>
    <row r="34875" spans="17:17" x14ac:dyDescent="0.25">
      <c r="Q34875" s="8"/>
    </row>
    <row r="34876" spans="17:17" x14ac:dyDescent="0.25">
      <c r="Q34876" s="8"/>
    </row>
    <row r="34877" spans="17:17" x14ac:dyDescent="0.25">
      <c r="Q34877" s="8"/>
    </row>
    <row r="34878" spans="17:17" x14ac:dyDescent="0.25">
      <c r="Q34878" s="8"/>
    </row>
    <row r="34879" spans="17:17" x14ac:dyDescent="0.25">
      <c r="Q34879" s="8"/>
    </row>
    <row r="34880" spans="17:17" x14ac:dyDescent="0.25">
      <c r="Q34880" s="8"/>
    </row>
    <row r="34881" spans="17:17" x14ac:dyDescent="0.25">
      <c r="Q34881" s="8"/>
    </row>
    <row r="34882" spans="17:17" x14ac:dyDescent="0.25">
      <c r="Q34882" s="8"/>
    </row>
    <row r="34883" spans="17:17" x14ac:dyDescent="0.25">
      <c r="Q34883" s="8"/>
    </row>
    <row r="34884" spans="17:17" x14ac:dyDescent="0.25">
      <c r="Q34884" s="8"/>
    </row>
    <row r="34885" spans="17:17" x14ac:dyDescent="0.25">
      <c r="Q34885" s="8"/>
    </row>
    <row r="34886" spans="17:17" x14ac:dyDescent="0.25">
      <c r="Q34886" s="8"/>
    </row>
    <row r="34887" spans="17:17" x14ac:dyDescent="0.25">
      <c r="Q34887" s="8"/>
    </row>
    <row r="34888" spans="17:17" x14ac:dyDescent="0.25">
      <c r="Q34888" s="8"/>
    </row>
    <row r="34889" spans="17:17" x14ac:dyDescent="0.25">
      <c r="Q34889" s="8"/>
    </row>
    <row r="34890" spans="17:17" x14ac:dyDescent="0.25">
      <c r="Q34890" s="8"/>
    </row>
    <row r="34891" spans="17:17" x14ac:dyDescent="0.25">
      <c r="Q34891" s="8"/>
    </row>
    <row r="34892" spans="17:17" x14ac:dyDescent="0.25">
      <c r="Q34892" s="8"/>
    </row>
    <row r="34893" spans="17:17" x14ac:dyDescent="0.25">
      <c r="Q34893" s="8"/>
    </row>
    <row r="34894" spans="17:17" x14ac:dyDescent="0.25">
      <c r="Q34894" s="8"/>
    </row>
    <row r="34895" spans="17:17" x14ac:dyDescent="0.25">
      <c r="Q34895" s="8"/>
    </row>
    <row r="34896" spans="17:17" x14ac:dyDescent="0.25">
      <c r="Q34896" s="8"/>
    </row>
    <row r="34897" spans="17:17" x14ac:dyDescent="0.25">
      <c r="Q34897" s="8"/>
    </row>
    <row r="34898" spans="17:17" x14ac:dyDescent="0.25">
      <c r="Q34898" s="8"/>
    </row>
    <row r="34899" spans="17:17" x14ac:dyDescent="0.25">
      <c r="Q34899" s="8"/>
    </row>
    <row r="34900" spans="17:17" x14ac:dyDescent="0.25">
      <c r="Q34900" s="8"/>
    </row>
    <row r="34901" spans="17:17" x14ac:dyDescent="0.25">
      <c r="Q34901" s="8"/>
    </row>
    <row r="34902" spans="17:17" x14ac:dyDescent="0.25">
      <c r="Q34902" s="8"/>
    </row>
    <row r="34903" spans="17:17" x14ac:dyDescent="0.25">
      <c r="Q34903" s="8"/>
    </row>
    <row r="34904" spans="17:17" x14ac:dyDescent="0.25">
      <c r="Q34904" s="8"/>
    </row>
    <row r="34905" spans="17:17" x14ac:dyDescent="0.25">
      <c r="Q34905" s="8"/>
    </row>
    <row r="34906" spans="17:17" x14ac:dyDescent="0.25">
      <c r="Q34906" s="8"/>
    </row>
    <row r="34907" spans="17:17" x14ac:dyDescent="0.25">
      <c r="Q34907" s="8"/>
    </row>
    <row r="34908" spans="17:17" x14ac:dyDescent="0.25">
      <c r="Q34908" s="8"/>
    </row>
    <row r="34909" spans="17:17" x14ac:dyDescent="0.25">
      <c r="Q34909" s="8"/>
    </row>
    <row r="34910" spans="17:17" x14ac:dyDescent="0.25">
      <c r="Q34910" s="8"/>
    </row>
    <row r="34911" spans="17:17" x14ac:dyDescent="0.25">
      <c r="Q34911" s="8"/>
    </row>
    <row r="34912" spans="17:17" x14ac:dyDescent="0.25">
      <c r="Q34912" s="8"/>
    </row>
    <row r="34913" spans="17:17" x14ac:dyDescent="0.25">
      <c r="Q34913" s="8"/>
    </row>
    <row r="34914" spans="17:17" x14ac:dyDescent="0.25">
      <c r="Q34914" s="8"/>
    </row>
    <row r="34915" spans="17:17" x14ac:dyDescent="0.25">
      <c r="Q34915" s="8"/>
    </row>
    <row r="34916" spans="17:17" x14ac:dyDescent="0.25">
      <c r="Q34916" s="8"/>
    </row>
    <row r="34917" spans="17:17" x14ac:dyDescent="0.25">
      <c r="Q34917" s="8"/>
    </row>
    <row r="34918" spans="17:17" x14ac:dyDescent="0.25">
      <c r="Q34918" s="8"/>
    </row>
    <row r="34919" spans="17:17" x14ac:dyDescent="0.25">
      <c r="Q34919" s="8"/>
    </row>
    <row r="34920" spans="17:17" x14ac:dyDescent="0.25">
      <c r="Q34920" s="8"/>
    </row>
    <row r="34921" spans="17:17" x14ac:dyDescent="0.25">
      <c r="Q34921" s="8"/>
    </row>
    <row r="34922" spans="17:17" x14ac:dyDescent="0.25">
      <c r="Q34922" s="8"/>
    </row>
    <row r="34923" spans="17:17" x14ac:dyDescent="0.25">
      <c r="Q34923" s="8"/>
    </row>
    <row r="34924" spans="17:17" x14ac:dyDescent="0.25">
      <c r="Q34924" s="8"/>
    </row>
    <row r="34925" spans="17:17" x14ac:dyDescent="0.25">
      <c r="Q34925" s="8"/>
    </row>
    <row r="34926" spans="17:17" x14ac:dyDescent="0.25">
      <c r="Q34926" s="8"/>
    </row>
    <row r="34927" spans="17:17" x14ac:dyDescent="0.25">
      <c r="Q34927" s="8"/>
    </row>
    <row r="34928" spans="17:17" x14ac:dyDescent="0.25">
      <c r="Q34928" s="8"/>
    </row>
    <row r="34929" spans="17:17" x14ac:dyDescent="0.25">
      <c r="Q34929" s="8"/>
    </row>
    <row r="34930" spans="17:17" x14ac:dyDescent="0.25">
      <c r="Q34930" s="8"/>
    </row>
    <row r="34931" spans="17:17" x14ac:dyDescent="0.25">
      <c r="Q34931" s="8"/>
    </row>
    <row r="34932" spans="17:17" x14ac:dyDescent="0.25">
      <c r="Q34932" s="8"/>
    </row>
    <row r="34933" spans="17:17" x14ac:dyDescent="0.25">
      <c r="Q34933" s="8"/>
    </row>
    <row r="34934" spans="17:17" x14ac:dyDescent="0.25">
      <c r="Q34934" s="8"/>
    </row>
    <row r="34935" spans="17:17" x14ac:dyDescent="0.25">
      <c r="Q34935" s="8"/>
    </row>
    <row r="34936" spans="17:17" x14ac:dyDescent="0.25">
      <c r="Q34936" s="8"/>
    </row>
    <row r="34937" spans="17:17" x14ac:dyDescent="0.25">
      <c r="Q34937" s="8"/>
    </row>
    <row r="34938" spans="17:17" x14ac:dyDescent="0.25">
      <c r="Q34938" s="8"/>
    </row>
    <row r="34939" spans="17:17" x14ac:dyDescent="0.25">
      <c r="Q34939" s="8"/>
    </row>
    <row r="34940" spans="17:17" x14ac:dyDescent="0.25">
      <c r="Q34940" s="8"/>
    </row>
    <row r="34941" spans="17:17" x14ac:dyDescent="0.25">
      <c r="Q34941" s="8"/>
    </row>
    <row r="34942" spans="17:17" x14ac:dyDescent="0.25">
      <c r="Q34942" s="8"/>
    </row>
    <row r="34943" spans="17:17" x14ac:dyDescent="0.25">
      <c r="Q34943" s="8"/>
    </row>
    <row r="34944" spans="17:17" x14ac:dyDescent="0.25">
      <c r="Q34944" s="8"/>
    </row>
    <row r="34945" spans="17:17" x14ac:dyDescent="0.25">
      <c r="Q34945" s="8"/>
    </row>
    <row r="34946" spans="17:17" x14ac:dyDescent="0.25">
      <c r="Q34946" s="8"/>
    </row>
    <row r="34947" spans="17:17" x14ac:dyDescent="0.25">
      <c r="Q34947" s="8"/>
    </row>
    <row r="34948" spans="17:17" x14ac:dyDescent="0.25">
      <c r="Q34948" s="8"/>
    </row>
    <row r="34949" spans="17:17" x14ac:dyDescent="0.25">
      <c r="Q34949" s="8"/>
    </row>
    <row r="34950" spans="17:17" x14ac:dyDescent="0.25">
      <c r="Q34950" s="8"/>
    </row>
    <row r="34951" spans="17:17" x14ac:dyDescent="0.25">
      <c r="Q34951" s="8"/>
    </row>
    <row r="34952" spans="17:17" x14ac:dyDescent="0.25">
      <c r="Q34952" s="8"/>
    </row>
    <row r="34953" spans="17:17" x14ac:dyDescent="0.25">
      <c r="Q34953" s="8"/>
    </row>
    <row r="34954" spans="17:17" x14ac:dyDescent="0.25">
      <c r="Q34954" s="8"/>
    </row>
    <row r="34955" spans="17:17" x14ac:dyDescent="0.25">
      <c r="Q34955" s="8"/>
    </row>
    <row r="34956" spans="17:17" x14ac:dyDescent="0.25">
      <c r="Q34956" s="8"/>
    </row>
    <row r="34957" spans="17:17" x14ac:dyDescent="0.25">
      <c r="Q34957" s="8"/>
    </row>
    <row r="34958" spans="17:17" x14ac:dyDescent="0.25">
      <c r="Q34958" s="8"/>
    </row>
    <row r="34959" spans="17:17" x14ac:dyDescent="0.25">
      <c r="Q34959" s="8"/>
    </row>
    <row r="34960" spans="17:17" x14ac:dyDescent="0.25">
      <c r="Q34960" s="8"/>
    </row>
    <row r="34961" spans="17:17" x14ac:dyDescent="0.25">
      <c r="Q34961" s="8"/>
    </row>
    <row r="34962" spans="17:17" x14ac:dyDescent="0.25">
      <c r="Q34962" s="8"/>
    </row>
    <row r="34963" spans="17:17" x14ac:dyDescent="0.25">
      <c r="Q34963" s="8"/>
    </row>
    <row r="34964" spans="17:17" x14ac:dyDescent="0.25">
      <c r="Q34964" s="8"/>
    </row>
    <row r="34965" spans="17:17" x14ac:dyDescent="0.25">
      <c r="Q34965" s="8"/>
    </row>
    <row r="34966" spans="17:17" x14ac:dyDescent="0.25">
      <c r="Q34966" s="8"/>
    </row>
    <row r="34967" spans="17:17" x14ac:dyDescent="0.25">
      <c r="Q34967" s="8"/>
    </row>
    <row r="34968" spans="17:17" x14ac:dyDescent="0.25">
      <c r="Q34968" s="8"/>
    </row>
    <row r="34969" spans="17:17" x14ac:dyDescent="0.25">
      <c r="Q34969" s="8"/>
    </row>
    <row r="34970" spans="17:17" x14ac:dyDescent="0.25">
      <c r="Q34970" s="8"/>
    </row>
    <row r="34971" spans="17:17" x14ac:dyDescent="0.25">
      <c r="Q34971" s="8"/>
    </row>
    <row r="34972" spans="17:17" x14ac:dyDescent="0.25">
      <c r="Q34972" s="8"/>
    </row>
    <row r="34973" spans="17:17" x14ac:dyDescent="0.25">
      <c r="Q34973" s="8"/>
    </row>
    <row r="34974" spans="17:17" x14ac:dyDescent="0.25">
      <c r="Q34974" s="8"/>
    </row>
    <row r="34975" spans="17:17" x14ac:dyDescent="0.25">
      <c r="Q34975" s="8"/>
    </row>
    <row r="34976" spans="17:17" x14ac:dyDescent="0.25">
      <c r="Q34976" s="8"/>
    </row>
    <row r="34977" spans="17:17" x14ac:dyDescent="0.25">
      <c r="Q34977" s="8"/>
    </row>
    <row r="34978" spans="17:17" x14ac:dyDescent="0.25">
      <c r="Q34978" s="8"/>
    </row>
    <row r="34979" spans="17:17" x14ac:dyDescent="0.25">
      <c r="Q34979" s="8"/>
    </row>
    <row r="34980" spans="17:17" x14ac:dyDescent="0.25">
      <c r="Q34980" s="8"/>
    </row>
    <row r="34981" spans="17:17" x14ac:dyDescent="0.25">
      <c r="Q34981" s="8"/>
    </row>
    <row r="34982" spans="17:17" x14ac:dyDescent="0.25">
      <c r="Q34982" s="8"/>
    </row>
    <row r="34983" spans="17:17" x14ac:dyDescent="0.25">
      <c r="Q34983" s="8"/>
    </row>
    <row r="34984" spans="17:17" x14ac:dyDescent="0.25">
      <c r="Q34984" s="8"/>
    </row>
    <row r="34985" spans="17:17" x14ac:dyDescent="0.25">
      <c r="Q34985" s="8"/>
    </row>
    <row r="34986" spans="17:17" x14ac:dyDescent="0.25">
      <c r="Q34986" s="8"/>
    </row>
    <row r="34987" spans="17:17" x14ac:dyDescent="0.25">
      <c r="Q34987" s="8"/>
    </row>
    <row r="34988" spans="17:17" x14ac:dyDescent="0.25">
      <c r="Q34988" s="8"/>
    </row>
    <row r="34989" spans="17:17" x14ac:dyDescent="0.25">
      <c r="Q34989" s="8"/>
    </row>
    <row r="34990" spans="17:17" x14ac:dyDescent="0.25">
      <c r="Q34990" s="8"/>
    </row>
    <row r="34991" spans="17:17" x14ac:dyDescent="0.25">
      <c r="Q34991" s="8"/>
    </row>
    <row r="34992" spans="17:17" x14ac:dyDescent="0.25">
      <c r="Q34992" s="8"/>
    </row>
    <row r="34993" spans="17:17" x14ac:dyDescent="0.25">
      <c r="Q34993" s="8"/>
    </row>
    <row r="34994" spans="17:17" x14ac:dyDescent="0.25">
      <c r="Q34994" s="8"/>
    </row>
    <row r="34995" spans="17:17" x14ac:dyDescent="0.25">
      <c r="Q34995" s="8"/>
    </row>
    <row r="34996" spans="17:17" x14ac:dyDescent="0.25">
      <c r="Q34996" s="8"/>
    </row>
    <row r="34997" spans="17:17" x14ac:dyDescent="0.25">
      <c r="Q34997" s="8"/>
    </row>
    <row r="34998" spans="17:17" x14ac:dyDescent="0.25">
      <c r="Q34998" s="8"/>
    </row>
    <row r="34999" spans="17:17" x14ac:dyDescent="0.25">
      <c r="Q34999" s="8"/>
    </row>
    <row r="35000" spans="17:17" x14ac:dyDescent="0.25">
      <c r="Q35000" s="8"/>
    </row>
    <row r="35001" spans="17:17" x14ac:dyDescent="0.25">
      <c r="Q35001" s="8"/>
    </row>
    <row r="35002" spans="17:17" x14ac:dyDescent="0.25">
      <c r="Q35002" s="8"/>
    </row>
    <row r="35003" spans="17:17" x14ac:dyDescent="0.25">
      <c r="Q35003" s="8"/>
    </row>
    <row r="35004" spans="17:17" x14ac:dyDescent="0.25">
      <c r="Q35004" s="8"/>
    </row>
    <row r="35005" spans="17:17" x14ac:dyDescent="0.25">
      <c r="Q35005" s="8"/>
    </row>
    <row r="35006" spans="17:17" x14ac:dyDescent="0.25">
      <c r="Q35006" s="8"/>
    </row>
    <row r="35007" spans="17:17" x14ac:dyDescent="0.25">
      <c r="Q35007" s="8"/>
    </row>
    <row r="35008" spans="17:17" x14ac:dyDescent="0.25">
      <c r="Q35008" s="8"/>
    </row>
    <row r="35009" spans="17:17" x14ac:dyDescent="0.25">
      <c r="Q35009" s="8"/>
    </row>
    <row r="35010" spans="17:17" x14ac:dyDescent="0.25">
      <c r="Q35010" s="8"/>
    </row>
    <row r="35011" spans="17:17" x14ac:dyDescent="0.25">
      <c r="Q35011" s="8"/>
    </row>
    <row r="35012" spans="17:17" x14ac:dyDescent="0.25">
      <c r="Q35012" s="8"/>
    </row>
    <row r="35013" spans="17:17" x14ac:dyDescent="0.25">
      <c r="Q35013" s="8"/>
    </row>
    <row r="35014" spans="17:17" x14ac:dyDescent="0.25">
      <c r="Q35014" s="8"/>
    </row>
    <row r="35015" spans="17:17" x14ac:dyDescent="0.25">
      <c r="Q35015" s="8"/>
    </row>
    <row r="35016" spans="17:17" x14ac:dyDescent="0.25">
      <c r="Q35016" s="8"/>
    </row>
    <row r="35017" spans="17:17" x14ac:dyDescent="0.25">
      <c r="Q35017" s="8"/>
    </row>
    <row r="35018" spans="17:17" x14ac:dyDescent="0.25">
      <c r="Q35018" s="8"/>
    </row>
    <row r="35019" spans="17:17" x14ac:dyDescent="0.25">
      <c r="Q35019" s="8"/>
    </row>
    <row r="35020" spans="17:17" x14ac:dyDescent="0.25">
      <c r="Q35020" s="8"/>
    </row>
    <row r="35021" spans="17:17" x14ac:dyDescent="0.25">
      <c r="Q35021" s="8"/>
    </row>
    <row r="35022" spans="17:17" x14ac:dyDescent="0.25">
      <c r="Q35022" s="8"/>
    </row>
    <row r="35023" spans="17:17" x14ac:dyDescent="0.25">
      <c r="Q35023" s="8"/>
    </row>
    <row r="35024" spans="17:17" x14ac:dyDescent="0.25">
      <c r="Q35024" s="8"/>
    </row>
    <row r="35025" spans="17:17" x14ac:dyDescent="0.25">
      <c r="Q35025" s="8"/>
    </row>
    <row r="35026" spans="17:17" x14ac:dyDescent="0.25">
      <c r="Q35026" s="8"/>
    </row>
    <row r="35027" spans="17:17" x14ac:dyDescent="0.25">
      <c r="Q35027" s="8"/>
    </row>
    <row r="35028" spans="17:17" x14ac:dyDescent="0.25">
      <c r="Q35028" s="8"/>
    </row>
    <row r="35029" spans="17:17" x14ac:dyDescent="0.25">
      <c r="Q35029" s="8"/>
    </row>
    <row r="35030" spans="17:17" x14ac:dyDescent="0.25">
      <c r="Q35030" s="8"/>
    </row>
    <row r="35031" spans="17:17" x14ac:dyDescent="0.25">
      <c r="Q35031" s="8"/>
    </row>
    <row r="35032" spans="17:17" x14ac:dyDescent="0.25">
      <c r="Q35032" s="8"/>
    </row>
    <row r="35033" spans="17:17" x14ac:dyDescent="0.25">
      <c r="Q35033" s="8"/>
    </row>
    <row r="35034" spans="17:17" x14ac:dyDescent="0.25">
      <c r="Q35034" s="8"/>
    </row>
    <row r="35035" spans="17:17" x14ac:dyDescent="0.25">
      <c r="Q35035" s="8"/>
    </row>
    <row r="35036" spans="17:17" x14ac:dyDescent="0.25">
      <c r="Q35036" s="8"/>
    </row>
    <row r="35037" spans="17:17" x14ac:dyDescent="0.25">
      <c r="Q35037" s="8"/>
    </row>
    <row r="35038" spans="17:17" x14ac:dyDescent="0.25">
      <c r="Q35038" s="8"/>
    </row>
    <row r="35039" spans="17:17" x14ac:dyDescent="0.25">
      <c r="Q35039" s="8"/>
    </row>
    <row r="35040" spans="17:17" x14ac:dyDescent="0.25">
      <c r="Q35040" s="8"/>
    </row>
    <row r="35041" spans="17:17" x14ac:dyDescent="0.25">
      <c r="Q35041" s="8"/>
    </row>
    <row r="35042" spans="17:17" x14ac:dyDescent="0.25">
      <c r="Q35042" s="8"/>
    </row>
    <row r="35043" spans="17:17" x14ac:dyDescent="0.25">
      <c r="Q35043" s="8"/>
    </row>
    <row r="35044" spans="17:17" x14ac:dyDescent="0.25">
      <c r="Q35044" s="8"/>
    </row>
    <row r="35045" spans="17:17" x14ac:dyDescent="0.25">
      <c r="Q35045" s="8"/>
    </row>
    <row r="35046" spans="17:17" x14ac:dyDescent="0.25">
      <c r="Q35046" s="8"/>
    </row>
    <row r="35047" spans="17:17" x14ac:dyDescent="0.25">
      <c r="Q35047" s="8"/>
    </row>
    <row r="35048" spans="17:17" x14ac:dyDescent="0.25">
      <c r="Q35048" s="8"/>
    </row>
    <row r="35049" spans="17:17" x14ac:dyDescent="0.25">
      <c r="Q35049" s="8"/>
    </row>
    <row r="35050" spans="17:17" x14ac:dyDescent="0.25">
      <c r="Q35050" s="8"/>
    </row>
    <row r="35051" spans="17:17" x14ac:dyDescent="0.25">
      <c r="Q35051" s="8"/>
    </row>
    <row r="35052" spans="17:17" x14ac:dyDescent="0.25">
      <c r="Q35052" s="8"/>
    </row>
    <row r="35053" spans="17:17" x14ac:dyDescent="0.25">
      <c r="Q35053" s="8"/>
    </row>
    <row r="35054" spans="17:17" x14ac:dyDescent="0.25">
      <c r="Q35054" s="8"/>
    </row>
    <row r="35055" spans="17:17" x14ac:dyDescent="0.25">
      <c r="Q35055" s="8"/>
    </row>
    <row r="35056" spans="17:17" x14ac:dyDescent="0.25">
      <c r="Q35056" s="8"/>
    </row>
    <row r="35057" spans="17:17" x14ac:dyDescent="0.25">
      <c r="Q35057" s="8"/>
    </row>
    <row r="35058" spans="17:17" x14ac:dyDescent="0.25">
      <c r="Q35058" s="8"/>
    </row>
    <row r="35059" spans="17:17" x14ac:dyDescent="0.25">
      <c r="Q35059" s="8"/>
    </row>
    <row r="35060" spans="17:17" x14ac:dyDescent="0.25">
      <c r="Q35060" s="8"/>
    </row>
    <row r="35061" spans="17:17" x14ac:dyDescent="0.25">
      <c r="Q35061" s="8"/>
    </row>
    <row r="35062" spans="17:17" x14ac:dyDescent="0.25">
      <c r="Q35062" s="8"/>
    </row>
    <row r="35063" spans="17:17" x14ac:dyDescent="0.25">
      <c r="Q35063" s="8"/>
    </row>
    <row r="35064" spans="17:17" x14ac:dyDescent="0.25">
      <c r="Q35064" s="8"/>
    </row>
    <row r="35065" spans="17:17" x14ac:dyDescent="0.25">
      <c r="Q35065" s="8"/>
    </row>
    <row r="35066" spans="17:17" x14ac:dyDescent="0.25">
      <c r="Q35066" s="8"/>
    </row>
    <row r="35067" spans="17:17" x14ac:dyDescent="0.25">
      <c r="Q35067" s="8"/>
    </row>
    <row r="35068" spans="17:17" x14ac:dyDescent="0.25">
      <c r="Q35068" s="8"/>
    </row>
    <row r="35069" spans="17:17" x14ac:dyDescent="0.25">
      <c r="Q35069" s="8"/>
    </row>
    <row r="35070" spans="17:17" x14ac:dyDescent="0.25">
      <c r="Q35070" s="8"/>
    </row>
    <row r="35071" spans="17:17" x14ac:dyDescent="0.25">
      <c r="Q35071" s="8"/>
    </row>
    <row r="35072" spans="17:17" x14ac:dyDescent="0.25">
      <c r="Q35072" s="8"/>
    </row>
    <row r="35073" spans="17:17" x14ac:dyDescent="0.25">
      <c r="Q35073" s="8"/>
    </row>
    <row r="35074" spans="17:17" x14ac:dyDescent="0.25">
      <c r="Q35074" s="8"/>
    </row>
    <row r="35075" spans="17:17" x14ac:dyDescent="0.25">
      <c r="Q35075" s="8"/>
    </row>
    <row r="35076" spans="17:17" x14ac:dyDescent="0.25">
      <c r="Q35076" s="8"/>
    </row>
    <row r="35077" spans="17:17" x14ac:dyDescent="0.25">
      <c r="Q35077" s="8"/>
    </row>
    <row r="35078" spans="17:17" x14ac:dyDescent="0.25">
      <c r="Q35078" s="8"/>
    </row>
    <row r="35079" spans="17:17" x14ac:dyDescent="0.25">
      <c r="Q35079" s="8"/>
    </row>
    <row r="35080" spans="17:17" x14ac:dyDescent="0.25">
      <c r="Q35080" s="8"/>
    </row>
    <row r="35081" spans="17:17" x14ac:dyDescent="0.25">
      <c r="Q35081" s="8"/>
    </row>
    <row r="35082" spans="17:17" x14ac:dyDescent="0.25">
      <c r="Q35082" s="8"/>
    </row>
    <row r="35083" spans="17:17" x14ac:dyDescent="0.25">
      <c r="Q35083" s="8"/>
    </row>
    <row r="35084" spans="17:17" x14ac:dyDescent="0.25">
      <c r="Q35084" s="8"/>
    </row>
    <row r="35085" spans="17:17" x14ac:dyDescent="0.25">
      <c r="Q35085" s="8"/>
    </row>
    <row r="35086" spans="17:17" x14ac:dyDescent="0.25">
      <c r="Q35086" s="8"/>
    </row>
    <row r="35087" spans="17:17" x14ac:dyDescent="0.25">
      <c r="Q35087" s="8"/>
    </row>
    <row r="35088" spans="17:17" x14ac:dyDescent="0.25">
      <c r="Q35088" s="8"/>
    </row>
    <row r="35089" spans="17:17" x14ac:dyDescent="0.25">
      <c r="Q35089" s="8"/>
    </row>
    <row r="35090" spans="17:17" x14ac:dyDescent="0.25">
      <c r="Q35090" s="8"/>
    </row>
    <row r="35091" spans="17:17" x14ac:dyDescent="0.25">
      <c r="Q35091" s="8"/>
    </row>
    <row r="35092" spans="17:17" x14ac:dyDescent="0.25">
      <c r="Q35092" s="8"/>
    </row>
    <row r="35093" spans="17:17" x14ac:dyDescent="0.25">
      <c r="Q35093" s="8"/>
    </row>
    <row r="35094" spans="17:17" x14ac:dyDescent="0.25">
      <c r="Q35094" s="8"/>
    </row>
    <row r="35095" spans="17:17" x14ac:dyDescent="0.25">
      <c r="Q35095" s="8"/>
    </row>
    <row r="35096" spans="17:17" x14ac:dyDescent="0.25">
      <c r="Q35096" s="8"/>
    </row>
    <row r="35097" spans="17:17" x14ac:dyDescent="0.25">
      <c r="Q35097" s="8"/>
    </row>
    <row r="35098" spans="17:17" x14ac:dyDescent="0.25">
      <c r="Q35098" s="8"/>
    </row>
    <row r="35099" spans="17:17" x14ac:dyDescent="0.25">
      <c r="Q35099" s="8"/>
    </row>
    <row r="35100" spans="17:17" x14ac:dyDescent="0.25">
      <c r="Q35100" s="8"/>
    </row>
    <row r="35101" spans="17:17" x14ac:dyDescent="0.25">
      <c r="Q35101" s="8"/>
    </row>
    <row r="35102" spans="17:17" x14ac:dyDescent="0.25">
      <c r="Q35102" s="8"/>
    </row>
    <row r="35103" spans="17:17" x14ac:dyDescent="0.25">
      <c r="Q35103" s="8"/>
    </row>
    <row r="35104" spans="17:17" x14ac:dyDescent="0.25">
      <c r="Q35104" s="8"/>
    </row>
    <row r="35105" spans="17:17" x14ac:dyDescent="0.25">
      <c r="Q35105" s="8"/>
    </row>
    <row r="35106" spans="17:17" x14ac:dyDescent="0.25">
      <c r="Q35106" s="8"/>
    </row>
    <row r="35107" spans="17:17" x14ac:dyDescent="0.25">
      <c r="Q35107" s="8"/>
    </row>
    <row r="35108" spans="17:17" x14ac:dyDescent="0.25">
      <c r="Q35108" s="8"/>
    </row>
    <row r="35109" spans="17:17" x14ac:dyDescent="0.25">
      <c r="Q35109" s="8"/>
    </row>
    <row r="35110" spans="17:17" x14ac:dyDescent="0.25">
      <c r="Q35110" s="8"/>
    </row>
    <row r="35111" spans="17:17" x14ac:dyDescent="0.25">
      <c r="Q35111" s="8"/>
    </row>
    <row r="35112" spans="17:17" x14ac:dyDescent="0.25">
      <c r="Q35112" s="8"/>
    </row>
    <row r="35113" spans="17:17" x14ac:dyDescent="0.25">
      <c r="Q35113" s="8"/>
    </row>
    <row r="35114" spans="17:17" x14ac:dyDescent="0.25">
      <c r="Q35114" s="8"/>
    </row>
    <row r="35115" spans="17:17" x14ac:dyDescent="0.25">
      <c r="Q35115" s="8"/>
    </row>
    <row r="35116" spans="17:17" x14ac:dyDescent="0.25">
      <c r="Q35116" s="8"/>
    </row>
    <row r="35117" spans="17:17" x14ac:dyDescent="0.25">
      <c r="Q35117" s="8"/>
    </row>
    <row r="35118" spans="17:17" x14ac:dyDescent="0.25">
      <c r="Q35118" s="8"/>
    </row>
    <row r="35119" spans="17:17" x14ac:dyDescent="0.25">
      <c r="Q35119" s="8"/>
    </row>
    <row r="35120" spans="17:17" x14ac:dyDescent="0.25">
      <c r="Q35120" s="8"/>
    </row>
    <row r="35121" spans="17:17" x14ac:dyDescent="0.25">
      <c r="Q35121" s="8"/>
    </row>
    <row r="35122" spans="17:17" x14ac:dyDescent="0.25">
      <c r="Q35122" s="8"/>
    </row>
    <row r="35123" spans="17:17" x14ac:dyDescent="0.25">
      <c r="Q35123" s="8"/>
    </row>
    <row r="35124" spans="17:17" x14ac:dyDescent="0.25">
      <c r="Q35124" s="8"/>
    </row>
    <row r="35125" spans="17:17" x14ac:dyDescent="0.25">
      <c r="Q35125" s="8"/>
    </row>
    <row r="35126" spans="17:17" x14ac:dyDescent="0.25">
      <c r="Q35126" s="8"/>
    </row>
    <row r="35127" spans="17:17" x14ac:dyDescent="0.25">
      <c r="Q35127" s="8"/>
    </row>
    <row r="35128" spans="17:17" x14ac:dyDescent="0.25">
      <c r="Q35128" s="8"/>
    </row>
    <row r="35129" spans="17:17" x14ac:dyDescent="0.25">
      <c r="Q35129" s="8"/>
    </row>
    <row r="35130" spans="17:17" x14ac:dyDescent="0.25">
      <c r="Q35130" s="8"/>
    </row>
    <row r="35131" spans="17:17" x14ac:dyDescent="0.25">
      <c r="Q35131" s="8"/>
    </row>
    <row r="35132" spans="17:17" x14ac:dyDescent="0.25">
      <c r="Q35132" s="8"/>
    </row>
    <row r="35133" spans="17:17" x14ac:dyDescent="0.25">
      <c r="Q35133" s="8"/>
    </row>
    <row r="35134" spans="17:17" x14ac:dyDescent="0.25">
      <c r="Q35134" s="8"/>
    </row>
    <row r="35135" spans="17:17" x14ac:dyDescent="0.25">
      <c r="Q35135" s="8"/>
    </row>
    <row r="35136" spans="17:17" x14ac:dyDescent="0.25">
      <c r="Q35136" s="8"/>
    </row>
    <row r="35137" spans="17:17" x14ac:dyDescent="0.25">
      <c r="Q35137" s="8"/>
    </row>
    <row r="35138" spans="17:17" x14ac:dyDescent="0.25">
      <c r="Q35138" s="8"/>
    </row>
    <row r="35139" spans="17:17" x14ac:dyDescent="0.25">
      <c r="Q35139" s="8"/>
    </row>
    <row r="35140" spans="17:17" x14ac:dyDescent="0.25">
      <c r="Q35140" s="8"/>
    </row>
    <row r="35141" spans="17:17" x14ac:dyDescent="0.25">
      <c r="Q35141" s="8"/>
    </row>
    <row r="35142" spans="17:17" x14ac:dyDescent="0.25">
      <c r="Q35142" s="8"/>
    </row>
    <row r="35143" spans="17:17" x14ac:dyDescent="0.25">
      <c r="Q35143" s="8"/>
    </row>
    <row r="35144" spans="17:17" x14ac:dyDescent="0.25">
      <c r="Q35144" s="8"/>
    </row>
    <row r="35145" spans="17:17" x14ac:dyDescent="0.25">
      <c r="Q35145" s="8"/>
    </row>
    <row r="35146" spans="17:17" x14ac:dyDescent="0.25">
      <c r="Q35146" s="8"/>
    </row>
    <row r="35147" spans="17:17" x14ac:dyDescent="0.25">
      <c r="Q35147" s="8"/>
    </row>
    <row r="35148" spans="17:17" x14ac:dyDescent="0.25">
      <c r="Q35148" s="8"/>
    </row>
    <row r="35149" spans="17:17" x14ac:dyDescent="0.25">
      <c r="Q35149" s="8"/>
    </row>
    <row r="35150" spans="17:17" x14ac:dyDescent="0.25">
      <c r="Q35150" s="8"/>
    </row>
    <row r="35151" spans="17:17" x14ac:dyDescent="0.25">
      <c r="Q35151" s="8"/>
    </row>
    <row r="35152" spans="17:17" x14ac:dyDescent="0.25">
      <c r="Q35152" s="8"/>
    </row>
    <row r="35153" spans="17:17" x14ac:dyDescent="0.25">
      <c r="Q35153" s="8"/>
    </row>
    <row r="35154" spans="17:17" x14ac:dyDescent="0.25">
      <c r="Q35154" s="8"/>
    </row>
    <row r="35155" spans="17:17" x14ac:dyDescent="0.25">
      <c r="Q35155" s="8"/>
    </row>
    <row r="35156" spans="17:17" x14ac:dyDescent="0.25">
      <c r="Q35156" s="8"/>
    </row>
    <row r="35157" spans="17:17" x14ac:dyDescent="0.25">
      <c r="Q35157" s="8"/>
    </row>
    <row r="35158" spans="17:17" x14ac:dyDescent="0.25">
      <c r="Q35158" s="8"/>
    </row>
    <row r="35159" spans="17:17" x14ac:dyDescent="0.25">
      <c r="Q35159" s="8"/>
    </row>
    <row r="35160" spans="17:17" x14ac:dyDescent="0.25">
      <c r="Q35160" s="8"/>
    </row>
    <row r="35161" spans="17:17" x14ac:dyDescent="0.25">
      <c r="Q35161" s="8"/>
    </row>
    <row r="35162" spans="17:17" x14ac:dyDescent="0.25">
      <c r="Q35162" s="8"/>
    </row>
    <row r="35163" spans="17:17" x14ac:dyDescent="0.25">
      <c r="Q35163" s="8"/>
    </row>
    <row r="35164" spans="17:17" x14ac:dyDescent="0.25">
      <c r="Q35164" s="8"/>
    </row>
    <row r="35165" spans="17:17" x14ac:dyDescent="0.25">
      <c r="Q35165" s="8"/>
    </row>
    <row r="35166" spans="17:17" x14ac:dyDescent="0.25">
      <c r="Q35166" s="8"/>
    </row>
    <row r="35167" spans="17:17" x14ac:dyDescent="0.25">
      <c r="Q35167" s="8"/>
    </row>
    <row r="35168" spans="17:17" x14ac:dyDescent="0.25">
      <c r="Q35168" s="8"/>
    </row>
    <row r="35169" spans="17:17" x14ac:dyDescent="0.25">
      <c r="Q35169" s="8"/>
    </row>
    <row r="35170" spans="17:17" x14ac:dyDescent="0.25">
      <c r="Q35170" s="8"/>
    </row>
    <row r="35171" spans="17:17" x14ac:dyDescent="0.25">
      <c r="Q35171" s="8"/>
    </row>
    <row r="35172" spans="17:17" x14ac:dyDescent="0.25">
      <c r="Q35172" s="8"/>
    </row>
    <row r="35173" spans="17:17" x14ac:dyDescent="0.25">
      <c r="Q35173" s="8"/>
    </row>
    <row r="35174" spans="17:17" x14ac:dyDescent="0.25">
      <c r="Q35174" s="8"/>
    </row>
    <row r="35175" spans="17:17" x14ac:dyDescent="0.25">
      <c r="Q35175" s="8"/>
    </row>
    <row r="35176" spans="17:17" x14ac:dyDescent="0.25">
      <c r="Q35176" s="8"/>
    </row>
    <row r="35177" spans="17:17" x14ac:dyDescent="0.25">
      <c r="Q35177" s="8"/>
    </row>
    <row r="35178" spans="17:17" x14ac:dyDescent="0.25">
      <c r="Q35178" s="8"/>
    </row>
    <row r="35179" spans="17:17" x14ac:dyDescent="0.25">
      <c r="Q35179" s="8"/>
    </row>
    <row r="35180" spans="17:17" x14ac:dyDescent="0.25">
      <c r="Q35180" s="8"/>
    </row>
    <row r="35181" spans="17:17" x14ac:dyDescent="0.25">
      <c r="Q35181" s="8"/>
    </row>
    <row r="35182" spans="17:17" x14ac:dyDescent="0.25">
      <c r="Q35182" s="8"/>
    </row>
    <row r="35183" spans="17:17" x14ac:dyDescent="0.25">
      <c r="Q35183" s="8"/>
    </row>
    <row r="35184" spans="17:17" x14ac:dyDescent="0.25">
      <c r="Q35184" s="8"/>
    </row>
    <row r="35185" spans="17:17" x14ac:dyDescent="0.25">
      <c r="Q35185" s="8"/>
    </row>
    <row r="35186" spans="17:17" x14ac:dyDescent="0.25">
      <c r="Q35186" s="8"/>
    </row>
    <row r="35187" spans="17:17" x14ac:dyDescent="0.25">
      <c r="Q35187" s="8"/>
    </row>
    <row r="35188" spans="17:17" x14ac:dyDescent="0.25">
      <c r="Q35188" s="8"/>
    </row>
    <row r="35189" spans="17:17" x14ac:dyDescent="0.25">
      <c r="Q35189" s="8"/>
    </row>
    <row r="35190" spans="17:17" x14ac:dyDescent="0.25">
      <c r="Q35190" s="8"/>
    </row>
    <row r="35191" spans="17:17" x14ac:dyDescent="0.25">
      <c r="Q35191" s="8"/>
    </row>
    <row r="35192" spans="17:17" x14ac:dyDescent="0.25">
      <c r="Q35192" s="8"/>
    </row>
    <row r="35193" spans="17:17" x14ac:dyDescent="0.25">
      <c r="Q35193" s="8"/>
    </row>
    <row r="35194" spans="17:17" x14ac:dyDescent="0.25">
      <c r="Q35194" s="8"/>
    </row>
    <row r="35195" spans="17:17" x14ac:dyDescent="0.25">
      <c r="Q35195" s="8"/>
    </row>
    <row r="35196" spans="17:17" x14ac:dyDescent="0.25">
      <c r="Q35196" s="8"/>
    </row>
    <row r="35197" spans="17:17" x14ac:dyDescent="0.25">
      <c r="Q35197" s="8"/>
    </row>
    <row r="35198" spans="17:17" x14ac:dyDescent="0.25">
      <c r="Q35198" s="8"/>
    </row>
    <row r="35199" spans="17:17" x14ac:dyDescent="0.25">
      <c r="Q35199" s="8"/>
    </row>
    <row r="35200" spans="17:17" x14ac:dyDescent="0.25">
      <c r="Q35200" s="8"/>
    </row>
    <row r="35201" spans="17:17" x14ac:dyDescent="0.25">
      <c r="Q35201" s="8"/>
    </row>
    <row r="35202" spans="17:17" x14ac:dyDescent="0.25">
      <c r="Q35202" s="8"/>
    </row>
    <row r="35203" spans="17:17" x14ac:dyDescent="0.25">
      <c r="Q35203" s="8"/>
    </row>
    <row r="35204" spans="17:17" x14ac:dyDescent="0.25">
      <c r="Q35204" s="8"/>
    </row>
    <row r="35205" spans="17:17" x14ac:dyDescent="0.25">
      <c r="Q35205" s="8"/>
    </row>
    <row r="35206" spans="17:17" x14ac:dyDescent="0.25">
      <c r="Q35206" s="8"/>
    </row>
    <row r="35207" spans="17:17" x14ac:dyDescent="0.25">
      <c r="Q35207" s="8"/>
    </row>
    <row r="35208" spans="17:17" x14ac:dyDescent="0.25">
      <c r="Q35208" s="8"/>
    </row>
    <row r="35209" spans="17:17" x14ac:dyDescent="0.25">
      <c r="Q35209" s="8"/>
    </row>
    <row r="35210" spans="17:17" x14ac:dyDescent="0.25">
      <c r="Q35210" s="8"/>
    </row>
    <row r="35211" spans="17:17" x14ac:dyDescent="0.25">
      <c r="Q35211" s="8"/>
    </row>
    <row r="35212" spans="17:17" x14ac:dyDescent="0.25">
      <c r="Q35212" s="8"/>
    </row>
    <row r="35213" spans="17:17" x14ac:dyDescent="0.25">
      <c r="Q35213" s="8"/>
    </row>
    <row r="35214" spans="17:17" x14ac:dyDescent="0.25">
      <c r="Q35214" s="8"/>
    </row>
    <row r="35215" spans="17:17" x14ac:dyDescent="0.25">
      <c r="Q35215" s="8"/>
    </row>
    <row r="35216" spans="17:17" x14ac:dyDescent="0.25">
      <c r="Q35216" s="8"/>
    </row>
    <row r="35217" spans="17:17" x14ac:dyDescent="0.25">
      <c r="Q35217" s="8"/>
    </row>
    <row r="35218" spans="17:17" x14ac:dyDescent="0.25">
      <c r="Q35218" s="8"/>
    </row>
    <row r="35219" spans="17:17" x14ac:dyDescent="0.25">
      <c r="Q35219" s="8"/>
    </row>
    <row r="35220" spans="17:17" x14ac:dyDescent="0.25">
      <c r="Q35220" s="8"/>
    </row>
    <row r="35221" spans="17:17" x14ac:dyDescent="0.25">
      <c r="Q35221" s="8"/>
    </row>
    <row r="35222" spans="17:17" x14ac:dyDescent="0.25">
      <c r="Q35222" s="8"/>
    </row>
    <row r="35223" spans="17:17" x14ac:dyDescent="0.25">
      <c r="Q35223" s="8"/>
    </row>
    <row r="35224" spans="17:17" x14ac:dyDescent="0.25">
      <c r="Q35224" s="8"/>
    </row>
    <row r="35225" spans="17:17" x14ac:dyDescent="0.25">
      <c r="Q35225" s="8"/>
    </row>
    <row r="35226" spans="17:17" x14ac:dyDescent="0.25">
      <c r="Q35226" s="8"/>
    </row>
    <row r="35227" spans="17:17" x14ac:dyDescent="0.25">
      <c r="Q35227" s="8"/>
    </row>
    <row r="35228" spans="17:17" x14ac:dyDescent="0.25">
      <c r="Q35228" s="8"/>
    </row>
    <row r="35229" spans="17:17" x14ac:dyDescent="0.25">
      <c r="Q35229" s="8"/>
    </row>
    <row r="35230" spans="17:17" x14ac:dyDescent="0.25">
      <c r="Q35230" s="8"/>
    </row>
    <row r="35231" spans="17:17" x14ac:dyDescent="0.25">
      <c r="Q35231" s="8"/>
    </row>
    <row r="35232" spans="17:17" x14ac:dyDescent="0.25">
      <c r="Q35232" s="8"/>
    </row>
    <row r="35233" spans="17:17" x14ac:dyDescent="0.25">
      <c r="Q35233" s="8"/>
    </row>
    <row r="35234" spans="17:17" x14ac:dyDescent="0.25">
      <c r="Q35234" s="8"/>
    </row>
    <row r="35235" spans="17:17" x14ac:dyDescent="0.25">
      <c r="Q35235" s="8"/>
    </row>
    <row r="35236" spans="17:17" x14ac:dyDescent="0.25">
      <c r="Q35236" s="8"/>
    </row>
    <row r="35237" spans="17:17" x14ac:dyDescent="0.25">
      <c r="Q35237" s="8"/>
    </row>
    <row r="35238" spans="17:17" x14ac:dyDescent="0.25">
      <c r="Q35238" s="8"/>
    </row>
    <row r="35239" spans="17:17" x14ac:dyDescent="0.25">
      <c r="Q35239" s="8"/>
    </row>
    <row r="35240" spans="17:17" x14ac:dyDescent="0.25">
      <c r="Q35240" s="8"/>
    </row>
    <row r="35241" spans="17:17" x14ac:dyDescent="0.25">
      <c r="Q35241" s="8"/>
    </row>
    <row r="35242" spans="17:17" x14ac:dyDescent="0.25">
      <c r="Q35242" s="8"/>
    </row>
    <row r="35243" spans="17:17" x14ac:dyDescent="0.25">
      <c r="Q35243" s="8"/>
    </row>
    <row r="35244" spans="17:17" x14ac:dyDescent="0.25">
      <c r="Q35244" s="8"/>
    </row>
    <row r="35245" spans="17:17" x14ac:dyDescent="0.25">
      <c r="Q35245" s="8"/>
    </row>
    <row r="35246" spans="17:17" x14ac:dyDescent="0.25">
      <c r="Q35246" s="8"/>
    </row>
    <row r="35247" spans="17:17" x14ac:dyDescent="0.25">
      <c r="Q35247" s="8"/>
    </row>
    <row r="35248" spans="17:17" x14ac:dyDescent="0.25">
      <c r="Q35248" s="8"/>
    </row>
    <row r="35249" spans="17:17" x14ac:dyDescent="0.25">
      <c r="Q35249" s="8"/>
    </row>
    <row r="35250" spans="17:17" x14ac:dyDescent="0.25">
      <c r="Q35250" s="8"/>
    </row>
    <row r="35251" spans="17:17" x14ac:dyDescent="0.25">
      <c r="Q35251" s="8"/>
    </row>
    <row r="35252" spans="17:17" x14ac:dyDescent="0.25">
      <c r="Q35252" s="8"/>
    </row>
    <row r="35253" spans="17:17" x14ac:dyDescent="0.25">
      <c r="Q35253" s="8"/>
    </row>
    <row r="35254" spans="17:17" x14ac:dyDescent="0.25">
      <c r="Q35254" s="8"/>
    </row>
    <row r="35255" spans="17:17" x14ac:dyDescent="0.25">
      <c r="Q35255" s="8"/>
    </row>
    <row r="35256" spans="17:17" x14ac:dyDescent="0.25">
      <c r="Q35256" s="8"/>
    </row>
    <row r="35257" spans="17:17" x14ac:dyDescent="0.25">
      <c r="Q35257" s="8"/>
    </row>
    <row r="35258" spans="17:17" x14ac:dyDescent="0.25">
      <c r="Q35258" s="8"/>
    </row>
    <row r="35259" spans="17:17" x14ac:dyDescent="0.25">
      <c r="Q35259" s="8"/>
    </row>
    <row r="35260" spans="17:17" x14ac:dyDescent="0.25">
      <c r="Q35260" s="8"/>
    </row>
    <row r="35261" spans="17:17" x14ac:dyDescent="0.25">
      <c r="Q35261" s="8"/>
    </row>
    <row r="35262" spans="17:17" x14ac:dyDescent="0.25">
      <c r="Q35262" s="8"/>
    </row>
    <row r="35263" spans="17:17" x14ac:dyDescent="0.25">
      <c r="Q35263" s="8"/>
    </row>
    <row r="35264" spans="17:17" x14ac:dyDescent="0.25">
      <c r="Q35264" s="8"/>
    </row>
    <row r="35265" spans="17:17" x14ac:dyDescent="0.25">
      <c r="Q35265" s="8"/>
    </row>
    <row r="35266" spans="17:17" x14ac:dyDescent="0.25">
      <c r="Q35266" s="8"/>
    </row>
    <row r="35267" spans="17:17" x14ac:dyDescent="0.25">
      <c r="Q35267" s="8"/>
    </row>
    <row r="35268" spans="17:17" x14ac:dyDescent="0.25">
      <c r="Q35268" s="8"/>
    </row>
    <row r="35269" spans="17:17" x14ac:dyDescent="0.25">
      <c r="Q35269" s="8"/>
    </row>
    <row r="35270" spans="17:17" x14ac:dyDescent="0.25">
      <c r="Q35270" s="8"/>
    </row>
    <row r="35271" spans="17:17" x14ac:dyDescent="0.25">
      <c r="Q35271" s="8"/>
    </row>
    <row r="35272" spans="17:17" x14ac:dyDescent="0.25">
      <c r="Q35272" s="8"/>
    </row>
    <row r="35273" spans="17:17" x14ac:dyDescent="0.25">
      <c r="Q35273" s="8"/>
    </row>
    <row r="35274" spans="17:17" x14ac:dyDescent="0.25">
      <c r="Q35274" s="8"/>
    </row>
    <row r="35275" spans="17:17" x14ac:dyDescent="0.25">
      <c r="Q35275" s="8"/>
    </row>
    <row r="35276" spans="17:17" x14ac:dyDescent="0.25">
      <c r="Q35276" s="8"/>
    </row>
    <row r="35277" spans="17:17" x14ac:dyDescent="0.25">
      <c r="Q35277" s="8"/>
    </row>
    <row r="35278" spans="17:17" x14ac:dyDescent="0.25">
      <c r="Q35278" s="8"/>
    </row>
    <row r="35279" spans="17:17" x14ac:dyDescent="0.25">
      <c r="Q35279" s="8"/>
    </row>
    <row r="35280" spans="17:17" x14ac:dyDescent="0.25">
      <c r="Q35280" s="8"/>
    </row>
    <row r="35281" spans="17:17" x14ac:dyDescent="0.25">
      <c r="Q35281" s="8"/>
    </row>
    <row r="35282" spans="17:17" x14ac:dyDescent="0.25">
      <c r="Q35282" s="8"/>
    </row>
    <row r="35283" spans="17:17" x14ac:dyDescent="0.25">
      <c r="Q35283" s="8"/>
    </row>
    <row r="35284" spans="17:17" x14ac:dyDescent="0.25">
      <c r="Q35284" s="8"/>
    </row>
    <row r="35285" spans="17:17" x14ac:dyDescent="0.25">
      <c r="Q35285" s="8"/>
    </row>
    <row r="35286" spans="17:17" x14ac:dyDescent="0.25">
      <c r="Q35286" s="8"/>
    </row>
    <row r="35287" spans="17:17" x14ac:dyDescent="0.25">
      <c r="Q35287" s="8"/>
    </row>
    <row r="35288" spans="17:17" x14ac:dyDescent="0.25">
      <c r="Q35288" s="8"/>
    </row>
    <row r="35289" spans="17:17" x14ac:dyDescent="0.25">
      <c r="Q35289" s="8"/>
    </row>
    <row r="35290" spans="17:17" x14ac:dyDescent="0.25">
      <c r="Q35290" s="8"/>
    </row>
    <row r="35291" spans="17:17" x14ac:dyDescent="0.25">
      <c r="Q35291" s="8"/>
    </row>
    <row r="35292" spans="17:17" x14ac:dyDescent="0.25">
      <c r="Q35292" s="8"/>
    </row>
    <row r="35293" spans="17:17" x14ac:dyDescent="0.25">
      <c r="Q35293" s="8"/>
    </row>
    <row r="35294" spans="17:17" x14ac:dyDescent="0.25">
      <c r="Q35294" s="8"/>
    </row>
    <row r="35295" spans="17:17" x14ac:dyDescent="0.25">
      <c r="Q35295" s="8"/>
    </row>
    <row r="35296" spans="17:17" x14ac:dyDescent="0.25">
      <c r="Q35296" s="8"/>
    </row>
    <row r="35297" spans="17:17" x14ac:dyDescent="0.25">
      <c r="Q35297" s="8"/>
    </row>
    <row r="35298" spans="17:17" x14ac:dyDescent="0.25">
      <c r="Q35298" s="8"/>
    </row>
    <row r="35299" spans="17:17" x14ac:dyDescent="0.25">
      <c r="Q35299" s="8"/>
    </row>
    <row r="35300" spans="17:17" x14ac:dyDescent="0.25">
      <c r="Q35300" s="8"/>
    </row>
    <row r="35301" spans="17:17" x14ac:dyDescent="0.25">
      <c r="Q35301" s="8"/>
    </row>
    <row r="35302" spans="17:17" x14ac:dyDescent="0.25">
      <c r="Q35302" s="8"/>
    </row>
    <row r="35303" spans="17:17" x14ac:dyDescent="0.25">
      <c r="Q35303" s="8"/>
    </row>
    <row r="35304" spans="17:17" x14ac:dyDescent="0.25">
      <c r="Q35304" s="8"/>
    </row>
    <row r="35305" spans="17:17" x14ac:dyDescent="0.25">
      <c r="Q35305" s="8"/>
    </row>
    <row r="35306" spans="17:17" x14ac:dyDescent="0.25">
      <c r="Q35306" s="8"/>
    </row>
    <row r="35307" spans="17:17" x14ac:dyDescent="0.25">
      <c r="Q35307" s="8"/>
    </row>
    <row r="35308" spans="17:17" x14ac:dyDescent="0.25">
      <c r="Q35308" s="8"/>
    </row>
    <row r="35309" spans="17:17" x14ac:dyDescent="0.25">
      <c r="Q35309" s="8"/>
    </row>
    <row r="35310" spans="17:17" x14ac:dyDescent="0.25">
      <c r="Q35310" s="8"/>
    </row>
    <row r="35311" spans="17:17" x14ac:dyDescent="0.25">
      <c r="Q35311" s="8"/>
    </row>
    <row r="35312" spans="17:17" x14ac:dyDescent="0.25">
      <c r="Q35312" s="8"/>
    </row>
    <row r="35313" spans="17:17" x14ac:dyDescent="0.25">
      <c r="Q35313" s="8"/>
    </row>
    <row r="35314" spans="17:17" x14ac:dyDescent="0.25">
      <c r="Q35314" s="8"/>
    </row>
    <row r="35315" spans="17:17" x14ac:dyDescent="0.25">
      <c r="Q35315" s="8"/>
    </row>
    <row r="35316" spans="17:17" x14ac:dyDescent="0.25">
      <c r="Q35316" s="8"/>
    </row>
    <row r="35317" spans="17:17" x14ac:dyDescent="0.25">
      <c r="Q35317" s="8"/>
    </row>
    <row r="35318" spans="17:17" x14ac:dyDescent="0.25">
      <c r="Q35318" s="8"/>
    </row>
    <row r="35319" spans="17:17" x14ac:dyDescent="0.25">
      <c r="Q35319" s="8"/>
    </row>
    <row r="35320" spans="17:17" x14ac:dyDescent="0.25">
      <c r="Q35320" s="8"/>
    </row>
    <row r="35321" spans="17:17" x14ac:dyDescent="0.25">
      <c r="Q35321" s="8"/>
    </row>
    <row r="35322" spans="17:17" x14ac:dyDescent="0.25">
      <c r="Q35322" s="8"/>
    </row>
    <row r="35323" spans="17:17" x14ac:dyDescent="0.25">
      <c r="Q35323" s="8"/>
    </row>
    <row r="35324" spans="17:17" x14ac:dyDescent="0.25">
      <c r="Q35324" s="8"/>
    </row>
    <row r="35325" spans="17:17" x14ac:dyDescent="0.25">
      <c r="Q35325" s="8"/>
    </row>
    <row r="35326" spans="17:17" x14ac:dyDescent="0.25">
      <c r="Q35326" s="8"/>
    </row>
    <row r="35327" spans="17:17" x14ac:dyDescent="0.25">
      <c r="Q35327" s="8"/>
    </row>
    <row r="35328" spans="17:17" x14ac:dyDescent="0.25">
      <c r="Q35328" s="8"/>
    </row>
    <row r="35329" spans="17:17" x14ac:dyDescent="0.25">
      <c r="Q35329" s="8"/>
    </row>
    <row r="35330" spans="17:17" x14ac:dyDescent="0.25">
      <c r="Q35330" s="8"/>
    </row>
    <row r="35331" spans="17:17" x14ac:dyDescent="0.25">
      <c r="Q35331" s="8"/>
    </row>
    <row r="35332" spans="17:17" x14ac:dyDescent="0.25">
      <c r="Q35332" s="8"/>
    </row>
    <row r="35333" spans="17:17" x14ac:dyDescent="0.25">
      <c r="Q35333" s="8"/>
    </row>
    <row r="35334" spans="17:17" x14ac:dyDescent="0.25">
      <c r="Q35334" s="8"/>
    </row>
    <row r="35335" spans="17:17" x14ac:dyDescent="0.25">
      <c r="Q35335" s="8"/>
    </row>
    <row r="35336" spans="17:17" x14ac:dyDescent="0.25">
      <c r="Q35336" s="8"/>
    </row>
    <row r="35337" spans="17:17" x14ac:dyDescent="0.25">
      <c r="Q35337" s="8"/>
    </row>
    <row r="35338" spans="17:17" x14ac:dyDescent="0.25">
      <c r="Q35338" s="8"/>
    </row>
    <row r="35339" spans="17:17" x14ac:dyDescent="0.25">
      <c r="Q35339" s="8"/>
    </row>
    <row r="35340" spans="17:17" x14ac:dyDescent="0.25">
      <c r="Q35340" s="8"/>
    </row>
    <row r="35341" spans="17:17" x14ac:dyDescent="0.25">
      <c r="Q35341" s="8"/>
    </row>
    <row r="35342" spans="17:17" x14ac:dyDescent="0.25">
      <c r="Q35342" s="8"/>
    </row>
    <row r="35343" spans="17:17" x14ac:dyDescent="0.25">
      <c r="Q35343" s="8"/>
    </row>
    <row r="35344" spans="17:17" x14ac:dyDescent="0.25">
      <c r="Q35344" s="8"/>
    </row>
    <row r="35345" spans="17:17" x14ac:dyDescent="0.25">
      <c r="Q35345" s="8"/>
    </row>
    <row r="35346" spans="17:17" x14ac:dyDescent="0.25">
      <c r="Q35346" s="8"/>
    </row>
    <row r="35347" spans="17:17" x14ac:dyDescent="0.25">
      <c r="Q35347" s="8"/>
    </row>
    <row r="35348" spans="17:17" x14ac:dyDescent="0.25">
      <c r="Q35348" s="8"/>
    </row>
    <row r="35349" spans="17:17" x14ac:dyDescent="0.25">
      <c r="Q35349" s="8"/>
    </row>
    <row r="35350" spans="17:17" x14ac:dyDescent="0.25">
      <c r="Q35350" s="8"/>
    </row>
    <row r="35351" spans="17:17" x14ac:dyDescent="0.25">
      <c r="Q35351" s="8"/>
    </row>
    <row r="35352" spans="17:17" x14ac:dyDescent="0.25">
      <c r="Q35352" s="8"/>
    </row>
    <row r="35353" spans="17:17" x14ac:dyDescent="0.25">
      <c r="Q35353" s="8"/>
    </row>
    <row r="35354" spans="17:17" x14ac:dyDescent="0.25">
      <c r="Q35354" s="8"/>
    </row>
    <row r="35355" spans="17:17" x14ac:dyDescent="0.25">
      <c r="Q35355" s="8"/>
    </row>
    <row r="35356" spans="17:17" x14ac:dyDescent="0.25">
      <c r="Q35356" s="8"/>
    </row>
    <row r="35357" spans="17:17" x14ac:dyDescent="0.25">
      <c r="Q35357" s="8"/>
    </row>
    <row r="35358" spans="17:17" x14ac:dyDescent="0.25">
      <c r="Q35358" s="8"/>
    </row>
    <row r="35359" spans="17:17" x14ac:dyDescent="0.25">
      <c r="Q35359" s="8"/>
    </row>
    <row r="35360" spans="17:17" x14ac:dyDescent="0.25">
      <c r="Q35360" s="8"/>
    </row>
    <row r="35361" spans="17:17" x14ac:dyDescent="0.25">
      <c r="Q35361" s="8"/>
    </row>
    <row r="35362" spans="17:17" x14ac:dyDescent="0.25">
      <c r="Q35362" s="8"/>
    </row>
    <row r="35363" spans="17:17" x14ac:dyDescent="0.25">
      <c r="Q35363" s="8"/>
    </row>
    <row r="35364" spans="17:17" x14ac:dyDescent="0.25">
      <c r="Q35364" s="8"/>
    </row>
    <row r="35365" spans="17:17" x14ac:dyDescent="0.25">
      <c r="Q35365" s="8"/>
    </row>
    <row r="35366" spans="17:17" x14ac:dyDescent="0.25">
      <c r="Q35366" s="8"/>
    </row>
    <row r="35367" spans="17:17" x14ac:dyDescent="0.25">
      <c r="Q35367" s="8"/>
    </row>
    <row r="35368" spans="17:17" x14ac:dyDescent="0.25">
      <c r="Q35368" s="8"/>
    </row>
    <row r="35369" spans="17:17" x14ac:dyDescent="0.25">
      <c r="Q35369" s="8"/>
    </row>
    <row r="35370" spans="17:17" x14ac:dyDescent="0.25">
      <c r="Q35370" s="8"/>
    </row>
    <row r="35371" spans="17:17" x14ac:dyDescent="0.25">
      <c r="Q35371" s="8"/>
    </row>
    <row r="35372" spans="17:17" x14ac:dyDescent="0.25">
      <c r="Q35372" s="8"/>
    </row>
    <row r="35373" spans="17:17" x14ac:dyDescent="0.25">
      <c r="Q35373" s="8"/>
    </row>
    <row r="35374" spans="17:17" x14ac:dyDescent="0.25">
      <c r="Q35374" s="8"/>
    </row>
    <row r="35375" spans="17:17" x14ac:dyDescent="0.25">
      <c r="Q35375" s="8"/>
    </row>
    <row r="35376" spans="17:17" x14ac:dyDescent="0.25">
      <c r="Q35376" s="8"/>
    </row>
    <row r="35377" spans="17:17" x14ac:dyDescent="0.25">
      <c r="Q35377" s="8"/>
    </row>
    <row r="35378" spans="17:17" x14ac:dyDescent="0.25">
      <c r="Q35378" s="8"/>
    </row>
    <row r="35379" spans="17:17" x14ac:dyDescent="0.25">
      <c r="Q35379" s="8"/>
    </row>
    <row r="35380" spans="17:17" x14ac:dyDescent="0.25">
      <c r="Q35380" s="8"/>
    </row>
    <row r="35381" spans="17:17" x14ac:dyDescent="0.25">
      <c r="Q35381" s="8"/>
    </row>
    <row r="35382" spans="17:17" x14ac:dyDescent="0.25">
      <c r="Q35382" s="8"/>
    </row>
    <row r="35383" spans="17:17" x14ac:dyDescent="0.25">
      <c r="Q35383" s="8"/>
    </row>
    <row r="35384" spans="17:17" x14ac:dyDescent="0.25">
      <c r="Q35384" s="8"/>
    </row>
    <row r="35385" spans="17:17" x14ac:dyDescent="0.25">
      <c r="Q35385" s="8"/>
    </row>
    <row r="35386" spans="17:17" x14ac:dyDescent="0.25">
      <c r="Q35386" s="8"/>
    </row>
    <row r="35387" spans="17:17" x14ac:dyDescent="0.25">
      <c r="Q35387" s="8"/>
    </row>
    <row r="35388" spans="17:17" x14ac:dyDescent="0.25">
      <c r="Q35388" s="8"/>
    </row>
    <row r="35389" spans="17:17" x14ac:dyDescent="0.25">
      <c r="Q35389" s="8"/>
    </row>
    <row r="35390" spans="17:17" x14ac:dyDescent="0.25">
      <c r="Q35390" s="8"/>
    </row>
    <row r="35391" spans="17:17" x14ac:dyDescent="0.25">
      <c r="Q35391" s="8"/>
    </row>
    <row r="35392" spans="17:17" x14ac:dyDescent="0.25">
      <c r="Q35392" s="8"/>
    </row>
    <row r="35393" spans="17:17" x14ac:dyDescent="0.25">
      <c r="Q35393" s="8"/>
    </row>
    <row r="35394" spans="17:17" x14ac:dyDescent="0.25">
      <c r="Q35394" s="8"/>
    </row>
    <row r="35395" spans="17:17" x14ac:dyDescent="0.25">
      <c r="Q35395" s="8"/>
    </row>
    <row r="35396" spans="17:17" x14ac:dyDescent="0.25">
      <c r="Q35396" s="8"/>
    </row>
    <row r="35397" spans="17:17" x14ac:dyDescent="0.25">
      <c r="Q35397" s="8"/>
    </row>
    <row r="35398" spans="17:17" x14ac:dyDescent="0.25">
      <c r="Q35398" s="8"/>
    </row>
    <row r="35399" spans="17:17" x14ac:dyDescent="0.25">
      <c r="Q35399" s="8"/>
    </row>
    <row r="35400" spans="17:17" x14ac:dyDescent="0.25">
      <c r="Q35400" s="8"/>
    </row>
    <row r="35401" spans="17:17" x14ac:dyDescent="0.25">
      <c r="Q35401" s="8"/>
    </row>
    <row r="35402" spans="17:17" x14ac:dyDescent="0.25">
      <c r="Q35402" s="8"/>
    </row>
    <row r="35403" spans="17:17" x14ac:dyDescent="0.25">
      <c r="Q35403" s="8"/>
    </row>
    <row r="35404" spans="17:17" x14ac:dyDescent="0.25">
      <c r="Q35404" s="8"/>
    </row>
    <row r="35405" spans="17:17" x14ac:dyDescent="0.25">
      <c r="Q35405" s="8"/>
    </row>
    <row r="35406" spans="17:17" x14ac:dyDescent="0.25">
      <c r="Q35406" s="8"/>
    </row>
    <row r="35407" spans="17:17" x14ac:dyDescent="0.25">
      <c r="Q35407" s="8"/>
    </row>
    <row r="35408" spans="17:17" x14ac:dyDescent="0.25">
      <c r="Q35408" s="8"/>
    </row>
    <row r="35409" spans="17:17" x14ac:dyDescent="0.25">
      <c r="Q35409" s="8"/>
    </row>
    <row r="35410" spans="17:17" x14ac:dyDescent="0.25">
      <c r="Q35410" s="8"/>
    </row>
    <row r="35411" spans="17:17" x14ac:dyDescent="0.25">
      <c r="Q35411" s="8"/>
    </row>
    <row r="35412" spans="17:17" x14ac:dyDescent="0.25">
      <c r="Q35412" s="8"/>
    </row>
    <row r="35413" spans="17:17" x14ac:dyDescent="0.25">
      <c r="Q35413" s="8"/>
    </row>
    <row r="35414" spans="17:17" x14ac:dyDescent="0.25">
      <c r="Q35414" s="8"/>
    </row>
    <row r="35415" spans="17:17" x14ac:dyDescent="0.25">
      <c r="Q35415" s="8"/>
    </row>
    <row r="35416" spans="17:17" x14ac:dyDescent="0.25">
      <c r="Q35416" s="8"/>
    </row>
    <row r="35417" spans="17:17" x14ac:dyDescent="0.25">
      <c r="Q35417" s="8"/>
    </row>
    <row r="35418" spans="17:17" x14ac:dyDescent="0.25">
      <c r="Q35418" s="8"/>
    </row>
    <row r="35419" spans="17:17" x14ac:dyDescent="0.25">
      <c r="Q35419" s="8"/>
    </row>
    <row r="35420" spans="17:17" x14ac:dyDescent="0.25">
      <c r="Q35420" s="8"/>
    </row>
    <row r="35421" spans="17:17" x14ac:dyDescent="0.25">
      <c r="Q35421" s="8"/>
    </row>
    <row r="35422" spans="17:17" x14ac:dyDescent="0.25">
      <c r="Q35422" s="8"/>
    </row>
    <row r="35423" spans="17:17" x14ac:dyDescent="0.25">
      <c r="Q35423" s="8"/>
    </row>
    <row r="35424" spans="17:17" x14ac:dyDescent="0.25">
      <c r="Q35424" s="8"/>
    </row>
    <row r="35425" spans="17:17" x14ac:dyDescent="0.25">
      <c r="Q35425" s="8"/>
    </row>
    <row r="35426" spans="17:17" x14ac:dyDescent="0.25">
      <c r="Q35426" s="8"/>
    </row>
    <row r="35427" spans="17:17" x14ac:dyDescent="0.25">
      <c r="Q35427" s="8"/>
    </row>
    <row r="35428" spans="17:17" x14ac:dyDescent="0.25">
      <c r="Q35428" s="8"/>
    </row>
    <row r="35429" spans="17:17" x14ac:dyDescent="0.25">
      <c r="Q35429" s="8"/>
    </row>
    <row r="35430" spans="17:17" x14ac:dyDescent="0.25">
      <c r="Q35430" s="8"/>
    </row>
    <row r="35431" spans="17:17" x14ac:dyDescent="0.25">
      <c r="Q35431" s="8"/>
    </row>
    <row r="35432" spans="17:17" x14ac:dyDescent="0.25">
      <c r="Q35432" s="8"/>
    </row>
    <row r="35433" spans="17:17" x14ac:dyDescent="0.25">
      <c r="Q35433" s="8"/>
    </row>
    <row r="35434" spans="17:17" x14ac:dyDescent="0.25">
      <c r="Q35434" s="8"/>
    </row>
    <row r="35435" spans="17:17" x14ac:dyDescent="0.25">
      <c r="Q35435" s="8"/>
    </row>
    <row r="35436" spans="17:17" x14ac:dyDescent="0.25">
      <c r="Q35436" s="8"/>
    </row>
    <row r="35437" spans="17:17" x14ac:dyDescent="0.25">
      <c r="Q35437" s="8"/>
    </row>
    <row r="35438" spans="17:17" x14ac:dyDescent="0.25">
      <c r="Q35438" s="8"/>
    </row>
    <row r="35439" spans="17:17" x14ac:dyDescent="0.25">
      <c r="Q35439" s="8"/>
    </row>
    <row r="35440" spans="17:17" x14ac:dyDescent="0.25">
      <c r="Q35440" s="8"/>
    </row>
    <row r="35441" spans="17:17" x14ac:dyDescent="0.25">
      <c r="Q35441" s="8"/>
    </row>
    <row r="35442" spans="17:17" x14ac:dyDescent="0.25">
      <c r="Q35442" s="8"/>
    </row>
    <row r="35443" spans="17:17" x14ac:dyDescent="0.25">
      <c r="Q35443" s="8"/>
    </row>
    <row r="35444" spans="17:17" x14ac:dyDescent="0.25">
      <c r="Q35444" s="8"/>
    </row>
    <row r="35445" spans="17:17" x14ac:dyDescent="0.25">
      <c r="Q35445" s="8"/>
    </row>
    <row r="35446" spans="17:17" x14ac:dyDescent="0.25">
      <c r="Q35446" s="8"/>
    </row>
    <row r="35447" spans="17:17" x14ac:dyDescent="0.25">
      <c r="Q35447" s="8"/>
    </row>
    <row r="35448" spans="17:17" x14ac:dyDescent="0.25">
      <c r="Q35448" s="8"/>
    </row>
    <row r="35449" spans="17:17" x14ac:dyDescent="0.25">
      <c r="Q35449" s="8"/>
    </row>
    <row r="35450" spans="17:17" x14ac:dyDescent="0.25">
      <c r="Q35450" s="8"/>
    </row>
    <row r="35451" spans="17:17" x14ac:dyDescent="0.25">
      <c r="Q35451" s="8"/>
    </row>
    <row r="35452" spans="17:17" x14ac:dyDescent="0.25">
      <c r="Q35452" s="8"/>
    </row>
    <row r="35453" spans="17:17" x14ac:dyDescent="0.25">
      <c r="Q35453" s="8"/>
    </row>
    <row r="35454" spans="17:17" x14ac:dyDescent="0.25">
      <c r="Q35454" s="8"/>
    </row>
    <row r="35455" spans="17:17" x14ac:dyDescent="0.25">
      <c r="Q35455" s="8"/>
    </row>
    <row r="35456" spans="17:17" x14ac:dyDescent="0.25">
      <c r="Q35456" s="8"/>
    </row>
    <row r="35457" spans="17:17" x14ac:dyDescent="0.25">
      <c r="Q35457" s="8"/>
    </row>
    <row r="35458" spans="17:17" x14ac:dyDescent="0.25">
      <c r="Q35458" s="8"/>
    </row>
    <row r="35459" spans="17:17" x14ac:dyDescent="0.25">
      <c r="Q35459" s="8"/>
    </row>
    <row r="35460" spans="17:17" x14ac:dyDescent="0.25">
      <c r="Q35460" s="8"/>
    </row>
    <row r="35461" spans="17:17" x14ac:dyDescent="0.25">
      <c r="Q35461" s="8"/>
    </row>
    <row r="35462" spans="17:17" x14ac:dyDescent="0.25">
      <c r="Q35462" s="8"/>
    </row>
    <row r="35463" spans="17:17" x14ac:dyDescent="0.25">
      <c r="Q35463" s="8"/>
    </row>
    <row r="35464" spans="17:17" x14ac:dyDescent="0.25">
      <c r="Q35464" s="8"/>
    </row>
    <row r="35465" spans="17:17" x14ac:dyDescent="0.25">
      <c r="Q35465" s="8"/>
    </row>
    <row r="35466" spans="17:17" x14ac:dyDescent="0.25">
      <c r="Q35466" s="8"/>
    </row>
    <row r="35467" spans="17:17" x14ac:dyDescent="0.25">
      <c r="Q35467" s="8"/>
    </row>
    <row r="35468" spans="17:17" x14ac:dyDescent="0.25">
      <c r="Q35468" s="8"/>
    </row>
    <row r="35469" spans="17:17" x14ac:dyDescent="0.25">
      <c r="Q35469" s="8"/>
    </row>
    <row r="35470" spans="17:17" x14ac:dyDescent="0.25">
      <c r="Q35470" s="8"/>
    </row>
    <row r="35471" spans="17:17" x14ac:dyDescent="0.25">
      <c r="Q35471" s="8"/>
    </row>
    <row r="35472" spans="17:17" x14ac:dyDescent="0.25">
      <c r="Q35472" s="8"/>
    </row>
    <row r="35473" spans="17:17" x14ac:dyDescent="0.25">
      <c r="Q35473" s="8"/>
    </row>
    <row r="35474" spans="17:17" x14ac:dyDescent="0.25">
      <c r="Q35474" s="8"/>
    </row>
    <row r="35475" spans="17:17" x14ac:dyDescent="0.25">
      <c r="Q35475" s="8"/>
    </row>
    <row r="35476" spans="17:17" x14ac:dyDescent="0.25">
      <c r="Q35476" s="8"/>
    </row>
    <row r="35477" spans="17:17" x14ac:dyDescent="0.25">
      <c r="Q35477" s="8"/>
    </row>
    <row r="35478" spans="17:17" x14ac:dyDescent="0.25">
      <c r="Q35478" s="8"/>
    </row>
    <row r="35479" spans="17:17" x14ac:dyDescent="0.25">
      <c r="Q35479" s="8"/>
    </row>
    <row r="35480" spans="17:17" x14ac:dyDescent="0.25">
      <c r="Q35480" s="8"/>
    </row>
    <row r="35481" spans="17:17" x14ac:dyDescent="0.25">
      <c r="Q35481" s="8"/>
    </row>
    <row r="35482" spans="17:17" x14ac:dyDescent="0.25">
      <c r="Q35482" s="8"/>
    </row>
    <row r="35483" spans="17:17" x14ac:dyDescent="0.25">
      <c r="Q35483" s="8"/>
    </row>
    <row r="35484" spans="17:17" x14ac:dyDescent="0.25">
      <c r="Q35484" s="8"/>
    </row>
    <row r="35485" spans="17:17" x14ac:dyDescent="0.25">
      <c r="Q35485" s="8"/>
    </row>
    <row r="35486" spans="17:17" x14ac:dyDescent="0.25">
      <c r="Q35486" s="8"/>
    </row>
    <row r="35487" spans="17:17" x14ac:dyDescent="0.25">
      <c r="Q35487" s="8"/>
    </row>
    <row r="35488" spans="17:17" x14ac:dyDescent="0.25">
      <c r="Q35488" s="8"/>
    </row>
    <row r="35489" spans="17:17" x14ac:dyDescent="0.25">
      <c r="Q35489" s="8"/>
    </row>
    <row r="35490" spans="17:17" x14ac:dyDescent="0.25">
      <c r="Q35490" s="8"/>
    </row>
    <row r="35491" spans="17:17" x14ac:dyDescent="0.25">
      <c r="Q35491" s="8"/>
    </row>
    <row r="35492" spans="17:17" x14ac:dyDescent="0.25">
      <c r="Q35492" s="8"/>
    </row>
    <row r="35493" spans="17:17" x14ac:dyDescent="0.25">
      <c r="Q35493" s="8"/>
    </row>
    <row r="35494" spans="17:17" x14ac:dyDescent="0.25">
      <c r="Q35494" s="8"/>
    </row>
    <row r="35495" spans="17:17" x14ac:dyDescent="0.25">
      <c r="Q35495" s="8"/>
    </row>
    <row r="35496" spans="17:17" x14ac:dyDescent="0.25">
      <c r="Q35496" s="8"/>
    </row>
    <row r="35497" spans="17:17" x14ac:dyDescent="0.25">
      <c r="Q35497" s="8"/>
    </row>
    <row r="35498" spans="17:17" x14ac:dyDescent="0.25">
      <c r="Q35498" s="8"/>
    </row>
    <row r="35499" spans="17:17" x14ac:dyDescent="0.25">
      <c r="Q35499" s="8"/>
    </row>
    <row r="35500" spans="17:17" x14ac:dyDescent="0.25">
      <c r="Q35500" s="8"/>
    </row>
    <row r="35501" spans="17:17" x14ac:dyDescent="0.25">
      <c r="Q35501" s="8"/>
    </row>
    <row r="35502" spans="17:17" x14ac:dyDescent="0.25">
      <c r="Q35502" s="8"/>
    </row>
    <row r="35503" spans="17:17" x14ac:dyDescent="0.25">
      <c r="Q35503" s="8"/>
    </row>
    <row r="35504" spans="17:17" x14ac:dyDescent="0.25">
      <c r="Q35504" s="8"/>
    </row>
    <row r="35505" spans="17:17" x14ac:dyDescent="0.25">
      <c r="Q35505" s="8"/>
    </row>
    <row r="35506" spans="17:17" x14ac:dyDescent="0.25">
      <c r="Q35506" s="8"/>
    </row>
    <row r="35507" spans="17:17" x14ac:dyDescent="0.25">
      <c r="Q35507" s="8"/>
    </row>
    <row r="35508" spans="17:17" x14ac:dyDescent="0.25">
      <c r="Q35508" s="8"/>
    </row>
    <row r="35509" spans="17:17" x14ac:dyDescent="0.25">
      <c r="Q35509" s="8"/>
    </row>
    <row r="35510" spans="17:17" x14ac:dyDescent="0.25">
      <c r="Q35510" s="8"/>
    </row>
    <row r="35511" spans="17:17" x14ac:dyDescent="0.25">
      <c r="Q35511" s="8"/>
    </row>
    <row r="35512" spans="17:17" x14ac:dyDescent="0.25">
      <c r="Q35512" s="8"/>
    </row>
    <row r="35513" spans="17:17" x14ac:dyDescent="0.25">
      <c r="Q35513" s="8"/>
    </row>
    <row r="35514" spans="17:17" x14ac:dyDescent="0.25">
      <c r="Q35514" s="8"/>
    </row>
    <row r="35515" spans="17:17" x14ac:dyDescent="0.25">
      <c r="Q35515" s="8"/>
    </row>
    <row r="35516" spans="17:17" x14ac:dyDescent="0.25">
      <c r="Q35516" s="8"/>
    </row>
    <row r="35517" spans="17:17" x14ac:dyDescent="0.25">
      <c r="Q35517" s="8"/>
    </row>
    <row r="35518" spans="17:17" x14ac:dyDescent="0.25">
      <c r="Q35518" s="8"/>
    </row>
    <row r="35519" spans="17:17" x14ac:dyDescent="0.25">
      <c r="Q35519" s="8"/>
    </row>
    <row r="35520" spans="17:17" x14ac:dyDescent="0.25">
      <c r="Q35520" s="8"/>
    </row>
    <row r="35521" spans="17:17" x14ac:dyDescent="0.25">
      <c r="Q35521" s="8"/>
    </row>
    <row r="35522" spans="17:17" x14ac:dyDescent="0.25">
      <c r="Q35522" s="8"/>
    </row>
    <row r="35523" spans="17:17" x14ac:dyDescent="0.25">
      <c r="Q35523" s="8"/>
    </row>
    <row r="35524" spans="17:17" x14ac:dyDescent="0.25">
      <c r="Q35524" s="8"/>
    </row>
    <row r="35525" spans="17:17" x14ac:dyDescent="0.25">
      <c r="Q35525" s="8"/>
    </row>
    <row r="35526" spans="17:17" x14ac:dyDescent="0.25">
      <c r="Q35526" s="8"/>
    </row>
    <row r="35527" spans="17:17" x14ac:dyDescent="0.25">
      <c r="Q35527" s="8"/>
    </row>
    <row r="35528" spans="17:17" x14ac:dyDescent="0.25">
      <c r="Q35528" s="8"/>
    </row>
    <row r="35529" spans="17:17" x14ac:dyDescent="0.25">
      <c r="Q35529" s="8"/>
    </row>
    <row r="35530" spans="17:17" x14ac:dyDescent="0.25">
      <c r="Q35530" s="8"/>
    </row>
    <row r="35531" spans="17:17" x14ac:dyDescent="0.25">
      <c r="Q35531" s="8"/>
    </row>
    <row r="35532" spans="17:17" x14ac:dyDescent="0.25">
      <c r="Q35532" s="8"/>
    </row>
    <row r="35533" spans="17:17" x14ac:dyDescent="0.25">
      <c r="Q35533" s="8"/>
    </row>
    <row r="35534" spans="17:17" x14ac:dyDescent="0.25">
      <c r="Q35534" s="8"/>
    </row>
    <row r="35535" spans="17:17" x14ac:dyDescent="0.25">
      <c r="Q35535" s="8"/>
    </row>
    <row r="35536" spans="17:17" x14ac:dyDescent="0.25">
      <c r="Q35536" s="8"/>
    </row>
    <row r="35537" spans="17:17" x14ac:dyDescent="0.25">
      <c r="Q35537" s="8"/>
    </row>
    <row r="35538" spans="17:17" x14ac:dyDescent="0.25">
      <c r="Q35538" s="8"/>
    </row>
    <row r="35539" spans="17:17" x14ac:dyDescent="0.25">
      <c r="Q35539" s="8"/>
    </row>
    <row r="35540" spans="17:17" x14ac:dyDescent="0.25">
      <c r="Q35540" s="8"/>
    </row>
    <row r="35541" spans="17:17" x14ac:dyDescent="0.25">
      <c r="Q35541" s="8"/>
    </row>
    <row r="35542" spans="17:17" x14ac:dyDescent="0.25">
      <c r="Q35542" s="8"/>
    </row>
    <row r="35543" spans="17:17" x14ac:dyDescent="0.25">
      <c r="Q35543" s="8"/>
    </row>
    <row r="35544" spans="17:17" x14ac:dyDescent="0.25">
      <c r="Q35544" s="8"/>
    </row>
    <row r="35545" spans="17:17" x14ac:dyDescent="0.25">
      <c r="Q35545" s="8"/>
    </row>
    <row r="35546" spans="17:17" x14ac:dyDescent="0.25">
      <c r="Q35546" s="8"/>
    </row>
    <row r="35547" spans="17:17" x14ac:dyDescent="0.25">
      <c r="Q35547" s="8"/>
    </row>
    <row r="35548" spans="17:17" x14ac:dyDescent="0.25">
      <c r="Q35548" s="8"/>
    </row>
    <row r="35549" spans="17:17" x14ac:dyDescent="0.25">
      <c r="Q35549" s="8"/>
    </row>
    <row r="35550" spans="17:17" x14ac:dyDescent="0.25">
      <c r="Q35550" s="8"/>
    </row>
    <row r="35551" spans="17:17" x14ac:dyDescent="0.25">
      <c r="Q35551" s="8"/>
    </row>
    <row r="35552" spans="17:17" x14ac:dyDescent="0.25">
      <c r="Q35552" s="8"/>
    </row>
    <row r="35553" spans="17:17" x14ac:dyDescent="0.25">
      <c r="Q35553" s="8"/>
    </row>
    <row r="35554" spans="17:17" x14ac:dyDescent="0.25">
      <c r="Q35554" s="8"/>
    </row>
    <row r="35555" spans="17:17" x14ac:dyDescent="0.25">
      <c r="Q35555" s="8"/>
    </row>
    <row r="35556" spans="17:17" x14ac:dyDescent="0.25">
      <c r="Q35556" s="8"/>
    </row>
    <row r="35557" spans="17:17" x14ac:dyDescent="0.25">
      <c r="Q35557" s="8"/>
    </row>
    <row r="35558" spans="17:17" x14ac:dyDescent="0.25">
      <c r="Q35558" s="8"/>
    </row>
    <row r="35559" spans="17:17" x14ac:dyDescent="0.25">
      <c r="Q35559" s="8"/>
    </row>
    <row r="35560" spans="17:17" x14ac:dyDescent="0.25">
      <c r="Q35560" s="8"/>
    </row>
    <row r="35561" spans="17:17" x14ac:dyDescent="0.25">
      <c r="Q35561" s="8"/>
    </row>
    <row r="35562" spans="17:17" x14ac:dyDescent="0.25">
      <c r="Q35562" s="8"/>
    </row>
    <row r="35563" spans="17:17" x14ac:dyDescent="0.25">
      <c r="Q35563" s="8"/>
    </row>
    <row r="35564" spans="17:17" x14ac:dyDescent="0.25">
      <c r="Q35564" s="8"/>
    </row>
    <row r="35565" spans="17:17" x14ac:dyDescent="0.25">
      <c r="Q35565" s="8"/>
    </row>
    <row r="35566" spans="17:17" x14ac:dyDescent="0.25">
      <c r="Q35566" s="8"/>
    </row>
    <row r="35567" spans="17:17" x14ac:dyDescent="0.25">
      <c r="Q35567" s="8"/>
    </row>
    <row r="35568" spans="17:17" x14ac:dyDescent="0.25">
      <c r="Q35568" s="8"/>
    </row>
    <row r="35569" spans="17:17" x14ac:dyDescent="0.25">
      <c r="Q35569" s="8"/>
    </row>
    <row r="35570" spans="17:17" x14ac:dyDescent="0.25">
      <c r="Q35570" s="8"/>
    </row>
    <row r="35571" spans="17:17" x14ac:dyDescent="0.25">
      <c r="Q35571" s="8"/>
    </row>
    <row r="35572" spans="17:17" x14ac:dyDescent="0.25">
      <c r="Q35572" s="8"/>
    </row>
    <row r="35573" spans="17:17" x14ac:dyDescent="0.25">
      <c r="Q35573" s="8"/>
    </row>
    <row r="35574" spans="17:17" x14ac:dyDescent="0.25">
      <c r="Q35574" s="8"/>
    </row>
    <row r="35575" spans="17:17" x14ac:dyDescent="0.25">
      <c r="Q35575" s="8"/>
    </row>
    <row r="35576" spans="17:17" x14ac:dyDescent="0.25">
      <c r="Q35576" s="8"/>
    </row>
    <row r="35577" spans="17:17" x14ac:dyDescent="0.25">
      <c r="Q35577" s="8"/>
    </row>
    <row r="35578" spans="17:17" x14ac:dyDescent="0.25">
      <c r="Q35578" s="8"/>
    </row>
    <row r="35579" spans="17:17" x14ac:dyDescent="0.25">
      <c r="Q35579" s="8"/>
    </row>
    <row r="35580" spans="17:17" x14ac:dyDescent="0.25">
      <c r="Q35580" s="8"/>
    </row>
    <row r="35581" spans="17:17" x14ac:dyDescent="0.25">
      <c r="Q35581" s="8"/>
    </row>
    <row r="35582" spans="17:17" x14ac:dyDescent="0.25">
      <c r="Q35582" s="8"/>
    </row>
    <row r="35583" spans="17:17" x14ac:dyDescent="0.25">
      <c r="Q35583" s="8"/>
    </row>
    <row r="35584" spans="17:17" x14ac:dyDescent="0.25">
      <c r="Q35584" s="8"/>
    </row>
    <row r="35585" spans="17:17" x14ac:dyDescent="0.25">
      <c r="Q35585" s="8"/>
    </row>
    <row r="35586" spans="17:17" x14ac:dyDescent="0.25">
      <c r="Q35586" s="8"/>
    </row>
    <row r="35587" spans="17:17" x14ac:dyDescent="0.25">
      <c r="Q35587" s="8"/>
    </row>
    <row r="35588" spans="17:17" x14ac:dyDescent="0.25">
      <c r="Q35588" s="8"/>
    </row>
    <row r="35589" spans="17:17" x14ac:dyDescent="0.25">
      <c r="Q35589" s="8"/>
    </row>
    <row r="35590" spans="17:17" x14ac:dyDescent="0.25">
      <c r="Q35590" s="8"/>
    </row>
    <row r="35591" spans="17:17" x14ac:dyDescent="0.25">
      <c r="Q35591" s="8"/>
    </row>
    <row r="35592" spans="17:17" x14ac:dyDescent="0.25">
      <c r="Q35592" s="8"/>
    </row>
    <row r="35593" spans="17:17" x14ac:dyDescent="0.25">
      <c r="Q35593" s="8"/>
    </row>
    <row r="35594" spans="17:17" x14ac:dyDescent="0.25">
      <c r="Q35594" s="8"/>
    </row>
    <row r="35595" spans="17:17" x14ac:dyDescent="0.25">
      <c r="Q35595" s="8"/>
    </row>
    <row r="35596" spans="17:17" x14ac:dyDescent="0.25">
      <c r="Q35596" s="8"/>
    </row>
    <row r="35597" spans="17:17" x14ac:dyDescent="0.25">
      <c r="Q35597" s="8"/>
    </row>
    <row r="35598" spans="17:17" x14ac:dyDescent="0.25">
      <c r="Q35598" s="8"/>
    </row>
    <row r="35599" spans="17:17" x14ac:dyDescent="0.25">
      <c r="Q35599" s="8"/>
    </row>
    <row r="35600" spans="17:17" x14ac:dyDescent="0.25">
      <c r="Q35600" s="8"/>
    </row>
    <row r="35601" spans="17:17" x14ac:dyDescent="0.25">
      <c r="Q35601" s="8"/>
    </row>
    <row r="35602" spans="17:17" x14ac:dyDescent="0.25">
      <c r="Q35602" s="8"/>
    </row>
    <row r="35603" spans="17:17" x14ac:dyDescent="0.25">
      <c r="Q35603" s="8"/>
    </row>
    <row r="35604" spans="17:17" x14ac:dyDescent="0.25">
      <c r="Q35604" s="8"/>
    </row>
    <row r="35605" spans="17:17" x14ac:dyDescent="0.25">
      <c r="Q35605" s="8"/>
    </row>
    <row r="35606" spans="17:17" x14ac:dyDescent="0.25">
      <c r="Q35606" s="8"/>
    </row>
    <row r="35607" spans="17:17" x14ac:dyDescent="0.25">
      <c r="Q35607" s="8"/>
    </row>
    <row r="35608" spans="17:17" x14ac:dyDescent="0.25">
      <c r="Q35608" s="8"/>
    </row>
    <row r="35609" spans="17:17" x14ac:dyDescent="0.25">
      <c r="Q35609" s="8"/>
    </row>
    <row r="35610" spans="17:17" x14ac:dyDescent="0.25">
      <c r="Q35610" s="8"/>
    </row>
    <row r="35611" spans="17:17" x14ac:dyDescent="0.25">
      <c r="Q35611" s="8"/>
    </row>
    <row r="35612" spans="17:17" x14ac:dyDescent="0.25">
      <c r="Q35612" s="8"/>
    </row>
    <row r="35613" spans="17:17" x14ac:dyDescent="0.25">
      <c r="Q35613" s="8"/>
    </row>
    <row r="35614" spans="17:17" x14ac:dyDescent="0.25">
      <c r="Q35614" s="8"/>
    </row>
    <row r="35615" spans="17:17" x14ac:dyDescent="0.25">
      <c r="Q35615" s="8"/>
    </row>
    <row r="35616" spans="17:17" x14ac:dyDescent="0.25">
      <c r="Q35616" s="8"/>
    </row>
    <row r="35617" spans="17:17" x14ac:dyDescent="0.25">
      <c r="Q35617" s="8"/>
    </row>
    <row r="35618" spans="17:17" x14ac:dyDescent="0.25">
      <c r="Q35618" s="8"/>
    </row>
    <row r="35619" spans="17:17" x14ac:dyDescent="0.25">
      <c r="Q35619" s="8"/>
    </row>
    <row r="35620" spans="17:17" x14ac:dyDescent="0.25">
      <c r="Q35620" s="8"/>
    </row>
    <row r="35621" spans="17:17" x14ac:dyDescent="0.25">
      <c r="Q35621" s="8"/>
    </row>
    <row r="35622" spans="17:17" x14ac:dyDescent="0.25">
      <c r="Q35622" s="8"/>
    </row>
    <row r="35623" spans="17:17" x14ac:dyDescent="0.25">
      <c r="Q35623" s="8"/>
    </row>
    <row r="35624" spans="17:17" x14ac:dyDescent="0.25">
      <c r="Q35624" s="8"/>
    </row>
    <row r="35625" spans="17:17" x14ac:dyDescent="0.25">
      <c r="Q35625" s="8"/>
    </row>
    <row r="35626" spans="17:17" x14ac:dyDescent="0.25">
      <c r="Q35626" s="8"/>
    </row>
    <row r="35627" spans="17:17" x14ac:dyDescent="0.25">
      <c r="Q35627" s="8"/>
    </row>
    <row r="35628" spans="17:17" x14ac:dyDescent="0.25">
      <c r="Q35628" s="8"/>
    </row>
    <row r="35629" spans="17:17" x14ac:dyDescent="0.25">
      <c r="Q35629" s="8"/>
    </row>
    <row r="35630" spans="17:17" x14ac:dyDescent="0.25">
      <c r="Q35630" s="8"/>
    </row>
    <row r="35631" spans="17:17" x14ac:dyDescent="0.25">
      <c r="Q35631" s="8"/>
    </row>
    <row r="35632" spans="17:17" x14ac:dyDescent="0.25">
      <c r="Q35632" s="8"/>
    </row>
    <row r="35633" spans="17:17" x14ac:dyDescent="0.25">
      <c r="Q35633" s="8"/>
    </row>
    <row r="35634" spans="17:17" x14ac:dyDescent="0.25">
      <c r="Q35634" s="8"/>
    </row>
    <row r="35635" spans="17:17" x14ac:dyDescent="0.25">
      <c r="Q35635" s="8"/>
    </row>
    <row r="35636" spans="17:17" x14ac:dyDescent="0.25">
      <c r="Q35636" s="8"/>
    </row>
    <row r="35637" spans="17:17" x14ac:dyDescent="0.25">
      <c r="Q35637" s="8"/>
    </row>
    <row r="35638" spans="17:17" x14ac:dyDescent="0.25">
      <c r="Q35638" s="8"/>
    </row>
    <row r="35639" spans="17:17" x14ac:dyDescent="0.25">
      <c r="Q35639" s="8"/>
    </row>
    <row r="35640" spans="17:17" x14ac:dyDescent="0.25">
      <c r="Q35640" s="8"/>
    </row>
    <row r="35641" spans="17:17" x14ac:dyDescent="0.25">
      <c r="Q35641" s="8"/>
    </row>
    <row r="35642" spans="17:17" x14ac:dyDescent="0.25">
      <c r="Q35642" s="8"/>
    </row>
    <row r="35643" spans="17:17" x14ac:dyDescent="0.25">
      <c r="Q35643" s="8"/>
    </row>
    <row r="35644" spans="17:17" x14ac:dyDescent="0.25">
      <c r="Q35644" s="8"/>
    </row>
    <row r="35645" spans="17:17" x14ac:dyDescent="0.25">
      <c r="Q35645" s="8"/>
    </row>
    <row r="35646" spans="17:17" x14ac:dyDescent="0.25">
      <c r="Q35646" s="8"/>
    </row>
    <row r="35647" spans="17:17" x14ac:dyDescent="0.25">
      <c r="Q35647" s="8"/>
    </row>
    <row r="35648" spans="17:17" x14ac:dyDescent="0.25">
      <c r="Q35648" s="8"/>
    </row>
    <row r="35649" spans="17:17" x14ac:dyDescent="0.25">
      <c r="Q35649" s="8"/>
    </row>
    <row r="35650" spans="17:17" x14ac:dyDescent="0.25">
      <c r="Q35650" s="8"/>
    </row>
    <row r="35651" spans="17:17" x14ac:dyDescent="0.25">
      <c r="Q35651" s="8"/>
    </row>
    <row r="35652" spans="17:17" x14ac:dyDescent="0.25">
      <c r="Q35652" s="8"/>
    </row>
    <row r="35653" spans="17:17" x14ac:dyDescent="0.25">
      <c r="Q35653" s="8"/>
    </row>
    <row r="35654" spans="17:17" x14ac:dyDescent="0.25">
      <c r="Q35654" s="8"/>
    </row>
    <row r="35655" spans="17:17" x14ac:dyDescent="0.25">
      <c r="Q35655" s="8"/>
    </row>
    <row r="35656" spans="17:17" x14ac:dyDescent="0.25">
      <c r="Q35656" s="8"/>
    </row>
    <row r="35657" spans="17:17" x14ac:dyDescent="0.25">
      <c r="Q35657" s="8"/>
    </row>
    <row r="35658" spans="17:17" x14ac:dyDescent="0.25">
      <c r="Q35658" s="8"/>
    </row>
    <row r="35659" spans="17:17" x14ac:dyDescent="0.25">
      <c r="Q35659" s="8"/>
    </row>
    <row r="35660" spans="17:17" x14ac:dyDescent="0.25">
      <c r="Q35660" s="8"/>
    </row>
    <row r="35661" spans="17:17" x14ac:dyDescent="0.25">
      <c r="Q35661" s="8"/>
    </row>
    <row r="35662" spans="17:17" x14ac:dyDescent="0.25">
      <c r="Q35662" s="8"/>
    </row>
    <row r="35663" spans="17:17" x14ac:dyDescent="0.25">
      <c r="Q35663" s="8"/>
    </row>
    <row r="35664" spans="17:17" x14ac:dyDescent="0.25">
      <c r="Q35664" s="8"/>
    </row>
    <row r="35665" spans="17:17" x14ac:dyDescent="0.25">
      <c r="Q35665" s="8"/>
    </row>
    <row r="35666" spans="17:17" x14ac:dyDescent="0.25">
      <c r="Q35666" s="8"/>
    </row>
    <row r="35667" spans="17:17" x14ac:dyDescent="0.25">
      <c r="Q35667" s="8"/>
    </row>
    <row r="35668" spans="17:17" x14ac:dyDescent="0.25">
      <c r="Q35668" s="8"/>
    </row>
    <row r="35669" spans="17:17" x14ac:dyDescent="0.25">
      <c r="Q35669" s="8"/>
    </row>
    <row r="35670" spans="17:17" x14ac:dyDescent="0.25">
      <c r="Q35670" s="8"/>
    </row>
    <row r="35671" spans="17:17" x14ac:dyDescent="0.25">
      <c r="Q35671" s="8"/>
    </row>
    <row r="35672" spans="17:17" x14ac:dyDescent="0.25">
      <c r="Q35672" s="8"/>
    </row>
    <row r="35673" spans="17:17" x14ac:dyDescent="0.25">
      <c r="Q35673" s="8"/>
    </row>
    <row r="35674" spans="17:17" x14ac:dyDescent="0.25">
      <c r="Q35674" s="8"/>
    </row>
    <row r="35675" spans="17:17" x14ac:dyDescent="0.25">
      <c r="Q35675" s="8"/>
    </row>
    <row r="35676" spans="17:17" x14ac:dyDescent="0.25">
      <c r="Q35676" s="8"/>
    </row>
    <row r="35677" spans="17:17" x14ac:dyDescent="0.25">
      <c r="Q35677" s="8"/>
    </row>
    <row r="35678" spans="17:17" x14ac:dyDescent="0.25">
      <c r="Q35678" s="8"/>
    </row>
    <row r="35679" spans="17:17" x14ac:dyDescent="0.25">
      <c r="Q35679" s="8"/>
    </row>
    <row r="35680" spans="17:17" x14ac:dyDescent="0.25">
      <c r="Q35680" s="8"/>
    </row>
    <row r="35681" spans="17:17" x14ac:dyDescent="0.25">
      <c r="Q35681" s="8"/>
    </row>
    <row r="35682" spans="17:17" x14ac:dyDescent="0.25">
      <c r="Q35682" s="8"/>
    </row>
    <row r="35683" spans="17:17" x14ac:dyDescent="0.25">
      <c r="Q35683" s="8"/>
    </row>
    <row r="35684" spans="17:17" x14ac:dyDescent="0.25">
      <c r="Q35684" s="8"/>
    </row>
    <row r="35685" spans="17:17" x14ac:dyDescent="0.25">
      <c r="Q35685" s="8"/>
    </row>
    <row r="35686" spans="17:17" x14ac:dyDescent="0.25">
      <c r="Q35686" s="8"/>
    </row>
    <row r="35687" spans="17:17" x14ac:dyDescent="0.25">
      <c r="Q35687" s="8"/>
    </row>
    <row r="35688" spans="17:17" x14ac:dyDescent="0.25">
      <c r="Q35688" s="8"/>
    </row>
    <row r="35689" spans="17:17" x14ac:dyDescent="0.25">
      <c r="Q35689" s="8"/>
    </row>
    <row r="35690" spans="17:17" x14ac:dyDescent="0.25">
      <c r="Q35690" s="8"/>
    </row>
    <row r="35691" spans="17:17" x14ac:dyDescent="0.25">
      <c r="Q35691" s="8"/>
    </row>
    <row r="35692" spans="17:17" x14ac:dyDescent="0.25">
      <c r="Q35692" s="8"/>
    </row>
    <row r="35693" spans="17:17" x14ac:dyDescent="0.25">
      <c r="Q35693" s="8"/>
    </row>
    <row r="35694" spans="17:17" x14ac:dyDescent="0.25">
      <c r="Q35694" s="8"/>
    </row>
    <row r="35695" spans="17:17" x14ac:dyDescent="0.25">
      <c r="Q35695" s="8"/>
    </row>
    <row r="35696" spans="17:17" x14ac:dyDescent="0.25">
      <c r="Q35696" s="8"/>
    </row>
    <row r="35697" spans="17:17" x14ac:dyDescent="0.25">
      <c r="Q35697" s="8"/>
    </row>
    <row r="35698" spans="17:17" x14ac:dyDescent="0.25">
      <c r="Q35698" s="8"/>
    </row>
    <row r="35699" spans="17:17" x14ac:dyDescent="0.25">
      <c r="Q35699" s="8"/>
    </row>
    <row r="35700" spans="17:17" x14ac:dyDescent="0.25">
      <c r="Q35700" s="8"/>
    </row>
    <row r="35701" spans="17:17" x14ac:dyDescent="0.25">
      <c r="Q35701" s="8"/>
    </row>
    <row r="35702" spans="17:17" x14ac:dyDescent="0.25">
      <c r="Q35702" s="8"/>
    </row>
    <row r="35703" spans="17:17" x14ac:dyDescent="0.25">
      <c r="Q35703" s="8"/>
    </row>
    <row r="35704" spans="17:17" x14ac:dyDescent="0.25">
      <c r="Q35704" s="8"/>
    </row>
    <row r="35705" spans="17:17" x14ac:dyDescent="0.25">
      <c r="Q35705" s="8"/>
    </row>
    <row r="35706" spans="17:17" x14ac:dyDescent="0.25">
      <c r="Q35706" s="8"/>
    </row>
    <row r="35707" spans="17:17" x14ac:dyDescent="0.25">
      <c r="Q35707" s="8"/>
    </row>
    <row r="35708" spans="17:17" x14ac:dyDescent="0.25">
      <c r="Q35708" s="8"/>
    </row>
    <row r="35709" spans="17:17" x14ac:dyDescent="0.25">
      <c r="Q35709" s="8"/>
    </row>
    <row r="35710" spans="17:17" x14ac:dyDescent="0.25">
      <c r="Q35710" s="8"/>
    </row>
    <row r="35711" spans="17:17" x14ac:dyDescent="0.25">
      <c r="Q35711" s="8"/>
    </row>
    <row r="35712" spans="17:17" x14ac:dyDescent="0.25">
      <c r="Q35712" s="8"/>
    </row>
    <row r="35713" spans="17:17" x14ac:dyDescent="0.25">
      <c r="Q35713" s="8"/>
    </row>
    <row r="35714" spans="17:17" x14ac:dyDescent="0.25">
      <c r="Q35714" s="8"/>
    </row>
    <row r="35715" spans="17:17" x14ac:dyDescent="0.25">
      <c r="Q35715" s="8"/>
    </row>
    <row r="35716" spans="17:17" x14ac:dyDescent="0.25">
      <c r="Q35716" s="8"/>
    </row>
    <row r="35717" spans="17:17" x14ac:dyDescent="0.25">
      <c r="Q35717" s="8"/>
    </row>
    <row r="35718" spans="17:17" x14ac:dyDescent="0.25">
      <c r="Q35718" s="8"/>
    </row>
    <row r="35719" spans="17:17" x14ac:dyDescent="0.25">
      <c r="Q35719" s="8"/>
    </row>
    <row r="35720" spans="17:17" x14ac:dyDescent="0.25">
      <c r="Q35720" s="8"/>
    </row>
    <row r="35721" spans="17:17" x14ac:dyDescent="0.25">
      <c r="Q35721" s="8"/>
    </row>
    <row r="35722" spans="17:17" x14ac:dyDescent="0.25">
      <c r="Q35722" s="8"/>
    </row>
    <row r="35723" spans="17:17" x14ac:dyDescent="0.25">
      <c r="Q35723" s="8"/>
    </row>
    <row r="35724" spans="17:17" x14ac:dyDescent="0.25">
      <c r="Q35724" s="8"/>
    </row>
    <row r="35725" spans="17:17" x14ac:dyDescent="0.25">
      <c r="Q35725" s="8"/>
    </row>
    <row r="35726" spans="17:17" x14ac:dyDescent="0.25">
      <c r="Q35726" s="8"/>
    </row>
    <row r="35727" spans="17:17" x14ac:dyDescent="0.25">
      <c r="Q35727" s="8"/>
    </row>
    <row r="35728" spans="17:17" x14ac:dyDescent="0.25">
      <c r="Q35728" s="8"/>
    </row>
    <row r="35729" spans="17:17" x14ac:dyDescent="0.25">
      <c r="Q35729" s="8"/>
    </row>
    <row r="35730" spans="17:17" x14ac:dyDescent="0.25">
      <c r="Q35730" s="8"/>
    </row>
    <row r="35731" spans="17:17" x14ac:dyDescent="0.25">
      <c r="Q35731" s="8"/>
    </row>
    <row r="35732" spans="17:17" x14ac:dyDescent="0.25">
      <c r="Q35732" s="8"/>
    </row>
    <row r="35733" spans="17:17" x14ac:dyDescent="0.25">
      <c r="Q35733" s="8"/>
    </row>
    <row r="35734" spans="17:17" x14ac:dyDescent="0.25">
      <c r="Q35734" s="8"/>
    </row>
    <row r="35735" spans="17:17" x14ac:dyDescent="0.25">
      <c r="Q35735" s="8"/>
    </row>
    <row r="35736" spans="17:17" x14ac:dyDescent="0.25">
      <c r="Q35736" s="8"/>
    </row>
    <row r="35737" spans="17:17" x14ac:dyDescent="0.25">
      <c r="Q35737" s="8"/>
    </row>
    <row r="35738" spans="17:17" x14ac:dyDescent="0.25">
      <c r="Q35738" s="8"/>
    </row>
    <row r="35739" spans="17:17" x14ac:dyDescent="0.25">
      <c r="Q35739" s="8"/>
    </row>
    <row r="35740" spans="17:17" x14ac:dyDescent="0.25">
      <c r="Q35740" s="8"/>
    </row>
    <row r="35741" spans="17:17" x14ac:dyDescent="0.25">
      <c r="Q35741" s="8"/>
    </row>
    <row r="35742" spans="17:17" x14ac:dyDescent="0.25">
      <c r="Q35742" s="8"/>
    </row>
    <row r="35743" spans="17:17" x14ac:dyDescent="0.25">
      <c r="Q35743" s="8"/>
    </row>
    <row r="35744" spans="17:17" x14ac:dyDescent="0.25">
      <c r="Q35744" s="8"/>
    </row>
    <row r="35745" spans="17:17" x14ac:dyDescent="0.25">
      <c r="Q35745" s="8"/>
    </row>
    <row r="35746" spans="17:17" x14ac:dyDescent="0.25">
      <c r="Q35746" s="8"/>
    </row>
    <row r="35747" spans="17:17" x14ac:dyDescent="0.25">
      <c r="Q35747" s="8"/>
    </row>
    <row r="35748" spans="17:17" x14ac:dyDescent="0.25">
      <c r="Q35748" s="8"/>
    </row>
    <row r="35749" spans="17:17" x14ac:dyDescent="0.25">
      <c r="Q35749" s="8"/>
    </row>
    <row r="35750" spans="17:17" x14ac:dyDescent="0.25">
      <c r="Q35750" s="8"/>
    </row>
    <row r="35751" spans="17:17" x14ac:dyDescent="0.25">
      <c r="Q35751" s="8"/>
    </row>
    <row r="35752" spans="17:17" x14ac:dyDescent="0.25">
      <c r="Q35752" s="8"/>
    </row>
    <row r="35753" spans="17:17" x14ac:dyDescent="0.25">
      <c r="Q35753" s="8"/>
    </row>
    <row r="35754" spans="17:17" x14ac:dyDescent="0.25">
      <c r="Q35754" s="8"/>
    </row>
    <row r="35755" spans="17:17" x14ac:dyDescent="0.25">
      <c r="Q35755" s="8"/>
    </row>
    <row r="35756" spans="17:17" x14ac:dyDescent="0.25">
      <c r="Q35756" s="8"/>
    </row>
    <row r="35757" spans="17:17" x14ac:dyDescent="0.25">
      <c r="Q35757" s="8"/>
    </row>
    <row r="35758" spans="17:17" x14ac:dyDescent="0.25">
      <c r="Q35758" s="8"/>
    </row>
    <row r="35759" spans="17:17" x14ac:dyDescent="0.25">
      <c r="Q35759" s="8"/>
    </row>
    <row r="35760" spans="17:17" x14ac:dyDescent="0.25">
      <c r="Q35760" s="8"/>
    </row>
    <row r="35761" spans="17:17" x14ac:dyDescent="0.25">
      <c r="Q35761" s="8"/>
    </row>
    <row r="35762" spans="17:17" x14ac:dyDescent="0.25">
      <c r="Q35762" s="8"/>
    </row>
    <row r="35763" spans="17:17" x14ac:dyDescent="0.25">
      <c r="Q35763" s="8"/>
    </row>
    <row r="35764" spans="17:17" x14ac:dyDescent="0.25">
      <c r="Q35764" s="8"/>
    </row>
    <row r="35765" spans="17:17" x14ac:dyDescent="0.25">
      <c r="Q35765" s="8"/>
    </row>
    <row r="35766" spans="17:17" x14ac:dyDescent="0.25">
      <c r="Q35766" s="8"/>
    </row>
    <row r="35767" spans="17:17" x14ac:dyDescent="0.25">
      <c r="Q35767" s="8"/>
    </row>
    <row r="35768" spans="17:17" x14ac:dyDescent="0.25">
      <c r="Q35768" s="8"/>
    </row>
    <row r="35769" spans="17:17" x14ac:dyDescent="0.25">
      <c r="Q35769" s="8"/>
    </row>
    <row r="35770" spans="17:17" x14ac:dyDescent="0.25">
      <c r="Q35770" s="8"/>
    </row>
    <row r="35771" spans="17:17" x14ac:dyDescent="0.25">
      <c r="Q35771" s="8"/>
    </row>
    <row r="35772" spans="17:17" x14ac:dyDescent="0.25">
      <c r="Q35772" s="8"/>
    </row>
    <row r="35773" spans="17:17" x14ac:dyDescent="0.25">
      <c r="Q35773" s="8"/>
    </row>
    <row r="35774" spans="17:17" x14ac:dyDescent="0.25">
      <c r="Q35774" s="8"/>
    </row>
    <row r="35775" spans="17:17" x14ac:dyDescent="0.25">
      <c r="Q35775" s="8"/>
    </row>
    <row r="35776" spans="17:17" x14ac:dyDescent="0.25">
      <c r="Q35776" s="8"/>
    </row>
    <row r="35777" spans="17:17" x14ac:dyDescent="0.25">
      <c r="Q35777" s="8"/>
    </row>
    <row r="35778" spans="17:17" x14ac:dyDescent="0.25">
      <c r="Q35778" s="8"/>
    </row>
    <row r="35779" spans="17:17" x14ac:dyDescent="0.25">
      <c r="Q35779" s="8"/>
    </row>
    <row r="35780" spans="17:17" x14ac:dyDescent="0.25">
      <c r="Q35780" s="8"/>
    </row>
    <row r="35781" spans="17:17" x14ac:dyDescent="0.25">
      <c r="Q35781" s="8"/>
    </row>
    <row r="35782" spans="17:17" x14ac:dyDescent="0.25">
      <c r="Q35782" s="8"/>
    </row>
    <row r="35783" spans="17:17" x14ac:dyDescent="0.25">
      <c r="Q35783" s="8"/>
    </row>
    <row r="35784" spans="17:17" x14ac:dyDescent="0.25">
      <c r="Q35784" s="8"/>
    </row>
    <row r="35785" spans="17:17" x14ac:dyDescent="0.25">
      <c r="Q35785" s="8"/>
    </row>
    <row r="35786" spans="17:17" x14ac:dyDescent="0.25">
      <c r="Q35786" s="8"/>
    </row>
    <row r="35787" spans="17:17" x14ac:dyDescent="0.25">
      <c r="Q35787" s="8"/>
    </row>
    <row r="35788" spans="17:17" x14ac:dyDescent="0.25">
      <c r="Q35788" s="8"/>
    </row>
    <row r="35789" spans="17:17" x14ac:dyDescent="0.25">
      <c r="Q35789" s="8"/>
    </row>
    <row r="35790" spans="17:17" x14ac:dyDescent="0.25">
      <c r="Q35790" s="8"/>
    </row>
    <row r="35791" spans="17:17" x14ac:dyDescent="0.25">
      <c r="Q35791" s="8"/>
    </row>
    <row r="35792" spans="17:17" x14ac:dyDescent="0.25">
      <c r="Q35792" s="8"/>
    </row>
    <row r="35793" spans="17:17" x14ac:dyDescent="0.25">
      <c r="Q35793" s="8"/>
    </row>
    <row r="35794" spans="17:17" x14ac:dyDescent="0.25">
      <c r="Q35794" s="8"/>
    </row>
    <row r="35795" spans="17:17" x14ac:dyDescent="0.25">
      <c r="Q35795" s="8"/>
    </row>
    <row r="35796" spans="17:17" x14ac:dyDescent="0.25">
      <c r="Q35796" s="8"/>
    </row>
    <row r="35797" spans="17:17" x14ac:dyDescent="0.25">
      <c r="Q35797" s="8"/>
    </row>
    <row r="35798" spans="17:17" x14ac:dyDescent="0.25">
      <c r="Q35798" s="8"/>
    </row>
    <row r="35799" spans="17:17" x14ac:dyDescent="0.25">
      <c r="Q35799" s="8"/>
    </row>
    <row r="35800" spans="17:17" x14ac:dyDescent="0.25">
      <c r="Q35800" s="8"/>
    </row>
    <row r="35801" spans="17:17" x14ac:dyDescent="0.25">
      <c r="Q35801" s="8"/>
    </row>
    <row r="35802" spans="17:17" x14ac:dyDescent="0.25">
      <c r="Q35802" s="8"/>
    </row>
    <row r="35803" spans="17:17" x14ac:dyDescent="0.25">
      <c r="Q35803" s="8"/>
    </row>
    <row r="35804" spans="17:17" x14ac:dyDescent="0.25">
      <c r="Q35804" s="8"/>
    </row>
    <row r="35805" spans="17:17" x14ac:dyDescent="0.25">
      <c r="Q35805" s="8"/>
    </row>
    <row r="35806" spans="17:17" x14ac:dyDescent="0.25">
      <c r="Q35806" s="8"/>
    </row>
    <row r="35807" spans="17:17" x14ac:dyDescent="0.25">
      <c r="Q35807" s="8"/>
    </row>
    <row r="35808" spans="17:17" x14ac:dyDescent="0.25">
      <c r="Q35808" s="8"/>
    </row>
    <row r="35809" spans="17:17" x14ac:dyDescent="0.25">
      <c r="Q35809" s="8"/>
    </row>
    <row r="35810" spans="17:17" x14ac:dyDescent="0.25">
      <c r="Q35810" s="8"/>
    </row>
    <row r="35811" spans="17:17" x14ac:dyDescent="0.25">
      <c r="Q35811" s="8"/>
    </row>
    <row r="35812" spans="17:17" x14ac:dyDescent="0.25">
      <c r="Q35812" s="8"/>
    </row>
    <row r="35813" spans="17:17" x14ac:dyDescent="0.25">
      <c r="Q35813" s="8"/>
    </row>
    <row r="35814" spans="17:17" x14ac:dyDescent="0.25">
      <c r="Q35814" s="8"/>
    </row>
    <row r="35815" spans="17:17" x14ac:dyDescent="0.25">
      <c r="Q35815" s="8"/>
    </row>
    <row r="35816" spans="17:17" x14ac:dyDescent="0.25">
      <c r="Q35816" s="8"/>
    </row>
    <row r="35817" spans="17:17" x14ac:dyDescent="0.25">
      <c r="Q35817" s="8"/>
    </row>
    <row r="35818" spans="17:17" x14ac:dyDescent="0.25">
      <c r="Q35818" s="8"/>
    </row>
    <row r="35819" spans="17:17" x14ac:dyDescent="0.25">
      <c r="Q35819" s="8"/>
    </row>
    <row r="35820" spans="17:17" x14ac:dyDescent="0.25">
      <c r="Q35820" s="8"/>
    </row>
    <row r="35821" spans="17:17" x14ac:dyDescent="0.25">
      <c r="Q35821" s="8"/>
    </row>
    <row r="35822" spans="17:17" x14ac:dyDescent="0.25">
      <c r="Q35822" s="8"/>
    </row>
    <row r="35823" spans="17:17" x14ac:dyDescent="0.25">
      <c r="Q35823" s="8"/>
    </row>
    <row r="35824" spans="17:17" x14ac:dyDescent="0.25">
      <c r="Q35824" s="8"/>
    </row>
    <row r="35825" spans="17:17" x14ac:dyDescent="0.25">
      <c r="Q35825" s="8"/>
    </row>
    <row r="35826" spans="17:17" x14ac:dyDescent="0.25">
      <c r="Q35826" s="8"/>
    </row>
    <row r="35827" spans="17:17" x14ac:dyDescent="0.25">
      <c r="Q35827" s="8"/>
    </row>
    <row r="35828" spans="17:17" x14ac:dyDescent="0.25">
      <c r="Q35828" s="8"/>
    </row>
    <row r="35829" spans="17:17" x14ac:dyDescent="0.25">
      <c r="Q35829" s="8"/>
    </row>
    <row r="35830" spans="17:17" x14ac:dyDescent="0.25">
      <c r="Q35830" s="8"/>
    </row>
    <row r="35831" spans="17:17" x14ac:dyDescent="0.25">
      <c r="Q35831" s="8"/>
    </row>
    <row r="35832" spans="17:17" x14ac:dyDescent="0.25">
      <c r="Q35832" s="8"/>
    </row>
    <row r="35833" spans="17:17" x14ac:dyDescent="0.25">
      <c r="Q35833" s="8"/>
    </row>
    <row r="35834" spans="17:17" x14ac:dyDescent="0.25">
      <c r="Q35834" s="8"/>
    </row>
    <row r="35835" spans="17:17" x14ac:dyDescent="0.25">
      <c r="Q35835" s="8"/>
    </row>
    <row r="35836" spans="17:17" x14ac:dyDescent="0.25">
      <c r="Q35836" s="8"/>
    </row>
    <row r="35837" spans="17:17" x14ac:dyDescent="0.25">
      <c r="Q35837" s="8"/>
    </row>
    <row r="35838" spans="17:17" x14ac:dyDescent="0.25">
      <c r="Q35838" s="8"/>
    </row>
    <row r="35839" spans="17:17" x14ac:dyDescent="0.25">
      <c r="Q35839" s="8"/>
    </row>
    <row r="35840" spans="17:17" x14ac:dyDescent="0.25">
      <c r="Q35840" s="8"/>
    </row>
    <row r="35841" spans="17:17" x14ac:dyDescent="0.25">
      <c r="Q35841" s="8"/>
    </row>
    <row r="35842" spans="17:17" x14ac:dyDescent="0.25">
      <c r="Q35842" s="8"/>
    </row>
    <row r="35843" spans="17:17" x14ac:dyDescent="0.25">
      <c r="Q35843" s="8"/>
    </row>
    <row r="35844" spans="17:17" x14ac:dyDescent="0.25">
      <c r="Q35844" s="8"/>
    </row>
    <row r="35845" spans="17:17" x14ac:dyDescent="0.25">
      <c r="Q35845" s="8"/>
    </row>
    <row r="35846" spans="17:17" x14ac:dyDescent="0.25">
      <c r="Q35846" s="8"/>
    </row>
    <row r="35847" spans="17:17" x14ac:dyDescent="0.25">
      <c r="Q35847" s="8"/>
    </row>
    <row r="35848" spans="17:17" x14ac:dyDescent="0.25">
      <c r="Q35848" s="8"/>
    </row>
    <row r="35849" spans="17:17" x14ac:dyDescent="0.25">
      <c r="Q35849" s="8"/>
    </row>
    <row r="35850" spans="17:17" x14ac:dyDescent="0.25">
      <c r="Q35850" s="8"/>
    </row>
    <row r="35851" spans="17:17" x14ac:dyDescent="0.25">
      <c r="Q35851" s="8"/>
    </row>
    <row r="35852" spans="17:17" x14ac:dyDescent="0.25">
      <c r="Q35852" s="8"/>
    </row>
    <row r="35853" spans="17:17" x14ac:dyDescent="0.25">
      <c r="Q35853" s="8"/>
    </row>
    <row r="35854" spans="17:17" x14ac:dyDescent="0.25">
      <c r="Q35854" s="8"/>
    </row>
    <row r="35855" spans="17:17" x14ac:dyDescent="0.25">
      <c r="Q35855" s="8"/>
    </row>
    <row r="35856" spans="17:17" x14ac:dyDescent="0.25">
      <c r="Q35856" s="8"/>
    </row>
    <row r="35857" spans="17:17" x14ac:dyDescent="0.25">
      <c r="Q35857" s="8"/>
    </row>
    <row r="35858" spans="17:17" x14ac:dyDescent="0.25">
      <c r="Q35858" s="8"/>
    </row>
    <row r="35859" spans="17:17" x14ac:dyDescent="0.25">
      <c r="Q35859" s="8"/>
    </row>
    <row r="35860" spans="17:17" x14ac:dyDescent="0.25">
      <c r="Q35860" s="8"/>
    </row>
    <row r="35861" spans="17:17" x14ac:dyDescent="0.25">
      <c r="Q35861" s="8"/>
    </row>
    <row r="35862" spans="17:17" x14ac:dyDescent="0.25">
      <c r="Q35862" s="8"/>
    </row>
    <row r="35863" spans="17:17" x14ac:dyDescent="0.25">
      <c r="Q35863" s="8"/>
    </row>
    <row r="35864" spans="17:17" x14ac:dyDescent="0.25">
      <c r="Q35864" s="8"/>
    </row>
    <row r="35865" spans="17:17" x14ac:dyDescent="0.25">
      <c r="Q35865" s="8"/>
    </row>
    <row r="35866" spans="17:17" x14ac:dyDescent="0.25">
      <c r="Q35866" s="8"/>
    </row>
    <row r="35867" spans="17:17" x14ac:dyDescent="0.25">
      <c r="Q35867" s="8"/>
    </row>
    <row r="35868" spans="17:17" x14ac:dyDescent="0.25">
      <c r="Q35868" s="8"/>
    </row>
    <row r="35869" spans="17:17" x14ac:dyDescent="0.25">
      <c r="Q35869" s="8"/>
    </row>
    <row r="35870" spans="17:17" x14ac:dyDescent="0.25">
      <c r="Q35870" s="8"/>
    </row>
    <row r="35871" spans="17:17" x14ac:dyDescent="0.25">
      <c r="Q35871" s="8"/>
    </row>
    <row r="35872" spans="17:17" x14ac:dyDescent="0.25">
      <c r="Q35872" s="8"/>
    </row>
    <row r="35873" spans="17:17" x14ac:dyDescent="0.25">
      <c r="Q35873" s="8"/>
    </row>
    <row r="35874" spans="17:17" x14ac:dyDescent="0.25">
      <c r="Q35874" s="8"/>
    </row>
    <row r="35875" spans="17:17" x14ac:dyDescent="0.25">
      <c r="Q35875" s="8"/>
    </row>
    <row r="35876" spans="17:17" x14ac:dyDescent="0.25">
      <c r="Q35876" s="8"/>
    </row>
    <row r="35877" spans="17:17" x14ac:dyDescent="0.25">
      <c r="Q35877" s="8"/>
    </row>
    <row r="35878" spans="17:17" x14ac:dyDescent="0.25">
      <c r="Q35878" s="8"/>
    </row>
    <row r="35879" spans="17:17" x14ac:dyDescent="0.25">
      <c r="Q35879" s="8"/>
    </row>
    <row r="35880" spans="17:17" x14ac:dyDescent="0.25">
      <c r="Q35880" s="8"/>
    </row>
    <row r="35881" spans="17:17" x14ac:dyDescent="0.25">
      <c r="Q35881" s="8"/>
    </row>
    <row r="35882" spans="17:17" x14ac:dyDescent="0.25">
      <c r="Q35882" s="8"/>
    </row>
    <row r="35883" spans="17:17" x14ac:dyDescent="0.25">
      <c r="Q35883" s="8"/>
    </row>
    <row r="35884" spans="17:17" x14ac:dyDescent="0.25">
      <c r="Q35884" s="8"/>
    </row>
    <row r="35885" spans="17:17" x14ac:dyDescent="0.25">
      <c r="Q35885" s="8"/>
    </row>
    <row r="35886" spans="17:17" x14ac:dyDescent="0.25">
      <c r="Q35886" s="8"/>
    </row>
    <row r="35887" spans="17:17" x14ac:dyDescent="0.25">
      <c r="Q35887" s="8"/>
    </row>
    <row r="35888" spans="17:17" x14ac:dyDescent="0.25">
      <c r="Q35888" s="8"/>
    </row>
    <row r="35889" spans="17:17" x14ac:dyDescent="0.25">
      <c r="Q35889" s="8"/>
    </row>
    <row r="35890" spans="17:17" x14ac:dyDescent="0.25">
      <c r="Q35890" s="8"/>
    </row>
    <row r="35891" spans="17:17" x14ac:dyDescent="0.25">
      <c r="Q35891" s="8"/>
    </row>
    <row r="35892" spans="17:17" x14ac:dyDescent="0.25">
      <c r="Q35892" s="8"/>
    </row>
    <row r="35893" spans="17:17" x14ac:dyDescent="0.25">
      <c r="Q35893" s="8"/>
    </row>
    <row r="35894" spans="17:17" x14ac:dyDescent="0.25">
      <c r="Q35894" s="8"/>
    </row>
    <row r="35895" spans="17:17" x14ac:dyDescent="0.25">
      <c r="Q35895" s="8"/>
    </row>
    <row r="35896" spans="17:17" x14ac:dyDescent="0.25">
      <c r="Q35896" s="8"/>
    </row>
    <row r="35897" spans="17:17" x14ac:dyDescent="0.25">
      <c r="Q35897" s="8"/>
    </row>
    <row r="35898" spans="17:17" x14ac:dyDescent="0.25">
      <c r="Q35898" s="8"/>
    </row>
    <row r="35899" spans="17:17" x14ac:dyDescent="0.25">
      <c r="Q35899" s="8"/>
    </row>
    <row r="35900" spans="17:17" x14ac:dyDescent="0.25">
      <c r="Q35900" s="8"/>
    </row>
    <row r="35901" spans="17:17" x14ac:dyDescent="0.25">
      <c r="Q35901" s="8"/>
    </row>
    <row r="35902" spans="17:17" x14ac:dyDescent="0.25">
      <c r="Q35902" s="8"/>
    </row>
    <row r="35903" spans="17:17" x14ac:dyDescent="0.25">
      <c r="Q35903" s="8"/>
    </row>
    <row r="35904" spans="17:17" x14ac:dyDescent="0.25">
      <c r="Q35904" s="8"/>
    </row>
    <row r="35905" spans="17:17" x14ac:dyDescent="0.25">
      <c r="Q35905" s="8"/>
    </row>
    <row r="35906" spans="17:17" x14ac:dyDescent="0.25">
      <c r="Q35906" s="8"/>
    </row>
    <row r="35907" spans="17:17" x14ac:dyDescent="0.25">
      <c r="Q35907" s="8"/>
    </row>
    <row r="35908" spans="17:17" x14ac:dyDescent="0.25">
      <c r="Q35908" s="8"/>
    </row>
    <row r="35909" spans="17:17" x14ac:dyDescent="0.25">
      <c r="Q35909" s="8"/>
    </row>
    <row r="35910" spans="17:17" x14ac:dyDescent="0.25">
      <c r="Q35910" s="8"/>
    </row>
    <row r="35911" spans="17:17" x14ac:dyDescent="0.25">
      <c r="Q35911" s="8"/>
    </row>
    <row r="35912" spans="17:17" x14ac:dyDescent="0.25">
      <c r="Q35912" s="8"/>
    </row>
    <row r="35913" spans="17:17" x14ac:dyDescent="0.25">
      <c r="Q35913" s="8"/>
    </row>
    <row r="35914" spans="17:17" x14ac:dyDescent="0.25">
      <c r="Q35914" s="8"/>
    </row>
    <row r="35915" spans="17:17" x14ac:dyDescent="0.25">
      <c r="Q35915" s="8"/>
    </row>
    <row r="35916" spans="17:17" x14ac:dyDescent="0.25">
      <c r="Q35916" s="8"/>
    </row>
    <row r="35917" spans="17:17" x14ac:dyDescent="0.25">
      <c r="Q35917" s="8"/>
    </row>
    <row r="35918" spans="17:17" x14ac:dyDescent="0.25">
      <c r="Q35918" s="8"/>
    </row>
    <row r="35919" spans="17:17" x14ac:dyDescent="0.25">
      <c r="Q35919" s="8"/>
    </row>
    <row r="35920" spans="17:17" x14ac:dyDescent="0.25">
      <c r="Q35920" s="8"/>
    </row>
    <row r="35921" spans="17:17" x14ac:dyDescent="0.25">
      <c r="Q35921" s="8"/>
    </row>
    <row r="35922" spans="17:17" x14ac:dyDescent="0.25">
      <c r="Q35922" s="8"/>
    </row>
    <row r="35923" spans="17:17" x14ac:dyDescent="0.25">
      <c r="Q35923" s="8"/>
    </row>
    <row r="35924" spans="17:17" x14ac:dyDescent="0.25">
      <c r="Q35924" s="8"/>
    </row>
    <row r="35925" spans="17:17" x14ac:dyDescent="0.25">
      <c r="Q35925" s="8"/>
    </row>
    <row r="35926" spans="17:17" x14ac:dyDescent="0.25">
      <c r="Q35926" s="8"/>
    </row>
    <row r="35927" spans="17:17" x14ac:dyDescent="0.25">
      <c r="Q35927" s="8"/>
    </row>
    <row r="35928" spans="17:17" x14ac:dyDescent="0.25">
      <c r="Q35928" s="8"/>
    </row>
    <row r="35929" spans="17:17" x14ac:dyDescent="0.25">
      <c r="Q35929" s="8"/>
    </row>
    <row r="35930" spans="17:17" x14ac:dyDescent="0.25">
      <c r="Q35930" s="8"/>
    </row>
    <row r="35931" spans="17:17" x14ac:dyDescent="0.25">
      <c r="Q35931" s="8"/>
    </row>
    <row r="35932" spans="17:17" x14ac:dyDescent="0.25">
      <c r="Q35932" s="8"/>
    </row>
    <row r="35933" spans="17:17" x14ac:dyDescent="0.25">
      <c r="Q35933" s="8"/>
    </row>
    <row r="35934" spans="17:17" x14ac:dyDescent="0.25">
      <c r="Q35934" s="8"/>
    </row>
    <row r="35935" spans="17:17" x14ac:dyDescent="0.25">
      <c r="Q35935" s="8"/>
    </row>
    <row r="35936" spans="17:17" x14ac:dyDescent="0.25">
      <c r="Q35936" s="8"/>
    </row>
    <row r="35937" spans="17:17" x14ac:dyDescent="0.25">
      <c r="Q35937" s="8"/>
    </row>
    <row r="35938" spans="17:17" x14ac:dyDescent="0.25">
      <c r="Q35938" s="8"/>
    </row>
    <row r="35939" spans="17:17" x14ac:dyDescent="0.25">
      <c r="Q35939" s="8"/>
    </row>
    <row r="35940" spans="17:17" x14ac:dyDescent="0.25">
      <c r="Q35940" s="8"/>
    </row>
    <row r="35941" spans="17:17" x14ac:dyDescent="0.25">
      <c r="Q35941" s="8"/>
    </row>
    <row r="35942" spans="17:17" x14ac:dyDescent="0.25">
      <c r="Q35942" s="8"/>
    </row>
    <row r="35943" spans="17:17" x14ac:dyDescent="0.25">
      <c r="Q35943" s="8"/>
    </row>
    <row r="35944" spans="17:17" x14ac:dyDescent="0.25">
      <c r="Q35944" s="8"/>
    </row>
    <row r="35945" spans="17:17" x14ac:dyDescent="0.25">
      <c r="Q35945" s="8"/>
    </row>
    <row r="35946" spans="17:17" x14ac:dyDescent="0.25">
      <c r="Q35946" s="8"/>
    </row>
    <row r="35947" spans="17:17" x14ac:dyDescent="0.25">
      <c r="Q35947" s="8"/>
    </row>
    <row r="35948" spans="17:17" x14ac:dyDescent="0.25">
      <c r="Q35948" s="8"/>
    </row>
    <row r="35949" spans="17:17" x14ac:dyDescent="0.25">
      <c r="Q35949" s="8"/>
    </row>
    <row r="35950" spans="17:17" x14ac:dyDescent="0.25">
      <c r="Q35950" s="8"/>
    </row>
    <row r="35951" spans="17:17" x14ac:dyDescent="0.25">
      <c r="Q35951" s="8"/>
    </row>
    <row r="35952" spans="17:17" x14ac:dyDescent="0.25">
      <c r="Q35952" s="8"/>
    </row>
    <row r="35953" spans="17:17" x14ac:dyDescent="0.25">
      <c r="Q35953" s="8"/>
    </row>
    <row r="35954" spans="17:17" x14ac:dyDescent="0.25">
      <c r="Q35954" s="8"/>
    </row>
    <row r="35955" spans="17:17" x14ac:dyDescent="0.25">
      <c r="Q35955" s="8"/>
    </row>
    <row r="35956" spans="17:17" x14ac:dyDescent="0.25">
      <c r="Q35956" s="8"/>
    </row>
    <row r="35957" spans="17:17" x14ac:dyDescent="0.25">
      <c r="Q35957" s="8"/>
    </row>
    <row r="35958" spans="17:17" x14ac:dyDescent="0.25">
      <c r="Q35958" s="8"/>
    </row>
    <row r="35959" spans="17:17" x14ac:dyDescent="0.25">
      <c r="Q35959" s="8"/>
    </row>
    <row r="35960" spans="17:17" x14ac:dyDescent="0.25">
      <c r="Q35960" s="8"/>
    </row>
    <row r="35961" spans="17:17" x14ac:dyDescent="0.25">
      <c r="Q35961" s="8"/>
    </row>
    <row r="35962" spans="17:17" x14ac:dyDescent="0.25">
      <c r="Q35962" s="8"/>
    </row>
    <row r="35963" spans="17:17" x14ac:dyDescent="0.25">
      <c r="Q35963" s="8"/>
    </row>
    <row r="35964" spans="17:17" x14ac:dyDescent="0.25">
      <c r="Q35964" s="8"/>
    </row>
    <row r="35965" spans="17:17" x14ac:dyDescent="0.25">
      <c r="Q35965" s="8"/>
    </row>
    <row r="35966" spans="17:17" x14ac:dyDescent="0.25">
      <c r="Q35966" s="8"/>
    </row>
    <row r="35967" spans="17:17" x14ac:dyDescent="0.25">
      <c r="Q35967" s="8"/>
    </row>
    <row r="35968" spans="17:17" x14ac:dyDescent="0.25">
      <c r="Q35968" s="8"/>
    </row>
    <row r="35969" spans="17:17" x14ac:dyDescent="0.25">
      <c r="Q35969" s="8"/>
    </row>
    <row r="35970" spans="17:17" x14ac:dyDescent="0.25">
      <c r="Q35970" s="8"/>
    </row>
    <row r="35971" spans="17:17" x14ac:dyDescent="0.25">
      <c r="Q35971" s="8"/>
    </row>
    <row r="35972" spans="17:17" x14ac:dyDescent="0.25">
      <c r="Q35972" s="8"/>
    </row>
    <row r="35973" spans="17:17" x14ac:dyDescent="0.25">
      <c r="Q35973" s="8"/>
    </row>
    <row r="35974" spans="17:17" x14ac:dyDescent="0.25">
      <c r="Q35974" s="8"/>
    </row>
    <row r="35975" spans="17:17" x14ac:dyDescent="0.25">
      <c r="Q35975" s="8"/>
    </row>
    <row r="35976" spans="17:17" x14ac:dyDescent="0.25">
      <c r="Q35976" s="8"/>
    </row>
    <row r="35977" spans="17:17" x14ac:dyDescent="0.25">
      <c r="Q35977" s="8"/>
    </row>
    <row r="35978" spans="17:17" x14ac:dyDescent="0.25">
      <c r="Q35978" s="8"/>
    </row>
    <row r="35979" spans="17:17" x14ac:dyDescent="0.25">
      <c r="Q35979" s="8"/>
    </row>
    <row r="35980" spans="17:17" x14ac:dyDescent="0.25">
      <c r="Q35980" s="8"/>
    </row>
    <row r="35981" spans="17:17" x14ac:dyDescent="0.25">
      <c r="Q35981" s="8"/>
    </row>
    <row r="35982" spans="17:17" x14ac:dyDescent="0.25">
      <c r="Q35982" s="8"/>
    </row>
    <row r="35983" spans="17:17" x14ac:dyDescent="0.25">
      <c r="Q35983" s="8"/>
    </row>
    <row r="35984" spans="17:17" x14ac:dyDescent="0.25">
      <c r="Q35984" s="8"/>
    </row>
    <row r="35985" spans="17:17" x14ac:dyDescent="0.25">
      <c r="Q35985" s="8"/>
    </row>
    <row r="35986" spans="17:17" x14ac:dyDescent="0.25">
      <c r="Q35986" s="8"/>
    </row>
    <row r="35987" spans="17:17" x14ac:dyDescent="0.25">
      <c r="Q35987" s="8"/>
    </row>
    <row r="35988" spans="17:17" x14ac:dyDescent="0.25">
      <c r="Q35988" s="8"/>
    </row>
    <row r="35989" spans="17:17" x14ac:dyDescent="0.25">
      <c r="Q35989" s="8"/>
    </row>
    <row r="35990" spans="17:17" x14ac:dyDescent="0.25">
      <c r="Q35990" s="8"/>
    </row>
    <row r="35991" spans="17:17" x14ac:dyDescent="0.25">
      <c r="Q35991" s="8"/>
    </row>
    <row r="35992" spans="17:17" x14ac:dyDescent="0.25">
      <c r="Q35992" s="8"/>
    </row>
    <row r="35993" spans="17:17" x14ac:dyDescent="0.25">
      <c r="Q35993" s="8"/>
    </row>
    <row r="35994" spans="17:17" x14ac:dyDescent="0.25">
      <c r="Q35994" s="8"/>
    </row>
    <row r="35995" spans="17:17" x14ac:dyDescent="0.25">
      <c r="Q35995" s="8"/>
    </row>
    <row r="35996" spans="17:17" x14ac:dyDescent="0.25">
      <c r="Q35996" s="8"/>
    </row>
    <row r="35997" spans="17:17" x14ac:dyDescent="0.25">
      <c r="Q35997" s="8"/>
    </row>
    <row r="35998" spans="17:17" x14ac:dyDescent="0.25">
      <c r="Q35998" s="8"/>
    </row>
    <row r="35999" spans="17:17" x14ac:dyDescent="0.25">
      <c r="Q35999" s="8"/>
    </row>
    <row r="36000" spans="17:17" x14ac:dyDescent="0.25">
      <c r="Q36000" s="8"/>
    </row>
    <row r="36001" spans="17:17" x14ac:dyDescent="0.25">
      <c r="Q36001" s="8"/>
    </row>
    <row r="36002" spans="17:17" x14ac:dyDescent="0.25">
      <c r="Q36002" s="8"/>
    </row>
    <row r="36003" spans="17:17" x14ac:dyDescent="0.25">
      <c r="Q36003" s="8"/>
    </row>
    <row r="36004" spans="17:17" x14ac:dyDescent="0.25">
      <c r="Q36004" s="8"/>
    </row>
    <row r="36005" spans="17:17" x14ac:dyDescent="0.25">
      <c r="Q36005" s="8"/>
    </row>
    <row r="36006" spans="17:17" x14ac:dyDescent="0.25">
      <c r="Q36006" s="8"/>
    </row>
    <row r="36007" spans="17:17" x14ac:dyDescent="0.25">
      <c r="Q36007" s="8"/>
    </row>
    <row r="36008" spans="17:17" x14ac:dyDescent="0.25">
      <c r="Q36008" s="8"/>
    </row>
    <row r="36009" spans="17:17" x14ac:dyDescent="0.25">
      <c r="Q36009" s="8"/>
    </row>
    <row r="36010" spans="17:17" x14ac:dyDescent="0.25">
      <c r="Q36010" s="8"/>
    </row>
    <row r="36011" spans="17:17" x14ac:dyDescent="0.25">
      <c r="Q36011" s="8"/>
    </row>
    <row r="36012" spans="17:17" x14ac:dyDescent="0.25">
      <c r="Q36012" s="8"/>
    </row>
    <row r="36013" spans="17:17" x14ac:dyDescent="0.25">
      <c r="Q36013" s="8"/>
    </row>
    <row r="36014" spans="17:17" x14ac:dyDescent="0.25">
      <c r="Q36014" s="8"/>
    </row>
    <row r="36015" spans="17:17" x14ac:dyDescent="0.25">
      <c r="Q36015" s="8"/>
    </row>
    <row r="36016" spans="17:17" x14ac:dyDescent="0.25">
      <c r="Q36016" s="8"/>
    </row>
    <row r="36017" spans="17:17" x14ac:dyDescent="0.25">
      <c r="Q36017" s="8"/>
    </row>
    <row r="36018" spans="17:17" x14ac:dyDescent="0.25">
      <c r="Q36018" s="8"/>
    </row>
    <row r="36019" spans="17:17" x14ac:dyDescent="0.25">
      <c r="Q36019" s="8"/>
    </row>
    <row r="36020" spans="17:17" x14ac:dyDescent="0.25">
      <c r="Q36020" s="8"/>
    </row>
    <row r="36021" spans="17:17" x14ac:dyDescent="0.25">
      <c r="Q36021" s="8"/>
    </row>
    <row r="36022" spans="17:17" x14ac:dyDescent="0.25">
      <c r="Q36022" s="8"/>
    </row>
    <row r="36023" spans="17:17" x14ac:dyDescent="0.25">
      <c r="Q36023" s="8"/>
    </row>
    <row r="36024" spans="17:17" x14ac:dyDescent="0.25">
      <c r="Q36024" s="8"/>
    </row>
    <row r="36025" spans="17:17" x14ac:dyDescent="0.25">
      <c r="Q36025" s="8"/>
    </row>
    <row r="36026" spans="17:17" x14ac:dyDescent="0.25">
      <c r="Q36026" s="8"/>
    </row>
    <row r="36027" spans="17:17" x14ac:dyDescent="0.25">
      <c r="Q36027" s="8"/>
    </row>
    <row r="36028" spans="17:17" x14ac:dyDescent="0.25">
      <c r="Q36028" s="8"/>
    </row>
    <row r="36029" spans="17:17" x14ac:dyDescent="0.25">
      <c r="Q36029" s="8"/>
    </row>
    <row r="36030" spans="17:17" x14ac:dyDescent="0.25">
      <c r="Q36030" s="8"/>
    </row>
    <row r="36031" spans="17:17" x14ac:dyDescent="0.25">
      <c r="Q36031" s="8"/>
    </row>
    <row r="36032" spans="17:17" x14ac:dyDescent="0.25">
      <c r="Q36032" s="8"/>
    </row>
    <row r="36033" spans="17:17" x14ac:dyDescent="0.25">
      <c r="Q36033" s="8"/>
    </row>
    <row r="36034" spans="17:17" x14ac:dyDescent="0.25">
      <c r="Q36034" s="8"/>
    </row>
    <row r="36035" spans="17:17" x14ac:dyDescent="0.25">
      <c r="Q36035" s="8"/>
    </row>
    <row r="36036" spans="17:17" x14ac:dyDescent="0.25">
      <c r="Q36036" s="8"/>
    </row>
    <row r="36037" spans="17:17" x14ac:dyDescent="0.25">
      <c r="Q36037" s="8"/>
    </row>
    <row r="36038" spans="17:17" x14ac:dyDescent="0.25">
      <c r="Q36038" s="8"/>
    </row>
    <row r="36039" spans="17:17" x14ac:dyDescent="0.25">
      <c r="Q36039" s="8"/>
    </row>
    <row r="36040" spans="17:17" x14ac:dyDescent="0.25">
      <c r="Q36040" s="8"/>
    </row>
    <row r="36041" spans="17:17" x14ac:dyDescent="0.25">
      <c r="Q36041" s="8"/>
    </row>
    <row r="36042" spans="17:17" x14ac:dyDescent="0.25">
      <c r="Q36042" s="8"/>
    </row>
    <row r="36043" spans="17:17" x14ac:dyDescent="0.25">
      <c r="Q36043" s="8"/>
    </row>
    <row r="36044" spans="17:17" x14ac:dyDescent="0.25">
      <c r="Q36044" s="8"/>
    </row>
    <row r="36045" spans="17:17" x14ac:dyDescent="0.25">
      <c r="Q36045" s="8"/>
    </row>
    <row r="36046" spans="17:17" x14ac:dyDescent="0.25">
      <c r="Q36046" s="8"/>
    </row>
    <row r="36047" spans="17:17" x14ac:dyDescent="0.25">
      <c r="Q36047" s="8"/>
    </row>
    <row r="36048" spans="17:17" x14ac:dyDescent="0.25">
      <c r="Q36048" s="8"/>
    </row>
    <row r="36049" spans="17:17" x14ac:dyDescent="0.25">
      <c r="Q36049" s="8"/>
    </row>
    <row r="36050" spans="17:17" x14ac:dyDescent="0.25">
      <c r="Q36050" s="8"/>
    </row>
    <row r="36051" spans="17:17" x14ac:dyDescent="0.25">
      <c r="Q36051" s="8"/>
    </row>
    <row r="36052" spans="17:17" x14ac:dyDescent="0.25">
      <c r="Q36052" s="8"/>
    </row>
    <row r="36053" spans="17:17" x14ac:dyDescent="0.25">
      <c r="Q36053" s="8"/>
    </row>
    <row r="36054" spans="17:17" x14ac:dyDescent="0.25">
      <c r="Q36054" s="8"/>
    </row>
    <row r="36055" spans="17:17" x14ac:dyDescent="0.25">
      <c r="Q36055" s="8"/>
    </row>
    <row r="36056" spans="17:17" x14ac:dyDescent="0.25">
      <c r="Q36056" s="8"/>
    </row>
    <row r="36057" spans="17:17" x14ac:dyDescent="0.25">
      <c r="Q36057" s="8"/>
    </row>
    <row r="36058" spans="17:17" x14ac:dyDescent="0.25">
      <c r="Q36058" s="8"/>
    </row>
    <row r="36059" spans="17:17" x14ac:dyDescent="0.25">
      <c r="Q36059" s="8"/>
    </row>
    <row r="36060" spans="17:17" x14ac:dyDescent="0.25">
      <c r="Q36060" s="8"/>
    </row>
    <row r="36061" spans="17:17" x14ac:dyDescent="0.25">
      <c r="Q36061" s="8"/>
    </row>
    <row r="36062" spans="17:17" x14ac:dyDescent="0.25">
      <c r="Q36062" s="8"/>
    </row>
    <row r="36063" spans="17:17" x14ac:dyDescent="0.25">
      <c r="Q36063" s="8"/>
    </row>
    <row r="36064" spans="17:17" x14ac:dyDescent="0.25">
      <c r="Q36064" s="8"/>
    </row>
    <row r="36065" spans="17:17" x14ac:dyDescent="0.25">
      <c r="Q36065" s="8"/>
    </row>
    <row r="36066" spans="17:17" x14ac:dyDescent="0.25">
      <c r="Q36066" s="8"/>
    </row>
    <row r="36067" spans="17:17" x14ac:dyDescent="0.25">
      <c r="Q36067" s="8"/>
    </row>
    <row r="36068" spans="17:17" x14ac:dyDescent="0.25">
      <c r="Q36068" s="8"/>
    </row>
    <row r="36069" spans="17:17" x14ac:dyDescent="0.25">
      <c r="Q36069" s="8"/>
    </row>
    <row r="36070" spans="17:17" x14ac:dyDescent="0.25">
      <c r="Q36070" s="8"/>
    </row>
    <row r="36071" spans="17:17" x14ac:dyDescent="0.25">
      <c r="Q36071" s="8"/>
    </row>
    <row r="36072" spans="17:17" x14ac:dyDescent="0.25">
      <c r="Q36072" s="8"/>
    </row>
    <row r="36073" spans="17:17" x14ac:dyDescent="0.25">
      <c r="Q36073" s="8"/>
    </row>
    <row r="36074" spans="17:17" x14ac:dyDescent="0.25">
      <c r="Q36074" s="8"/>
    </row>
    <row r="36075" spans="17:17" x14ac:dyDescent="0.25">
      <c r="Q36075" s="8"/>
    </row>
    <row r="36076" spans="17:17" x14ac:dyDescent="0.25">
      <c r="Q36076" s="8"/>
    </row>
    <row r="36077" spans="17:17" x14ac:dyDescent="0.25">
      <c r="Q36077" s="8"/>
    </row>
    <row r="36078" spans="17:17" x14ac:dyDescent="0.25">
      <c r="Q36078" s="8"/>
    </row>
    <row r="36079" spans="17:17" x14ac:dyDescent="0.25">
      <c r="Q36079" s="8"/>
    </row>
    <row r="36080" spans="17:17" x14ac:dyDescent="0.25">
      <c r="Q36080" s="8"/>
    </row>
    <row r="36081" spans="17:17" x14ac:dyDescent="0.25">
      <c r="Q36081" s="8"/>
    </row>
    <row r="36082" spans="17:17" x14ac:dyDescent="0.25">
      <c r="Q36082" s="8"/>
    </row>
    <row r="36083" spans="17:17" x14ac:dyDescent="0.25">
      <c r="Q36083" s="8"/>
    </row>
    <row r="36084" spans="17:17" x14ac:dyDescent="0.25">
      <c r="Q36084" s="8"/>
    </row>
    <row r="36085" spans="17:17" x14ac:dyDescent="0.25">
      <c r="Q36085" s="8"/>
    </row>
    <row r="36086" spans="17:17" x14ac:dyDescent="0.25">
      <c r="Q36086" s="8"/>
    </row>
    <row r="36087" spans="17:17" x14ac:dyDescent="0.25">
      <c r="Q36087" s="8"/>
    </row>
    <row r="36088" spans="17:17" x14ac:dyDescent="0.25">
      <c r="Q36088" s="8"/>
    </row>
    <row r="36089" spans="17:17" x14ac:dyDescent="0.25">
      <c r="Q36089" s="8"/>
    </row>
    <row r="36090" spans="17:17" x14ac:dyDescent="0.25">
      <c r="Q36090" s="8"/>
    </row>
    <row r="36091" spans="17:17" x14ac:dyDescent="0.25">
      <c r="Q36091" s="8"/>
    </row>
    <row r="36092" spans="17:17" x14ac:dyDescent="0.25">
      <c r="Q36092" s="8"/>
    </row>
    <row r="36093" spans="17:17" x14ac:dyDescent="0.25">
      <c r="Q36093" s="8"/>
    </row>
    <row r="36094" spans="17:17" x14ac:dyDescent="0.25">
      <c r="Q36094" s="8"/>
    </row>
    <row r="36095" spans="17:17" x14ac:dyDescent="0.25">
      <c r="Q36095" s="8"/>
    </row>
    <row r="36096" spans="17:17" x14ac:dyDescent="0.25">
      <c r="Q36096" s="8"/>
    </row>
    <row r="36097" spans="17:17" x14ac:dyDescent="0.25">
      <c r="Q36097" s="8"/>
    </row>
    <row r="36098" spans="17:17" x14ac:dyDescent="0.25">
      <c r="Q36098" s="8"/>
    </row>
    <row r="36099" spans="17:17" x14ac:dyDescent="0.25">
      <c r="Q36099" s="8"/>
    </row>
    <row r="36100" spans="17:17" x14ac:dyDescent="0.25">
      <c r="Q36100" s="8"/>
    </row>
    <row r="36101" spans="17:17" x14ac:dyDescent="0.25">
      <c r="Q36101" s="8"/>
    </row>
    <row r="36102" spans="17:17" x14ac:dyDescent="0.25">
      <c r="Q36102" s="8"/>
    </row>
    <row r="36103" spans="17:17" x14ac:dyDescent="0.25">
      <c r="Q36103" s="8"/>
    </row>
    <row r="36104" spans="17:17" x14ac:dyDescent="0.25">
      <c r="Q36104" s="8"/>
    </row>
    <row r="36105" spans="17:17" x14ac:dyDescent="0.25">
      <c r="Q36105" s="8"/>
    </row>
    <row r="36106" spans="17:17" x14ac:dyDescent="0.25">
      <c r="Q36106" s="8"/>
    </row>
    <row r="36107" spans="17:17" x14ac:dyDescent="0.25">
      <c r="Q36107" s="8"/>
    </row>
    <row r="36108" spans="17:17" x14ac:dyDescent="0.25">
      <c r="Q36108" s="8"/>
    </row>
    <row r="36109" spans="17:17" x14ac:dyDescent="0.25">
      <c r="Q36109" s="8"/>
    </row>
    <row r="36110" spans="17:17" x14ac:dyDescent="0.25">
      <c r="Q36110" s="8"/>
    </row>
    <row r="36111" spans="17:17" x14ac:dyDescent="0.25">
      <c r="Q36111" s="8"/>
    </row>
    <row r="36112" spans="17:17" x14ac:dyDescent="0.25">
      <c r="Q36112" s="8"/>
    </row>
    <row r="36113" spans="17:17" x14ac:dyDescent="0.25">
      <c r="Q36113" s="8"/>
    </row>
    <row r="36114" spans="17:17" x14ac:dyDescent="0.25">
      <c r="Q36114" s="8"/>
    </row>
    <row r="36115" spans="17:17" x14ac:dyDescent="0.25">
      <c r="Q36115" s="8"/>
    </row>
    <row r="36116" spans="17:17" x14ac:dyDescent="0.25">
      <c r="Q36116" s="8"/>
    </row>
    <row r="36117" spans="17:17" x14ac:dyDescent="0.25">
      <c r="Q36117" s="8"/>
    </row>
    <row r="36118" spans="17:17" x14ac:dyDescent="0.25">
      <c r="Q36118" s="8"/>
    </row>
    <row r="36119" spans="17:17" x14ac:dyDescent="0.25">
      <c r="Q36119" s="8"/>
    </row>
    <row r="36120" spans="17:17" x14ac:dyDescent="0.25">
      <c r="Q36120" s="8"/>
    </row>
    <row r="36121" spans="17:17" x14ac:dyDescent="0.25">
      <c r="Q36121" s="8"/>
    </row>
    <row r="36122" spans="17:17" x14ac:dyDescent="0.25">
      <c r="Q36122" s="8"/>
    </row>
    <row r="36123" spans="17:17" x14ac:dyDescent="0.25">
      <c r="Q36123" s="8"/>
    </row>
    <row r="36124" spans="17:17" x14ac:dyDescent="0.25">
      <c r="Q36124" s="8"/>
    </row>
    <row r="36125" spans="17:17" x14ac:dyDescent="0.25">
      <c r="Q36125" s="8"/>
    </row>
    <row r="36126" spans="17:17" x14ac:dyDescent="0.25">
      <c r="Q36126" s="8"/>
    </row>
    <row r="36127" spans="17:17" x14ac:dyDescent="0.25">
      <c r="Q36127" s="8"/>
    </row>
    <row r="36128" spans="17:17" x14ac:dyDescent="0.25">
      <c r="Q36128" s="8"/>
    </row>
    <row r="36129" spans="17:17" x14ac:dyDescent="0.25">
      <c r="Q36129" s="8"/>
    </row>
    <row r="36130" spans="17:17" x14ac:dyDescent="0.25">
      <c r="Q36130" s="8"/>
    </row>
    <row r="36131" spans="17:17" x14ac:dyDescent="0.25">
      <c r="Q36131" s="8"/>
    </row>
    <row r="36132" spans="17:17" x14ac:dyDescent="0.25">
      <c r="Q36132" s="8"/>
    </row>
    <row r="36133" spans="17:17" x14ac:dyDescent="0.25">
      <c r="Q36133" s="8"/>
    </row>
    <row r="36134" spans="17:17" x14ac:dyDescent="0.25">
      <c r="Q36134" s="8"/>
    </row>
    <row r="36135" spans="17:17" x14ac:dyDescent="0.25">
      <c r="Q36135" s="8"/>
    </row>
    <row r="36136" spans="17:17" x14ac:dyDescent="0.25">
      <c r="Q36136" s="8"/>
    </row>
    <row r="36137" spans="17:17" x14ac:dyDescent="0.25">
      <c r="Q36137" s="8"/>
    </row>
    <row r="36138" spans="17:17" x14ac:dyDescent="0.25">
      <c r="Q36138" s="8"/>
    </row>
    <row r="36139" spans="17:17" x14ac:dyDescent="0.25">
      <c r="Q36139" s="8"/>
    </row>
    <row r="36140" spans="17:17" x14ac:dyDescent="0.25">
      <c r="Q36140" s="8"/>
    </row>
    <row r="36141" spans="17:17" x14ac:dyDescent="0.25">
      <c r="Q36141" s="8"/>
    </row>
    <row r="36142" spans="17:17" x14ac:dyDescent="0.25">
      <c r="Q36142" s="8"/>
    </row>
    <row r="36143" spans="17:17" x14ac:dyDescent="0.25">
      <c r="Q36143" s="8"/>
    </row>
    <row r="36144" spans="17:17" x14ac:dyDescent="0.25">
      <c r="Q36144" s="8"/>
    </row>
    <row r="36145" spans="17:17" x14ac:dyDescent="0.25">
      <c r="Q36145" s="8"/>
    </row>
    <row r="36146" spans="17:17" x14ac:dyDescent="0.25">
      <c r="Q36146" s="8"/>
    </row>
    <row r="36147" spans="17:17" x14ac:dyDescent="0.25">
      <c r="Q36147" s="8"/>
    </row>
    <row r="36148" spans="17:17" x14ac:dyDescent="0.25">
      <c r="Q36148" s="8"/>
    </row>
    <row r="36149" spans="17:17" x14ac:dyDescent="0.25">
      <c r="Q36149" s="8"/>
    </row>
    <row r="36150" spans="17:17" x14ac:dyDescent="0.25">
      <c r="Q36150" s="8"/>
    </row>
    <row r="36151" spans="17:17" x14ac:dyDescent="0.25">
      <c r="Q36151" s="8"/>
    </row>
    <row r="36152" spans="17:17" x14ac:dyDescent="0.25">
      <c r="Q36152" s="8"/>
    </row>
    <row r="36153" spans="17:17" x14ac:dyDescent="0.25">
      <c r="Q36153" s="8"/>
    </row>
    <row r="36154" spans="17:17" x14ac:dyDescent="0.25">
      <c r="Q36154" s="8"/>
    </row>
    <row r="36155" spans="17:17" x14ac:dyDescent="0.25">
      <c r="Q36155" s="8"/>
    </row>
    <row r="36156" spans="17:17" x14ac:dyDescent="0.25">
      <c r="Q36156" s="8"/>
    </row>
    <row r="36157" spans="17:17" x14ac:dyDescent="0.25">
      <c r="Q36157" s="8"/>
    </row>
    <row r="36158" spans="17:17" x14ac:dyDescent="0.25">
      <c r="Q36158" s="8"/>
    </row>
    <row r="36159" spans="17:17" x14ac:dyDescent="0.25">
      <c r="Q36159" s="8"/>
    </row>
    <row r="36160" spans="17:17" x14ac:dyDescent="0.25">
      <c r="Q36160" s="8"/>
    </row>
    <row r="36161" spans="17:17" x14ac:dyDescent="0.25">
      <c r="Q36161" s="8"/>
    </row>
    <row r="36162" spans="17:17" x14ac:dyDescent="0.25">
      <c r="Q36162" s="8"/>
    </row>
    <row r="36163" spans="17:17" x14ac:dyDescent="0.25">
      <c r="Q36163" s="8"/>
    </row>
    <row r="36164" spans="17:17" x14ac:dyDescent="0.25">
      <c r="Q36164" s="8"/>
    </row>
    <row r="36165" spans="17:17" x14ac:dyDescent="0.25">
      <c r="Q36165" s="8"/>
    </row>
    <row r="36166" spans="17:17" x14ac:dyDescent="0.25">
      <c r="Q36166" s="8"/>
    </row>
    <row r="36167" spans="17:17" x14ac:dyDescent="0.25">
      <c r="Q36167" s="8"/>
    </row>
    <row r="36168" spans="17:17" x14ac:dyDescent="0.25">
      <c r="Q36168" s="8"/>
    </row>
    <row r="36169" spans="17:17" x14ac:dyDescent="0.25">
      <c r="Q36169" s="8"/>
    </row>
    <row r="36170" spans="17:17" x14ac:dyDescent="0.25">
      <c r="Q36170" s="8"/>
    </row>
    <row r="36171" spans="17:17" x14ac:dyDescent="0.25">
      <c r="Q36171" s="8"/>
    </row>
    <row r="36172" spans="17:17" x14ac:dyDescent="0.25">
      <c r="Q36172" s="8"/>
    </row>
    <row r="36173" spans="17:17" x14ac:dyDescent="0.25">
      <c r="Q36173" s="8"/>
    </row>
    <row r="36174" spans="17:17" x14ac:dyDescent="0.25">
      <c r="Q36174" s="8"/>
    </row>
    <row r="36175" spans="17:17" x14ac:dyDescent="0.25">
      <c r="Q36175" s="8"/>
    </row>
    <row r="36176" spans="17:17" x14ac:dyDescent="0.25">
      <c r="Q36176" s="8"/>
    </row>
    <row r="36177" spans="17:17" x14ac:dyDescent="0.25">
      <c r="Q36177" s="8"/>
    </row>
    <row r="36178" spans="17:17" x14ac:dyDescent="0.25">
      <c r="Q36178" s="8"/>
    </row>
    <row r="36179" spans="17:17" x14ac:dyDescent="0.25">
      <c r="Q36179" s="8"/>
    </row>
    <row r="36180" spans="17:17" x14ac:dyDescent="0.25">
      <c r="Q36180" s="8"/>
    </row>
    <row r="36181" spans="17:17" x14ac:dyDescent="0.25">
      <c r="Q36181" s="8"/>
    </row>
    <row r="36182" spans="17:17" x14ac:dyDescent="0.25">
      <c r="Q36182" s="8"/>
    </row>
    <row r="36183" spans="17:17" x14ac:dyDescent="0.25">
      <c r="Q36183" s="8"/>
    </row>
    <row r="36184" spans="17:17" x14ac:dyDescent="0.25">
      <c r="Q36184" s="8"/>
    </row>
    <row r="36185" spans="17:17" x14ac:dyDescent="0.25">
      <c r="Q36185" s="8"/>
    </row>
    <row r="36186" spans="17:17" x14ac:dyDescent="0.25">
      <c r="Q36186" s="8"/>
    </row>
    <row r="36187" spans="17:17" x14ac:dyDescent="0.25">
      <c r="Q36187" s="8"/>
    </row>
    <row r="36188" spans="17:17" x14ac:dyDescent="0.25">
      <c r="Q36188" s="8"/>
    </row>
    <row r="36189" spans="17:17" x14ac:dyDescent="0.25">
      <c r="Q36189" s="8"/>
    </row>
    <row r="36190" spans="17:17" x14ac:dyDescent="0.25">
      <c r="Q36190" s="8"/>
    </row>
    <row r="36191" spans="17:17" x14ac:dyDescent="0.25">
      <c r="Q36191" s="8"/>
    </row>
    <row r="36192" spans="17:17" x14ac:dyDescent="0.25">
      <c r="Q36192" s="8"/>
    </row>
    <row r="36193" spans="17:17" x14ac:dyDescent="0.25">
      <c r="Q36193" s="8"/>
    </row>
    <row r="36194" spans="17:17" x14ac:dyDescent="0.25">
      <c r="Q36194" s="8"/>
    </row>
    <row r="36195" spans="17:17" x14ac:dyDescent="0.25">
      <c r="Q36195" s="8"/>
    </row>
    <row r="36196" spans="17:17" x14ac:dyDescent="0.25">
      <c r="Q36196" s="8"/>
    </row>
    <row r="36197" spans="17:17" x14ac:dyDescent="0.25">
      <c r="Q36197" s="8"/>
    </row>
    <row r="36198" spans="17:17" x14ac:dyDescent="0.25">
      <c r="Q36198" s="8"/>
    </row>
    <row r="36199" spans="17:17" x14ac:dyDescent="0.25">
      <c r="Q36199" s="8"/>
    </row>
    <row r="36200" spans="17:17" x14ac:dyDescent="0.25">
      <c r="Q36200" s="8"/>
    </row>
    <row r="36201" spans="17:17" x14ac:dyDescent="0.25">
      <c r="Q36201" s="8"/>
    </row>
    <row r="36202" spans="17:17" x14ac:dyDescent="0.25">
      <c r="Q36202" s="8"/>
    </row>
    <row r="36203" spans="17:17" x14ac:dyDescent="0.25">
      <c r="Q36203" s="8"/>
    </row>
    <row r="36204" spans="17:17" x14ac:dyDescent="0.25">
      <c r="Q36204" s="8"/>
    </row>
    <row r="36205" spans="17:17" x14ac:dyDescent="0.25">
      <c r="Q36205" s="8"/>
    </row>
    <row r="36206" spans="17:17" x14ac:dyDescent="0.25">
      <c r="Q36206" s="8"/>
    </row>
    <row r="36207" spans="17:17" x14ac:dyDescent="0.25">
      <c r="Q36207" s="8"/>
    </row>
    <row r="36208" spans="17:17" x14ac:dyDescent="0.25">
      <c r="Q36208" s="8"/>
    </row>
    <row r="36209" spans="17:17" x14ac:dyDescent="0.25">
      <c r="Q36209" s="8"/>
    </row>
    <row r="36210" spans="17:17" x14ac:dyDescent="0.25">
      <c r="Q36210" s="8"/>
    </row>
    <row r="36211" spans="17:17" x14ac:dyDescent="0.25">
      <c r="Q36211" s="8"/>
    </row>
    <row r="36212" spans="17:17" x14ac:dyDescent="0.25">
      <c r="Q36212" s="8"/>
    </row>
    <row r="36213" spans="17:17" x14ac:dyDescent="0.25">
      <c r="Q36213" s="8"/>
    </row>
    <row r="36214" spans="17:17" x14ac:dyDescent="0.25">
      <c r="Q36214" s="8"/>
    </row>
    <row r="36215" spans="17:17" x14ac:dyDescent="0.25">
      <c r="Q36215" s="8"/>
    </row>
    <row r="36216" spans="17:17" x14ac:dyDescent="0.25">
      <c r="Q36216" s="8"/>
    </row>
    <row r="36217" spans="17:17" x14ac:dyDescent="0.25">
      <c r="Q36217" s="8"/>
    </row>
    <row r="36218" spans="17:17" x14ac:dyDescent="0.25">
      <c r="Q36218" s="8"/>
    </row>
    <row r="36219" spans="17:17" x14ac:dyDescent="0.25">
      <c r="Q36219" s="8"/>
    </row>
    <row r="36220" spans="17:17" x14ac:dyDescent="0.25">
      <c r="Q36220" s="8"/>
    </row>
    <row r="36221" spans="17:17" x14ac:dyDescent="0.25">
      <c r="Q36221" s="8"/>
    </row>
    <row r="36222" spans="17:17" x14ac:dyDescent="0.25">
      <c r="Q36222" s="8"/>
    </row>
    <row r="36223" spans="17:17" x14ac:dyDescent="0.25">
      <c r="Q36223" s="8"/>
    </row>
    <row r="36224" spans="17:17" x14ac:dyDescent="0.25">
      <c r="Q36224" s="8"/>
    </row>
    <row r="36225" spans="17:17" x14ac:dyDescent="0.25">
      <c r="Q36225" s="8"/>
    </row>
    <row r="36226" spans="17:17" x14ac:dyDescent="0.25">
      <c r="Q36226" s="8"/>
    </row>
    <row r="36227" spans="17:17" x14ac:dyDescent="0.25">
      <c r="Q36227" s="8"/>
    </row>
    <row r="36228" spans="17:17" x14ac:dyDescent="0.25">
      <c r="Q36228" s="8"/>
    </row>
    <row r="36229" spans="17:17" x14ac:dyDescent="0.25">
      <c r="Q36229" s="8"/>
    </row>
    <row r="36230" spans="17:17" x14ac:dyDescent="0.25">
      <c r="Q36230" s="8"/>
    </row>
    <row r="36231" spans="17:17" x14ac:dyDescent="0.25">
      <c r="Q36231" s="8"/>
    </row>
    <row r="36232" spans="17:17" x14ac:dyDescent="0.25">
      <c r="Q36232" s="8"/>
    </row>
    <row r="36233" spans="17:17" x14ac:dyDescent="0.25">
      <c r="Q36233" s="8"/>
    </row>
    <row r="36234" spans="17:17" x14ac:dyDescent="0.25">
      <c r="Q36234" s="8"/>
    </row>
    <row r="36235" spans="17:17" x14ac:dyDescent="0.25">
      <c r="Q36235" s="8"/>
    </row>
    <row r="36236" spans="17:17" x14ac:dyDescent="0.25">
      <c r="Q36236" s="8"/>
    </row>
    <row r="36237" spans="17:17" x14ac:dyDescent="0.25">
      <c r="Q36237" s="8"/>
    </row>
    <row r="36238" spans="17:17" x14ac:dyDescent="0.25">
      <c r="Q36238" s="8"/>
    </row>
    <row r="36239" spans="17:17" x14ac:dyDescent="0.25">
      <c r="Q36239" s="8"/>
    </row>
    <row r="36240" spans="17:17" x14ac:dyDescent="0.25">
      <c r="Q36240" s="8"/>
    </row>
    <row r="36241" spans="17:17" x14ac:dyDescent="0.25">
      <c r="Q36241" s="8"/>
    </row>
    <row r="36242" spans="17:17" x14ac:dyDescent="0.25">
      <c r="Q36242" s="8"/>
    </row>
    <row r="36243" spans="17:17" x14ac:dyDescent="0.25">
      <c r="Q36243" s="8"/>
    </row>
    <row r="36244" spans="17:17" x14ac:dyDescent="0.25">
      <c r="Q36244" s="8"/>
    </row>
    <row r="36245" spans="17:17" x14ac:dyDescent="0.25">
      <c r="Q36245" s="8"/>
    </row>
    <row r="36246" spans="17:17" x14ac:dyDescent="0.25">
      <c r="Q36246" s="8"/>
    </row>
    <row r="36247" spans="17:17" x14ac:dyDescent="0.25">
      <c r="Q36247" s="8"/>
    </row>
    <row r="36248" spans="17:17" x14ac:dyDescent="0.25">
      <c r="Q36248" s="8"/>
    </row>
    <row r="36249" spans="17:17" x14ac:dyDescent="0.25">
      <c r="Q36249" s="8"/>
    </row>
    <row r="36250" spans="17:17" x14ac:dyDescent="0.25">
      <c r="Q36250" s="8"/>
    </row>
    <row r="36251" spans="17:17" x14ac:dyDescent="0.25">
      <c r="Q36251" s="8"/>
    </row>
    <row r="36252" spans="17:17" x14ac:dyDescent="0.25">
      <c r="Q36252" s="8"/>
    </row>
    <row r="36253" spans="17:17" x14ac:dyDescent="0.25">
      <c r="Q36253" s="8"/>
    </row>
    <row r="36254" spans="17:17" x14ac:dyDescent="0.25">
      <c r="Q36254" s="8"/>
    </row>
    <row r="36255" spans="17:17" x14ac:dyDescent="0.25">
      <c r="Q36255" s="8"/>
    </row>
    <row r="36256" spans="17:17" x14ac:dyDescent="0.25">
      <c r="Q36256" s="8"/>
    </row>
    <row r="36257" spans="17:17" x14ac:dyDescent="0.25">
      <c r="Q36257" s="8"/>
    </row>
    <row r="36258" spans="17:17" x14ac:dyDescent="0.25">
      <c r="Q36258" s="8"/>
    </row>
    <row r="36259" spans="17:17" x14ac:dyDescent="0.25">
      <c r="Q36259" s="8"/>
    </row>
    <row r="36260" spans="17:17" x14ac:dyDescent="0.25">
      <c r="Q36260" s="8"/>
    </row>
    <row r="36261" spans="17:17" x14ac:dyDescent="0.25">
      <c r="Q36261" s="8"/>
    </row>
    <row r="36262" spans="17:17" x14ac:dyDescent="0.25">
      <c r="Q36262" s="8"/>
    </row>
    <row r="36263" spans="17:17" x14ac:dyDescent="0.25">
      <c r="Q36263" s="8"/>
    </row>
    <row r="36264" spans="17:17" x14ac:dyDescent="0.25">
      <c r="Q36264" s="8"/>
    </row>
    <row r="36265" spans="17:17" x14ac:dyDescent="0.25">
      <c r="Q36265" s="8"/>
    </row>
    <row r="36266" spans="17:17" x14ac:dyDescent="0.25">
      <c r="Q36266" s="8"/>
    </row>
    <row r="36267" spans="17:17" x14ac:dyDescent="0.25">
      <c r="Q36267" s="8"/>
    </row>
    <row r="36268" spans="17:17" x14ac:dyDescent="0.25">
      <c r="Q36268" s="8"/>
    </row>
    <row r="36269" spans="17:17" x14ac:dyDescent="0.25">
      <c r="Q36269" s="8"/>
    </row>
    <row r="36270" spans="17:17" x14ac:dyDescent="0.25">
      <c r="Q36270" s="8"/>
    </row>
    <row r="36271" spans="17:17" x14ac:dyDescent="0.25">
      <c r="Q36271" s="8"/>
    </row>
    <row r="36272" spans="17:17" x14ac:dyDescent="0.25">
      <c r="Q36272" s="8"/>
    </row>
    <row r="36273" spans="17:17" x14ac:dyDescent="0.25">
      <c r="Q36273" s="8"/>
    </row>
    <row r="36274" spans="17:17" x14ac:dyDescent="0.25">
      <c r="Q36274" s="8"/>
    </row>
    <row r="36275" spans="17:17" x14ac:dyDescent="0.25">
      <c r="Q36275" s="8"/>
    </row>
    <row r="36276" spans="17:17" x14ac:dyDescent="0.25">
      <c r="Q36276" s="8"/>
    </row>
    <row r="36277" spans="17:17" x14ac:dyDescent="0.25">
      <c r="Q36277" s="8"/>
    </row>
    <row r="36278" spans="17:17" x14ac:dyDescent="0.25">
      <c r="Q36278" s="8"/>
    </row>
    <row r="36279" spans="17:17" x14ac:dyDescent="0.25">
      <c r="Q36279" s="8"/>
    </row>
    <row r="36280" spans="17:17" x14ac:dyDescent="0.25">
      <c r="Q36280" s="8"/>
    </row>
    <row r="36281" spans="17:17" x14ac:dyDescent="0.25">
      <c r="Q36281" s="8"/>
    </row>
    <row r="36282" spans="17:17" x14ac:dyDescent="0.25">
      <c r="Q36282" s="8"/>
    </row>
    <row r="36283" spans="17:17" x14ac:dyDescent="0.25">
      <c r="Q36283" s="8"/>
    </row>
    <row r="36284" spans="17:17" x14ac:dyDescent="0.25">
      <c r="Q36284" s="8"/>
    </row>
    <row r="36285" spans="17:17" x14ac:dyDescent="0.25">
      <c r="Q36285" s="8"/>
    </row>
    <row r="36286" spans="17:17" x14ac:dyDescent="0.25">
      <c r="Q36286" s="8"/>
    </row>
    <row r="36287" spans="17:17" x14ac:dyDescent="0.25">
      <c r="Q36287" s="8"/>
    </row>
    <row r="36288" spans="17:17" x14ac:dyDescent="0.25">
      <c r="Q36288" s="8"/>
    </row>
    <row r="36289" spans="17:17" x14ac:dyDescent="0.25">
      <c r="Q36289" s="8"/>
    </row>
    <row r="36290" spans="17:17" x14ac:dyDescent="0.25">
      <c r="Q36290" s="8"/>
    </row>
    <row r="36291" spans="17:17" x14ac:dyDescent="0.25">
      <c r="Q36291" s="8"/>
    </row>
    <row r="36292" spans="17:17" x14ac:dyDescent="0.25">
      <c r="Q36292" s="8"/>
    </row>
    <row r="36293" spans="17:17" x14ac:dyDescent="0.25">
      <c r="Q36293" s="8"/>
    </row>
    <row r="36294" spans="17:17" x14ac:dyDescent="0.25">
      <c r="Q36294" s="8"/>
    </row>
    <row r="36295" spans="17:17" x14ac:dyDescent="0.25">
      <c r="Q36295" s="8"/>
    </row>
    <row r="36296" spans="17:17" x14ac:dyDescent="0.25">
      <c r="Q36296" s="8"/>
    </row>
    <row r="36297" spans="17:17" x14ac:dyDescent="0.25">
      <c r="Q36297" s="8"/>
    </row>
    <row r="36298" spans="17:17" x14ac:dyDescent="0.25">
      <c r="Q36298" s="8"/>
    </row>
    <row r="36299" spans="17:17" x14ac:dyDescent="0.25">
      <c r="Q36299" s="8"/>
    </row>
    <row r="36300" spans="17:17" x14ac:dyDescent="0.25">
      <c r="Q36300" s="8"/>
    </row>
    <row r="36301" spans="17:17" x14ac:dyDescent="0.25">
      <c r="Q36301" s="8"/>
    </row>
    <row r="36302" spans="17:17" x14ac:dyDescent="0.25">
      <c r="Q36302" s="8"/>
    </row>
    <row r="36303" spans="17:17" x14ac:dyDescent="0.25">
      <c r="Q36303" s="8"/>
    </row>
    <row r="36304" spans="17:17" x14ac:dyDescent="0.25">
      <c r="Q36304" s="8"/>
    </row>
    <row r="36305" spans="17:17" x14ac:dyDescent="0.25">
      <c r="Q36305" s="8"/>
    </row>
    <row r="36306" spans="17:17" x14ac:dyDescent="0.25">
      <c r="Q36306" s="8"/>
    </row>
    <row r="36307" spans="17:17" x14ac:dyDescent="0.25">
      <c r="Q36307" s="8"/>
    </row>
    <row r="36308" spans="17:17" x14ac:dyDescent="0.25">
      <c r="Q36308" s="8"/>
    </row>
    <row r="36309" spans="17:17" x14ac:dyDescent="0.25">
      <c r="Q36309" s="8"/>
    </row>
    <row r="36310" spans="17:17" x14ac:dyDescent="0.25">
      <c r="Q36310" s="8"/>
    </row>
    <row r="36311" spans="17:17" x14ac:dyDescent="0.25">
      <c r="Q36311" s="8"/>
    </row>
    <row r="36312" spans="17:17" x14ac:dyDescent="0.25">
      <c r="Q36312" s="8"/>
    </row>
    <row r="36313" spans="17:17" x14ac:dyDescent="0.25">
      <c r="Q36313" s="8"/>
    </row>
    <row r="36314" spans="17:17" x14ac:dyDescent="0.25">
      <c r="Q36314" s="8"/>
    </row>
    <row r="36315" spans="17:17" x14ac:dyDescent="0.25">
      <c r="Q36315" s="8"/>
    </row>
    <row r="36316" spans="17:17" x14ac:dyDescent="0.25">
      <c r="Q36316" s="8"/>
    </row>
    <row r="36317" spans="17:17" x14ac:dyDescent="0.25">
      <c r="Q36317" s="8"/>
    </row>
    <row r="36318" spans="17:17" x14ac:dyDescent="0.25">
      <c r="Q36318" s="8"/>
    </row>
    <row r="36319" spans="17:17" x14ac:dyDescent="0.25">
      <c r="Q36319" s="8"/>
    </row>
    <row r="36320" spans="17:17" x14ac:dyDescent="0.25">
      <c r="Q36320" s="8"/>
    </row>
    <row r="36321" spans="17:17" x14ac:dyDescent="0.25">
      <c r="Q36321" s="8"/>
    </row>
    <row r="36322" spans="17:17" x14ac:dyDescent="0.25">
      <c r="Q36322" s="8"/>
    </row>
    <row r="36323" spans="17:17" x14ac:dyDescent="0.25">
      <c r="Q36323" s="8"/>
    </row>
    <row r="36324" spans="17:17" x14ac:dyDescent="0.25">
      <c r="Q36324" s="8"/>
    </row>
    <row r="36325" spans="17:17" x14ac:dyDescent="0.25">
      <c r="Q36325" s="8"/>
    </row>
    <row r="36326" spans="17:17" x14ac:dyDescent="0.25">
      <c r="Q36326" s="8"/>
    </row>
    <row r="36327" spans="17:17" x14ac:dyDescent="0.25">
      <c r="Q36327" s="8"/>
    </row>
    <row r="36328" spans="17:17" x14ac:dyDescent="0.25">
      <c r="Q36328" s="8"/>
    </row>
    <row r="36329" spans="17:17" x14ac:dyDescent="0.25">
      <c r="Q36329" s="8"/>
    </row>
    <row r="36330" spans="17:17" x14ac:dyDescent="0.25">
      <c r="Q36330" s="8"/>
    </row>
    <row r="36331" spans="17:17" x14ac:dyDescent="0.25">
      <c r="Q36331" s="8"/>
    </row>
    <row r="36332" spans="17:17" x14ac:dyDescent="0.25">
      <c r="Q36332" s="8"/>
    </row>
    <row r="36333" spans="17:17" x14ac:dyDescent="0.25">
      <c r="Q36333" s="8"/>
    </row>
    <row r="36334" spans="17:17" x14ac:dyDescent="0.25">
      <c r="Q36334" s="8"/>
    </row>
    <row r="36335" spans="17:17" x14ac:dyDescent="0.25">
      <c r="Q36335" s="8"/>
    </row>
    <row r="36336" spans="17:17" x14ac:dyDescent="0.25">
      <c r="Q36336" s="8"/>
    </row>
    <row r="36337" spans="17:17" x14ac:dyDescent="0.25">
      <c r="Q36337" s="8"/>
    </row>
    <row r="36338" spans="17:17" x14ac:dyDescent="0.25">
      <c r="Q36338" s="8"/>
    </row>
    <row r="36339" spans="17:17" x14ac:dyDescent="0.25">
      <c r="Q36339" s="8"/>
    </row>
    <row r="36340" spans="17:17" x14ac:dyDescent="0.25">
      <c r="Q36340" s="8"/>
    </row>
    <row r="36341" spans="17:17" x14ac:dyDescent="0.25">
      <c r="Q36341" s="8"/>
    </row>
    <row r="36342" spans="17:17" x14ac:dyDescent="0.25">
      <c r="Q36342" s="8"/>
    </row>
    <row r="36343" spans="17:17" x14ac:dyDescent="0.25">
      <c r="Q36343" s="8"/>
    </row>
    <row r="36344" spans="17:17" x14ac:dyDescent="0.25">
      <c r="Q36344" s="8"/>
    </row>
    <row r="36345" spans="17:17" x14ac:dyDescent="0.25">
      <c r="Q36345" s="8"/>
    </row>
    <row r="36346" spans="17:17" x14ac:dyDescent="0.25">
      <c r="Q36346" s="8"/>
    </row>
    <row r="36347" spans="17:17" x14ac:dyDescent="0.25">
      <c r="Q36347" s="8"/>
    </row>
    <row r="36348" spans="17:17" x14ac:dyDescent="0.25">
      <c r="Q36348" s="8"/>
    </row>
    <row r="36349" spans="17:17" x14ac:dyDescent="0.25">
      <c r="Q36349" s="8"/>
    </row>
    <row r="36350" spans="17:17" x14ac:dyDescent="0.25">
      <c r="Q36350" s="8"/>
    </row>
    <row r="36351" spans="17:17" x14ac:dyDescent="0.25">
      <c r="Q36351" s="8"/>
    </row>
    <row r="36352" spans="17:17" x14ac:dyDescent="0.25">
      <c r="Q36352" s="8"/>
    </row>
    <row r="36353" spans="17:17" x14ac:dyDescent="0.25">
      <c r="Q36353" s="8"/>
    </row>
    <row r="36354" spans="17:17" x14ac:dyDescent="0.25">
      <c r="Q36354" s="8"/>
    </row>
    <row r="36355" spans="17:17" x14ac:dyDescent="0.25">
      <c r="Q36355" s="8"/>
    </row>
    <row r="36356" spans="17:17" x14ac:dyDescent="0.25">
      <c r="Q36356" s="8"/>
    </row>
    <row r="36357" spans="17:17" x14ac:dyDescent="0.25">
      <c r="Q36357" s="8"/>
    </row>
    <row r="36358" spans="17:17" x14ac:dyDescent="0.25">
      <c r="Q36358" s="8"/>
    </row>
    <row r="36359" spans="17:17" x14ac:dyDescent="0.25">
      <c r="Q36359" s="8"/>
    </row>
    <row r="36360" spans="17:17" x14ac:dyDescent="0.25">
      <c r="Q36360" s="8"/>
    </row>
    <row r="36361" spans="17:17" x14ac:dyDescent="0.25">
      <c r="Q36361" s="8"/>
    </row>
    <row r="36362" spans="17:17" x14ac:dyDescent="0.25">
      <c r="Q36362" s="8"/>
    </row>
    <row r="36363" spans="17:17" x14ac:dyDescent="0.25">
      <c r="Q36363" s="8"/>
    </row>
    <row r="36364" spans="17:17" x14ac:dyDescent="0.25">
      <c r="Q36364" s="8"/>
    </row>
    <row r="36365" spans="17:17" x14ac:dyDescent="0.25">
      <c r="Q36365" s="8"/>
    </row>
    <row r="36366" spans="17:17" x14ac:dyDescent="0.25">
      <c r="Q36366" s="8"/>
    </row>
    <row r="36367" spans="17:17" x14ac:dyDescent="0.25">
      <c r="Q36367" s="8"/>
    </row>
    <row r="36368" spans="17:17" x14ac:dyDescent="0.25">
      <c r="Q36368" s="8"/>
    </row>
    <row r="36369" spans="17:17" x14ac:dyDescent="0.25">
      <c r="Q36369" s="8"/>
    </row>
    <row r="36370" spans="17:17" x14ac:dyDescent="0.25">
      <c r="Q36370" s="8"/>
    </row>
    <row r="36371" spans="17:17" x14ac:dyDescent="0.25">
      <c r="Q36371" s="8"/>
    </row>
    <row r="36372" spans="17:17" x14ac:dyDescent="0.25">
      <c r="Q36372" s="8"/>
    </row>
    <row r="36373" spans="17:17" x14ac:dyDescent="0.25">
      <c r="Q36373" s="8"/>
    </row>
    <row r="36374" spans="17:17" x14ac:dyDescent="0.25">
      <c r="Q36374" s="8"/>
    </row>
    <row r="36375" spans="17:17" x14ac:dyDescent="0.25">
      <c r="Q36375" s="8"/>
    </row>
    <row r="36376" spans="17:17" x14ac:dyDescent="0.25">
      <c r="Q36376" s="8"/>
    </row>
    <row r="36377" spans="17:17" x14ac:dyDescent="0.25">
      <c r="Q36377" s="8"/>
    </row>
    <row r="36378" spans="17:17" x14ac:dyDescent="0.25">
      <c r="Q36378" s="8"/>
    </row>
    <row r="36379" spans="17:17" x14ac:dyDescent="0.25">
      <c r="Q36379" s="8"/>
    </row>
    <row r="36380" spans="17:17" x14ac:dyDescent="0.25">
      <c r="Q36380" s="8"/>
    </row>
    <row r="36381" spans="17:17" x14ac:dyDescent="0.25">
      <c r="Q36381" s="8"/>
    </row>
    <row r="36382" spans="17:17" x14ac:dyDescent="0.25">
      <c r="Q36382" s="8"/>
    </row>
    <row r="36383" spans="17:17" x14ac:dyDescent="0.25">
      <c r="Q36383" s="8"/>
    </row>
    <row r="36384" spans="17:17" x14ac:dyDescent="0.25">
      <c r="Q36384" s="8"/>
    </row>
    <row r="36385" spans="17:17" x14ac:dyDescent="0.25">
      <c r="Q36385" s="8"/>
    </row>
    <row r="36386" spans="17:17" x14ac:dyDescent="0.25">
      <c r="Q36386" s="8"/>
    </row>
    <row r="36387" spans="17:17" x14ac:dyDescent="0.25">
      <c r="Q36387" s="8"/>
    </row>
    <row r="36388" spans="17:17" x14ac:dyDescent="0.25">
      <c r="Q36388" s="8"/>
    </row>
    <row r="36389" spans="17:17" x14ac:dyDescent="0.25">
      <c r="Q36389" s="8"/>
    </row>
    <row r="36390" spans="17:17" x14ac:dyDescent="0.25">
      <c r="Q36390" s="8"/>
    </row>
    <row r="36391" spans="17:17" x14ac:dyDescent="0.25">
      <c r="Q36391" s="8"/>
    </row>
    <row r="36392" spans="17:17" x14ac:dyDescent="0.25">
      <c r="Q36392" s="8"/>
    </row>
    <row r="36393" spans="17:17" x14ac:dyDescent="0.25">
      <c r="Q36393" s="8"/>
    </row>
    <row r="36394" spans="17:17" x14ac:dyDescent="0.25">
      <c r="Q36394" s="8"/>
    </row>
    <row r="36395" spans="17:17" x14ac:dyDescent="0.25">
      <c r="Q36395" s="8"/>
    </row>
    <row r="36396" spans="17:17" x14ac:dyDescent="0.25">
      <c r="Q36396" s="8"/>
    </row>
    <row r="36397" spans="17:17" x14ac:dyDescent="0.25">
      <c r="Q36397" s="8"/>
    </row>
    <row r="36398" spans="17:17" x14ac:dyDescent="0.25">
      <c r="Q36398" s="8"/>
    </row>
    <row r="36399" spans="17:17" x14ac:dyDescent="0.25">
      <c r="Q36399" s="8"/>
    </row>
    <row r="36400" spans="17:17" x14ac:dyDescent="0.25">
      <c r="Q36400" s="8"/>
    </row>
    <row r="36401" spans="17:17" x14ac:dyDescent="0.25">
      <c r="Q36401" s="8"/>
    </row>
    <row r="36402" spans="17:17" x14ac:dyDescent="0.25">
      <c r="Q36402" s="8"/>
    </row>
    <row r="36403" spans="17:17" x14ac:dyDescent="0.25">
      <c r="Q36403" s="8"/>
    </row>
    <row r="36404" spans="17:17" x14ac:dyDescent="0.25">
      <c r="Q36404" s="8"/>
    </row>
    <row r="36405" spans="17:17" x14ac:dyDescent="0.25">
      <c r="Q36405" s="8"/>
    </row>
    <row r="36406" spans="17:17" x14ac:dyDescent="0.25">
      <c r="Q36406" s="8"/>
    </row>
    <row r="36407" spans="17:17" x14ac:dyDescent="0.25">
      <c r="Q36407" s="8"/>
    </row>
    <row r="36408" spans="17:17" x14ac:dyDescent="0.25">
      <c r="Q36408" s="8"/>
    </row>
    <row r="36409" spans="17:17" x14ac:dyDescent="0.25">
      <c r="Q36409" s="8"/>
    </row>
    <row r="36410" spans="17:17" x14ac:dyDescent="0.25">
      <c r="Q36410" s="8"/>
    </row>
    <row r="36411" spans="17:17" x14ac:dyDescent="0.25">
      <c r="Q36411" s="8"/>
    </row>
    <row r="36412" spans="17:17" x14ac:dyDescent="0.25">
      <c r="Q36412" s="8"/>
    </row>
    <row r="36413" spans="17:17" x14ac:dyDescent="0.25">
      <c r="Q36413" s="8"/>
    </row>
    <row r="36414" spans="17:17" x14ac:dyDescent="0.25">
      <c r="Q36414" s="8"/>
    </row>
    <row r="36415" spans="17:17" x14ac:dyDescent="0.25">
      <c r="Q36415" s="8"/>
    </row>
    <row r="36416" spans="17:17" x14ac:dyDescent="0.25">
      <c r="Q36416" s="8"/>
    </row>
    <row r="36417" spans="17:17" x14ac:dyDescent="0.25">
      <c r="Q36417" s="8"/>
    </row>
    <row r="36418" spans="17:17" x14ac:dyDescent="0.25">
      <c r="Q36418" s="8"/>
    </row>
    <row r="36419" spans="17:17" x14ac:dyDescent="0.25">
      <c r="Q36419" s="8"/>
    </row>
    <row r="36420" spans="17:17" x14ac:dyDescent="0.25">
      <c r="Q36420" s="8"/>
    </row>
    <row r="36421" spans="17:17" x14ac:dyDescent="0.25">
      <c r="Q36421" s="8"/>
    </row>
    <row r="36422" spans="17:17" x14ac:dyDescent="0.25">
      <c r="Q36422" s="8"/>
    </row>
    <row r="36423" spans="17:17" x14ac:dyDescent="0.25">
      <c r="Q36423" s="8"/>
    </row>
    <row r="36424" spans="17:17" x14ac:dyDescent="0.25">
      <c r="Q36424" s="8"/>
    </row>
    <row r="36425" spans="17:17" x14ac:dyDescent="0.25">
      <c r="Q36425" s="8"/>
    </row>
    <row r="36426" spans="17:17" x14ac:dyDescent="0.25">
      <c r="Q36426" s="8"/>
    </row>
    <row r="36427" spans="17:17" x14ac:dyDescent="0.25">
      <c r="Q36427" s="8"/>
    </row>
    <row r="36428" spans="17:17" x14ac:dyDescent="0.25">
      <c r="Q36428" s="8"/>
    </row>
    <row r="36429" spans="17:17" x14ac:dyDescent="0.25">
      <c r="Q36429" s="8"/>
    </row>
    <row r="36430" spans="17:17" x14ac:dyDescent="0.25">
      <c r="Q36430" s="8"/>
    </row>
    <row r="36431" spans="17:17" x14ac:dyDescent="0.25">
      <c r="Q36431" s="8"/>
    </row>
    <row r="36432" spans="17:17" x14ac:dyDescent="0.25">
      <c r="Q36432" s="8"/>
    </row>
    <row r="36433" spans="17:17" x14ac:dyDescent="0.25">
      <c r="Q36433" s="8"/>
    </row>
    <row r="36434" spans="17:17" x14ac:dyDescent="0.25">
      <c r="Q36434" s="8"/>
    </row>
    <row r="36435" spans="17:17" x14ac:dyDescent="0.25">
      <c r="Q36435" s="8"/>
    </row>
    <row r="36436" spans="17:17" x14ac:dyDescent="0.25">
      <c r="Q36436" s="8"/>
    </row>
    <row r="36437" spans="17:17" x14ac:dyDescent="0.25">
      <c r="Q36437" s="8"/>
    </row>
    <row r="36438" spans="17:17" x14ac:dyDescent="0.25">
      <c r="Q36438" s="8"/>
    </row>
    <row r="36439" spans="17:17" x14ac:dyDescent="0.25">
      <c r="Q36439" s="8"/>
    </row>
    <row r="36440" spans="17:17" x14ac:dyDescent="0.25">
      <c r="Q36440" s="8"/>
    </row>
    <row r="36441" spans="17:17" x14ac:dyDescent="0.25">
      <c r="Q36441" s="8"/>
    </row>
    <row r="36442" spans="17:17" x14ac:dyDescent="0.25">
      <c r="Q36442" s="8"/>
    </row>
    <row r="36443" spans="17:17" x14ac:dyDescent="0.25">
      <c r="Q36443" s="8"/>
    </row>
    <row r="36444" spans="17:17" x14ac:dyDescent="0.25">
      <c r="Q36444" s="8"/>
    </row>
    <row r="36445" spans="17:17" x14ac:dyDescent="0.25">
      <c r="Q36445" s="8"/>
    </row>
    <row r="36446" spans="17:17" x14ac:dyDescent="0.25">
      <c r="Q36446" s="8"/>
    </row>
    <row r="36447" spans="17:17" x14ac:dyDescent="0.25">
      <c r="Q36447" s="8"/>
    </row>
    <row r="36448" spans="17:17" x14ac:dyDescent="0.25">
      <c r="Q36448" s="8"/>
    </row>
    <row r="36449" spans="17:17" x14ac:dyDescent="0.25">
      <c r="Q36449" s="8"/>
    </row>
    <row r="36450" spans="17:17" x14ac:dyDescent="0.25">
      <c r="Q36450" s="8"/>
    </row>
    <row r="36451" spans="17:17" x14ac:dyDescent="0.25">
      <c r="Q36451" s="8"/>
    </row>
    <row r="36452" spans="17:17" x14ac:dyDescent="0.25">
      <c r="Q36452" s="8"/>
    </row>
    <row r="36453" spans="17:17" x14ac:dyDescent="0.25">
      <c r="Q36453" s="8"/>
    </row>
    <row r="36454" spans="17:17" x14ac:dyDescent="0.25">
      <c r="Q36454" s="8"/>
    </row>
    <row r="36455" spans="17:17" x14ac:dyDescent="0.25">
      <c r="Q36455" s="8"/>
    </row>
    <row r="36456" spans="17:17" x14ac:dyDescent="0.25">
      <c r="Q36456" s="8"/>
    </row>
    <row r="36457" spans="17:17" x14ac:dyDescent="0.25">
      <c r="Q36457" s="8"/>
    </row>
    <row r="36458" spans="17:17" x14ac:dyDescent="0.25">
      <c r="Q36458" s="8"/>
    </row>
    <row r="36459" spans="17:17" x14ac:dyDescent="0.25">
      <c r="Q36459" s="8"/>
    </row>
    <row r="36460" spans="17:17" x14ac:dyDescent="0.25">
      <c r="Q36460" s="8"/>
    </row>
    <row r="36461" spans="17:17" x14ac:dyDescent="0.25">
      <c r="Q36461" s="8"/>
    </row>
    <row r="36462" spans="17:17" x14ac:dyDescent="0.25">
      <c r="Q36462" s="8"/>
    </row>
    <row r="36463" spans="17:17" x14ac:dyDescent="0.25">
      <c r="Q36463" s="8"/>
    </row>
    <row r="36464" spans="17:17" x14ac:dyDescent="0.25">
      <c r="Q36464" s="8"/>
    </row>
    <row r="36465" spans="17:17" x14ac:dyDescent="0.25">
      <c r="Q36465" s="8"/>
    </row>
    <row r="36466" spans="17:17" x14ac:dyDescent="0.25">
      <c r="Q36466" s="8"/>
    </row>
    <row r="36467" spans="17:17" x14ac:dyDescent="0.25">
      <c r="Q36467" s="8"/>
    </row>
    <row r="36468" spans="17:17" x14ac:dyDescent="0.25">
      <c r="Q36468" s="8"/>
    </row>
    <row r="36469" spans="17:17" x14ac:dyDescent="0.25">
      <c r="Q36469" s="8"/>
    </row>
    <row r="36470" spans="17:17" x14ac:dyDescent="0.25">
      <c r="Q36470" s="8"/>
    </row>
    <row r="36471" spans="17:17" x14ac:dyDescent="0.25">
      <c r="Q36471" s="8"/>
    </row>
    <row r="36472" spans="17:17" x14ac:dyDescent="0.25">
      <c r="Q36472" s="8"/>
    </row>
    <row r="36473" spans="17:17" x14ac:dyDescent="0.25">
      <c r="Q36473" s="8"/>
    </row>
    <row r="36474" spans="17:17" x14ac:dyDescent="0.25">
      <c r="Q36474" s="8"/>
    </row>
    <row r="36475" spans="17:17" x14ac:dyDescent="0.25">
      <c r="Q36475" s="8"/>
    </row>
    <row r="36476" spans="17:17" x14ac:dyDescent="0.25">
      <c r="Q36476" s="8"/>
    </row>
    <row r="36477" spans="17:17" x14ac:dyDescent="0.25">
      <c r="Q36477" s="8"/>
    </row>
    <row r="36478" spans="17:17" x14ac:dyDescent="0.25">
      <c r="Q36478" s="8"/>
    </row>
    <row r="36479" spans="17:17" x14ac:dyDescent="0.25">
      <c r="Q36479" s="8"/>
    </row>
    <row r="36480" spans="17:17" x14ac:dyDescent="0.25">
      <c r="Q36480" s="8"/>
    </row>
    <row r="36481" spans="17:17" x14ac:dyDescent="0.25">
      <c r="Q36481" s="8"/>
    </row>
    <row r="36482" spans="17:17" x14ac:dyDescent="0.25">
      <c r="Q36482" s="8"/>
    </row>
    <row r="36483" spans="17:17" x14ac:dyDescent="0.25">
      <c r="Q36483" s="8"/>
    </row>
    <row r="36484" spans="17:17" x14ac:dyDescent="0.25">
      <c r="Q36484" s="8"/>
    </row>
    <row r="36485" spans="17:17" x14ac:dyDescent="0.25">
      <c r="Q36485" s="8"/>
    </row>
    <row r="36486" spans="17:17" x14ac:dyDescent="0.25">
      <c r="Q36486" s="8"/>
    </row>
    <row r="36487" spans="17:17" x14ac:dyDescent="0.25">
      <c r="Q36487" s="8"/>
    </row>
    <row r="36488" spans="17:17" x14ac:dyDescent="0.25">
      <c r="Q36488" s="8"/>
    </row>
    <row r="36489" spans="17:17" x14ac:dyDescent="0.25">
      <c r="Q36489" s="8"/>
    </row>
    <row r="36490" spans="17:17" x14ac:dyDescent="0.25">
      <c r="Q36490" s="8"/>
    </row>
    <row r="36491" spans="17:17" x14ac:dyDescent="0.25">
      <c r="Q36491" s="8"/>
    </row>
    <row r="36492" spans="17:17" x14ac:dyDescent="0.25">
      <c r="Q36492" s="8"/>
    </row>
    <row r="36493" spans="17:17" x14ac:dyDescent="0.25">
      <c r="Q36493" s="8"/>
    </row>
    <row r="36494" spans="17:17" x14ac:dyDescent="0.25">
      <c r="Q36494" s="8"/>
    </row>
    <row r="36495" spans="17:17" x14ac:dyDescent="0.25">
      <c r="Q36495" s="8"/>
    </row>
    <row r="36496" spans="17:17" x14ac:dyDescent="0.25">
      <c r="Q36496" s="8"/>
    </row>
    <row r="36497" spans="17:17" x14ac:dyDescent="0.25">
      <c r="Q36497" s="8"/>
    </row>
    <row r="36498" spans="17:17" x14ac:dyDescent="0.25">
      <c r="Q36498" s="8"/>
    </row>
    <row r="36499" spans="17:17" x14ac:dyDescent="0.25">
      <c r="Q36499" s="8"/>
    </row>
    <row r="36500" spans="17:17" x14ac:dyDescent="0.25">
      <c r="Q36500" s="8"/>
    </row>
    <row r="36501" spans="17:17" x14ac:dyDescent="0.25">
      <c r="Q36501" s="8"/>
    </row>
    <row r="36502" spans="17:17" x14ac:dyDescent="0.25">
      <c r="Q36502" s="8"/>
    </row>
    <row r="36503" spans="17:17" x14ac:dyDescent="0.25">
      <c r="Q36503" s="8"/>
    </row>
    <row r="36504" spans="17:17" x14ac:dyDescent="0.25">
      <c r="Q36504" s="8"/>
    </row>
    <row r="36505" spans="17:17" x14ac:dyDescent="0.25">
      <c r="Q36505" s="8"/>
    </row>
    <row r="36506" spans="17:17" x14ac:dyDescent="0.25">
      <c r="Q36506" s="8"/>
    </row>
    <row r="36507" spans="17:17" x14ac:dyDescent="0.25">
      <c r="Q36507" s="8"/>
    </row>
    <row r="36508" spans="17:17" x14ac:dyDescent="0.25">
      <c r="Q36508" s="8"/>
    </row>
    <row r="36509" spans="17:17" x14ac:dyDescent="0.25">
      <c r="Q36509" s="8"/>
    </row>
    <row r="36510" spans="17:17" x14ac:dyDescent="0.25">
      <c r="Q36510" s="8"/>
    </row>
    <row r="36511" spans="17:17" x14ac:dyDescent="0.25">
      <c r="Q36511" s="8"/>
    </row>
    <row r="36512" spans="17:17" x14ac:dyDescent="0.25">
      <c r="Q36512" s="8"/>
    </row>
    <row r="36513" spans="17:17" x14ac:dyDescent="0.25">
      <c r="Q36513" s="8"/>
    </row>
    <row r="36514" spans="17:17" x14ac:dyDescent="0.25">
      <c r="Q36514" s="8"/>
    </row>
    <row r="36515" spans="17:17" x14ac:dyDescent="0.25">
      <c r="Q36515" s="8"/>
    </row>
    <row r="36516" spans="17:17" x14ac:dyDescent="0.25">
      <c r="Q36516" s="8"/>
    </row>
    <row r="36517" spans="17:17" x14ac:dyDescent="0.25">
      <c r="Q36517" s="8"/>
    </row>
    <row r="36518" spans="17:17" x14ac:dyDescent="0.25">
      <c r="Q36518" s="8"/>
    </row>
    <row r="36519" spans="17:17" x14ac:dyDescent="0.25">
      <c r="Q36519" s="8"/>
    </row>
    <row r="36520" spans="17:17" x14ac:dyDescent="0.25">
      <c r="Q36520" s="8"/>
    </row>
    <row r="36521" spans="17:17" x14ac:dyDescent="0.25">
      <c r="Q36521" s="8"/>
    </row>
    <row r="36522" spans="17:17" x14ac:dyDescent="0.25">
      <c r="Q36522" s="8"/>
    </row>
    <row r="36523" spans="17:17" x14ac:dyDescent="0.25">
      <c r="Q36523" s="8"/>
    </row>
    <row r="36524" spans="17:17" x14ac:dyDescent="0.25">
      <c r="Q36524" s="8"/>
    </row>
    <row r="36525" spans="17:17" x14ac:dyDescent="0.25">
      <c r="Q36525" s="8"/>
    </row>
    <row r="36526" spans="17:17" x14ac:dyDescent="0.25">
      <c r="Q36526" s="8"/>
    </row>
    <row r="36527" spans="17:17" x14ac:dyDescent="0.25">
      <c r="Q36527" s="8"/>
    </row>
    <row r="36528" spans="17:17" x14ac:dyDescent="0.25">
      <c r="Q36528" s="8"/>
    </row>
    <row r="36529" spans="17:17" x14ac:dyDescent="0.25">
      <c r="Q36529" s="8"/>
    </row>
    <row r="36530" spans="17:17" x14ac:dyDescent="0.25">
      <c r="Q36530" s="8"/>
    </row>
    <row r="36531" spans="17:17" x14ac:dyDescent="0.25">
      <c r="Q36531" s="8"/>
    </row>
    <row r="36532" spans="17:17" x14ac:dyDescent="0.25">
      <c r="Q36532" s="8"/>
    </row>
    <row r="36533" spans="17:17" x14ac:dyDescent="0.25">
      <c r="Q36533" s="8"/>
    </row>
    <row r="36534" spans="17:17" x14ac:dyDescent="0.25">
      <c r="Q36534" s="8"/>
    </row>
    <row r="36535" spans="17:17" x14ac:dyDescent="0.25">
      <c r="Q36535" s="8"/>
    </row>
    <row r="36536" spans="17:17" x14ac:dyDescent="0.25">
      <c r="Q36536" s="8"/>
    </row>
    <row r="36537" spans="17:17" x14ac:dyDescent="0.25">
      <c r="Q36537" s="8"/>
    </row>
    <row r="36538" spans="17:17" x14ac:dyDescent="0.25">
      <c r="Q36538" s="8"/>
    </row>
    <row r="36539" spans="17:17" x14ac:dyDescent="0.25">
      <c r="Q36539" s="8"/>
    </row>
    <row r="36540" spans="17:17" x14ac:dyDescent="0.25">
      <c r="Q36540" s="8"/>
    </row>
    <row r="36541" spans="17:17" x14ac:dyDescent="0.25">
      <c r="Q36541" s="8"/>
    </row>
    <row r="36542" spans="17:17" x14ac:dyDescent="0.25">
      <c r="Q36542" s="8"/>
    </row>
    <row r="36543" spans="17:17" x14ac:dyDescent="0.25">
      <c r="Q36543" s="8"/>
    </row>
    <row r="36544" spans="17:17" x14ac:dyDescent="0.25">
      <c r="Q36544" s="8"/>
    </row>
    <row r="36545" spans="17:17" x14ac:dyDescent="0.25">
      <c r="Q36545" s="8"/>
    </row>
    <row r="36546" spans="17:17" x14ac:dyDescent="0.25">
      <c r="Q36546" s="8"/>
    </row>
    <row r="36547" spans="17:17" x14ac:dyDescent="0.25">
      <c r="Q36547" s="8"/>
    </row>
    <row r="36548" spans="17:17" x14ac:dyDescent="0.25">
      <c r="Q36548" s="8"/>
    </row>
    <row r="36549" spans="17:17" x14ac:dyDescent="0.25">
      <c r="Q36549" s="8"/>
    </row>
    <row r="36550" spans="17:17" x14ac:dyDescent="0.25">
      <c r="Q36550" s="8"/>
    </row>
    <row r="36551" spans="17:17" x14ac:dyDescent="0.25">
      <c r="Q36551" s="8"/>
    </row>
    <row r="36552" spans="17:17" x14ac:dyDescent="0.25">
      <c r="Q36552" s="8"/>
    </row>
    <row r="36553" spans="17:17" x14ac:dyDescent="0.25">
      <c r="Q36553" s="8"/>
    </row>
    <row r="36554" spans="17:17" x14ac:dyDescent="0.25">
      <c r="Q36554" s="8"/>
    </row>
    <row r="36555" spans="17:17" x14ac:dyDescent="0.25">
      <c r="Q36555" s="8"/>
    </row>
    <row r="36556" spans="17:17" x14ac:dyDescent="0.25">
      <c r="Q36556" s="8"/>
    </row>
    <row r="36557" spans="17:17" x14ac:dyDescent="0.25">
      <c r="Q36557" s="8"/>
    </row>
    <row r="36558" spans="17:17" x14ac:dyDescent="0.25">
      <c r="Q36558" s="8"/>
    </row>
    <row r="36559" spans="17:17" x14ac:dyDescent="0.25">
      <c r="Q36559" s="8"/>
    </row>
    <row r="36560" spans="17:17" x14ac:dyDescent="0.25">
      <c r="Q36560" s="8"/>
    </row>
    <row r="36561" spans="17:17" x14ac:dyDescent="0.25">
      <c r="Q36561" s="8"/>
    </row>
    <row r="36562" spans="17:17" x14ac:dyDescent="0.25">
      <c r="Q36562" s="8"/>
    </row>
    <row r="36563" spans="17:17" x14ac:dyDescent="0.25">
      <c r="Q36563" s="8"/>
    </row>
    <row r="36564" spans="17:17" x14ac:dyDescent="0.25">
      <c r="Q36564" s="8"/>
    </row>
    <row r="36565" spans="17:17" x14ac:dyDescent="0.25">
      <c r="Q36565" s="8"/>
    </row>
    <row r="36566" spans="17:17" x14ac:dyDescent="0.25">
      <c r="Q36566" s="8"/>
    </row>
    <row r="36567" spans="17:17" x14ac:dyDescent="0.25">
      <c r="Q36567" s="8"/>
    </row>
    <row r="36568" spans="17:17" x14ac:dyDescent="0.25">
      <c r="Q36568" s="8"/>
    </row>
    <row r="36569" spans="17:17" x14ac:dyDescent="0.25">
      <c r="Q36569" s="8"/>
    </row>
    <row r="36570" spans="17:17" x14ac:dyDescent="0.25">
      <c r="Q36570" s="8"/>
    </row>
    <row r="36571" spans="17:17" x14ac:dyDescent="0.25">
      <c r="Q36571" s="8"/>
    </row>
    <row r="36572" spans="17:17" x14ac:dyDescent="0.25">
      <c r="Q36572" s="8"/>
    </row>
    <row r="36573" spans="17:17" x14ac:dyDescent="0.25">
      <c r="Q36573" s="8"/>
    </row>
    <row r="36574" spans="17:17" x14ac:dyDescent="0.25">
      <c r="Q36574" s="8"/>
    </row>
    <row r="36575" spans="17:17" x14ac:dyDescent="0.25">
      <c r="Q36575" s="8"/>
    </row>
    <row r="36576" spans="17:17" x14ac:dyDescent="0.25">
      <c r="Q36576" s="8"/>
    </row>
    <row r="36577" spans="17:17" x14ac:dyDescent="0.25">
      <c r="Q36577" s="8"/>
    </row>
    <row r="36578" spans="17:17" x14ac:dyDescent="0.25">
      <c r="Q36578" s="8"/>
    </row>
    <row r="36579" spans="17:17" x14ac:dyDescent="0.25">
      <c r="Q36579" s="8"/>
    </row>
    <row r="36580" spans="17:17" x14ac:dyDescent="0.25">
      <c r="Q36580" s="8"/>
    </row>
    <row r="36581" spans="17:17" x14ac:dyDescent="0.25">
      <c r="Q36581" s="8"/>
    </row>
    <row r="36582" spans="17:17" x14ac:dyDescent="0.25">
      <c r="Q36582" s="8"/>
    </row>
    <row r="36583" spans="17:17" x14ac:dyDescent="0.25">
      <c r="Q36583" s="8"/>
    </row>
    <row r="36584" spans="17:17" x14ac:dyDescent="0.25">
      <c r="Q36584" s="8"/>
    </row>
    <row r="36585" spans="17:17" x14ac:dyDescent="0.25">
      <c r="Q36585" s="8"/>
    </row>
    <row r="36586" spans="17:17" x14ac:dyDescent="0.25">
      <c r="Q36586" s="8"/>
    </row>
    <row r="36587" spans="17:17" x14ac:dyDescent="0.25">
      <c r="Q36587" s="8"/>
    </row>
    <row r="36588" spans="17:17" x14ac:dyDescent="0.25">
      <c r="Q36588" s="8"/>
    </row>
    <row r="36589" spans="17:17" x14ac:dyDescent="0.25">
      <c r="Q36589" s="8"/>
    </row>
    <row r="36590" spans="17:17" x14ac:dyDescent="0.25">
      <c r="Q36590" s="8"/>
    </row>
    <row r="36591" spans="17:17" x14ac:dyDescent="0.25">
      <c r="Q36591" s="8"/>
    </row>
    <row r="36592" spans="17:17" x14ac:dyDescent="0.25">
      <c r="Q36592" s="8"/>
    </row>
    <row r="36593" spans="17:17" x14ac:dyDescent="0.25">
      <c r="Q36593" s="8"/>
    </row>
    <row r="36594" spans="17:17" x14ac:dyDescent="0.25">
      <c r="Q36594" s="8"/>
    </row>
    <row r="36595" spans="17:17" x14ac:dyDescent="0.25">
      <c r="Q36595" s="8"/>
    </row>
    <row r="36596" spans="17:17" x14ac:dyDescent="0.25">
      <c r="Q36596" s="8"/>
    </row>
    <row r="36597" spans="17:17" x14ac:dyDescent="0.25">
      <c r="Q36597" s="8"/>
    </row>
    <row r="36598" spans="17:17" x14ac:dyDescent="0.25">
      <c r="Q36598" s="8"/>
    </row>
    <row r="36599" spans="17:17" x14ac:dyDescent="0.25">
      <c r="Q36599" s="8"/>
    </row>
    <row r="36600" spans="17:17" x14ac:dyDescent="0.25">
      <c r="Q36600" s="8"/>
    </row>
    <row r="36601" spans="17:17" x14ac:dyDescent="0.25">
      <c r="Q36601" s="8"/>
    </row>
    <row r="36602" spans="17:17" x14ac:dyDescent="0.25">
      <c r="Q36602" s="8"/>
    </row>
    <row r="36603" spans="17:17" x14ac:dyDescent="0.25">
      <c r="Q36603" s="8"/>
    </row>
    <row r="36604" spans="17:17" x14ac:dyDescent="0.25">
      <c r="Q36604" s="8"/>
    </row>
    <row r="36605" spans="17:17" x14ac:dyDescent="0.25">
      <c r="Q36605" s="8"/>
    </row>
    <row r="36606" spans="17:17" x14ac:dyDescent="0.25">
      <c r="Q36606" s="8"/>
    </row>
    <row r="36607" spans="17:17" x14ac:dyDescent="0.25">
      <c r="Q36607" s="8"/>
    </row>
    <row r="36608" spans="17:17" x14ac:dyDescent="0.25">
      <c r="Q36608" s="8"/>
    </row>
    <row r="36609" spans="17:17" x14ac:dyDescent="0.25">
      <c r="Q36609" s="8"/>
    </row>
    <row r="36610" spans="17:17" x14ac:dyDescent="0.25">
      <c r="Q36610" s="8"/>
    </row>
    <row r="36611" spans="17:17" x14ac:dyDescent="0.25">
      <c r="Q36611" s="8"/>
    </row>
    <row r="36612" spans="17:17" x14ac:dyDescent="0.25">
      <c r="Q36612" s="8"/>
    </row>
    <row r="36613" spans="17:17" x14ac:dyDescent="0.25">
      <c r="Q36613" s="8"/>
    </row>
    <row r="36614" spans="17:17" x14ac:dyDescent="0.25">
      <c r="Q36614" s="8"/>
    </row>
    <row r="36615" spans="17:17" x14ac:dyDescent="0.25">
      <c r="Q36615" s="8"/>
    </row>
    <row r="36616" spans="17:17" x14ac:dyDescent="0.25">
      <c r="Q36616" s="8"/>
    </row>
    <row r="36617" spans="17:17" x14ac:dyDescent="0.25">
      <c r="Q36617" s="8"/>
    </row>
    <row r="36618" spans="17:17" x14ac:dyDescent="0.25">
      <c r="Q36618" s="8"/>
    </row>
    <row r="36619" spans="17:17" x14ac:dyDescent="0.25">
      <c r="Q36619" s="8"/>
    </row>
    <row r="36620" spans="17:17" x14ac:dyDescent="0.25">
      <c r="Q36620" s="8"/>
    </row>
    <row r="36621" spans="17:17" x14ac:dyDescent="0.25">
      <c r="Q36621" s="8"/>
    </row>
    <row r="36622" spans="17:17" x14ac:dyDescent="0.25">
      <c r="Q36622" s="8"/>
    </row>
    <row r="36623" spans="17:17" x14ac:dyDescent="0.25">
      <c r="Q36623" s="8"/>
    </row>
    <row r="36624" spans="17:17" x14ac:dyDescent="0.25">
      <c r="Q36624" s="8"/>
    </row>
    <row r="36625" spans="17:17" x14ac:dyDescent="0.25">
      <c r="Q36625" s="8"/>
    </row>
    <row r="36626" spans="17:17" x14ac:dyDescent="0.25">
      <c r="Q36626" s="8"/>
    </row>
    <row r="36627" spans="17:17" x14ac:dyDescent="0.25">
      <c r="Q36627" s="8"/>
    </row>
    <row r="36628" spans="17:17" x14ac:dyDescent="0.25">
      <c r="Q36628" s="8"/>
    </row>
    <row r="36629" spans="17:17" x14ac:dyDescent="0.25">
      <c r="Q36629" s="8"/>
    </row>
    <row r="36630" spans="17:17" x14ac:dyDescent="0.25">
      <c r="Q36630" s="8"/>
    </row>
    <row r="36631" spans="17:17" x14ac:dyDescent="0.25">
      <c r="Q36631" s="8"/>
    </row>
    <row r="36632" spans="17:17" x14ac:dyDescent="0.25">
      <c r="Q36632" s="8"/>
    </row>
    <row r="36633" spans="17:17" x14ac:dyDescent="0.25">
      <c r="Q36633" s="8"/>
    </row>
    <row r="36634" spans="17:17" x14ac:dyDescent="0.25">
      <c r="Q36634" s="8"/>
    </row>
    <row r="36635" spans="17:17" x14ac:dyDescent="0.25">
      <c r="Q36635" s="8"/>
    </row>
    <row r="36636" spans="17:17" x14ac:dyDescent="0.25">
      <c r="Q36636" s="8"/>
    </row>
    <row r="36637" spans="17:17" x14ac:dyDescent="0.25">
      <c r="Q36637" s="8"/>
    </row>
    <row r="36638" spans="17:17" x14ac:dyDescent="0.25">
      <c r="Q36638" s="8"/>
    </row>
    <row r="36639" spans="17:17" x14ac:dyDescent="0.25">
      <c r="Q36639" s="8"/>
    </row>
    <row r="36640" spans="17:17" x14ac:dyDescent="0.25">
      <c r="Q36640" s="8"/>
    </row>
    <row r="36641" spans="17:17" x14ac:dyDescent="0.25">
      <c r="Q36641" s="8"/>
    </row>
    <row r="36642" spans="17:17" x14ac:dyDescent="0.25">
      <c r="Q36642" s="8"/>
    </row>
    <row r="36643" spans="17:17" x14ac:dyDescent="0.25">
      <c r="Q36643" s="8"/>
    </row>
    <row r="36644" spans="17:17" x14ac:dyDescent="0.25">
      <c r="Q36644" s="8"/>
    </row>
    <row r="36645" spans="17:17" x14ac:dyDescent="0.25">
      <c r="Q36645" s="8"/>
    </row>
    <row r="36646" spans="17:17" x14ac:dyDescent="0.25">
      <c r="Q36646" s="8"/>
    </row>
    <row r="36647" spans="17:17" x14ac:dyDescent="0.25">
      <c r="Q36647" s="8"/>
    </row>
    <row r="36648" spans="17:17" x14ac:dyDescent="0.25">
      <c r="Q36648" s="8"/>
    </row>
    <row r="36649" spans="17:17" x14ac:dyDescent="0.25">
      <c r="Q36649" s="8"/>
    </row>
    <row r="36650" spans="17:17" x14ac:dyDescent="0.25">
      <c r="Q36650" s="8"/>
    </row>
    <row r="36651" spans="17:17" x14ac:dyDescent="0.25">
      <c r="Q36651" s="8"/>
    </row>
    <row r="36652" spans="17:17" x14ac:dyDescent="0.25">
      <c r="Q36652" s="8"/>
    </row>
    <row r="36653" spans="17:17" x14ac:dyDescent="0.25">
      <c r="Q36653" s="8"/>
    </row>
    <row r="36654" spans="17:17" x14ac:dyDescent="0.25">
      <c r="Q36654" s="8"/>
    </row>
    <row r="36655" spans="17:17" x14ac:dyDescent="0.25">
      <c r="Q36655" s="8"/>
    </row>
    <row r="36656" spans="17:17" x14ac:dyDescent="0.25">
      <c r="Q36656" s="8"/>
    </row>
    <row r="36657" spans="17:17" x14ac:dyDescent="0.25">
      <c r="Q36657" s="8"/>
    </row>
    <row r="36658" spans="17:17" x14ac:dyDescent="0.25">
      <c r="Q36658" s="8"/>
    </row>
    <row r="36659" spans="17:17" x14ac:dyDescent="0.25">
      <c r="Q36659" s="8"/>
    </row>
    <row r="36660" spans="17:17" x14ac:dyDescent="0.25">
      <c r="Q36660" s="8"/>
    </row>
    <row r="36661" spans="17:17" x14ac:dyDescent="0.25">
      <c r="Q36661" s="8"/>
    </row>
    <row r="36662" spans="17:17" x14ac:dyDescent="0.25">
      <c r="Q36662" s="8"/>
    </row>
    <row r="36663" spans="17:17" x14ac:dyDescent="0.25">
      <c r="Q36663" s="8"/>
    </row>
    <row r="36664" spans="17:17" x14ac:dyDescent="0.25">
      <c r="Q36664" s="8"/>
    </row>
    <row r="36665" spans="17:17" x14ac:dyDescent="0.25">
      <c r="Q36665" s="8"/>
    </row>
    <row r="36666" spans="17:17" x14ac:dyDescent="0.25">
      <c r="Q36666" s="8"/>
    </row>
    <row r="36667" spans="17:17" x14ac:dyDescent="0.25">
      <c r="Q36667" s="8"/>
    </row>
    <row r="36668" spans="17:17" x14ac:dyDescent="0.25">
      <c r="Q36668" s="8"/>
    </row>
    <row r="36669" spans="17:17" x14ac:dyDescent="0.25">
      <c r="Q36669" s="8"/>
    </row>
    <row r="36670" spans="17:17" x14ac:dyDescent="0.25">
      <c r="Q36670" s="8"/>
    </row>
    <row r="36671" spans="17:17" x14ac:dyDescent="0.25">
      <c r="Q36671" s="8"/>
    </row>
    <row r="36672" spans="17:17" x14ac:dyDescent="0.25">
      <c r="Q36672" s="8"/>
    </row>
    <row r="36673" spans="17:17" x14ac:dyDescent="0.25">
      <c r="Q36673" s="8"/>
    </row>
    <row r="36674" spans="17:17" x14ac:dyDescent="0.25">
      <c r="Q36674" s="8"/>
    </row>
    <row r="36675" spans="17:17" x14ac:dyDescent="0.25">
      <c r="Q36675" s="8"/>
    </row>
    <row r="36676" spans="17:17" x14ac:dyDescent="0.25">
      <c r="Q36676" s="8"/>
    </row>
    <row r="36677" spans="17:17" x14ac:dyDescent="0.25">
      <c r="Q36677" s="8"/>
    </row>
    <row r="36678" spans="17:17" x14ac:dyDescent="0.25">
      <c r="Q36678" s="8"/>
    </row>
    <row r="36679" spans="17:17" x14ac:dyDescent="0.25">
      <c r="Q36679" s="8"/>
    </row>
    <row r="36680" spans="17:17" x14ac:dyDescent="0.25">
      <c r="Q36680" s="8"/>
    </row>
    <row r="36681" spans="17:17" x14ac:dyDescent="0.25">
      <c r="Q36681" s="8"/>
    </row>
    <row r="36682" spans="17:17" x14ac:dyDescent="0.25">
      <c r="Q36682" s="8"/>
    </row>
    <row r="36683" spans="17:17" x14ac:dyDescent="0.25">
      <c r="Q36683" s="8"/>
    </row>
    <row r="36684" spans="17:17" x14ac:dyDescent="0.25">
      <c r="Q36684" s="8"/>
    </row>
    <row r="36685" spans="17:17" x14ac:dyDescent="0.25">
      <c r="Q36685" s="8"/>
    </row>
    <row r="36686" spans="17:17" x14ac:dyDescent="0.25">
      <c r="Q36686" s="8"/>
    </row>
    <row r="36687" spans="17:17" x14ac:dyDescent="0.25">
      <c r="Q36687" s="8"/>
    </row>
    <row r="36688" spans="17:17" x14ac:dyDescent="0.25">
      <c r="Q36688" s="8"/>
    </row>
    <row r="36689" spans="17:17" x14ac:dyDescent="0.25">
      <c r="Q36689" s="8"/>
    </row>
    <row r="36690" spans="17:17" x14ac:dyDescent="0.25">
      <c r="Q36690" s="8"/>
    </row>
    <row r="36691" spans="17:17" x14ac:dyDescent="0.25">
      <c r="Q36691" s="8"/>
    </row>
    <row r="36692" spans="17:17" x14ac:dyDescent="0.25">
      <c r="Q36692" s="8"/>
    </row>
    <row r="36693" spans="17:17" x14ac:dyDescent="0.25">
      <c r="Q36693" s="8"/>
    </row>
    <row r="36694" spans="17:17" x14ac:dyDescent="0.25">
      <c r="Q36694" s="8"/>
    </row>
    <row r="36695" spans="17:17" x14ac:dyDescent="0.25">
      <c r="Q36695" s="8"/>
    </row>
    <row r="36696" spans="17:17" x14ac:dyDescent="0.25">
      <c r="Q36696" s="8"/>
    </row>
    <row r="36697" spans="17:17" x14ac:dyDescent="0.25">
      <c r="Q36697" s="8"/>
    </row>
    <row r="36698" spans="17:17" x14ac:dyDescent="0.25">
      <c r="Q36698" s="8"/>
    </row>
    <row r="36699" spans="17:17" x14ac:dyDescent="0.25">
      <c r="Q36699" s="8"/>
    </row>
    <row r="36700" spans="17:17" x14ac:dyDescent="0.25">
      <c r="Q36700" s="8"/>
    </row>
    <row r="36701" spans="17:17" x14ac:dyDescent="0.25">
      <c r="Q36701" s="8"/>
    </row>
    <row r="36702" spans="17:17" x14ac:dyDescent="0.25">
      <c r="Q36702" s="8"/>
    </row>
    <row r="36703" spans="17:17" x14ac:dyDescent="0.25">
      <c r="Q36703" s="8"/>
    </row>
    <row r="36704" spans="17:17" x14ac:dyDescent="0.25">
      <c r="Q36704" s="8"/>
    </row>
    <row r="36705" spans="17:17" x14ac:dyDescent="0.25">
      <c r="Q36705" s="8"/>
    </row>
    <row r="36706" spans="17:17" x14ac:dyDescent="0.25">
      <c r="Q36706" s="8"/>
    </row>
    <row r="36707" spans="17:17" x14ac:dyDescent="0.25">
      <c r="Q36707" s="8"/>
    </row>
    <row r="36708" spans="17:17" x14ac:dyDescent="0.25">
      <c r="Q36708" s="8"/>
    </row>
    <row r="36709" spans="17:17" x14ac:dyDescent="0.25">
      <c r="Q36709" s="8"/>
    </row>
    <row r="36710" spans="17:17" x14ac:dyDescent="0.25">
      <c r="Q36710" s="8"/>
    </row>
    <row r="36711" spans="17:17" x14ac:dyDescent="0.25">
      <c r="Q36711" s="8"/>
    </row>
    <row r="36712" spans="17:17" x14ac:dyDescent="0.25">
      <c r="Q36712" s="8"/>
    </row>
    <row r="36713" spans="17:17" x14ac:dyDescent="0.25">
      <c r="Q36713" s="8"/>
    </row>
    <row r="36714" spans="17:17" x14ac:dyDescent="0.25">
      <c r="Q36714" s="8"/>
    </row>
    <row r="36715" spans="17:17" x14ac:dyDescent="0.25">
      <c r="Q36715" s="8"/>
    </row>
    <row r="36716" spans="17:17" x14ac:dyDescent="0.25">
      <c r="Q36716" s="8"/>
    </row>
    <row r="36717" spans="17:17" x14ac:dyDescent="0.25">
      <c r="Q36717" s="8"/>
    </row>
    <row r="36718" spans="17:17" x14ac:dyDescent="0.25">
      <c r="Q36718" s="8"/>
    </row>
    <row r="36719" spans="17:17" x14ac:dyDescent="0.25">
      <c r="Q36719" s="8"/>
    </row>
    <row r="36720" spans="17:17" x14ac:dyDescent="0.25">
      <c r="Q36720" s="8"/>
    </row>
    <row r="36721" spans="17:17" x14ac:dyDescent="0.25">
      <c r="Q36721" s="8"/>
    </row>
    <row r="36722" spans="17:17" x14ac:dyDescent="0.25">
      <c r="Q36722" s="8"/>
    </row>
    <row r="36723" spans="17:17" x14ac:dyDescent="0.25">
      <c r="Q36723" s="8"/>
    </row>
    <row r="36724" spans="17:17" x14ac:dyDescent="0.25">
      <c r="Q36724" s="8"/>
    </row>
    <row r="36725" spans="17:17" x14ac:dyDescent="0.25">
      <c r="Q36725" s="8"/>
    </row>
    <row r="36726" spans="17:17" x14ac:dyDescent="0.25">
      <c r="Q36726" s="8"/>
    </row>
    <row r="36727" spans="17:17" x14ac:dyDescent="0.25">
      <c r="Q36727" s="8"/>
    </row>
    <row r="36728" spans="17:17" x14ac:dyDescent="0.25">
      <c r="Q36728" s="8"/>
    </row>
    <row r="36729" spans="17:17" x14ac:dyDescent="0.25">
      <c r="Q36729" s="8"/>
    </row>
    <row r="36730" spans="17:17" x14ac:dyDescent="0.25">
      <c r="Q36730" s="8"/>
    </row>
    <row r="36731" spans="17:17" x14ac:dyDescent="0.25">
      <c r="Q36731" s="8"/>
    </row>
    <row r="36732" spans="17:17" x14ac:dyDescent="0.25">
      <c r="Q36732" s="8"/>
    </row>
    <row r="36733" spans="17:17" x14ac:dyDescent="0.25">
      <c r="Q36733" s="8"/>
    </row>
    <row r="36734" spans="17:17" x14ac:dyDescent="0.25">
      <c r="Q36734" s="8"/>
    </row>
    <row r="36735" spans="17:17" x14ac:dyDescent="0.25">
      <c r="Q36735" s="8"/>
    </row>
    <row r="36736" spans="17:17" x14ac:dyDescent="0.25">
      <c r="Q36736" s="8"/>
    </row>
    <row r="36737" spans="17:17" x14ac:dyDescent="0.25">
      <c r="Q36737" s="8"/>
    </row>
    <row r="36738" spans="17:17" x14ac:dyDescent="0.25">
      <c r="Q36738" s="8"/>
    </row>
    <row r="36739" spans="17:17" x14ac:dyDescent="0.25">
      <c r="Q36739" s="8"/>
    </row>
    <row r="36740" spans="17:17" x14ac:dyDescent="0.25">
      <c r="Q36740" s="8"/>
    </row>
    <row r="36741" spans="17:17" x14ac:dyDescent="0.25">
      <c r="Q36741" s="8"/>
    </row>
    <row r="36742" spans="17:17" x14ac:dyDescent="0.25">
      <c r="Q36742" s="8"/>
    </row>
    <row r="36743" spans="17:17" x14ac:dyDescent="0.25">
      <c r="Q36743" s="8"/>
    </row>
    <row r="36744" spans="17:17" x14ac:dyDescent="0.25">
      <c r="Q36744" s="8"/>
    </row>
    <row r="36745" spans="17:17" x14ac:dyDescent="0.25">
      <c r="Q36745" s="8"/>
    </row>
    <row r="36746" spans="17:17" x14ac:dyDescent="0.25">
      <c r="Q36746" s="8"/>
    </row>
    <row r="36747" spans="17:17" x14ac:dyDescent="0.25">
      <c r="Q36747" s="8"/>
    </row>
    <row r="36748" spans="17:17" x14ac:dyDescent="0.25">
      <c r="Q36748" s="8"/>
    </row>
    <row r="36749" spans="17:17" x14ac:dyDescent="0.25">
      <c r="Q36749" s="8"/>
    </row>
    <row r="36750" spans="17:17" x14ac:dyDescent="0.25">
      <c r="Q36750" s="8"/>
    </row>
    <row r="36751" spans="17:17" x14ac:dyDescent="0.25">
      <c r="Q36751" s="8"/>
    </row>
    <row r="36752" spans="17:17" x14ac:dyDescent="0.25">
      <c r="Q36752" s="8"/>
    </row>
    <row r="36753" spans="17:17" x14ac:dyDescent="0.25">
      <c r="Q36753" s="8"/>
    </row>
    <row r="36754" spans="17:17" x14ac:dyDescent="0.25">
      <c r="Q36754" s="8"/>
    </row>
    <row r="36755" spans="17:17" x14ac:dyDescent="0.25">
      <c r="Q36755" s="8"/>
    </row>
    <row r="36756" spans="17:17" x14ac:dyDescent="0.25">
      <c r="Q36756" s="8"/>
    </row>
    <row r="36757" spans="17:17" x14ac:dyDescent="0.25">
      <c r="Q36757" s="8"/>
    </row>
    <row r="36758" spans="17:17" x14ac:dyDescent="0.25">
      <c r="Q36758" s="8"/>
    </row>
    <row r="36759" spans="17:17" x14ac:dyDescent="0.25">
      <c r="Q36759" s="8"/>
    </row>
    <row r="36760" spans="17:17" x14ac:dyDescent="0.25">
      <c r="Q36760" s="8"/>
    </row>
    <row r="36761" spans="17:17" x14ac:dyDescent="0.25">
      <c r="Q36761" s="8"/>
    </row>
    <row r="36762" spans="17:17" x14ac:dyDescent="0.25">
      <c r="Q36762" s="8"/>
    </row>
    <row r="36763" spans="17:17" x14ac:dyDescent="0.25">
      <c r="Q36763" s="8"/>
    </row>
    <row r="36764" spans="17:17" x14ac:dyDescent="0.25">
      <c r="Q36764" s="8"/>
    </row>
    <row r="36765" spans="17:17" x14ac:dyDescent="0.25">
      <c r="Q36765" s="8"/>
    </row>
    <row r="36766" spans="17:17" x14ac:dyDescent="0.25">
      <c r="Q36766" s="8"/>
    </row>
    <row r="36767" spans="17:17" x14ac:dyDescent="0.25">
      <c r="Q36767" s="8"/>
    </row>
    <row r="36768" spans="17:17" x14ac:dyDescent="0.25">
      <c r="Q36768" s="8"/>
    </row>
    <row r="36769" spans="17:17" x14ac:dyDescent="0.25">
      <c r="Q36769" s="8"/>
    </row>
    <row r="36770" spans="17:17" x14ac:dyDescent="0.25">
      <c r="Q36770" s="8"/>
    </row>
    <row r="36771" spans="17:17" x14ac:dyDescent="0.25">
      <c r="Q36771" s="8"/>
    </row>
    <row r="36772" spans="17:17" x14ac:dyDescent="0.25">
      <c r="Q36772" s="8"/>
    </row>
    <row r="36773" spans="17:17" x14ac:dyDescent="0.25">
      <c r="Q36773" s="8"/>
    </row>
    <row r="36774" spans="17:17" x14ac:dyDescent="0.25">
      <c r="Q36774" s="8"/>
    </row>
    <row r="36775" spans="17:17" x14ac:dyDescent="0.25">
      <c r="Q36775" s="8"/>
    </row>
    <row r="36776" spans="17:17" x14ac:dyDescent="0.25">
      <c r="Q36776" s="8"/>
    </row>
    <row r="36777" spans="17:17" x14ac:dyDescent="0.25">
      <c r="Q36777" s="8"/>
    </row>
    <row r="36778" spans="17:17" x14ac:dyDescent="0.25">
      <c r="Q36778" s="8"/>
    </row>
    <row r="36779" spans="17:17" x14ac:dyDescent="0.25">
      <c r="Q36779" s="8"/>
    </row>
    <row r="36780" spans="17:17" x14ac:dyDescent="0.25">
      <c r="Q36780" s="8"/>
    </row>
    <row r="36781" spans="17:17" x14ac:dyDescent="0.25">
      <c r="Q36781" s="8"/>
    </row>
    <row r="36782" spans="17:17" x14ac:dyDescent="0.25">
      <c r="Q36782" s="8"/>
    </row>
    <row r="36783" spans="17:17" x14ac:dyDescent="0.25">
      <c r="Q36783" s="8"/>
    </row>
    <row r="36784" spans="17:17" x14ac:dyDescent="0.25">
      <c r="Q36784" s="8"/>
    </row>
    <row r="36785" spans="17:17" x14ac:dyDescent="0.25">
      <c r="Q36785" s="8"/>
    </row>
    <row r="36786" spans="17:17" x14ac:dyDescent="0.25">
      <c r="Q36786" s="8"/>
    </row>
    <row r="36787" spans="17:17" x14ac:dyDescent="0.25">
      <c r="Q36787" s="8"/>
    </row>
    <row r="36788" spans="17:17" x14ac:dyDescent="0.25">
      <c r="Q36788" s="8"/>
    </row>
    <row r="36789" spans="17:17" x14ac:dyDescent="0.25">
      <c r="Q36789" s="8"/>
    </row>
    <row r="36790" spans="17:17" x14ac:dyDescent="0.25">
      <c r="Q36790" s="8"/>
    </row>
    <row r="36791" spans="17:17" x14ac:dyDescent="0.25">
      <c r="Q36791" s="8"/>
    </row>
    <row r="36792" spans="17:17" x14ac:dyDescent="0.25">
      <c r="Q36792" s="8"/>
    </row>
    <row r="36793" spans="17:17" x14ac:dyDescent="0.25">
      <c r="Q36793" s="8"/>
    </row>
    <row r="36794" spans="17:17" x14ac:dyDescent="0.25">
      <c r="Q36794" s="8"/>
    </row>
    <row r="36795" spans="17:17" x14ac:dyDescent="0.25">
      <c r="Q36795" s="8"/>
    </row>
    <row r="36796" spans="17:17" x14ac:dyDescent="0.25">
      <c r="Q36796" s="8"/>
    </row>
    <row r="36797" spans="17:17" x14ac:dyDescent="0.25">
      <c r="Q36797" s="8"/>
    </row>
    <row r="36798" spans="17:17" x14ac:dyDescent="0.25">
      <c r="Q36798" s="8"/>
    </row>
    <row r="36799" spans="17:17" x14ac:dyDescent="0.25">
      <c r="Q36799" s="8"/>
    </row>
    <row r="36800" spans="17:17" x14ac:dyDescent="0.25">
      <c r="Q36800" s="8"/>
    </row>
    <row r="36801" spans="17:17" x14ac:dyDescent="0.25">
      <c r="Q36801" s="8"/>
    </row>
    <row r="36802" spans="17:17" x14ac:dyDescent="0.25">
      <c r="Q36802" s="8"/>
    </row>
    <row r="36803" spans="17:17" x14ac:dyDescent="0.25">
      <c r="Q36803" s="8"/>
    </row>
    <row r="36804" spans="17:17" x14ac:dyDescent="0.25">
      <c r="Q36804" s="8"/>
    </row>
    <row r="36805" spans="17:17" x14ac:dyDescent="0.25">
      <c r="Q36805" s="8"/>
    </row>
    <row r="36806" spans="17:17" x14ac:dyDescent="0.25">
      <c r="Q36806" s="8"/>
    </row>
    <row r="36807" spans="17:17" x14ac:dyDescent="0.25">
      <c r="Q36807" s="8"/>
    </row>
    <row r="36808" spans="17:17" x14ac:dyDescent="0.25">
      <c r="Q36808" s="8"/>
    </row>
    <row r="36809" spans="17:17" x14ac:dyDescent="0.25">
      <c r="Q36809" s="8"/>
    </row>
    <row r="36810" spans="17:17" x14ac:dyDescent="0.25">
      <c r="Q36810" s="8"/>
    </row>
    <row r="36811" spans="17:17" x14ac:dyDescent="0.25">
      <c r="Q36811" s="8"/>
    </row>
    <row r="36812" spans="17:17" x14ac:dyDescent="0.25">
      <c r="Q36812" s="8"/>
    </row>
    <row r="36813" spans="17:17" x14ac:dyDescent="0.25">
      <c r="Q36813" s="8"/>
    </row>
    <row r="36814" spans="17:17" x14ac:dyDescent="0.25">
      <c r="Q36814" s="8"/>
    </row>
    <row r="36815" spans="17:17" x14ac:dyDescent="0.25">
      <c r="Q36815" s="8"/>
    </row>
    <row r="36816" spans="17:17" x14ac:dyDescent="0.25">
      <c r="Q36816" s="8"/>
    </row>
    <row r="36817" spans="17:17" x14ac:dyDescent="0.25">
      <c r="Q36817" s="8"/>
    </row>
    <row r="36818" spans="17:17" x14ac:dyDescent="0.25">
      <c r="Q36818" s="8"/>
    </row>
    <row r="36819" spans="17:17" x14ac:dyDescent="0.25">
      <c r="Q36819" s="8"/>
    </row>
    <row r="36820" spans="17:17" x14ac:dyDescent="0.25">
      <c r="Q36820" s="8"/>
    </row>
    <row r="36821" spans="17:17" x14ac:dyDescent="0.25">
      <c r="Q36821" s="8"/>
    </row>
    <row r="36822" spans="17:17" x14ac:dyDescent="0.25">
      <c r="Q36822" s="8"/>
    </row>
    <row r="36823" spans="17:17" x14ac:dyDescent="0.25">
      <c r="Q36823" s="8"/>
    </row>
    <row r="36824" spans="17:17" x14ac:dyDescent="0.25">
      <c r="Q36824" s="8"/>
    </row>
    <row r="36825" spans="17:17" x14ac:dyDescent="0.25">
      <c r="Q36825" s="8"/>
    </row>
    <row r="36826" spans="17:17" x14ac:dyDescent="0.25">
      <c r="Q36826" s="8"/>
    </row>
    <row r="36827" spans="17:17" x14ac:dyDescent="0.25">
      <c r="Q36827" s="8"/>
    </row>
    <row r="36828" spans="17:17" x14ac:dyDescent="0.25">
      <c r="Q36828" s="8"/>
    </row>
    <row r="36829" spans="17:17" x14ac:dyDescent="0.25">
      <c r="Q36829" s="8"/>
    </row>
    <row r="36830" spans="17:17" x14ac:dyDescent="0.25">
      <c r="Q36830" s="8"/>
    </row>
    <row r="36831" spans="17:17" x14ac:dyDescent="0.25">
      <c r="Q36831" s="8"/>
    </row>
    <row r="36832" spans="17:17" x14ac:dyDescent="0.25">
      <c r="Q36832" s="8"/>
    </row>
    <row r="36833" spans="17:17" x14ac:dyDescent="0.25">
      <c r="Q36833" s="8"/>
    </row>
    <row r="36834" spans="17:17" x14ac:dyDescent="0.25">
      <c r="Q36834" s="8"/>
    </row>
    <row r="36835" spans="17:17" x14ac:dyDescent="0.25">
      <c r="Q36835" s="8"/>
    </row>
    <row r="36836" spans="17:17" x14ac:dyDescent="0.25">
      <c r="Q36836" s="8"/>
    </row>
    <row r="36837" spans="17:17" x14ac:dyDescent="0.25">
      <c r="Q36837" s="8"/>
    </row>
    <row r="36838" spans="17:17" x14ac:dyDescent="0.25">
      <c r="Q36838" s="8"/>
    </row>
    <row r="36839" spans="17:17" x14ac:dyDescent="0.25">
      <c r="Q36839" s="8"/>
    </row>
    <row r="36840" spans="17:17" x14ac:dyDescent="0.25">
      <c r="Q36840" s="8"/>
    </row>
    <row r="36841" spans="17:17" x14ac:dyDescent="0.25">
      <c r="Q36841" s="8"/>
    </row>
    <row r="36842" spans="17:17" x14ac:dyDescent="0.25">
      <c r="Q36842" s="8"/>
    </row>
    <row r="36843" spans="17:17" x14ac:dyDescent="0.25">
      <c r="Q36843" s="8"/>
    </row>
    <row r="36844" spans="17:17" x14ac:dyDescent="0.25">
      <c r="Q36844" s="8"/>
    </row>
    <row r="36845" spans="17:17" x14ac:dyDescent="0.25">
      <c r="Q36845" s="8"/>
    </row>
    <row r="36846" spans="17:17" x14ac:dyDescent="0.25">
      <c r="Q36846" s="8"/>
    </row>
    <row r="36847" spans="17:17" x14ac:dyDescent="0.25">
      <c r="Q36847" s="8"/>
    </row>
    <row r="36848" spans="17:17" x14ac:dyDescent="0.25">
      <c r="Q36848" s="8"/>
    </row>
    <row r="36849" spans="17:17" x14ac:dyDescent="0.25">
      <c r="Q36849" s="8"/>
    </row>
    <row r="36850" spans="17:17" x14ac:dyDescent="0.25">
      <c r="Q36850" s="8"/>
    </row>
    <row r="36851" spans="17:17" x14ac:dyDescent="0.25">
      <c r="Q36851" s="8"/>
    </row>
    <row r="36852" spans="17:17" x14ac:dyDescent="0.25">
      <c r="Q36852" s="8"/>
    </row>
    <row r="36853" spans="17:17" x14ac:dyDescent="0.25">
      <c r="Q36853" s="8"/>
    </row>
    <row r="36854" spans="17:17" x14ac:dyDescent="0.25">
      <c r="Q36854" s="8"/>
    </row>
    <row r="36855" spans="17:17" x14ac:dyDescent="0.25">
      <c r="Q36855" s="8"/>
    </row>
    <row r="36856" spans="17:17" x14ac:dyDescent="0.25">
      <c r="Q36856" s="8"/>
    </row>
    <row r="36857" spans="17:17" x14ac:dyDescent="0.25">
      <c r="Q36857" s="8"/>
    </row>
    <row r="36858" spans="17:17" x14ac:dyDescent="0.25">
      <c r="Q36858" s="8"/>
    </row>
    <row r="36859" spans="17:17" x14ac:dyDescent="0.25">
      <c r="Q36859" s="8"/>
    </row>
    <row r="36860" spans="17:17" x14ac:dyDescent="0.25">
      <c r="Q36860" s="8"/>
    </row>
    <row r="36861" spans="17:17" x14ac:dyDescent="0.25">
      <c r="Q36861" s="8"/>
    </row>
    <row r="36862" spans="17:17" x14ac:dyDescent="0.25">
      <c r="Q36862" s="8"/>
    </row>
    <row r="36863" spans="17:17" x14ac:dyDescent="0.25">
      <c r="Q36863" s="8"/>
    </row>
    <row r="36864" spans="17:17" x14ac:dyDescent="0.25">
      <c r="Q36864" s="8"/>
    </row>
    <row r="36865" spans="17:17" x14ac:dyDescent="0.25">
      <c r="Q36865" s="8"/>
    </row>
    <row r="36866" spans="17:17" x14ac:dyDescent="0.25">
      <c r="Q36866" s="8"/>
    </row>
    <row r="36867" spans="17:17" x14ac:dyDescent="0.25">
      <c r="Q36867" s="8"/>
    </row>
    <row r="36868" spans="17:17" x14ac:dyDescent="0.25">
      <c r="Q36868" s="8"/>
    </row>
    <row r="36869" spans="17:17" x14ac:dyDescent="0.25">
      <c r="Q36869" s="8"/>
    </row>
    <row r="36870" spans="17:17" x14ac:dyDescent="0.25">
      <c r="Q36870" s="8"/>
    </row>
    <row r="36871" spans="17:17" x14ac:dyDescent="0.25">
      <c r="Q36871" s="8"/>
    </row>
    <row r="36872" spans="17:17" x14ac:dyDescent="0.25">
      <c r="Q36872" s="8"/>
    </row>
    <row r="36873" spans="17:17" x14ac:dyDescent="0.25">
      <c r="Q36873" s="8"/>
    </row>
    <row r="36874" spans="17:17" x14ac:dyDescent="0.25">
      <c r="Q36874" s="8"/>
    </row>
    <row r="36875" spans="17:17" x14ac:dyDescent="0.25">
      <c r="Q36875" s="8"/>
    </row>
    <row r="36876" spans="17:17" x14ac:dyDescent="0.25">
      <c r="Q36876" s="8"/>
    </row>
    <row r="36877" spans="17:17" x14ac:dyDescent="0.25">
      <c r="Q36877" s="8"/>
    </row>
    <row r="36878" spans="17:17" x14ac:dyDescent="0.25">
      <c r="Q36878" s="8"/>
    </row>
    <row r="36879" spans="17:17" x14ac:dyDescent="0.25">
      <c r="Q36879" s="8"/>
    </row>
    <row r="36880" spans="17:17" x14ac:dyDescent="0.25">
      <c r="Q36880" s="8"/>
    </row>
    <row r="36881" spans="17:17" x14ac:dyDescent="0.25">
      <c r="Q36881" s="8"/>
    </row>
    <row r="36882" spans="17:17" x14ac:dyDescent="0.25">
      <c r="Q36882" s="8"/>
    </row>
    <row r="36883" spans="17:17" x14ac:dyDescent="0.25">
      <c r="Q36883" s="8"/>
    </row>
    <row r="36884" spans="17:17" x14ac:dyDescent="0.25">
      <c r="Q36884" s="8"/>
    </row>
    <row r="36885" spans="17:17" x14ac:dyDescent="0.25">
      <c r="Q36885" s="8"/>
    </row>
    <row r="36886" spans="17:17" x14ac:dyDescent="0.25">
      <c r="Q36886" s="8"/>
    </row>
    <row r="36887" spans="17:17" x14ac:dyDescent="0.25">
      <c r="Q36887" s="8"/>
    </row>
    <row r="36888" spans="17:17" x14ac:dyDescent="0.25">
      <c r="Q36888" s="8"/>
    </row>
    <row r="36889" spans="17:17" x14ac:dyDescent="0.25">
      <c r="Q36889" s="8"/>
    </row>
    <row r="36890" spans="17:17" x14ac:dyDescent="0.25">
      <c r="Q36890" s="8"/>
    </row>
    <row r="36891" spans="17:17" x14ac:dyDescent="0.25">
      <c r="Q36891" s="8"/>
    </row>
    <row r="36892" spans="17:17" x14ac:dyDescent="0.25">
      <c r="Q36892" s="8"/>
    </row>
    <row r="36893" spans="17:17" x14ac:dyDescent="0.25">
      <c r="Q36893" s="8"/>
    </row>
    <row r="36894" spans="17:17" x14ac:dyDescent="0.25">
      <c r="Q36894" s="8"/>
    </row>
    <row r="36895" spans="17:17" x14ac:dyDescent="0.25">
      <c r="Q36895" s="8"/>
    </row>
    <row r="36896" spans="17:17" x14ac:dyDescent="0.25">
      <c r="Q36896" s="8"/>
    </row>
    <row r="36897" spans="17:17" x14ac:dyDescent="0.25">
      <c r="Q36897" s="8"/>
    </row>
    <row r="36898" spans="17:17" x14ac:dyDescent="0.25">
      <c r="Q36898" s="8"/>
    </row>
    <row r="36899" spans="17:17" x14ac:dyDescent="0.25">
      <c r="Q36899" s="8"/>
    </row>
    <row r="36900" spans="17:17" x14ac:dyDescent="0.25">
      <c r="Q36900" s="8"/>
    </row>
    <row r="36901" spans="17:17" x14ac:dyDescent="0.25">
      <c r="Q36901" s="8"/>
    </row>
    <row r="36902" spans="17:17" x14ac:dyDescent="0.25">
      <c r="Q36902" s="8"/>
    </row>
    <row r="36903" spans="17:17" x14ac:dyDescent="0.25">
      <c r="Q36903" s="8"/>
    </row>
    <row r="36904" spans="17:17" x14ac:dyDescent="0.25">
      <c r="Q36904" s="8"/>
    </row>
    <row r="36905" spans="17:17" x14ac:dyDescent="0.25">
      <c r="Q36905" s="8"/>
    </row>
    <row r="36906" spans="17:17" x14ac:dyDescent="0.25">
      <c r="Q36906" s="8"/>
    </row>
    <row r="36907" spans="17:17" x14ac:dyDescent="0.25">
      <c r="Q36907" s="8"/>
    </row>
    <row r="36908" spans="17:17" x14ac:dyDescent="0.25">
      <c r="Q36908" s="8"/>
    </row>
    <row r="36909" spans="17:17" x14ac:dyDescent="0.25">
      <c r="Q36909" s="8"/>
    </row>
    <row r="36910" spans="17:17" x14ac:dyDescent="0.25">
      <c r="Q36910" s="8"/>
    </row>
    <row r="36911" spans="17:17" x14ac:dyDescent="0.25">
      <c r="Q36911" s="8"/>
    </row>
    <row r="36912" spans="17:17" x14ac:dyDescent="0.25">
      <c r="Q36912" s="8"/>
    </row>
    <row r="36913" spans="17:17" x14ac:dyDescent="0.25">
      <c r="Q36913" s="8"/>
    </row>
    <row r="36914" spans="17:17" x14ac:dyDescent="0.25">
      <c r="Q36914" s="8"/>
    </row>
    <row r="36915" spans="17:17" x14ac:dyDescent="0.25">
      <c r="Q36915" s="8"/>
    </row>
    <row r="36916" spans="17:17" x14ac:dyDescent="0.25">
      <c r="Q36916" s="8"/>
    </row>
    <row r="36917" spans="17:17" x14ac:dyDescent="0.25">
      <c r="Q36917" s="8"/>
    </row>
    <row r="36918" spans="17:17" x14ac:dyDescent="0.25">
      <c r="Q36918" s="8"/>
    </row>
    <row r="36919" spans="17:17" x14ac:dyDescent="0.25">
      <c r="Q36919" s="8"/>
    </row>
    <row r="36920" spans="17:17" x14ac:dyDescent="0.25">
      <c r="Q36920" s="8"/>
    </row>
    <row r="36921" spans="17:17" x14ac:dyDescent="0.25">
      <c r="Q36921" s="8"/>
    </row>
    <row r="36922" spans="17:17" x14ac:dyDescent="0.25">
      <c r="Q36922" s="8"/>
    </row>
    <row r="36923" spans="17:17" x14ac:dyDescent="0.25">
      <c r="Q36923" s="8"/>
    </row>
    <row r="36924" spans="17:17" x14ac:dyDescent="0.25">
      <c r="Q36924" s="8"/>
    </row>
    <row r="36925" spans="17:17" x14ac:dyDescent="0.25">
      <c r="Q36925" s="8"/>
    </row>
    <row r="36926" spans="17:17" x14ac:dyDescent="0.25">
      <c r="Q36926" s="8"/>
    </row>
    <row r="36927" spans="17:17" x14ac:dyDescent="0.25">
      <c r="Q36927" s="8"/>
    </row>
    <row r="36928" spans="17:17" x14ac:dyDescent="0.25">
      <c r="Q36928" s="8"/>
    </row>
    <row r="36929" spans="17:17" x14ac:dyDescent="0.25">
      <c r="Q36929" s="8"/>
    </row>
    <row r="36930" spans="17:17" x14ac:dyDescent="0.25">
      <c r="Q36930" s="8"/>
    </row>
    <row r="36931" spans="17:17" x14ac:dyDescent="0.25">
      <c r="Q36931" s="8"/>
    </row>
    <row r="36932" spans="17:17" x14ac:dyDescent="0.25">
      <c r="Q36932" s="8"/>
    </row>
    <row r="36933" spans="17:17" x14ac:dyDescent="0.25">
      <c r="Q36933" s="8"/>
    </row>
    <row r="36934" spans="17:17" x14ac:dyDescent="0.25">
      <c r="Q36934" s="8"/>
    </row>
    <row r="36935" spans="17:17" x14ac:dyDescent="0.25">
      <c r="Q36935" s="8"/>
    </row>
    <row r="36936" spans="17:17" x14ac:dyDescent="0.25">
      <c r="Q36936" s="8"/>
    </row>
    <row r="36937" spans="17:17" x14ac:dyDescent="0.25">
      <c r="Q36937" s="8"/>
    </row>
    <row r="36938" spans="17:17" x14ac:dyDescent="0.25">
      <c r="Q36938" s="8"/>
    </row>
    <row r="36939" spans="17:17" x14ac:dyDescent="0.25">
      <c r="Q36939" s="8"/>
    </row>
    <row r="36940" spans="17:17" x14ac:dyDescent="0.25">
      <c r="Q36940" s="8"/>
    </row>
    <row r="36941" spans="17:17" x14ac:dyDescent="0.25">
      <c r="Q36941" s="8"/>
    </row>
    <row r="36942" spans="17:17" x14ac:dyDescent="0.25">
      <c r="Q36942" s="8"/>
    </row>
    <row r="36943" spans="17:17" x14ac:dyDescent="0.25">
      <c r="Q36943" s="8"/>
    </row>
    <row r="36944" spans="17:17" x14ac:dyDescent="0.25">
      <c r="Q36944" s="8"/>
    </row>
    <row r="36945" spans="17:17" x14ac:dyDescent="0.25">
      <c r="Q36945" s="8"/>
    </row>
    <row r="36946" spans="17:17" x14ac:dyDescent="0.25">
      <c r="Q36946" s="8"/>
    </row>
    <row r="36947" spans="17:17" x14ac:dyDescent="0.25">
      <c r="Q36947" s="8"/>
    </row>
    <row r="36948" spans="17:17" x14ac:dyDescent="0.25">
      <c r="Q36948" s="8"/>
    </row>
    <row r="36949" spans="17:17" x14ac:dyDescent="0.25">
      <c r="Q36949" s="8"/>
    </row>
    <row r="36950" spans="17:17" x14ac:dyDescent="0.25">
      <c r="Q36950" s="8"/>
    </row>
    <row r="36951" spans="17:17" x14ac:dyDescent="0.25">
      <c r="Q36951" s="8"/>
    </row>
    <row r="36952" spans="17:17" x14ac:dyDescent="0.25">
      <c r="Q36952" s="8"/>
    </row>
    <row r="36953" spans="17:17" x14ac:dyDescent="0.25">
      <c r="Q36953" s="8"/>
    </row>
    <row r="36954" spans="17:17" x14ac:dyDescent="0.25">
      <c r="Q36954" s="8"/>
    </row>
    <row r="36955" spans="17:17" x14ac:dyDescent="0.25">
      <c r="Q36955" s="8"/>
    </row>
    <row r="36956" spans="17:17" x14ac:dyDescent="0.25">
      <c r="Q36956" s="8"/>
    </row>
    <row r="36957" spans="17:17" x14ac:dyDescent="0.25">
      <c r="Q36957" s="8"/>
    </row>
    <row r="36958" spans="17:17" x14ac:dyDescent="0.25">
      <c r="Q36958" s="8"/>
    </row>
    <row r="36959" spans="17:17" x14ac:dyDescent="0.25">
      <c r="Q36959" s="8"/>
    </row>
    <row r="36960" spans="17:17" x14ac:dyDescent="0.25">
      <c r="Q36960" s="8"/>
    </row>
    <row r="36961" spans="17:17" x14ac:dyDescent="0.25">
      <c r="Q36961" s="8"/>
    </row>
    <row r="36962" spans="17:17" x14ac:dyDescent="0.25">
      <c r="Q36962" s="8"/>
    </row>
    <row r="36963" spans="17:17" x14ac:dyDescent="0.25">
      <c r="Q36963" s="8"/>
    </row>
    <row r="36964" spans="17:17" x14ac:dyDescent="0.25">
      <c r="Q36964" s="8"/>
    </row>
    <row r="36965" spans="17:17" x14ac:dyDescent="0.25">
      <c r="Q36965" s="8"/>
    </row>
    <row r="36966" spans="17:17" x14ac:dyDescent="0.25">
      <c r="Q36966" s="8"/>
    </row>
    <row r="36967" spans="17:17" x14ac:dyDescent="0.25">
      <c r="Q36967" s="8"/>
    </row>
    <row r="36968" spans="17:17" x14ac:dyDescent="0.25">
      <c r="Q36968" s="8"/>
    </row>
    <row r="36969" spans="17:17" x14ac:dyDescent="0.25">
      <c r="Q36969" s="8"/>
    </row>
    <row r="36970" spans="17:17" x14ac:dyDescent="0.25">
      <c r="Q36970" s="8"/>
    </row>
    <row r="36971" spans="17:17" x14ac:dyDescent="0.25">
      <c r="Q36971" s="8"/>
    </row>
    <row r="36972" spans="17:17" x14ac:dyDescent="0.25">
      <c r="Q36972" s="8"/>
    </row>
    <row r="36973" spans="17:17" x14ac:dyDescent="0.25">
      <c r="Q36973" s="8"/>
    </row>
    <row r="36974" spans="17:17" x14ac:dyDescent="0.25">
      <c r="Q36974" s="8"/>
    </row>
    <row r="36975" spans="17:17" x14ac:dyDescent="0.25">
      <c r="Q36975" s="8"/>
    </row>
    <row r="36976" spans="17:17" x14ac:dyDescent="0.25">
      <c r="Q36976" s="8"/>
    </row>
    <row r="36977" spans="17:17" x14ac:dyDescent="0.25">
      <c r="Q36977" s="8"/>
    </row>
    <row r="36978" spans="17:17" x14ac:dyDescent="0.25">
      <c r="Q36978" s="8"/>
    </row>
    <row r="36979" spans="17:17" x14ac:dyDescent="0.25">
      <c r="Q36979" s="8"/>
    </row>
    <row r="36980" spans="17:17" x14ac:dyDescent="0.25">
      <c r="Q36980" s="8"/>
    </row>
    <row r="36981" spans="17:17" x14ac:dyDescent="0.25">
      <c r="Q36981" s="8"/>
    </row>
    <row r="36982" spans="17:17" x14ac:dyDescent="0.25">
      <c r="Q36982" s="8"/>
    </row>
    <row r="36983" spans="17:17" x14ac:dyDescent="0.25">
      <c r="Q36983" s="8"/>
    </row>
    <row r="36984" spans="17:17" x14ac:dyDescent="0.25">
      <c r="Q36984" s="8"/>
    </row>
    <row r="36985" spans="17:17" x14ac:dyDescent="0.25">
      <c r="Q36985" s="8"/>
    </row>
    <row r="36986" spans="17:17" x14ac:dyDescent="0.25">
      <c r="Q36986" s="8"/>
    </row>
    <row r="36987" spans="17:17" x14ac:dyDescent="0.25">
      <c r="Q36987" s="8"/>
    </row>
    <row r="36988" spans="17:17" x14ac:dyDescent="0.25">
      <c r="Q36988" s="8"/>
    </row>
    <row r="36989" spans="17:17" x14ac:dyDescent="0.25">
      <c r="Q36989" s="8"/>
    </row>
    <row r="36990" spans="17:17" x14ac:dyDescent="0.25">
      <c r="Q36990" s="8"/>
    </row>
    <row r="36991" spans="17:17" x14ac:dyDescent="0.25">
      <c r="Q36991" s="8"/>
    </row>
    <row r="36992" spans="17:17" x14ac:dyDescent="0.25">
      <c r="Q36992" s="8"/>
    </row>
    <row r="36993" spans="17:17" x14ac:dyDescent="0.25">
      <c r="Q36993" s="8"/>
    </row>
    <row r="36994" spans="17:17" x14ac:dyDescent="0.25">
      <c r="Q36994" s="8"/>
    </row>
    <row r="36995" spans="17:17" x14ac:dyDescent="0.25">
      <c r="Q36995" s="8"/>
    </row>
    <row r="36996" spans="17:17" x14ac:dyDescent="0.25">
      <c r="Q36996" s="8"/>
    </row>
    <row r="36997" spans="17:17" x14ac:dyDescent="0.25">
      <c r="Q36997" s="8"/>
    </row>
    <row r="36998" spans="17:17" x14ac:dyDescent="0.25">
      <c r="Q36998" s="8"/>
    </row>
    <row r="36999" spans="17:17" x14ac:dyDescent="0.25">
      <c r="Q36999" s="8"/>
    </row>
    <row r="37000" spans="17:17" x14ac:dyDescent="0.25">
      <c r="Q37000" s="8"/>
    </row>
    <row r="37001" spans="17:17" x14ac:dyDescent="0.25">
      <c r="Q37001" s="8"/>
    </row>
    <row r="37002" spans="17:17" x14ac:dyDescent="0.25">
      <c r="Q37002" s="8"/>
    </row>
    <row r="37003" spans="17:17" x14ac:dyDescent="0.25">
      <c r="Q37003" s="8"/>
    </row>
    <row r="37004" spans="17:17" x14ac:dyDescent="0.25">
      <c r="Q37004" s="8"/>
    </row>
    <row r="37005" spans="17:17" x14ac:dyDescent="0.25">
      <c r="Q37005" s="8"/>
    </row>
    <row r="37006" spans="17:17" x14ac:dyDescent="0.25">
      <c r="Q37006" s="8"/>
    </row>
    <row r="37007" spans="17:17" x14ac:dyDescent="0.25">
      <c r="Q37007" s="8"/>
    </row>
    <row r="37008" spans="17:17" x14ac:dyDescent="0.25">
      <c r="Q37008" s="8"/>
    </row>
    <row r="37009" spans="17:17" x14ac:dyDescent="0.25">
      <c r="Q37009" s="8"/>
    </row>
    <row r="37010" spans="17:17" x14ac:dyDescent="0.25">
      <c r="Q37010" s="8"/>
    </row>
    <row r="37011" spans="17:17" x14ac:dyDescent="0.25">
      <c r="Q37011" s="8"/>
    </row>
    <row r="37012" spans="17:17" x14ac:dyDescent="0.25">
      <c r="Q37012" s="8"/>
    </row>
    <row r="37013" spans="17:17" x14ac:dyDescent="0.25">
      <c r="Q37013" s="8"/>
    </row>
    <row r="37014" spans="17:17" x14ac:dyDescent="0.25">
      <c r="Q37014" s="8"/>
    </row>
    <row r="37015" spans="17:17" x14ac:dyDescent="0.25">
      <c r="Q37015" s="8"/>
    </row>
    <row r="37016" spans="17:17" x14ac:dyDescent="0.25">
      <c r="Q37016" s="8"/>
    </row>
    <row r="37017" spans="17:17" x14ac:dyDescent="0.25">
      <c r="Q37017" s="8"/>
    </row>
    <row r="37018" spans="17:17" x14ac:dyDescent="0.25">
      <c r="Q37018" s="8"/>
    </row>
    <row r="37019" spans="17:17" x14ac:dyDescent="0.25">
      <c r="Q37019" s="8"/>
    </row>
    <row r="37020" spans="17:17" x14ac:dyDescent="0.25">
      <c r="Q37020" s="8"/>
    </row>
    <row r="37021" spans="17:17" x14ac:dyDescent="0.25">
      <c r="Q37021" s="8"/>
    </row>
    <row r="37022" spans="17:17" x14ac:dyDescent="0.25">
      <c r="Q37022" s="8"/>
    </row>
    <row r="37023" spans="17:17" x14ac:dyDescent="0.25">
      <c r="Q37023" s="8"/>
    </row>
    <row r="37024" spans="17:17" x14ac:dyDescent="0.25">
      <c r="Q37024" s="8"/>
    </row>
    <row r="37025" spans="17:17" x14ac:dyDescent="0.25">
      <c r="Q37025" s="8"/>
    </row>
    <row r="37026" spans="17:17" x14ac:dyDescent="0.25">
      <c r="Q37026" s="8"/>
    </row>
    <row r="37027" spans="17:17" x14ac:dyDescent="0.25">
      <c r="Q37027" s="8"/>
    </row>
    <row r="37028" spans="17:17" x14ac:dyDescent="0.25">
      <c r="Q37028" s="8"/>
    </row>
    <row r="37029" spans="17:17" x14ac:dyDescent="0.25">
      <c r="Q37029" s="8"/>
    </row>
    <row r="37030" spans="17:17" x14ac:dyDescent="0.25">
      <c r="Q37030" s="8"/>
    </row>
    <row r="37031" spans="17:17" x14ac:dyDescent="0.25">
      <c r="Q37031" s="8"/>
    </row>
    <row r="37032" spans="17:17" x14ac:dyDescent="0.25">
      <c r="Q37032" s="8"/>
    </row>
    <row r="37033" spans="17:17" x14ac:dyDescent="0.25">
      <c r="Q37033" s="8"/>
    </row>
    <row r="37034" spans="17:17" x14ac:dyDescent="0.25">
      <c r="Q37034" s="8"/>
    </row>
    <row r="37035" spans="17:17" x14ac:dyDescent="0.25">
      <c r="Q37035" s="8"/>
    </row>
    <row r="37036" spans="17:17" x14ac:dyDescent="0.25">
      <c r="Q37036" s="8"/>
    </row>
    <row r="37037" spans="17:17" x14ac:dyDescent="0.25">
      <c r="Q37037" s="8"/>
    </row>
    <row r="37038" spans="17:17" x14ac:dyDescent="0.25">
      <c r="Q37038" s="8"/>
    </row>
    <row r="37039" spans="17:17" x14ac:dyDescent="0.25">
      <c r="Q37039" s="8"/>
    </row>
    <row r="37040" spans="17:17" x14ac:dyDescent="0.25">
      <c r="Q37040" s="8"/>
    </row>
    <row r="37041" spans="17:17" x14ac:dyDescent="0.25">
      <c r="Q37041" s="8"/>
    </row>
    <row r="37042" spans="17:17" x14ac:dyDescent="0.25">
      <c r="Q37042" s="8"/>
    </row>
    <row r="37043" spans="17:17" x14ac:dyDescent="0.25">
      <c r="Q37043" s="8"/>
    </row>
    <row r="37044" spans="17:17" x14ac:dyDescent="0.25">
      <c r="Q37044" s="8"/>
    </row>
    <row r="37045" spans="17:17" x14ac:dyDescent="0.25">
      <c r="Q37045" s="8"/>
    </row>
    <row r="37046" spans="17:17" x14ac:dyDescent="0.25">
      <c r="Q37046" s="8"/>
    </row>
    <row r="37047" spans="17:17" x14ac:dyDescent="0.25">
      <c r="Q37047" s="8"/>
    </row>
    <row r="37048" spans="17:17" x14ac:dyDescent="0.25">
      <c r="Q37048" s="8"/>
    </row>
    <row r="37049" spans="17:17" x14ac:dyDescent="0.25">
      <c r="Q37049" s="8"/>
    </row>
    <row r="37050" spans="17:17" x14ac:dyDescent="0.25">
      <c r="Q37050" s="8"/>
    </row>
    <row r="37051" spans="17:17" x14ac:dyDescent="0.25">
      <c r="Q37051" s="8"/>
    </row>
    <row r="37052" spans="17:17" x14ac:dyDescent="0.25">
      <c r="Q37052" s="8"/>
    </row>
    <row r="37053" spans="17:17" x14ac:dyDescent="0.25">
      <c r="Q37053" s="8"/>
    </row>
    <row r="37054" spans="17:17" x14ac:dyDescent="0.25">
      <c r="Q37054" s="8"/>
    </row>
    <row r="37055" spans="17:17" x14ac:dyDescent="0.25">
      <c r="Q37055" s="8"/>
    </row>
    <row r="37056" spans="17:17" x14ac:dyDescent="0.25">
      <c r="Q37056" s="8"/>
    </row>
    <row r="37057" spans="17:17" x14ac:dyDescent="0.25">
      <c r="Q37057" s="8"/>
    </row>
    <row r="37058" spans="17:17" x14ac:dyDescent="0.25">
      <c r="Q37058" s="8"/>
    </row>
    <row r="37059" spans="17:17" x14ac:dyDescent="0.25">
      <c r="Q37059" s="8"/>
    </row>
    <row r="37060" spans="17:17" x14ac:dyDescent="0.25">
      <c r="Q37060" s="8"/>
    </row>
    <row r="37061" spans="17:17" x14ac:dyDescent="0.25">
      <c r="Q37061" s="8"/>
    </row>
    <row r="37062" spans="17:17" x14ac:dyDescent="0.25">
      <c r="Q37062" s="8"/>
    </row>
    <row r="37063" spans="17:17" x14ac:dyDescent="0.25">
      <c r="Q37063" s="8"/>
    </row>
    <row r="37064" spans="17:17" x14ac:dyDescent="0.25">
      <c r="Q37064" s="8"/>
    </row>
    <row r="37065" spans="17:17" x14ac:dyDescent="0.25">
      <c r="Q37065" s="8"/>
    </row>
    <row r="37066" spans="17:17" x14ac:dyDescent="0.25">
      <c r="Q37066" s="8"/>
    </row>
    <row r="37067" spans="17:17" x14ac:dyDescent="0.25">
      <c r="Q37067" s="8"/>
    </row>
    <row r="37068" spans="17:17" x14ac:dyDescent="0.25">
      <c r="Q37068" s="8"/>
    </row>
    <row r="37069" spans="17:17" x14ac:dyDescent="0.25">
      <c r="Q37069" s="8"/>
    </row>
    <row r="37070" spans="17:17" x14ac:dyDescent="0.25">
      <c r="Q37070" s="8"/>
    </row>
    <row r="37071" spans="17:17" x14ac:dyDescent="0.25">
      <c r="Q37071" s="8"/>
    </row>
    <row r="37072" spans="17:17" x14ac:dyDescent="0.25">
      <c r="Q37072" s="8"/>
    </row>
    <row r="37073" spans="17:17" x14ac:dyDescent="0.25">
      <c r="Q37073" s="8"/>
    </row>
    <row r="37074" spans="17:17" x14ac:dyDescent="0.25">
      <c r="Q37074" s="8"/>
    </row>
    <row r="37075" spans="17:17" x14ac:dyDescent="0.25">
      <c r="Q37075" s="8"/>
    </row>
    <row r="37076" spans="17:17" x14ac:dyDescent="0.25">
      <c r="Q37076" s="8"/>
    </row>
    <row r="37077" spans="17:17" x14ac:dyDescent="0.25">
      <c r="Q37077" s="8"/>
    </row>
    <row r="37078" spans="17:17" x14ac:dyDescent="0.25">
      <c r="Q37078" s="8"/>
    </row>
    <row r="37079" spans="17:17" x14ac:dyDescent="0.25">
      <c r="Q37079" s="8"/>
    </row>
    <row r="37080" spans="17:17" x14ac:dyDescent="0.25">
      <c r="Q37080" s="8"/>
    </row>
    <row r="37081" spans="17:17" x14ac:dyDescent="0.25">
      <c r="Q37081" s="8"/>
    </row>
    <row r="37082" spans="17:17" x14ac:dyDescent="0.25">
      <c r="Q37082" s="8"/>
    </row>
    <row r="37083" spans="17:17" x14ac:dyDescent="0.25">
      <c r="Q37083" s="8"/>
    </row>
    <row r="37084" spans="17:17" x14ac:dyDescent="0.25">
      <c r="Q37084" s="8"/>
    </row>
    <row r="37085" spans="17:17" x14ac:dyDescent="0.25">
      <c r="Q37085" s="8"/>
    </row>
    <row r="37086" spans="17:17" x14ac:dyDescent="0.25">
      <c r="Q37086" s="8"/>
    </row>
    <row r="37087" spans="17:17" x14ac:dyDescent="0.25">
      <c r="Q37087" s="8"/>
    </row>
    <row r="37088" spans="17:17" x14ac:dyDescent="0.25">
      <c r="Q37088" s="8"/>
    </row>
    <row r="37089" spans="17:17" x14ac:dyDescent="0.25">
      <c r="Q37089" s="8"/>
    </row>
    <row r="37090" spans="17:17" x14ac:dyDescent="0.25">
      <c r="Q37090" s="8"/>
    </row>
    <row r="37091" spans="17:17" x14ac:dyDescent="0.25">
      <c r="Q37091" s="8"/>
    </row>
    <row r="37092" spans="17:17" x14ac:dyDescent="0.25">
      <c r="Q37092" s="8"/>
    </row>
    <row r="37093" spans="17:17" x14ac:dyDescent="0.25">
      <c r="Q37093" s="8"/>
    </row>
    <row r="37094" spans="17:17" x14ac:dyDescent="0.25">
      <c r="Q37094" s="8"/>
    </row>
    <row r="37095" spans="17:17" x14ac:dyDescent="0.25">
      <c r="Q37095" s="8"/>
    </row>
    <row r="37096" spans="17:17" x14ac:dyDescent="0.25">
      <c r="Q37096" s="8"/>
    </row>
    <row r="37097" spans="17:17" x14ac:dyDescent="0.25">
      <c r="Q37097" s="8"/>
    </row>
    <row r="37098" spans="17:17" x14ac:dyDescent="0.25">
      <c r="Q37098" s="8"/>
    </row>
    <row r="37099" spans="17:17" x14ac:dyDescent="0.25">
      <c r="Q37099" s="8"/>
    </row>
    <row r="37100" spans="17:17" x14ac:dyDescent="0.25">
      <c r="Q37100" s="8"/>
    </row>
    <row r="37101" spans="17:17" x14ac:dyDescent="0.25">
      <c r="Q37101" s="8"/>
    </row>
    <row r="37102" spans="17:17" x14ac:dyDescent="0.25">
      <c r="Q37102" s="8"/>
    </row>
    <row r="37103" spans="17:17" x14ac:dyDescent="0.25">
      <c r="Q37103" s="8"/>
    </row>
    <row r="37104" spans="17:17" x14ac:dyDescent="0.25">
      <c r="Q37104" s="8"/>
    </row>
    <row r="37105" spans="17:17" x14ac:dyDescent="0.25">
      <c r="Q37105" s="8"/>
    </row>
    <row r="37106" spans="17:17" x14ac:dyDescent="0.25">
      <c r="Q37106" s="8"/>
    </row>
    <row r="37107" spans="17:17" x14ac:dyDescent="0.25">
      <c r="Q37107" s="8"/>
    </row>
    <row r="37108" spans="17:17" x14ac:dyDescent="0.25">
      <c r="Q37108" s="8"/>
    </row>
    <row r="37109" spans="17:17" x14ac:dyDescent="0.25">
      <c r="Q37109" s="8"/>
    </row>
    <row r="37110" spans="17:17" x14ac:dyDescent="0.25">
      <c r="Q37110" s="8"/>
    </row>
    <row r="37111" spans="17:17" x14ac:dyDescent="0.25">
      <c r="Q37111" s="8"/>
    </row>
    <row r="37112" spans="17:17" x14ac:dyDescent="0.25">
      <c r="Q37112" s="8"/>
    </row>
    <row r="37113" spans="17:17" x14ac:dyDescent="0.25">
      <c r="Q37113" s="8"/>
    </row>
    <row r="37114" spans="17:17" x14ac:dyDescent="0.25">
      <c r="Q37114" s="8"/>
    </row>
    <row r="37115" spans="17:17" x14ac:dyDescent="0.25">
      <c r="Q37115" s="8"/>
    </row>
    <row r="37116" spans="17:17" x14ac:dyDescent="0.25">
      <c r="Q37116" s="8"/>
    </row>
    <row r="37117" spans="17:17" x14ac:dyDescent="0.25">
      <c r="Q37117" s="8"/>
    </row>
    <row r="37118" spans="17:17" x14ac:dyDescent="0.25">
      <c r="Q37118" s="8"/>
    </row>
    <row r="37119" spans="17:17" x14ac:dyDescent="0.25">
      <c r="Q37119" s="8"/>
    </row>
    <row r="37120" spans="17:17" x14ac:dyDescent="0.25">
      <c r="Q37120" s="8"/>
    </row>
    <row r="37121" spans="17:17" x14ac:dyDescent="0.25">
      <c r="Q37121" s="8"/>
    </row>
    <row r="37122" spans="17:17" x14ac:dyDescent="0.25">
      <c r="Q37122" s="8"/>
    </row>
    <row r="37123" spans="17:17" x14ac:dyDescent="0.25">
      <c r="Q37123" s="8"/>
    </row>
    <row r="37124" spans="17:17" x14ac:dyDescent="0.25">
      <c r="Q37124" s="8"/>
    </row>
    <row r="37125" spans="17:17" x14ac:dyDescent="0.25">
      <c r="Q37125" s="8"/>
    </row>
    <row r="37126" spans="17:17" x14ac:dyDescent="0.25">
      <c r="Q37126" s="8"/>
    </row>
    <row r="37127" spans="17:17" x14ac:dyDescent="0.25">
      <c r="Q37127" s="8"/>
    </row>
    <row r="37128" spans="17:17" x14ac:dyDescent="0.25">
      <c r="Q37128" s="8"/>
    </row>
    <row r="37129" spans="17:17" x14ac:dyDescent="0.25">
      <c r="Q37129" s="8"/>
    </row>
    <row r="37130" spans="17:17" x14ac:dyDescent="0.25">
      <c r="Q37130" s="8"/>
    </row>
    <row r="37131" spans="17:17" x14ac:dyDescent="0.25">
      <c r="Q37131" s="8"/>
    </row>
    <row r="37132" spans="17:17" x14ac:dyDescent="0.25">
      <c r="Q37132" s="8"/>
    </row>
    <row r="37133" spans="17:17" x14ac:dyDescent="0.25">
      <c r="Q37133" s="8"/>
    </row>
    <row r="37134" spans="17:17" x14ac:dyDescent="0.25">
      <c r="Q37134" s="8"/>
    </row>
    <row r="37135" spans="17:17" x14ac:dyDescent="0.25">
      <c r="Q37135" s="8"/>
    </row>
    <row r="37136" spans="17:17" x14ac:dyDescent="0.25">
      <c r="Q37136" s="8"/>
    </row>
    <row r="37137" spans="17:17" x14ac:dyDescent="0.25">
      <c r="Q37137" s="8"/>
    </row>
    <row r="37138" spans="17:17" x14ac:dyDescent="0.25">
      <c r="Q37138" s="8"/>
    </row>
    <row r="37139" spans="17:17" x14ac:dyDescent="0.25">
      <c r="Q37139" s="8"/>
    </row>
    <row r="37140" spans="17:17" x14ac:dyDescent="0.25">
      <c r="Q37140" s="8"/>
    </row>
    <row r="37141" spans="17:17" x14ac:dyDescent="0.25">
      <c r="Q37141" s="8"/>
    </row>
    <row r="37142" spans="17:17" x14ac:dyDescent="0.25">
      <c r="Q37142" s="8"/>
    </row>
    <row r="37143" spans="17:17" x14ac:dyDescent="0.25">
      <c r="Q37143" s="8"/>
    </row>
    <row r="37144" spans="17:17" x14ac:dyDescent="0.25">
      <c r="Q37144" s="8"/>
    </row>
    <row r="37145" spans="17:17" x14ac:dyDescent="0.25">
      <c r="Q37145" s="8"/>
    </row>
    <row r="37146" spans="17:17" x14ac:dyDescent="0.25">
      <c r="Q37146" s="8"/>
    </row>
    <row r="37147" spans="17:17" x14ac:dyDescent="0.25">
      <c r="Q37147" s="8"/>
    </row>
    <row r="37148" spans="17:17" x14ac:dyDescent="0.25">
      <c r="Q37148" s="8"/>
    </row>
    <row r="37149" spans="17:17" x14ac:dyDescent="0.25">
      <c r="Q37149" s="8"/>
    </row>
    <row r="37150" spans="17:17" x14ac:dyDescent="0.25">
      <c r="Q37150" s="8"/>
    </row>
    <row r="37151" spans="17:17" x14ac:dyDescent="0.25">
      <c r="Q37151" s="8"/>
    </row>
    <row r="37152" spans="17:17" x14ac:dyDescent="0.25">
      <c r="Q37152" s="8"/>
    </row>
    <row r="37153" spans="17:17" x14ac:dyDescent="0.25">
      <c r="Q37153" s="8"/>
    </row>
    <row r="37154" spans="17:17" x14ac:dyDescent="0.25">
      <c r="Q37154" s="8"/>
    </row>
    <row r="37155" spans="17:17" x14ac:dyDescent="0.25">
      <c r="Q37155" s="8"/>
    </row>
    <row r="37156" spans="17:17" x14ac:dyDescent="0.25">
      <c r="Q37156" s="8"/>
    </row>
    <row r="37157" spans="17:17" x14ac:dyDescent="0.25">
      <c r="Q37157" s="8"/>
    </row>
    <row r="37158" spans="17:17" x14ac:dyDescent="0.25">
      <c r="Q37158" s="8"/>
    </row>
    <row r="37159" spans="17:17" x14ac:dyDescent="0.25">
      <c r="Q37159" s="8"/>
    </row>
    <row r="37160" spans="17:17" x14ac:dyDescent="0.25">
      <c r="Q37160" s="8"/>
    </row>
    <row r="37161" spans="17:17" x14ac:dyDescent="0.25">
      <c r="Q37161" s="8"/>
    </row>
    <row r="37162" spans="17:17" x14ac:dyDescent="0.25">
      <c r="Q37162" s="8"/>
    </row>
    <row r="37163" spans="17:17" x14ac:dyDescent="0.25">
      <c r="Q37163" s="8"/>
    </row>
    <row r="37164" spans="17:17" x14ac:dyDescent="0.25">
      <c r="Q37164" s="8"/>
    </row>
    <row r="37165" spans="17:17" x14ac:dyDescent="0.25">
      <c r="Q37165" s="8"/>
    </row>
    <row r="37166" spans="17:17" x14ac:dyDescent="0.25">
      <c r="Q37166" s="8"/>
    </row>
    <row r="37167" spans="17:17" x14ac:dyDescent="0.25">
      <c r="Q37167" s="8"/>
    </row>
    <row r="37168" spans="17:17" x14ac:dyDescent="0.25">
      <c r="Q37168" s="8"/>
    </row>
    <row r="37169" spans="17:17" x14ac:dyDescent="0.25">
      <c r="Q37169" s="8"/>
    </row>
    <row r="37170" spans="17:17" x14ac:dyDescent="0.25">
      <c r="Q37170" s="8"/>
    </row>
    <row r="37171" spans="17:17" x14ac:dyDescent="0.25">
      <c r="Q37171" s="8"/>
    </row>
    <row r="37172" spans="17:17" x14ac:dyDescent="0.25">
      <c r="Q37172" s="8"/>
    </row>
    <row r="37173" spans="17:17" x14ac:dyDescent="0.25">
      <c r="Q37173" s="8"/>
    </row>
    <row r="37174" spans="17:17" x14ac:dyDescent="0.25">
      <c r="Q37174" s="8"/>
    </row>
    <row r="37175" spans="17:17" x14ac:dyDescent="0.25">
      <c r="Q37175" s="8"/>
    </row>
    <row r="37176" spans="17:17" x14ac:dyDescent="0.25">
      <c r="Q37176" s="8"/>
    </row>
    <row r="37177" spans="17:17" x14ac:dyDescent="0.25">
      <c r="Q37177" s="8"/>
    </row>
    <row r="37178" spans="17:17" x14ac:dyDescent="0.25">
      <c r="Q37178" s="8"/>
    </row>
    <row r="37179" spans="17:17" x14ac:dyDescent="0.25">
      <c r="Q37179" s="8"/>
    </row>
    <row r="37180" spans="17:17" x14ac:dyDescent="0.25">
      <c r="Q37180" s="8"/>
    </row>
    <row r="37181" spans="17:17" x14ac:dyDescent="0.25">
      <c r="Q37181" s="8"/>
    </row>
    <row r="37182" spans="17:17" x14ac:dyDescent="0.25">
      <c r="Q37182" s="8"/>
    </row>
    <row r="37183" spans="17:17" x14ac:dyDescent="0.25">
      <c r="Q37183" s="8"/>
    </row>
    <row r="37184" spans="17:17" x14ac:dyDescent="0.25">
      <c r="Q37184" s="8"/>
    </row>
    <row r="37185" spans="17:17" x14ac:dyDescent="0.25">
      <c r="Q37185" s="8"/>
    </row>
    <row r="37186" spans="17:17" x14ac:dyDescent="0.25">
      <c r="Q37186" s="8"/>
    </row>
    <row r="37187" spans="17:17" x14ac:dyDescent="0.25">
      <c r="Q37187" s="8"/>
    </row>
    <row r="37188" spans="17:17" x14ac:dyDescent="0.25">
      <c r="Q37188" s="8"/>
    </row>
    <row r="37189" spans="17:17" x14ac:dyDescent="0.25">
      <c r="Q37189" s="8"/>
    </row>
    <row r="37190" spans="17:17" x14ac:dyDescent="0.25">
      <c r="Q37190" s="8"/>
    </row>
    <row r="37191" spans="17:17" x14ac:dyDescent="0.25">
      <c r="Q37191" s="8"/>
    </row>
    <row r="37192" spans="17:17" x14ac:dyDescent="0.25">
      <c r="Q37192" s="8"/>
    </row>
    <row r="37193" spans="17:17" x14ac:dyDescent="0.25">
      <c r="Q37193" s="8"/>
    </row>
    <row r="37194" spans="17:17" x14ac:dyDescent="0.25">
      <c r="Q37194" s="8"/>
    </row>
    <row r="37195" spans="17:17" x14ac:dyDescent="0.25">
      <c r="Q37195" s="8"/>
    </row>
    <row r="37196" spans="17:17" x14ac:dyDescent="0.25">
      <c r="Q37196" s="8"/>
    </row>
    <row r="37197" spans="17:17" x14ac:dyDescent="0.25">
      <c r="Q37197" s="8"/>
    </row>
    <row r="37198" spans="17:17" x14ac:dyDescent="0.25">
      <c r="Q37198" s="8"/>
    </row>
    <row r="37199" spans="17:17" x14ac:dyDescent="0.25">
      <c r="Q37199" s="8"/>
    </row>
    <row r="37200" spans="17:17" x14ac:dyDescent="0.25">
      <c r="Q37200" s="8"/>
    </row>
    <row r="37201" spans="17:17" x14ac:dyDescent="0.25">
      <c r="Q37201" s="8"/>
    </row>
    <row r="37202" spans="17:17" x14ac:dyDescent="0.25">
      <c r="Q37202" s="8"/>
    </row>
    <row r="37203" spans="17:17" x14ac:dyDescent="0.25">
      <c r="Q37203" s="8"/>
    </row>
    <row r="37204" spans="17:17" x14ac:dyDescent="0.25">
      <c r="Q37204" s="8"/>
    </row>
    <row r="37205" spans="17:17" x14ac:dyDescent="0.25">
      <c r="Q37205" s="8"/>
    </row>
    <row r="37206" spans="17:17" x14ac:dyDescent="0.25">
      <c r="Q37206" s="8"/>
    </row>
    <row r="37207" spans="17:17" x14ac:dyDescent="0.25">
      <c r="Q37207" s="8"/>
    </row>
    <row r="37208" spans="17:17" x14ac:dyDescent="0.25">
      <c r="Q37208" s="8"/>
    </row>
    <row r="37209" spans="17:17" x14ac:dyDescent="0.25">
      <c r="Q37209" s="8"/>
    </row>
    <row r="37210" spans="17:17" x14ac:dyDescent="0.25">
      <c r="Q37210" s="8"/>
    </row>
    <row r="37211" spans="17:17" x14ac:dyDescent="0.25">
      <c r="Q37211" s="8"/>
    </row>
    <row r="37212" spans="17:17" x14ac:dyDescent="0.25">
      <c r="Q37212" s="8"/>
    </row>
    <row r="37213" spans="17:17" x14ac:dyDescent="0.25">
      <c r="Q37213" s="8"/>
    </row>
    <row r="37214" spans="17:17" x14ac:dyDescent="0.25">
      <c r="Q37214" s="8"/>
    </row>
    <row r="37215" spans="17:17" x14ac:dyDescent="0.25">
      <c r="Q37215" s="8"/>
    </row>
    <row r="37216" spans="17:17" x14ac:dyDescent="0.25">
      <c r="Q37216" s="8"/>
    </row>
    <row r="37217" spans="17:17" x14ac:dyDescent="0.25">
      <c r="Q37217" s="8"/>
    </row>
    <row r="37218" spans="17:17" x14ac:dyDescent="0.25">
      <c r="Q37218" s="8"/>
    </row>
    <row r="37219" spans="17:17" x14ac:dyDescent="0.25">
      <c r="Q37219" s="8"/>
    </row>
    <row r="37220" spans="17:17" x14ac:dyDescent="0.25">
      <c r="Q37220" s="8"/>
    </row>
    <row r="37221" spans="17:17" x14ac:dyDescent="0.25">
      <c r="Q37221" s="8"/>
    </row>
    <row r="37222" spans="17:17" x14ac:dyDescent="0.25">
      <c r="Q37222" s="8"/>
    </row>
    <row r="37223" spans="17:17" x14ac:dyDescent="0.25">
      <c r="Q37223" s="8"/>
    </row>
    <row r="37224" spans="17:17" x14ac:dyDescent="0.25">
      <c r="Q37224" s="8"/>
    </row>
    <row r="37225" spans="17:17" x14ac:dyDescent="0.25">
      <c r="Q37225" s="8"/>
    </row>
    <row r="37226" spans="17:17" x14ac:dyDescent="0.25">
      <c r="Q37226" s="8"/>
    </row>
    <row r="37227" spans="17:17" x14ac:dyDescent="0.25">
      <c r="Q37227" s="8"/>
    </row>
    <row r="37228" spans="17:17" x14ac:dyDescent="0.25">
      <c r="Q37228" s="8"/>
    </row>
    <row r="37229" spans="17:17" x14ac:dyDescent="0.25">
      <c r="Q37229" s="8"/>
    </row>
    <row r="37230" spans="17:17" x14ac:dyDescent="0.25">
      <c r="Q37230" s="8"/>
    </row>
    <row r="37231" spans="17:17" x14ac:dyDescent="0.25">
      <c r="Q37231" s="8"/>
    </row>
    <row r="37232" spans="17:17" x14ac:dyDescent="0.25">
      <c r="Q37232" s="8"/>
    </row>
    <row r="37233" spans="17:17" x14ac:dyDescent="0.25">
      <c r="Q37233" s="8"/>
    </row>
    <row r="37234" spans="17:17" x14ac:dyDescent="0.25">
      <c r="Q37234" s="8"/>
    </row>
    <row r="37235" spans="17:17" x14ac:dyDescent="0.25">
      <c r="Q37235" s="8"/>
    </row>
    <row r="37236" spans="17:17" x14ac:dyDescent="0.25">
      <c r="Q37236" s="8"/>
    </row>
    <row r="37237" spans="17:17" x14ac:dyDescent="0.25">
      <c r="Q37237" s="8"/>
    </row>
    <row r="37238" spans="17:17" x14ac:dyDescent="0.25">
      <c r="Q37238" s="8"/>
    </row>
    <row r="37239" spans="17:17" x14ac:dyDescent="0.25">
      <c r="Q37239" s="8"/>
    </row>
    <row r="37240" spans="17:17" x14ac:dyDescent="0.25">
      <c r="Q37240" s="8"/>
    </row>
    <row r="37241" spans="17:17" x14ac:dyDescent="0.25">
      <c r="Q37241" s="8"/>
    </row>
    <row r="37242" spans="17:17" x14ac:dyDescent="0.25">
      <c r="Q37242" s="8"/>
    </row>
    <row r="37243" spans="17:17" x14ac:dyDescent="0.25">
      <c r="Q37243" s="8"/>
    </row>
    <row r="37244" spans="17:17" x14ac:dyDescent="0.25">
      <c r="Q37244" s="8"/>
    </row>
    <row r="37245" spans="17:17" x14ac:dyDescent="0.25">
      <c r="Q37245" s="8"/>
    </row>
    <row r="37246" spans="17:17" x14ac:dyDescent="0.25">
      <c r="Q37246" s="8"/>
    </row>
    <row r="37247" spans="17:17" x14ac:dyDescent="0.25">
      <c r="Q37247" s="8"/>
    </row>
    <row r="37248" spans="17:17" x14ac:dyDescent="0.25">
      <c r="Q37248" s="8"/>
    </row>
    <row r="37249" spans="17:17" x14ac:dyDescent="0.25">
      <c r="Q37249" s="8"/>
    </row>
    <row r="37250" spans="17:17" x14ac:dyDescent="0.25">
      <c r="Q37250" s="8"/>
    </row>
    <row r="37251" spans="17:17" x14ac:dyDescent="0.25">
      <c r="Q37251" s="8"/>
    </row>
    <row r="37252" spans="17:17" x14ac:dyDescent="0.25">
      <c r="Q37252" s="8"/>
    </row>
    <row r="37253" spans="17:17" x14ac:dyDescent="0.25">
      <c r="Q37253" s="8"/>
    </row>
    <row r="37254" spans="17:17" x14ac:dyDescent="0.25">
      <c r="Q37254" s="8"/>
    </row>
    <row r="37255" spans="17:17" x14ac:dyDescent="0.25">
      <c r="Q37255" s="8"/>
    </row>
    <row r="37256" spans="17:17" x14ac:dyDescent="0.25">
      <c r="Q37256" s="8"/>
    </row>
    <row r="37257" spans="17:17" x14ac:dyDescent="0.25">
      <c r="Q37257" s="8"/>
    </row>
    <row r="37258" spans="17:17" x14ac:dyDescent="0.25">
      <c r="Q37258" s="8"/>
    </row>
    <row r="37259" spans="17:17" x14ac:dyDescent="0.25">
      <c r="Q37259" s="8"/>
    </row>
    <row r="37260" spans="17:17" x14ac:dyDescent="0.25">
      <c r="Q37260" s="8"/>
    </row>
    <row r="37261" spans="17:17" x14ac:dyDescent="0.25">
      <c r="Q37261" s="8"/>
    </row>
    <row r="37262" spans="17:17" x14ac:dyDescent="0.25">
      <c r="Q37262" s="8"/>
    </row>
    <row r="37263" spans="17:17" x14ac:dyDescent="0.25">
      <c r="Q37263" s="8"/>
    </row>
    <row r="37264" spans="17:17" x14ac:dyDescent="0.25">
      <c r="Q37264" s="8"/>
    </row>
    <row r="37265" spans="17:17" x14ac:dyDescent="0.25">
      <c r="Q37265" s="8"/>
    </row>
    <row r="37266" spans="17:17" x14ac:dyDescent="0.25">
      <c r="Q37266" s="8"/>
    </row>
    <row r="37267" spans="17:17" x14ac:dyDescent="0.25">
      <c r="Q37267" s="8"/>
    </row>
    <row r="37268" spans="17:17" x14ac:dyDescent="0.25">
      <c r="Q37268" s="8"/>
    </row>
    <row r="37269" spans="17:17" x14ac:dyDescent="0.25">
      <c r="Q37269" s="8"/>
    </row>
    <row r="37270" spans="17:17" x14ac:dyDescent="0.25">
      <c r="Q37270" s="8"/>
    </row>
    <row r="37271" spans="17:17" x14ac:dyDescent="0.25">
      <c r="Q37271" s="8"/>
    </row>
    <row r="37272" spans="17:17" x14ac:dyDescent="0.25">
      <c r="Q37272" s="8"/>
    </row>
    <row r="37273" spans="17:17" x14ac:dyDescent="0.25">
      <c r="Q37273" s="8"/>
    </row>
    <row r="37274" spans="17:17" x14ac:dyDescent="0.25">
      <c r="Q37274" s="8"/>
    </row>
    <row r="37275" spans="17:17" x14ac:dyDescent="0.25">
      <c r="Q37275" s="8"/>
    </row>
    <row r="37276" spans="17:17" x14ac:dyDescent="0.25">
      <c r="Q37276" s="8"/>
    </row>
    <row r="37277" spans="17:17" x14ac:dyDescent="0.25">
      <c r="Q37277" s="8"/>
    </row>
    <row r="37278" spans="17:17" x14ac:dyDescent="0.25">
      <c r="Q37278" s="8"/>
    </row>
    <row r="37279" spans="17:17" x14ac:dyDescent="0.25">
      <c r="Q37279" s="8"/>
    </row>
    <row r="37280" spans="17:17" x14ac:dyDescent="0.25">
      <c r="Q37280" s="8"/>
    </row>
    <row r="37281" spans="17:17" x14ac:dyDescent="0.25">
      <c r="Q37281" s="8"/>
    </row>
    <row r="37282" spans="17:17" x14ac:dyDescent="0.25">
      <c r="Q37282" s="8"/>
    </row>
    <row r="37283" spans="17:17" x14ac:dyDescent="0.25">
      <c r="Q37283" s="8"/>
    </row>
    <row r="37284" spans="17:17" x14ac:dyDescent="0.25">
      <c r="Q37284" s="8"/>
    </row>
    <row r="37285" spans="17:17" x14ac:dyDescent="0.25">
      <c r="Q37285" s="8"/>
    </row>
    <row r="37286" spans="17:17" x14ac:dyDescent="0.25">
      <c r="Q37286" s="8"/>
    </row>
    <row r="37287" spans="17:17" x14ac:dyDescent="0.25">
      <c r="Q37287" s="8"/>
    </row>
    <row r="37288" spans="17:17" x14ac:dyDescent="0.25">
      <c r="Q37288" s="8"/>
    </row>
    <row r="37289" spans="17:17" x14ac:dyDescent="0.25">
      <c r="Q37289" s="8"/>
    </row>
    <row r="37290" spans="17:17" x14ac:dyDescent="0.25">
      <c r="Q37290" s="8"/>
    </row>
    <row r="37291" spans="17:17" x14ac:dyDescent="0.25">
      <c r="Q37291" s="8"/>
    </row>
    <row r="37292" spans="17:17" x14ac:dyDescent="0.25">
      <c r="Q37292" s="8"/>
    </row>
    <row r="37293" spans="17:17" x14ac:dyDescent="0.25">
      <c r="Q37293" s="8"/>
    </row>
    <row r="37294" spans="17:17" x14ac:dyDescent="0.25">
      <c r="Q37294" s="8"/>
    </row>
    <row r="37295" spans="17:17" x14ac:dyDescent="0.25">
      <c r="Q37295" s="8"/>
    </row>
    <row r="37296" spans="17:17" x14ac:dyDescent="0.25">
      <c r="Q37296" s="8"/>
    </row>
    <row r="37297" spans="17:17" x14ac:dyDescent="0.25">
      <c r="Q37297" s="8"/>
    </row>
    <row r="37298" spans="17:17" x14ac:dyDescent="0.25">
      <c r="Q37298" s="8"/>
    </row>
    <row r="37299" spans="17:17" x14ac:dyDescent="0.25">
      <c r="Q37299" s="8"/>
    </row>
    <row r="37300" spans="17:17" x14ac:dyDescent="0.25">
      <c r="Q37300" s="8"/>
    </row>
    <row r="37301" spans="17:17" x14ac:dyDescent="0.25">
      <c r="Q37301" s="8"/>
    </row>
    <row r="37302" spans="17:17" x14ac:dyDescent="0.25">
      <c r="Q37302" s="8"/>
    </row>
    <row r="37303" spans="17:17" x14ac:dyDescent="0.25">
      <c r="Q37303" s="8"/>
    </row>
    <row r="37304" spans="17:17" x14ac:dyDescent="0.25">
      <c r="Q37304" s="8"/>
    </row>
    <row r="37305" spans="17:17" x14ac:dyDescent="0.25">
      <c r="Q37305" s="8"/>
    </row>
    <row r="37306" spans="17:17" x14ac:dyDescent="0.25">
      <c r="Q37306" s="8"/>
    </row>
    <row r="37307" spans="17:17" x14ac:dyDescent="0.25">
      <c r="Q37307" s="8"/>
    </row>
    <row r="37308" spans="17:17" x14ac:dyDescent="0.25">
      <c r="Q37308" s="8"/>
    </row>
    <row r="37309" spans="17:17" x14ac:dyDescent="0.25">
      <c r="Q37309" s="8"/>
    </row>
    <row r="37310" spans="17:17" x14ac:dyDescent="0.25">
      <c r="Q37310" s="8"/>
    </row>
    <row r="37311" spans="17:17" x14ac:dyDescent="0.25">
      <c r="Q37311" s="8"/>
    </row>
    <row r="37312" spans="17:17" x14ac:dyDescent="0.25">
      <c r="Q37312" s="8"/>
    </row>
    <row r="37313" spans="17:17" x14ac:dyDescent="0.25">
      <c r="Q37313" s="8"/>
    </row>
    <row r="37314" spans="17:17" x14ac:dyDescent="0.25">
      <c r="Q37314" s="8"/>
    </row>
    <row r="37315" spans="17:17" x14ac:dyDescent="0.25">
      <c r="Q37315" s="8"/>
    </row>
    <row r="37316" spans="17:17" x14ac:dyDescent="0.25">
      <c r="Q37316" s="8"/>
    </row>
    <row r="37317" spans="17:17" x14ac:dyDescent="0.25">
      <c r="Q37317" s="8"/>
    </row>
    <row r="37318" spans="17:17" x14ac:dyDescent="0.25">
      <c r="Q37318" s="8"/>
    </row>
    <row r="37319" spans="17:17" x14ac:dyDescent="0.25">
      <c r="Q37319" s="8"/>
    </row>
    <row r="37320" spans="17:17" x14ac:dyDescent="0.25">
      <c r="Q37320" s="8"/>
    </row>
    <row r="37321" spans="17:17" x14ac:dyDescent="0.25">
      <c r="Q37321" s="8"/>
    </row>
    <row r="37322" spans="17:17" x14ac:dyDescent="0.25">
      <c r="Q37322" s="8"/>
    </row>
    <row r="37323" spans="17:17" x14ac:dyDescent="0.25">
      <c r="Q37323" s="8"/>
    </row>
    <row r="37324" spans="17:17" x14ac:dyDescent="0.25">
      <c r="Q37324" s="8"/>
    </row>
    <row r="37325" spans="17:17" x14ac:dyDescent="0.25">
      <c r="Q37325" s="8"/>
    </row>
    <row r="37326" spans="17:17" x14ac:dyDescent="0.25">
      <c r="Q37326" s="8"/>
    </row>
    <row r="37327" spans="17:17" x14ac:dyDescent="0.25">
      <c r="Q37327" s="8"/>
    </row>
    <row r="37328" spans="17:17" x14ac:dyDescent="0.25">
      <c r="Q37328" s="8"/>
    </row>
    <row r="37329" spans="17:17" x14ac:dyDescent="0.25">
      <c r="Q37329" s="8"/>
    </row>
    <row r="37330" spans="17:17" x14ac:dyDescent="0.25">
      <c r="Q37330" s="8"/>
    </row>
    <row r="37331" spans="17:17" x14ac:dyDescent="0.25">
      <c r="Q37331" s="8"/>
    </row>
    <row r="37332" spans="17:17" x14ac:dyDescent="0.25">
      <c r="Q37332" s="8"/>
    </row>
    <row r="37333" spans="17:17" x14ac:dyDescent="0.25">
      <c r="Q37333" s="8"/>
    </row>
    <row r="37334" spans="17:17" x14ac:dyDescent="0.25">
      <c r="Q37334" s="8"/>
    </row>
    <row r="37335" spans="17:17" x14ac:dyDescent="0.25">
      <c r="Q37335" s="8"/>
    </row>
    <row r="37336" spans="17:17" x14ac:dyDescent="0.25">
      <c r="Q37336" s="8"/>
    </row>
    <row r="37337" spans="17:17" x14ac:dyDescent="0.25">
      <c r="Q37337" s="8"/>
    </row>
    <row r="37338" spans="17:17" x14ac:dyDescent="0.25">
      <c r="Q37338" s="8"/>
    </row>
    <row r="37339" spans="17:17" x14ac:dyDescent="0.25">
      <c r="Q37339" s="8"/>
    </row>
    <row r="37340" spans="17:17" x14ac:dyDescent="0.25">
      <c r="Q37340" s="8"/>
    </row>
    <row r="37341" spans="17:17" x14ac:dyDescent="0.25">
      <c r="Q37341" s="8"/>
    </row>
    <row r="37342" spans="17:17" x14ac:dyDescent="0.25">
      <c r="Q37342" s="8"/>
    </row>
    <row r="37343" spans="17:17" x14ac:dyDescent="0.25">
      <c r="Q37343" s="8"/>
    </row>
    <row r="37344" spans="17:17" x14ac:dyDescent="0.25">
      <c r="Q37344" s="8"/>
    </row>
    <row r="37345" spans="17:17" x14ac:dyDescent="0.25">
      <c r="Q37345" s="8"/>
    </row>
    <row r="37346" spans="17:17" x14ac:dyDescent="0.25">
      <c r="Q37346" s="8"/>
    </row>
    <row r="37347" spans="17:17" x14ac:dyDescent="0.25">
      <c r="Q37347" s="8"/>
    </row>
    <row r="37348" spans="17:17" x14ac:dyDescent="0.25">
      <c r="Q37348" s="8"/>
    </row>
    <row r="37349" spans="17:17" x14ac:dyDescent="0.25">
      <c r="Q37349" s="8"/>
    </row>
    <row r="37350" spans="17:17" x14ac:dyDescent="0.25">
      <c r="Q37350" s="8"/>
    </row>
    <row r="37351" spans="17:17" x14ac:dyDescent="0.25">
      <c r="Q37351" s="8"/>
    </row>
    <row r="37352" spans="17:17" x14ac:dyDescent="0.25">
      <c r="Q37352" s="8"/>
    </row>
    <row r="37353" spans="17:17" x14ac:dyDescent="0.25">
      <c r="Q37353" s="8"/>
    </row>
    <row r="37354" spans="17:17" x14ac:dyDescent="0.25">
      <c r="Q37354" s="8"/>
    </row>
    <row r="37355" spans="17:17" x14ac:dyDescent="0.25">
      <c r="Q37355" s="8"/>
    </row>
    <row r="37356" spans="17:17" x14ac:dyDescent="0.25">
      <c r="Q37356" s="8"/>
    </row>
    <row r="37357" spans="17:17" x14ac:dyDescent="0.25">
      <c r="Q37357" s="8"/>
    </row>
    <row r="37358" spans="17:17" x14ac:dyDescent="0.25">
      <c r="Q37358" s="8"/>
    </row>
    <row r="37359" spans="17:17" x14ac:dyDescent="0.25">
      <c r="Q37359" s="8"/>
    </row>
    <row r="37360" spans="17:17" x14ac:dyDescent="0.25">
      <c r="Q37360" s="8"/>
    </row>
    <row r="37361" spans="17:17" x14ac:dyDescent="0.25">
      <c r="Q37361" s="8"/>
    </row>
    <row r="37362" spans="17:17" x14ac:dyDescent="0.25">
      <c r="Q37362" s="8"/>
    </row>
    <row r="37363" spans="17:17" x14ac:dyDescent="0.25">
      <c r="Q37363" s="8"/>
    </row>
    <row r="37364" spans="17:17" x14ac:dyDescent="0.25">
      <c r="Q37364" s="8"/>
    </row>
    <row r="37365" spans="17:17" x14ac:dyDescent="0.25">
      <c r="Q37365" s="8"/>
    </row>
    <row r="37366" spans="17:17" x14ac:dyDescent="0.25">
      <c r="Q37366" s="8"/>
    </row>
    <row r="37367" spans="17:17" x14ac:dyDescent="0.25">
      <c r="Q37367" s="8"/>
    </row>
    <row r="37368" spans="17:17" x14ac:dyDescent="0.25">
      <c r="Q37368" s="8"/>
    </row>
    <row r="37369" spans="17:17" x14ac:dyDescent="0.25">
      <c r="Q37369" s="8"/>
    </row>
    <row r="37370" spans="17:17" x14ac:dyDescent="0.25">
      <c r="Q37370" s="8"/>
    </row>
    <row r="37371" spans="17:17" x14ac:dyDescent="0.25">
      <c r="Q37371" s="8"/>
    </row>
    <row r="37372" spans="17:17" x14ac:dyDescent="0.25">
      <c r="Q37372" s="8"/>
    </row>
    <row r="37373" spans="17:17" x14ac:dyDescent="0.25">
      <c r="Q37373" s="8"/>
    </row>
    <row r="37374" spans="17:17" x14ac:dyDescent="0.25">
      <c r="Q37374" s="8"/>
    </row>
    <row r="37375" spans="17:17" x14ac:dyDescent="0.25">
      <c r="Q37375" s="8"/>
    </row>
    <row r="37376" spans="17:17" x14ac:dyDescent="0.25">
      <c r="Q37376" s="8"/>
    </row>
    <row r="37377" spans="17:17" x14ac:dyDescent="0.25">
      <c r="Q37377" s="8"/>
    </row>
    <row r="37378" spans="17:17" x14ac:dyDescent="0.25">
      <c r="Q37378" s="8"/>
    </row>
    <row r="37379" spans="17:17" x14ac:dyDescent="0.25">
      <c r="Q37379" s="8"/>
    </row>
    <row r="37380" spans="17:17" x14ac:dyDescent="0.25">
      <c r="Q37380" s="8"/>
    </row>
    <row r="37381" spans="17:17" x14ac:dyDescent="0.25">
      <c r="Q37381" s="8"/>
    </row>
    <row r="37382" spans="17:17" x14ac:dyDescent="0.25">
      <c r="Q37382" s="8"/>
    </row>
    <row r="37383" spans="17:17" x14ac:dyDescent="0.25">
      <c r="Q37383" s="8"/>
    </row>
    <row r="37384" spans="17:17" x14ac:dyDescent="0.25">
      <c r="Q37384" s="8"/>
    </row>
    <row r="37385" spans="17:17" x14ac:dyDescent="0.25">
      <c r="Q37385" s="8"/>
    </row>
    <row r="37386" spans="17:17" x14ac:dyDescent="0.25">
      <c r="Q37386" s="8"/>
    </row>
    <row r="37387" spans="17:17" x14ac:dyDescent="0.25">
      <c r="Q37387" s="8"/>
    </row>
    <row r="37388" spans="17:17" x14ac:dyDescent="0.25">
      <c r="Q37388" s="8"/>
    </row>
    <row r="37389" spans="17:17" x14ac:dyDescent="0.25">
      <c r="Q37389" s="8"/>
    </row>
    <row r="37390" spans="17:17" x14ac:dyDescent="0.25">
      <c r="Q37390" s="8"/>
    </row>
    <row r="37391" spans="17:17" x14ac:dyDescent="0.25">
      <c r="Q37391" s="8"/>
    </row>
    <row r="37392" spans="17:17" x14ac:dyDescent="0.25">
      <c r="Q37392" s="8"/>
    </row>
    <row r="37393" spans="17:17" x14ac:dyDescent="0.25">
      <c r="Q37393" s="8"/>
    </row>
    <row r="37394" spans="17:17" x14ac:dyDescent="0.25">
      <c r="Q37394" s="8"/>
    </row>
    <row r="37395" spans="17:17" x14ac:dyDescent="0.25">
      <c r="Q37395" s="8"/>
    </row>
    <row r="37396" spans="17:17" x14ac:dyDescent="0.25">
      <c r="Q37396" s="8"/>
    </row>
    <row r="37397" spans="17:17" x14ac:dyDescent="0.25">
      <c r="Q37397" s="8"/>
    </row>
    <row r="37398" spans="17:17" x14ac:dyDescent="0.25">
      <c r="Q37398" s="8"/>
    </row>
    <row r="37399" spans="17:17" x14ac:dyDescent="0.25">
      <c r="Q37399" s="8"/>
    </row>
    <row r="37400" spans="17:17" x14ac:dyDescent="0.25">
      <c r="Q37400" s="8"/>
    </row>
    <row r="37401" spans="17:17" x14ac:dyDescent="0.25">
      <c r="Q37401" s="8"/>
    </row>
    <row r="37402" spans="17:17" x14ac:dyDescent="0.25">
      <c r="Q37402" s="8"/>
    </row>
    <row r="37403" spans="17:17" x14ac:dyDescent="0.25">
      <c r="Q37403" s="8"/>
    </row>
    <row r="37404" spans="17:17" x14ac:dyDescent="0.25">
      <c r="Q37404" s="8"/>
    </row>
    <row r="37405" spans="17:17" x14ac:dyDescent="0.25">
      <c r="Q37405" s="8"/>
    </row>
    <row r="37406" spans="17:17" x14ac:dyDescent="0.25">
      <c r="Q37406" s="8"/>
    </row>
    <row r="37407" spans="17:17" x14ac:dyDescent="0.25">
      <c r="Q37407" s="8"/>
    </row>
    <row r="37408" spans="17:17" x14ac:dyDescent="0.25">
      <c r="Q37408" s="8"/>
    </row>
    <row r="37409" spans="17:17" x14ac:dyDescent="0.25">
      <c r="Q37409" s="8"/>
    </row>
    <row r="37410" spans="17:17" x14ac:dyDescent="0.25">
      <c r="Q37410" s="8"/>
    </row>
    <row r="37411" spans="17:17" x14ac:dyDescent="0.25">
      <c r="Q37411" s="8"/>
    </row>
    <row r="37412" spans="17:17" x14ac:dyDescent="0.25">
      <c r="Q37412" s="8"/>
    </row>
    <row r="37413" spans="17:17" x14ac:dyDescent="0.25">
      <c r="Q37413" s="8"/>
    </row>
    <row r="37414" spans="17:17" x14ac:dyDescent="0.25">
      <c r="Q37414" s="8"/>
    </row>
    <row r="37415" spans="17:17" x14ac:dyDescent="0.25">
      <c r="Q37415" s="8"/>
    </row>
    <row r="37416" spans="17:17" x14ac:dyDescent="0.25">
      <c r="Q37416" s="8"/>
    </row>
    <row r="37417" spans="17:17" x14ac:dyDescent="0.25">
      <c r="Q37417" s="8"/>
    </row>
    <row r="37418" spans="17:17" x14ac:dyDescent="0.25">
      <c r="Q37418" s="8"/>
    </row>
    <row r="37419" spans="17:17" x14ac:dyDescent="0.25">
      <c r="Q37419" s="8"/>
    </row>
    <row r="37420" spans="17:17" x14ac:dyDescent="0.25">
      <c r="Q37420" s="8"/>
    </row>
    <row r="37421" spans="17:17" x14ac:dyDescent="0.25">
      <c r="Q37421" s="8"/>
    </row>
    <row r="37422" spans="17:17" x14ac:dyDescent="0.25">
      <c r="Q37422" s="8"/>
    </row>
    <row r="37423" spans="17:17" x14ac:dyDescent="0.25">
      <c r="Q37423" s="8"/>
    </row>
    <row r="37424" spans="17:17" x14ac:dyDescent="0.25">
      <c r="Q37424" s="8"/>
    </row>
    <row r="37425" spans="17:17" x14ac:dyDescent="0.25">
      <c r="Q37425" s="8"/>
    </row>
    <row r="37426" spans="17:17" x14ac:dyDescent="0.25">
      <c r="Q37426" s="8"/>
    </row>
    <row r="37427" spans="17:17" x14ac:dyDescent="0.25">
      <c r="Q37427" s="8"/>
    </row>
    <row r="37428" spans="17:17" x14ac:dyDescent="0.25">
      <c r="Q37428" s="8"/>
    </row>
    <row r="37429" spans="17:17" x14ac:dyDescent="0.25">
      <c r="Q37429" s="8"/>
    </row>
    <row r="37430" spans="17:17" x14ac:dyDescent="0.25">
      <c r="Q37430" s="8"/>
    </row>
    <row r="37431" spans="17:17" x14ac:dyDescent="0.25">
      <c r="Q37431" s="8"/>
    </row>
    <row r="37432" spans="17:17" x14ac:dyDescent="0.25">
      <c r="Q37432" s="8"/>
    </row>
    <row r="37433" spans="17:17" x14ac:dyDescent="0.25">
      <c r="Q37433" s="8"/>
    </row>
    <row r="37434" spans="17:17" x14ac:dyDescent="0.25">
      <c r="Q37434" s="8"/>
    </row>
    <row r="37435" spans="17:17" x14ac:dyDescent="0.25">
      <c r="Q37435" s="8"/>
    </row>
    <row r="37436" spans="17:17" x14ac:dyDescent="0.25">
      <c r="Q37436" s="8"/>
    </row>
    <row r="37437" spans="17:17" x14ac:dyDescent="0.25">
      <c r="Q37437" s="8"/>
    </row>
    <row r="37438" spans="17:17" x14ac:dyDescent="0.25">
      <c r="Q37438" s="8"/>
    </row>
    <row r="37439" spans="17:17" x14ac:dyDescent="0.25">
      <c r="Q37439" s="8"/>
    </row>
    <row r="37440" spans="17:17" x14ac:dyDescent="0.25">
      <c r="Q37440" s="8"/>
    </row>
    <row r="37441" spans="17:17" x14ac:dyDescent="0.25">
      <c r="Q37441" s="8"/>
    </row>
    <row r="37442" spans="17:17" x14ac:dyDescent="0.25">
      <c r="Q37442" s="8"/>
    </row>
    <row r="37443" spans="17:17" x14ac:dyDescent="0.25">
      <c r="Q37443" s="8"/>
    </row>
    <row r="37444" spans="17:17" x14ac:dyDescent="0.25">
      <c r="Q37444" s="8"/>
    </row>
    <row r="37445" spans="17:17" x14ac:dyDescent="0.25">
      <c r="Q37445" s="8"/>
    </row>
    <row r="37446" spans="17:17" x14ac:dyDescent="0.25">
      <c r="Q37446" s="8"/>
    </row>
    <row r="37447" spans="17:17" x14ac:dyDescent="0.25">
      <c r="Q37447" s="8"/>
    </row>
    <row r="37448" spans="17:17" x14ac:dyDescent="0.25">
      <c r="Q37448" s="8"/>
    </row>
    <row r="37449" spans="17:17" x14ac:dyDescent="0.25">
      <c r="Q37449" s="8"/>
    </row>
    <row r="37450" spans="17:17" x14ac:dyDescent="0.25">
      <c r="Q37450" s="8"/>
    </row>
    <row r="37451" spans="17:17" x14ac:dyDescent="0.25">
      <c r="Q37451" s="8"/>
    </row>
    <row r="37452" spans="17:17" x14ac:dyDescent="0.25">
      <c r="Q37452" s="8"/>
    </row>
    <row r="37453" spans="17:17" x14ac:dyDescent="0.25">
      <c r="Q37453" s="8"/>
    </row>
    <row r="37454" spans="17:17" x14ac:dyDescent="0.25">
      <c r="Q37454" s="8"/>
    </row>
    <row r="37455" spans="17:17" x14ac:dyDescent="0.25">
      <c r="Q37455" s="8"/>
    </row>
    <row r="37456" spans="17:17" x14ac:dyDescent="0.25">
      <c r="Q37456" s="8"/>
    </row>
    <row r="37457" spans="17:17" x14ac:dyDescent="0.25">
      <c r="Q37457" s="8"/>
    </row>
    <row r="37458" spans="17:17" x14ac:dyDescent="0.25">
      <c r="Q37458" s="8"/>
    </row>
    <row r="37459" spans="17:17" x14ac:dyDescent="0.25">
      <c r="Q37459" s="8"/>
    </row>
    <row r="37460" spans="17:17" x14ac:dyDescent="0.25">
      <c r="Q37460" s="8"/>
    </row>
    <row r="37461" spans="17:17" x14ac:dyDescent="0.25">
      <c r="Q37461" s="8"/>
    </row>
    <row r="37462" spans="17:17" x14ac:dyDescent="0.25">
      <c r="Q37462" s="8"/>
    </row>
    <row r="37463" spans="17:17" x14ac:dyDescent="0.25">
      <c r="Q37463" s="8"/>
    </row>
    <row r="37464" spans="17:17" x14ac:dyDescent="0.25">
      <c r="Q37464" s="8"/>
    </row>
    <row r="37465" spans="17:17" x14ac:dyDescent="0.25">
      <c r="Q37465" s="8"/>
    </row>
    <row r="37466" spans="17:17" x14ac:dyDescent="0.25">
      <c r="Q37466" s="8"/>
    </row>
    <row r="37467" spans="17:17" x14ac:dyDescent="0.25">
      <c r="Q37467" s="8"/>
    </row>
    <row r="37468" spans="17:17" x14ac:dyDescent="0.25">
      <c r="Q37468" s="8"/>
    </row>
    <row r="37469" spans="17:17" x14ac:dyDescent="0.25">
      <c r="Q37469" s="8"/>
    </row>
    <row r="37470" spans="17:17" x14ac:dyDescent="0.25">
      <c r="Q37470" s="8"/>
    </row>
    <row r="37471" spans="17:17" x14ac:dyDescent="0.25">
      <c r="Q37471" s="8"/>
    </row>
    <row r="37472" spans="17:17" x14ac:dyDescent="0.25">
      <c r="Q37472" s="8"/>
    </row>
    <row r="37473" spans="17:17" x14ac:dyDescent="0.25">
      <c r="Q37473" s="8"/>
    </row>
    <row r="37474" spans="17:17" x14ac:dyDescent="0.25">
      <c r="Q37474" s="8"/>
    </row>
    <row r="37475" spans="17:17" x14ac:dyDescent="0.25">
      <c r="Q37475" s="8"/>
    </row>
    <row r="37476" spans="17:17" x14ac:dyDescent="0.25">
      <c r="Q37476" s="8"/>
    </row>
    <row r="37477" spans="17:17" x14ac:dyDescent="0.25">
      <c r="Q37477" s="8"/>
    </row>
    <row r="37478" spans="17:17" x14ac:dyDescent="0.25">
      <c r="Q37478" s="8"/>
    </row>
    <row r="37479" spans="17:17" x14ac:dyDescent="0.25">
      <c r="Q37479" s="8"/>
    </row>
    <row r="37480" spans="17:17" x14ac:dyDescent="0.25">
      <c r="Q37480" s="8"/>
    </row>
    <row r="37481" spans="17:17" x14ac:dyDescent="0.25">
      <c r="Q37481" s="8"/>
    </row>
    <row r="37482" spans="17:17" x14ac:dyDescent="0.25">
      <c r="Q37482" s="8"/>
    </row>
    <row r="37483" spans="17:17" x14ac:dyDescent="0.25">
      <c r="Q37483" s="8"/>
    </row>
    <row r="37484" spans="17:17" x14ac:dyDescent="0.25">
      <c r="Q37484" s="8"/>
    </row>
    <row r="37485" spans="17:17" x14ac:dyDescent="0.25">
      <c r="Q37485" s="8"/>
    </row>
    <row r="37486" spans="17:17" x14ac:dyDescent="0.25">
      <c r="Q37486" s="8"/>
    </row>
    <row r="37487" spans="17:17" x14ac:dyDescent="0.25">
      <c r="Q37487" s="8"/>
    </row>
    <row r="37488" spans="17:17" x14ac:dyDescent="0.25">
      <c r="Q37488" s="8"/>
    </row>
    <row r="37489" spans="17:17" x14ac:dyDescent="0.25">
      <c r="Q37489" s="8"/>
    </row>
    <row r="37490" spans="17:17" x14ac:dyDescent="0.25">
      <c r="Q37490" s="8"/>
    </row>
    <row r="37491" spans="17:17" x14ac:dyDescent="0.25">
      <c r="Q37491" s="8"/>
    </row>
    <row r="37492" spans="17:17" x14ac:dyDescent="0.25">
      <c r="Q37492" s="8"/>
    </row>
    <row r="37493" spans="17:17" x14ac:dyDescent="0.25">
      <c r="Q37493" s="8"/>
    </row>
    <row r="37494" spans="17:17" x14ac:dyDescent="0.25">
      <c r="Q37494" s="8"/>
    </row>
    <row r="37495" spans="17:17" x14ac:dyDescent="0.25">
      <c r="Q37495" s="8"/>
    </row>
    <row r="37496" spans="17:17" x14ac:dyDescent="0.25">
      <c r="Q37496" s="8"/>
    </row>
    <row r="37497" spans="17:17" x14ac:dyDescent="0.25">
      <c r="Q37497" s="8"/>
    </row>
    <row r="37498" spans="17:17" x14ac:dyDescent="0.25">
      <c r="Q37498" s="8"/>
    </row>
    <row r="37499" spans="17:17" x14ac:dyDescent="0.25">
      <c r="Q37499" s="8"/>
    </row>
    <row r="37500" spans="17:17" x14ac:dyDescent="0.25">
      <c r="Q37500" s="8"/>
    </row>
    <row r="37501" spans="17:17" x14ac:dyDescent="0.25">
      <c r="Q37501" s="8"/>
    </row>
    <row r="37502" spans="17:17" x14ac:dyDescent="0.25">
      <c r="Q37502" s="8"/>
    </row>
    <row r="37503" spans="17:17" x14ac:dyDescent="0.25">
      <c r="Q37503" s="8"/>
    </row>
    <row r="37504" spans="17:17" x14ac:dyDescent="0.25">
      <c r="Q37504" s="8"/>
    </row>
    <row r="37505" spans="17:17" x14ac:dyDescent="0.25">
      <c r="Q37505" s="8"/>
    </row>
    <row r="37506" spans="17:17" x14ac:dyDescent="0.25">
      <c r="Q37506" s="8"/>
    </row>
    <row r="37507" spans="17:17" x14ac:dyDescent="0.25">
      <c r="Q37507" s="8"/>
    </row>
    <row r="37508" spans="17:17" x14ac:dyDescent="0.25">
      <c r="Q37508" s="8"/>
    </row>
    <row r="37509" spans="17:17" x14ac:dyDescent="0.25">
      <c r="Q37509" s="8"/>
    </row>
    <row r="37510" spans="17:17" x14ac:dyDescent="0.25">
      <c r="Q37510" s="8"/>
    </row>
    <row r="37511" spans="17:17" x14ac:dyDescent="0.25">
      <c r="Q37511" s="8"/>
    </row>
    <row r="37512" spans="17:17" x14ac:dyDescent="0.25">
      <c r="Q37512" s="8"/>
    </row>
    <row r="37513" spans="17:17" x14ac:dyDescent="0.25">
      <c r="Q37513" s="8"/>
    </row>
    <row r="37514" spans="17:17" x14ac:dyDescent="0.25">
      <c r="Q37514" s="8"/>
    </row>
    <row r="37515" spans="17:17" x14ac:dyDescent="0.25">
      <c r="Q37515" s="8"/>
    </row>
    <row r="37516" spans="17:17" x14ac:dyDescent="0.25">
      <c r="Q37516" s="8"/>
    </row>
    <row r="37517" spans="17:17" x14ac:dyDescent="0.25">
      <c r="Q37517" s="8"/>
    </row>
    <row r="37518" spans="17:17" x14ac:dyDescent="0.25">
      <c r="Q37518" s="8"/>
    </row>
    <row r="37519" spans="17:17" x14ac:dyDescent="0.25">
      <c r="Q37519" s="8"/>
    </row>
    <row r="37520" spans="17:17" x14ac:dyDescent="0.25">
      <c r="Q37520" s="8"/>
    </row>
    <row r="37521" spans="17:17" x14ac:dyDescent="0.25">
      <c r="Q37521" s="8"/>
    </row>
    <row r="37522" spans="17:17" x14ac:dyDescent="0.25">
      <c r="Q37522" s="8"/>
    </row>
    <row r="37523" spans="17:17" x14ac:dyDescent="0.25">
      <c r="Q37523" s="8"/>
    </row>
    <row r="37524" spans="17:17" x14ac:dyDescent="0.25">
      <c r="Q37524" s="8"/>
    </row>
    <row r="37525" spans="17:17" x14ac:dyDescent="0.25">
      <c r="Q37525" s="8"/>
    </row>
    <row r="37526" spans="17:17" x14ac:dyDescent="0.25">
      <c r="Q37526" s="8"/>
    </row>
    <row r="37527" spans="17:17" x14ac:dyDescent="0.25">
      <c r="Q37527" s="8"/>
    </row>
    <row r="37528" spans="17:17" x14ac:dyDescent="0.25">
      <c r="Q37528" s="8"/>
    </row>
    <row r="37529" spans="17:17" x14ac:dyDescent="0.25">
      <c r="Q37529" s="8"/>
    </row>
    <row r="37530" spans="17:17" x14ac:dyDescent="0.25">
      <c r="Q37530" s="8"/>
    </row>
    <row r="37531" spans="17:17" x14ac:dyDescent="0.25">
      <c r="Q37531" s="8"/>
    </row>
    <row r="37532" spans="17:17" x14ac:dyDescent="0.25">
      <c r="Q37532" s="8"/>
    </row>
    <row r="37533" spans="17:17" x14ac:dyDescent="0.25">
      <c r="Q37533" s="8"/>
    </row>
    <row r="37534" spans="17:17" x14ac:dyDescent="0.25">
      <c r="Q37534" s="8"/>
    </row>
    <row r="37535" spans="17:17" x14ac:dyDescent="0.25">
      <c r="Q37535" s="8"/>
    </row>
    <row r="37536" spans="17:17" x14ac:dyDescent="0.25">
      <c r="Q37536" s="8"/>
    </row>
    <row r="37537" spans="17:17" x14ac:dyDescent="0.25">
      <c r="Q37537" s="8"/>
    </row>
    <row r="37538" spans="17:17" x14ac:dyDescent="0.25">
      <c r="Q37538" s="8"/>
    </row>
    <row r="37539" spans="17:17" x14ac:dyDescent="0.25">
      <c r="Q37539" s="8"/>
    </row>
    <row r="37540" spans="17:17" x14ac:dyDescent="0.25">
      <c r="Q37540" s="8"/>
    </row>
    <row r="37541" spans="17:17" x14ac:dyDescent="0.25">
      <c r="Q37541" s="8"/>
    </row>
    <row r="37542" spans="17:17" x14ac:dyDescent="0.25">
      <c r="Q37542" s="8"/>
    </row>
    <row r="37543" spans="17:17" x14ac:dyDescent="0.25">
      <c r="Q37543" s="8"/>
    </row>
    <row r="37544" spans="17:17" x14ac:dyDescent="0.25">
      <c r="Q37544" s="8"/>
    </row>
    <row r="37545" spans="17:17" x14ac:dyDescent="0.25">
      <c r="Q37545" s="8"/>
    </row>
    <row r="37546" spans="17:17" x14ac:dyDescent="0.25">
      <c r="Q37546" s="8"/>
    </row>
    <row r="37547" spans="17:17" x14ac:dyDescent="0.25">
      <c r="Q37547" s="8"/>
    </row>
    <row r="37548" spans="17:17" x14ac:dyDescent="0.25">
      <c r="Q37548" s="8"/>
    </row>
    <row r="37549" spans="17:17" x14ac:dyDescent="0.25">
      <c r="Q37549" s="8"/>
    </row>
    <row r="37550" spans="17:17" x14ac:dyDescent="0.25">
      <c r="Q37550" s="8"/>
    </row>
    <row r="37551" spans="17:17" x14ac:dyDescent="0.25">
      <c r="Q37551" s="8"/>
    </row>
    <row r="37552" spans="17:17" x14ac:dyDescent="0.25">
      <c r="Q37552" s="8"/>
    </row>
    <row r="37553" spans="17:17" x14ac:dyDescent="0.25">
      <c r="Q37553" s="8"/>
    </row>
    <row r="37554" spans="17:17" x14ac:dyDescent="0.25">
      <c r="Q37554" s="8"/>
    </row>
    <row r="37555" spans="17:17" x14ac:dyDescent="0.25">
      <c r="Q37555" s="8"/>
    </row>
    <row r="37556" spans="17:17" x14ac:dyDescent="0.25">
      <c r="Q37556" s="8"/>
    </row>
    <row r="37557" spans="17:17" x14ac:dyDescent="0.25">
      <c r="Q37557" s="8"/>
    </row>
    <row r="37558" spans="17:17" x14ac:dyDescent="0.25">
      <c r="Q37558" s="8"/>
    </row>
    <row r="37559" spans="17:17" x14ac:dyDescent="0.25">
      <c r="Q37559" s="8"/>
    </row>
    <row r="37560" spans="17:17" x14ac:dyDescent="0.25">
      <c r="Q37560" s="8"/>
    </row>
    <row r="37561" spans="17:17" x14ac:dyDescent="0.25">
      <c r="Q37561" s="8"/>
    </row>
    <row r="37562" spans="17:17" x14ac:dyDescent="0.25">
      <c r="Q37562" s="8"/>
    </row>
    <row r="37563" spans="17:17" x14ac:dyDescent="0.25">
      <c r="Q37563" s="8"/>
    </row>
    <row r="37564" spans="17:17" x14ac:dyDescent="0.25">
      <c r="Q37564" s="8"/>
    </row>
    <row r="37565" spans="17:17" x14ac:dyDescent="0.25">
      <c r="Q37565" s="8"/>
    </row>
    <row r="37566" spans="17:17" x14ac:dyDescent="0.25">
      <c r="Q37566" s="8"/>
    </row>
    <row r="37567" spans="17:17" x14ac:dyDescent="0.25">
      <c r="Q37567" s="8"/>
    </row>
    <row r="37568" spans="17:17" x14ac:dyDescent="0.25">
      <c r="Q37568" s="8"/>
    </row>
    <row r="37569" spans="17:17" x14ac:dyDescent="0.25">
      <c r="Q37569" s="8"/>
    </row>
    <row r="37570" spans="17:17" x14ac:dyDescent="0.25">
      <c r="Q37570" s="8"/>
    </row>
    <row r="37571" spans="17:17" x14ac:dyDescent="0.25">
      <c r="Q37571" s="8"/>
    </row>
    <row r="37572" spans="17:17" x14ac:dyDescent="0.25">
      <c r="Q37572" s="8"/>
    </row>
    <row r="37573" spans="17:17" x14ac:dyDescent="0.25">
      <c r="Q37573" s="8"/>
    </row>
    <row r="37574" spans="17:17" x14ac:dyDescent="0.25">
      <c r="Q37574" s="8"/>
    </row>
    <row r="37575" spans="17:17" x14ac:dyDescent="0.25">
      <c r="Q37575" s="8"/>
    </row>
    <row r="37576" spans="17:17" x14ac:dyDescent="0.25">
      <c r="Q37576" s="8"/>
    </row>
    <row r="37577" spans="17:17" x14ac:dyDescent="0.25">
      <c r="Q37577" s="8"/>
    </row>
    <row r="37578" spans="17:17" x14ac:dyDescent="0.25">
      <c r="Q37578" s="8"/>
    </row>
    <row r="37579" spans="17:17" x14ac:dyDescent="0.25">
      <c r="Q37579" s="8"/>
    </row>
    <row r="37580" spans="17:17" x14ac:dyDescent="0.25">
      <c r="Q37580" s="8"/>
    </row>
    <row r="37581" spans="17:17" x14ac:dyDescent="0.25">
      <c r="Q37581" s="8"/>
    </row>
    <row r="37582" spans="17:17" x14ac:dyDescent="0.25">
      <c r="Q37582" s="8"/>
    </row>
    <row r="37583" spans="17:17" x14ac:dyDescent="0.25">
      <c r="Q37583" s="8"/>
    </row>
    <row r="37584" spans="17:17" x14ac:dyDescent="0.25">
      <c r="Q37584" s="8"/>
    </row>
    <row r="37585" spans="17:17" x14ac:dyDescent="0.25">
      <c r="Q37585" s="8"/>
    </row>
    <row r="37586" spans="17:17" x14ac:dyDescent="0.25">
      <c r="Q37586" s="8"/>
    </row>
    <row r="37587" spans="17:17" x14ac:dyDescent="0.25">
      <c r="Q37587" s="8"/>
    </row>
    <row r="37588" spans="17:17" x14ac:dyDescent="0.25">
      <c r="Q37588" s="8"/>
    </row>
    <row r="37589" spans="17:17" x14ac:dyDescent="0.25">
      <c r="Q37589" s="8"/>
    </row>
    <row r="37590" spans="17:17" x14ac:dyDescent="0.25">
      <c r="Q37590" s="8"/>
    </row>
    <row r="37591" spans="17:17" x14ac:dyDescent="0.25">
      <c r="Q37591" s="8"/>
    </row>
    <row r="37592" spans="17:17" x14ac:dyDescent="0.25">
      <c r="Q37592" s="8"/>
    </row>
    <row r="37593" spans="17:17" x14ac:dyDescent="0.25">
      <c r="Q37593" s="8"/>
    </row>
    <row r="37594" spans="17:17" x14ac:dyDescent="0.25">
      <c r="Q37594" s="8"/>
    </row>
    <row r="37595" spans="17:17" x14ac:dyDescent="0.25">
      <c r="Q37595" s="8"/>
    </row>
    <row r="37596" spans="17:17" x14ac:dyDescent="0.25">
      <c r="Q37596" s="8"/>
    </row>
    <row r="37597" spans="17:17" x14ac:dyDescent="0.25">
      <c r="Q37597" s="8"/>
    </row>
    <row r="37598" spans="17:17" x14ac:dyDescent="0.25">
      <c r="Q37598" s="8"/>
    </row>
    <row r="37599" spans="17:17" x14ac:dyDescent="0.25">
      <c r="Q37599" s="8"/>
    </row>
    <row r="37600" spans="17:17" x14ac:dyDescent="0.25">
      <c r="Q37600" s="8"/>
    </row>
    <row r="37601" spans="17:17" x14ac:dyDescent="0.25">
      <c r="Q37601" s="8"/>
    </row>
    <row r="37602" spans="17:17" x14ac:dyDescent="0.25">
      <c r="Q37602" s="8"/>
    </row>
    <row r="37603" spans="17:17" x14ac:dyDescent="0.25">
      <c r="Q37603" s="8"/>
    </row>
    <row r="37604" spans="17:17" x14ac:dyDescent="0.25">
      <c r="Q37604" s="8"/>
    </row>
    <row r="37605" spans="17:17" x14ac:dyDescent="0.25">
      <c r="Q37605" s="8"/>
    </row>
    <row r="37606" spans="17:17" x14ac:dyDescent="0.25">
      <c r="Q37606" s="8"/>
    </row>
    <row r="37607" spans="17:17" x14ac:dyDescent="0.25">
      <c r="Q37607" s="8"/>
    </row>
    <row r="37608" spans="17:17" x14ac:dyDescent="0.25">
      <c r="Q37608" s="8"/>
    </row>
    <row r="37609" spans="17:17" x14ac:dyDescent="0.25">
      <c r="Q37609" s="8"/>
    </row>
    <row r="37610" spans="17:17" x14ac:dyDescent="0.25">
      <c r="Q37610" s="8"/>
    </row>
    <row r="37611" spans="17:17" x14ac:dyDescent="0.25">
      <c r="Q37611" s="8"/>
    </row>
    <row r="37612" spans="17:17" x14ac:dyDescent="0.25">
      <c r="Q37612" s="8"/>
    </row>
    <row r="37613" spans="17:17" x14ac:dyDescent="0.25">
      <c r="Q37613" s="8"/>
    </row>
    <row r="37614" spans="17:17" x14ac:dyDescent="0.25">
      <c r="Q37614" s="8"/>
    </row>
    <row r="37615" spans="17:17" x14ac:dyDescent="0.25">
      <c r="Q37615" s="8"/>
    </row>
    <row r="37616" spans="17:17" x14ac:dyDescent="0.25">
      <c r="Q37616" s="8"/>
    </row>
    <row r="37617" spans="17:17" x14ac:dyDescent="0.25">
      <c r="Q37617" s="8"/>
    </row>
    <row r="37618" spans="17:17" x14ac:dyDescent="0.25">
      <c r="Q37618" s="8"/>
    </row>
    <row r="37619" spans="17:17" x14ac:dyDescent="0.25">
      <c r="Q37619" s="8"/>
    </row>
    <row r="37620" spans="17:17" x14ac:dyDescent="0.25">
      <c r="Q37620" s="8"/>
    </row>
    <row r="37621" spans="17:17" x14ac:dyDescent="0.25">
      <c r="Q37621" s="8"/>
    </row>
    <row r="37622" spans="17:17" x14ac:dyDescent="0.25">
      <c r="Q37622" s="8"/>
    </row>
    <row r="37623" spans="17:17" x14ac:dyDescent="0.25">
      <c r="Q37623" s="8"/>
    </row>
    <row r="37624" spans="17:17" x14ac:dyDescent="0.25">
      <c r="Q37624" s="8"/>
    </row>
    <row r="37625" spans="17:17" x14ac:dyDescent="0.25">
      <c r="Q37625" s="8"/>
    </row>
    <row r="37626" spans="17:17" x14ac:dyDescent="0.25">
      <c r="Q37626" s="8"/>
    </row>
    <row r="37627" spans="17:17" x14ac:dyDescent="0.25">
      <c r="Q37627" s="8"/>
    </row>
    <row r="37628" spans="17:17" x14ac:dyDescent="0.25">
      <c r="Q37628" s="8"/>
    </row>
    <row r="37629" spans="17:17" x14ac:dyDescent="0.25">
      <c r="Q37629" s="8"/>
    </row>
    <row r="37630" spans="17:17" x14ac:dyDescent="0.25">
      <c r="Q37630" s="8"/>
    </row>
    <row r="37631" spans="17:17" x14ac:dyDescent="0.25">
      <c r="Q37631" s="8"/>
    </row>
    <row r="37632" spans="17:17" x14ac:dyDescent="0.25">
      <c r="Q37632" s="8"/>
    </row>
    <row r="37633" spans="17:17" x14ac:dyDescent="0.25">
      <c r="Q37633" s="8"/>
    </row>
    <row r="37634" spans="17:17" x14ac:dyDescent="0.25">
      <c r="Q37634" s="8"/>
    </row>
    <row r="37635" spans="17:17" x14ac:dyDescent="0.25">
      <c r="Q37635" s="8"/>
    </row>
    <row r="37636" spans="17:17" x14ac:dyDescent="0.25">
      <c r="Q37636" s="8"/>
    </row>
    <row r="37637" spans="17:17" x14ac:dyDescent="0.25">
      <c r="Q37637" s="8"/>
    </row>
    <row r="37638" spans="17:17" x14ac:dyDescent="0.25">
      <c r="Q37638" s="8"/>
    </row>
    <row r="37639" spans="17:17" x14ac:dyDescent="0.25">
      <c r="Q37639" s="8"/>
    </row>
    <row r="37640" spans="17:17" x14ac:dyDescent="0.25">
      <c r="Q37640" s="8"/>
    </row>
    <row r="37641" spans="17:17" x14ac:dyDescent="0.25">
      <c r="Q37641" s="8"/>
    </row>
    <row r="37642" spans="17:17" x14ac:dyDescent="0.25">
      <c r="Q37642" s="8"/>
    </row>
    <row r="37643" spans="17:17" x14ac:dyDescent="0.25">
      <c r="Q37643" s="8"/>
    </row>
    <row r="37644" spans="17:17" x14ac:dyDescent="0.25">
      <c r="Q37644" s="8"/>
    </row>
    <row r="37645" spans="17:17" x14ac:dyDescent="0.25">
      <c r="Q37645" s="8"/>
    </row>
    <row r="37646" spans="17:17" x14ac:dyDescent="0.25">
      <c r="Q37646" s="8"/>
    </row>
    <row r="37647" spans="17:17" x14ac:dyDescent="0.25">
      <c r="Q37647" s="8"/>
    </row>
    <row r="37648" spans="17:17" x14ac:dyDescent="0.25">
      <c r="Q37648" s="8"/>
    </row>
    <row r="37649" spans="17:17" x14ac:dyDescent="0.25">
      <c r="Q37649" s="8"/>
    </row>
    <row r="37650" spans="17:17" x14ac:dyDescent="0.25">
      <c r="Q37650" s="8"/>
    </row>
    <row r="37651" spans="17:17" x14ac:dyDescent="0.25">
      <c r="Q37651" s="8"/>
    </row>
    <row r="37652" spans="17:17" x14ac:dyDescent="0.25">
      <c r="Q37652" s="8"/>
    </row>
    <row r="37653" spans="17:17" x14ac:dyDescent="0.25">
      <c r="Q37653" s="8"/>
    </row>
    <row r="37654" spans="17:17" x14ac:dyDescent="0.25">
      <c r="Q37654" s="8"/>
    </row>
    <row r="37655" spans="17:17" x14ac:dyDescent="0.25">
      <c r="Q37655" s="8"/>
    </row>
    <row r="37656" spans="17:17" x14ac:dyDescent="0.25">
      <c r="Q37656" s="8"/>
    </row>
    <row r="37657" spans="17:17" x14ac:dyDescent="0.25">
      <c r="Q37657" s="8"/>
    </row>
    <row r="37658" spans="17:17" x14ac:dyDescent="0.25">
      <c r="Q37658" s="8"/>
    </row>
    <row r="37659" spans="17:17" x14ac:dyDescent="0.25">
      <c r="Q37659" s="8"/>
    </row>
    <row r="37660" spans="17:17" x14ac:dyDescent="0.25">
      <c r="Q37660" s="8"/>
    </row>
    <row r="37661" spans="17:17" x14ac:dyDescent="0.25">
      <c r="Q37661" s="8"/>
    </row>
    <row r="37662" spans="17:17" x14ac:dyDescent="0.25">
      <c r="Q37662" s="8"/>
    </row>
    <row r="37663" spans="17:17" x14ac:dyDescent="0.25">
      <c r="Q37663" s="8"/>
    </row>
    <row r="37664" spans="17:17" x14ac:dyDescent="0.25">
      <c r="Q37664" s="8"/>
    </row>
    <row r="37665" spans="17:17" x14ac:dyDescent="0.25">
      <c r="Q37665" s="8"/>
    </row>
    <row r="37666" spans="17:17" x14ac:dyDescent="0.25">
      <c r="Q37666" s="8"/>
    </row>
    <row r="37667" spans="17:17" x14ac:dyDescent="0.25">
      <c r="Q37667" s="8"/>
    </row>
    <row r="37668" spans="17:17" x14ac:dyDescent="0.25">
      <c r="Q37668" s="8"/>
    </row>
    <row r="37669" spans="17:17" x14ac:dyDescent="0.25">
      <c r="Q37669" s="8"/>
    </row>
    <row r="37670" spans="17:17" x14ac:dyDescent="0.25">
      <c r="Q37670" s="8"/>
    </row>
    <row r="37671" spans="17:17" x14ac:dyDescent="0.25">
      <c r="Q37671" s="8"/>
    </row>
    <row r="37672" spans="17:17" x14ac:dyDescent="0.25">
      <c r="Q37672" s="8"/>
    </row>
    <row r="37673" spans="17:17" x14ac:dyDescent="0.25">
      <c r="Q37673" s="8"/>
    </row>
    <row r="37674" spans="17:17" x14ac:dyDescent="0.25">
      <c r="Q37674" s="8"/>
    </row>
    <row r="37675" spans="17:17" x14ac:dyDescent="0.25">
      <c r="Q37675" s="8"/>
    </row>
    <row r="37676" spans="17:17" x14ac:dyDescent="0.25">
      <c r="Q37676" s="8"/>
    </row>
    <row r="37677" spans="17:17" x14ac:dyDescent="0.25">
      <c r="Q37677" s="8"/>
    </row>
    <row r="37678" spans="17:17" x14ac:dyDescent="0.25">
      <c r="Q37678" s="8"/>
    </row>
    <row r="37679" spans="17:17" x14ac:dyDescent="0.25">
      <c r="Q37679" s="8"/>
    </row>
    <row r="37680" spans="17:17" x14ac:dyDescent="0.25">
      <c r="Q37680" s="8"/>
    </row>
    <row r="37681" spans="17:17" x14ac:dyDescent="0.25">
      <c r="Q37681" s="8"/>
    </row>
    <row r="37682" spans="17:17" x14ac:dyDescent="0.25">
      <c r="Q37682" s="8"/>
    </row>
    <row r="37683" spans="17:17" x14ac:dyDescent="0.25">
      <c r="Q37683" s="8"/>
    </row>
    <row r="37684" spans="17:17" x14ac:dyDescent="0.25">
      <c r="Q37684" s="8"/>
    </row>
    <row r="37685" spans="17:17" x14ac:dyDescent="0.25">
      <c r="Q37685" s="8"/>
    </row>
    <row r="37686" spans="17:17" x14ac:dyDescent="0.25">
      <c r="Q37686" s="8"/>
    </row>
    <row r="37687" spans="17:17" x14ac:dyDescent="0.25">
      <c r="Q37687" s="8"/>
    </row>
    <row r="37688" spans="17:17" x14ac:dyDescent="0.25">
      <c r="Q37688" s="8"/>
    </row>
    <row r="37689" spans="17:17" x14ac:dyDescent="0.25">
      <c r="Q37689" s="8"/>
    </row>
    <row r="37690" spans="17:17" x14ac:dyDescent="0.25">
      <c r="Q37690" s="8"/>
    </row>
    <row r="37691" spans="17:17" x14ac:dyDescent="0.25">
      <c r="Q37691" s="8"/>
    </row>
    <row r="37692" spans="17:17" x14ac:dyDescent="0.25">
      <c r="Q37692" s="8"/>
    </row>
    <row r="37693" spans="17:17" x14ac:dyDescent="0.25">
      <c r="Q37693" s="8"/>
    </row>
    <row r="37694" spans="17:17" x14ac:dyDescent="0.25">
      <c r="Q37694" s="8"/>
    </row>
    <row r="37695" spans="17:17" x14ac:dyDescent="0.25">
      <c r="Q37695" s="8"/>
    </row>
    <row r="37696" spans="17:17" x14ac:dyDescent="0.25">
      <c r="Q37696" s="8"/>
    </row>
    <row r="37697" spans="17:17" x14ac:dyDescent="0.25">
      <c r="Q37697" s="8"/>
    </row>
    <row r="37698" spans="17:17" x14ac:dyDescent="0.25">
      <c r="Q37698" s="8"/>
    </row>
    <row r="37699" spans="17:17" x14ac:dyDescent="0.25">
      <c r="Q37699" s="8"/>
    </row>
    <row r="37700" spans="17:17" x14ac:dyDescent="0.25">
      <c r="Q37700" s="8"/>
    </row>
    <row r="37701" spans="17:17" x14ac:dyDescent="0.25">
      <c r="Q37701" s="8"/>
    </row>
    <row r="37702" spans="17:17" x14ac:dyDescent="0.25">
      <c r="Q37702" s="8"/>
    </row>
    <row r="37703" spans="17:17" x14ac:dyDescent="0.25">
      <c r="Q37703" s="8"/>
    </row>
    <row r="37704" spans="17:17" x14ac:dyDescent="0.25">
      <c r="Q37704" s="8"/>
    </row>
    <row r="37705" spans="17:17" x14ac:dyDescent="0.25">
      <c r="Q37705" s="8"/>
    </row>
    <row r="37706" spans="17:17" x14ac:dyDescent="0.25">
      <c r="Q37706" s="8"/>
    </row>
    <row r="37707" spans="17:17" x14ac:dyDescent="0.25">
      <c r="Q37707" s="8"/>
    </row>
    <row r="37708" spans="17:17" x14ac:dyDescent="0.25">
      <c r="Q37708" s="8"/>
    </row>
    <row r="37709" spans="17:17" x14ac:dyDescent="0.25">
      <c r="Q37709" s="8"/>
    </row>
    <row r="37710" spans="17:17" x14ac:dyDescent="0.25">
      <c r="Q37710" s="8"/>
    </row>
    <row r="37711" spans="17:17" x14ac:dyDescent="0.25">
      <c r="Q37711" s="8"/>
    </row>
    <row r="37712" spans="17:17" x14ac:dyDescent="0.25">
      <c r="Q37712" s="8"/>
    </row>
    <row r="37713" spans="17:17" x14ac:dyDescent="0.25">
      <c r="Q37713" s="8"/>
    </row>
    <row r="37714" spans="17:17" x14ac:dyDescent="0.25">
      <c r="Q37714" s="8"/>
    </row>
    <row r="37715" spans="17:17" x14ac:dyDescent="0.25">
      <c r="Q37715" s="8"/>
    </row>
    <row r="37716" spans="17:17" x14ac:dyDescent="0.25">
      <c r="Q37716" s="8"/>
    </row>
    <row r="37717" spans="17:17" x14ac:dyDescent="0.25">
      <c r="Q37717" s="8"/>
    </row>
    <row r="37718" spans="17:17" x14ac:dyDescent="0.25">
      <c r="Q37718" s="8"/>
    </row>
    <row r="37719" spans="17:17" x14ac:dyDescent="0.25">
      <c r="Q37719" s="8"/>
    </row>
    <row r="37720" spans="17:17" x14ac:dyDescent="0.25">
      <c r="Q37720" s="8"/>
    </row>
    <row r="37721" spans="17:17" x14ac:dyDescent="0.25">
      <c r="Q37721" s="8"/>
    </row>
    <row r="37722" spans="17:17" x14ac:dyDescent="0.25">
      <c r="Q37722" s="8"/>
    </row>
    <row r="37723" spans="17:17" x14ac:dyDescent="0.25">
      <c r="Q37723" s="8"/>
    </row>
    <row r="37724" spans="17:17" x14ac:dyDescent="0.25">
      <c r="Q37724" s="8"/>
    </row>
    <row r="37725" spans="17:17" x14ac:dyDescent="0.25">
      <c r="Q37725" s="8"/>
    </row>
    <row r="37726" spans="17:17" x14ac:dyDescent="0.25">
      <c r="Q37726" s="8"/>
    </row>
    <row r="37727" spans="17:17" x14ac:dyDescent="0.25">
      <c r="Q37727" s="8"/>
    </row>
    <row r="37728" spans="17:17" x14ac:dyDescent="0.25">
      <c r="Q37728" s="8"/>
    </row>
    <row r="37729" spans="17:17" x14ac:dyDescent="0.25">
      <c r="Q37729" s="8"/>
    </row>
    <row r="37730" spans="17:17" x14ac:dyDescent="0.25">
      <c r="Q37730" s="8"/>
    </row>
    <row r="37731" spans="17:17" x14ac:dyDescent="0.25">
      <c r="Q37731" s="8"/>
    </row>
    <row r="37732" spans="17:17" x14ac:dyDescent="0.25">
      <c r="Q37732" s="8"/>
    </row>
    <row r="37733" spans="17:17" x14ac:dyDescent="0.25">
      <c r="Q37733" s="8"/>
    </row>
    <row r="37734" spans="17:17" x14ac:dyDescent="0.25">
      <c r="Q37734" s="8"/>
    </row>
    <row r="37735" spans="17:17" x14ac:dyDescent="0.25">
      <c r="Q37735" s="8"/>
    </row>
    <row r="37736" spans="17:17" x14ac:dyDescent="0.25">
      <c r="Q37736" s="8"/>
    </row>
    <row r="37737" spans="17:17" x14ac:dyDescent="0.25">
      <c r="Q37737" s="8"/>
    </row>
    <row r="37738" spans="17:17" x14ac:dyDescent="0.25">
      <c r="Q37738" s="8"/>
    </row>
    <row r="37739" spans="17:17" x14ac:dyDescent="0.25">
      <c r="Q37739" s="8"/>
    </row>
    <row r="37740" spans="17:17" x14ac:dyDescent="0.25">
      <c r="Q37740" s="8"/>
    </row>
    <row r="37741" spans="17:17" x14ac:dyDescent="0.25">
      <c r="Q37741" s="8"/>
    </row>
    <row r="37742" spans="17:17" x14ac:dyDescent="0.25">
      <c r="Q37742" s="8"/>
    </row>
    <row r="37743" spans="17:17" x14ac:dyDescent="0.25">
      <c r="Q37743" s="8"/>
    </row>
    <row r="37744" spans="17:17" x14ac:dyDescent="0.25">
      <c r="Q37744" s="8"/>
    </row>
    <row r="37745" spans="17:17" x14ac:dyDescent="0.25">
      <c r="Q37745" s="8"/>
    </row>
    <row r="37746" spans="17:17" x14ac:dyDescent="0.25">
      <c r="Q37746" s="8"/>
    </row>
    <row r="37747" spans="17:17" x14ac:dyDescent="0.25">
      <c r="Q37747" s="8"/>
    </row>
    <row r="37748" spans="17:17" x14ac:dyDescent="0.25">
      <c r="Q37748" s="8"/>
    </row>
    <row r="37749" spans="17:17" x14ac:dyDescent="0.25">
      <c r="Q37749" s="8"/>
    </row>
    <row r="37750" spans="17:17" x14ac:dyDescent="0.25">
      <c r="Q37750" s="8"/>
    </row>
    <row r="37751" spans="17:17" x14ac:dyDescent="0.25">
      <c r="Q37751" s="8"/>
    </row>
    <row r="37752" spans="17:17" x14ac:dyDescent="0.25">
      <c r="Q37752" s="8"/>
    </row>
    <row r="37753" spans="17:17" x14ac:dyDescent="0.25">
      <c r="Q37753" s="8"/>
    </row>
    <row r="37754" spans="17:17" x14ac:dyDescent="0.25">
      <c r="Q37754" s="8"/>
    </row>
    <row r="37755" spans="17:17" x14ac:dyDescent="0.25">
      <c r="Q37755" s="8"/>
    </row>
    <row r="37756" spans="17:17" x14ac:dyDescent="0.25">
      <c r="Q37756" s="8"/>
    </row>
    <row r="37757" spans="17:17" x14ac:dyDescent="0.25">
      <c r="Q37757" s="8"/>
    </row>
    <row r="37758" spans="17:17" x14ac:dyDescent="0.25">
      <c r="Q37758" s="8"/>
    </row>
    <row r="37759" spans="17:17" x14ac:dyDescent="0.25">
      <c r="Q37759" s="8"/>
    </row>
    <row r="37760" spans="17:17" x14ac:dyDescent="0.25">
      <c r="Q37760" s="8"/>
    </row>
    <row r="37761" spans="17:17" x14ac:dyDescent="0.25">
      <c r="Q37761" s="8"/>
    </row>
    <row r="37762" spans="17:17" x14ac:dyDescent="0.25">
      <c r="Q37762" s="8"/>
    </row>
    <row r="37763" spans="17:17" x14ac:dyDescent="0.25">
      <c r="Q37763" s="8"/>
    </row>
    <row r="37764" spans="17:17" x14ac:dyDescent="0.25">
      <c r="Q37764" s="8"/>
    </row>
    <row r="37765" spans="17:17" x14ac:dyDescent="0.25">
      <c r="Q37765" s="8"/>
    </row>
    <row r="37766" spans="17:17" x14ac:dyDescent="0.25">
      <c r="Q37766" s="8"/>
    </row>
    <row r="37767" spans="17:17" x14ac:dyDescent="0.25">
      <c r="Q37767" s="8"/>
    </row>
    <row r="37768" spans="17:17" x14ac:dyDescent="0.25">
      <c r="Q37768" s="8"/>
    </row>
    <row r="37769" spans="17:17" x14ac:dyDescent="0.25">
      <c r="Q37769" s="8"/>
    </row>
    <row r="37770" spans="17:17" x14ac:dyDescent="0.25">
      <c r="Q37770" s="8"/>
    </row>
    <row r="37771" spans="17:17" x14ac:dyDescent="0.25">
      <c r="Q37771" s="8"/>
    </row>
    <row r="37772" spans="17:17" x14ac:dyDescent="0.25">
      <c r="Q37772" s="8"/>
    </row>
    <row r="37773" spans="17:17" x14ac:dyDescent="0.25">
      <c r="Q37773" s="8"/>
    </row>
    <row r="37774" spans="17:17" x14ac:dyDescent="0.25">
      <c r="Q37774" s="8"/>
    </row>
    <row r="37775" spans="17:17" x14ac:dyDescent="0.25">
      <c r="Q37775" s="8"/>
    </row>
    <row r="37776" spans="17:17" x14ac:dyDescent="0.25">
      <c r="Q37776" s="8"/>
    </row>
    <row r="37777" spans="17:17" x14ac:dyDescent="0.25">
      <c r="Q37777" s="8"/>
    </row>
    <row r="37778" spans="17:17" x14ac:dyDescent="0.25">
      <c r="Q37778" s="8"/>
    </row>
    <row r="37779" spans="17:17" x14ac:dyDescent="0.25">
      <c r="Q37779" s="8"/>
    </row>
    <row r="37780" spans="17:17" x14ac:dyDescent="0.25">
      <c r="Q37780" s="8"/>
    </row>
    <row r="37781" spans="17:17" x14ac:dyDescent="0.25">
      <c r="Q37781" s="8"/>
    </row>
    <row r="37782" spans="17:17" x14ac:dyDescent="0.25">
      <c r="Q37782" s="8"/>
    </row>
    <row r="37783" spans="17:17" x14ac:dyDescent="0.25">
      <c r="Q37783" s="8"/>
    </row>
    <row r="37784" spans="17:17" x14ac:dyDescent="0.25">
      <c r="Q37784" s="8"/>
    </row>
    <row r="37785" spans="17:17" x14ac:dyDescent="0.25">
      <c r="Q37785" s="8"/>
    </row>
    <row r="37786" spans="17:17" x14ac:dyDescent="0.25">
      <c r="Q37786" s="8"/>
    </row>
    <row r="37787" spans="17:17" x14ac:dyDescent="0.25">
      <c r="Q37787" s="8"/>
    </row>
    <row r="37788" spans="17:17" x14ac:dyDescent="0.25">
      <c r="Q37788" s="8"/>
    </row>
    <row r="37789" spans="17:17" x14ac:dyDescent="0.25">
      <c r="Q37789" s="8"/>
    </row>
    <row r="37790" spans="17:17" x14ac:dyDescent="0.25">
      <c r="Q37790" s="8"/>
    </row>
    <row r="37791" spans="17:17" x14ac:dyDescent="0.25">
      <c r="Q37791" s="8"/>
    </row>
    <row r="37792" spans="17:17" x14ac:dyDescent="0.25">
      <c r="Q37792" s="8"/>
    </row>
    <row r="37793" spans="17:17" x14ac:dyDescent="0.25">
      <c r="Q37793" s="8"/>
    </row>
    <row r="37794" spans="17:17" x14ac:dyDescent="0.25">
      <c r="Q37794" s="8"/>
    </row>
    <row r="37795" spans="17:17" x14ac:dyDescent="0.25">
      <c r="Q37795" s="8"/>
    </row>
    <row r="37796" spans="17:17" x14ac:dyDescent="0.25">
      <c r="Q37796" s="8"/>
    </row>
    <row r="37797" spans="17:17" x14ac:dyDescent="0.25">
      <c r="Q37797" s="8"/>
    </row>
    <row r="37798" spans="17:17" x14ac:dyDescent="0.25">
      <c r="Q37798" s="8"/>
    </row>
    <row r="37799" spans="17:17" x14ac:dyDescent="0.25">
      <c r="Q37799" s="8"/>
    </row>
    <row r="37800" spans="17:17" x14ac:dyDescent="0.25">
      <c r="Q37800" s="8"/>
    </row>
    <row r="37801" spans="17:17" x14ac:dyDescent="0.25">
      <c r="Q37801" s="8"/>
    </row>
    <row r="37802" spans="17:17" x14ac:dyDescent="0.25">
      <c r="Q37802" s="8"/>
    </row>
    <row r="37803" spans="17:17" x14ac:dyDescent="0.25">
      <c r="Q37803" s="8"/>
    </row>
    <row r="37804" spans="17:17" x14ac:dyDescent="0.25">
      <c r="Q37804" s="8"/>
    </row>
    <row r="37805" spans="17:17" x14ac:dyDescent="0.25">
      <c r="Q37805" s="8"/>
    </row>
    <row r="37806" spans="17:17" x14ac:dyDescent="0.25">
      <c r="Q37806" s="8"/>
    </row>
    <row r="37807" spans="17:17" x14ac:dyDescent="0.25">
      <c r="Q37807" s="8"/>
    </row>
    <row r="37808" spans="17:17" x14ac:dyDescent="0.25">
      <c r="Q37808" s="8"/>
    </row>
    <row r="37809" spans="17:17" x14ac:dyDescent="0.25">
      <c r="Q37809" s="8"/>
    </row>
    <row r="37810" spans="17:17" x14ac:dyDescent="0.25">
      <c r="Q37810" s="8"/>
    </row>
    <row r="37811" spans="17:17" x14ac:dyDescent="0.25">
      <c r="Q37811" s="8"/>
    </row>
    <row r="37812" spans="17:17" x14ac:dyDescent="0.25">
      <c r="Q37812" s="8"/>
    </row>
    <row r="37813" spans="17:17" x14ac:dyDescent="0.25">
      <c r="Q37813" s="8"/>
    </row>
    <row r="37814" spans="17:17" x14ac:dyDescent="0.25">
      <c r="Q37814" s="8"/>
    </row>
    <row r="37815" spans="17:17" x14ac:dyDescent="0.25">
      <c r="Q37815" s="8"/>
    </row>
    <row r="37816" spans="17:17" x14ac:dyDescent="0.25">
      <c r="Q37816" s="8"/>
    </row>
    <row r="37817" spans="17:17" x14ac:dyDescent="0.25">
      <c r="Q37817" s="8"/>
    </row>
    <row r="37818" spans="17:17" x14ac:dyDescent="0.25">
      <c r="Q37818" s="8"/>
    </row>
    <row r="37819" spans="17:17" x14ac:dyDescent="0.25">
      <c r="Q37819" s="8"/>
    </row>
    <row r="37820" spans="17:17" x14ac:dyDescent="0.25">
      <c r="Q37820" s="8"/>
    </row>
    <row r="37821" spans="17:17" x14ac:dyDescent="0.25">
      <c r="Q37821" s="8"/>
    </row>
    <row r="37822" spans="17:17" x14ac:dyDescent="0.25">
      <c r="Q37822" s="8"/>
    </row>
    <row r="37823" spans="17:17" x14ac:dyDescent="0.25">
      <c r="Q37823" s="8"/>
    </row>
    <row r="37824" spans="17:17" x14ac:dyDescent="0.25">
      <c r="Q37824" s="8"/>
    </row>
    <row r="37825" spans="17:17" x14ac:dyDescent="0.25">
      <c r="Q37825" s="8"/>
    </row>
    <row r="37826" spans="17:17" x14ac:dyDescent="0.25">
      <c r="Q37826" s="8"/>
    </row>
    <row r="37827" spans="17:17" x14ac:dyDescent="0.25">
      <c r="Q37827" s="8"/>
    </row>
    <row r="37828" spans="17:17" x14ac:dyDescent="0.25">
      <c r="Q37828" s="8"/>
    </row>
    <row r="37829" spans="17:17" x14ac:dyDescent="0.25">
      <c r="Q37829" s="8"/>
    </row>
    <row r="37830" spans="17:17" x14ac:dyDescent="0.25">
      <c r="Q37830" s="8"/>
    </row>
    <row r="37831" spans="17:17" x14ac:dyDescent="0.25">
      <c r="Q37831" s="8"/>
    </row>
    <row r="37832" spans="17:17" x14ac:dyDescent="0.25">
      <c r="Q37832" s="8"/>
    </row>
    <row r="37833" spans="17:17" x14ac:dyDescent="0.25">
      <c r="Q37833" s="8"/>
    </row>
    <row r="37834" spans="17:17" x14ac:dyDescent="0.25">
      <c r="Q37834" s="8"/>
    </row>
    <row r="37835" spans="17:17" x14ac:dyDescent="0.25">
      <c r="Q37835" s="8"/>
    </row>
    <row r="37836" spans="17:17" x14ac:dyDescent="0.25">
      <c r="Q37836" s="8"/>
    </row>
    <row r="37837" spans="17:17" x14ac:dyDescent="0.25">
      <c r="Q37837" s="8"/>
    </row>
    <row r="37838" spans="17:17" x14ac:dyDescent="0.25">
      <c r="Q37838" s="8"/>
    </row>
    <row r="37839" spans="17:17" x14ac:dyDescent="0.25">
      <c r="Q37839" s="8"/>
    </row>
    <row r="37840" spans="17:17" x14ac:dyDescent="0.25">
      <c r="Q37840" s="8"/>
    </row>
    <row r="37841" spans="17:17" x14ac:dyDescent="0.25">
      <c r="Q37841" s="8"/>
    </row>
    <row r="37842" spans="17:17" x14ac:dyDescent="0.25">
      <c r="Q37842" s="8"/>
    </row>
    <row r="37843" spans="17:17" x14ac:dyDescent="0.25">
      <c r="Q37843" s="8"/>
    </row>
    <row r="37844" spans="17:17" x14ac:dyDescent="0.25">
      <c r="Q37844" s="8"/>
    </row>
    <row r="37845" spans="17:17" x14ac:dyDescent="0.25">
      <c r="Q37845" s="8"/>
    </row>
    <row r="37846" spans="17:17" x14ac:dyDescent="0.25">
      <c r="Q37846" s="8"/>
    </row>
    <row r="37847" spans="17:17" x14ac:dyDescent="0.25">
      <c r="Q37847" s="8"/>
    </row>
    <row r="37848" spans="17:17" x14ac:dyDescent="0.25">
      <c r="Q37848" s="8"/>
    </row>
    <row r="37849" spans="17:17" x14ac:dyDescent="0.25">
      <c r="Q37849" s="8"/>
    </row>
    <row r="37850" spans="17:17" x14ac:dyDescent="0.25">
      <c r="Q37850" s="8"/>
    </row>
    <row r="37851" spans="17:17" x14ac:dyDescent="0.25">
      <c r="Q37851" s="8"/>
    </row>
    <row r="37852" spans="17:17" x14ac:dyDescent="0.25">
      <c r="Q37852" s="8"/>
    </row>
    <row r="37853" spans="17:17" x14ac:dyDescent="0.25">
      <c r="Q37853" s="8"/>
    </row>
    <row r="37854" spans="17:17" x14ac:dyDescent="0.25">
      <c r="Q37854" s="8"/>
    </row>
    <row r="37855" spans="17:17" x14ac:dyDescent="0.25">
      <c r="Q37855" s="8"/>
    </row>
    <row r="37856" spans="17:17" x14ac:dyDescent="0.25">
      <c r="Q37856" s="8"/>
    </row>
    <row r="37857" spans="17:17" x14ac:dyDescent="0.25">
      <c r="Q37857" s="8"/>
    </row>
    <row r="37858" spans="17:17" x14ac:dyDescent="0.25">
      <c r="Q37858" s="8"/>
    </row>
    <row r="37859" spans="17:17" x14ac:dyDescent="0.25">
      <c r="Q37859" s="8"/>
    </row>
    <row r="37860" spans="17:17" x14ac:dyDescent="0.25">
      <c r="Q37860" s="8"/>
    </row>
    <row r="37861" spans="17:17" x14ac:dyDescent="0.25">
      <c r="Q37861" s="8"/>
    </row>
    <row r="37862" spans="17:17" x14ac:dyDescent="0.25">
      <c r="Q37862" s="8"/>
    </row>
    <row r="37863" spans="17:17" x14ac:dyDescent="0.25">
      <c r="Q37863" s="8"/>
    </row>
    <row r="37864" spans="17:17" x14ac:dyDescent="0.25">
      <c r="Q37864" s="8"/>
    </row>
    <row r="37865" spans="17:17" x14ac:dyDescent="0.25">
      <c r="Q37865" s="8"/>
    </row>
    <row r="37866" spans="17:17" x14ac:dyDescent="0.25">
      <c r="Q37866" s="8"/>
    </row>
    <row r="37867" spans="17:17" x14ac:dyDescent="0.25">
      <c r="Q37867" s="8"/>
    </row>
    <row r="37868" spans="17:17" x14ac:dyDescent="0.25">
      <c r="Q37868" s="8"/>
    </row>
    <row r="37869" spans="17:17" x14ac:dyDescent="0.25">
      <c r="Q37869" s="8"/>
    </row>
    <row r="37870" spans="17:17" x14ac:dyDescent="0.25">
      <c r="Q37870" s="8"/>
    </row>
    <row r="37871" spans="17:17" x14ac:dyDescent="0.25">
      <c r="Q37871" s="8"/>
    </row>
    <row r="37872" spans="17:17" x14ac:dyDescent="0.25">
      <c r="Q37872" s="8"/>
    </row>
    <row r="37873" spans="17:17" x14ac:dyDescent="0.25">
      <c r="Q37873" s="8"/>
    </row>
    <row r="37874" spans="17:17" x14ac:dyDescent="0.25">
      <c r="Q37874" s="8"/>
    </row>
    <row r="37875" spans="17:17" x14ac:dyDescent="0.25">
      <c r="Q37875" s="8"/>
    </row>
    <row r="37876" spans="17:17" x14ac:dyDescent="0.25">
      <c r="Q37876" s="8"/>
    </row>
    <row r="37877" spans="17:17" x14ac:dyDescent="0.25">
      <c r="Q37877" s="8"/>
    </row>
    <row r="37878" spans="17:17" x14ac:dyDescent="0.25">
      <c r="Q37878" s="8"/>
    </row>
    <row r="37879" spans="17:17" x14ac:dyDescent="0.25">
      <c r="Q37879" s="8"/>
    </row>
    <row r="37880" spans="17:17" x14ac:dyDescent="0.25">
      <c r="Q37880" s="8"/>
    </row>
    <row r="37881" spans="17:17" x14ac:dyDescent="0.25">
      <c r="Q37881" s="8"/>
    </row>
    <row r="37882" spans="17:17" x14ac:dyDescent="0.25">
      <c r="Q37882" s="8"/>
    </row>
    <row r="37883" spans="17:17" x14ac:dyDescent="0.25">
      <c r="Q37883" s="8"/>
    </row>
    <row r="37884" spans="17:17" x14ac:dyDescent="0.25">
      <c r="Q37884" s="8"/>
    </row>
    <row r="37885" spans="17:17" x14ac:dyDescent="0.25">
      <c r="Q37885" s="8"/>
    </row>
    <row r="37886" spans="17:17" x14ac:dyDescent="0.25">
      <c r="Q37886" s="8"/>
    </row>
    <row r="37887" spans="17:17" x14ac:dyDescent="0.25">
      <c r="Q37887" s="8"/>
    </row>
    <row r="37888" spans="17:17" x14ac:dyDescent="0.25">
      <c r="Q37888" s="8"/>
    </row>
    <row r="37889" spans="17:17" x14ac:dyDescent="0.25">
      <c r="Q37889" s="8"/>
    </row>
    <row r="37890" spans="17:17" x14ac:dyDescent="0.25">
      <c r="Q37890" s="8"/>
    </row>
    <row r="37891" spans="17:17" x14ac:dyDescent="0.25">
      <c r="Q37891" s="8"/>
    </row>
    <row r="37892" spans="17:17" x14ac:dyDescent="0.25">
      <c r="Q37892" s="8"/>
    </row>
    <row r="37893" spans="17:17" x14ac:dyDescent="0.25">
      <c r="Q37893" s="8"/>
    </row>
    <row r="37894" spans="17:17" x14ac:dyDescent="0.25">
      <c r="Q37894" s="8"/>
    </row>
    <row r="37895" spans="17:17" x14ac:dyDescent="0.25">
      <c r="Q37895" s="8"/>
    </row>
    <row r="37896" spans="17:17" x14ac:dyDescent="0.25">
      <c r="Q37896" s="8"/>
    </row>
    <row r="37897" spans="17:17" x14ac:dyDescent="0.25">
      <c r="Q37897" s="8"/>
    </row>
    <row r="37898" spans="17:17" x14ac:dyDescent="0.25">
      <c r="Q37898" s="8"/>
    </row>
    <row r="37899" spans="17:17" x14ac:dyDescent="0.25">
      <c r="Q37899" s="8"/>
    </row>
    <row r="37900" spans="17:17" x14ac:dyDescent="0.25">
      <c r="Q37900" s="8"/>
    </row>
    <row r="37901" spans="17:17" x14ac:dyDescent="0.25">
      <c r="Q37901" s="8"/>
    </row>
    <row r="37902" spans="17:17" x14ac:dyDescent="0.25">
      <c r="Q37902" s="8"/>
    </row>
    <row r="37903" spans="17:17" x14ac:dyDescent="0.25">
      <c r="Q37903" s="8"/>
    </row>
    <row r="37904" spans="17:17" x14ac:dyDescent="0.25">
      <c r="Q37904" s="8"/>
    </row>
    <row r="37905" spans="17:17" x14ac:dyDescent="0.25">
      <c r="Q37905" s="8"/>
    </row>
    <row r="37906" spans="17:17" x14ac:dyDescent="0.25">
      <c r="Q37906" s="8"/>
    </row>
    <row r="37907" spans="17:17" x14ac:dyDescent="0.25">
      <c r="Q37907" s="8"/>
    </row>
    <row r="37908" spans="17:17" x14ac:dyDescent="0.25">
      <c r="Q37908" s="8"/>
    </row>
    <row r="37909" spans="17:17" x14ac:dyDescent="0.25">
      <c r="Q37909" s="8"/>
    </row>
    <row r="37910" spans="17:17" x14ac:dyDescent="0.25">
      <c r="Q37910" s="8"/>
    </row>
    <row r="37911" spans="17:17" x14ac:dyDescent="0.25">
      <c r="Q37911" s="8"/>
    </row>
    <row r="37912" spans="17:17" x14ac:dyDescent="0.25">
      <c r="Q37912" s="8"/>
    </row>
    <row r="37913" spans="17:17" x14ac:dyDescent="0.25">
      <c r="Q37913" s="8"/>
    </row>
    <row r="37914" spans="17:17" x14ac:dyDescent="0.25">
      <c r="Q37914" s="8"/>
    </row>
    <row r="37915" spans="17:17" x14ac:dyDescent="0.25">
      <c r="Q37915" s="8"/>
    </row>
    <row r="37916" spans="17:17" x14ac:dyDescent="0.25">
      <c r="Q37916" s="8"/>
    </row>
    <row r="37917" spans="17:17" x14ac:dyDescent="0.25">
      <c r="Q37917" s="8"/>
    </row>
    <row r="37918" spans="17:17" x14ac:dyDescent="0.25">
      <c r="Q37918" s="8"/>
    </row>
    <row r="37919" spans="17:17" x14ac:dyDescent="0.25">
      <c r="Q37919" s="8"/>
    </row>
    <row r="37920" spans="17:17" x14ac:dyDescent="0.25">
      <c r="Q37920" s="8"/>
    </row>
    <row r="37921" spans="17:17" x14ac:dyDescent="0.25">
      <c r="Q37921" s="8"/>
    </row>
    <row r="37922" spans="17:17" x14ac:dyDescent="0.25">
      <c r="Q37922" s="8"/>
    </row>
    <row r="37923" spans="17:17" x14ac:dyDescent="0.25">
      <c r="Q37923" s="8"/>
    </row>
    <row r="37924" spans="17:17" x14ac:dyDescent="0.25">
      <c r="Q37924" s="8"/>
    </row>
    <row r="37925" spans="17:17" x14ac:dyDescent="0.25">
      <c r="Q37925" s="8"/>
    </row>
    <row r="37926" spans="17:17" x14ac:dyDescent="0.25">
      <c r="Q37926" s="8"/>
    </row>
    <row r="37927" spans="17:17" x14ac:dyDescent="0.25">
      <c r="Q37927" s="8"/>
    </row>
    <row r="37928" spans="17:17" x14ac:dyDescent="0.25">
      <c r="Q37928" s="8"/>
    </row>
    <row r="37929" spans="17:17" x14ac:dyDescent="0.25">
      <c r="Q37929" s="8"/>
    </row>
    <row r="37930" spans="17:17" x14ac:dyDescent="0.25">
      <c r="Q37930" s="8"/>
    </row>
    <row r="37931" spans="17:17" x14ac:dyDescent="0.25">
      <c r="Q37931" s="8"/>
    </row>
    <row r="37932" spans="17:17" x14ac:dyDescent="0.25">
      <c r="Q37932" s="8"/>
    </row>
    <row r="37933" spans="17:17" x14ac:dyDescent="0.25">
      <c r="Q37933" s="8"/>
    </row>
    <row r="37934" spans="17:17" x14ac:dyDescent="0.25">
      <c r="Q37934" s="8"/>
    </row>
    <row r="37935" spans="17:17" x14ac:dyDescent="0.25">
      <c r="Q37935" s="8"/>
    </row>
    <row r="37936" spans="17:17" x14ac:dyDescent="0.25">
      <c r="Q37936" s="8"/>
    </row>
    <row r="37937" spans="17:17" x14ac:dyDescent="0.25">
      <c r="Q37937" s="8"/>
    </row>
    <row r="37938" spans="17:17" x14ac:dyDescent="0.25">
      <c r="Q37938" s="8"/>
    </row>
    <row r="37939" spans="17:17" x14ac:dyDescent="0.25">
      <c r="Q37939" s="8"/>
    </row>
    <row r="37940" spans="17:17" x14ac:dyDescent="0.25">
      <c r="Q37940" s="8"/>
    </row>
    <row r="37941" spans="17:17" x14ac:dyDescent="0.25">
      <c r="Q37941" s="8"/>
    </row>
    <row r="37942" spans="17:17" x14ac:dyDescent="0.25">
      <c r="Q37942" s="8"/>
    </row>
    <row r="37943" spans="17:17" x14ac:dyDescent="0.25">
      <c r="Q37943" s="8"/>
    </row>
    <row r="37944" spans="17:17" x14ac:dyDescent="0.25">
      <c r="Q37944" s="8"/>
    </row>
    <row r="37945" spans="17:17" x14ac:dyDescent="0.25">
      <c r="Q37945" s="8"/>
    </row>
    <row r="37946" spans="17:17" x14ac:dyDescent="0.25">
      <c r="Q37946" s="8"/>
    </row>
    <row r="37947" spans="17:17" x14ac:dyDescent="0.25">
      <c r="Q37947" s="8"/>
    </row>
    <row r="37948" spans="17:17" x14ac:dyDescent="0.25">
      <c r="Q37948" s="8"/>
    </row>
    <row r="37949" spans="17:17" x14ac:dyDescent="0.25">
      <c r="Q37949" s="8"/>
    </row>
    <row r="37950" spans="17:17" x14ac:dyDescent="0.25">
      <c r="Q37950" s="8"/>
    </row>
    <row r="37951" spans="17:17" x14ac:dyDescent="0.25">
      <c r="Q37951" s="8"/>
    </row>
    <row r="37952" spans="17:17" x14ac:dyDescent="0.25">
      <c r="Q37952" s="8"/>
    </row>
    <row r="37953" spans="17:17" x14ac:dyDescent="0.25">
      <c r="Q37953" s="8"/>
    </row>
    <row r="37954" spans="17:17" x14ac:dyDescent="0.25">
      <c r="Q37954" s="8"/>
    </row>
    <row r="37955" spans="17:17" x14ac:dyDescent="0.25">
      <c r="Q37955" s="8"/>
    </row>
    <row r="37956" spans="17:17" x14ac:dyDescent="0.25">
      <c r="Q37956" s="8"/>
    </row>
    <row r="37957" spans="17:17" x14ac:dyDescent="0.25">
      <c r="Q37957" s="8"/>
    </row>
    <row r="37958" spans="17:17" x14ac:dyDescent="0.25">
      <c r="Q37958" s="8"/>
    </row>
    <row r="37959" spans="17:17" x14ac:dyDescent="0.25">
      <c r="Q37959" s="8"/>
    </row>
    <row r="37960" spans="17:17" x14ac:dyDescent="0.25">
      <c r="Q37960" s="8"/>
    </row>
    <row r="37961" spans="17:17" x14ac:dyDescent="0.25">
      <c r="Q37961" s="8"/>
    </row>
    <row r="37962" spans="17:17" x14ac:dyDescent="0.25">
      <c r="Q37962" s="8"/>
    </row>
    <row r="37963" spans="17:17" x14ac:dyDescent="0.25">
      <c r="Q37963" s="8"/>
    </row>
    <row r="37964" spans="17:17" x14ac:dyDescent="0.25">
      <c r="Q37964" s="8"/>
    </row>
    <row r="37965" spans="17:17" x14ac:dyDescent="0.25">
      <c r="Q37965" s="8"/>
    </row>
    <row r="37966" spans="17:17" x14ac:dyDescent="0.25">
      <c r="Q37966" s="8"/>
    </row>
    <row r="37967" spans="17:17" x14ac:dyDescent="0.25">
      <c r="Q37967" s="8"/>
    </row>
    <row r="37968" spans="17:17" x14ac:dyDescent="0.25">
      <c r="Q37968" s="8"/>
    </row>
    <row r="37969" spans="17:17" x14ac:dyDescent="0.25">
      <c r="Q37969" s="8"/>
    </row>
    <row r="37970" spans="17:17" x14ac:dyDescent="0.25">
      <c r="Q37970" s="8"/>
    </row>
    <row r="37971" spans="17:17" x14ac:dyDescent="0.25">
      <c r="Q37971" s="8"/>
    </row>
    <row r="37972" spans="17:17" x14ac:dyDescent="0.25">
      <c r="Q37972" s="8"/>
    </row>
    <row r="37973" spans="17:17" x14ac:dyDescent="0.25">
      <c r="Q37973" s="8"/>
    </row>
    <row r="37974" spans="17:17" x14ac:dyDescent="0.25">
      <c r="Q37974" s="8"/>
    </row>
    <row r="37975" spans="17:17" x14ac:dyDescent="0.25">
      <c r="Q37975" s="8"/>
    </row>
    <row r="37976" spans="17:17" x14ac:dyDescent="0.25">
      <c r="Q37976" s="8"/>
    </row>
    <row r="37977" spans="17:17" x14ac:dyDescent="0.25">
      <c r="Q37977" s="8"/>
    </row>
    <row r="37978" spans="17:17" x14ac:dyDescent="0.25">
      <c r="Q37978" s="8"/>
    </row>
    <row r="37979" spans="17:17" x14ac:dyDescent="0.25">
      <c r="Q37979" s="8"/>
    </row>
    <row r="37980" spans="17:17" x14ac:dyDescent="0.25">
      <c r="Q37980" s="8"/>
    </row>
    <row r="37981" spans="17:17" x14ac:dyDescent="0.25">
      <c r="Q37981" s="8"/>
    </row>
    <row r="37982" spans="17:17" x14ac:dyDescent="0.25">
      <c r="Q37982" s="8"/>
    </row>
    <row r="37983" spans="17:17" x14ac:dyDescent="0.25">
      <c r="Q37983" s="8"/>
    </row>
    <row r="37984" spans="17:17" x14ac:dyDescent="0.25">
      <c r="Q37984" s="8"/>
    </row>
    <row r="37985" spans="17:17" x14ac:dyDescent="0.25">
      <c r="Q37985" s="8"/>
    </row>
    <row r="37986" spans="17:17" x14ac:dyDescent="0.25">
      <c r="Q37986" s="8"/>
    </row>
    <row r="37987" spans="17:17" x14ac:dyDescent="0.25">
      <c r="Q37987" s="8"/>
    </row>
    <row r="37988" spans="17:17" x14ac:dyDescent="0.25">
      <c r="Q37988" s="8"/>
    </row>
    <row r="37989" spans="17:17" x14ac:dyDescent="0.25">
      <c r="Q37989" s="8"/>
    </row>
    <row r="37990" spans="17:17" x14ac:dyDescent="0.25">
      <c r="Q37990" s="8"/>
    </row>
    <row r="37991" spans="17:17" x14ac:dyDescent="0.25">
      <c r="Q37991" s="8"/>
    </row>
    <row r="37992" spans="17:17" x14ac:dyDescent="0.25">
      <c r="Q37992" s="8"/>
    </row>
    <row r="37993" spans="17:17" x14ac:dyDescent="0.25">
      <c r="Q37993" s="8"/>
    </row>
    <row r="37994" spans="17:17" x14ac:dyDescent="0.25">
      <c r="Q37994" s="8"/>
    </row>
    <row r="37995" spans="17:17" x14ac:dyDescent="0.25">
      <c r="Q37995" s="8"/>
    </row>
    <row r="37996" spans="17:17" x14ac:dyDescent="0.25">
      <c r="Q37996" s="8"/>
    </row>
    <row r="37997" spans="17:17" x14ac:dyDescent="0.25">
      <c r="Q37997" s="8"/>
    </row>
    <row r="37998" spans="17:17" x14ac:dyDescent="0.25">
      <c r="Q37998" s="8"/>
    </row>
    <row r="37999" spans="17:17" x14ac:dyDescent="0.25">
      <c r="Q37999" s="8"/>
    </row>
    <row r="38000" spans="17:17" x14ac:dyDescent="0.25">
      <c r="Q38000" s="8"/>
    </row>
    <row r="38001" spans="17:17" x14ac:dyDescent="0.25">
      <c r="Q38001" s="8"/>
    </row>
    <row r="38002" spans="17:17" x14ac:dyDescent="0.25">
      <c r="Q38002" s="8"/>
    </row>
    <row r="38003" spans="17:17" x14ac:dyDescent="0.25">
      <c r="Q38003" s="8"/>
    </row>
    <row r="38004" spans="17:17" x14ac:dyDescent="0.25">
      <c r="Q38004" s="8"/>
    </row>
    <row r="38005" spans="17:17" x14ac:dyDescent="0.25">
      <c r="Q38005" s="8"/>
    </row>
    <row r="38006" spans="17:17" x14ac:dyDescent="0.25">
      <c r="Q38006" s="8"/>
    </row>
    <row r="38007" spans="17:17" x14ac:dyDescent="0.25">
      <c r="Q38007" s="8"/>
    </row>
    <row r="38008" spans="17:17" x14ac:dyDescent="0.25">
      <c r="Q38008" s="8"/>
    </row>
    <row r="38009" spans="17:17" x14ac:dyDescent="0.25">
      <c r="Q38009" s="8"/>
    </row>
    <row r="38010" spans="17:17" x14ac:dyDescent="0.25">
      <c r="Q38010" s="8"/>
    </row>
    <row r="38011" spans="17:17" x14ac:dyDescent="0.25">
      <c r="Q38011" s="8"/>
    </row>
    <row r="38012" spans="17:17" x14ac:dyDescent="0.25">
      <c r="Q38012" s="8"/>
    </row>
    <row r="38013" spans="17:17" x14ac:dyDescent="0.25">
      <c r="Q38013" s="8"/>
    </row>
    <row r="38014" spans="17:17" x14ac:dyDescent="0.25">
      <c r="Q38014" s="8"/>
    </row>
    <row r="38015" spans="17:17" x14ac:dyDescent="0.25">
      <c r="Q38015" s="8"/>
    </row>
    <row r="38016" spans="17:17" x14ac:dyDescent="0.25">
      <c r="Q38016" s="8"/>
    </row>
    <row r="38017" spans="17:17" x14ac:dyDescent="0.25">
      <c r="Q38017" s="8"/>
    </row>
    <row r="38018" spans="17:17" x14ac:dyDescent="0.25">
      <c r="Q38018" s="8"/>
    </row>
    <row r="38019" spans="17:17" x14ac:dyDescent="0.25">
      <c r="Q38019" s="8"/>
    </row>
    <row r="38020" spans="17:17" x14ac:dyDescent="0.25">
      <c r="Q38020" s="8"/>
    </row>
    <row r="38021" spans="17:17" x14ac:dyDescent="0.25">
      <c r="Q38021" s="8"/>
    </row>
    <row r="38022" spans="17:17" x14ac:dyDescent="0.25">
      <c r="Q38022" s="8"/>
    </row>
    <row r="38023" spans="17:17" x14ac:dyDescent="0.25">
      <c r="Q38023" s="8"/>
    </row>
    <row r="38024" spans="17:17" x14ac:dyDescent="0.25">
      <c r="Q38024" s="8"/>
    </row>
    <row r="38025" spans="17:17" x14ac:dyDescent="0.25">
      <c r="Q38025" s="8"/>
    </row>
    <row r="38026" spans="17:17" x14ac:dyDescent="0.25">
      <c r="Q38026" s="8"/>
    </row>
    <row r="38027" spans="17:17" x14ac:dyDescent="0.25">
      <c r="Q38027" s="8"/>
    </row>
    <row r="38028" spans="17:17" x14ac:dyDescent="0.25">
      <c r="Q38028" s="8"/>
    </row>
    <row r="38029" spans="17:17" x14ac:dyDescent="0.25">
      <c r="Q38029" s="8"/>
    </row>
    <row r="38030" spans="17:17" x14ac:dyDescent="0.25">
      <c r="Q38030" s="8"/>
    </row>
    <row r="38031" spans="17:17" x14ac:dyDescent="0.25">
      <c r="Q38031" s="8"/>
    </row>
    <row r="38032" spans="17:17" x14ac:dyDescent="0.25">
      <c r="Q38032" s="8"/>
    </row>
    <row r="38033" spans="17:17" x14ac:dyDescent="0.25">
      <c r="Q38033" s="8"/>
    </row>
    <row r="38034" spans="17:17" x14ac:dyDescent="0.25">
      <c r="Q38034" s="8"/>
    </row>
    <row r="38035" spans="17:17" x14ac:dyDescent="0.25">
      <c r="Q38035" s="8"/>
    </row>
    <row r="38036" spans="17:17" x14ac:dyDescent="0.25">
      <c r="Q38036" s="8"/>
    </row>
    <row r="38037" spans="17:17" x14ac:dyDescent="0.25">
      <c r="Q38037" s="8"/>
    </row>
    <row r="38038" spans="17:17" x14ac:dyDescent="0.25">
      <c r="Q38038" s="8"/>
    </row>
    <row r="38039" spans="17:17" x14ac:dyDescent="0.25">
      <c r="Q38039" s="8"/>
    </row>
    <row r="38040" spans="17:17" x14ac:dyDescent="0.25">
      <c r="Q38040" s="8"/>
    </row>
    <row r="38041" spans="17:17" x14ac:dyDescent="0.25">
      <c r="Q38041" s="8"/>
    </row>
    <row r="38042" spans="17:17" x14ac:dyDescent="0.25">
      <c r="Q38042" s="8"/>
    </row>
    <row r="38043" spans="17:17" x14ac:dyDescent="0.25">
      <c r="Q38043" s="8"/>
    </row>
    <row r="38044" spans="17:17" x14ac:dyDescent="0.25">
      <c r="Q38044" s="8"/>
    </row>
    <row r="38045" spans="17:17" x14ac:dyDescent="0.25">
      <c r="Q38045" s="8"/>
    </row>
    <row r="38046" spans="17:17" x14ac:dyDescent="0.25">
      <c r="Q38046" s="8"/>
    </row>
    <row r="38047" spans="17:17" x14ac:dyDescent="0.25">
      <c r="Q38047" s="8"/>
    </row>
    <row r="38048" spans="17:17" x14ac:dyDescent="0.25">
      <c r="Q38048" s="8"/>
    </row>
    <row r="38049" spans="17:17" x14ac:dyDescent="0.25">
      <c r="Q38049" s="8"/>
    </row>
    <row r="38050" spans="17:17" x14ac:dyDescent="0.25">
      <c r="Q38050" s="8"/>
    </row>
    <row r="38051" spans="17:17" x14ac:dyDescent="0.25">
      <c r="Q38051" s="8"/>
    </row>
    <row r="38052" spans="17:17" x14ac:dyDescent="0.25">
      <c r="Q38052" s="8"/>
    </row>
    <row r="38053" spans="17:17" x14ac:dyDescent="0.25">
      <c r="Q38053" s="8"/>
    </row>
    <row r="38054" spans="17:17" x14ac:dyDescent="0.25">
      <c r="Q38054" s="8"/>
    </row>
    <row r="38055" spans="17:17" x14ac:dyDescent="0.25">
      <c r="Q38055" s="8"/>
    </row>
    <row r="38056" spans="17:17" x14ac:dyDescent="0.25">
      <c r="Q38056" s="8"/>
    </row>
    <row r="38057" spans="17:17" x14ac:dyDescent="0.25">
      <c r="Q38057" s="8"/>
    </row>
    <row r="38058" spans="17:17" x14ac:dyDescent="0.25">
      <c r="Q38058" s="8"/>
    </row>
    <row r="38059" spans="17:17" x14ac:dyDescent="0.25">
      <c r="Q38059" s="8"/>
    </row>
    <row r="38060" spans="17:17" x14ac:dyDescent="0.25">
      <c r="Q38060" s="8"/>
    </row>
    <row r="38061" spans="17:17" x14ac:dyDescent="0.25">
      <c r="Q38061" s="8"/>
    </row>
    <row r="38062" spans="17:17" x14ac:dyDescent="0.25">
      <c r="Q38062" s="8"/>
    </row>
    <row r="38063" spans="17:17" x14ac:dyDescent="0.25">
      <c r="Q38063" s="8"/>
    </row>
    <row r="38064" spans="17:17" x14ac:dyDescent="0.25">
      <c r="Q38064" s="8"/>
    </row>
    <row r="38065" spans="17:17" x14ac:dyDescent="0.25">
      <c r="Q38065" s="8"/>
    </row>
    <row r="38066" spans="17:17" x14ac:dyDescent="0.25">
      <c r="Q38066" s="8"/>
    </row>
    <row r="38067" spans="17:17" x14ac:dyDescent="0.25">
      <c r="Q38067" s="8"/>
    </row>
    <row r="38068" spans="17:17" x14ac:dyDescent="0.25">
      <c r="Q38068" s="8"/>
    </row>
    <row r="38069" spans="17:17" x14ac:dyDescent="0.25">
      <c r="Q38069" s="8"/>
    </row>
    <row r="38070" spans="17:17" x14ac:dyDescent="0.25">
      <c r="Q38070" s="8"/>
    </row>
    <row r="38071" spans="17:17" x14ac:dyDescent="0.25">
      <c r="Q38071" s="8"/>
    </row>
    <row r="38072" spans="17:17" x14ac:dyDescent="0.25">
      <c r="Q38072" s="8"/>
    </row>
    <row r="38073" spans="17:17" x14ac:dyDescent="0.25">
      <c r="Q38073" s="8"/>
    </row>
    <row r="38074" spans="17:17" x14ac:dyDescent="0.25">
      <c r="Q38074" s="8"/>
    </row>
    <row r="38075" spans="17:17" x14ac:dyDescent="0.25">
      <c r="Q38075" s="8"/>
    </row>
    <row r="38076" spans="17:17" x14ac:dyDescent="0.25">
      <c r="Q38076" s="8"/>
    </row>
    <row r="38077" spans="17:17" x14ac:dyDescent="0.25">
      <c r="Q38077" s="8"/>
    </row>
    <row r="38078" spans="17:17" x14ac:dyDescent="0.25">
      <c r="Q38078" s="8"/>
    </row>
    <row r="38079" spans="17:17" x14ac:dyDescent="0.25">
      <c r="Q38079" s="8"/>
    </row>
    <row r="38080" spans="17:17" x14ac:dyDescent="0.25">
      <c r="Q38080" s="8"/>
    </row>
    <row r="38081" spans="17:17" x14ac:dyDescent="0.25">
      <c r="Q38081" s="8"/>
    </row>
    <row r="38082" spans="17:17" x14ac:dyDescent="0.25">
      <c r="Q38082" s="8"/>
    </row>
    <row r="38083" spans="17:17" x14ac:dyDescent="0.25">
      <c r="Q38083" s="8"/>
    </row>
    <row r="38084" spans="17:17" x14ac:dyDescent="0.25">
      <c r="Q38084" s="8"/>
    </row>
    <row r="38085" spans="17:17" x14ac:dyDescent="0.25">
      <c r="Q38085" s="8"/>
    </row>
    <row r="38086" spans="17:17" x14ac:dyDescent="0.25">
      <c r="Q38086" s="8"/>
    </row>
    <row r="38087" spans="17:17" x14ac:dyDescent="0.25">
      <c r="Q38087" s="8"/>
    </row>
    <row r="38088" spans="17:17" x14ac:dyDescent="0.25">
      <c r="Q38088" s="8"/>
    </row>
    <row r="38089" spans="17:17" x14ac:dyDescent="0.25">
      <c r="Q38089" s="8"/>
    </row>
    <row r="38090" spans="17:17" x14ac:dyDescent="0.25">
      <c r="Q38090" s="8"/>
    </row>
    <row r="38091" spans="17:17" x14ac:dyDescent="0.25">
      <c r="Q38091" s="8"/>
    </row>
    <row r="38092" spans="17:17" x14ac:dyDescent="0.25">
      <c r="Q38092" s="8"/>
    </row>
    <row r="38093" spans="17:17" x14ac:dyDescent="0.25">
      <c r="Q38093" s="8"/>
    </row>
    <row r="38094" spans="17:17" x14ac:dyDescent="0.25">
      <c r="Q38094" s="8"/>
    </row>
    <row r="38095" spans="17:17" x14ac:dyDescent="0.25">
      <c r="Q38095" s="8"/>
    </row>
    <row r="38096" spans="17:17" x14ac:dyDescent="0.25">
      <c r="Q38096" s="8"/>
    </row>
    <row r="38097" spans="17:17" x14ac:dyDescent="0.25">
      <c r="Q38097" s="8"/>
    </row>
    <row r="38098" spans="17:17" x14ac:dyDescent="0.25">
      <c r="Q38098" s="8"/>
    </row>
    <row r="38099" spans="17:17" x14ac:dyDescent="0.25">
      <c r="Q38099" s="8"/>
    </row>
    <row r="38100" spans="17:17" x14ac:dyDescent="0.25">
      <c r="Q38100" s="8"/>
    </row>
    <row r="38101" spans="17:17" x14ac:dyDescent="0.25">
      <c r="Q38101" s="8"/>
    </row>
    <row r="38102" spans="17:17" x14ac:dyDescent="0.25">
      <c r="Q38102" s="8"/>
    </row>
    <row r="38103" spans="17:17" x14ac:dyDescent="0.25">
      <c r="Q38103" s="8"/>
    </row>
    <row r="38104" spans="17:17" x14ac:dyDescent="0.25">
      <c r="Q38104" s="8"/>
    </row>
    <row r="38105" spans="17:17" x14ac:dyDescent="0.25">
      <c r="Q38105" s="8"/>
    </row>
    <row r="38106" spans="17:17" x14ac:dyDescent="0.25">
      <c r="Q38106" s="8"/>
    </row>
    <row r="38107" spans="17:17" x14ac:dyDescent="0.25">
      <c r="Q38107" s="8"/>
    </row>
    <row r="38108" spans="17:17" x14ac:dyDescent="0.25">
      <c r="Q38108" s="8"/>
    </row>
    <row r="38109" spans="17:17" x14ac:dyDescent="0.25">
      <c r="Q38109" s="8"/>
    </row>
    <row r="38110" spans="17:17" x14ac:dyDescent="0.25">
      <c r="Q38110" s="8"/>
    </row>
    <row r="38111" spans="17:17" x14ac:dyDescent="0.25">
      <c r="Q38111" s="8"/>
    </row>
    <row r="38112" spans="17:17" x14ac:dyDescent="0.25">
      <c r="Q38112" s="8"/>
    </row>
    <row r="38113" spans="17:17" x14ac:dyDescent="0.25">
      <c r="Q38113" s="8"/>
    </row>
    <row r="38114" spans="17:17" x14ac:dyDescent="0.25">
      <c r="Q38114" s="8"/>
    </row>
    <row r="38115" spans="17:17" x14ac:dyDescent="0.25">
      <c r="Q38115" s="8"/>
    </row>
    <row r="38116" spans="17:17" x14ac:dyDescent="0.25">
      <c r="Q38116" s="8"/>
    </row>
    <row r="38117" spans="17:17" x14ac:dyDescent="0.25">
      <c r="Q38117" s="8"/>
    </row>
    <row r="38118" spans="17:17" x14ac:dyDescent="0.25">
      <c r="Q38118" s="8"/>
    </row>
    <row r="38119" spans="17:17" x14ac:dyDescent="0.25">
      <c r="Q38119" s="8"/>
    </row>
    <row r="38120" spans="17:17" x14ac:dyDescent="0.25">
      <c r="Q38120" s="8"/>
    </row>
    <row r="38121" spans="17:17" x14ac:dyDescent="0.25">
      <c r="Q38121" s="8"/>
    </row>
    <row r="38122" spans="17:17" x14ac:dyDescent="0.25">
      <c r="Q38122" s="8"/>
    </row>
    <row r="38123" spans="17:17" x14ac:dyDescent="0.25">
      <c r="Q38123" s="8"/>
    </row>
    <row r="38124" spans="17:17" x14ac:dyDescent="0.25">
      <c r="Q38124" s="8"/>
    </row>
    <row r="38125" spans="17:17" x14ac:dyDescent="0.25">
      <c r="Q38125" s="8"/>
    </row>
    <row r="38126" spans="17:17" x14ac:dyDescent="0.25">
      <c r="Q38126" s="8"/>
    </row>
    <row r="38127" spans="17:17" x14ac:dyDescent="0.25">
      <c r="Q38127" s="8"/>
    </row>
    <row r="38128" spans="17:17" x14ac:dyDescent="0.25">
      <c r="Q38128" s="8"/>
    </row>
    <row r="38129" spans="17:17" x14ac:dyDescent="0.25">
      <c r="Q38129" s="8"/>
    </row>
    <row r="38130" spans="17:17" x14ac:dyDescent="0.25">
      <c r="Q38130" s="8"/>
    </row>
    <row r="38131" spans="17:17" x14ac:dyDescent="0.25">
      <c r="Q38131" s="8"/>
    </row>
    <row r="38132" spans="17:17" x14ac:dyDescent="0.25">
      <c r="Q38132" s="8"/>
    </row>
    <row r="38133" spans="17:17" x14ac:dyDescent="0.25">
      <c r="Q38133" s="8"/>
    </row>
    <row r="38134" spans="17:17" x14ac:dyDescent="0.25">
      <c r="Q38134" s="8"/>
    </row>
    <row r="38135" spans="17:17" x14ac:dyDescent="0.25">
      <c r="Q38135" s="8"/>
    </row>
    <row r="38136" spans="17:17" x14ac:dyDescent="0.25">
      <c r="Q38136" s="8"/>
    </row>
    <row r="38137" spans="17:17" x14ac:dyDescent="0.25">
      <c r="Q38137" s="8"/>
    </row>
    <row r="38138" spans="17:17" x14ac:dyDescent="0.25">
      <c r="Q38138" s="8"/>
    </row>
    <row r="38139" spans="17:17" x14ac:dyDescent="0.25">
      <c r="Q38139" s="8"/>
    </row>
    <row r="38140" spans="17:17" x14ac:dyDescent="0.25">
      <c r="Q38140" s="8"/>
    </row>
    <row r="38141" spans="17:17" x14ac:dyDescent="0.25">
      <c r="Q38141" s="8"/>
    </row>
    <row r="38142" spans="17:17" x14ac:dyDescent="0.25">
      <c r="Q38142" s="8"/>
    </row>
    <row r="38143" spans="17:17" x14ac:dyDescent="0.25">
      <c r="Q38143" s="8"/>
    </row>
    <row r="38144" spans="17:17" x14ac:dyDescent="0.25">
      <c r="Q38144" s="8"/>
    </row>
    <row r="38145" spans="17:17" x14ac:dyDescent="0.25">
      <c r="Q38145" s="8"/>
    </row>
    <row r="38146" spans="17:17" x14ac:dyDescent="0.25">
      <c r="Q38146" s="8"/>
    </row>
    <row r="38147" spans="17:17" x14ac:dyDescent="0.25">
      <c r="Q38147" s="8"/>
    </row>
    <row r="38148" spans="17:17" x14ac:dyDescent="0.25">
      <c r="Q38148" s="8"/>
    </row>
    <row r="38149" spans="17:17" x14ac:dyDescent="0.25">
      <c r="Q38149" s="8"/>
    </row>
    <row r="38150" spans="17:17" x14ac:dyDescent="0.25">
      <c r="Q38150" s="8"/>
    </row>
    <row r="38151" spans="17:17" x14ac:dyDescent="0.25">
      <c r="Q38151" s="8"/>
    </row>
    <row r="38152" spans="17:17" x14ac:dyDescent="0.25">
      <c r="Q38152" s="8"/>
    </row>
    <row r="38153" spans="17:17" x14ac:dyDescent="0.25">
      <c r="Q38153" s="8"/>
    </row>
    <row r="38154" spans="17:17" x14ac:dyDescent="0.25">
      <c r="Q38154" s="8"/>
    </row>
    <row r="38155" spans="17:17" x14ac:dyDescent="0.25">
      <c r="Q38155" s="8"/>
    </row>
    <row r="38156" spans="17:17" x14ac:dyDescent="0.25">
      <c r="Q38156" s="8"/>
    </row>
    <row r="38157" spans="17:17" x14ac:dyDescent="0.25">
      <c r="Q38157" s="8"/>
    </row>
    <row r="38158" spans="17:17" x14ac:dyDescent="0.25">
      <c r="Q38158" s="8"/>
    </row>
    <row r="38159" spans="17:17" x14ac:dyDescent="0.25">
      <c r="Q38159" s="8"/>
    </row>
    <row r="38160" spans="17:17" x14ac:dyDescent="0.25">
      <c r="Q38160" s="8"/>
    </row>
    <row r="38161" spans="17:17" x14ac:dyDescent="0.25">
      <c r="Q38161" s="8"/>
    </row>
    <row r="38162" spans="17:17" x14ac:dyDescent="0.25">
      <c r="Q38162" s="8"/>
    </row>
    <row r="38163" spans="17:17" x14ac:dyDescent="0.25">
      <c r="Q38163" s="8"/>
    </row>
    <row r="38164" spans="17:17" x14ac:dyDescent="0.25">
      <c r="Q38164" s="8"/>
    </row>
    <row r="38165" spans="17:17" x14ac:dyDescent="0.25">
      <c r="Q38165" s="8"/>
    </row>
    <row r="38166" spans="17:17" x14ac:dyDescent="0.25">
      <c r="Q38166" s="8"/>
    </row>
    <row r="38167" spans="17:17" x14ac:dyDescent="0.25">
      <c r="Q38167" s="8"/>
    </row>
    <row r="38168" spans="17:17" x14ac:dyDescent="0.25">
      <c r="Q38168" s="8"/>
    </row>
    <row r="38169" spans="17:17" x14ac:dyDescent="0.25">
      <c r="Q38169" s="8"/>
    </row>
    <row r="38170" spans="17:17" x14ac:dyDescent="0.25">
      <c r="Q38170" s="8"/>
    </row>
    <row r="38171" spans="17:17" x14ac:dyDescent="0.25">
      <c r="Q38171" s="8"/>
    </row>
    <row r="38172" spans="17:17" x14ac:dyDescent="0.25">
      <c r="Q38172" s="8"/>
    </row>
    <row r="38173" spans="17:17" x14ac:dyDescent="0.25">
      <c r="Q38173" s="8"/>
    </row>
    <row r="38174" spans="17:17" x14ac:dyDescent="0.25">
      <c r="Q38174" s="8"/>
    </row>
    <row r="38175" spans="17:17" x14ac:dyDescent="0.25">
      <c r="Q38175" s="8"/>
    </row>
    <row r="38176" spans="17:17" x14ac:dyDescent="0.25">
      <c r="Q38176" s="8"/>
    </row>
    <row r="38177" spans="17:17" x14ac:dyDescent="0.25">
      <c r="Q38177" s="8"/>
    </row>
    <row r="38178" spans="17:17" x14ac:dyDescent="0.25">
      <c r="Q38178" s="8"/>
    </row>
    <row r="38179" spans="17:17" x14ac:dyDescent="0.25">
      <c r="Q38179" s="8"/>
    </row>
    <row r="38180" spans="17:17" x14ac:dyDescent="0.25">
      <c r="Q38180" s="8"/>
    </row>
    <row r="38181" spans="17:17" x14ac:dyDescent="0.25">
      <c r="Q38181" s="8"/>
    </row>
    <row r="38182" spans="17:17" x14ac:dyDescent="0.25">
      <c r="Q38182" s="8"/>
    </row>
    <row r="38183" spans="17:17" x14ac:dyDescent="0.25">
      <c r="Q38183" s="8"/>
    </row>
    <row r="38184" spans="17:17" x14ac:dyDescent="0.25">
      <c r="Q38184" s="8"/>
    </row>
    <row r="38185" spans="17:17" x14ac:dyDescent="0.25">
      <c r="Q38185" s="8"/>
    </row>
    <row r="38186" spans="17:17" x14ac:dyDescent="0.25">
      <c r="Q38186" s="8"/>
    </row>
    <row r="38187" spans="17:17" x14ac:dyDescent="0.25">
      <c r="Q38187" s="8"/>
    </row>
    <row r="38188" spans="17:17" x14ac:dyDescent="0.25">
      <c r="Q38188" s="8"/>
    </row>
    <row r="38189" spans="17:17" x14ac:dyDescent="0.25">
      <c r="Q38189" s="8"/>
    </row>
    <row r="38190" spans="17:17" x14ac:dyDescent="0.25">
      <c r="Q38190" s="8"/>
    </row>
    <row r="38191" spans="17:17" x14ac:dyDescent="0.25">
      <c r="Q38191" s="8"/>
    </row>
    <row r="38192" spans="17:17" x14ac:dyDescent="0.25">
      <c r="Q38192" s="8"/>
    </row>
    <row r="38193" spans="17:17" x14ac:dyDescent="0.25">
      <c r="Q38193" s="8"/>
    </row>
    <row r="38194" spans="17:17" x14ac:dyDescent="0.25">
      <c r="Q38194" s="8"/>
    </row>
    <row r="38195" spans="17:17" x14ac:dyDescent="0.25">
      <c r="Q38195" s="8"/>
    </row>
    <row r="38196" spans="17:17" x14ac:dyDescent="0.25">
      <c r="Q38196" s="8"/>
    </row>
    <row r="38197" spans="17:17" x14ac:dyDescent="0.25">
      <c r="Q38197" s="8"/>
    </row>
    <row r="38198" spans="17:17" x14ac:dyDescent="0.25">
      <c r="Q38198" s="8"/>
    </row>
    <row r="38199" spans="17:17" x14ac:dyDescent="0.25">
      <c r="Q38199" s="8"/>
    </row>
    <row r="38200" spans="17:17" x14ac:dyDescent="0.25">
      <c r="Q38200" s="8"/>
    </row>
    <row r="38201" spans="17:17" x14ac:dyDescent="0.25">
      <c r="Q38201" s="8"/>
    </row>
    <row r="38202" spans="17:17" x14ac:dyDescent="0.25">
      <c r="Q38202" s="8"/>
    </row>
    <row r="38203" spans="17:17" x14ac:dyDescent="0.25">
      <c r="Q38203" s="8"/>
    </row>
    <row r="38204" spans="17:17" x14ac:dyDescent="0.25">
      <c r="Q38204" s="8"/>
    </row>
    <row r="38205" spans="17:17" x14ac:dyDescent="0.25">
      <c r="Q38205" s="8"/>
    </row>
    <row r="38206" spans="17:17" x14ac:dyDescent="0.25">
      <c r="Q38206" s="8"/>
    </row>
    <row r="38207" spans="17:17" x14ac:dyDescent="0.25">
      <c r="Q38207" s="8"/>
    </row>
    <row r="38208" spans="17:17" x14ac:dyDescent="0.25">
      <c r="Q38208" s="8"/>
    </row>
    <row r="38209" spans="17:17" x14ac:dyDescent="0.25">
      <c r="Q38209" s="8"/>
    </row>
    <row r="38210" spans="17:17" x14ac:dyDescent="0.25">
      <c r="Q38210" s="8"/>
    </row>
    <row r="38211" spans="17:17" x14ac:dyDescent="0.25">
      <c r="Q38211" s="8"/>
    </row>
    <row r="38212" spans="17:17" x14ac:dyDescent="0.25">
      <c r="Q38212" s="8"/>
    </row>
    <row r="38213" spans="17:17" x14ac:dyDescent="0.25">
      <c r="Q38213" s="8"/>
    </row>
    <row r="38214" spans="17:17" x14ac:dyDescent="0.25">
      <c r="Q38214" s="8"/>
    </row>
    <row r="38215" spans="17:17" x14ac:dyDescent="0.25">
      <c r="Q38215" s="8"/>
    </row>
    <row r="38216" spans="17:17" x14ac:dyDescent="0.25">
      <c r="Q38216" s="8"/>
    </row>
    <row r="38217" spans="17:17" x14ac:dyDescent="0.25">
      <c r="Q38217" s="8"/>
    </row>
    <row r="38218" spans="17:17" x14ac:dyDescent="0.25">
      <c r="Q38218" s="8"/>
    </row>
    <row r="38219" spans="17:17" x14ac:dyDescent="0.25">
      <c r="Q38219" s="8"/>
    </row>
    <row r="38220" spans="17:17" x14ac:dyDescent="0.25">
      <c r="Q38220" s="8"/>
    </row>
    <row r="38221" spans="17:17" x14ac:dyDescent="0.25">
      <c r="Q38221" s="8"/>
    </row>
    <row r="38222" spans="17:17" x14ac:dyDescent="0.25">
      <c r="Q38222" s="8"/>
    </row>
    <row r="38223" spans="17:17" x14ac:dyDescent="0.25">
      <c r="Q38223" s="8"/>
    </row>
    <row r="38224" spans="17:17" x14ac:dyDescent="0.25">
      <c r="Q38224" s="8"/>
    </row>
    <row r="38225" spans="17:17" x14ac:dyDescent="0.25">
      <c r="Q38225" s="8"/>
    </row>
    <row r="38226" spans="17:17" x14ac:dyDescent="0.25">
      <c r="Q38226" s="8"/>
    </row>
    <row r="38227" spans="17:17" x14ac:dyDescent="0.25">
      <c r="Q38227" s="8"/>
    </row>
    <row r="38228" spans="17:17" x14ac:dyDescent="0.25">
      <c r="Q38228" s="8"/>
    </row>
    <row r="38229" spans="17:17" x14ac:dyDescent="0.25">
      <c r="Q38229" s="8"/>
    </row>
    <row r="38230" spans="17:17" x14ac:dyDescent="0.25">
      <c r="Q38230" s="8"/>
    </row>
    <row r="38231" spans="17:17" x14ac:dyDescent="0.25">
      <c r="Q38231" s="8"/>
    </row>
    <row r="38232" spans="17:17" x14ac:dyDescent="0.25">
      <c r="Q38232" s="8"/>
    </row>
    <row r="38233" spans="17:17" x14ac:dyDescent="0.25">
      <c r="Q38233" s="8"/>
    </row>
    <row r="38234" spans="17:17" x14ac:dyDescent="0.25">
      <c r="Q38234" s="8"/>
    </row>
    <row r="38235" spans="17:17" x14ac:dyDescent="0.25">
      <c r="Q38235" s="8"/>
    </row>
    <row r="38236" spans="17:17" x14ac:dyDescent="0.25">
      <c r="Q38236" s="8"/>
    </row>
    <row r="38237" spans="17:17" x14ac:dyDescent="0.25">
      <c r="Q38237" s="8"/>
    </row>
    <row r="38238" spans="17:17" x14ac:dyDescent="0.25">
      <c r="Q38238" s="8"/>
    </row>
    <row r="38239" spans="17:17" x14ac:dyDescent="0.25">
      <c r="Q38239" s="8"/>
    </row>
    <row r="38240" spans="17:17" x14ac:dyDescent="0.25">
      <c r="Q38240" s="8"/>
    </row>
    <row r="38241" spans="17:17" x14ac:dyDescent="0.25">
      <c r="Q38241" s="8"/>
    </row>
    <row r="38242" spans="17:17" x14ac:dyDescent="0.25">
      <c r="Q38242" s="8"/>
    </row>
    <row r="38243" spans="17:17" x14ac:dyDescent="0.25">
      <c r="Q38243" s="8"/>
    </row>
    <row r="38244" spans="17:17" x14ac:dyDescent="0.25">
      <c r="Q38244" s="8"/>
    </row>
    <row r="38245" spans="17:17" x14ac:dyDescent="0.25">
      <c r="Q38245" s="8"/>
    </row>
    <row r="38246" spans="17:17" x14ac:dyDescent="0.25">
      <c r="Q38246" s="8"/>
    </row>
    <row r="38247" spans="17:17" x14ac:dyDescent="0.25">
      <c r="Q38247" s="8"/>
    </row>
    <row r="38248" spans="17:17" x14ac:dyDescent="0.25">
      <c r="Q38248" s="8"/>
    </row>
    <row r="38249" spans="17:17" x14ac:dyDescent="0.25">
      <c r="Q38249" s="8"/>
    </row>
    <row r="38250" spans="17:17" x14ac:dyDescent="0.25">
      <c r="Q38250" s="8"/>
    </row>
    <row r="38251" spans="17:17" x14ac:dyDescent="0.25">
      <c r="Q38251" s="8"/>
    </row>
    <row r="38252" spans="17:17" x14ac:dyDescent="0.25">
      <c r="Q38252" s="8"/>
    </row>
    <row r="38253" spans="17:17" x14ac:dyDescent="0.25">
      <c r="Q38253" s="8"/>
    </row>
    <row r="38254" spans="17:17" x14ac:dyDescent="0.25">
      <c r="Q38254" s="8"/>
    </row>
    <row r="38255" spans="17:17" x14ac:dyDescent="0.25">
      <c r="Q38255" s="8"/>
    </row>
    <row r="38256" spans="17:17" x14ac:dyDescent="0.25">
      <c r="Q38256" s="8"/>
    </row>
    <row r="38257" spans="17:17" x14ac:dyDescent="0.25">
      <c r="Q38257" s="8"/>
    </row>
    <row r="38258" spans="17:17" x14ac:dyDescent="0.25">
      <c r="Q38258" s="8"/>
    </row>
    <row r="38259" spans="17:17" x14ac:dyDescent="0.25">
      <c r="Q38259" s="8"/>
    </row>
    <row r="38260" spans="17:17" x14ac:dyDescent="0.25">
      <c r="Q38260" s="8"/>
    </row>
    <row r="38261" spans="17:17" x14ac:dyDescent="0.25">
      <c r="Q38261" s="8"/>
    </row>
    <row r="38262" spans="17:17" x14ac:dyDescent="0.25">
      <c r="Q38262" s="8"/>
    </row>
    <row r="38263" spans="17:17" x14ac:dyDescent="0.25">
      <c r="Q38263" s="8"/>
    </row>
    <row r="38264" spans="17:17" x14ac:dyDescent="0.25">
      <c r="Q38264" s="8"/>
    </row>
    <row r="38265" spans="17:17" x14ac:dyDescent="0.25">
      <c r="Q38265" s="8"/>
    </row>
    <row r="38266" spans="17:17" x14ac:dyDescent="0.25">
      <c r="Q38266" s="8"/>
    </row>
    <row r="38267" spans="17:17" x14ac:dyDescent="0.25">
      <c r="Q38267" s="8"/>
    </row>
    <row r="38268" spans="17:17" x14ac:dyDescent="0.25">
      <c r="Q38268" s="8"/>
    </row>
    <row r="38269" spans="17:17" x14ac:dyDescent="0.25">
      <c r="Q38269" s="8"/>
    </row>
    <row r="38270" spans="17:17" x14ac:dyDescent="0.25">
      <c r="Q38270" s="8"/>
    </row>
    <row r="38271" spans="17:17" x14ac:dyDescent="0.25">
      <c r="Q38271" s="8"/>
    </row>
    <row r="38272" spans="17:17" x14ac:dyDescent="0.25">
      <c r="Q38272" s="8"/>
    </row>
    <row r="38273" spans="17:17" x14ac:dyDescent="0.25">
      <c r="Q38273" s="8"/>
    </row>
    <row r="38274" spans="17:17" x14ac:dyDescent="0.25">
      <c r="Q38274" s="8"/>
    </row>
    <row r="38275" spans="17:17" x14ac:dyDescent="0.25">
      <c r="Q38275" s="8"/>
    </row>
    <row r="38276" spans="17:17" x14ac:dyDescent="0.25">
      <c r="Q38276" s="8"/>
    </row>
    <row r="38277" spans="17:17" x14ac:dyDescent="0.25">
      <c r="Q38277" s="8"/>
    </row>
    <row r="38278" spans="17:17" x14ac:dyDescent="0.25">
      <c r="Q38278" s="8"/>
    </row>
    <row r="38279" spans="17:17" x14ac:dyDescent="0.25">
      <c r="Q38279" s="8"/>
    </row>
    <row r="38280" spans="17:17" x14ac:dyDescent="0.25">
      <c r="Q38280" s="8"/>
    </row>
    <row r="38281" spans="17:17" x14ac:dyDescent="0.25">
      <c r="Q38281" s="8"/>
    </row>
    <row r="38282" spans="17:17" x14ac:dyDescent="0.25">
      <c r="Q38282" s="8"/>
    </row>
    <row r="38283" spans="17:17" x14ac:dyDescent="0.25">
      <c r="Q38283" s="8"/>
    </row>
    <row r="38284" spans="17:17" x14ac:dyDescent="0.25">
      <c r="Q38284" s="8"/>
    </row>
    <row r="38285" spans="17:17" x14ac:dyDescent="0.25">
      <c r="Q38285" s="8"/>
    </row>
    <row r="38286" spans="17:17" x14ac:dyDescent="0.25">
      <c r="Q38286" s="8"/>
    </row>
    <row r="38287" spans="17:17" x14ac:dyDescent="0.25">
      <c r="Q38287" s="8"/>
    </row>
    <row r="38288" spans="17:17" x14ac:dyDescent="0.25">
      <c r="Q38288" s="8"/>
    </row>
    <row r="38289" spans="17:17" x14ac:dyDescent="0.25">
      <c r="Q38289" s="8"/>
    </row>
    <row r="38290" spans="17:17" x14ac:dyDescent="0.25">
      <c r="Q38290" s="8"/>
    </row>
    <row r="38291" spans="17:17" x14ac:dyDescent="0.25">
      <c r="Q38291" s="8"/>
    </row>
    <row r="38292" spans="17:17" x14ac:dyDescent="0.25">
      <c r="Q38292" s="8"/>
    </row>
    <row r="38293" spans="17:17" x14ac:dyDescent="0.25">
      <c r="Q38293" s="8"/>
    </row>
    <row r="38294" spans="17:17" x14ac:dyDescent="0.25">
      <c r="Q38294" s="8"/>
    </row>
    <row r="38295" spans="17:17" x14ac:dyDescent="0.25">
      <c r="Q38295" s="8"/>
    </row>
    <row r="38296" spans="17:17" x14ac:dyDescent="0.25">
      <c r="Q38296" s="8"/>
    </row>
    <row r="38297" spans="17:17" x14ac:dyDescent="0.25">
      <c r="Q38297" s="8"/>
    </row>
    <row r="38298" spans="17:17" x14ac:dyDescent="0.25">
      <c r="Q38298" s="8"/>
    </row>
    <row r="38299" spans="17:17" x14ac:dyDescent="0.25">
      <c r="Q38299" s="8"/>
    </row>
    <row r="38300" spans="17:17" x14ac:dyDescent="0.25">
      <c r="Q38300" s="8"/>
    </row>
    <row r="38301" spans="17:17" x14ac:dyDescent="0.25">
      <c r="Q38301" s="8"/>
    </row>
    <row r="38302" spans="17:17" x14ac:dyDescent="0.25">
      <c r="Q38302" s="8"/>
    </row>
    <row r="38303" spans="17:17" x14ac:dyDescent="0.25">
      <c r="Q38303" s="8"/>
    </row>
    <row r="38304" spans="17:17" x14ac:dyDescent="0.25">
      <c r="Q38304" s="8"/>
    </row>
    <row r="38305" spans="17:17" x14ac:dyDescent="0.25">
      <c r="Q38305" s="8"/>
    </row>
    <row r="38306" spans="17:17" x14ac:dyDescent="0.25">
      <c r="Q38306" s="8"/>
    </row>
    <row r="38307" spans="17:17" x14ac:dyDescent="0.25">
      <c r="Q38307" s="8"/>
    </row>
    <row r="38308" spans="17:17" x14ac:dyDescent="0.25">
      <c r="Q38308" s="8"/>
    </row>
    <row r="38309" spans="17:17" x14ac:dyDescent="0.25">
      <c r="Q38309" s="8"/>
    </row>
    <row r="38310" spans="17:17" x14ac:dyDescent="0.25">
      <c r="Q38310" s="8"/>
    </row>
    <row r="38311" spans="17:17" x14ac:dyDescent="0.25">
      <c r="Q38311" s="8"/>
    </row>
    <row r="38312" spans="17:17" x14ac:dyDescent="0.25">
      <c r="Q38312" s="8"/>
    </row>
    <row r="38313" spans="17:17" x14ac:dyDescent="0.25">
      <c r="Q38313" s="8"/>
    </row>
    <row r="38314" spans="17:17" x14ac:dyDescent="0.25">
      <c r="Q38314" s="8"/>
    </row>
    <row r="38315" spans="17:17" x14ac:dyDescent="0.25">
      <c r="Q38315" s="8"/>
    </row>
    <row r="38316" spans="17:17" x14ac:dyDescent="0.25">
      <c r="Q38316" s="8"/>
    </row>
    <row r="38317" spans="17:17" x14ac:dyDescent="0.25">
      <c r="Q38317" s="8"/>
    </row>
    <row r="38318" spans="17:17" x14ac:dyDescent="0.25">
      <c r="Q38318" s="8"/>
    </row>
    <row r="38319" spans="17:17" x14ac:dyDescent="0.25">
      <c r="Q38319" s="8"/>
    </row>
    <row r="38320" spans="17:17" x14ac:dyDescent="0.25">
      <c r="Q38320" s="8"/>
    </row>
    <row r="38321" spans="17:17" x14ac:dyDescent="0.25">
      <c r="Q38321" s="8"/>
    </row>
    <row r="38322" spans="17:17" x14ac:dyDescent="0.25">
      <c r="Q38322" s="8"/>
    </row>
    <row r="38323" spans="17:17" x14ac:dyDescent="0.25">
      <c r="Q38323" s="8"/>
    </row>
    <row r="38324" spans="17:17" x14ac:dyDescent="0.25">
      <c r="Q38324" s="8"/>
    </row>
    <row r="38325" spans="17:17" x14ac:dyDescent="0.25">
      <c r="Q38325" s="8"/>
    </row>
    <row r="38326" spans="17:17" x14ac:dyDescent="0.25">
      <c r="Q38326" s="8"/>
    </row>
    <row r="38327" spans="17:17" x14ac:dyDescent="0.25">
      <c r="Q38327" s="8"/>
    </row>
    <row r="38328" spans="17:17" x14ac:dyDescent="0.25">
      <c r="Q38328" s="8"/>
    </row>
    <row r="38329" spans="17:17" x14ac:dyDescent="0.25">
      <c r="Q38329" s="8"/>
    </row>
    <row r="38330" spans="17:17" x14ac:dyDescent="0.25">
      <c r="Q38330" s="8"/>
    </row>
    <row r="38331" spans="17:17" x14ac:dyDescent="0.25">
      <c r="Q38331" s="8"/>
    </row>
    <row r="38332" spans="17:17" x14ac:dyDescent="0.25">
      <c r="Q38332" s="8"/>
    </row>
    <row r="38333" spans="17:17" x14ac:dyDescent="0.25">
      <c r="Q38333" s="8"/>
    </row>
    <row r="38334" spans="17:17" x14ac:dyDescent="0.25">
      <c r="Q38334" s="8"/>
    </row>
    <row r="38335" spans="17:17" x14ac:dyDescent="0.25">
      <c r="Q38335" s="8"/>
    </row>
    <row r="38336" spans="17:17" x14ac:dyDescent="0.25">
      <c r="Q38336" s="8"/>
    </row>
    <row r="38337" spans="17:17" x14ac:dyDescent="0.25">
      <c r="Q38337" s="8"/>
    </row>
    <row r="38338" spans="17:17" x14ac:dyDescent="0.25">
      <c r="Q38338" s="8"/>
    </row>
    <row r="38339" spans="17:17" x14ac:dyDescent="0.25">
      <c r="Q38339" s="8"/>
    </row>
    <row r="38340" spans="17:17" x14ac:dyDescent="0.25">
      <c r="Q38340" s="8"/>
    </row>
    <row r="38341" spans="17:17" x14ac:dyDescent="0.25">
      <c r="Q38341" s="8"/>
    </row>
    <row r="38342" spans="17:17" x14ac:dyDescent="0.25">
      <c r="Q38342" s="8"/>
    </row>
    <row r="38343" spans="17:17" x14ac:dyDescent="0.25">
      <c r="Q38343" s="8"/>
    </row>
    <row r="38344" spans="17:17" x14ac:dyDescent="0.25">
      <c r="Q38344" s="8"/>
    </row>
    <row r="38345" spans="17:17" x14ac:dyDescent="0.25">
      <c r="Q38345" s="8"/>
    </row>
    <row r="38346" spans="17:17" x14ac:dyDescent="0.25">
      <c r="Q38346" s="8"/>
    </row>
    <row r="38347" spans="17:17" x14ac:dyDescent="0.25">
      <c r="Q38347" s="8"/>
    </row>
    <row r="38348" spans="17:17" x14ac:dyDescent="0.25">
      <c r="Q38348" s="8"/>
    </row>
    <row r="38349" spans="17:17" x14ac:dyDescent="0.25">
      <c r="Q38349" s="8"/>
    </row>
    <row r="38350" spans="17:17" x14ac:dyDescent="0.25">
      <c r="Q38350" s="8"/>
    </row>
    <row r="38351" spans="17:17" x14ac:dyDescent="0.25">
      <c r="Q38351" s="8"/>
    </row>
    <row r="38352" spans="17:17" x14ac:dyDescent="0.25">
      <c r="Q38352" s="8"/>
    </row>
    <row r="38353" spans="17:17" x14ac:dyDescent="0.25">
      <c r="Q38353" s="8"/>
    </row>
    <row r="38354" spans="17:17" x14ac:dyDescent="0.25">
      <c r="Q38354" s="8"/>
    </row>
    <row r="38355" spans="17:17" x14ac:dyDescent="0.25">
      <c r="Q38355" s="8"/>
    </row>
    <row r="38356" spans="17:17" x14ac:dyDescent="0.25">
      <c r="Q38356" s="8"/>
    </row>
    <row r="38357" spans="17:17" x14ac:dyDescent="0.25">
      <c r="Q38357" s="8"/>
    </row>
    <row r="38358" spans="17:17" x14ac:dyDescent="0.25">
      <c r="Q38358" s="8"/>
    </row>
    <row r="38359" spans="17:17" x14ac:dyDescent="0.25">
      <c r="Q38359" s="8"/>
    </row>
    <row r="38360" spans="17:17" x14ac:dyDescent="0.25">
      <c r="Q38360" s="8"/>
    </row>
    <row r="38361" spans="17:17" x14ac:dyDescent="0.25">
      <c r="Q38361" s="8"/>
    </row>
    <row r="38362" spans="17:17" x14ac:dyDescent="0.25">
      <c r="Q38362" s="8"/>
    </row>
    <row r="38363" spans="17:17" x14ac:dyDescent="0.25">
      <c r="Q38363" s="8"/>
    </row>
    <row r="38364" spans="17:17" x14ac:dyDescent="0.25">
      <c r="Q38364" s="8"/>
    </row>
    <row r="38365" spans="17:17" x14ac:dyDescent="0.25">
      <c r="Q38365" s="8"/>
    </row>
    <row r="38366" spans="17:17" x14ac:dyDescent="0.25">
      <c r="Q38366" s="8"/>
    </row>
    <row r="38367" spans="17:17" x14ac:dyDescent="0.25">
      <c r="Q38367" s="8"/>
    </row>
    <row r="38368" spans="17:17" x14ac:dyDescent="0.25">
      <c r="Q38368" s="8"/>
    </row>
    <row r="38369" spans="17:17" x14ac:dyDescent="0.25">
      <c r="Q38369" s="8"/>
    </row>
    <row r="38370" spans="17:17" x14ac:dyDescent="0.25">
      <c r="Q38370" s="8"/>
    </row>
    <row r="38371" spans="17:17" x14ac:dyDescent="0.25">
      <c r="Q38371" s="8"/>
    </row>
    <row r="38372" spans="17:17" x14ac:dyDescent="0.25">
      <c r="Q38372" s="8"/>
    </row>
    <row r="38373" spans="17:17" x14ac:dyDescent="0.25">
      <c r="Q38373" s="8"/>
    </row>
    <row r="38374" spans="17:17" x14ac:dyDescent="0.25">
      <c r="Q38374" s="8"/>
    </row>
    <row r="38375" spans="17:17" x14ac:dyDescent="0.25">
      <c r="Q38375" s="8"/>
    </row>
    <row r="38376" spans="17:17" x14ac:dyDescent="0.25">
      <c r="Q38376" s="8"/>
    </row>
    <row r="38377" spans="17:17" x14ac:dyDescent="0.25">
      <c r="Q38377" s="8"/>
    </row>
    <row r="38378" spans="17:17" x14ac:dyDescent="0.25">
      <c r="Q38378" s="8"/>
    </row>
    <row r="38379" spans="17:17" x14ac:dyDescent="0.25">
      <c r="Q38379" s="8"/>
    </row>
    <row r="38380" spans="17:17" x14ac:dyDescent="0.25">
      <c r="Q38380" s="8"/>
    </row>
    <row r="38381" spans="17:17" x14ac:dyDescent="0.25">
      <c r="Q38381" s="8"/>
    </row>
    <row r="38382" spans="17:17" x14ac:dyDescent="0.25">
      <c r="Q38382" s="8"/>
    </row>
    <row r="38383" spans="17:17" x14ac:dyDescent="0.25">
      <c r="Q38383" s="8"/>
    </row>
    <row r="38384" spans="17:17" x14ac:dyDescent="0.25">
      <c r="Q38384" s="8"/>
    </row>
    <row r="38385" spans="17:17" x14ac:dyDescent="0.25">
      <c r="Q38385" s="8"/>
    </row>
    <row r="38386" spans="17:17" x14ac:dyDescent="0.25">
      <c r="Q38386" s="8"/>
    </row>
    <row r="38387" spans="17:17" x14ac:dyDescent="0.25">
      <c r="Q38387" s="8"/>
    </row>
    <row r="38388" spans="17:17" x14ac:dyDescent="0.25">
      <c r="Q38388" s="8"/>
    </row>
    <row r="38389" spans="17:17" x14ac:dyDescent="0.25">
      <c r="Q38389" s="8"/>
    </row>
    <row r="38390" spans="17:17" x14ac:dyDescent="0.25">
      <c r="Q38390" s="8"/>
    </row>
    <row r="38391" spans="17:17" x14ac:dyDescent="0.25">
      <c r="Q38391" s="8"/>
    </row>
    <row r="38392" spans="17:17" x14ac:dyDescent="0.25">
      <c r="Q38392" s="8"/>
    </row>
    <row r="38393" spans="17:17" x14ac:dyDescent="0.25">
      <c r="Q38393" s="8"/>
    </row>
    <row r="38394" spans="17:17" x14ac:dyDescent="0.25">
      <c r="Q38394" s="8"/>
    </row>
    <row r="38395" spans="17:17" x14ac:dyDescent="0.25">
      <c r="Q38395" s="8"/>
    </row>
    <row r="38396" spans="17:17" x14ac:dyDescent="0.25">
      <c r="Q38396" s="8"/>
    </row>
    <row r="38397" spans="17:17" x14ac:dyDescent="0.25">
      <c r="Q38397" s="8"/>
    </row>
    <row r="38398" spans="17:17" x14ac:dyDescent="0.25">
      <c r="Q38398" s="8"/>
    </row>
    <row r="38399" spans="17:17" x14ac:dyDescent="0.25">
      <c r="Q38399" s="8"/>
    </row>
    <row r="38400" spans="17:17" x14ac:dyDescent="0.25">
      <c r="Q38400" s="8"/>
    </row>
    <row r="38401" spans="17:17" x14ac:dyDescent="0.25">
      <c r="Q38401" s="8"/>
    </row>
    <row r="38402" spans="17:17" x14ac:dyDescent="0.25">
      <c r="Q38402" s="8"/>
    </row>
    <row r="38403" spans="17:17" x14ac:dyDescent="0.25">
      <c r="Q38403" s="8"/>
    </row>
    <row r="38404" spans="17:17" x14ac:dyDescent="0.25">
      <c r="Q38404" s="8"/>
    </row>
    <row r="38405" spans="17:17" x14ac:dyDescent="0.25">
      <c r="Q38405" s="8"/>
    </row>
    <row r="38406" spans="17:17" x14ac:dyDescent="0.25">
      <c r="Q38406" s="8"/>
    </row>
    <row r="38407" spans="17:17" x14ac:dyDescent="0.25">
      <c r="Q38407" s="8"/>
    </row>
    <row r="38408" spans="17:17" x14ac:dyDescent="0.25">
      <c r="Q38408" s="8"/>
    </row>
    <row r="38409" spans="17:17" x14ac:dyDescent="0.25">
      <c r="Q38409" s="8"/>
    </row>
    <row r="38410" spans="17:17" x14ac:dyDescent="0.25">
      <c r="Q38410" s="8"/>
    </row>
    <row r="38411" spans="17:17" x14ac:dyDescent="0.25">
      <c r="Q38411" s="8"/>
    </row>
    <row r="38412" spans="17:17" x14ac:dyDescent="0.25">
      <c r="Q38412" s="8"/>
    </row>
    <row r="38413" spans="17:17" x14ac:dyDescent="0.25">
      <c r="Q38413" s="8"/>
    </row>
    <row r="38414" spans="17:17" x14ac:dyDescent="0.25">
      <c r="Q38414" s="8"/>
    </row>
    <row r="38415" spans="17:17" x14ac:dyDescent="0.25">
      <c r="Q38415" s="8"/>
    </row>
    <row r="38416" spans="17:17" x14ac:dyDescent="0.25">
      <c r="Q38416" s="8"/>
    </row>
    <row r="38417" spans="17:17" x14ac:dyDescent="0.25">
      <c r="Q38417" s="8"/>
    </row>
    <row r="38418" spans="17:17" x14ac:dyDescent="0.25">
      <c r="Q38418" s="8"/>
    </row>
    <row r="38419" spans="17:17" x14ac:dyDescent="0.25">
      <c r="Q38419" s="8"/>
    </row>
    <row r="38420" spans="17:17" x14ac:dyDescent="0.25">
      <c r="Q38420" s="8"/>
    </row>
    <row r="38421" spans="17:17" x14ac:dyDescent="0.25">
      <c r="Q38421" s="8"/>
    </row>
    <row r="38422" spans="17:17" x14ac:dyDescent="0.25">
      <c r="Q38422" s="8"/>
    </row>
    <row r="38423" spans="17:17" x14ac:dyDescent="0.25">
      <c r="Q38423" s="8"/>
    </row>
    <row r="38424" spans="17:17" x14ac:dyDescent="0.25">
      <c r="Q38424" s="8"/>
    </row>
    <row r="38425" spans="17:17" x14ac:dyDescent="0.25">
      <c r="Q38425" s="8"/>
    </row>
    <row r="38426" spans="17:17" x14ac:dyDescent="0.25">
      <c r="Q38426" s="8"/>
    </row>
    <row r="38427" spans="17:17" x14ac:dyDescent="0.25">
      <c r="Q38427" s="8"/>
    </row>
    <row r="38428" spans="17:17" x14ac:dyDescent="0.25">
      <c r="Q38428" s="8"/>
    </row>
    <row r="38429" spans="17:17" x14ac:dyDescent="0.25">
      <c r="Q38429" s="8"/>
    </row>
    <row r="38430" spans="17:17" x14ac:dyDescent="0.25">
      <c r="Q38430" s="8"/>
    </row>
    <row r="38431" spans="17:17" x14ac:dyDescent="0.25">
      <c r="Q38431" s="8"/>
    </row>
    <row r="38432" spans="17:17" x14ac:dyDescent="0.25">
      <c r="Q38432" s="8"/>
    </row>
    <row r="38433" spans="17:17" x14ac:dyDescent="0.25">
      <c r="Q38433" s="8"/>
    </row>
    <row r="38434" spans="17:17" x14ac:dyDescent="0.25">
      <c r="Q38434" s="8"/>
    </row>
    <row r="38435" spans="17:17" x14ac:dyDescent="0.25">
      <c r="Q38435" s="8"/>
    </row>
    <row r="38436" spans="17:17" x14ac:dyDescent="0.25">
      <c r="Q38436" s="8"/>
    </row>
    <row r="38437" spans="17:17" x14ac:dyDescent="0.25">
      <c r="Q38437" s="8"/>
    </row>
    <row r="38438" spans="17:17" x14ac:dyDescent="0.25">
      <c r="Q38438" s="8"/>
    </row>
    <row r="38439" spans="17:17" x14ac:dyDescent="0.25">
      <c r="Q38439" s="8"/>
    </row>
    <row r="38440" spans="17:17" x14ac:dyDescent="0.25">
      <c r="Q38440" s="8"/>
    </row>
    <row r="38441" spans="17:17" x14ac:dyDescent="0.25">
      <c r="Q38441" s="8"/>
    </row>
    <row r="38442" spans="17:17" x14ac:dyDescent="0.25">
      <c r="Q38442" s="8"/>
    </row>
    <row r="38443" spans="17:17" x14ac:dyDescent="0.25">
      <c r="Q38443" s="8"/>
    </row>
    <row r="38444" spans="17:17" x14ac:dyDescent="0.25">
      <c r="Q38444" s="8"/>
    </row>
    <row r="38445" spans="17:17" x14ac:dyDescent="0.25">
      <c r="Q38445" s="8"/>
    </row>
    <row r="38446" spans="17:17" x14ac:dyDescent="0.25">
      <c r="Q38446" s="8"/>
    </row>
    <row r="38447" spans="17:17" x14ac:dyDescent="0.25">
      <c r="Q38447" s="8"/>
    </row>
    <row r="38448" spans="17:17" x14ac:dyDescent="0.25">
      <c r="Q38448" s="8"/>
    </row>
    <row r="38449" spans="17:17" x14ac:dyDescent="0.25">
      <c r="Q38449" s="8"/>
    </row>
    <row r="38450" spans="17:17" x14ac:dyDescent="0.25">
      <c r="Q38450" s="8"/>
    </row>
    <row r="38451" spans="17:17" x14ac:dyDescent="0.25">
      <c r="Q38451" s="8"/>
    </row>
    <row r="38452" spans="17:17" x14ac:dyDescent="0.25">
      <c r="Q38452" s="8"/>
    </row>
    <row r="38453" spans="17:17" x14ac:dyDescent="0.25">
      <c r="Q38453" s="8"/>
    </row>
    <row r="38454" spans="17:17" x14ac:dyDescent="0.25">
      <c r="Q38454" s="8"/>
    </row>
    <row r="38455" spans="17:17" x14ac:dyDescent="0.25">
      <c r="Q38455" s="8"/>
    </row>
    <row r="38456" spans="17:17" x14ac:dyDescent="0.25">
      <c r="Q38456" s="8"/>
    </row>
    <row r="38457" spans="17:17" x14ac:dyDescent="0.25">
      <c r="Q38457" s="8"/>
    </row>
    <row r="38458" spans="17:17" x14ac:dyDescent="0.25">
      <c r="Q38458" s="8"/>
    </row>
    <row r="38459" spans="17:17" x14ac:dyDescent="0.25">
      <c r="Q38459" s="8"/>
    </row>
    <row r="38460" spans="17:17" x14ac:dyDescent="0.25">
      <c r="Q38460" s="8"/>
    </row>
    <row r="38461" spans="17:17" x14ac:dyDescent="0.25">
      <c r="Q38461" s="8"/>
    </row>
    <row r="38462" spans="17:17" x14ac:dyDescent="0.25">
      <c r="Q38462" s="8"/>
    </row>
    <row r="38463" spans="17:17" x14ac:dyDescent="0.25">
      <c r="Q38463" s="8"/>
    </row>
    <row r="38464" spans="17:17" x14ac:dyDescent="0.25">
      <c r="Q38464" s="8"/>
    </row>
    <row r="38465" spans="17:17" x14ac:dyDescent="0.25">
      <c r="Q38465" s="8"/>
    </row>
    <row r="38466" spans="17:17" x14ac:dyDescent="0.25">
      <c r="Q38466" s="8"/>
    </row>
    <row r="38467" spans="17:17" x14ac:dyDescent="0.25">
      <c r="Q38467" s="8"/>
    </row>
    <row r="38468" spans="17:17" x14ac:dyDescent="0.25">
      <c r="Q38468" s="8"/>
    </row>
    <row r="38469" spans="17:17" x14ac:dyDescent="0.25">
      <c r="Q38469" s="8"/>
    </row>
    <row r="38470" spans="17:17" x14ac:dyDescent="0.25">
      <c r="Q38470" s="8"/>
    </row>
    <row r="38471" spans="17:17" x14ac:dyDescent="0.25">
      <c r="Q38471" s="8"/>
    </row>
    <row r="38472" spans="17:17" x14ac:dyDescent="0.25">
      <c r="Q38472" s="8"/>
    </row>
    <row r="38473" spans="17:17" x14ac:dyDescent="0.25">
      <c r="Q38473" s="8"/>
    </row>
    <row r="38474" spans="17:17" x14ac:dyDescent="0.25">
      <c r="Q38474" s="8"/>
    </row>
    <row r="38475" spans="17:17" x14ac:dyDescent="0.25">
      <c r="Q38475" s="8"/>
    </row>
    <row r="38476" spans="17:17" x14ac:dyDescent="0.25">
      <c r="Q38476" s="8"/>
    </row>
    <row r="38477" spans="17:17" x14ac:dyDescent="0.25">
      <c r="Q38477" s="8"/>
    </row>
    <row r="38478" spans="17:17" x14ac:dyDescent="0.25">
      <c r="Q38478" s="8"/>
    </row>
    <row r="38479" spans="17:17" x14ac:dyDescent="0.25">
      <c r="Q38479" s="8"/>
    </row>
    <row r="38480" spans="17:17" x14ac:dyDescent="0.25">
      <c r="Q38480" s="8"/>
    </row>
    <row r="38481" spans="17:17" x14ac:dyDescent="0.25">
      <c r="Q38481" s="8"/>
    </row>
    <row r="38482" spans="17:17" x14ac:dyDescent="0.25">
      <c r="Q38482" s="8"/>
    </row>
    <row r="38483" spans="17:17" x14ac:dyDescent="0.25">
      <c r="Q38483" s="8"/>
    </row>
    <row r="38484" spans="17:17" x14ac:dyDescent="0.25">
      <c r="Q38484" s="8"/>
    </row>
    <row r="38485" spans="17:17" x14ac:dyDescent="0.25">
      <c r="Q38485" s="8"/>
    </row>
    <row r="38486" spans="17:17" x14ac:dyDescent="0.25">
      <c r="Q38486" s="8"/>
    </row>
    <row r="38487" spans="17:17" x14ac:dyDescent="0.25">
      <c r="Q38487" s="8"/>
    </row>
    <row r="38488" spans="17:17" x14ac:dyDescent="0.25">
      <c r="Q38488" s="8"/>
    </row>
    <row r="38489" spans="17:17" x14ac:dyDescent="0.25">
      <c r="Q38489" s="8"/>
    </row>
    <row r="38490" spans="17:17" x14ac:dyDescent="0.25">
      <c r="Q38490" s="8"/>
    </row>
    <row r="38491" spans="17:17" x14ac:dyDescent="0.25">
      <c r="Q38491" s="8"/>
    </row>
    <row r="38492" spans="17:17" x14ac:dyDescent="0.25">
      <c r="Q38492" s="8"/>
    </row>
    <row r="38493" spans="17:17" x14ac:dyDescent="0.25">
      <c r="Q38493" s="8"/>
    </row>
    <row r="38494" spans="17:17" x14ac:dyDescent="0.25">
      <c r="Q38494" s="8"/>
    </row>
    <row r="38495" spans="17:17" x14ac:dyDescent="0.25">
      <c r="Q38495" s="8"/>
    </row>
    <row r="38496" spans="17:17" x14ac:dyDescent="0.25">
      <c r="Q38496" s="8"/>
    </row>
    <row r="38497" spans="17:17" x14ac:dyDescent="0.25">
      <c r="Q38497" s="8"/>
    </row>
    <row r="38498" spans="17:17" x14ac:dyDescent="0.25">
      <c r="Q38498" s="8"/>
    </row>
    <row r="38499" spans="17:17" x14ac:dyDescent="0.25">
      <c r="Q38499" s="8"/>
    </row>
    <row r="38500" spans="17:17" x14ac:dyDescent="0.25">
      <c r="Q38500" s="8"/>
    </row>
    <row r="38501" spans="17:17" x14ac:dyDescent="0.25">
      <c r="Q38501" s="8"/>
    </row>
    <row r="38502" spans="17:17" x14ac:dyDescent="0.25">
      <c r="Q38502" s="8"/>
    </row>
    <row r="38503" spans="17:17" x14ac:dyDescent="0.25">
      <c r="Q38503" s="8"/>
    </row>
    <row r="38504" spans="17:17" x14ac:dyDescent="0.25">
      <c r="Q38504" s="8"/>
    </row>
    <row r="38505" spans="17:17" x14ac:dyDescent="0.25">
      <c r="Q38505" s="8"/>
    </row>
    <row r="38506" spans="17:17" x14ac:dyDescent="0.25">
      <c r="Q38506" s="8"/>
    </row>
    <row r="38507" spans="17:17" x14ac:dyDescent="0.25">
      <c r="Q38507" s="8"/>
    </row>
    <row r="38508" spans="17:17" x14ac:dyDescent="0.25">
      <c r="Q38508" s="8"/>
    </row>
    <row r="38509" spans="17:17" x14ac:dyDescent="0.25">
      <c r="Q38509" s="8"/>
    </row>
    <row r="38510" spans="17:17" x14ac:dyDescent="0.25">
      <c r="Q38510" s="8"/>
    </row>
    <row r="38511" spans="17:17" x14ac:dyDescent="0.25">
      <c r="Q38511" s="8"/>
    </row>
    <row r="38512" spans="17:17" x14ac:dyDescent="0.25">
      <c r="Q38512" s="8"/>
    </row>
    <row r="38513" spans="17:17" x14ac:dyDescent="0.25">
      <c r="Q38513" s="8"/>
    </row>
    <row r="38514" spans="17:17" x14ac:dyDescent="0.25">
      <c r="Q38514" s="8"/>
    </row>
    <row r="38515" spans="17:17" x14ac:dyDescent="0.25">
      <c r="Q38515" s="8"/>
    </row>
    <row r="38516" spans="17:17" x14ac:dyDescent="0.25">
      <c r="Q38516" s="8"/>
    </row>
    <row r="38517" spans="17:17" x14ac:dyDescent="0.25">
      <c r="Q38517" s="8"/>
    </row>
    <row r="38518" spans="17:17" x14ac:dyDescent="0.25">
      <c r="Q38518" s="8"/>
    </row>
    <row r="38519" spans="17:17" x14ac:dyDescent="0.25">
      <c r="Q38519" s="8"/>
    </row>
    <row r="38520" spans="17:17" x14ac:dyDescent="0.25">
      <c r="Q38520" s="8"/>
    </row>
    <row r="38521" spans="17:17" x14ac:dyDescent="0.25">
      <c r="Q38521" s="8"/>
    </row>
    <row r="38522" spans="17:17" x14ac:dyDescent="0.25">
      <c r="Q38522" s="8"/>
    </row>
    <row r="38523" spans="17:17" x14ac:dyDescent="0.25">
      <c r="Q38523" s="8"/>
    </row>
    <row r="38524" spans="17:17" x14ac:dyDescent="0.25">
      <c r="Q38524" s="8"/>
    </row>
    <row r="38525" spans="17:17" x14ac:dyDescent="0.25">
      <c r="Q38525" s="8"/>
    </row>
    <row r="38526" spans="17:17" x14ac:dyDescent="0.25">
      <c r="Q38526" s="8"/>
    </row>
    <row r="38527" spans="17:17" x14ac:dyDescent="0.25">
      <c r="Q38527" s="8"/>
    </row>
    <row r="38528" spans="17:17" x14ac:dyDescent="0.25">
      <c r="Q38528" s="8"/>
    </row>
    <row r="38529" spans="17:17" x14ac:dyDescent="0.25">
      <c r="Q38529" s="8"/>
    </row>
    <row r="38530" spans="17:17" x14ac:dyDescent="0.25">
      <c r="Q38530" s="8"/>
    </row>
    <row r="38531" spans="17:17" x14ac:dyDescent="0.25">
      <c r="Q38531" s="8"/>
    </row>
    <row r="38532" spans="17:17" x14ac:dyDescent="0.25">
      <c r="Q38532" s="8"/>
    </row>
    <row r="38533" spans="17:17" x14ac:dyDescent="0.25">
      <c r="Q38533" s="8"/>
    </row>
    <row r="38534" spans="17:17" x14ac:dyDescent="0.25">
      <c r="Q38534" s="8"/>
    </row>
    <row r="38535" spans="17:17" x14ac:dyDescent="0.25">
      <c r="Q38535" s="8"/>
    </row>
    <row r="38536" spans="17:17" x14ac:dyDescent="0.25">
      <c r="Q38536" s="8"/>
    </row>
    <row r="38537" spans="17:17" x14ac:dyDescent="0.25">
      <c r="Q38537" s="8"/>
    </row>
    <row r="38538" spans="17:17" x14ac:dyDescent="0.25">
      <c r="Q38538" s="8"/>
    </row>
    <row r="38539" spans="17:17" x14ac:dyDescent="0.25">
      <c r="Q38539" s="8"/>
    </row>
    <row r="38540" spans="17:17" x14ac:dyDescent="0.25">
      <c r="Q38540" s="8"/>
    </row>
    <row r="38541" spans="17:17" x14ac:dyDescent="0.25">
      <c r="Q38541" s="8"/>
    </row>
    <row r="38542" spans="17:17" x14ac:dyDescent="0.25">
      <c r="Q38542" s="8"/>
    </row>
    <row r="38543" spans="17:17" x14ac:dyDescent="0.25">
      <c r="Q38543" s="8"/>
    </row>
    <row r="38544" spans="17:17" x14ac:dyDescent="0.25">
      <c r="Q38544" s="8"/>
    </row>
    <row r="38545" spans="17:17" x14ac:dyDescent="0.25">
      <c r="Q38545" s="8"/>
    </row>
    <row r="38546" spans="17:17" x14ac:dyDescent="0.25">
      <c r="Q38546" s="8"/>
    </row>
    <row r="38547" spans="17:17" x14ac:dyDescent="0.25">
      <c r="Q38547" s="8"/>
    </row>
    <row r="38548" spans="17:17" x14ac:dyDescent="0.25">
      <c r="Q38548" s="8"/>
    </row>
    <row r="38549" spans="17:17" x14ac:dyDescent="0.25">
      <c r="Q38549" s="8"/>
    </row>
    <row r="38550" spans="17:17" x14ac:dyDescent="0.25">
      <c r="Q38550" s="8"/>
    </row>
    <row r="38551" spans="17:17" x14ac:dyDescent="0.25">
      <c r="Q38551" s="8"/>
    </row>
    <row r="38552" spans="17:17" x14ac:dyDescent="0.25">
      <c r="Q38552" s="8"/>
    </row>
    <row r="38553" spans="17:17" x14ac:dyDescent="0.25">
      <c r="Q38553" s="8"/>
    </row>
    <row r="38554" spans="17:17" x14ac:dyDescent="0.25">
      <c r="Q38554" s="8"/>
    </row>
    <row r="38555" spans="17:17" x14ac:dyDescent="0.25">
      <c r="Q38555" s="8"/>
    </row>
    <row r="38556" spans="17:17" x14ac:dyDescent="0.25">
      <c r="Q38556" s="8"/>
    </row>
    <row r="38557" spans="17:17" x14ac:dyDescent="0.25">
      <c r="Q38557" s="8"/>
    </row>
    <row r="38558" spans="17:17" x14ac:dyDescent="0.25">
      <c r="Q38558" s="8"/>
    </row>
    <row r="38559" spans="17:17" x14ac:dyDescent="0.25">
      <c r="Q38559" s="8"/>
    </row>
    <row r="38560" spans="17:17" x14ac:dyDescent="0.25">
      <c r="Q38560" s="8"/>
    </row>
    <row r="38561" spans="17:17" x14ac:dyDescent="0.25">
      <c r="Q38561" s="8"/>
    </row>
    <row r="38562" spans="17:17" x14ac:dyDescent="0.25">
      <c r="Q38562" s="8"/>
    </row>
    <row r="38563" spans="17:17" x14ac:dyDescent="0.25">
      <c r="Q38563" s="8"/>
    </row>
    <row r="38564" spans="17:17" x14ac:dyDescent="0.25">
      <c r="Q38564" s="8"/>
    </row>
    <row r="38565" spans="17:17" x14ac:dyDescent="0.25">
      <c r="Q38565" s="8"/>
    </row>
    <row r="38566" spans="17:17" x14ac:dyDescent="0.25">
      <c r="Q38566" s="8"/>
    </row>
    <row r="38567" spans="17:17" x14ac:dyDescent="0.25">
      <c r="Q38567" s="8"/>
    </row>
    <row r="38568" spans="17:17" x14ac:dyDescent="0.25">
      <c r="Q38568" s="8"/>
    </row>
    <row r="38569" spans="17:17" x14ac:dyDescent="0.25">
      <c r="Q38569" s="8"/>
    </row>
    <row r="38570" spans="17:17" x14ac:dyDescent="0.25">
      <c r="Q38570" s="8"/>
    </row>
    <row r="38571" spans="17:17" x14ac:dyDescent="0.25">
      <c r="Q38571" s="8"/>
    </row>
    <row r="38572" spans="17:17" x14ac:dyDescent="0.25">
      <c r="Q38572" s="8"/>
    </row>
    <row r="38573" spans="17:17" x14ac:dyDescent="0.25">
      <c r="Q38573" s="8"/>
    </row>
    <row r="38574" spans="17:17" x14ac:dyDescent="0.25">
      <c r="Q38574" s="8"/>
    </row>
    <row r="38575" spans="17:17" x14ac:dyDescent="0.25">
      <c r="Q38575" s="8"/>
    </row>
    <row r="38576" spans="17:17" x14ac:dyDescent="0.25">
      <c r="Q38576" s="8"/>
    </row>
    <row r="38577" spans="17:17" x14ac:dyDescent="0.25">
      <c r="Q38577" s="8"/>
    </row>
    <row r="38578" spans="17:17" x14ac:dyDescent="0.25">
      <c r="Q38578" s="8"/>
    </row>
    <row r="38579" spans="17:17" x14ac:dyDescent="0.25">
      <c r="Q38579" s="8"/>
    </row>
    <row r="38580" spans="17:17" x14ac:dyDescent="0.25">
      <c r="Q38580" s="8"/>
    </row>
    <row r="38581" spans="17:17" x14ac:dyDescent="0.25">
      <c r="Q38581" s="8"/>
    </row>
    <row r="38582" spans="17:17" x14ac:dyDescent="0.25">
      <c r="Q38582" s="8"/>
    </row>
    <row r="38583" spans="17:17" x14ac:dyDescent="0.25">
      <c r="Q38583" s="8"/>
    </row>
    <row r="38584" spans="17:17" x14ac:dyDescent="0.25">
      <c r="Q38584" s="8"/>
    </row>
    <row r="38585" spans="17:17" x14ac:dyDescent="0.25">
      <c r="Q38585" s="8"/>
    </row>
    <row r="38586" spans="17:17" x14ac:dyDescent="0.25">
      <c r="Q38586" s="8"/>
    </row>
    <row r="38587" spans="17:17" x14ac:dyDescent="0.25">
      <c r="Q38587" s="8"/>
    </row>
    <row r="38588" spans="17:17" x14ac:dyDescent="0.25">
      <c r="Q38588" s="8"/>
    </row>
    <row r="38589" spans="17:17" x14ac:dyDescent="0.25">
      <c r="Q38589" s="8"/>
    </row>
    <row r="38590" spans="17:17" x14ac:dyDescent="0.25">
      <c r="Q38590" s="8"/>
    </row>
    <row r="38591" spans="17:17" x14ac:dyDescent="0.25">
      <c r="Q38591" s="8"/>
    </row>
    <row r="38592" spans="17:17" x14ac:dyDescent="0.25">
      <c r="Q38592" s="8"/>
    </row>
    <row r="38593" spans="17:17" x14ac:dyDescent="0.25">
      <c r="Q38593" s="8"/>
    </row>
    <row r="38594" spans="17:17" x14ac:dyDescent="0.25">
      <c r="Q38594" s="8"/>
    </row>
    <row r="38595" spans="17:17" x14ac:dyDescent="0.25">
      <c r="Q38595" s="8"/>
    </row>
    <row r="38596" spans="17:17" x14ac:dyDescent="0.25">
      <c r="Q38596" s="8"/>
    </row>
    <row r="38597" spans="17:17" x14ac:dyDescent="0.25">
      <c r="Q38597" s="8"/>
    </row>
    <row r="38598" spans="17:17" x14ac:dyDescent="0.25">
      <c r="Q38598" s="8"/>
    </row>
    <row r="38599" spans="17:17" x14ac:dyDescent="0.25">
      <c r="Q38599" s="8"/>
    </row>
    <row r="38600" spans="17:17" x14ac:dyDescent="0.25">
      <c r="Q38600" s="8"/>
    </row>
    <row r="38601" spans="17:17" x14ac:dyDescent="0.25">
      <c r="Q38601" s="8"/>
    </row>
    <row r="38602" spans="17:17" x14ac:dyDescent="0.25">
      <c r="Q38602" s="8"/>
    </row>
    <row r="38603" spans="17:17" x14ac:dyDescent="0.25">
      <c r="Q38603" s="8"/>
    </row>
    <row r="38604" spans="17:17" x14ac:dyDescent="0.25">
      <c r="Q38604" s="8"/>
    </row>
    <row r="38605" spans="17:17" x14ac:dyDescent="0.25">
      <c r="Q38605" s="8"/>
    </row>
    <row r="38606" spans="17:17" x14ac:dyDescent="0.25">
      <c r="Q38606" s="8"/>
    </row>
    <row r="38607" spans="17:17" x14ac:dyDescent="0.25">
      <c r="Q38607" s="8"/>
    </row>
    <row r="38608" spans="17:17" x14ac:dyDescent="0.25">
      <c r="Q38608" s="8"/>
    </row>
    <row r="38609" spans="17:17" x14ac:dyDescent="0.25">
      <c r="Q38609" s="8"/>
    </row>
    <row r="38610" spans="17:17" x14ac:dyDescent="0.25">
      <c r="Q38610" s="8"/>
    </row>
    <row r="38611" spans="17:17" x14ac:dyDescent="0.25">
      <c r="Q38611" s="8"/>
    </row>
    <row r="38612" spans="17:17" x14ac:dyDescent="0.25">
      <c r="Q38612" s="8"/>
    </row>
    <row r="38613" spans="17:17" x14ac:dyDescent="0.25">
      <c r="Q38613" s="8"/>
    </row>
    <row r="38614" spans="17:17" x14ac:dyDescent="0.25">
      <c r="Q38614" s="8"/>
    </row>
    <row r="38615" spans="17:17" x14ac:dyDescent="0.25">
      <c r="Q38615" s="8"/>
    </row>
    <row r="38616" spans="17:17" x14ac:dyDescent="0.25">
      <c r="Q38616" s="8"/>
    </row>
    <row r="38617" spans="17:17" x14ac:dyDescent="0.25">
      <c r="Q38617" s="8"/>
    </row>
    <row r="38618" spans="17:17" x14ac:dyDescent="0.25">
      <c r="Q38618" s="8"/>
    </row>
    <row r="38619" spans="17:17" x14ac:dyDescent="0.25">
      <c r="Q38619" s="8"/>
    </row>
    <row r="38620" spans="17:17" x14ac:dyDescent="0.25">
      <c r="Q38620" s="8"/>
    </row>
    <row r="38621" spans="17:17" x14ac:dyDescent="0.25">
      <c r="Q38621" s="8"/>
    </row>
    <row r="38622" spans="17:17" x14ac:dyDescent="0.25">
      <c r="Q38622" s="8"/>
    </row>
    <row r="38623" spans="17:17" x14ac:dyDescent="0.25">
      <c r="Q38623" s="8"/>
    </row>
    <row r="38624" spans="17:17" x14ac:dyDescent="0.25">
      <c r="Q38624" s="8"/>
    </row>
    <row r="38625" spans="17:17" x14ac:dyDescent="0.25">
      <c r="Q38625" s="8"/>
    </row>
    <row r="38626" spans="17:17" x14ac:dyDescent="0.25">
      <c r="Q38626" s="8"/>
    </row>
    <row r="38627" spans="17:17" x14ac:dyDescent="0.25">
      <c r="Q38627" s="8"/>
    </row>
    <row r="38628" spans="17:17" x14ac:dyDescent="0.25">
      <c r="Q38628" s="8"/>
    </row>
    <row r="38629" spans="17:17" x14ac:dyDescent="0.25">
      <c r="Q38629" s="8"/>
    </row>
    <row r="38630" spans="17:17" x14ac:dyDescent="0.25">
      <c r="Q38630" s="8"/>
    </row>
    <row r="38631" spans="17:17" x14ac:dyDescent="0.25">
      <c r="Q38631" s="8"/>
    </row>
    <row r="38632" spans="17:17" x14ac:dyDescent="0.25">
      <c r="Q38632" s="8"/>
    </row>
    <row r="38633" spans="17:17" x14ac:dyDescent="0.25">
      <c r="Q38633" s="8"/>
    </row>
    <row r="38634" spans="17:17" x14ac:dyDescent="0.25">
      <c r="Q38634" s="8"/>
    </row>
    <row r="38635" spans="17:17" x14ac:dyDescent="0.25">
      <c r="Q38635" s="8"/>
    </row>
    <row r="38636" spans="17:17" x14ac:dyDescent="0.25">
      <c r="Q38636" s="8"/>
    </row>
    <row r="38637" spans="17:17" x14ac:dyDescent="0.25">
      <c r="Q38637" s="8"/>
    </row>
    <row r="38638" spans="17:17" x14ac:dyDescent="0.25">
      <c r="Q38638" s="8"/>
    </row>
    <row r="38639" spans="17:17" x14ac:dyDescent="0.25">
      <c r="Q38639" s="8"/>
    </row>
    <row r="38640" spans="17:17" x14ac:dyDescent="0.25">
      <c r="Q38640" s="8"/>
    </row>
    <row r="38641" spans="17:17" x14ac:dyDescent="0.25">
      <c r="Q38641" s="8"/>
    </row>
    <row r="38642" spans="17:17" x14ac:dyDescent="0.25">
      <c r="Q38642" s="8"/>
    </row>
    <row r="38643" spans="17:17" x14ac:dyDescent="0.25">
      <c r="Q38643" s="8"/>
    </row>
    <row r="38644" spans="17:17" x14ac:dyDescent="0.25">
      <c r="Q38644" s="8"/>
    </row>
    <row r="38645" spans="17:17" x14ac:dyDescent="0.25">
      <c r="Q38645" s="8"/>
    </row>
    <row r="38646" spans="17:17" x14ac:dyDescent="0.25">
      <c r="Q38646" s="8"/>
    </row>
    <row r="38647" spans="17:17" x14ac:dyDescent="0.25">
      <c r="Q38647" s="8"/>
    </row>
    <row r="38648" spans="17:17" x14ac:dyDescent="0.25">
      <c r="Q38648" s="8"/>
    </row>
    <row r="38649" spans="17:17" x14ac:dyDescent="0.25">
      <c r="Q38649" s="8"/>
    </row>
    <row r="38650" spans="17:17" x14ac:dyDescent="0.25">
      <c r="Q38650" s="8"/>
    </row>
    <row r="38651" spans="17:17" x14ac:dyDescent="0.25">
      <c r="Q38651" s="8"/>
    </row>
    <row r="38652" spans="17:17" x14ac:dyDescent="0.25">
      <c r="Q38652" s="8"/>
    </row>
    <row r="38653" spans="17:17" x14ac:dyDescent="0.25">
      <c r="Q38653" s="8"/>
    </row>
    <row r="38654" spans="17:17" x14ac:dyDescent="0.25">
      <c r="Q38654" s="8"/>
    </row>
    <row r="38655" spans="17:17" x14ac:dyDescent="0.25">
      <c r="Q38655" s="8"/>
    </row>
    <row r="38656" spans="17:17" x14ac:dyDescent="0.25">
      <c r="Q38656" s="8"/>
    </row>
    <row r="38657" spans="17:17" x14ac:dyDescent="0.25">
      <c r="Q38657" s="8"/>
    </row>
    <row r="38658" spans="17:17" x14ac:dyDescent="0.25">
      <c r="Q38658" s="8"/>
    </row>
    <row r="38659" spans="17:17" x14ac:dyDescent="0.25">
      <c r="Q38659" s="8"/>
    </row>
    <row r="38660" spans="17:17" x14ac:dyDescent="0.25">
      <c r="Q38660" s="8"/>
    </row>
    <row r="38661" spans="17:17" x14ac:dyDescent="0.25">
      <c r="Q38661" s="8"/>
    </row>
    <row r="38662" spans="17:17" x14ac:dyDescent="0.25">
      <c r="Q38662" s="8"/>
    </row>
    <row r="38663" spans="17:17" x14ac:dyDescent="0.25">
      <c r="Q38663" s="8"/>
    </row>
    <row r="38664" spans="17:17" x14ac:dyDescent="0.25">
      <c r="Q38664" s="8"/>
    </row>
    <row r="38665" spans="17:17" x14ac:dyDescent="0.25">
      <c r="Q38665" s="8"/>
    </row>
    <row r="38666" spans="17:17" x14ac:dyDescent="0.25">
      <c r="Q38666" s="8"/>
    </row>
    <row r="38667" spans="17:17" x14ac:dyDescent="0.25">
      <c r="Q38667" s="8"/>
    </row>
    <row r="38668" spans="17:17" x14ac:dyDescent="0.25">
      <c r="Q38668" s="8"/>
    </row>
    <row r="38669" spans="17:17" x14ac:dyDescent="0.25">
      <c r="Q38669" s="8"/>
    </row>
    <row r="38670" spans="17:17" x14ac:dyDescent="0.25">
      <c r="Q38670" s="8"/>
    </row>
    <row r="38671" spans="17:17" x14ac:dyDescent="0.25">
      <c r="Q38671" s="8"/>
    </row>
    <row r="38672" spans="17:17" x14ac:dyDescent="0.25">
      <c r="Q38672" s="8"/>
    </row>
    <row r="38673" spans="17:17" x14ac:dyDescent="0.25">
      <c r="Q38673" s="8"/>
    </row>
    <row r="38674" spans="17:17" x14ac:dyDescent="0.25">
      <c r="Q38674" s="8"/>
    </row>
    <row r="38675" spans="17:17" x14ac:dyDescent="0.25">
      <c r="Q38675" s="8"/>
    </row>
    <row r="38676" spans="17:17" x14ac:dyDescent="0.25">
      <c r="Q38676" s="8"/>
    </row>
    <row r="38677" spans="17:17" x14ac:dyDescent="0.25">
      <c r="Q38677" s="8"/>
    </row>
    <row r="38678" spans="17:17" x14ac:dyDescent="0.25">
      <c r="Q38678" s="8"/>
    </row>
    <row r="38679" spans="17:17" x14ac:dyDescent="0.25">
      <c r="Q38679" s="8"/>
    </row>
    <row r="38680" spans="17:17" x14ac:dyDescent="0.25">
      <c r="Q38680" s="8"/>
    </row>
    <row r="38681" spans="17:17" x14ac:dyDescent="0.25">
      <c r="Q38681" s="8"/>
    </row>
    <row r="38682" spans="17:17" x14ac:dyDescent="0.25">
      <c r="Q38682" s="8"/>
    </row>
    <row r="38683" spans="17:17" x14ac:dyDescent="0.25">
      <c r="Q38683" s="8"/>
    </row>
    <row r="38684" spans="17:17" x14ac:dyDescent="0.25">
      <c r="Q38684" s="8"/>
    </row>
    <row r="38685" spans="17:17" x14ac:dyDescent="0.25">
      <c r="Q38685" s="8"/>
    </row>
    <row r="38686" spans="17:17" x14ac:dyDescent="0.25">
      <c r="Q38686" s="8"/>
    </row>
    <row r="38687" spans="17:17" x14ac:dyDescent="0.25">
      <c r="Q38687" s="8"/>
    </row>
    <row r="38688" spans="17:17" x14ac:dyDescent="0.25">
      <c r="Q38688" s="8"/>
    </row>
    <row r="38689" spans="17:17" x14ac:dyDescent="0.25">
      <c r="Q38689" s="8"/>
    </row>
    <row r="38690" spans="17:17" x14ac:dyDescent="0.25">
      <c r="Q38690" s="8"/>
    </row>
    <row r="38691" spans="17:17" x14ac:dyDescent="0.25">
      <c r="Q38691" s="8"/>
    </row>
    <row r="38692" spans="17:17" x14ac:dyDescent="0.25">
      <c r="Q38692" s="8"/>
    </row>
    <row r="38693" spans="17:17" x14ac:dyDescent="0.25">
      <c r="Q38693" s="8"/>
    </row>
    <row r="38694" spans="17:17" x14ac:dyDescent="0.25">
      <c r="Q38694" s="8"/>
    </row>
    <row r="38695" spans="17:17" x14ac:dyDescent="0.25">
      <c r="Q38695" s="8"/>
    </row>
    <row r="38696" spans="17:17" x14ac:dyDescent="0.25">
      <c r="Q38696" s="8"/>
    </row>
    <row r="38697" spans="17:17" x14ac:dyDescent="0.25">
      <c r="Q38697" s="8"/>
    </row>
    <row r="38698" spans="17:17" x14ac:dyDescent="0.25">
      <c r="Q38698" s="8"/>
    </row>
    <row r="38699" spans="17:17" x14ac:dyDescent="0.25">
      <c r="Q38699" s="8"/>
    </row>
    <row r="38700" spans="17:17" x14ac:dyDescent="0.25">
      <c r="Q38700" s="8"/>
    </row>
    <row r="38701" spans="17:17" x14ac:dyDescent="0.25">
      <c r="Q38701" s="8"/>
    </row>
    <row r="38702" spans="17:17" x14ac:dyDescent="0.25">
      <c r="Q38702" s="8"/>
    </row>
    <row r="38703" spans="17:17" x14ac:dyDescent="0.25">
      <c r="Q38703" s="8"/>
    </row>
    <row r="38704" spans="17:17" x14ac:dyDescent="0.25">
      <c r="Q38704" s="8"/>
    </row>
    <row r="38705" spans="17:17" x14ac:dyDescent="0.25">
      <c r="Q38705" s="8"/>
    </row>
    <row r="38706" spans="17:17" x14ac:dyDescent="0.25">
      <c r="Q38706" s="8"/>
    </row>
    <row r="38707" spans="17:17" x14ac:dyDescent="0.25">
      <c r="Q38707" s="8"/>
    </row>
    <row r="38708" spans="17:17" x14ac:dyDescent="0.25">
      <c r="Q38708" s="8"/>
    </row>
    <row r="38709" spans="17:17" x14ac:dyDescent="0.25">
      <c r="Q38709" s="8"/>
    </row>
    <row r="38710" spans="17:17" x14ac:dyDescent="0.25">
      <c r="Q38710" s="8"/>
    </row>
    <row r="38711" spans="17:17" x14ac:dyDescent="0.25">
      <c r="Q38711" s="8"/>
    </row>
    <row r="38712" spans="17:17" x14ac:dyDescent="0.25">
      <c r="Q38712" s="8"/>
    </row>
    <row r="38713" spans="17:17" x14ac:dyDescent="0.25">
      <c r="Q38713" s="8"/>
    </row>
    <row r="38714" spans="17:17" x14ac:dyDescent="0.25">
      <c r="Q38714" s="8"/>
    </row>
    <row r="38715" spans="17:17" x14ac:dyDescent="0.25">
      <c r="Q38715" s="8"/>
    </row>
    <row r="38716" spans="17:17" x14ac:dyDescent="0.25">
      <c r="Q38716" s="8"/>
    </row>
    <row r="38717" spans="17:17" x14ac:dyDescent="0.25">
      <c r="Q38717" s="8"/>
    </row>
    <row r="38718" spans="17:17" x14ac:dyDescent="0.25">
      <c r="Q38718" s="8"/>
    </row>
    <row r="38719" spans="17:17" x14ac:dyDescent="0.25">
      <c r="Q38719" s="8"/>
    </row>
    <row r="38720" spans="17:17" x14ac:dyDescent="0.25">
      <c r="Q38720" s="8"/>
    </row>
    <row r="38721" spans="17:17" x14ac:dyDescent="0.25">
      <c r="Q38721" s="8"/>
    </row>
    <row r="38722" spans="17:17" x14ac:dyDescent="0.25">
      <c r="Q38722" s="8"/>
    </row>
    <row r="38723" spans="17:17" x14ac:dyDescent="0.25">
      <c r="Q38723" s="8"/>
    </row>
    <row r="38724" spans="17:17" x14ac:dyDescent="0.25">
      <c r="Q38724" s="8"/>
    </row>
    <row r="38725" spans="17:17" x14ac:dyDescent="0.25">
      <c r="Q38725" s="8"/>
    </row>
    <row r="38726" spans="17:17" x14ac:dyDescent="0.25">
      <c r="Q38726" s="8"/>
    </row>
    <row r="38727" spans="17:17" x14ac:dyDescent="0.25">
      <c r="Q38727" s="8"/>
    </row>
    <row r="38728" spans="17:17" x14ac:dyDescent="0.25">
      <c r="Q38728" s="8"/>
    </row>
    <row r="38729" spans="17:17" x14ac:dyDescent="0.25">
      <c r="Q38729" s="8"/>
    </row>
    <row r="38730" spans="17:17" x14ac:dyDescent="0.25">
      <c r="Q38730" s="8"/>
    </row>
    <row r="38731" spans="17:17" x14ac:dyDescent="0.25">
      <c r="Q38731" s="8"/>
    </row>
    <row r="38732" spans="17:17" x14ac:dyDescent="0.25">
      <c r="Q38732" s="8"/>
    </row>
    <row r="38733" spans="17:17" x14ac:dyDescent="0.25">
      <c r="Q38733" s="8"/>
    </row>
    <row r="38734" spans="17:17" x14ac:dyDescent="0.25">
      <c r="Q38734" s="8"/>
    </row>
    <row r="38735" spans="17:17" x14ac:dyDescent="0.25">
      <c r="Q38735" s="8"/>
    </row>
    <row r="38736" spans="17:17" x14ac:dyDescent="0.25">
      <c r="Q38736" s="8"/>
    </row>
    <row r="38737" spans="17:17" x14ac:dyDescent="0.25">
      <c r="Q38737" s="8"/>
    </row>
    <row r="38738" spans="17:17" x14ac:dyDescent="0.25">
      <c r="Q38738" s="8"/>
    </row>
    <row r="38739" spans="17:17" x14ac:dyDescent="0.25">
      <c r="Q38739" s="8"/>
    </row>
    <row r="38740" spans="17:17" x14ac:dyDescent="0.25">
      <c r="Q38740" s="8"/>
    </row>
    <row r="38741" spans="17:17" x14ac:dyDescent="0.25">
      <c r="Q38741" s="8"/>
    </row>
    <row r="38742" spans="17:17" x14ac:dyDescent="0.25">
      <c r="Q38742" s="8"/>
    </row>
    <row r="38743" spans="17:17" x14ac:dyDescent="0.25">
      <c r="Q38743" s="8"/>
    </row>
    <row r="38744" spans="17:17" x14ac:dyDescent="0.25">
      <c r="Q38744" s="8"/>
    </row>
    <row r="38745" spans="17:17" x14ac:dyDescent="0.25">
      <c r="Q38745" s="8"/>
    </row>
    <row r="38746" spans="17:17" x14ac:dyDescent="0.25">
      <c r="Q38746" s="8"/>
    </row>
    <row r="38747" spans="17:17" x14ac:dyDescent="0.25">
      <c r="Q38747" s="8"/>
    </row>
    <row r="38748" spans="17:17" x14ac:dyDescent="0.25">
      <c r="Q38748" s="8"/>
    </row>
    <row r="38749" spans="17:17" x14ac:dyDescent="0.25">
      <c r="Q38749" s="8"/>
    </row>
    <row r="38750" spans="17:17" x14ac:dyDescent="0.25">
      <c r="Q38750" s="8"/>
    </row>
    <row r="38751" spans="17:17" x14ac:dyDescent="0.25">
      <c r="Q38751" s="8"/>
    </row>
    <row r="38752" spans="17:17" x14ac:dyDescent="0.25">
      <c r="Q38752" s="8"/>
    </row>
    <row r="38753" spans="17:17" x14ac:dyDescent="0.25">
      <c r="Q38753" s="8"/>
    </row>
    <row r="38754" spans="17:17" x14ac:dyDescent="0.25">
      <c r="Q38754" s="8"/>
    </row>
    <row r="38755" spans="17:17" x14ac:dyDescent="0.25">
      <c r="Q38755" s="8"/>
    </row>
    <row r="38756" spans="17:17" x14ac:dyDescent="0.25">
      <c r="Q38756" s="8"/>
    </row>
    <row r="38757" spans="17:17" x14ac:dyDescent="0.25">
      <c r="Q38757" s="8"/>
    </row>
    <row r="38758" spans="17:17" x14ac:dyDescent="0.25">
      <c r="Q38758" s="8"/>
    </row>
    <row r="38759" spans="17:17" x14ac:dyDescent="0.25">
      <c r="Q38759" s="8"/>
    </row>
    <row r="38760" spans="17:17" x14ac:dyDescent="0.25">
      <c r="Q38760" s="8"/>
    </row>
    <row r="38761" spans="17:17" x14ac:dyDescent="0.25">
      <c r="Q38761" s="8"/>
    </row>
    <row r="38762" spans="17:17" x14ac:dyDescent="0.25">
      <c r="Q38762" s="8"/>
    </row>
    <row r="38763" spans="17:17" x14ac:dyDescent="0.25">
      <c r="Q38763" s="8"/>
    </row>
    <row r="38764" spans="17:17" x14ac:dyDescent="0.25">
      <c r="Q38764" s="8"/>
    </row>
    <row r="38765" spans="17:17" x14ac:dyDescent="0.25">
      <c r="Q38765" s="8"/>
    </row>
    <row r="38766" spans="17:17" x14ac:dyDescent="0.25">
      <c r="Q38766" s="8"/>
    </row>
    <row r="38767" spans="17:17" x14ac:dyDescent="0.25">
      <c r="Q38767" s="8"/>
    </row>
    <row r="38768" spans="17:17" x14ac:dyDescent="0.25">
      <c r="Q38768" s="8"/>
    </row>
    <row r="38769" spans="17:17" x14ac:dyDescent="0.25">
      <c r="Q38769" s="8"/>
    </row>
    <row r="38770" spans="17:17" x14ac:dyDescent="0.25">
      <c r="Q38770" s="8"/>
    </row>
    <row r="38771" spans="17:17" x14ac:dyDescent="0.25">
      <c r="Q38771" s="8"/>
    </row>
    <row r="38772" spans="17:17" x14ac:dyDescent="0.25">
      <c r="Q38772" s="8"/>
    </row>
    <row r="38773" spans="17:17" x14ac:dyDescent="0.25">
      <c r="Q38773" s="8"/>
    </row>
    <row r="38774" spans="17:17" x14ac:dyDescent="0.25">
      <c r="Q38774" s="8"/>
    </row>
    <row r="38775" spans="17:17" x14ac:dyDescent="0.25">
      <c r="Q38775" s="8"/>
    </row>
    <row r="38776" spans="17:17" x14ac:dyDescent="0.25">
      <c r="Q38776" s="8"/>
    </row>
    <row r="38777" spans="17:17" x14ac:dyDescent="0.25">
      <c r="Q38777" s="8"/>
    </row>
    <row r="38778" spans="17:17" x14ac:dyDescent="0.25">
      <c r="Q38778" s="8"/>
    </row>
    <row r="38779" spans="17:17" x14ac:dyDescent="0.25">
      <c r="Q38779" s="8"/>
    </row>
    <row r="38780" spans="17:17" x14ac:dyDescent="0.25">
      <c r="Q38780" s="8"/>
    </row>
    <row r="38781" spans="17:17" x14ac:dyDescent="0.25">
      <c r="Q38781" s="8"/>
    </row>
    <row r="38782" spans="17:17" x14ac:dyDescent="0.25">
      <c r="Q38782" s="8"/>
    </row>
    <row r="38783" spans="17:17" x14ac:dyDescent="0.25">
      <c r="Q38783" s="8"/>
    </row>
    <row r="38784" spans="17:17" x14ac:dyDescent="0.25">
      <c r="Q38784" s="8"/>
    </row>
    <row r="38785" spans="17:17" x14ac:dyDescent="0.25">
      <c r="Q38785" s="8"/>
    </row>
    <row r="38786" spans="17:17" x14ac:dyDescent="0.25">
      <c r="Q38786" s="8"/>
    </row>
    <row r="38787" spans="17:17" x14ac:dyDescent="0.25">
      <c r="Q38787" s="8"/>
    </row>
    <row r="38788" spans="17:17" x14ac:dyDescent="0.25">
      <c r="Q38788" s="8"/>
    </row>
    <row r="38789" spans="17:17" x14ac:dyDescent="0.25">
      <c r="Q38789" s="8"/>
    </row>
    <row r="38790" spans="17:17" x14ac:dyDescent="0.25">
      <c r="Q38790" s="8"/>
    </row>
    <row r="38791" spans="17:17" x14ac:dyDescent="0.25">
      <c r="Q38791" s="8"/>
    </row>
    <row r="38792" spans="17:17" x14ac:dyDescent="0.25">
      <c r="Q38792" s="8"/>
    </row>
    <row r="38793" spans="17:17" x14ac:dyDescent="0.25">
      <c r="Q38793" s="8"/>
    </row>
    <row r="38794" spans="17:17" x14ac:dyDescent="0.25">
      <c r="Q38794" s="8"/>
    </row>
    <row r="38795" spans="17:17" x14ac:dyDescent="0.25">
      <c r="Q38795" s="8"/>
    </row>
    <row r="38796" spans="17:17" x14ac:dyDescent="0.25">
      <c r="Q38796" s="8"/>
    </row>
    <row r="38797" spans="17:17" x14ac:dyDescent="0.25">
      <c r="Q38797" s="8"/>
    </row>
    <row r="38798" spans="17:17" x14ac:dyDescent="0.25">
      <c r="Q38798" s="8"/>
    </row>
    <row r="38799" spans="17:17" x14ac:dyDescent="0.25">
      <c r="Q38799" s="8"/>
    </row>
    <row r="38800" spans="17:17" x14ac:dyDescent="0.25">
      <c r="Q38800" s="8"/>
    </row>
    <row r="38801" spans="17:17" x14ac:dyDescent="0.25">
      <c r="Q38801" s="8"/>
    </row>
    <row r="38802" spans="17:17" x14ac:dyDescent="0.25">
      <c r="Q38802" s="8"/>
    </row>
    <row r="38803" spans="17:17" x14ac:dyDescent="0.25">
      <c r="Q38803" s="8"/>
    </row>
    <row r="38804" spans="17:17" x14ac:dyDescent="0.25">
      <c r="Q38804" s="8"/>
    </row>
    <row r="38805" spans="17:17" x14ac:dyDescent="0.25">
      <c r="Q38805" s="8"/>
    </row>
    <row r="38806" spans="17:17" x14ac:dyDescent="0.25">
      <c r="Q38806" s="8"/>
    </row>
    <row r="38807" spans="17:17" x14ac:dyDescent="0.25">
      <c r="Q38807" s="8"/>
    </row>
    <row r="38808" spans="17:17" x14ac:dyDescent="0.25">
      <c r="Q38808" s="8"/>
    </row>
    <row r="38809" spans="17:17" x14ac:dyDescent="0.25">
      <c r="Q38809" s="8"/>
    </row>
    <row r="38810" spans="17:17" x14ac:dyDescent="0.25">
      <c r="Q38810" s="8"/>
    </row>
    <row r="38811" spans="17:17" x14ac:dyDescent="0.25">
      <c r="Q38811" s="8"/>
    </row>
    <row r="38812" spans="17:17" x14ac:dyDescent="0.25">
      <c r="Q38812" s="8"/>
    </row>
    <row r="38813" spans="17:17" x14ac:dyDescent="0.25">
      <c r="Q38813" s="8"/>
    </row>
    <row r="38814" spans="17:17" x14ac:dyDescent="0.25">
      <c r="Q38814" s="8"/>
    </row>
    <row r="38815" spans="17:17" x14ac:dyDescent="0.25">
      <c r="Q38815" s="8"/>
    </row>
    <row r="38816" spans="17:17" x14ac:dyDescent="0.25">
      <c r="Q38816" s="8"/>
    </row>
    <row r="38817" spans="17:17" x14ac:dyDescent="0.25">
      <c r="Q38817" s="8"/>
    </row>
    <row r="38818" spans="17:17" x14ac:dyDescent="0.25">
      <c r="Q38818" s="8"/>
    </row>
    <row r="38819" spans="17:17" x14ac:dyDescent="0.25">
      <c r="Q38819" s="8"/>
    </row>
    <row r="38820" spans="17:17" x14ac:dyDescent="0.25">
      <c r="Q38820" s="8"/>
    </row>
    <row r="38821" spans="17:17" x14ac:dyDescent="0.25">
      <c r="Q38821" s="8"/>
    </row>
    <row r="38822" spans="17:17" x14ac:dyDescent="0.25">
      <c r="Q38822" s="8"/>
    </row>
    <row r="38823" spans="17:17" x14ac:dyDescent="0.25">
      <c r="Q38823" s="8"/>
    </row>
    <row r="38824" spans="17:17" x14ac:dyDescent="0.25">
      <c r="Q38824" s="8"/>
    </row>
    <row r="38825" spans="17:17" x14ac:dyDescent="0.25">
      <c r="Q38825" s="8"/>
    </row>
    <row r="38826" spans="17:17" x14ac:dyDescent="0.25">
      <c r="Q38826" s="8"/>
    </row>
    <row r="38827" spans="17:17" x14ac:dyDescent="0.25">
      <c r="Q38827" s="8"/>
    </row>
    <row r="38828" spans="17:17" x14ac:dyDescent="0.25">
      <c r="Q38828" s="8"/>
    </row>
    <row r="38829" spans="17:17" x14ac:dyDescent="0.25">
      <c r="Q38829" s="8"/>
    </row>
    <row r="38830" spans="17:17" x14ac:dyDescent="0.25">
      <c r="Q38830" s="8"/>
    </row>
    <row r="38831" spans="17:17" x14ac:dyDescent="0.25">
      <c r="Q38831" s="8"/>
    </row>
    <row r="38832" spans="17:17" x14ac:dyDescent="0.25">
      <c r="Q38832" s="8"/>
    </row>
    <row r="38833" spans="17:17" x14ac:dyDescent="0.25">
      <c r="Q38833" s="8"/>
    </row>
    <row r="38834" spans="17:17" x14ac:dyDescent="0.25">
      <c r="Q38834" s="8"/>
    </row>
    <row r="38835" spans="17:17" x14ac:dyDescent="0.25">
      <c r="Q38835" s="8"/>
    </row>
    <row r="38836" spans="17:17" x14ac:dyDescent="0.25">
      <c r="Q38836" s="8"/>
    </row>
    <row r="38837" spans="17:17" x14ac:dyDescent="0.25">
      <c r="Q38837" s="8"/>
    </row>
    <row r="38838" spans="17:17" x14ac:dyDescent="0.25">
      <c r="Q38838" s="8"/>
    </row>
    <row r="38839" spans="17:17" x14ac:dyDescent="0.25">
      <c r="Q38839" s="8"/>
    </row>
    <row r="38840" spans="17:17" x14ac:dyDescent="0.25">
      <c r="Q38840" s="8"/>
    </row>
    <row r="38841" spans="17:17" x14ac:dyDescent="0.25">
      <c r="Q38841" s="8"/>
    </row>
    <row r="38842" spans="17:17" x14ac:dyDescent="0.25">
      <c r="Q38842" s="8"/>
    </row>
    <row r="38843" spans="17:17" x14ac:dyDescent="0.25">
      <c r="Q38843" s="8"/>
    </row>
    <row r="38844" spans="17:17" x14ac:dyDescent="0.25">
      <c r="Q38844" s="8"/>
    </row>
    <row r="38845" spans="17:17" x14ac:dyDescent="0.25">
      <c r="Q38845" s="8"/>
    </row>
    <row r="38846" spans="17:17" x14ac:dyDescent="0.25">
      <c r="Q38846" s="8"/>
    </row>
    <row r="38847" spans="17:17" x14ac:dyDescent="0.25">
      <c r="Q38847" s="8"/>
    </row>
    <row r="38848" spans="17:17" x14ac:dyDescent="0.25">
      <c r="Q38848" s="8"/>
    </row>
    <row r="38849" spans="17:17" x14ac:dyDescent="0.25">
      <c r="Q38849" s="8"/>
    </row>
    <row r="38850" spans="17:17" x14ac:dyDescent="0.25">
      <c r="Q38850" s="8"/>
    </row>
    <row r="38851" spans="17:17" x14ac:dyDescent="0.25">
      <c r="Q38851" s="8"/>
    </row>
    <row r="38852" spans="17:17" x14ac:dyDescent="0.25">
      <c r="Q38852" s="8"/>
    </row>
    <row r="38853" spans="17:17" x14ac:dyDescent="0.25">
      <c r="Q38853" s="8"/>
    </row>
    <row r="38854" spans="17:17" x14ac:dyDescent="0.25">
      <c r="Q38854" s="8"/>
    </row>
    <row r="38855" spans="17:17" x14ac:dyDescent="0.25">
      <c r="Q38855" s="8"/>
    </row>
    <row r="38856" spans="17:17" x14ac:dyDescent="0.25">
      <c r="Q38856" s="8"/>
    </row>
    <row r="38857" spans="17:17" x14ac:dyDescent="0.25">
      <c r="Q38857" s="8"/>
    </row>
    <row r="38858" spans="17:17" x14ac:dyDescent="0.25">
      <c r="Q38858" s="8"/>
    </row>
    <row r="38859" spans="17:17" x14ac:dyDescent="0.25">
      <c r="Q38859" s="8"/>
    </row>
    <row r="38860" spans="17:17" x14ac:dyDescent="0.25">
      <c r="Q38860" s="8"/>
    </row>
    <row r="38861" spans="17:17" x14ac:dyDescent="0.25">
      <c r="Q38861" s="8"/>
    </row>
    <row r="38862" spans="17:17" x14ac:dyDescent="0.25">
      <c r="Q38862" s="8"/>
    </row>
    <row r="38863" spans="17:17" x14ac:dyDescent="0.25">
      <c r="Q38863" s="8"/>
    </row>
    <row r="38864" spans="17:17" x14ac:dyDescent="0.25">
      <c r="Q38864" s="8"/>
    </row>
    <row r="38865" spans="17:17" x14ac:dyDescent="0.25">
      <c r="Q38865" s="8"/>
    </row>
    <row r="38866" spans="17:17" x14ac:dyDescent="0.25">
      <c r="Q38866" s="8"/>
    </row>
    <row r="38867" spans="17:17" x14ac:dyDescent="0.25">
      <c r="Q38867" s="8"/>
    </row>
    <row r="38868" spans="17:17" x14ac:dyDescent="0.25">
      <c r="Q38868" s="8"/>
    </row>
    <row r="38869" spans="17:17" x14ac:dyDescent="0.25">
      <c r="Q38869" s="8"/>
    </row>
    <row r="38870" spans="17:17" x14ac:dyDescent="0.25">
      <c r="Q38870" s="8"/>
    </row>
    <row r="38871" spans="17:17" x14ac:dyDescent="0.25">
      <c r="Q38871" s="8"/>
    </row>
    <row r="38872" spans="17:17" x14ac:dyDescent="0.25">
      <c r="Q38872" s="8"/>
    </row>
    <row r="38873" spans="17:17" x14ac:dyDescent="0.25">
      <c r="Q38873" s="8"/>
    </row>
    <row r="38874" spans="17:17" x14ac:dyDescent="0.25">
      <c r="Q38874" s="8"/>
    </row>
    <row r="38875" spans="17:17" x14ac:dyDescent="0.25">
      <c r="Q38875" s="8"/>
    </row>
    <row r="38876" spans="17:17" x14ac:dyDescent="0.25">
      <c r="Q38876" s="8"/>
    </row>
    <row r="38877" spans="17:17" x14ac:dyDescent="0.25">
      <c r="Q38877" s="8"/>
    </row>
    <row r="38878" spans="17:17" x14ac:dyDescent="0.25">
      <c r="Q38878" s="8"/>
    </row>
    <row r="38879" spans="17:17" x14ac:dyDescent="0.25">
      <c r="Q38879" s="8"/>
    </row>
    <row r="38880" spans="17:17" x14ac:dyDescent="0.25">
      <c r="Q38880" s="8"/>
    </row>
    <row r="38881" spans="17:17" x14ac:dyDescent="0.25">
      <c r="Q38881" s="8"/>
    </row>
    <row r="38882" spans="17:17" x14ac:dyDescent="0.25">
      <c r="Q38882" s="8"/>
    </row>
    <row r="38883" spans="17:17" x14ac:dyDescent="0.25">
      <c r="Q38883" s="8"/>
    </row>
    <row r="38884" spans="17:17" x14ac:dyDescent="0.25">
      <c r="Q38884" s="8"/>
    </row>
    <row r="38885" spans="17:17" x14ac:dyDescent="0.25">
      <c r="Q38885" s="8"/>
    </row>
    <row r="38886" spans="17:17" x14ac:dyDescent="0.25">
      <c r="Q38886" s="8"/>
    </row>
    <row r="38887" spans="17:17" x14ac:dyDescent="0.25">
      <c r="Q38887" s="8"/>
    </row>
    <row r="38888" spans="17:17" x14ac:dyDescent="0.25">
      <c r="Q38888" s="8"/>
    </row>
    <row r="38889" spans="17:17" x14ac:dyDescent="0.25">
      <c r="Q38889" s="8"/>
    </row>
    <row r="38890" spans="17:17" x14ac:dyDescent="0.25">
      <c r="Q38890" s="8"/>
    </row>
    <row r="38891" spans="17:17" x14ac:dyDescent="0.25">
      <c r="Q38891" s="8"/>
    </row>
    <row r="38892" spans="17:17" x14ac:dyDescent="0.25">
      <c r="Q38892" s="8"/>
    </row>
    <row r="38893" spans="17:17" x14ac:dyDescent="0.25">
      <c r="Q38893" s="8"/>
    </row>
    <row r="38894" spans="17:17" x14ac:dyDescent="0.25">
      <c r="Q38894" s="8"/>
    </row>
    <row r="38895" spans="17:17" x14ac:dyDescent="0.25">
      <c r="Q38895" s="8"/>
    </row>
    <row r="38896" spans="17:17" x14ac:dyDescent="0.25">
      <c r="Q38896" s="8"/>
    </row>
    <row r="38897" spans="17:17" x14ac:dyDescent="0.25">
      <c r="Q38897" s="8"/>
    </row>
    <row r="38898" spans="17:17" x14ac:dyDescent="0.25">
      <c r="Q38898" s="8"/>
    </row>
    <row r="38899" spans="17:17" x14ac:dyDescent="0.25">
      <c r="Q38899" s="8"/>
    </row>
    <row r="38900" spans="17:17" x14ac:dyDescent="0.25">
      <c r="Q38900" s="8"/>
    </row>
    <row r="38901" spans="17:17" x14ac:dyDescent="0.25">
      <c r="Q38901" s="8"/>
    </row>
    <row r="38902" spans="17:17" x14ac:dyDescent="0.25">
      <c r="Q38902" s="8"/>
    </row>
    <row r="38903" spans="17:17" x14ac:dyDescent="0.25">
      <c r="Q38903" s="8"/>
    </row>
    <row r="38904" spans="17:17" x14ac:dyDescent="0.25">
      <c r="Q38904" s="8"/>
    </row>
    <row r="38905" spans="17:17" x14ac:dyDescent="0.25">
      <c r="Q38905" s="8"/>
    </row>
    <row r="38906" spans="17:17" x14ac:dyDescent="0.25">
      <c r="Q38906" s="8"/>
    </row>
    <row r="38907" spans="17:17" x14ac:dyDescent="0.25">
      <c r="Q38907" s="8"/>
    </row>
    <row r="38908" spans="17:17" x14ac:dyDescent="0.25">
      <c r="Q38908" s="8"/>
    </row>
    <row r="38909" spans="17:17" x14ac:dyDescent="0.25">
      <c r="Q38909" s="8"/>
    </row>
    <row r="38910" spans="17:17" x14ac:dyDescent="0.25">
      <c r="Q38910" s="8"/>
    </row>
    <row r="38911" spans="17:17" x14ac:dyDescent="0.25">
      <c r="Q38911" s="8"/>
    </row>
    <row r="38912" spans="17:17" x14ac:dyDescent="0.25">
      <c r="Q38912" s="8"/>
    </row>
    <row r="38913" spans="17:17" x14ac:dyDescent="0.25">
      <c r="Q38913" s="8"/>
    </row>
    <row r="38914" spans="17:17" x14ac:dyDescent="0.25">
      <c r="Q38914" s="8"/>
    </row>
    <row r="38915" spans="17:17" x14ac:dyDescent="0.25">
      <c r="Q38915" s="8"/>
    </row>
    <row r="38916" spans="17:17" x14ac:dyDescent="0.25">
      <c r="Q38916" s="8"/>
    </row>
    <row r="38917" spans="17:17" x14ac:dyDescent="0.25">
      <c r="Q38917" s="8"/>
    </row>
    <row r="38918" spans="17:17" x14ac:dyDescent="0.25">
      <c r="Q38918" s="8"/>
    </row>
    <row r="38919" spans="17:17" x14ac:dyDescent="0.25">
      <c r="Q38919" s="8"/>
    </row>
    <row r="38920" spans="17:17" x14ac:dyDescent="0.25">
      <c r="Q38920" s="8"/>
    </row>
    <row r="38921" spans="17:17" x14ac:dyDescent="0.25">
      <c r="Q38921" s="8"/>
    </row>
    <row r="38922" spans="17:17" x14ac:dyDescent="0.25">
      <c r="Q38922" s="8"/>
    </row>
    <row r="38923" spans="17:17" x14ac:dyDescent="0.25">
      <c r="Q38923" s="8"/>
    </row>
    <row r="38924" spans="17:17" x14ac:dyDescent="0.25">
      <c r="Q38924" s="8"/>
    </row>
    <row r="38925" spans="17:17" x14ac:dyDescent="0.25">
      <c r="Q38925" s="8"/>
    </row>
    <row r="38926" spans="17:17" x14ac:dyDescent="0.25">
      <c r="Q38926" s="8"/>
    </row>
    <row r="38927" spans="17:17" x14ac:dyDescent="0.25">
      <c r="Q38927" s="8"/>
    </row>
    <row r="38928" spans="17:17" x14ac:dyDescent="0.25">
      <c r="Q38928" s="8"/>
    </row>
    <row r="38929" spans="17:17" x14ac:dyDescent="0.25">
      <c r="Q38929" s="8"/>
    </row>
    <row r="38930" spans="17:17" x14ac:dyDescent="0.25">
      <c r="Q38930" s="8"/>
    </row>
    <row r="38931" spans="17:17" x14ac:dyDescent="0.25">
      <c r="Q38931" s="8"/>
    </row>
    <row r="38932" spans="17:17" x14ac:dyDescent="0.25">
      <c r="Q38932" s="8"/>
    </row>
    <row r="38933" spans="17:17" x14ac:dyDescent="0.25">
      <c r="Q38933" s="8"/>
    </row>
    <row r="38934" spans="17:17" x14ac:dyDescent="0.25">
      <c r="Q38934" s="8"/>
    </row>
    <row r="38935" spans="17:17" x14ac:dyDescent="0.25">
      <c r="Q38935" s="8"/>
    </row>
    <row r="38936" spans="17:17" x14ac:dyDescent="0.25">
      <c r="Q38936" s="8"/>
    </row>
    <row r="38937" spans="17:17" x14ac:dyDescent="0.25">
      <c r="Q38937" s="8"/>
    </row>
    <row r="38938" spans="17:17" x14ac:dyDescent="0.25">
      <c r="Q38938" s="8"/>
    </row>
    <row r="38939" spans="17:17" x14ac:dyDescent="0.25">
      <c r="Q38939" s="8"/>
    </row>
    <row r="38940" spans="17:17" x14ac:dyDescent="0.25">
      <c r="Q38940" s="8"/>
    </row>
    <row r="38941" spans="17:17" x14ac:dyDescent="0.25">
      <c r="Q38941" s="8"/>
    </row>
    <row r="38942" spans="17:17" x14ac:dyDescent="0.25">
      <c r="Q38942" s="8"/>
    </row>
    <row r="38943" spans="17:17" x14ac:dyDescent="0.25">
      <c r="Q38943" s="8"/>
    </row>
    <row r="38944" spans="17:17" x14ac:dyDescent="0.25">
      <c r="Q38944" s="8"/>
    </row>
    <row r="38945" spans="17:17" x14ac:dyDescent="0.25">
      <c r="Q38945" s="8"/>
    </row>
    <row r="38946" spans="17:17" x14ac:dyDescent="0.25">
      <c r="Q38946" s="8"/>
    </row>
    <row r="38947" spans="17:17" x14ac:dyDescent="0.25">
      <c r="Q38947" s="8"/>
    </row>
    <row r="38948" spans="17:17" x14ac:dyDescent="0.25">
      <c r="Q38948" s="8"/>
    </row>
    <row r="38949" spans="17:17" x14ac:dyDescent="0.25">
      <c r="Q38949" s="8"/>
    </row>
    <row r="38950" spans="17:17" x14ac:dyDescent="0.25">
      <c r="Q38950" s="8"/>
    </row>
    <row r="38951" spans="17:17" x14ac:dyDescent="0.25">
      <c r="Q38951" s="8"/>
    </row>
    <row r="38952" spans="17:17" x14ac:dyDescent="0.25">
      <c r="Q38952" s="8"/>
    </row>
    <row r="38953" spans="17:17" x14ac:dyDescent="0.25">
      <c r="Q38953" s="8"/>
    </row>
    <row r="38954" spans="17:17" x14ac:dyDescent="0.25">
      <c r="Q38954" s="8"/>
    </row>
    <row r="38955" spans="17:17" x14ac:dyDescent="0.25">
      <c r="Q38955" s="8"/>
    </row>
    <row r="38956" spans="17:17" x14ac:dyDescent="0.25">
      <c r="Q38956" s="8"/>
    </row>
    <row r="38957" spans="17:17" x14ac:dyDescent="0.25">
      <c r="Q38957" s="8"/>
    </row>
    <row r="38958" spans="17:17" x14ac:dyDescent="0.25">
      <c r="Q38958" s="8"/>
    </row>
    <row r="38959" spans="17:17" x14ac:dyDescent="0.25">
      <c r="Q38959" s="8"/>
    </row>
    <row r="38960" spans="17:17" x14ac:dyDescent="0.25">
      <c r="Q38960" s="8"/>
    </row>
    <row r="38961" spans="17:17" x14ac:dyDescent="0.25">
      <c r="Q38961" s="8"/>
    </row>
    <row r="38962" spans="17:17" x14ac:dyDescent="0.25">
      <c r="Q38962" s="8"/>
    </row>
    <row r="38963" spans="17:17" x14ac:dyDescent="0.25">
      <c r="Q38963" s="8"/>
    </row>
    <row r="38964" spans="17:17" x14ac:dyDescent="0.25">
      <c r="Q38964" s="8"/>
    </row>
    <row r="38965" spans="17:17" x14ac:dyDescent="0.25">
      <c r="Q38965" s="8"/>
    </row>
    <row r="38966" spans="17:17" x14ac:dyDescent="0.25">
      <c r="Q38966" s="8"/>
    </row>
    <row r="38967" spans="17:17" x14ac:dyDescent="0.25">
      <c r="Q38967" s="8"/>
    </row>
    <row r="38968" spans="17:17" x14ac:dyDescent="0.25">
      <c r="Q38968" s="8"/>
    </row>
    <row r="38969" spans="17:17" x14ac:dyDescent="0.25">
      <c r="Q38969" s="8"/>
    </row>
    <row r="38970" spans="17:17" x14ac:dyDescent="0.25">
      <c r="Q38970" s="8"/>
    </row>
    <row r="38971" spans="17:17" x14ac:dyDescent="0.25">
      <c r="Q38971" s="8"/>
    </row>
    <row r="38972" spans="17:17" x14ac:dyDescent="0.25">
      <c r="Q38972" s="8"/>
    </row>
    <row r="38973" spans="17:17" x14ac:dyDescent="0.25">
      <c r="Q38973" s="8"/>
    </row>
    <row r="38974" spans="17:17" x14ac:dyDescent="0.25">
      <c r="Q38974" s="8"/>
    </row>
    <row r="38975" spans="17:17" x14ac:dyDescent="0.25">
      <c r="Q38975" s="8"/>
    </row>
    <row r="38976" spans="17:17" x14ac:dyDescent="0.25">
      <c r="Q38976" s="8"/>
    </row>
    <row r="38977" spans="17:17" x14ac:dyDescent="0.25">
      <c r="Q38977" s="8"/>
    </row>
    <row r="38978" spans="17:17" x14ac:dyDescent="0.25">
      <c r="Q38978" s="8"/>
    </row>
    <row r="38979" spans="17:17" x14ac:dyDescent="0.25">
      <c r="Q38979" s="8"/>
    </row>
    <row r="38980" spans="17:17" x14ac:dyDescent="0.25">
      <c r="Q38980" s="8"/>
    </row>
    <row r="38981" spans="17:17" x14ac:dyDescent="0.25">
      <c r="Q38981" s="8"/>
    </row>
    <row r="38982" spans="17:17" x14ac:dyDescent="0.25">
      <c r="Q38982" s="8"/>
    </row>
    <row r="38983" spans="17:17" x14ac:dyDescent="0.25">
      <c r="Q38983" s="8"/>
    </row>
    <row r="38984" spans="17:17" x14ac:dyDescent="0.25">
      <c r="Q38984" s="8"/>
    </row>
    <row r="38985" spans="17:17" x14ac:dyDescent="0.25">
      <c r="Q38985" s="8"/>
    </row>
    <row r="38986" spans="17:17" x14ac:dyDescent="0.25">
      <c r="Q38986" s="8"/>
    </row>
    <row r="38987" spans="17:17" x14ac:dyDescent="0.25">
      <c r="Q38987" s="8"/>
    </row>
    <row r="38988" spans="17:17" x14ac:dyDescent="0.25">
      <c r="Q38988" s="8"/>
    </row>
    <row r="38989" spans="17:17" x14ac:dyDescent="0.25">
      <c r="Q38989" s="8"/>
    </row>
    <row r="38990" spans="17:17" x14ac:dyDescent="0.25">
      <c r="Q38990" s="8"/>
    </row>
    <row r="38991" spans="17:17" x14ac:dyDescent="0.25">
      <c r="Q38991" s="8"/>
    </row>
    <row r="38992" spans="17:17" x14ac:dyDescent="0.25">
      <c r="Q38992" s="8"/>
    </row>
    <row r="38993" spans="17:17" x14ac:dyDescent="0.25">
      <c r="Q38993" s="8"/>
    </row>
    <row r="38994" spans="17:17" x14ac:dyDescent="0.25">
      <c r="Q38994" s="8"/>
    </row>
    <row r="38995" spans="17:17" x14ac:dyDescent="0.25">
      <c r="Q38995" s="8"/>
    </row>
    <row r="38996" spans="17:17" x14ac:dyDescent="0.25">
      <c r="Q38996" s="8"/>
    </row>
    <row r="38997" spans="17:17" x14ac:dyDescent="0.25">
      <c r="Q38997" s="8"/>
    </row>
    <row r="38998" spans="17:17" x14ac:dyDescent="0.25">
      <c r="Q38998" s="8"/>
    </row>
    <row r="38999" spans="17:17" x14ac:dyDescent="0.25">
      <c r="Q38999" s="8"/>
    </row>
    <row r="39000" spans="17:17" x14ac:dyDescent="0.25">
      <c r="Q39000" s="8"/>
    </row>
    <row r="39001" spans="17:17" x14ac:dyDescent="0.25">
      <c r="Q39001" s="8"/>
    </row>
    <row r="39002" spans="17:17" x14ac:dyDescent="0.25">
      <c r="Q39002" s="8"/>
    </row>
    <row r="39003" spans="17:17" x14ac:dyDescent="0.25">
      <c r="Q39003" s="8"/>
    </row>
    <row r="39004" spans="17:17" x14ac:dyDescent="0.25">
      <c r="Q39004" s="8"/>
    </row>
    <row r="39005" spans="17:17" x14ac:dyDescent="0.25">
      <c r="Q39005" s="8"/>
    </row>
    <row r="39006" spans="17:17" x14ac:dyDescent="0.25">
      <c r="Q39006" s="8"/>
    </row>
    <row r="39007" spans="17:17" x14ac:dyDescent="0.25">
      <c r="Q39007" s="8"/>
    </row>
    <row r="39008" spans="17:17" x14ac:dyDescent="0.25">
      <c r="Q39008" s="8"/>
    </row>
    <row r="39009" spans="17:17" x14ac:dyDescent="0.25">
      <c r="Q39009" s="8"/>
    </row>
    <row r="39010" spans="17:17" x14ac:dyDescent="0.25">
      <c r="Q39010" s="8"/>
    </row>
    <row r="39011" spans="17:17" x14ac:dyDescent="0.25">
      <c r="Q39011" s="8"/>
    </row>
    <row r="39012" spans="17:17" x14ac:dyDescent="0.25">
      <c r="Q39012" s="8"/>
    </row>
    <row r="39013" spans="17:17" x14ac:dyDescent="0.25">
      <c r="Q39013" s="8"/>
    </row>
    <row r="39014" spans="17:17" x14ac:dyDescent="0.25">
      <c r="Q39014" s="8"/>
    </row>
    <row r="39015" spans="17:17" x14ac:dyDescent="0.25">
      <c r="Q39015" s="8"/>
    </row>
    <row r="39016" spans="17:17" x14ac:dyDescent="0.25">
      <c r="Q39016" s="8"/>
    </row>
    <row r="39017" spans="17:17" x14ac:dyDescent="0.25">
      <c r="Q39017" s="8"/>
    </row>
    <row r="39018" spans="17:17" x14ac:dyDescent="0.25">
      <c r="Q39018" s="8"/>
    </row>
    <row r="39019" spans="17:17" x14ac:dyDescent="0.25">
      <c r="Q39019" s="8"/>
    </row>
    <row r="39020" spans="17:17" x14ac:dyDescent="0.25">
      <c r="Q39020" s="8"/>
    </row>
    <row r="39021" spans="17:17" x14ac:dyDescent="0.25">
      <c r="Q39021" s="8"/>
    </row>
    <row r="39022" spans="17:17" x14ac:dyDescent="0.25">
      <c r="Q39022" s="8"/>
    </row>
    <row r="39023" spans="17:17" x14ac:dyDescent="0.25">
      <c r="Q39023" s="8"/>
    </row>
    <row r="39024" spans="17:17" x14ac:dyDescent="0.25">
      <c r="Q39024" s="8"/>
    </row>
    <row r="39025" spans="17:17" x14ac:dyDescent="0.25">
      <c r="Q39025" s="8"/>
    </row>
    <row r="39026" spans="17:17" x14ac:dyDescent="0.25">
      <c r="Q39026" s="8"/>
    </row>
    <row r="39027" spans="17:17" x14ac:dyDescent="0.25">
      <c r="Q39027" s="8"/>
    </row>
    <row r="39028" spans="17:17" x14ac:dyDescent="0.25">
      <c r="Q39028" s="8"/>
    </row>
    <row r="39029" spans="17:17" x14ac:dyDescent="0.25">
      <c r="Q39029" s="8"/>
    </row>
    <row r="39030" spans="17:17" x14ac:dyDescent="0.25">
      <c r="Q39030" s="8"/>
    </row>
    <row r="39031" spans="17:17" x14ac:dyDescent="0.25">
      <c r="Q39031" s="8"/>
    </row>
    <row r="39032" spans="17:17" x14ac:dyDescent="0.25">
      <c r="Q39032" s="8"/>
    </row>
    <row r="39033" spans="17:17" x14ac:dyDescent="0.25">
      <c r="Q39033" s="8"/>
    </row>
    <row r="39034" spans="17:17" x14ac:dyDescent="0.25">
      <c r="Q39034" s="8"/>
    </row>
    <row r="39035" spans="17:17" x14ac:dyDescent="0.25">
      <c r="Q39035" s="8"/>
    </row>
    <row r="39036" spans="17:17" x14ac:dyDescent="0.25">
      <c r="Q39036" s="8"/>
    </row>
    <row r="39037" spans="17:17" x14ac:dyDescent="0.25">
      <c r="Q39037" s="8"/>
    </row>
    <row r="39038" spans="17:17" x14ac:dyDescent="0.25">
      <c r="Q39038" s="8"/>
    </row>
    <row r="39039" spans="17:17" x14ac:dyDescent="0.25">
      <c r="Q39039" s="8"/>
    </row>
    <row r="39040" spans="17:17" x14ac:dyDescent="0.25">
      <c r="Q39040" s="8"/>
    </row>
    <row r="39041" spans="17:17" x14ac:dyDescent="0.25">
      <c r="Q39041" s="8"/>
    </row>
    <row r="39042" spans="17:17" x14ac:dyDescent="0.25">
      <c r="Q39042" s="8"/>
    </row>
    <row r="39043" spans="17:17" x14ac:dyDescent="0.25">
      <c r="Q39043" s="8"/>
    </row>
    <row r="39044" spans="17:17" x14ac:dyDescent="0.25">
      <c r="Q39044" s="8"/>
    </row>
    <row r="39045" spans="17:17" x14ac:dyDescent="0.25">
      <c r="Q39045" s="8"/>
    </row>
    <row r="39046" spans="17:17" x14ac:dyDescent="0.25">
      <c r="Q39046" s="8"/>
    </row>
    <row r="39047" spans="17:17" x14ac:dyDescent="0.25">
      <c r="Q39047" s="8"/>
    </row>
    <row r="39048" spans="17:17" x14ac:dyDescent="0.25">
      <c r="Q39048" s="8"/>
    </row>
    <row r="39049" spans="17:17" x14ac:dyDescent="0.25">
      <c r="Q39049" s="8"/>
    </row>
    <row r="39050" spans="17:17" x14ac:dyDescent="0.25">
      <c r="Q39050" s="8"/>
    </row>
    <row r="39051" spans="17:17" x14ac:dyDescent="0.25">
      <c r="Q39051" s="8"/>
    </row>
    <row r="39052" spans="17:17" x14ac:dyDescent="0.25">
      <c r="Q39052" s="8"/>
    </row>
    <row r="39053" spans="17:17" x14ac:dyDescent="0.25">
      <c r="Q39053" s="8"/>
    </row>
    <row r="39054" spans="17:17" x14ac:dyDescent="0.25">
      <c r="Q39054" s="8"/>
    </row>
    <row r="39055" spans="17:17" x14ac:dyDescent="0.25">
      <c r="Q39055" s="8"/>
    </row>
    <row r="39056" spans="17:17" x14ac:dyDescent="0.25">
      <c r="Q39056" s="8"/>
    </row>
    <row r="39057" spans="17:17" x14ac:dyDescent="0.25">
      <c r="Q39057" s="8"/>
    </row>
    <row r="39058" spans="17:17" x14ac:dyDescent="0.25">
      <c r="Q39058" s="8"/>
    </row>
    <row r="39059" spans="17:17" x14ac:dyDescent="0.25">
      <c r="Q39059" s="8"/>
    </row>
    <row r="39060" spans="17:17" x14ac:dyDescent="0.25">
      <c r="Q39060" s="8"/>
    </row>
    <row r="39061" spans="17:17" x14ac:dyDescent="0.25">
      <c r="Q39061" s="8"/>
    </row>
    <row r="39062" spans="17:17" x14ac:dyDescent="0.25">
      <c r="Q39062" s="8"/>
    </row>
    <row r="39063" spans="17:17" x14ac:dyDescent="0.25">
      <c r="Q39063" s="8"/>
    </row>
    <row r="39064" spans="17:17" x14ac:dyDescent="0.25">
      <c r="Q39064" s="8"/>
    </row>
    <row r="39065" spans="17:17" x14ac:dyDescent="0.25">
      <c r="Q39065" s="8"/>
    </row>
    <row r="39066" spans="17:17" x14ac:dyDescent="0.25">
      <c r="Q39066" s="8"/>
    </row>
    <row r="39067" spans="17:17" x14ac:dyDescent="0.25">
      <c r="Q39067" s="8"/>
    </row>
    <row r="39068" spans="17:17" x14ac:dyDescent="0.25">
      <c r="Q39068" s="8"/>
    </row>
    <row r="39069" spans="17:17" x14ac:dyDescent="0.25">
      <c r="Q39069" s="8"/>
    </row>
    <row r="39070" spans="17:17" x14ac:dyDescent="0.25">
      <c r="Q39070" s="8"/>
    </row>
    <row r="39071" spans="17:17" x14ac:dyDescent="0.25">
      <c r="Q39071" s="8"/>
    </row>
    <row r="39072" spans="17:17" x14ac:dyDescent="0.25">
      <c r="Q39072" s="8"/>
    </row>
    <row r="39073" spans="17:17" x14ac:dyDescent="0.25">
      <c r="Q39073" s="8"/>
    </row>
    <row r="39074" spans="17:17" x14ac:dyDescent="0.25">
      <c r="Q39074" s="8"/>
    </row>
    <row r="39075" spans="17:17" x14ac:dyDescent="0.25">
      <c r="Q39075" s="8"/>
    </row>
    <row r="39076" spans="17:17" x14ac:dyDescent="0.25">
      <c r="Q39076" s="8"/>
    </row>
    <row r="39077" spans="17:17" x14ac:dyDescent="0.25">
      <c r="Q39077" s="8"/>
    </row>
    <row r="39078" spans="17:17" x14ac:dyDescent="0.25">
      <c r="Q39078" s="8"/>
    </row>
    <row r="39079" spans="17:17" x14ac:dyDescent="0.25">
      <c r="Q39079" s="8"/>
    </row>
    <row r="39080" spans="17:17" x14ac:dyDescent="0.25">
      <c r="Q39080" s="8"/>
    </row>
    <row r="39081" spans="17:17" x14ac:dyDescent="0.25">
      <c r="Q39081" s="8"/>
    </row>
    <row r="39082" spans="17:17" x14ac:dyDescent="0.25">
      <c r="Q39082" s="8"/>
    </row>
    <row r="39083" spans="17:17" x14ac:dyDescent="0.25">
      <c r="Q39083" s="8"/>
    </row>
    <row r="39084" spans="17:17" x14ac:dyDescent="0.25">
      <c r="Q39084" s="8"/>
    </row>
    <row r="39085" spans="17:17" x14ac:dyDescent="0.25">
      <c r="Q39085" s="8"/>
    </row>
    <row r="39086" spans="17:17" x14ac:dyDescent="0.25">
      <c r="Q39086" s="8"/>
    </row>
    <row r="39087" spans="17:17" x14ac:dyDescent="0.25">
      <c r="Q39087" s="8"/>
    </row>
    <row r="39088" spans="17:17" x14ac:dyDescent="0.25">
      <c r="Q39088" s="8"/>
    </row>
    <row r="39089" spans="17:17" x14ac:dyDescent="0.25">
      <c r="Q39089" s="8"/>
    </row>
    <row r="39090" spans="17:17" x14ac:dyDescent="0.25">
      <c r="Q39090" s="8"/>
    </row>
    <row r="39091" spans="17:17" x14ac:dyDescent="0.25">
      <c r="Q39091" s="8"/>
    </row>
    <row r="39092" spans="17:17" x14ac:dyDescent="0.25">
      <c r="Q39092" s="8"/>
    </row>
    <row r="39093" spans="17:17" x14ac:dyDescent="0.25">
      <c r="Q39093" s="8"/>
    </row>
    <row r="39094" spans="17:17" x14ac:dyDescent="0.25">
      <c r="Q39094" s="8"/>
    </row>
    <row r="39095" spans="17:17" x14ac:dyDescent="0.25">
      <c r="Q39095" s="8"/>
    </row>
    <row r="39096" spans="17:17" x14ac:dyDescent="0.25">
      <c r="Q39096" s="8"/>
    </row>
    <row r="39097" spans="17:17" x14ac:dyDescent="0.25">
      <c r="Q39097" s="8"/>
    </row>
    <row r="39098" spans="17:17" x14ac:dyDescent="0.25">
      <c r="Q39098" s="8"/>
    </row>
    <row r="39099" spans="17:17" x14ac:dyDescent="0.25">
      <c r="Q39099" s="8"/>
    </row>
    <row r="39100" spans="17:17" x14ac:dyDescent="0.25">
      <c r="Q39100" s="8"/>
    </row>
    <row r="39101" spans="17:17" x14ac:dyDescent="0.25">
      <c r="Q39101" s="8"/>
    </row>
    <row r="39102" spans="17:17" x14ac:dyDescent="0.25">
      <c r="Q39102" s="8"/>
    </row>
    <row r="39103" spans="17:17" x14ac:dyDescent="0.25">
      <c r="Q39103" s="8"/>
    </row>
    <row r="39104" spans="17:17" x14ac:dyDescent="0.25">
      <c r="Q39104" s="8"/>
    </row>
    <row r="39105" spans="17:17" x14ac:dyDescent="0.25">
      <c r="Q39105" s="8"/>
    </row>
    <row r="39106" spans="17:17" x14ac:dyDescent="0.25">
      <c r="Q39106" s="8"/>
    </row>
    <row r="39107" spans="17:17" x14ac:dyDescent="0.25">
      <c r="Q39107" s="8"/>
    </row>
    <row r="39108" spans="17:17" x14ac:dyDescent="0.25">
      <c r="Q39108" s="8"/>
    </row>
    <row r="39109" spans="17:17" x14ac:dyDescent="0.25">
      <c r="Q39109" s="8"/>
    </row>
    <row r="39110" spans="17:17" x14ac:dyDescent="0.25">
      <c r="Q39110" s="8"/>
    </row>
    <row r="39111" spans="17:17" x14ac:dyDescent="0.25">
      <c r="Q39111" s="8"/>
    </row>
    <row r="39112" spans="17:17" x14ac:dyDescent="0.25">
      <c r="Q39112" s="8"/>
    </row>
    <row r="39113" spans="17:17" x14ac:dyDescent="0.25">
      <c r="Q39113" s="8"/>
    </row>
    <row r="39114" spans="17:17" x14ac:dyDescent="0.25">
      <c r="Q39114" s="8"/>
    </row>
    <row r="39115" spans="17:17" x14ac:dyDescent="0.25">
      <c r="Q39115" s="8"/>
    </row>
    <row r="39116" spans="17:17" x14ac:dyDescent="0.25">
      <c r="Q39116" s="8"/>
    </row>
    <row r="39117" spans="17:17" x14ac:dyDescent="0.25">
      <c r="Q39117" s="8"/>
    </row>
    <row r="39118" spans="17:17" x14ac:dyDescent="0.25">
      <c r="Q39118" s="8"/>
    </row>
    <row r="39119" spans="17:17" x14ac:dyDescent="0.25">
      <c r="Q39119" s="8"/>
    </row>
    <row r="39120" spans="17:17" x14ac:dyDescent="0.25">
      <c r="Q39120" s="8"/>
    </row>
    <row r="39121" spans="17:17" x14ac:dyDescent="0.25">
      <c r="Q39121" s="8"/>
    </row>
    <row r="39122" spans="17:17" x14ac:dyDescent="0.25">
      <c r="Q39122" s="8"/>
    </row>
    <row r="39123" spans="17:17" x14ac:dyDescent="0.25">
      <c r="Q39123" s="8"/>
    </row>
    <row r="39124" spans="17:17" x14ac:dyDescent="0.25">
      <c r="Q39124" s="8"/>
    </row>
    <row r="39125" spans="17:17" x14ac:dyDescent="0.25">
      <c r="Q39125" s="8"/>
    </row>
    <row r="39126" spans="17:17" x14ac:dyDescent="0.25">
      <c r="Q39126" s="8"/>
    </row>
    <row r="39127" spans="17:17" x14ac:dyDescent="0.25">
      <c r="Q39127" s="8"/>
    </row>
    <row r="39128" spans="17:17" x14ac:dyDescent="0.25">
      <c r="Q39128" s="8"/>
    </row>
    <row r="39129" spans="17:17" x14ac:dyDescent="0.25">
      <c r="Q39129" s="8"/>
    </row>
    <row r="39130" spans="17:17" x14ac:dyDescent="0.25">
      <c r="Q39130" s="8"/>
    </row>
    <row r="39131" spans="17:17" x14ac:dyDescent="0.25">
      <c r="Q39131" s="8"/>
    </row>
    <row r="39132" spans="17:17" x14ac:dyDescent="0.25">
      <c r="Q39132" s="8"/>
    </row>
    <row r="39133" spans="17:17" x14ac:dyDescent="0.25">
      <c r="Q39133" s="8"/>
    </row>
    <row r="39134" spans="17:17" x14ac:dyDescent="0.25">
      <c r="Q39134" s="8"/>
    </row>
    <row r="39135" spans="17:17" x14ac:dyDescent="0.25">
      <c r="Q39135" s="8"/>
    </row>
    <row r="39136" spans="17:17" x14ac:dyDescent="0.25">
      <c r="Q39136" s="8"/>
    </row>
    <row r="39137" spans="17:17" x14ac:dyDescent="0.25">
      <c r="Q39137" s="8"/>
    </row>
    <row r="39138" spans="17:17" x14ac:dyDescent="0.25">
      <c r="Q39138" s="8"/>
    </row>
    <row r="39139" spans="17:17" x14ac:dyDescent="0.25">
      <c r="Q39139" s="8"/>
    </row>
    <row r="39140" spans="17:17" x14ac:dyDescent="0.25">
      <c r="Q39140" s="8"/>
    </row>
    <row r="39141" spans="17:17" x14ac:dyDescent="0.25">
      <c r="Q39141" s="8"/>
    </row>
    <row r="39142" spans="17:17" x14ac:dyDescent="0.25">
      <c r="Q39142" s="8"/>
    </row>
    <row r="39143" spans="17:17" x14ac:dyDescent="0.25">
      <c r="Q39143" s="8"/>
    </row>
    <row r="39144" spans="17:17" x14ac:dyDescent="0.25">
      <c r="Q39144" s="8"/>
    </row>
    <row r="39145" spans="17:17" x14ac:dyDescent="0.25">
      <c r="Q39145" s="8"/>
    </row>
    <row r="39146" spans="17:17" x14ac:dyDescent="0.25">
      <c r="Q39146" s="8"/>
    </row>
    <row r="39147" spans="17:17" x14ac:dyDescent="0.25">
      <c r="Q39147" s="8"/>
    </row>
    <row r="39148" spans="17:17" x14ac:dyDescent="0.25">
      <c r="Q39148" s="8"/>
    </row>
    <row r="39149" spans="17:17" x14ac:dyDescent="0.25">
      <c r="Q39149" s="8"/>
    </row>
    <row r="39150" spans="17:17" x14ac:dyDescent="0.25">
      <c r="Q39150" s="8"/>
    </row>
    <row r="39151" spans="17:17" x14ac:dyDescent="0.25">
      <c r="Q39151" s="8"/>
    </row>
    <row r="39152" spans="17:17" x14ac:dyDescent="0.25">
      <c r="Q39152" s="8"/>
    </row>
    <row r="39153" spans="17:17" x14ac:dyDescent="0.25">
      <c r="Q39153" s="8"/>
    </row>
    <row r="39154" spans="17:17" x14ac:dyDescent="0.25">
      <c r="Q39154" s="8"/>
    </row>
    <row r="39155" spans="17:17" x14ac:dyDescent="0.25">
      <c r="Q39155" s="8"/>
    </row>
    <row r="39156" spans="17:17" x14ac:dyDescent="0.25">
      <c r="Q39156" s="8"/>
    </row>
    <row r="39157" spans="17:17" x14ac:dyDescent="0.25">
      <c r="Q39157" s="8"/>
    </row>
    <row r="39158" spans="17:17" x14ac:dyDescent="0.25">
      <c r="Q39158" s="8"/>
    </row>
    <row r="39159" spans="17:17" x14ac:dyDescent="0.25">
      <c r="Q39159" s="8"/>
    </row>
    <row r="39160" spans="17:17" x14ac:dyDescent="0.25">
      <c r="Q39160" s="8"/>
    </row>
    <row r="39161" spans="17:17" x14ac:dyDescent="0.25">
      <c r="Q39161" s="8"/>
    </row>
    <row r="39162" spans="17:17" x14ac:dyDescent="0.25">
      <c r="Q39162" s="8"/>
    </row>
    <row r="39163" spans="17:17" x14ac:dyDescent="0.25">
      <c r="Q39163" s="8"/>
    </row>
    <row r="39164" spans="17:17" x14ac:dyDescent="0.25">
      <c r="Q39164" s="8"/>
    </row>
    <row r="39165" spans="17:17" x14ac:dyDescent="0.25">
      <c r="Q39165" s="8"/>
    </row>
    <row r="39166" spans="17:17" x14ac:dyDescent="0.25">
      <c r="Q39166" s="8"/>
    </row>
    <row r="39167" spans="17:17" x14ac:dyDescent="0.25">
      <c r="Q39167" s="8"/>
    </row>
    <row r="39168" spans="17:17" x14ac:dyDescent="0.25">
      <c r="Q39168" s="8"/>
    </row>
    <row r="39169" spans="17:17" x14ac:dyDescent="0.25">
      <c r="Q39169" s="8"/>
    </row>
    <row r="39170" spans="17:17" x14ac:dyDescent="0.25">
      <c r="Q39170" s="8"/>
    </row>
    <row r="39171" spans="17:17" x14ac:dyDescent="0.25">
      <c r="Q39171" s="8"/>
    </row>
    <row r="39172" spans="17:17" x14ac:dyDescent="0.25">
      <c r="Q39172" s="8"/>
    </row>
    <row r="39173" spans="17:17" x14ac:dyDescent="0.25">
      <c r="Q39173" s="8"/>
    </row>
    <row r="39174" spans="17:17" x14ac:dyDescent="0.25">
      <c r="Q39174" s="8"/>
    </row>
    <row r="39175" spans="17:17" x14ac:dyDescent="0.25">
      <c r="Q39175" s="8"/>
    </row>
    <row r="39176" spans="17:17" x14ac:dyDescent="0.25">
      <c r="Q39176" s="8"/>
    </row>
    <row r="39177" spans="17:17" x14ac:dyDescent="0.25">
      <c r="Q39177" s="8"/>
    </row>
    <row r="39178" spans="17:17" x14ac:dyDescent="0.25">
      <c r="Q39178" s="8"/>
    </row>
    <row r="39179" spans="17:17" x14ac:dyDescent="0.25">
      <c r="Q39179" s="8"/>
    </row>
    <row r="39180" spans="17:17" x14ac:dyDescent="0.25">
      <c r="Q39180" s="8"/>
    </row>
    <row r="39181" spans="17:17" x14ac:dyDescent="0.25">
      <c r="Q39181" s="8"/>
    </row>
    <row r="39182" spans="17:17" x14ac:dyDescent="0.25">
      <c r="Q39182" s="8"/>
    </row>
    <row r="39183" spans="17:17" x14ac:dyDescent="0.25">
      <c r="Q39183" s="8"/>
    </row>
    <row r="39184" spans="17:17" x14ac:dyDescent="0.25">
      <c r="Q39184" s="8"/>
    </row>
    <row r="39185" spans="17:17" x14ac:dyDescent="0.25">
      <c r="Q39185" s="8"/>
    </row>
    <row r="39186" spans="17:17" x14ac:dyDescent="0.25">
      <c r="Q39186" s="8"/>
    </row>
    <row r="39187" spans="17:17" x14ac:dyDescent="0.25">
      <c r="Q39187" s="8"/>
    </row>
    <row r="39188" spans="17:17" x14ac:dyDescent="0.25">
      <c r="Q39188" s="8"/>
    </row>
    <row r="39189" spans="17:17" x14ac:dyDescent="0.25">
      <c r="Q39189" s="8"/>
    </row>
    <row r="39190" spans="17:17" x14ac:dyDescent="0.25">
      <c r="Q39190" s="8"/>
    </row>
    <row r="39191" spans="17:17" x14ac:dyDescent="0.25">
      <c r="Q39191" s="8"/>
    </row>
    <row r="39192" spans="17:17" x14ac:dyDescent="0.25">
      <c r="Q39192" s="8"/>
    </row>
    <row r="39193" spans="17:17" x14ac:dyDescent="0.25">
      <c r="Q39193" s="8"/>
    </row>
    <row r="39194" spans="17:17" x14ac:dyDescent="0.25">
      <c r="Q39194" s="8"/>
    </row>
    <row r="39195" spans="17:17" x14ac:dyDescent="0.25">
      <c r="Q39195" s="8"/>
    </row>
    <row r="39196" spans="17:17" x14ac:dyDescent="0.25">
      <c r="Q39196" s="8"/>
    </row>
    <row r="39197" spans="17:17" x14ac:dyDescent="0.25">
      <c r="Q39197" s="8"/>
    </row>
    <row r="39198" spans="17:17" x14ac:dyDescent="0.25">
      <c r="Q39198" s="8"/>
    </row>
    <row r="39199" spans="17:17" x14ac:dyDescent="0.25">
      <c r="Q39199" s="8"/>
    </row>
    <row r="39200" spans="17:17" x14ac:dyDescent="0.25">
      <c r="Q39200" s="8"/>
    </row>
    <row r="39201" spans="17:17" x14ac:dyDescent="0.25">
      <c r="Q39201" s="8"/>
    </row>
    <row r="39202" spans="17:17" x14ac:dyDescent="0.25">
      <c r="Q39202" s="8"/>
    </row>
    <row r="39203" spans="17:17" x14ac:dyDescent="0.25">
      <c r="Q39203" s="8"/>
    </row>
    <row r="39204" spans="17:17" x14ac:dyDescent="0.25">
      <c r="Q39204" s="8"/>
    </row>
    <row r="39205" spans="17:17" x14ac:dyDescent="0.25">
      <c r="Q39205" s="8"/>
    </row>
    <row r="39206" spans="17:17" x14ac:dyDescent="0.25">
      <c r="Q39206" s="8"/>
    </row>
    <row r="39207" spans="17:17" x14ac:dyDescent="0.25">
      <c r="Q39207" s="8"/>
    </row>
    <row r="39208" spans="17:17" x14ac:dyDescent="0.25">
      <c r="Q39208" s="8"/>
    </row>
    <row r="39209" spans="17:17" x14ac:dyDescent="0.25">
      <c r="Q39209" s="8"/>
    </row>
    <row r="39210" spans="17:17" x14ac:dyDescent="0.25">
      <c r="Q39210" s="8"/>
    </row>
    <row r="39211" spans="17:17" x14ac:dyDescent="0.25">
      <c r="Q39211" s="8"/>
    </row>
    <row r="39212" spans="17:17" x14ac:dyDescent="0.25">
      <c r="Q39212" s="8"/>
    </row>
    <row r="39213" spans="17:17" x14ac:dyDescent="0.25">
      <c r="Q39213" s="8"/>
    </row>
    <row r="39214" spans="17:17" x14ac:dyDescent="0.25">
      <c r="Q39214" s="8"/>
    </row>
    <row r="39215" spans="17:17" x14ac:dyDescent="0.25">
      <c r="Q39215" s="8"/>
    </row>
    <row r="39216" spans="17:17" x14ac:dyDescent="0.25">
      <c r="Q39216" s="8"/>
    </row>
    <row r="39217" spans="17:17" x14ac:dyDescent="0.25">
      <c r="Q39217" s="8"/>
    </row>
    <row r="39218" spans="17:17" x14ac:dyDescent="0.25">
      <c r="Q39218" s="8"/>
    </row>
    <row r="39219" spans="17:17" x14ac:dyDescent="0.25">
      <c r="Q39219" s="8"/>
    </row>
    <row r="39220" spans="17:17" x14ac:dyDescent="0.25">
      <c r="Q39220" s="8"/>
    </row>
    <row r="39221" spans="17:17" x14ac:dyDescent="0.25">
      <c r="Q39221" s="8"/>
    </row>
    <row r="39222" spans="17:17" x14ac:dyDescent="0.25">
      <c r="Q39222" s="8"/>
    </row>
    <row r="39223" spans="17:17" x14ac:dyDescent="0.25">
      <c r="Q39223" s="8"/>
    </row>
    <row r="39224" spans="17:17" x14ac:dyDescent="0.25">
      <c r="Q39224" s="8"/>
    </row>
    <row r="39225" spans="17:17" x14ac:dyDescent="0.25">
      <c r="Q39225" s="8"/>
    </row>
    <row r="39226" spans="17:17" x14ac:dyDescent="0.25">
      <c r="Q39226" s="8"/>
    </row>
    <row r="39227" spans="17:17" x14ac:dyDescent="0.25">
      <c r="Q39227" s="8"/>
    </row>
    <row r="39228" spans="17:17" x14ac:dyDescent="0.25">
      <c r="Q39228" s="8"/>
    </row>
    <row r="39229" spans="17:17" x14ac:dyDescent="0.25">
      <c r="Q39229" s="8"/>
    </row>
    <row r="39230" spans="17:17" x14ac:dyDescent="0.25">
      <c r="Q39230" s="8"/>
    </row>
    <row r="39231" spans="17:17" x14ac:dyDescent="0.25">
      <c r="Q39231" s="8"/>
    </row>
    <row r="39232" spans="17:17" x14ac:dyDescent="0.25">
      <c r="Q39232" s="8"/>
    </row>
    <row r="39233" spans="17:17" x14ac:dyDescent="0.25">
      <c r="Q39233" s="8"/>
    </row>
    <row r="39234" spans="17:17" x14ac:dyDescent="0.25">
      <c r="Q39234" s="8"/>
    </row>
    <row r="39235" spans="17:17" x14ac:dyDescent="0.25">
      <c r="Q39235" s="8"/>
    </row>
    <row r="39236" spans="17:17" x14ac:dyDescent="0.25">
      <c r="Q39236" s="8"/>
    </row>
    <row r="39237" spans="17:17" x14ac:dyDescent="0.25">
      <c r="Q39237" s="8"/>
    </row>
    <row r="39238" spans="17:17" x14ac:dyDescent="0.25">
      <c r="Q39238" s="8"/>
    </row>
    <row r="39239" spans="17:17" x14ac:dyDescent="0.25">
      <c r="Q39239" s="8"/>
    </row>
    <row r="39240" spans="17:17" x14ac:dyDescent="0.25">
      <c r="Q39240" s="8"/>
    </row>
    <row r="39241" spans="17:17" x14ac:dyDescent="0.25">
      <c r="Q39241" s="8"/>
    </row>
    <row r="39242" spans="17:17" x14ac:dyDescent="0.25">
      <c r="Q39242" s="8"/>
    </row>
    <row r="39243" spans="17:17" x14ac:dyDescent="0.25">
      <c r="Q39243" s="8"/>
    </row>
    <row r="39244" spans="17:17" x14ac:dyDescent="0.25">
      <c r="Q39244" s="8"/>
    </row>
    <row r="39245" spans="17:17" x14ac:dyDescent="0.25">
      <c r="Q39245" s="8"/>
    </row>
    <row r="39246" spans="17:17" x14ac:dyDescent="0.25">
      <c r="Q39246" s="8"/>
    </row>
    <row r="39247" spans="17:17" x14ac:dyDescent="0.25">
      <c r="Q39247" s="8"/>
    </row>
    <row r="39248" spans="17:17" x14ac:dyDescent="0.25">
      <c r="Q39248" s="8"/>
    </row>
    <row r="39249" spans="17:17" x14ac:dyDescent="0.25">
      <c r="Q39249" s="8"/>
    </row>
    <row r="39250" spans="17:17" x14ac:dyDescent="0.25">
      <c r="Q39250" s="8"/>
    </row>
    <row r="39251" spans="17:17" x14ac:dyDescent="0.25">
      <c r="Q39251" s="8"/>
    </row>
    <row r="39252" spans="17:17" x14ac:dyDescent="0.25">
      <c r="Q39252" s="8"/>
    </row>
    <row r="39253" spans="17:17" x14ac:dyDescent="0.25">
      <c r="Q39253" s="8"/>
    </row>
    <row r="39254" spans="17:17" x14ac:dyDescent="0.25">
      <c r="Q39254" s="8"/>
    </row>
    <row r="39255" spans="17:17" x14ac:dyDescent="0.25">
      <c r="Q39255" s="8"/>
    </row>
    <row r="39256" spans="17:17" x14ac:dyDescent="0.25">
      <c r="Q39256" s="8"/>
    </row>
    <row r="39257" spans="17:17" x14ac:dyDescent="0.25">
      <c r="Q39257" s="8"/>
    </row>
    <row r="39258" spans="17:17" x14ac:dyDescent="0.25">
      <c r="Q39258" s="8"/>
    </row>
    <row r="39259" spans="17:17" x14ac:dyDescent="0.25">
      <c r="Q39259" s="8"/>
    </row>
    <row r="39260" spans="17:17" x14ac:dyDescent="0.25">
      <c r="Q39260" s="8"/>
    </row>
    <row r="39261" spans="17:17" x14ac:dyDescent="0.25">
      <c r="Q39261" s="8"/>
    </row>
    <row r="39262" spans="17:17" x14ac:dyDescent="0.25">
      <c r="Q39262" s="8"/>
    </row>
    <row r="39263" spans="17:17" x14ac:dyDescent="0.25">
      <c r="Q39263" s="8"/>
    </row>
    <row r="39264" spans="17:17" x14ac:dyDescent="0.25">
      <c r="Q39264" s="8"/>
    </row>
    <row r="39265" spans="17:17" x14ac:dyDescent="0.25">
      <c r="Q39265" s="8"/>
    </row>
    <row r="39266" spans="17:17" x14ac:dyDescent="0.25">
      <c r="Q39266" s="8"/>
    </row>
    <row r="39267" spans="17:17" x14ac:dyDescent="0.25">
      <c r="Q39267" s="8"/>
    </row>
    <row r="39268" spans="17:17" x14ac:dyDescent="0.25">
      <c r="Q39268" s="8"/>
    </row>
    <row r="39269" spans="17:17" x14ac:dyDescent="0.25">
      <c r="Q39269" s="8"/>
    </row>
    <row r="39270" spans="17:17" x14ac:dyDescent="0.25">
      <c r="Q39270" s="8"/>
    </row>
    <row r="39271" spans="17:17" x14ac:dyDescent="0.25">
      <c r="Q39271" s="8"/>
    </row>
    <row r="39272" spans="17:17" x14ac:dyDescent="0.25">
      <c r="Q39272" s="8"/>
    </row>
    <row r="39273" spans="17:17" x14ac:dyDescent="0.25">
      <c r="Q39273" s="8"/>
    </row>
    <row r="39274" spans="17:17" x14ac:dyDescent="0.25">
      <c r="Q39274" s="8"/>
    </row>
    <row r="39275" spans="17:17" x14ac:dyDescent="0.25">
      <c r="Q39275" s="8"/>
    </row>
    <row r="39276" spans="17:17" x14ac:dyDescent="0.25">
      <c r="Q39276" s="8"/>
    </row>
    <row r="39277" spans="17:17" x14ac:dyDescent="0.25">
      <c r="Q39277" s="8"/>
    </row>
    <row r="39278" spans="17:17" x14ac:dyDescent="0.25">
      <c r="Q39278" s="8"/>
    </row>
    <row r="39279" spans="17:17" x14ac:dyDescent="0.25">
      <c r="Q39279" s="8"/>
    </row>
    <row r="39280" spans="17:17" x14ac:dyDescent="0.25">
      <c r="Q39280" s="8"/>
    </row>
    <row r="39281" spans="17:17" x14ac:dyDescent="0.25">
      <c r="Q39281" s="8"/>
    </row>
    <row r="39282" spans="17:17" x14ac:dyDescent="0.25">
      <c r="Q39282" s="8"/>
    </row>
    <row r="39283" spans="17:17" x14ac:dyDescent="0.25">
      <c r="Q39283" s="8"/>
    </row>
    <row r="39284" spans="17:17" x14ac:dyDescent="0.25">
      <c r="Q39284" s="8"/>
    </row>
    <row r="39285" spans="17:17" x14ac:dyDescent="0.25">
      <c r="Q39285" s="8"/>
    </row>
    <row r="39286" spans="17:17" x14ac:dyDescent="0.25">
      <c r="Q39286" s="8"/>
    </row>
    <row r="39287" spans="17:17" x14ac:dyDescent="0.25">
      <c r="Q39287" s="8"/>
    </row>
    <row r="39288" spans="17:17" x14ac:dyDescent="0.25">
      <c r="Q39288" s="8"/>
    </row>
    <row r="39289" spans="17:17" x14ac:dyDescent="0.25">
      <c r="Q39289" s="8"/>
    </row>
    <row r="39290" spans="17:17" x14ac:dyDescent="0.25">
      <c r="Q39290" s="8"/>
    </row>
    <row r="39291" spans="17:17" x14ac:dyDescent="0.25">
      <c r="Q39291" s="8"/>
    </row>
    <row r="39292" spans="17:17" x14ac:dyDescent="0.25">
      <c r="Q39292" s="8"/>
    </row>
    <row r="39293" spans="17:17" x14ac:dyDescent="0.25">
      <c r="Q39293" s="8"/>
    </row>
    <row r="39294" spans="17:17" x14ac:dyDescent="0.25">
      <c r="Q39294" s="8"/>
    </row>
    <row r="39295" spans="17:17" x14ac:dyDescent="0.25">
      <c r="Q39295" s="8"/>
    </row>
    <row r="39296" spans="17:17" x14ac:dyDescent="0.25">
      <c r="Q39296" s="8"/>
    </row>
    <row r="39297" spans="17:17" x14ac:dyDescent="0.25">
      <c r="Q39297" s="8"/>
    </row>
    <row r="39298" spans="17:17" x14ac:dyDescent="0.25">
      <c r="Q39298" s="8"/>
    </row>
    <row r="39299" spans="17:17" x14ac:dyDescent="0.25">
      <c r="Q39299" s="8"/>
    </row>
    <row r="39300" spans="17:17" x14ac:dyDescent="0.25">
      <c r="Q39300" s="8"/>
    </row>
    <row r="39301" spans="17:17" x14ac:dyDescent="0.25">
      <c r="Q39301" s="8"/>
    </row>
    <row r="39302" spans="17:17" x14ac:dyDescent="0.25">
      <c r="Q39302" s="8"/>
    </row>
    <row r="39303" spans="17:17" x14ac:dyDescent="0.25">
      <c r="Q39303" s="8"/>
    </row>
    <row r="39304" spans="17:17" x14ac:dyDescent="0.25">
      <c r="Q39304" s="8"/>
    </row>
    <row r="39305" spans="17:17" x14ac:dyDescent="0.25">
      <c r="Q39305" s="8"/>
    </row>
    <row r="39306" spans="17:17" x14ac:dyDescent="0.25">
      <c r="Q39306" s="8"/>
    </row>
    <row r="39307" spans="17:17" x14ac:dyDescent="0.25">
      <c r="Q39307" s="8"/>
    </row>
    <row r="39308" spans="17:17" x14ac:dyDescent="0.25">
      <c r="Q39308" s="8"/>
    </row>
    <row r="39309" spans="17:17" x14ac:dyDescent="0.25">
      <c r="Q39309" s="8"/>
    </row>
    <row r="39310" spans="17:17" x14ac:dyDescent="0.25">
      <c r="Q39310" s="8"/>
    </row>
    <row r="39311" spans="17:17" x14ac:dyDescent="0.25">
      <c r="Q39311" s="8"/>
    </row>
    <row r="39312" spans="17:17" x14ac:dyDescent="0.25">
      <c r="Q39312" s="8"/>
    </row>
    <row r="39313" spans="17:17" x14ac:dyDescent="0.25">
      <c r="Q39313" s="8"/>
    </row>
    <row r="39314" spans="17:17" x14ac:dyDescent="0.25">
      <c r="Q39314" s="8"/>
    </row>
    <row r="39315" spans="17:17" x14ac:dyDescent="0.25">
      <c r="Q39315" s="8"/>
    </row>
    <row r="39316" spans="17:17" x14ac:dyDescent="0.25">
      <c r="Q39316" s="8"/>
    </row>
    <row r="39317" spans="17:17" x14ac:dyDescent="0.25">
      <c r="Q39317" s="8"/>
    </row>
    <row r="39318" spans="17:17" x14ac:dyDescent="0.25">
      <c r="Q39318" s="8"/>
    </row>
    <row r="39319" spans="17:17" x14ac:dyDescent="0.25">
      <c r="Q39319" s="8"/>
    </row>
    <row r="39320" spans="17:17" x14ac:dyDescent="0.25">
      <c r="Q39320" s="8"/>
    </row>
    <row r="39321" spans="17:17" x14ac:dyDescent="0.25">
      <c r="Q39321" s="8"/>
    </row>
    <row r="39322" spans="17:17" x14ac:dyDescent="0.25">
      <c r="Q39322" s="8"/>
    </row>
    <row r="39323" spans="17:17" x14ac:dyDescent="0.25">
      <c r="Q39323" s="8"/>
    </row>
    <row r="39324" spans="17:17" x14ac:dyDescent="0.25">
      <c r="Q39324" s="8"/>
    </row>
    <row r="39325" spans="17:17" x14ac:dyDescent="0.25">
      <c r="Q39325" s="8"/>
    </row>
    <row r="39326" spans="17:17" x14ac:dyDescent="0.25">
      <c r="Q39326" s="8"/>
    </row>
    <row r="39327" spans="17:17" x14ac:dyDescent="0.25">
      <c r="Q39327" s="8"/>
    </row>
    <row r="39328" spans="17:17" x14ac:dyDescent="0.25">
      <c r="Q39328" s="8"/>
    </row>
    <row r="39329" spans="17:17" x14ac:dyDescent="0.25">
      <c r="Q39329" s="8"/>
    </row>
    <row r="39330" spans="17:17" x14ac:dyDescent="0.25">
      <c r="Q39330" s="8"/>
    </row>
    <row r="39331" spans="17:17" x14ac:dyDescent="0.25">
      <c r="Q39331" s="8"/>
    </row>
    <row r="39332" spans="17:17" x14ac:dyDescent="0.25">
      <c r="Q39332" s="8"/>
    </row>
    <row r="39333" spans="17:17" x14ac:dyDescent="0.25">
      <c r="Q39333" s="8"/>
    </row>
    <row r="39334" spans="17:17" x14ac:dyDescent="0.25">
      <c r="Q39334" s="8"/>
    </row>
    <row r="39335" spans="17:17" x14ac:dyDescent="0.25">
      <c r="Q39335" s="8"/>
    </row>
    <row r="39336" spans="17:17" x14ac:dyDescent="0.25">
      <c r="Q39336" s="8"/>
    </row>
    <row r="39337" spans="17:17" x14ac:dyDescent="0.25">
      <c r="Q39337" s="8"/>
    </row>
    <row r="39338" spans="17:17" x14ac:dyDescent="0.25">
      <c r="Q39338" s="8"/>
    </row>
    <row r="39339" spans="17:17" x14ac:dyDescent="0.25">
      <c r="Q39339" s="8"/>
    </row>
    <row r="39340" spans="17:17" x14ac:dyDescent="0.25">
      <c r="Q39340" s="8"/>
    </row>
    <row r="39341" spans="17:17" x14ac:dyDescent="0.25">
      <c r="Q39341" s="8"/>
    </row>
    <row r="39342" spans="17:17" x14ac:dyDescent="0.25">
      <c r="Q39342" s="8"/>
    </row>
    <row r="39343" spans="17:17" x14ac:dyDescent="0.25">
      <c r="Q39343" s="8"/>
    </row>
    <row r="39344" spans="17:17" x14ac:dyDescent="0.25">
      <c r="Q39344" s="8"/>
    </row>
    <row r="39345" spans="17:17" x14ac:dyDescent="0.25">
      <c r="Q39345" s="8"/>
    </row>
    <row r="39346" spans="17:17" x14ac:dyDescent="0.25">
      <c r="Q39346" s="8"/>
    </row>
    <row r="39347" spans="17:17" x14ac:dyDescent="0.25">
      <c r="Q39347" s="8"/>
    </row>
    <row r="39348" spans="17:17" x14ac:dyDescent="0.25">
      <c r="Q39348" s="8"/>
    </row>
    <row r="39349" spans="17:17" x14ac:dyDescent="0.25">
      <c r="Q39349" s="8"/>
    </row>
    <row r="39350" spans="17:17" x14ac:dyDescent="0.25">
      <c r="Q39350" s="8"/>
    </row>
    <row r="39351" spans="17:17" x14ac:dyDescent="0.25">
      <c r="Q39351" s="8"/>
    </row>
    <row r="39352" spans="17:17" x14ac:dyDescent="0.25">
      <c r="Q39352" s="8"/>
    </row>
    <row r="39353" spans="17:17" x14ac:dyDescent="0.25">
      <c r="Q39353" s="8"/>
    </row>
    <row r="39354" spans="17:17" x14ac:dyDescent="0.25">
      <c r="Q39354" s="8"/>
    </row>
    <row r="39355" spans="17:17" x14ac:dyDescent="0.25">
      <c r="Q39355" s="8"/>
    </row>
    <row r="39356" spans="17:17" x14ac:dyDescent="0.25">
      <c r="Q39356" s="8"/>
    </row>
    <row r="39357" spans="17:17" x14ac:dyDescent="0.25">
      <c r="Q39357" s="8"/>
    </row>
    <row r="39358" spans="17:17" x14ac:dyDescent="0.25">
      <c r="Q39358" s="8"/>
    </row>
    <row r="39359" spans="17:17" x14ac:dyDescent="0.25">
      <c r="Q39359" s="8"/>
    </row>
    <row r="39360" spans="17:17" x14ac:dyDescent="0.25">
      <c r="Q39360" s="8"/>
    </row>
    <row r="39361" spans="17:17" x14ac:dyDescent="0.25">
      <c r="Q39361" s="8"/>
    </row>
    <row r="39362" spans="17:17" x14ac:dyDescent="0.25">
      <c r="Q39362" s="8"/>
    </row>
    <row r="39363" spans="17:17" x14ac:dyDescent="0.25">
      <c r="Q39363" s="8"/>
    </row>
    <row r="39364" spans="17:17" x14ac:dyDescent="0.25">
      <c r="Q39364" s="8"/>
    </row>
    <row r="39365" spans="17:17" x14ac:dyDescent="0.25">
      <c r="Q39365" s="8"/>
    </row>
    <row r="39366" spans="17:17" x14ac:dyDescent="0.25">
      <c r="Q39366" s="8"/>
    </row>
    <row r="39367" spans="17:17" x14ac:dyDescent="0.25">
      <c r="Q39367" s="8"/>
    </row>
    <row r="39368" spans="17:17" x14ac:dyDescent="0.25">
      <c r="Q39368" s="8"/>
    </row>
    <row r="39369" spans="17:17" x14ac:dyDescent="0.25">
      <c r="Q39369" s="8"/>
    </row>
    <row r="39370" spans="17:17" x14ac:dyDescent="0.25">
      <c r="Q39370" s="8"/>
    </row>
    <row r="39371" spans="17:17" x14ac:dyDescent="0.25">
      <c r="Q39371" s="8"/>
    </row>
    <row r="39372" spans="17:17" x14ac:dyDescent="0.25">
      <c r="Q39372" s="8"/>
    </row>
    <row r="39373" spans="17:17" x14ac:dyDescent="0.25">
      <c r="Q39373" s="8"/>
    </row>
    <row r="39374" spans="17:17" x14ac:dyDescent="0.25">
      <c r="Q39374" s="8"/>
    </row>
    <row r="39375" spans="17:17" x14ac:dyDescent="0.25">
      <c r="Q39375" s="8"/>
    </row>
    <row r="39376" spans="17:17" x14ac:dyDescent="0.25">
      <c r="Q39376" s="8"/>
    </row>
    <row r="39377" spans="17:17" x14ac:dyDescent="0.25">
      <c r="Q39377" s="8"/>
    </row>
    <row r="39378" spans="17:17" x14ac:dyDescent="0.25">
      <c r="Q39378" s="8"/>
    </row>
    <row r="39379" spans="17:17" x14ac:dyDescent="0.25">
      <c r="Q39379" s="8"/>
    </row>
    <row r="39380" spans="17:17" x14ac:dyDescent="0.25">
      <c r="Q39380" s="8"/>
    </row>
    <row r="39381" spans="17:17" x14ac:dyDescent="0.25">
      <c r="Q39381" s="8"/>
    </row>
    <row r="39382" spans="17:17" x14ac:dyDescent="0.25">
      <c r="Q39382" s="8"/>
    </row>
    <row r="39383" spans="17:17" x14ac:dyDescent="0.25">
      <c r="Q39383" s="8"/>
    </row>
    <row r="39384" spans="17:17" x14ac:dyDescent="0.25">
      <c r="Q39384" s="8"/>
    </row>
    <row r="39385" spans="17:17" x14ac:dyDescent="0.25">
      <c r="Q39385" s="8"/>
    </row>
    <row r="39386" spans="17:17" x14ac:dyDescent="0.25">
      <c r="Q39386" s="8"/>
    </row>
    <row r="39387" spans="17:17" x14ac:dyDescent="0.25">
      <c r="Q39387" s="8"/>
    </row>
    <row r="39388" spans="17:17" x14ac:dyDescent="0.25">
      <c r="Q39388" s="8"/>
    </row>
    <row r="39389" spans="17:17" x14ac:dyDescent="0.25">
      <c r="Q39389" s="8"/>
    </row>
    <row r="39390" spans="17:17" x14ac:dyDescent="0.25">
      <c r="Q39390" s="8"/>
    </row>
    <row r="39391" spans="17:17" x14ac:dyDescent="0.25">
      <c r="Q39391" s="8"/>
    </row>
    <row r="39392" spans="17:17" x14ac:dyDescent="0.25">
      <c r="Q39392" s="8"/>
    </row>
    <row r="39393" spans="17:17" x14ac:dyDescent="0.25">
      <c r="Q39393" s="8"/>
    </row>
    <row r="39394" spans="17:17" x14ac:dyDescent="0.25">
      <c r="Q39394" s="8"/>
    </row>
    <row r="39395" spans="17:17" x14ac:dyDescent="0.25">
      <c r="Q39395" s="8"/>
    </row>
    <row r="39396" spans="17:17" x14ac:dyDescent="0.25">
      <c r="Q39396" s="8"/>
    </row>
    <row r="39397" spans="17:17" x14ac:dyDescent="0.25">
      <c r="Q39397" s="8"/>
    </row>
    <row r="39398" spans="17:17" x14ac:dyDescent="0.25">
      <c r="Q39398" s="8"/>
    </row>
    <row r="39399" spans="17:17" x14ac:dyDescent="0.25">
      <c r="Q39399" s="8"/>
    </row>
    <row r="39400" spans="17:17" x14ac:dyDescent="0.25">
      <c r="Q39400" s="8"/>
    </row>
    <row r="39401" spans="17:17" x14ac:dyDescent="0.25">
      <c r="Q39401" s="8"/>
    </row>
    <row r="39402" spans="17:17" x14ac:dyDescent="0.25">
      <c r="Q39402" s="8"/>
    </row>
    <row r="39403" spans="17:17" x14ac:dyDescent="0.25">
      <c r="Q39403" s="8"/>
    </row>
    <row r="39404" spans="17:17" x14ac:dyDescent="0.25">
      <c r="Q39404" s="8"/>
    </row>
    <row r="39405" spans="17:17" x14ac:dyDescent="0.25">
      <c r="Q39405" s="8"/>
    </row>
    <row r="39406" spans="17:17" x14ac:dyDescent="0.25">
      <c r="Q39406" s="8"/>
    </row>
    <row r="39407" spans="17:17" x14ac:dyDescent="0.25">
      <c r="Q39407" s="8"/>
    </row>
    <row r="39408" spans="17:17" x14ac:dyDescent="0.25">
      <c r="Q39408" s="8"/>
    </row>
    <row r="39409" spans="17:17" x14ac:dyDescent="0.25">
      <c r="Q39409" s="8"/>
    </row>
    <row r="39410" spans="17:17" x14ac:dyDescent="0.25">
      <c r="Q39410" s="8"/>
    </row>
    <row r="39411" spans="17:17" x14ac:dyDescent="0.25">
      <c r="Q39411" s="8"/>
    </row>
    <row r="39412" spans="17:17" x14ac:dyDescent="0.25">
      <c r="Q39412" s="8"/>
    </row>
    <row r="39413" spans="17:17" x14ac:dyDescent="0.25">
      <c r="Q39413" s="8"/>
    </row>
    <row r="39414" spans="17:17" x14ac:dyDescent="0.25">
      <c r="Q39414" s="8"/>
    </row>
    <row r="39415" spans="17:17" x14ac:dyDescent="0.25">
      <c r="Q39415" s="8"/>
    </row>
    <row r="39416" spans="17:17" x14ac:dyDescent="0.25">
      <c r="Q39416" s="8"/>
    </row>
    <row r="39417" spans="17:17" x14ac:dyDescent="0.25">
      <c r="Q39417" s="8"/>
    </row>
    <row r="39418" spans="17:17" x14ac:dyDescent="0.25">
      <c r="Q39418" s="8"/>
    </row>
    <row r="39419" spans="17:17" x14ac:dyDescent="0.25">
      <c r="Q39419" s="8"/>
    </row>
    <row r="39420" spans="17:17" x14ac:dyDescent="0.25">
      <c r="Q39420" s="8"/>
    </row>
    <row r="39421" spans="17:17" x14ac:dyDescent="0.25">
      <c r="Q39421" s="8"/>
    </row>
    <row r="39422" spans="17:17" x14ac:dyDescent="0.25">
      <c r="Q39422" s="8"/>
    </row>
    <row r="39423" spans="17:17" x14ac:dyDescent="0.25">
      <c r="Q39423" s="8"/>
    </row>
    <row r="39424" spans="17:17" x14ac:dyDescent="0.25">
      <c r="Q39424" s="8"/>
    </row>
    <row r="39425" spans="17:17" x14ac:dyDescent="0.25">
      <c r="Q39425" s="8"/>
    </row>
    <row r="39426" spans="17:17" x14ac:dyDescent="0.25">
      <c r="Q39426" s="8"/>
    </row>
    <row r="39427" spans="17:17" x14ac:dyDescent="0.25">
      <c r="Q39427" s="8"/>
    </row>
    <row r="39428" spans="17:17" x14ac:dyDescent="0.25">
      <c r="Q39428" s="8"/>
    </row>
    <row r="39429" spans="17:17" x14ac:dyDescent="0.25">
      <c r="Q39429" s="8"/>
    </row>
    <row r="39430" spans="17:17" x14ac:dyDescent="0.25">
      <c r="Q39430" s="8"/>
    </row>
    <row r="39431" spans="17:17" x14ac:dyDescent="0.25">
      <c r="Q39431" s="8"/>
    </row>
    <row r="39432" spans="17:17" x14ac:dyDescent="0.25">
      <c r="Q39432" s="8"/>
    </row>
    <row r="39433" spans="17:17" x14ac:dyDescent="0.25">
      <c r="Q39433" s="8"/>
    </row>
    <row r="39434" spans="17:17" x14ac:dyDescent="0.25">
      <c r="Q39434" s="8"/>
    </row>
    <row r="39435" spans="17:17" x14ac:dyDescent="0.25">
      <c r="Q39435" s="8"/>
    </row>
    <row r="39436" spans="17:17" x14ac:dyDescent="0.25">
      <c r="Q39436" s="8"/>
    </row>
    <row r="39437" spans="17:17" x14ac:dyDescent="0.25">
      <c r="Q39437" s="8"/>
    </row>
    <row r="39438" spans="17:17" x14ac:dyDescent="0.25">
      <c r="Q39438" s="8"/>
    </row>
    <row r="39439" spans="17:17" x14ac:dyDescent="0.25">
      <c r="Q39439" s="8"/>
    </row>
    <row r="39440" spans="17:17" x14ac:dyDescent="0.25">
      <c r="Q39440" s="8"/>
    </row>
    <row r="39441" spans="17:17" x14ac:dyDescent="0.25">
      <c r="Q39441" s="8"/>
    </row>
    <row r="39442" spans="17:17" x14ac:dyDescent="0.25">
      <c r="Q39442" s="8"/>
    </row>
    <row r="39443" spans="17:17" x14ac:dyDescent="0.25">
      <c r="Q39443" s="8"/>
    </row>
    <row r="39444" spans="17:17" x14ac:dyDescent="0.25">
      <c r="Q39444" s="8"/>
    </row>
    <row r="39445" spans="17:17" x14ac:dyDescent="0.25">
      <c r="Q39445" s="8"/>
    </row>
    <row r="39446" spans="17:17" x14ac:dyDescent="0.25">
      <c r="Q39446" s="8"/>
    </row>
    <row r="39447" spans="17:17" x14ac:dyDescent="0.25">
      <c r="Q39447" s="8"/>
    </row>
    <row r="39448" spans="17:17" x14ac:dyDescent="0.25">
      <c r="Q39448" s="8"/>
    </row>
    <row r="39449" spans="17:17" x14ac:dyDescent="0.25">
      <c r="Q39449" s="8"/>
    </row>
    <row r="39450" spans="17:17" x14ac:dyDescent="0.25">
      <c r="Q39450" s="8"/>
    </row>
    <row r="39451" spans="17:17" x14ac:dyDescent="0.25">
      <c r="Q39451" s="8"/>
    </row>
    <row r="39452" spans="17:17" x14ac:dyDescent="0.25">
      <c r="Q39452" s="8"/>
    </row>
    <row r="39453" spans="17:17" x14ac:dyDescent="0.25">
      <c r="Q39453" s="8"/>
    </row>
    <row r="39454" spans="17:17" x14ac:dyDescent="0.25">
      <c r="Q39454" s="8"/>
    </row>
    <row r="39455" spans="17:17" x14ac:dyDescent="0.25">
      <c r="Q39455" s="8"/>
    </row>
    <row r="39456" spans="17:17" x14ac:dyDescent="0.25">
      <c r="Q39456" s="8"/>
    </row>
    <row r="39457" spans="17:17" x14ac:dyDescent="0.25">
      <c r="Q39457" s="8"/>
    </row>
    <row r="39458" spans="17:17" x14ac:dyDescent="0.25">
      <c r="Q39458" s="8"/>
    </row>
    <row r="39459" spans="17:17" x14ac:dyDescent="0.25">
      <c r="Q39459" s="8"/>
    </row>
    <row r="39460" spans="17:17" x14ac:dyDescent="0.25">
      <c r="Q39460" s="8"/>
    </row>
    <row r="39461" spans="17:17" x14ac:dyDescent="0.25">
      <c r="Q39461" s="8"/>
    </row>
    <row r="39462" spans="17:17" x14ac:dyDescent="0.25">
      <c r="Q39462" s="8"/>
    </row>
    <row r="39463" spans="17:17" x14ac:dyDescent="0.25">
      <c r="Q39463" s="8"/>
    </row>
    <row r="39464" spans="17:17" x14ac:dyDescent="0.25">
      <c r="Q39464" s="8"/>
    </row>
    <row r="39465" spans="17:17" x14ac:dyDescent="0.25">
      <c r="Q39465" s="8"/>
    </row>
    <row r="39466" spans="17:17" x14ac:dyDescent="0.25">
      <c r="Q39466" s="8"/>
    </row>
    <row r="39467" spans="17:17" x14ac:dyDescent="0.25">
      <c r="Q39467" s="8"/>
    </row>
    <row r="39468" spans="17:17" x14ac:dyDescent="0.25">
      <c r="Q39468" s="8"/>
    </row>
    <row r="39469" spans="17:17" x14ac:dyDescent="0.25">
      <c r="Q39469" s="8"/>
    </row>
    <row r="39470" spans="17:17" x14ac:dyDescent="0.25">
      <c r="Q39470" s="8"/>
    </row>
    <row r="39471" spans="17:17" x14ac:dyDescent="0.25">
      <c r="Q39471" s="8"/>
    </row>
    <row r="39472" spans="17:17" x14ac:dyDescent="0.25">
      <c r="Q39472" s="8"/>
    </row>
    <row r="39473" spans="17:17" x14ac:dyDescent="0.25">
      <c r="Q39473" s="8"/>
    </row>
    <row r="39474" spans="17:17" x14ac:dyDescent="0.25">
      <c r="Q39474" s="8"/>
    </row>
    <row r="39475" spans="17:17" x14ac:dyDescent="0.25">
      <c r="Q39475" s="8"/>
    </row>
    <row r="39476" spans="17:17" x14ac:dyDescent="0.25">
      <c r="Q39476" s="8"/>
    </row>
    <row r="39477" spans="17:17" x14ac:dyDescent="0.25">
      <c r="Q39477" s="8"/>
    </row>
    <row r="39478" spans="17:17" x14ac:dyDescent="0.25">
      <c r="Q39478" s="8"/>
    </row>
    <row r="39479" spans="17:17" x14ac:dyDescent="0.25">
      <c r="Q39479" s="8"/>
    </row>
    <row r="39480" spans="17:17" x14ac:dyDescent="0.25">
      <c r="Q39480" s="8"/>
    </row>
    <row r="39481" spans="17:17" x14ac:dyDescent="0.25">
      <c r="Q39481" s="8"/>
    </row>
    <row r="39482" spans="17:17" x14ac:dyDescent="0.25">
      <c r="Q39482" s="8"/>
    </row>
    <row r="39483" spans="17:17" x14ac:dyDescent="0.25">
      <c r="Q39483" s="8"/>
    </row>
    <row r="39484" spans="17:17" x14ac:dyDescent="0.25">
      <c r="Q39484" s="8"/>
    </row>
    <row r="39485" spans="17:17" x14ac:dyDescent="0.25">
      <c r="Q39485" s="8"/>
    </row>
    <row r="39486" spans="17:17" x14ac:dyDescent="0.25">
      <c r="Q39486" s="8"/>
    </row>
    <row r="39487" spans="17:17" x14ac:dyDescent="0.25">
      <c r="Q39487" s="8"/>
    </row>
    <row r="39488" spans="17:17" x14ac:dyDescent="0.25">
      <c r="Q39488" s="8"/>
    </row>
    <row r="39489" spans="17:17" x14ac:dyDescent="0.25">
      <c r="Q39489" s="8"/>
    </row>
    <row r="39490" spans="17:17" x14ac:dyDescent="0.25">
      <c r="Q39490" s="8"/>
    </row>
    <row r="39491" spans="17:17" x14ac:dyDescent="0.25">
      <c r="Q39491" s="8"/>
    </row>
    <row r="39492" spans="17:17" x14ac:dyDescent="0.25">
      <c r="Q39492" s="8"/>
    </row>
    <row r="39493" spans="17:17" x14ac:dyDescent="0.25">
      <c r="Q39493" s="8"/>
    </row>
    <row r="39494" spans="17:17" x14ac:dyDescent="0.25">
      <c r="Q39494" s="8"/>
    </row>
    <row r="39495" spans="17:17" x14ac:dyDescent="0.25">
      <c r="Q39495" s="8"/>
    </row>
    <row r="39496" spans="17:17" x14ac:dyDescent="0.25">
      <c r="Q39496" s="8"/>
    </row>
    <row r="39497" spans="17:17" x14ac:dyDescent="0.25">
      <c r="Q39497" s="8"/>
    </row>
    <row r="39498" spans="17:17" x14ac:dyDescent="0.25">
      <c r="Q39498" s="8"/>
    </row>
    <row r="39499" spans="17:17" x14ac:dyDescent="0.25">
      <c r="Q39499" s="8"/>
    </row>
    <row r="39500" spans="17:17" x14ac:dyDescent="0.25">
      <c r="Q39500" s="8"/>
    </row>
    <row r="39501" spans="17:17" x14ac:dyDescent="0.25">
      <c r="Q39501" s="8"/>
    </row>
    <row r="39502" spans="17:17" x14ac:dyDescent="0.25">
      <c r="Q39502" s="8"/>
    </row>
    <row r="39503" spans="17:17" x14ac:dyDescent="0.25">
      <c r="Q39503" s="8"/>
    </row>
    <row r="39504" spans="17:17" x14ac:dyDescent="0.25">
      <c r="Q39504" s="8"/>
    </row>
    <row r="39505" spans="17:17" x14ac:dyDescent="0.25">
      <c r="Q39505" s="8"/>
    </row>
    <row r="39506" spans="17:17" x14ac:dyDescent="0.25">
      <c r="Q39506" s="8"/>
    </row>
    <row r="39507" spans="17:17" x14ac:dyDescent="0.25">
      <c r="Q39507" s="8"/>
    </row>
    <row r="39508" spans="17:17" x14ac:dyDescent="0.25">
      <c r="Q39508" s="8"/>
    </row>
    <row r="39509" spans="17:17" x14ac:dyDescent="0.25">
      <c r="Q39509" s="8"/>
    </row>
    <row r="39510" spans="17:17" x14ac:dyDescent="0.25">
      <c r="Q39510" s="8"/>
    </row>
    <row r="39511" spans="17:17" x14ac:dyDescent="0.25">
      <c r="Q39511" s="8"/>
    </row>
    <row r="39512" spans="17:17" x14ac:dyDescent="0.25">
      <c r="Q39512" s="8"/>
    </row>
    <row r="39513" spans="17:17" x14ac:dyDescent="0.25">
      <c r="Q39513" s="8"/>
    </row>
    <row r="39514" spans="17:17" x14ac:dyDescent="0.25">
      <c r="Q39514" s="8"/>
    </row>
    <row r="39515" spans="17:17" x14ac:dyDescent="0.25">
      <c r="Q39515" s="8"/>
    </row>
    <row r="39516" spans="17:17" x14ac:dyDescent="0.25">
      <c r="Q39516" s="8"/>
    </row>
    <row r="39517" spans="17:17" x14ac:dyDescent="0.25">
      <c r="Q39517" s="8"/>
    </row>
    <row r="39518" spans="17:17" x14ac:dyDescent="0.25">
      <c r="Q39518" s="8"/>
    </row>
    <row r="39519" spans="17:17" x14ac:dyDescent="0.25">
      <c r="Q39519" s="8"/>
    </row>
    <row r="39520" spans="17:17" x14ac:dyDescent="0.25">
      <c r="Q39520" s="8"/>
    </row>
    <row r="39521" spans="17:17" x14ac:dyDescent="0.25">
      <c r="Q39521" s="8"/>
    </row>
    <row r="39522" spans="17:17" x14ac:dyDescent="0.25">
      <c r="Q39522" s="8"/>
    </row>
    <row r="39523" spans="17:17" x14ac:dyDescent="0.25">
      <c r="Q39523" s="8"/>
    </row>
    <row r="39524" spans="17:17" x14ac:dyDescent="0.25">
      <c r="Q39524" s="8"/>
    </row>
    <row r="39525" spans="17:17" x14ac:dyDescent="0.25">
      <c r="Q39525" s="8"/>
    </row>
    <row r="39526" spans="17:17" x14ac:dyDescent="0.25">
      <c r="Q39526" s="8"/>
    </row>
    <row r="39527" spans="17:17" x14ac:dyDescent="0.25">
      <c r="Q39527" s="8"/>
    </row>
    <row r="39528" spans="17:17" x14ac:dyDescent="0.25">
      <c r="Q39528" s="8"/>
    </row>
    <row r="39529" spans="17:17" x14ac:dyDescent="0.25">
      <c r="Q39529" s="8"/>
    </row>
    <row r="39530" spans="17:17" x14ac:dyDescent="0.25">
      <c r="Q39530" s="8"/>
    </row>
    <row r="39531" spans="17:17" x14ac:dyDescent="0.25">
      <c r="Q39531" s="8"/>
    </row>
    <row r="39532" spans="17:17" x14ac:dyDescent="0.25">
      <c r="Q39532" s="8"/>
    </row>
    <row r="39533" spans="17:17" x14ac:dyDescent="0.25">
      <c r="Q39533" s="8"/>
    </row>
    <row r="39534" spans="17:17" x14ac:dyDescent="0.25">
      <c r="Q39534" s="8"/>
    </row>
    <row r="39535" spans="17:17" x14ac:dyDescent="0.25">
      <c r="Q39535" s="8"/>
    </row>
    <row r="39536" spans="17:17" x14ac:dyDescent="0.25">
      <c r="Q39536" s="8"/>
    </row>
    <row r="39537" spans="17:17" x14ac:dyDescent="0.25">
      <c r="Q39537" s="8"/>
    </row>
    <row r="39538" spans="17:17" x14ac:dyDescent="0.25">
      <c r="Q39538" s="8"/>
    </row>
    <row r="39539" spans="17:17" x14ac:dyDescent="0.25">
      <c r="Q39539" s="8"/>
    </row>
    <row r="39540" spans="17:17" x14ac:dyDescent="0.25">
      <c r="Q39540" s="8"/>
    </row>
    <row r="39541" spans="17:17" x14ac:dyDescent="0.25">
      <c r="Q39541" s="8"/>
    </row>
    <row r="39542" spans="17:17" x14ac:dyDescent="0.25">
      <c r="Q39542" s="8"/>
    </row>
    <row r="39543" spans="17:17" x14ac:dyDescent="0.25">
      <c r="Q39543" s="8"/>
    </row>
    <row r="39544" spans="17:17" x14ac:dyDescent="0.25">
      <c r="Q39544" s="8"/>
    </row>
    <row r="39545" spans="17:17" x14ac:dyDescent="0.25">
      <c r="Q39545" s="8"/>
    </row>
    <row r="39546" spans="17:17" x14ac:dyDescent="0.25">
      <c r="Q39546" s="8"/>
    </row>
    <row r="39547" spans="17:17" x14ac:dyDescent="0.25">
      <c r="Q39547" s="8"/>
    </row>
    <row r="39548" spans="17:17" x14ac:dyDescent="0.25">
      <c r="Q39548" s="8"/>
    </row>
    <row r="39549" spans="17:17" x14ac:dyDescent="0.25">
      <c r="Q39549" s="8"/>
    </row>
    <row r="39550" spans="17:17" x14ac:dyDescent="0.25">
      <c r="Q39550" s="8"/>
    </row>
    <row r="39551" spans="17:17" x14ac:dyDescent="0.25">
      <c r="Q39551" s="8"/>
    </row>
    <row r="39552" spans="17:17" x14ac:dyDescent="0.25">
      <c r="Q39552" s="8"/>
    </row>
    <row r="39553" spans="17:17" x14ac:dyDescent="0.25">
      <c r="Q39553" s="8"/>
    </row>
    <row r="39554" spans="17:17" x14ac:dyDescent="0.25">
      <c r="Q39554" s="8"/>
    </row>
    <row r="39555" spans="17:17" x14ac:dyDescent="0.25">
      <c r="Q39555" s="8"/>
    </row>
    <row r="39556" spans="17:17" x14ac:dyDescent="0.25">
      <c r="Q39556" s="8"/>
    </row>
    <row r="39557" spans="17:17" x14ac:dyDescent="0.25">
      <c r="Q39557" s="8"/>
    </row>
    <row r="39558" spans="17:17" x14ac:dyDescent="0.25">
      <c r="Q39558" s="8"/>
    </row>
    <row r="39559" spans="17:17" x14ac:dyDescent="0.25">
      <c r="Q39559" s="8"/>
    </row>
    <row r="39560" spans="17:17" x14ac:dyDescent="0.25">
      <c r="Q39560" s="8"/>
    </row>
    <row r="39561" spans="17:17" x14ac:dyDescent="0.25">
      <c r="Q39561" s="8"/>
    </row>
    <row r="39562" spans="17:17" x14ac:dyDescent="0.25">
      <c r="Q39562" s="8"/>
    </row>
    <row r="39563" spans="17:17" x14ac:dyDescent="0.25">
      <c r="Q39563" s="8"/>
    </row>
    <row r="39564" spans="17:17" x14ac:dyDescent="0.25">
      <c r="Q39564" s="8"/>
    </row>
    <row r="39565" spans="17:17" x14ac:dyDescent="0.25">
      <c r="Q39565" s="8"/>
    </row>
    <row r="39566" spans="17:17" x14ac:dyDescent="0.25">
      <c r="Q39566" s="8"/>
    </row>
    <row r="39567" spans="17:17" x14ac:dyDescent="0.25">
      <c r="Q39567" s="8"/>
    </row>
    <row r="39568" spans="17:17" x14ac:dyDescent="0.25">
      <c r="Q39568" s="8"/>
    </row>
    <row r="39569" spans="17:17" x14ac:dyDescent="0.25">
      <c r="Q39569" s="8"/>
    </row>
    <row r="39570" spans="17:17" x14ac:dyDescent="0.25">
      <c r="Q39570" s="8"/>
    </row>
    <row r="39571" spans="17:17" x14ac:dyDescent="0.25">
      <c r="Q39571" s="8"/>
    </row>
    <row r="39572" spans="17:17" x14ac:dyDescent="0.25">
      <c r="Q39572" s="8"/>
    </row>
    <row r="39573" spans="17:17" x14ac:dyDescent="0.25">
      <c r="Q39573" s="8"/>
    </row>
    <row r="39574" spans="17:17" x14ac:dyDescent="0.25">
      <c r="Q39574" s="8"/>
    </row>
    <row r="39575" spans="17:17" x14ac:dyDescent="0.25">
      <c r="Q39575" s="8"/>
    </row>
    <row r="39576" spans="17:17" x14ac:dyDescent="0.25">
      <c r="Q39576" s="8"/>
    </row>
    <row r="39577" spans="17:17" x14ac:dyDescent="0.25">
      <c r="Q39577" s="8"/>
    </row>
    <row r="39578" spans="17:17" x14ac:dyDescent="0.25">
      <c r="Q39578" s="8"/>
    </row>
    <row r="39579" spans="17:17" x14ac:dyDescent="0.25">
      <c r="Q39579" s="8"/>
    </row>
    <row r="39580" spans="17:17" x14ac:dyDescent="0.25">
      <c r="Q39580" s="8"/>
    </row>
    <row r="39581" spans="17:17" x14ac:dyDescent="0.25">
      <c r="Q39581" s="8"/>
    </row>
    <row r="39582" spans="17:17" x14ac:dyDescent="0.25">
      <c r="Q39582" s="8"/>
    </row>
    <row r="39583" spans="17:17" x14ac:dyDescent="0.25">
      <c r="Q39583" s="8"/>
    </row>
    <row r="39584" spans="17:17" x14ac:dyDescent="0.25">
      <c r="Q39584" s="8"/>
    </row>
    <row r="39585" spans="17:17" x14ac:dyDescent="0.25">
      <c r="Q39585" s="8"/>
    </row>
    <row r="39586" spans="17:17" x14ac:dyDescent="0.25">
      <c r="Q39586" s="8"/>
    </row>
    <row r="39587" spans="17:17" x14ac:dyDescent="0.25">
      <c r="Q39587" s="8"/>
    </row>
    <row r="39588" spans="17:17" x14ac:dyDescent="0.25">
      <c r="Q39588" s="8"/>
    </row>
    <row r="39589" spans="17:17" x14ac:dyDescent="0.25">
      <c r="Q39589" s="8"/>
    </row>
    <row r="39590" spans="17:17" x14ac:dyDescent="0.25">
      <c r="Q39590" s="8"/>
    </row>
    <row r="39591" spans="17:17" x14ac:dyDescent="0.25">
      <c r="Q39591" s="8"/>
    </row>
    <row r="39592" spans="17:17" x14ac:dyDescent="0.25">
      <c r="Q39592" s="8"/>
    </row>
    <row r="39593" spans="17:17" x14ac:dyDescent="0.25">
      <c r="Q39593" s="8"/>
    </row>
    <row r="39594" spans="17:17" x14ac:dyDescent="0.25">
      <c r="Q39594" s="8"/>
    </row>
    <row r="39595" spans="17:17" x14ac:dyDescent="0.25">
      <c r="Q39595" s="8"/>
    </row>
    <row r="39596" spans="17:17" x14ac:dyDescent="0.25">
      <c r="Q39596" s="8"/>
    </row>
    <row r="39597" spans="17:17" x14ac:dyDescent="0.25">
      <c r="Q39597" s="8"/>
    </row>
    <row r="39598" spans="17:17" x14ac:dyDescent="0.25">
      <c r="Q39598" s="8"/>
    </row>
    <row r="39599" spans="17:17" x14ac:dyDescent="0.25">
      <c r="Q39599" s="8"/>
    </row>
    <row r="39600" spans="17:17" x14ac:dyDescent="0.25">
      <c r="Q39600" s="8"/>
    </row>
    <row r="39601" spans="17:17" x14ac:dyDescent="0.25">
      <c r="Q39601" s="8"/>
    </row>
    <row r="39602" spans="17:17" x14ac:dyDescent="0.25">
      <c r="Q39602" s="8"/>
    </row>
    <row r="39603" spans="17:17" x14ac:dyDescent="0.25">
      <c r="Q39603" s="8"/>
    </row>
    <row r="39604" spans="17:17" x14ac:dyDescent="0.25">
      <c r="Q39604" s="8"/>
    </row>
    <row r="39605" spans="17:17" x14ac:dyDescent="0.25">
      <c r="Q39605" s="8"/>
    </row>
    <row r="39606" spans="17:17" x14ac:dyDescent="0.25">
      <c r="Q39606" s="8"/>
    </row>
    <row r="39607" spans="17:17" x14ac:dyDescent="0.25">
      <c r="Q39607" s="8"/>
    </row>
    <row r="39608" spans="17:17" x14ac:dyDescent="0.25">
      <c r="Q39608" s="8"/>
    </row>
    <row r="39609" spans="17:17" x14ac:dyDescent="0.25">
      <c r="Q39609" s="8"/>
    </row>
    <row r="39610" spans="17:17" x14ac:dyDescent="0.25">
      <c r="Q39610" s="8"/>
    </row>
    <row r="39611" spans="17:17" x14ac:dyDescent="0.25">
      <c r="Q39611" s="8"/>
    </row>
    <row r="39612" spans="17:17" x14ac:dyDescent="0.25">
      <c r="Q39612" s="8"/>
    </row>
    <row r="39613" spans="17:17" x14ac:dyDescent="0.25">
      <c r="Q39613" s="8"/>
    </row>
    <row r="39614" spans="17:17" x14ac:dyDescent="0.25">
      <c r="Q39614" s="8"/>
    </row>
    <row r="39615" spans="17:17" x14ac:dyDescent="0.25">
      <c r="Q39615" s="8"/>
    </row>
    <row r="39616" spans="17:17" x14ac:dyDescent="0.25">
      <c r="Q39616" s="8"/>
    </row>
    <row r="39617" spans="17:17" x14ac:dyDescent="0.25">
      <c r="Q39617" s="8"/>
    </row>
    <row r="39618" spans="17:17" x14ac:dyDescent="0.25">
      <c r="Q39618" s="8"/>
    </row>
    <row r="39619" spans="17:17" x14ac:dyDescent="0.25">
      <c r="Q39619" s="8"/>
    </row>
    <row r="39620" spans="17:17" x14ac:dyDescent="0.25">
      <c r="Q39620" s="8"/>
    </row>
    <row r="39621" spans="17:17" x14ac:dyDescent="0.25">
      <c r="Q39621" s="8"/>
    </row>
    <row r="39622" spans="17:17" x14ac:dyDescent="0.25">
      <c r="Q39622" s="8"/>
    </row>
    <row r="39623" spans="17:17" x14ac:dyDescent="0.25">
      <c r="Q39623" s="8"/>
    </row>
    <row r="39624" spans="17:17" x14ac:dyDescent="0.25">
      <c r="Q39624" s="8"/>
    </row>
    <row r="39625" spans="17:17" x14ac:dyDescent="0.25">
      <c r="Q39625" s="8"/>
    </row>
    <row r="39626" spans="17:17" x14ac:dyDescent="0.25">
      <c r="Q39626" s="8"/>
    </row>
    <row r="39627" spans="17:17" x14ac:dyDescent="0.25">
      <c r="Q39627" s="8"/>
    </row>
    <row r="39628" spans="17:17" x14ac:dyDescent="0.25">
      <c r="Q39628" s="8"/>
    </row>
    <row r="39629" spans="17:17" x14ac:dyDescent="0.25">
      <c r="Q39629" s="8"/>
    </row>
    <row r="39630" spans="17:17" x14ac:dyDescent="0.25">
      <c r="Q39630" s="8"/>
    </row>
    <row r="39631" spans="17:17" x14ac:dyDescent="0.25">
      <c r="Q39631" s="8"/>
    </row>
    <row r="39632" spans="17:17" x14ac:dyDescent="0.25">
      <c r="Q39632" s="8"/>
    </row>
    <row r="39633" spans="17:17" x14ac:dyDescent="0.25">
      <c r="Q39633" s="8"/>
    </row>
    <row r="39634" spans="17:17" x14ac:dyDescent="0.25">
      <c r="Q39634" s="8"/>
    </row>
    <row r="39635" spans="17:17" x14ac:dyDescent="0.25">
      <c r="Q39635" s="8"/>
    </row>
    <row r="39636" spans="17:17" x14ac:dyDescent="0.25">
      <c r="Q39636" s="8"/>
    </row>
    <row r="39637" spans="17:17" x14ac:dyDescent="0.25">
      <c r="Q39637" s="8"/>
    </row>
    <row r="39638" spans="17:17" x14ac:dyDescent="0.25">
      <c r="Q39638" s="8"/>
    </row>
    <row r="39639" spans="17:17" x14ac:dyDescent="0.25">
      <c r="Q39639" s="8"/>
    </row>
    <row r="39640" spans="17:17" x14ac:dyDescent="0.25">
      <c r="Q39640" s="8"/>
    </row>
    <row r="39641" spans="17:17" x14ac:dyDescent="0.25">
      <c r="Q39641" s="8"/>
    </row>
    <row r="39642" spans="17:17" x14ac:dyDescent="0.25">
      <c r="Q39642" s="8"/>
    </row>
    <row r="39643" spans="17:17" x14ac:dyDescent="0.25">
      <c r="Q39643" s="8"/>
    </row>
    <row r="39644" spans="17:17" x14ac:dyDescent="0.25">
      <c r="Q39644" s="8"/>
    </row>
    <row r="39645" spans="17:17" x14ac:dyDescent="0.25">
      <c r="Q39645" s="8"/>
    </row>
    <row r="39646" spans="17:17" x14ac:dyDescent="0.25">
      <c r="Q39646" s="8"/>
    </row>
    <row r="39647" spans="17:17" x14ac:dyDescent="0.25">
      <c r="Q39647" s="8"/>
    </row>
    <row r="39648" spans="17:17" x14ac:dyDescent="0.25">
      <c r="Q39648" s="8"/>
    </row>
    <row r="39649" spans="17:17" x14ac:dyDescent="0.25">
      <c r="Q39649" s="8"/>
    </row>
    <row r="39650" spans="17:17" x14ac:dyDescent="0.25">
      <c r="Q39650" s="8"/>
    </row>
    <row r="39651" spans="17:17" x14ac:dyDescent="0.25">
      <c r="Q39651" s="8"/>
    </row>
    <row r="39652" spans="17:17" x14ac:dyDescent="0.25">
      <c r="Q39652" s="8"/>
    </row>
    <row r="39653" spans="17:17" x14ac:dyDescent="0.25">
      <c r="Q39653" s="8"/>
    </row>
    <row r="39654" spans="17:17" x14ac:dyDescent="0.25">
      <c r="Q39654" s="8"/>
    </row>
    <row r="39655" spans="17:17" x14ac:dyDescent="0.25">
      <c r="Q39655" s="8"/>
    </row>
    <row r="39656" spans="17:17" x14ac:dyDescent="0.25">
      <c r="Q39656" s="8"/>
    </row>
    <row r="39657" spans="17:17" x14ac:dyDescent="0.25">
      <c r="Q39657" s="8"/>
    </row>
    <row r="39658" spans="17:17" x14ac:dyDescent="0.25">
      <c r="Q39658" s="8"/>
    </row>
    <row r="39659" spans="17:17" x14ac:dyDescent="0.25">
      <c r="Q39659" s="8"/>
    </row>
    <row r="39660" spans="17:17" x14ac:dyDescent="0.25">
      <c r="Q39660" s="8"/>
    </row>
    <row r="39661" spans="17:17" x14ac:dyDescent="0.25">
      <c r="Q39661" s="8"/>
    </row>
    <row r="39662" spans="17:17" x14ac:dyDescent="0.25">
      <c r="Q39662" s="8"/>
    </row>
    <row r="39663" spans="17:17" x14ac:dyDescent="0.25">
      <c r="Q39663" s="8"/>
    </row>
    <row r="39664" spans="17:17" x14ac:dyDescent="0.25">
      <c r="Q39664" s="8"/>
    </row>
    <row r="39665" spans="17:17" x14ac:dyDescent="0.25">
      <c r="Q39665" s="8"/>
    </row>
    <row r="39666" spans="17:17" x14ac:dyDescent="0.25">
      <c r="Q39666" s="8"/>
    </row>
    <row r="39667" spans="17:17" x14ac:dyDescent="0.25">
      <c r="Q39667" s="8"/>
    </row>
    <row r="39668" spans="17:17" x14ac:dyDescent="0.25">
      <c r="Q39668" s="8"/>
    </row>
    <row r="39669" spans="17:17" x14ac:dyDescent="0.25">
      <c r="Q39669" s="8"/>
    </row>
    <row r="39670" spans="17:17" x14ac:dyDescent="0.25">
      <c r="Q39670" s="8"/>
    </row>
    <row r="39671" spans="17:17" x14ac:dyDescent="0.25">
      <c r="Q39671" s="8"/>
    </row>
    <row r="39672" spans="17:17" x14ac:dyDescent="0.25">
      <c r="Q39672" s="8"/>
    </row>
    <row r="39673" spans="17:17" x14ac:dyDescent="0.25">
      <c r="Q39673" s="8"/>
    </row>
    <row r="39674" spans="17:17" x14ac:dyDescent="0.25">
      <c r="Q39674" s="8"/>
    </row>
    <row r="39675" spans="17:17" x14ac:dyDescent="0.25">
      <c r="Q39675" s="8"/>
    </row>
    <row r="39676" spans="17:17" x14ac:dyDescent="0.25">
      <c r="Q39676" s="8"/>
    </row>
    <row r="39677" spans="17:17" x14ac:dyDescent="0.25">
      <c r="Q39677" s="8"/>
    </row>
    <row r="39678" spans="17:17" x14ac:dyDescent="0.25">
      <c r="Q39678" s="8"/>
    </row>
    <row r="39679" spans="17:17" x14ac:dyDescent="0.25">
      <c r="Q39679" s="8"/>
    </row>
    <row r="39680" spans="17:17" x14ac:dyDescent="0.25">
      <c r="Q39680" s="8"/>
    </row>
    <row r="39681" spans="17:17" x14ac:dyDescent="0.25">
      <c r="Q39681" s="8"/>
    </row>
    <row r="39682" spans="17:17" x14ac:dyDescent="0.25">
      <c r="Q39682" s="8"/>
    </row>
    <row r="39683" spans="17:17" x14ac:dyDescent="0.25">
      <c r="Q39683" s="8"/>
    </row>
    <row r="39684" spans="17:17" x14ac:dyDescent="0.25">
      <c r="Q39684" s="8"/>
    </row>
    <row r="39685" spans="17:17" x14ac:dyDescent="0.25">
      <c r="Q39685" s="8"/>
    </row>
    <row r="39686" spans="17:17" x14ac:dyDescent="0.25">
      <c r="Q39686" s="8"/>
    </row>
    <row r="39687" spans="17:17" x14ac:dyDescent="0.25">
      <c r="Q39687" s="8"/>
    </row>
    <row r="39688" spans="17:17" x14ac:dyDescent="0.25">
      <c r="Q39688" s="8"/>
    </row>
    <row r="39689" spans="17:17" x14ac:dyDescent="0.25">
      <c r="Q39689" s="8"/>
    </row>
    <row r="39690" spans="17:17" x14ac:dyDescent="0.25">
      <c r="Q39690" s="8"/>
    </row>
    <row r="39691" spans="17:17" x14ac:dyDescent="0.25">
      <c r="Q39691" s="8"/>
    </row>
    <row r="39692" spans="17:17" x14ac:dyDescent="0.25">
      <c r="Q39692" s="8"/>
    </row>
    <row r="39693" spans="17:17" x14ac:dyDescent="0.25">
      <c r="Q39693" s="8"/>
    </row>
    <row r="39694" spans="17:17" x14ac:dyDescent="0.25">
      <c r="Q39694" s="8"/>
    </row>
    <row r="39695" spans="17:17" x14ac:dyDescent="0.25">
      <c r="Q39695" s="8"/>
    </row>
    <row r="39696" spans="17:17" x14ac:dyDescent="0.25">
      <c r="Q39696" s="8"/>
    </row>
    <row r="39697" spans="17:17" x14ac:dyDescent="0.25">
      <c r="Q39697" s="8"/>
    </row>
    <row r="39698" spans="17:17" x14ac:dyDescent="0.25">
      <c r="Q39698" s="8"/>
    </row>
    <row r="39699" spans="17:17" x14ac:dyDescent="0.25">
      <c r="Q39699" s="8"/>
    </row>
    <row r="39700" spans="17:17" x14ac:dyDescent="0.25">
      <c r="Q39700" s="8"/>
    </row>
    <row r="39701" spans="17:17" x14ac:dyDescent="0.25">
      <c r="Q39701" s="8"/>
    </row>
    <row r="39702" spans="17:17" x14ac:dyDescent="0.25">
      <c r="Q39702" s="8"/>
    </row>
    <row r="39703" spans="17:17" x14ac:dyDescent="0.25">
      <c r="Q39703" s="8"/>
    </row>
    <row r="39704" spans="17:17" x14ac:dyDescent="0.25">
      <c r="Q39704" s="8"/>
    </row>
    <row r="39705" spans="17:17" x14ac:dyDescent="0.25">
      <c r="Q39705" s="8"/>
    </row>
    <row r="39706" spans="17:17" x14ac:dyDescent="0.25">
      <c r="Q39706" s="8"/>
    </row>
    <row r="39707" spans="17:17" x14ac:dyDescent="0.25">
      <c r="Q39707" s="8"/>
    </row>
    <row r="39708" spans="17:17" x14ac:dyDescent="0.25">
      <c r="Q39708" s="8"/>
    </row>
    <row r="39709" spans="17:17" x14ac:dyDescent="0.25">
      <c r="Q39709" s="8"/>
    </row>
    <row r="39710" spans="17:17" x14ac:dyDescent="0.25">
      <c r="Q39710" s="8"/>
    </row>
    <row r="39711" spans="17:17" x14ac:dyDescent="0.25">
      <c r="Q39711" s="8"/>
    </row>
    <row r="39712" spans="17:17" x14ac:dyDescent="0.25">
      <c r="Q39712" s="8"/>
    </row>
    <row r="39713" spans="17:17" x14ac:dyDescent="0.25">
      <c r="Q39713" s="8"/>
    </row>
    <row r="39714" spans="17:17" x14ac:dyDescent="0.25">
      <c r="Q39714" s="8"/>
    </row>
    <row r="39715" spans="17:17" x14ac:dyDescent="0.25">
      <c r="Q39715" s="8"/>
    </row>
    <row r="39716" spans="17:17" x14ac:dyDescent="0.25">
      <c r="Q39716" s="8"/>
    </row>
    <row r="39717" spans="17:17" x14ac:dyDescent="0.25">
      <c r="Q39717" s="8"/>
    </row>
    <row r="39718" spans="17:17" x14ac:dyDescent="0.25">
      <c r="Q39718" s="8"/>
    </row>
    <row r="39719" spans="17:17" x14ac:dyDescent="0.25">
      <c r="Q39719" s="8"/>
    </row>
    <row r="39720" spans="17:17" x14ac:dyDescent="0.25">
      <c r="Q39720" s="8"/>
    </row>
    <row r="39721" spans="17:17" x14ac:dyDescent="0.25">
      <c r="Q39721" s="8"/>
    </row>
    <row r="39722" spans="17:17" x14ac:dyDescent="0.25">
      <c r="Q39722" s="8"/>
    </row>
    <row r="39723" spans="17:17" x14ac:dyDescent="0.25">
      <c r="Q39723" s="8"/>
    </row>
    <row r="39724" spans="17:17" x14ac:dyDescent="0.25">
      <c r="Q39724" s="8"/>
    </row>
    <row r="39725" spans="17:17" x14ac:dyDescent="0.25">
      <c r="Q39725" s="8"/>
    </row>
    <row r="39726" spans="17:17" x14ac:dyDescent="0.25">
      <c r="Q39726" s="8"/>
    </row>
    <row r="39727" spans="17:17" x14ac:dyDescent="0.25">
      <c r="Q39727" s="8"/>
    </row>
    <row r="39728" spans="17:17" x14ac:dyDescent="0.25">
      <c r="Q39728" s="8"/>
    </row>
    <row r="39729" spans="17:17" x14ac:dyDescent="0.25">
      <c r="Q39729" s="8"/>
    </row>
    <row r="39730" spans="17:17" x14ac:dyDescent="0.25">
      <c r="Q39730" s="8"/>
    </row>
    <row r="39731" spans="17:17" x14ac:dyDescent="0.25">
      <c r="Q39731" s="8"/>
    </row>
    <row r="39732" spans="17:17" x14ac:dyDescent="0.25">
      <c r="Q39732" s="8"/>
    </row>
    <row r="39733" spans="17:17" x14ac:dyDescent="0.25">
      <c r="Q39733" s="8"/>
    </row>
    <row r="39734" spans="17:17" x14ac:dyDescent="0.25">
      <c r="Q39734" s="8"/>
    </row>
    <row r="39735" spans="17:17" x14ac:dyDescent="0.25">
      <c r="Q39735" s="8"/>
    </row>
    <row r="39736" spans="17:17" x14ac:dyDescent="0.25">
      <c r="Q39736" s="8"/>
    </row>
    <row r="39737" spans="17:17" x14ac:dyDescent="0.25">
      <c r="Q39737" s="8"/>
    </row>
    <row r="39738" spans="17:17" x14ac:dyDescent="0.25">
      <c r="Q39738" s="8"/>
    </row>
    <row r="39739" spans="17:17" x14ac:dyDescent="0.25">
      <c r="Q39739" s="8"/>
    </row>
    <row r="39740" spans="17:17" x14ac:dyDescent="0.25">
      <c r="Q39740" s="8"/>
    </row>
    <row r="39741" spans="17:17" x14ac:dyDescent="0.25">
      <c r="Q39741" s="8"/>
    </row>
    <row r="39742" spans="17:17" x14ac:dyDescent="0.25">
      <c r="Q39742" s="8"/>
    </row>
    <row r="39743" spans="17:17" x14ac:dyDescent="0.25">
      <c r="Q39743" s="8"/>
    </row>
    <row r="39744" spans="17:17" x14ac:dyDescent="0.25">
      <c r="Q39744" s="8"/>
    </row>
    <row r="39745" spans="17:17" x14ac:dyDescent="0.25">
      <c r="Q39745" s="8"/>
    </row>
    <row r="39746" spans="17:17" x14ac:dyDescent="0.25">
      <c r="Q39746" s="8"/>
    </row>
    <row r="39747" spans="17:17" x14ac:dyDescent="0.25">
      <c r="Q39747" s="8"/>
    </row>
    <row r="39748" spans="17:17" x14ac:dyDescent="0.25">
      <c r="Q39748" s="8"/>
    </row>
    <row r="39749" spans="17:17" x14ac:dyDescent="0.25">
      <c r="Q39749" s="8"/>
    </row>
    <row r="39750" spans="17:17" x14ac:dyDescent="0.25">
      <c r="Q39750" s="8"/>
    </row>
    <row r="39751" spans="17:17" x14ac:dyDescent="0.25">
      <c r="Q39751" s="8"/>
    </row>
    <row r="39752" spans="17:17" x14ac:dyDescent="0.25">
      <c r="Q39752" s="8"/>
    </row>
    <row r="39753" spans="17:17" x14ac:dyDescent="0.25">
      <c r="Q39753" s="8"/>
    </row>
    <row r="39754" spans="17:17" x14ac:dyDescent="0.25">
      <c r="Q39754" s="8"/>
    </row>
    <row r="39755" spans="17:17" x14ac:dyDescent="0.25">
      <c r="Q39755" s="8"/>
    </row>
    <row r="39756" spans="17:17" x14ac:dyDescent="0.25">
      <c r="Q39756" s="8"/>
    </row>
    <row r="39757" spans="17:17" x14ac:dyDescent="0.25">
      <c r="Q39757" s="8"/>
    </row>
    <row r="39758" spans="17:17" x14ac:dyDescent="0.25">
      <c r="Q39758" s="8"/>
    </row>
    <row r="39759" spans="17:17" x14ac:dyDescent="0.25">
      <c r="Q39759" s="8"/>
    </row>
    <row r="39760" spans="17:17" x14ac:dyDescent="0.25">
      <c r="Q39760" s="8"/>
    </row>
    <row r="39761" spans="17:17" x14ac:dyDescent="0.25">
      <c r="Q39761" s="8"/>
    </row>
    <row r="39762" spans="17:17" x14ac:dyDescent="0.25">
      <c r="Q39762" s="8"/>
    </row>
    <row r="39763" spans="17:17" x14ac:dyDescent="0.25">
      <c r="Q39763" s="8"/>
    </row>
    <row r="39764" spans="17:17" x14ac:dyDescent="0.25">
      <c r="Q39764" s="8"/>
    </row>
    <row r="39765" spans="17:17" x14ac:dyDescent="0.25">
      <c r="Q39765" s="8"/>
    </row>
    <row r="39766" spans="17:17" x14ac:dyDescent="0.25">
      <c r="Q39766" s="8"/>
    </row>
    <row r="39767" spans="17:17" x14ac:dyDescent="0.25">
      <c r="Q39767" s="8"/>
    </row>
    <row r="39768" spans="17:17" x14ac:dyDescent="0.25">
      <c r="Q39768" s="8"/>
    </row>
    <row r="39769" spans="17:17" x14ac:dyDescent="0.25">
      <c r="Q39769" s="8"/>
    </row>
    <row r="39770" spans="17:17" x14ac:dyDescent="0.25">
      <c r="Q39770" s="8"/>
    </row>
    <row r="39771" spans="17:17" x14ac:dyDescent="0.25">
      <c r="Q39771" s="8"/>
    </row>
    <row r="39772" spans="17:17" x14ac:dyDescent="0.25">
      <c r="Q39772" s="8"/>
    </row>
    <row r="39773" spans="17:17" x14ac:dyDescent="0.25">
      <c r="Q39773" s="8"/>
    </row>
    <row r="39774" spans="17:17" x14ac:dyDescent="0.25">
      <c r="Q39774" s="8"/>
    </row>
    <row r="39775" spans="17:17" x14ac:dyDescent="0.25">
      <c r="Q39775" s="8"/>
    </row>
    <row r="39776" spans="17:17" x14ac:dyDescent="0.25">
      <c r="Q39776" s="8"/>
    </row>
    <row r="39777" spans="17:17" x14ac:dyDescent="0.25">
      <c r="Q39777" s="8"/>
    </row>
    <row r="39778" spans="17:17" x14ac:dyDescent="0.25">
      <c r="Q39778" s="8"/>
    </row>
    <row r="39779" spans="17:17" x14ac:dyDescent="0.25">
      <c r="Q39779" s="8"/>
    </row>
    <row r="39780" spans="17:17" x14ac:dyDescent="0.25">
      <c r="Q39780" s="8"/>
    </row>
    <row r="39781" spans="17:17" x14ac:dyDescent="0.25">
      <c r="Q39781" s="8"/>
    </row>
    <row r="39782" spans="17:17" x14ac:dyDescent="0.25">
      <c r="Q39782" s="8"/>
    </row>
    <row r="39783" spans="17:17" x14ac:dyDescent="0.25">
      <c r="Q39783" s="8"/>
    </row>
    <row r="39784" spans="17:17" x14ac:dyDescent="0.25">
      <c r="Q39784" s="8"/>
    </row>
    <row r="39785" spans="17:17" x14ac:dyDescent="0.25">
      <c r="Q39785" s="8"/>
    </row>
    <row r="39786" spans="17:17" x14ac:dyDescent="0.25">
      <c r="Q39786" s="8"/>
    </row>
    <row r="39787" spans="17:17" x14ac:dyDescent="0.25">
      <c r="Q39787" s="8"/>
    </row>
    <row r="39788" spans="17:17" x14ac:dyDescent="0.25">
      <c r="Q39788" s="8"/>
    </row>
    <row r="39789" spans="17:17" x14ac:dyDescent="0.25">
      <c r="Q39789" s="8"/>
    </row>
    <row r="39790" spans="17:17" x14ac:dyDescent="0.25">
      <c r="Q39790" s="8"/>
    </row>
    <row r="39791" spans="17:17" x14ac:dyDescent="0.25">
      <c r="Q39791" s="8"/>
    </row>
    <row r="39792" spans="17:17" x14ac:dyDescent="0.25">
      <c r="Q39792" s="8"/>
    </row>
    <row r="39793" spans="17:17" x14ac:dyDescent="0.25">
      <c r="Q39793" s="8"/>
    </row>
    <row r="39794" spans="17:17" x14ac:dyDescent="0.25">
      <c r="Q39794" s="8"/>
    </row>
    <row r="39795" spans="17:17" x14ac:dyDescent="0.25">
      <c r="Q39795" s="8"/>
    </row>
    <row r="39796" spans="17:17" x14ac:dyDescent="0.25">
      <c r="Q39796" s="8"/>
    </row>
    <row r="39797" spans="17:17" x14ac:dyDescent="0.25">
      <c r="Q39797" s="8"/>
    </row>
    <row r="39798" spans="17:17" x14ac:dyDescent="0.25">
      <c r="Q39798" s="8"/>
    </row>
    <row r="39799" spans="17:17" x14ac:dyDescent="0.25">
      <c r="Q39799" s="8"/>
    </row>
    <row r="39800" spans="17:17" x14ac:dyDescent="0.25">
      <c r="Q39800" s="8"/>
    </row>
    <row r="39801" spans="17:17" x14ac:dyDescent="0.25">
      <c r="Q39801" s="8"/>
    </row>
    <row r="39802" spans="17:17" x14ac:dyDescent="0.25">
      <c r="Q39802" s="8"/>
    </row>
    <row r="39803" spans="17:17" x14ac:dyDescent="0.25">
      <c r="Q39803" s="8"/>
    </row>
    <row r="39804" spans="17:17" x14ac:dyDescent="0.25">
      <c r="Q39804" s="8"/>
    </row>
    <row r="39805" spans="17:17" x14ac:dyDescent="0.25">
      <c r="Q39805" s="8"/>
    </row>
    <row r="39806" spans="17:17" x14ac:dyDescent="0.25">
      <c r="Q39806" s="8"/>
    </row>
    <row r="39807" spans="17:17" x14ac:dyDescent="0.25">
      <c r="Q39807" s="8"/>
    </row>
    <row r="39808" spans="17:17" x14ac:dyDescent="0.25">
      <c r="Q39808" s="8"/>
    </row>
    <row r="39809" spans="17:17" x14ac:dyDescent="0.25">
      <c r="Q39809" s="8"/>
    </row>
    <row r="39810" spans="17:17" x14ac:dyDescent="0.25">
      <c r="Q39810" s="8"/>
    </row>
    <row r="39811" spans="17:17" x14ac:dyDescent="0.25">
      <c r="Q39811" s="8"/>
    </row>
    <row r="39812" spans="17:17" x14ac:dyDescent="0.25">
      <c r="Q39812" s="8"/>
    </row>
    <row r="39813" spans="17:17" x14ac:dyDescent="0.25">
      <c r="Q39813" s="8"/>
    </row>
    <row r="39814" spans="17:17" x14ac:dyDescent="0.25">
      <c r="Q39814" s="8"/>
    </row>
    <row r="39815" spans="17:17" x14ac:dyDescent="0.25">
      <c r="Q39815" s="8"/>
    </row>
    <row r="39816" spans="17:17" x14ac:dyDescent="0.25">
      <c r="Q39816" s="8"/>
    </row>
    <row r="39817" spans="17:17" x14ac:dyDescent="0.25">
      <c r="Q39817" s="8"/>
    </row>
    <row r="39818" spans="17:17" x14ac:dyDescent="0.25">
      <c r="Q39818" s="8"/>
    </row>
    <row r="39819" spans="17:17" x14ac:dyDescent="0.25">
      <c r="Q39819" s="8"/>
    </row>
    <row r="39820" spans="17:17" x14ac:dyDescent="0.25">
      <c r="Q39820" s="8"/>
    </row>
    <row r="39821" spans="17:17" x14ac:dyDescent="0.25">
      <c r="Q39821" s="8"/>
    </row>
    <row r="39822" spans="17:17" x14ac:dyDescent="0.25">
      <c r="Q39822" s="8"/>
    </row>
    <row r="39823" spans="17:17" x14ac:dyDescent="0.25">
      <c r="Q39823" s="8"/>
    </row>
    <row r="39824" spans="17:17" x14ac:dyDescent="0.25">
      <c r="Q39824" s="8"/>
    </row>
    <row r="39825" spans="17:17" x14ac:dyDescent="0.25">
      <c r="Q39825" s="8"/>
    </row>
    <row r="39826" spans="17:17" x14ac:dyDescent="0.25">
      <c r="Q39826" s="8"/>
    </row>
    <row r="39827" spans="17:17" x14ac:dyDescent="0.25">
      <c r="Q39827" s="8"/>
    </row>
    <row r="39828" spans="17:17" x14ac:dyDescent="0.25">
      <c r="Q39828" s="8"/>
    </row>
    <row r="39829" spans="17:17" x14ac:dyDescent="0.25">
      <c r="Q39829" s="8"/>
    </row>
    <row r="39830" spans="17:17" x14ac:dyDescent="0.25">
      <c r="Q39830" s="8"/>
    </row>
    <row r="39831" spans="17:17" x14ac:dyDescent="0.25">
      <c r="Q39831" s="8"/>
    </row>
    <row r="39832" spans="17:17" x14ac:dyDescent="0.25">
      <c r="Q39832" s="8"/>
    </row>
    <row r="39833" spans="17:17" x14ac:dyDescent="0.25">
      <c r="Q39833" s="8"/>
    </row>
    <row r="39834" spans="17:17" x14ac:dyDescent="0.25">
      <c r="Q39834" s="8"/>
    </row>
    <row r="39835" spans="17:17" x14ac:dyDescent="0.25">
      <c r="Q39835" s="8"/>
    </row>
    <row r="39836" spans="17:17" x14ac:dyDescent="0.25">
      <c r="Q39836" s="8"/>
    </row>
    <row r="39837" spans="17:17" x14ac:dyDescent="0.25">
      <c r="Q39837" s="8"/>
    </row>
    <row r="39838" spans="17:17" x14ac:dyDescent="0.25">
      <c r="Q39838" s="8"/>
    </row>
    <row r="39839" spans="17:17" x14ac:dyDescent="0.25">
      <c r="Q39839" s="8"/>
    </row>
    <row r="39840" spans="17:17" x14ac:dyDescent="0.25">
      <c r="Q39840" s="8"/>
    </row>
    <row r="39841" spans="17:17" x14ac:dyDescent="0.25">
      <c r="Q39841" s="8"/>
    </row>
    <row r="39842" spans="17:17" x14ac:dyDescent="0.25">
      <c r="Q39842" s="8"/>
    </row>
    <row r="39843" spans="17:17" x14ac:dyDescent="0.25">
      <c r="Q39843" s="8"/>
    </row>
    <row r="39844" spans="17:17" x14ac:dyDescent="0.25">
      <c r="Q39844" s="8"/>
    </row>
    <row r="39845" spans="17:17" x14ac:dyDescent="0.25">
      <c r="Q39845" s="8"/>
    </row>
    <row r="39846" spans="17:17" x14ac:dyDescent="0.25">
      <c r="Q39846" s="8"/>
    </row>
    <row r="39847" spans="17:17" x14ac:dyDescent="0.25">
      <c r="Q39847" s="8"/>
    </row>
    <row r="39848" spans="17:17" x14ac:dyDescent="0.25">
      <c r="Q39848" s="8"/>
    </row>
    <row r="39849" spans="17:17" x14ac:dyDescent="0.25">
      <c r="Q39849" s="8"/>
    </row>
    <row r="39850" spans="17:17" x14ac:dyDescent="0.25">
      <c r="Q39850" s="8"/>
    </row>
    <row r="39851" spans="17:17" x14ac:dyDescent="0.25">
      <c r="Q39851" s="8"/>
    </row>
    <row r="39852" spans="17:17" x14ac:dyDescent="0.25">
      <c r="Q39852" s="8"/>
    </row>
    <row r="39853" spans="17:17" x14ac:dyDescent="0.25">
      <c r="Q39853" s="8"/>
    </row>
    <row r="39854" spans="17:17" x14ac:dyDescent="0.25">
      <c r="Q39854" s="8"/>
    </row>
    <row r="39855" spans="17:17" x14ac:dyDescent="0.25">
      <c r="Q39855" s="8"/>
    </row>
    <row r="39856" spans="17:17" x14ac:dyDescent="0.25">
      <c r="Q39856" s="8"/>
    </row>
    <row r="39857" spans="17:17" x14ac:dyDescent="0.25">
      <c r="Q39857" s="8"/>
    </row>
    <row r="39858" spans="17:17" x14ac:dyDescent="0.25">
      <c r="Q39858" s="8"/>
    </row>
    <row r="39859" spans="17:17" x14ac:dyDescent="0.25">
      <c r="Q39859" s="8"/>
    </row>
    <row r="39860" spans="17:17" x14ac:dyDescent="0.25">
      <c r="Q39860" s="8"/>
    </row>
    <row r="39861" spans="17:17" x14ac:dyDescent="0.25">
      <c r="Q39861" s="8"/>
    </row>
    <row r="39862" spans="17:17" x14ac:dyDescent="0.25">
      <c r="Q39862" s="8"/>
    </row>
    <row r="39863" spans="17:17" x14ac:dyDescent="0.25">
      <c r="Q39863" s="8"/>
    </row>
    <row r="39864" spans="17:17" x14ac:dyDescent="0.25">
      <c r="Q39864" s="8"/>
    </row>
    <row r="39865" spans="17:17" x14ac:dyDescent="0.25">
      <c r="Q39865" s="8"/>
    </row>
    <row r="39866" spans="17:17" x14ac:dyDescent="0.25">
      <c r="Q39866" s="8"/>
    </row>
    <row r="39867" spans="17:17" x14ac:dyDescent="0.25">
      <c r="Q39867" s="8"/>
    </row>
    <row r="39868" spans="17:17" x14ac:dyDescent="0.25">
      <c r="Q39868" s="8"/>
    </row>
    <row r="39869" spans="17:17" x14ac:dyDescent="0.25">
      <c r="Q39869" s="8"/>
    </row>
    <row r="39870" spans="17:17" x14ac:dyDescent="0.25">
      <c r="Q39870" s="8"/>
    </row>
    <row r="39871" spans="17:17" x14ac:dyDescent="0.25">
      <c r="Q39871" s="8"/>
    </row>
    <row r="39872" spans="17:17" x14ac:dyDescent="0.25">
      <c r="Q39872" s="8"/>
    </row>
    <row r="39873" spans="17:17" x14ac:dyDescent="0.25">
      <c r="Q39873" s="8"/>
    </row>
    <row r="39874" spans="17:17" x14ac:dyDescent="0.25">
      <c r="Q39874" s="8"/>
    </row>
    <row r="39875" spans="17:17" x14ac:dyDescent="0.25">
      <c r="Q39875" s="8"/>
    </row>
    <row r="39876" spans="17:17" x14ac:dyDescent="0.25">
      <c r="Q39876" s="8"/>
    </row>
    <row r="39877" spans="17:17" x14ac:dyDescent="0.25">
      <c r="Q39877" s="8"/>
    </row>
    <row r="39878" spans="17:17" x14ac:dyDescent="0.25">
      <c r="Q39878" s="8"/>
    </row>
    <row r="39879" spans="17:17" x14ac:dyDescent="0.25">
      <c r="Q39879" s="8"/>
    </row>
    <row r="39880" spans="17:17" x14ac:dyDescent="0.25">
      <c r="Q39880" s="8"/>
    </row>
    <row r="39881" spans="17:17" x14ac:dyDescent="0.25">
      <c r="Q39881" s="8"/>
    </row>
    <row r="39882" spans="17:17" x14ac:dyDescent="0.25">
      <c r="Q39882" s="8"/>
    </row>
    <row r="39883" spans="17:17" x14ac:dyDescent="0.25">
      <c r="Q39883" s="8"/>
    </row>
    <row r="39884" spans="17:17" x14ac:dyDescent="0.25">
      <c r="Q39884" s="8"/>
    </row>
    <row r="39885" spans="17:17" x14ac:dyDescent="0.25">
      <c r="Q39885" s="8"/>
    </row>
    <row r="39886" spans="17:17" x14ac:dyDescent="0.25">
      <c r="Q39886" s="8"/>
    </row>
    <row r="39887" spans="17:17" x14ac:dyDescent="0.25">
      <c r="Q39887" s="8"/>
    </row>
    <row r="39888" spans="17:17" x14ac:dyDescent="0.25">
      <c r="Q39888" s="8"/>
    </row>
    <row r="39889" spans="17:17" x14ac:dyDescent="0.25">
      <c r="Q39889" s="8"/>
    </row>
    <row r="39890" spans="17:17" x14ac:dyDescent="0.25">
      <c r="Q39890" s="8"/>
    </row>
    <row r="39891" spans="17:17" x14ac:dyDescent="0.25">
      <c r="Q39891" s="8"/>
    </row>
    <row r="39892" spans="17:17" x14ac:dyDescent="0.25">
      <c r="Q39892" s="8"/>
    </row>
    <row r="39893" spans="17:17" x14ac:dyDescent="0.25">
      <c r="Q39893" s="8"/>
    </row>
    <row r="39894" spans="17:17" x14ac:dyDescent="0.25">
      <c r="Q39894" s="8"/>
    </row>
    <row r="39895" spans="17:17" x14ac:dyDescent="0.25">
      <c r="Q39895" s="8"/>
    </row>
    <row r="39896" spans="17:17" x14ac:dyDescent="0.25">
      <c r="Q39896" s="8"/>
    </row>
    <row r="39897" spans="17:17" x14ac:dyDescent="0.25">
      <c r="Q39897" s="8"/>
    </row>
    <row r="39898" spans="17:17" x14ac:dyDescent="0.25">
      <c r="Q39898" s="8"/>
    </row>
    <row r="39899" spans="17:17" x14ac:dyDescent="0.25">
      <c r="Q39899" s="8"/>
    </row>
    <row r="39900" spans="17:17" x14ac:dyDescent="0.25">
      <c r="Q39900" s="8"/>
    </row>
    <row r="39901" spans="17:17" x14ac:dyDescent="0.25">
      <c r="Q39901" s="8"/>
    </row>
    <row r="39902" spans="17:17" x14ac:dyDescent="0.25">
      <c r="Q39902" s="8"/>
    </row>
    <row r="39903" spans="17:17" x14ac:dyDescent="0.25">
      <c r="Q39903" s="8"/>
    </row>
    <row r="39904" spans="17:17" x14ac:dyDescent="0.25">
      <c r="Q39904" s="8"/>
    </row>
    <row r="39905" spans="17:17" x14ac:dyDescent="0.25">
      <c r="Q39905" s="8"/>
    </row>
    <row r="39906" spans="17:17" x14ac:dyDescent="0.25">
      <c r="Q39906" s="8"/>
    </row>
    <row r="39907" spans="17:17" x14ac:dyDescent="0.25">
      <c r="Q39907" s="8"/>
    </row>
    <row r="39908" spans="17:17" x14ac:dyDescent="0.25">
      <c r="Q39908" s="8"/>
    </row>
    <row r="39909" spans="17:17" x14ac:dyDescent="0.25">
      <c r="Q39909" s="8"/>
    </row>
    <row r="39910" spans="17:17" x14ac:dyDescent="0.25">
      <c r="Q39910" s="8"/>
    </row>
    <row r="39911" spans="17:17" x14ac:dyDescent="0.25">
      <c r="Q39911" s="8"/>
    </row>
    <row r="39912" spans="17:17" x14ac:dyDescent="0.25">
      <c r="Q39912" s="8"/>
    </row>
    <row r="39913" spans="17:17" x14ac:dyDescent="0.25">
      <c r="Q39913" s="8"/>
    </row>
    <row r="39914" spans="17:17" x14ac:dyDescent="0.25">
      <c r="Q39914" s="8"/>
    </row>
    <row r="39915" spans="17:17" x14ac:dyDescent="0.25">
      <c r="Q39915" s="8"/>
    </row>
    <row r="39916" spans="17:17" x14ac:dyDescent="0.25">
      <c r="Q39916" s="8"/>
    </row>
    <row r="39917" spans="17:17" x14ac:dyDescent="0.25">
      <c r="Q39917" s="8"/>
    </row>
    <row r="39918" spans="17:17" x14ac:dyDescent="0.25">
      <c r="Q39918" s="8"/>
    </row>
    <row r="39919" spans="17:17" x14ac:dyDescent="0.25">
      <c r="Q39919" s="8"/>
    </row>
    <row r="39920" spans="17:17" x14ac:dyDescent="0.25">
      <c r="Q39920" s="8"/>
    </row>
    <row r="39921" spans="17:17" x14ac:dyDescent="0.25">
      <c r="Q39921" s="8"/>
    </row>
    <row r="39922" spans="17:17" x14ac:dyDescent="0.25">
      <c r="Q39922" s="8"/>
    </row>
    <row r="39923" spans="17:17" x14ac:dyDescent="0.25">
      <c r="Q39923" s="8"/>
    </row>
    <row r="39924" spans="17:17" x14ac:dyDescent="0.25">
      <c r="Q39924" s="8"/>
    </row>
    <row r="39925" spans="17:17" x14ac:dyDescent="0.25">
      <c r="Q39925" s="8"/>
    </row>
    <row r="39926" spans="17:17" x14ac:dyDescent="0.25">
      <c r="Q39926" s="8"/>
    </row>
    <row r="39927" spans="17:17" x14ac:dyDescent="0.25">
      <c r="Q39927" s="8"/>
    </row>
    <row r="39928" spans="17:17" x14ac:dyDescent="0.25">
      <c r="Q39928" s="8"/>
    </row>
    <row r="39929" spans="17:17" x14ac:dyDescent="0.25">
      <c r="Q39929" s="8"/>
    </row>
    <row r="39930" spans="17:17" x14ac:dyDescent="0.25">
      <c r="Q39930" s="8"/>
    </row>
    <row r="39931" spans="17:17" x14ac:dyDescent="0.25">
      <c r="Q39931" s="8"/>
    </row>
    <row r="39932" spans="17:17" x14ac:dyDescent="0.25">
      <c r="Q39932" s="8"/>
    </row>
    <row r="39933" spans="17:17" x14ac:dyDescent="0.25">
      <c r="Q39933" s="8"/>
    </row>
    <row r="39934" spans="17:17" x14ac:dyDescent="0.25">
      <c r="Q39934" s="8"/>
    </row>
    <row r="39935" spans="17:17" x14ac:dyDescent="0.25">
      <c r="Q39935" s="8"/>
    </row>
    <row r="39936" spans="17:17" x14ac:dyDescent="0.25">
      <c r="Q39936" s="8"/>
    </row>
    <row r="39937" spans="17:17" x14ac:dyDescent="0.25">
      <c r="Q39937" s="8"/>
    </row>
    <row r="39938" spans="17:17" x14ac:dyDescent="0.25">
      <c r="Q39938" s="8"/>
    </row>
    <row r="39939" spans="17:17" x14ac:dyDescent="0.25">
      <c r="Q39939" s="8"/>
    </row>
    <row r="39940" spans="17:17" x14ac:dyDescent="0.25">
      <c r="Q39940" s="8"/>
    </row>
    <row r="39941" spans="17:17" x14ac:dyDescent="0.25">
      <c r="Q39941" s="8"/>
    </row>
    <row r="39942" spans="17:17" x14ac:dyDescent="0.25">
      <c r="Q39942" s="8"/>
    </row>
    <row r="39943" spans="17:17" x14ac:dyDescent="0.25">
      <c r="Q39943" s="8"/>
    </row>
    <row r="39944" spans="17:17" x14ac:dyDescent="0.25">
      <c r="Q39944" s="8"/>
    </row>
    <row r="39945" spans="17:17" x14ac:dyDescent="0.25">
      <c r="Q39945" s="8"/>
    </row>
    <row r="39946" spans="17:17" x14ac:dyDescent="0.25">
      <c r="Q39946" s="8"/>
    </row>
    <row r="39947" spans="17:17" x14ac:dyDescent="0.25">
      <c r="Q39947" s="8"/>
    </row>
    <row r="39948" spans="17:17" x14ac:dyDescent="0.25">
      <c r="Q39948" s="8"/>
    </row>
    <row r="39949" spans="17:17" x14ac:dyDescent="0.25">
      <c r="Q39949" s="8"/>
    </row>
    <row r="39950" spans="17:17" x14ac:dyDescent="0.25">
      <c r="Q39950" s="8"/>
    </row>
    <row r="39951" spans="17:17" x14ac:dyDescent="0.25">
      <c r="Q39951" s="8"/>
    </row>
    <row r="39952" spans="17:17" x14ac:dyDescent="0.25">
      <c r="Q39952" s="8"/>
    </row>
    <row r="39953" spans="17:17" x14ac:dyDescent="0.25">
      <c r="Q39953" s="8"/>
    </row>
    <row r="39954" spans="17:17" x14ac:dyDescent="0.25">
      <c r="Q39954" s="8"/>
    </row>
    <row r="39955" spans="17:17" x14ac:dyDescent="0.25">
      <c r="Q39955" s="8"/>
    </row>
    <row r="39956" spans="17:17" x14ac:dyDescent="0.25">
      <c r="Q39956" s="8"/>
    </row>
    <row r="39957" spans="17:17" x14ac:dyDescent="0.25">
      <c r="Q39957" s="8"/>
    </row>
    <row r="39958" spans="17:17" x14ac:dyDescent="0.25">
      <c r="Q39958" s="8"/>
    </row>
    <row r="39959" spans="17:17" x14ac:dyDescent="0.25">
      <c r="Q39959" s="8"/>
    </row>
    <row r="39960" spans="17:17" x14ac:dyDescent="0.25">
      <c r="Q39960" s="8"/>
    </row>
    <row r="39961" spans="17:17" x14ac:dyDescent="0.25">
      <c r="Q39961" s="8"/>
    </row>
    <row r="39962" spans="17:17" x14ac:dyDescent="0.25">
      <c r="Q39962" s="8"/>
    </row>
    <row r="39963" spans="17:17" x14ac:dyDescent="0.25">
      <c r="Q39963" s="8"/>
    </row>
    <row r="39964" spans="17:17" x14ac:dyDescent="0.25">
      <c r="Q39964" s="8"/>
    </row>
    <row r="39965" spans="17:17" x14ac:dyDescent="0.25">
      <c r="Q39965" s="8"/>
    </row>
    <row r="39966" spans="17:17" x14ac:dyDescent="0.25">
      <c r="Q39966" s="8"/>
    </row>
    <row r="39967" spans="17:17" x14ac:dyDescent="0.25">
      <c r="Q39967" s="8"/>
    </row>
    <row r="39968" spans="17:17" x14ac:dyDescent="0.25">
      <c r="Q39968" s="8"/>
    </row>
    <row r="39969" spans="17:17" x14ac:dyDescent="0.25">
      <c r="Q39969" s="8"/>
    </row>
    <row r="39970" spans="17:17" x14ac:dyDescent="0.25">
      <c r="Q39970" s="8"/>
    </row>
    <row r="39971" spans="17:17" x14ac:dyDescent="0.25">
      <c r="Q39971" s="8"/>
    </row>
    <row r="39972" spans="17:17" x14ac:dyDescent="0.25">
      <c r="Q39972" s="8"/>
    </row>
    <row r="39973" spans="17:17" x14ac:dyDescent="0.25">
      <c r="Q39973" s="8"/>
    </row>
    <row r="39974" spans="17:17" x14ac:dyDescent="0.25">
      <c r="Q39974" s="8"/>
    </row>
    <row r="39975" spans="17:17" x14ac:dyDescent="0.25">
      <c r="Q39975" s="8"/>
    </row>
    <row r="39976" spans="17:17" x14ac:dyDescent="0.25">
      <c r="Q39976" s="8"/>
    </row>
    <row r="39977" spans="17:17" x14ac:dyDescent="0.25">
      <c r="Q39977" s="8"/>
    </row>
    <row r="39978" spans="17:17" x14ac:dyDescent="0.25">
      <c r="Q39978" s="8"/>
    </row>
    <row r="39979" spans="17:17" x14ac:dyDescent="0.25">
      <c r="Q39979" s="8"/>
    </row>
    <row r="39980" spans="17:17" x14ac:dyDescent="0.25">
      <c r="Q39980" s="8"/>
    </row>
    <row r="39981" spans="17:17" x14ac:dyDescent="0.25">
      <c r="Q39981" s="8"/>
    </row>
    <row r="39982" spans="17:17" x14ac:dyDescent="0.25">
      <c r="Q39982" s="8"/>
    </row>
    <row r="39983" spans="17:17" x14ac:dyDescent="0.25">
      <c r="Q39983" s="8"/>
    </row>
    <row r="39984" spans="17:17" x14ac:dyDescent="0.25">
      <c r="Q39984" s="8"/>
    </row>
    <row r="39985" spans="17:17" x14ac:dyDescent="0.25">
      <c r="Q39985" s="8"/>
    </row>
    <row r="39986" spans="17:17" x14ac:dyDescent="0.25">
      <c r="Q39986" s="8"/>
    </row>
    <row r="39987" spans="17:17" x14ac:dyDescent="0.25">
      <c r="Q39987" s="8"/>
    </row>
    <row r="39988" spans="17:17" x14ac:dyDescent="0.25">
      <c r="Q39988" s="8"/>
    </row>
    <row r="39989" spans="17:17" x14ac:dyDescent="0.25">
      <c r="Q39989" s="8"/>
    </row>
    <row r="39990" spans="17:17" x14ac:dyDescent="0.25">
      <c r="Q39990" s="8"/>
    </row>
    <row r="39991" spans="17:17" x14ac:dyDescent="0.25">
      <c r="Q39991" s="8"/>
    </row>
    <row r="39992" spans="17:17" x14ac:dyDescent="0.25">
      <c r="Q39992" s="8"/>
    </row>
    <row r="39993" spans="17:17" x14ac:dyDescent="0.25">
      <c r="Q39993" s="8"/>
    </row>
    <row r="39994" spans="17:17" x14ac:dyDescent="0.25">
      <c r="Q39994" s="8"/>
    </row>
    <row r="39995" spans="17:17" x14ac:dyDescent="0.25">
      <c r="Q39995" s="8"/>
    </row>
    <row r="39996" spans="17:17" x14ac:dyDescent="0.25">
      <c r="Q39996" s="8"/>
    </row>
    <row r="39997" spans="17:17" x14ac:dyDescent="0.25">
      <c r="Q39997" s="8"/>
    </row>
    <row r="39998" spans="17:17" x14ac:dyDescent="0.25">
      <c r="Q39998" s="8"/>
    </row>
    <row r="39999" spans="17:17" x14ac:dyDescent="0.25">
      <c r="Q39999" s="8"/>
    </row>
    <row r="40000" spans="17:17" x14ac:dyDescent="0.25">
      <c r="Q40000" s="8"/>
    </row>
    <row r="40001" spans="17:17" x14ac:dyDescent="0.25">
      <c r="Q40001" s="8"/>
    </row>
    <row r="40002" spans="17:17" x14ac:dyDescent="0.25">
      <c r="Q40002" s="8"/>
    </row>
    <row r="40003" spans="17:17" x14ac:dyDescent="0.25">
      <c r="Q40003" s="8"/>
    </row>
    <row r="40004" spans="17:17" x14ac:dyDescent="0.25">
      <c r="Q40004" s="8"/>
    </row>
    <row r="40005" spans="17:17" x14ac:dyDescent="0.25">
      <c r="Q40005" s="8"/>
    </row>
    <row r="40006" spans="17:17" x14ac:dyDescent="0.25">
      <c r="Q40006" s="8"/>
    </row>
    <row r="40007" spans="17:17" x14ac:dyDescent="0.25">
      <c r="Q40007" s="8"/>
    </row>
    <row r="40008" spans="17:17" x14ac:dyDescent="0.25">
      <c r="Q40008" s="8"/>
    </row>
    <row r="40009" spans="17:17" x14ac:dyDescent="0.25">
      <c r="Q40009" s="8"/>
    </row>
    <row r="40010" spans="17:17" x14ac:dyDescent="0.25">
      <c r="Q40010" s="8"/>
    </row>
    <row r="40011" spans="17:17" x14ac:dyDescent="0.25">
      <c r="Q40011" s="8"/>
    </row>
    <row r="40012" spans="17:17" x14ac:dyDescent="0.25">
      <c r="Q40012" s="8"/>
    </row>
    <row r="40013" spans="17:17" x14ac:dyDescent="0.25">
      <c r="Q40013" s="8"/>
    </row>
    <row r="40014" spans="17:17" x14ac:dyDescent="0.25">
      <c r="Q40014" s="8"/>
    </row>
    <row r="40015" spans="17:17" x14ac:dyDescent="0.25">
      <c r="Q40015" s="8"/>
    </row>
    <row r="40016" spans="17:17" x14ac:dyDescent="0.25">
      <c r="Q40016" s="8"/>
    </row>
    <row r="40017" spans="17:17" x14ac:dyDescent="0.25">
      <c r="Q40017" s="8"/>
    </row>
    <row r="40018" spans="17:17" x14ac:dyDescent="0.25">
      <c r="Q40018" s="8"/>
    </row>
    <row r="40019" spans="17:17" x14ac:dyDescent="0.25">
      <c r="Q40019" s="8"/>
    </row>
    <row r="40020" spans="17:17" x14ac:dyDescent="0.25">
      <c r="Q40020" s="8"/>
    </row>
    <row r="40021" spans="17:17" x14ac:dyDescent="0.25">
      <c r="Q40021" s="8"/>
    </row>
    <row r="40022" spans="17:17" x14ac:dyDescent="0.25">
      <c r="Q40022" s="8"/>
    </row>
    <row r="40023" spans="17:17" x14ac:dyDescent="0.25">
      <c r="Q40023" s="8"/>
    </row>
    <row r="40024" spans="17:17" x14ac:dyDescent="0.25">
      <c r="Q40024" s="8"/>
    </row>
    <row r="40025" spans="17:17" x14ac:dyDescent="0.25">
      <c r="Q40025" s="8"/>
    </row>
    <row r="40026" spans="17:17" x14ac:dyDescent="0.25">
      <c r="Q40026" s="8"/>
    </row>
    <row r="40027" spans="17:17" x14ac:dyDescent="0.25">
      <c r="Q40027" s="8"/>
    </row>
    <row r="40028" spans="17:17" x14ac:dyDescent="0.25">
      <c r="Q40028" s="8"/>
    </row>
    <row r="40029" spans="17:17" x14ac:dyDescent="0.25">
      <c r="Q40029" s="8"/>
    </row>
    <row r="40030" spans="17:17" x14ac:dyDescent="0.25">
      <c r="Q40030" s="8"/>
    </row>
    <row r="40031" spans="17:17" x14ac:dyDescent="0.25">
      <c r="Q40031" s="8"/>
    </row>
    <row r="40032" spans="17:17" x14ac:dyDescent="0.25">
      <c r="Q40032" s="8"/>
    </row>
    <row r="40033" spans="17:17" x14ac:dyDescent="0.25">
      <c r="Q40033" s="8"/>
    </row>
    <row r="40034" spans="17:17" x14ac:dyDescent="0.25">
      <c r="Q40034" s="8"/>
    </row>
    <row r="40035" spans="17:17" x14ac:dyDescent="0.25">
      <c r="Q40035" s="8"/>
    </row>
    <row r="40036" spans="17:17" x14ac:dyDescent="0.25">
      <c r="Q40036" s="8"/>
    </row>
    <row r="40037" spans="17:17" x14ac:dyDescent="0.25">
      <c r="Q40037" s="8"/>
    </row>
    <row r="40038" spans="17:17" x14ac:dyDescent="0.25">
      <c r="Q40038" s="8"/>
    </row>
    <row r="40039" spans="17:17" x14ac:dyDescent="0.25">
      <c r="Q40039" s="8"/>
    </row>
    <row r="40040" spans="17:17" x14ac:dyDescent="0.25">
      <c r="Q40040" s="8"/>
    </row>
    <row r="40041" spans="17:17" x14ac:dyDescent="0.25">
      <c r="Q40041" s="8"/>
    </row>
    <row r="40042" spans="17:17" x14ac:dyDescent="0.25">
      <c r="Q40042" s="8"/>
    </row>
    <row r="40043" spans="17:17" x14ac:dyDescent="0.25">
      <c r="Q40043" s="8"/>
    </row>
    <row r="40044" spans="17:17" x14ac:dyDescent="0.25">
      <c r="Q40044" s="8"/>
    </row>
    <row r="40045" spans="17:17" x14ac:dyDescent="0.25">
      <c r="Q40045" s="8"/>
    </row>
    <row r="40046" spans="17:17" x14ac:dyDescent="0.25">
      <c r="Q40046" s="8"/>
    </row>
    <row r="40047" spans="17:17" x14ac:dyDescent="0.25">
      <c r="Q40047" s="8"/>
    </row>
    <row r="40048" spans="17:17" x14ac:dyDescent="0.25">
      <c r="Q40048" s="8"/>
    </row>
    <row r="40049" spans="17:17" x14ac:dyDescent="0.25">
      <c r="Q40049" s="8"/>
    </row>
    <row r="40050" spans="17:17" x14ac:dyDescent="0.25">
      <c r="Q40050" s="8"/>
    </row>
    <row r="40051" spans="17:17" x14ac:dyDescent="0.25">
      <c r="Q40051" s="8"/>
    </row>
    <row r="40052" spans="17:17" x14ac:dyDescent="0.25">
      <c r="Q40052" s="8"/>
    </row>
    <row r="40053" spans="17:17" x14ac:dyDescent="0.25">
      <c r="Q40053" s="8"/>
    </row>
    <row r="40054" spans="17:17" x14ac:dyDescent="0.25">
      <c r="Q40054" s="8"/>
    </row>
    <row r="40055" spans="17:17" x14ac:dyDescent="0.25">
      <c r="Q40055" s="8"/>
    </row>
    <row r="40056" spans="17:17" x14ac:dyDescent="0.25">
      <c r="Q40056" s="8"/>
    </row>
    <row r="40057" spans="17:17" x14ac:dyDescent="0.25">
      <c r="Q40057" s="8"/>
    </row>
    <row r="40058" spans="17:17" x14ac:dyDescent="0.25">
      <c r="Q40058" s="8"/>
    </row>
    <row r="40059" spans="17:17" x14ac:dyDescent="0.25">
      <c r="Q40059" s="8"/>
    </row>
    <row r="40060" spans="17:17" x14ac:dyDescent="0.25">
      <c r="Q40060" s="8"/>
    </row>
    <row r="40061" spans="17:17" x14ac:dyDescent="0.25">
      <c r="Q40061" s="8"/>
    </row>
    <row r="40062" spans="17:17" x14ac:dyDescent="0.25">
      <c r="Q40062" s="8"/>
    </row>
    <row r="40063" spans="17:17" x14ac:dyDescent="0.25">
      <c r="Q40063" s="8"/>
    </row>
    <row r="40064" spans="17:17" x14ac:dyDescent="0.25">
      <c r="Q40064" s="8"/>
    </row>
    <row r="40065" spans="17:17" x14ac:dyDescent="0.25">
      <c r="Q40065" s="8"/>
    </row>
    <row r="40066" spans="17:17" x14ac:dyDescent="0.25">
      <c r="Q40066" s="8"/>
    </row>
    <row r="40067" spans="17:17" x14ac:dyDescent="0.25">
      <c r="Q40067" s="8"/>
    </row>
    <row r="40068" spans="17:17" x14ac:dyDescent="0.25">
      <c r="Q40068" s="8"/>
    </row>
    <row r="40069" spans="17:17" x14ac:dyDescent="0.25">
      <c r="Q40069" s="8"/>
    </row>
    <row r="40070" spans="17:17" x14ac:dyDescent="0.25">
      <c r="Q40070" s="8"/>
    </row>
    <row r="40071" spans="17:17" x14ac:dyDescent="0.25">
      <c r="Q40071" s="8"/>
    </row>
    <row r="40072" spans="17:17" x14ac:dyDescent="0.25">
      <c r="Q40072" s="8"/>
    </row>
    <row r="40073" spans="17:17" x14ac:dyDescent="0.25">
      <c r="Q40073" s="8"/>
    </row>
    <row r="40074" spans="17:17" x14ac:dyDescent="0.25">
      <c r="Q40074" s="8"/>
    </row>
    <row r="40075" spans="17:17" x14ac:dyDescent="0.25">
      <c r="Q40075" s="8"/>
    </row>
    <row r="40076" spans="17:17" x14ac:dyDescent="0.25">
      <c r="Q40076" s="8"/>
    </row>
    <row r="40077" spans="17:17" x14ac:dyDescent="0.25">
      <c r="Q40077" s="8"/>
    </row>
    <row r="40078" spans="17:17" x14ac:dyDescent="0.25">
      <c r="Q40078" s="8"/>
    </row>
    <row r="40079" spans="17:17" x14ac:dyDescent="0.25">
      <c r="Q40079" s="8"/>
    </row>
    <row r="40080" spans="17:17" x14ac:dyDescent="0.25">
      <c r="Q40080" s="8"/>
    </row>
    <row r="40081" spans="17:17" x14ac:dyDescent="0.25">
      <c r="Q40081" s="8"/>
    </row>
    <row r="40082" spans="17:17" x14ac:dyDescent="0.25">
      <c r="Q40082" s="8"/>
    </row>
    <row r="40083" spans="17:17" x14ac:dyDescent="0.25">
      <c r="Q40083" s="8"/>
    </row>
    <row r="40084" spans="17:17" x14ac:dyDescent="0.25">
      <c r="Q40084" s="8"/>
    </row>
    <row r="40085" spans="17:17" x14ac:dyDescent="0.25">
      <c r="Q40085" s="8"/>
    </row>
    <row r="40086" spans="17:17" x14ac:dyDescent="0.25">
      <c r="Q40086" s="8"/>
    </row>
    <row r="40087" spans="17:17" x14ac:dyDescent="0.25">
      <c r="Q40087" s="8"/>
    </row>
    <row r="40088" spans="17:17" x14ac:dyDescent="0.25">
      <c r="Q40088" s="8"/>
    </row>
    <row r="40089" spans="17:17" x14ac:dyDescent="0.25">
      <c r="Q40089" s="8"/>
    </row>
    <row r="40090" spans="17:17" x14ac:dyDescent="0.25">
      <c r="Q40090" s="8"/>
    </row>
    <row r="40091" spans="17:17" x14ac:dyDescent="0.25">
      <c r="Q40091" s="8"/>
    </row>
    <row r="40092" spans="17:17" x14ac:dyDescent="0.25">
      <c r="Q40092" s="8"/>
    </row>
    <row r="40093" spans="17:17" x14ac:dyDescent="0.25">
      <c r="Q40093" s="8"/>
    </row>
    <row r="40094" spans="17:17" x14ac:dyDescent="0.25">
      <c r="Q40094" s="8"/>
    </row>
    <row r="40095" spans="17:17" x14ac:dyDescent="0.25">
      <c r="Q40095" s="8"/>
    </row>
    <row r="40096" spans="17:17" x14ac:dyDescent="0.25">
      <c r="Q40096" s="8"/>
    </row>
    <row r="40097" spans="17:17" x14ac:dyDescent="0.25">
      <c r="Q40097" s="8"/>
    </row>
    <row r="40098" spans="17:17" x14ac:dyDescent="0.25">
      <c r="Q40098" s="8"/>
    </row>
    <row r="40099" spans="17:17" x14ac:dyDescent="0.25">
      <c r="Q40099" s="8"/>
    </row>
    <row r="40100" spans="17:17" x14ac:dyDescent="0.25">
      <c r="Q40100" s="8"/>
    </row>
    <row r="40101" spans="17:17" x14ac:dyDescent="0.25">
      <c r="Q40101" s="8"/>
    </row>
    <row r="40102" spans="17:17" x14ac:dyDescent="0.25">
      <c r="Q40102" s="8"/>
    </row>
    <row r="40103" spans="17:17" x14ac:dyDescent="0.25">
      <c r="Q40103" s="8"/>
    </row>
    <row r="40104" spans="17:17" x14ac:dyDescent="0.25">
      <c r="Q40104" s="8"/>
    </row>
    <row r="40105" spans="17:17" x14ac:dyDescent="0.25">
      <c r="Q40105" s="8"/>
    </row>
    <row r="40106" spans="17:17" x14ac:dyDescent="0.25">
      <c r="Q40106" s="8"/>
    </row>
    <row r="40107" spans="17:17" x14ac:dyDescent="0.25">
      <c r="Q40107" s="8"/>
    </row>
    <row r="40108" spans="17:17" x14ac:dyDescent="0.25">
      <c r="Q40108" s="8"/>
    </row>
    <row r="40109" spans="17:17" x14ac:dyDescent="0.25">
      <c r="Q40109" s="8"/>
    </row>
    <row r="40110" spans="17:17" x14ac:dyDescent="0.25">
      <c r="Q40110" s="8"/>
    </row>
    <row r="40111" spans="17:17" x14ac:dyDescent="0.25">
      <c r="Q40111" s="8"/>
    </row>
    <row r="40112" spans="17:17" x14ac:dyDescent="0.25">
      <c r="Q40112" s="8"/>
    </row>
    <row r="40113" spans="17:17" x14ac:dyDescent="0.25">
      <c r="Q40113" s="8"/>
    </row>
    <row r="40114" spans="17:17" x14ac:dyDescent="0.25">
      <c r="Q40114" s="8"/>
    </row>
    <row r="40115" spans="17:17" x14ac:dyDescent="0.25">
      <c r="Q40115" s="8"/>
    </row>
    <row r="40116" spans="17:17" x14ac:dyDescent="0.25">
      <c r="Q40116" s="8"/>
    </row>
    <row r="40117" spans="17:17" x14ac:dyDescent="0.25">
      <c r="Q40117" s="8"/>
    </row>
    <row r="40118" spans="17:17" x14ac:dyDescent="0.25">
      <c r="Q40118" s="8"/>
    </row>
    <row r="40119" spans="17:17" x14ac:dyDescent="0.25">
      <c r="Q40119" s="8"/>
    </row>
    <row r="40120" spans="17:17" x14ac:dyDescent="0.25">
      <c r="Q40120" s="8"/>
    </row>
    <row r="40121" spans="17:17" x14ac:dyDescent="0.25">
      <c r="Q40121" s="8"/>
    </row>
    <row r="40122" spans="17:17" x14ac:dyDescent="0.25">
      <c r="Q40122" s="8"/>
    </row>
    <row r="40123" spans="17:17" x14ac:dyDescent="0.25">
      <c r="Q40123" s="8"/>
    </row>
    <row r="40124" spans="17:17" x14ac:dyDescent="0.25">
      <c r="Q40124" s="8"/>
    </row>
    <row r="40125" spans="17:17" x14ac:dyDescent="0.25">
      <c r="Q40125" s="8"/>
    </row>
    <row r="40126" spans="17:17" x14ac:dyDescent="0.25">
      <c r="Q40126" s="8"/>
    </row>
    <row r="40127" spans="17:17" x14ac:dyDescent="0.25">
      <c r="Q40127" s="8"/>
    </row>
    <row r="40128" spans="17:17" x14ac:dyDescent="0.25">
      <c r="Q40128" s="8"/>
    </row>
    <row r="40129" spans="17:17" x14ac:dyDescent="0.25">
      <c r="Q40129" s="8"/>
    </row>
    <row r="40130" spans="17:17" x14ac:dyDescent="0.25">
      <c r="Q40130" s="8"/>
    </row>
    <row r="40131" spans="17:17" x14ac:dyDescent="0.25">
      <c r="Q40131" s="8"/>
    </row>
    <row r="40132" spans="17:17" x14ac:dyDescent="0.25">
      <c r="Q40132" s="8"/>
    </row>
    <row r="40133" spans="17:17" x14ac:dyDescent="0.25">
      <c r="Q40133" s="8"/>
    </row>
    <row r="40134" spans="17:17" x14ac:dyDescent="0.25">
      <c r="Q40134" s="8"/>
    </row>
    <row r="40135" spans="17:17" x14ac:dyDescent="0.25">
      <c r="Q40135" s="8"/>
    </row>
    <row r="40136" spans="17:17" x14ac:dyDescent="0.25">
      <c r="Q40136" s="8"/>
    </row>
    <row r="40137" spans="17:17" x14ac:dyDescent="0.25">
      <c r="Q40137" s="8"/>
    </row>
    <row r="40138" spans="17:17" x14ac:dyDescent="0.25">
      <c r="Q40138" s="8"/>
    </row>
    <row r="40139" spans="17:17" x14ac:dyDescent="0.25">
      <c r="Q40139" s="8"/>
    </row>
    <row r="40140" spans="17:17" x14ac:dyDescent="0.25">
      <c r="Q40140" s="8"/>
    </row>
    <row r="40141" spans="17:17" x14ac:dyDescent="0.25">
      <c r="Q40141" s="8"/>
    </row>
    <row r="40142" spans="17:17" x14ac:dyDescent="0.25">
      <c r="Q40142" s="8"/>
    </row>
    <row r="40143" spans="17:17" x14ac:dyDescent="0.25">
      <c r="Q40143" s="8"/>
    </row>
    <row r="40144" spans="17:17" x14ac:dyDescent="0.25">
      <c r="Q40144" s="8"/>
    </row>
    <row r="40145" spans="17:17" x14ac:dyDescent="0.25">
      <c r="Q40145" s="8"/>
    </row>
    <row r="40146" spans="17:17" x14ac:dyDescent="0.25">
      <c r="Q40146" s="8"/>
    </row>
    <row r="40147" spans="17:17" x14ac:dyDescent="0.25">
      <c r="Q40147" s="8"/>
    </row>
    <row r="40148" spans="17:17" x14ac:dyDescent="0.25">
      <c r="Q40148" s="8"/>
    </row>
    <row r="40149" spans="17:17" x14ac:dyDescent="0.25">
      <c r="Q40149" s="8"/>
    </row>
    <row r="40150" spans="17:17" x14ac:dyDescent="0.25">
      <c r="Q40150" s="8"/>
    </row>
    <row r="40151" spans="17:17" x14ac:dyDescent="0.25">
      <c r="Q40151" s="8"/>
    </row>
    <row r="40152" spans="17:17" x14ac:dyDescent="0.25">
      <c r="Q40152" s="8"/>
    </row>
    <row r="40153" spans="17:17" x14ac:dyDescent="0.25">
      <c r="Q40153" s="8"/>
    </row>
    <row r="40154" spans="17:17" x14ac:dyDescent="0.25">
      <c r="Q40154" s="8"/>
    </row>
    <row r="40155" spans="17:17" x14ac:dyDescent="0.25">
      <c r="Q40155" s="8"/>
    </row>
    <row r="40156" spans="17:17" x14ac:dyDescent="0.25">
      <c r="Q40156" s="8"/>
    </row>
    <row r="40157" spans="17:17" x14ac:dyDescent="0.25">
      <c r="Q40157" s="8"/>
    </row>
    <row r="40158" spans="17:17" x14ac:dyDescent="0.25">
      <c r="Q40158" s="8"/>
    </row>
    <row r="40159" spans="17:17" x14ac:dyDescent="0.25">
      <c r="Q40159" s="8"/>
    </row>
    <row r="40160" spans="17:17" x14ac:dyDescent="0.25">
      <c r="Q40160" s="8"/>
    </row>
    <row r="40161" spans="17:17" x14ac:dyDescent="0.25">
      <c r="Q40161" s="8"/>
    </row>
    <row r="40162" spans="17:17" x14ac:dyDescent="0.25">
      <c r="Q40162" s="8"/>
    </row>
    <row r="40163" spans="17:17" x14ac:dyDescent="0.25">
      <c r="Q40163" s="8"/>
    </row>
    <row r="40164" spans="17:17" x14ac:dyDescent="0.25">
      <c r="Q40164" s="8"/>
    </row>
    <row r="40165" spans="17:17" x14ac:dyDescent="0.25">
      <c r="Q40165" s="8"/>
    </row>
    <row r="40166" spans="17:17" x14ac:dyDescent="0.25">
      <c r="Q40166" s="8"/>
    </row>
    <row r="40167" spans="17:17" x14ac:dyDescent="0.25">
      <c r="Q40167" s="8"/>
    </row>
    <row r="40168" spans="17:17" x14ac:dyDescent="0.25">
      <c r="Q40168" s="8"/>
    </row>
    <row r="40169" spans="17:17" x14ac:dyDescent="0.25">
      <c r="Q40169" s="8"/>
    </row>
    <row r="40170" spans="17:17" x14ac:dyDescent="0.25">
      <c r="Q40170" s="8"/>
    </row>
    <row r="40171" spans="17:17" x14ac:dyDescent="0.25">
      <c r="Q40171" s="8"/>
    </row>
    <row r="40172" spans="17:17" x14ac:dyDescent="0.25">
      <c r="Q40172" s="8"/>
    </row>
    <row r="40173" spans="17:17" x14ac:dyDescent="0.25">
      <c r="Q40173" s="8"/>
    </row>
    <row r="40174" spans="17:17" x14ac:dyDescent="0.25">
      <c r="Q40174" s="8"/>
    </row>
    <row r="40175" spans="17:17" x14ac:dyDescent="0.25">
      <c r="Q40175" s="8"/>
    </row>
    <row r="40176" spans="17:17" x14ac:dyDescent="0.25">
      <c r="Q40176" s="8"/>
    </row>
    <row r="40177" spans="17:17" x14ac:dyDescent="0.25">
      <c r="Q40177" s="8"/>
    </row>
    <row r="40178" spans="17:17" x14ac:dyDescent="0.25">
      <c r="Q40178" s="8"/>
    </row>
    <row r="40179" spans="17:17" x14ac:dyDescent="0.25">
      <c r="Q40179" s="8"/>
    </row>
    <row r="40180" spans="17:17" x14ac:dyDescent="0.25">
      <c r="Q40180" s="8"/>
    </row>
    <row r="40181" spans="17:17" x14ac:dyDescent="0.25">
      <c r="Q40181" s="8"/>
    </row>
    <row r="40182" spans="17:17" x14ac:dyDescent="0.25">
      <c r="Q40182" s="8"/>
    </row>
    <row r="40183" spans="17:17" x14ac:dyDescent="0.25">
      <c r="Q40183" s="8"/>
    </row>
    <row r="40184" spans="17:17" x14ac:dyDescent="0.25">
      <c r="Q40184" s="8"/>
    </row>
    <row r="40185" spans="17:17" x14ac:dyDescent="0.25">
      <c r="Q40185" s="8"/>
    </row>
    <row r="40186" spans="17:17" x14ac:dyDescent="0.25">
      <c r="Q40186" s="8"/>
    </row>
    <row r="40187" spans="17:17" x14ac:dyDescent="0.25">
      <c r="Q40187" s="8"/>
    </row>
    <row r="40188" spans="17:17" x14ac:dyDescent="0.25">
      <c r="Q40188" s="8"/>
    </row>
    <row r="40189" spans="17:17" x14ac:dyDescent="0.25">
      <c r="Q40189" s="8"/>
    </row>
    <row r="40190" spans="17:17" x14ac:dyDescent="0.25">
      <c r="Q40190" s="8"/>
    </row>
    <row r="40191" spans="17:17" x14ac:dyDescent="0.25">
      <c r="Q40191" s="8"/>
    </row>
    <row r="40192" spans="17:17" x14ac:dyDescent="0.25">
      <c r="Q40192" s="8"/>
    </row>
    <row r="40193" spans="17:17" x14ac:dyDescent="0.25">
      <c r="Q40193" s="8"/>
    </row>
    <row r="40194" spans="17:17" x14ac:dyDescent="0.25">
      <c r="Q40194" s="8"/>
    </row>
    <row r="40195" spans="17:17" x14ac:dyDescent="0.25">
      <c r="Q40195" s="8"/>
    </row>
    <row r="40196" spans="17:17" x14ac:dyDescent="0.25">
      <c r="Q40196" s="8"/>
    </row>
    <row r="40197" spans="17:17" x14ac:dyDescent="0.25">
      <c r="Q40197" s="8"/>
    </row>
    <row r="40198" spans="17:17" x14ac:dyDescent="0.25">
      <c r="Q40198" s="8"/>
    </row>
    <row r="40199" spans="17:17" x14ac:dyDescent="0.25">
      <c r="Q40199" s="8"/>
    </row>
    <row r="40200" spans="17:17" x14ac:dyDescent="0.25">
      <c r="Q40200" s="8"/>
    </row>
    <row r="40201" spans="17:17" x14ac:dyDescent="0.25">
      <c r="Q40201" s="8"/>
    </row>
    <row r="40202" spans="17:17" x14ac:dyDescent="0.25">
      <c r="Q40202" s="8"/>
    </row>
    <row r="40203" spans="17:17" x14ac:dyDescent="0.25">
      <c r="Q40203" s="8"/>
    </row>
    <row r="40204" spans="17:17" x14ac:dyDescent="0.25">
      <c r="Q40204" s="8"/>
    </row>
    <row r="40205" spans="17:17" x14ac:dyDescent="0.25">
      <c r="Q40205" s="8"/>
    </row>
    <row r="40206" spans="17:17" x14ac:dyDescent="0.25">
      <c r="Q40206" s="8"/>
    </row>
    <row r="40207" spans="17:17" x14ac:dyDescent="0.25">
      <c r="Q40207" s="8"/>
    </row>
    <row r="40208" spans="17:17" x14ac:dyDescent="0.25">
      <c r="Q40208" s="8"/>
    </row>
    <row r="40209" spans="17:17" x14ac:dyDescent="0.25">
      <c r="Q40209" s="8"/>
    </row>
    <row r="40210" spans="17:17" x14ac:dyDescent="0.25">
      <c r="Q40210" s="8"/>
    </row>
    <row r="40211" spans="17:17" x14ac:dyDescent="0.25">
      <c r="Q40211" s="8"/>
    </row>
    <row r="40212" spans="17:17" x14ac:dyDescent="0.25">
      <c r="Q40212" s="8"/>
    </row>
    <row r="40213" spans="17:17" x14ac:dyDescent="0.25">
      <c r="Q40213" s="8"/>
    </row>
    <row r="40214" spans="17:17" x14ac:dyDescent="0.25">
      <c r="Q40214" s="8"/>
    </row>
    <row r="40215" spans="17:17" x14ac:dyDescent="0.25">
      <c r="Q40215" s="8"/>
    </row>
    <row r="40216" spans="17:17" x14ac:dyDescent="0.25">
      <c r="Q40216" s="8"/>
    </row>
    <row r="40217" spans="17:17" x14ac:dyDescent="0.25">
      <c r="Q40217" s="8"/>
    </row>
    <row r="40218" spans="17:17" x14ac:dyDescent="0.25">
      <c r="Q40218" s="8"/>
    </row>
    <row r="40219" spans="17:17" x14ac:dyDescent="0.25">
      <c r="Q40219" s="8"/>
    </row>
    <row r="40220" spans="17:17" x14ac:dyDescent="0.25">
      <c r="Q40220" s="8"/>
    </row>
    <row r="40221" spans="17:17" x14ac:dyDescent="0.25">
      <c r="Q40221" s="8"/>
    </row>
    <row r="40222" spans="17:17" x14ac:dyDescent="0.25">
      <c r="Q40222" s="8"/>
    </row>
    <row r="40223" spans="17:17" x14ac:dyDescent="0.25">
      <c r="Q40223" s="8"/>
    </row>
    <row r="40224" spans="17:17" x14ac:dyDescent="0.25">
      <c r="Q40224" s="8"/>
    </row>
    <row r="40225" spans="17:17" x14ac:dyDescent="0.25">
      <c r="Q40225" s="8"/>
    </row>
    <row r="40226" spans="17:17" x14ac:dyDescent="0.25">
      <c r="Q40226" s="8"/>
    </row>
    <row r="40227" spans="17:17" x14ac:dyDescent="0.25">
      <c r="Q40227" s="8"/>
    </row>
    <row r="40228" spans="17:17" x14ac:dyDescent="0.25">
      <c r="Q40228" s="8"/>
    </row>
    <row r="40229" spans="17:17" x14ac:dyDescent="0.25">
      <c r="Q40229" s="8"/>
    </row>
    <row r="40230" spans="17:17" x14ac:dyDescent="0.25">
      <c r="Q40230" s="8"/>
    </row>
    <row r="40231" spans="17:17" x14ac:dyDescent="0.25">
      <c r="Q40231" s="8"/>
    </row>
    <row r="40232" spans="17:17" x14ac:dyDescent="0.25">
      <c r="Q40232" s="8"/>
    </row>
    <row r="40233" spans="17:17" x14ac:dyDescent="0.25">
      <c r="Q40233" s="8"/>
    </row>
    <row r="40234" spans="17:17" x14ac:dyDescent="0.25">
      <c r="Q40234" s="8"/>
    </row>
    <row r="40235" spans="17:17" x14ac:dyDescent="0.25">
      <c r="Q40235" s="8"/>
    </row>
    <row r="40236" spans="17:17" x14ac:dyDescent="0.25">
      <c r="Q40236" s="8"/>
    </row>
    <row r="40237" spans="17:17" x14ac:dyDescent="0.25">
      <c r="Q40237" s="8"/>
    </row>
    <row r="40238" spans="17:17" x14ac:dyDescent="0.25">
      <c r="Q40238" s="8"/>
    </row>
    <row r="40239" spans="17:17" x14ac:dyDescent="0.25">
      <c r="Q40239" s="8"/>
    </row>
    <row r="40240" spans="17:17" x14ac:dyDescent="0.25">
      <c r="Q40240" s="8"/>
    </row>
    <row r="40241" spans="17:17" x14ac:dyDescent="0.25">
      <c r="Q40241" s="8"/>
    </row>
    <row r="40242" spans="17:17" x14ac:dyDescent="0.25">
      <c r="Q40242" s="8"/>
    </row>
    <row r="40243" spans="17:17" x14ac:dyDescent="0.25">
      <c r="Q40243" s="8"/>
    </row>
    <row r="40244" spans="17:17" x14ac:dyDescent="0.25">
      <c r="Q40244" s="8"/>
    </row>
    <row r="40245" spans="17:17" x14ac:dyDescent="0.25">
      <c r="Q40245" s="8"/>
    </row>
    <row r="40246" spans="17:17" x14ac:dyDescent="0.25">
      <c r="Q40246" s="8"/>
    </row>
    <row r="40247" spans="17:17" x14ac:dyDescent="0.25">
      <c r="Q40247" s="8"/>
    </row>
    <row r="40248" spans="17:17" x14ac:dyDescent="0.25">
      <c r="Q40248" s="8"/>
    </row>
    <row r="40249" spans="17:17" x14ac:dyDescent="0.25">
      <c r="Q40249" s="8"/>
    </row>
    <row r="40250" spans="17:17" x14ac:dyDescent="0.25">
      <c r="Q40250" s="8"/>
    </row>
    <row r="40251" spans="17:17" x14ac:dyDescent="0.25">
      <c r="Q40251" s="8"/>
    </row>
    <row r="40252" spans="17:17" x14ac:dyDescent="0.25">
      <c r="Q40252" s="8"/>
    </row>
    <row r="40253" spans="17:17" x14ac:dyDescent="0.25">
      <c r="Q40253" s="8"/>
    </row>
    <row r="40254" spans="17:17" x14ac:dyDescent="0.25">
      <c r="Q40254" s="8"/>
    </row>
    <row r="40255" spans="17:17" x14ac:dyDescent="0.25">
      <c r="Q40255" s="8"/>
    </row>
    <row r="40256" spans="17:17" x14ac:dyDescent="0.25">
      <c r="Q40256" s="8"/>
    </row>
    <row r="40257" spans="17:17" x14ac:dyDescent="0.25">
      <c r="Q40257" s="8"/>
    </row>
    <row r="40258" spans="17:17" x14ac:dyDescent="0.25">
      <c r="Q40258" s="8"/>
    </row>
    <row r="40259" spans="17:17" x14ac:dyDescent="0.25">
      <c r="Q40259" s="8"/>
    </row>
    <row r="40260" spans="17:17" x14ac:dyDescent="0.25">
      <c r="Q40260" s="8"/>
    </row>
    <row r="40261" spans="17:17" x14ac:dyDescent="0.25">
      <c r="Q40261" s="8"/>
    </row>
    <row r="40262" spans="17:17" x14ac:dyDescent="0.25">
      <c r="Q40262" s="8"/>
    </row>
    <row r="40263" spans="17:17" x14ac:dyDescent="0.25">
      <c r="Q40263" s="8"/>
    </row>
    <row r="40264" spans="17:17" x14ac:dyDescent="0.25">
      <c r="Q40264" s="8"/>
    </row>
    <row r="40265" spans="17:17" x14ac:dyDescent="0.25">
      <c r="Q40265" s="8"/>
    </row>
    <row r="40266" spans="17:17" x14ac:dyDescent="0.25">
      <c r="Q40266" s="8"/>
    </row>
    <row r="40267" spans="17:17" x14ac:dyDescent="0.25">
      <c r="Q40267" s="8"/>
    </row>
    <row r="40268" spans="17:17" x14ac:dyDescent="0.25">
      <c r="Q40268" s="8"/>
    </row>
    <row r="40269" spans="17:17" x14ac:dyDescent="0.25">
      <c r="Q40269" s="8"/>
    </row>
    <row r="40270" spans="17:17" x14ac:dyDescent="0.25">
      <c r="Q40270" s="8"/>
    </row>
    <row r="40271" spans="17:17" x14ac:dyDescent="0.25">
      <c r="Q40271" s="8"/>
    </row>
    <row r="40272" spans="17:17" x14ac:dyDescent="0.25">
      <c r="Q40272" s="8"/>
    </row>
    <row r="40273" spans="17:17" x14ac:dyDescent="0.25">
      <c r="Q40273" s="8"/>
    </row>
    <row r="40274" spans="17:17" x14ac:dyDescent="0.25">
      <c r="Q40274" s="8"/>
    </row>
    <row r="40275" spans="17:17" x14ac:dyDescent="0.25">
      <c r="Q40275" s="8"/>
    </row>
    <row r="40276" spans="17:17" x14ac:dyDescent="0.25">
      <c r="Q40276" s="8"/>
    </row>
    <row r="40277" spans="17:17" x14ac:dyDescent="0.25">
      <c r="Q40277" s="8"/>
    </row>
    <row r="40278" spans="17:17" x14ac:dyDescent="0.25">
      <c r="Q40278" s="8"/>
    </row>
    <row r="40279" spans="17:17" x14ac:dyDescent="0.25">
      <c r="Q40279" s="8"/>
    </row>
    <row r="40280" spans="17:17" x14ac:dyDescent="0.25">
      <c r="Q40280" s="8"/>
    </row>
    <row r="40281" spans="17:17" x14ac:dyDescent="0.25">
      <c r="Q40281" s="8"/>
    </row>
    <row r="40282" spans="17:17" x14ac:dyDescent="0.25">
      <c r="Q40282" s="8"/>
    </row>
    <row r="40283" spans="17:17" x14ac:dyDescent="0.25">
      <c r="Q40283" s="8"/>
    </row>
    <row r="40284" spans="17:17" x14ac:dyDescent="0.25">
      <c r="Q40284" s="8"/>
    </row>
    <row r="40285" spans="17:17" x14ac:dyDescent="0.25">
      <c r="Q40285" s="8"/>
    </row>
    <row r="40286" spans="17:17" x14ac:dyDescent="0.25">
      <c r="Q40286" s="8"/>
    </row>
    <row r="40287" spans="17:17" x14ac:dyDescent="0.25">
      <c r="Q40287" s="8"/>
    </row>
    <row r="40288" spans="17:17" x14ac:dyDescent="0.25">
      <c r="Q40288" s="8"/>
    </row>
    <row r="40289" spans="17:17" x14ac:dyDescent="0.25">
      <c r="Q40289" s="8"/>
    </row>
    <row r="40290" spans="17:17" x14ac:dyDescent="0.25">
      <c r="Q40290" s="8"/>
    </row>
    <row r="40291" spans="17:17" x14ac:dyDescent="0.25">
      <c r="Q40291" s="8"/>
    </row>
    <row r="40292" spans="17:17" x14ac:dyDescent="0.25">
      <c r="Q40292" s="8"/>
    </row>
    <row r="40293" spans="17:17" x14ac:dyDescent="0.25">
      <c r="Q40293" s="8"/>
    </row>
    <row r="40294" spans="17:17" x14ac:dyDescent="0.25">
      <c r="Q40294" s="8"/>
    </row>
    <row r="40295" spans="17:17" x14ac:dyDescent="0.25">
      <c r="Q40295" s="8"/>
    </row>
    <row r="40296" spans="17:17" x14ac:dyDescent="0.25">
      <c r="Q40296" s="8"/>
    </row>
    <row r="40297" spans="17:17" x14ac:dyDescent="0.25">
      <c r="Q40297" s="8"/>
    </row>
    <row r="40298" spans="17:17" x14ac:dyDescent="0.25">
      <c r="Q40298" s="8"/>
    </row>
    <row r="40299" spans="17:17" x14ac:dyDescent="0.25">
      <c r="Q40299" s="8"/>
    </row>
    <row r="40300" spans="17:17" x14ac:dyDescent="0.25">
      <c r="Q40300" s="8"/>
    </row>
    <row r="40301" spans="17:17" x14ac:dyDescent="0.25">
      <c r="Q40301" s="8"/>
    </row>
    <row r="40302" spans="17:17" x14ac:dyDescent="0.25">
      <c r="Q40302" s="8"/>
    </row>
    <row r="40303" spans="17:17" x14ac:dyDescent="0.25">
      <c r="Q40303" s="8"/>
    </row>
    <row r="40304" spans="17:17" x14ac:dyDescent="0.25">
      <c r="Q40304" s="8"/>
    </row>
    <row r="40305" spans="17:17" x14ac:dyDescent="0.25">
      <c r="Q40305" s="8"/>
    </row>
    <row r="40306" spans="17:17" x14ac:dyDescent="0.25">
      <c r="Q40306" s="8"/>
    </row>
    <row r="40307" spans="17:17" x14ac:dyDescent="0.25">
      <c r="Q40307" s="8"/>
    </row>
    <row r="40308" spans="17:17" x14ac:dyDescent="0.25">
      <c r="Q40308" s="8"/>
    </row>
    <row r="40309" spans="17:17" x14ac:dyDescent="0.25">
      <c r="Q40309" s="8"/>
    </row>
    <row r="40310" spans="17:17" x14ac:dyDescent="0.25">
      <c r="Q40310" s="8"/>
    </row>
    <row r="40311" spans="17:17" x14ac:dyDescent="0.25">
      <c r="Q40311" s="8"/>
    </row>
    <row r="40312" spans="17:17" x14ac:dyDescent="0.25">
      <c r="Q40312" s="8"/>
    </row>
    <row r="40313" spans="17:17" x14ac:dyDescent="0.25">
      <c r="Q40313" s="8"/>
    </row>
    <row r="40314" spans="17:17" x14ac:dyDescent="0.25">
      <c r="Q40314" s="8"/>
    </row>
    <row r="40315" spans="17:17" x14ac:dyDescent="0.25">
      <c r="Q40315" s="8"/>
    </row>
    <row r="40316" spans="17:17" x14ac:dyDescent="0.25">
      <c r="Q40316" s="8"/>
    </row>
    <row r="40317" spans="17:17" x14ac:dyDescent="0.25">
      <c r="Q40317" s="8"/>
    </row>
    <row r="40318" spans="17:17" x14ac:dyDescent="0.25">
      <c r="Q40318" s="8"/>
    </row>
    <row r="40319" spans="17:17" x14ac:dyDescent="0.25">
      <c r="Q40319" s="8"/>
    </row>
    <row r="40320" spans="17:17" x14ac:dyDescent="0.25">
      <c r="Q40320" s="8"/>
    </row>
    <row r="40321" spans="17:17" x14ac:dyDescent="0.25">
      <c r="Q40321" s="8"/>
    </row>
    <row r="40322" spans="17:17" x14ac:dyDescent="0.25">
      <c r="Q40322" s="8"/>
    </row>
    <row r="40323" spans="17:17" x14ac:dyDescent="0.25">
      <c r="Q40323" s="8"/>
    </row>
    <row r="40324" spans="17:17" x14ac:dyDescent="0.25">
      <c r="Q40324" s="8"/>
    </row>
    <row r="40325" spans="17:17" x14ac:dyDescent="0.25">
      <c r="Q40325" s="8"/>
    </row>
    <row r="40326" spans="17:17" x14ac:dyDescent="0.25">
      <c r="Q40326" s="8"/>
    </row>
    <row r="40327" spans="17:17" x14ac:dyDescent="0.25">
      <c r="Q40327" s="8"/>
    </row>
    <row r="40328" spans="17:17" x14ac:dyDescent="0.25">
      <c r="Q40328" s="8"/>
    </row>
    <row r="40329" spans="17:17" x14ac:dyDescent="0.25">
      <c r="Q40329" s="8"/>
    </row>
    <row r="40330" spans="17:17" x14ac:dyDescent="0.25">
      <c r="Q40330" s="8"/>
    </row>
    <row r="40331" spans="17:17" x14ac:dyDescent="0.25">
      <c r="Q40331" s="8"/>
    </row>
    <row r="40332" spans="17:17" x14ac:dyDescent="0.25">
      <c r="Q40332" s="8"/>
    </row>
    <row r="40333" spans="17:17" x14ac:dyDescent="0.25">
      <c r="Q40333" s="8"/>
    </row>
    <row r="40334" spans="17:17" x14ac:dyDescent="0.25">
      <c r="Q40334" s="8"/>
    </row>
    <row r="40335" spans="17:17" x14ac:dyDescent="0.25">
      <c r="Q40335" s="8"/>
    </row>
    <row r="40336" spans="17:17" x14ac:dyDescent="0.25">
      <c r="Q40336" s="8"/>
    </row>
    <row r="40337" spans="17:17" x14ac:dyDescent="0.25">
      <c r="Q40337" s="8"/>
    </row>
    <row r="40338" spans="17:17" x14ac:dyDescent="0.25">
      <c r="Q40338" s="8"/>
    </row>
    <row r="40339" spans="17:17" x14ac:dyDescent="0.25">
      <c r="Q40339" s="8"/>
    </row>
    <row r="40340" spans="17:17" x14ac:dyDescent="0.25">
      <c r="Q40340" s="8"/>
    </row>
    <row r="40341" spans="17:17" x14ac:dyDescent="0.25">
      <c r="Q40341" s="8"/>
    </row>
    <row r="40342" spans="17:17" x14ac:dyDescent="0.25">
      <c r="Q40342" s="8"/>
    </row>
    <row r="40343" spans="17:17" x14ac:dyDescent="0.25">
      <c r="Q40343" s="8"/>
    </row>
    <row r="40344" spans="17:17" x14ac:dyDescent="0.25">
      <c r="Q40344" s="8"/>
    </row>
    <row r="40345" spans="17:17" x14ac:dyDescent="0.25">
      <c r="Q40345" s="8"/>
    </row>
    <row r="40346" spans="17:17" x14ac:dyDescent="0.25">
      <c r="Q40346" s="8"/>
    </row>
    <row r="40347" spans="17:17" x14ac:dyDescent="0.25">
      <c r="Q40347" s="8"/>
    </row>
    <row r="40348" spans="17:17" x14ac:dyDescent="0.25">
      <c r="Q40348" s="8"/>
    </row>
    <row r="40349" spans="17:17" x14ac:dyDescent="0.25">
      <c r="Q40349" s="8"/>
    </row>
    <row r="40350" spans="17:17" x14ac:dyDescent="0.25">
      <c r="Q40350" s="8"/>
    </row>
    <row r="40351" spans="17:17" x14ac:dyDescent="0.25">
      <c r="Q40351" s="8"/>
    </row>
    <row r="40352" spans="17:17" x14ac:dyDescent="0.25">
      <c r="Q40352" s="8"/>
    </row>
    <row r="40353" spans="17:17" x14ac:dyDescent="0.25">
      <c r="Q40353" s="8"/>
    </row>
    <row r="40354" spans="17:17" x14ac:dyDescent="0.25">
      <c r="Q40354" s="8"/>
    </row>
    <row r="40355" spans="17:17" x14ac:dyDescent="0.25">
      <c r="Q40355" s="8"/>
    </row>
    <row r="40356" spans="17:17" x14ac:dyDescent="0.25">
      <c r="Q40356" s="8"/>
    </row>
    <row r="40357" spans="17:17" x14ac:dyDescent="0.25">
      <c r="Q40357" s="8"/>
    </row>
    <row r="40358" spans="17:17" x14ac:dyDescent="0.25">
      <c r="Q40358" s="8"/>
    </row>
    <row r="40359" spans="17:17" x14ac:dyDescent="0.25">
      <c r="Q40359" s="8"/>
    </row>
    <row r="40360" spans="17:17" x14ac:dyDescent="0.25">
      <c r="Q40360" s="8"/>
    </row>
    <row r="40361" spans="17:17" x14ac:dyDescent="0.25">
      <c r="Q40361" s="8"/>
    </row>
    <row r="40362" spans="17:17" x14ac:dyDescent="0.25">
      <c r="Q40362" s="8"/>
    </row>
    <row r="40363" spans="17:17" x14ac:dyDescent="0.25">
      <c r="Q40363" s="8"/>
    </row>
    <row r="40364" spans="17:17" x14ac:dyDescent="0.25">
      <c r="Q40364" s="8"/>
    </row>
    <row r="40365" spans="17:17" x14ac:dyDescent="0.25">
      <c r="Q40365" s="8"/>
    </row>
    <row r="40366" spans="17:17" x14ac:dyDescent="0.25">
      <c r="Q40366" s="8"/>
    </row>
    <row r="40367" spans="17:17" x14ac:dyDescent="0.25">
      <c r="Q40367" s="8"/>
    </row>
    <row r="40368" spans="17:17" x14ac:dyDescent="0.25">
      <c r="Q40368" s="8"/>
    </row>
    <row r="40369" spans="17:17" x14ac:dyDescent="0.25">
      <c r="Q40369" s="8"/>
    </row>
    <row r="40370" spans="17:17" x14ac:dyDescent="0.25">
      <c r="Q40370" s="8"/>
    </row>
    <row r="40371" spans="17:17" x14ac:dyDescent="0.25">
      <c r="Q40371" s="8"/>
    </row>
    <row r="40372" spans="17:17" x14ac:dyDescent="0.25">
      <c r="Q40372" s="8"/>
    </row>
    <row r="40373" spans="17:17" x14ac:dyDescent="0.25">
      <c r="Q40373" s="8"/>
    </row>
    <row r="40374" spans="17:17" x14ac:dyDescent="0.25">
      <c r="Q40374" s="8"/>
    </row>
    <row r="40375" spans="17:17" x14ac:dyDescent="0.25">
      <c r="Q40375" s="8"/>
    </row>
    <row r="40376" spans="17:17" x14ac:dyDescent="0.25">
      <c r="Q40376" s="8"/>
    </row>
    <row r="40377" spans="17:17" x14ac:dyDescent="0.25">
      <c r="Q40377" s="8"/>
    </row>
    <row r="40378" spans="17:17" x14ac:dyDescent="0.25">
      <c r="Q40378" s="8"/>
    </row>
    <row r="40379" spans="17:17" x14ac:dyDescent="0.25">
      <c r="Q40379" s="8"/>
    </row>
    <row r="40380" spans="17:17" x14ac:dyDescent="0.25">
      <c r="Q40380" s="8"/>
    </row>
    <row r="40381" spans="17:17" x14ac:dyDescent="0.25">
      <c r="Q40381" s="8"/>
    </row>
    <row r="40382" spans="17:17" x14ac:dyDescent="0.25">
      <c r="Q40382" s="8"/>
    </row>
    <row r="40383" spans="17:17" x14ac:dyDescent="0.25">
      <c r="Q40383" s="8"/>
    </row>
    <row r="40384" spans="17:17" x14ac:dyDescent="0.25">
      <c r="Q40384" s="8"/>
    </row>
    <row r="40385" spans="17:17" x14ac:dyDescent="0.25">
      <c r="Q40385" s="8"/>
    </row>
    <row r="40386" spans="17:17" x14ac:dyDescent="0.25">
      <c r="Q40386" s="8"/>
    </row>
    <row r="40387" spans="17:17" x14ac:dyDescent="0.25">
      <c r="Q40387" s="8"/>
    </row>
    <row r="40388" spans="17:17" x14ac:dyDescent="0.25">
      <c r="Q40388" s="8"/>
    </row>
    <row r="40389" spans="17:17" x14ac:dyDescent="0.25">
      <c r="Q40389" s="8"/>
    </row>
    <row r="40390" spans="17:17" x14ac:dyDescent="0.25">
      <c r="Q40390" s="8"/>
    </row>
    <row r="40391" spans="17:17" x14ac:dyDescent="0.25">
      <c r="Q40391" s="8"/>
    </row>
    <row r="40392" spans="17:17" x14ac:dyDescent="0.25">
      <c r="Q40392" s="8"/>
    </row>
    <row r="40393" spans="17:17" x14ac:dyDescent="0.25">
      <c r="Q40393" s="8"/>
    </row>
    <row r="40394" spans="17:17" x14ac:dyDescent="0.25">
      <c r="Q40394" s="8"/>
    </row>
    <row r="40395" spans="17:17" x14ac:dyDescent="0.25">
      <c r="Q40395" s="8"/>
    </row>
    <row r="40396" spans="17:17" x14ac:dyDescent="0.25">
      <c r="Q40396" s="8"/>
    </row>
    <row r="40397" spans="17:17" x14ac:dyDescent="0.25">
      <c r="Q40397" s="8"/>
    </row>
    <row r="40398" spans="17:17" x14ac:dyDescent="0.25">
      <c r="Q40398" s="8"/>
    </row>
    <row r="40399" spans="17:17" x14ac:dyDescent="0.25">
      <c r="Q40399" s="8"/>
    </row>
    <row r="40400" spans="17:17" x14ac:dyDescent="0.25">
      <c r="Q40400" s="8"/>
    </row>
    <row r="40401" spans="17:17" x14ac:dyDescent="0.25">
      <c r="Q40401" s="8"/>
    </row>
    <row r="40402" spans="17:17" x14ac:dyDescent="0.25">
      <c r="Q40402" s="8"/>
    </row>
    <row r="40403" spans="17:17" x14ac:dyDescent="0.25">
      <c r="Q40403" s="8"/>
    </row>
    <row r="40404" spans="17:17" x14ac:dyDescent="0.25">
      <c r="Q40404" s="8"/>
    </row>
    <row r="40405" spans="17:17" x14ac:dyDescent="0.25">
      <c r="Q40405" s="8"/>
    </row>
    <row r="40406" spans="17:17" x14ac:dyDescent="0.25">
      <c r="Q40406" s="8"/>
    </row>
    <row r="40407" spans="17:17" x14ac:dyDescent="0.25">
      <c r="Q40407" s="8"/>
    </row>
    <row r="40408" spans="17:17" x14ac:dyDescent="0.25">
      <c r="Q40408" s="8"/>
    </row>
    <row r="40409" spans="17:17" x14ac:dyDescent="0.25">
      <c r="Q40409" s="8"/>
    </row>
    <row r="40410" spans="17:17" x14ac:dyDescent="0.25">
      <c r="Q40410" s="8"/>
    </row>
    <row r="40411" spans="17:17" x14ac:dyDescent="0.25">
      <c r="Q40411" s="8"/>
    </row>
    <row r="40412" spans="17:17" x14ac:dyDescent="0.25">
      <c r="Q40412" s="8"/>
    </row>
    <row r="40413" spans="17:17" x14ac:dyDescent="0.25">
      <c r="Q40413" s="8"/>
    </row>
    <row r="40414" spans="17:17" x14ac:dyDescent="0.25">
      <c r="Q40414" s="8"/>
    </row>
    <row r="40415" spans="17:17" x14ac:dyDescent="0.25">
      <c r="Q40415" s="8"/>
    </row>
    <row r="40416" spans="17:17" x14ac:dyDescent="0.25">
      <c r="Q40416" s="8"/>
    </row>
    <row r="40417" spans="17:17" x14ac:dyDescent="0.25">
      <c r="Q40417" s="8"/>
    </row>
    <row r="40418" spans="17:17" x14ac:dyDescent="0.25">
      <c r="Q40418" s="8"/>
    </row>
    <row r="40419" spans="17:17" x14ac:dyDescent="0.25">
      <c r="Q40419" s="8"/>
    </row>
    <row r="40420" spans="17:17" x14ac:dyDescent="0.25">
      <c r="Q40420" s="8"/>
    </row>
    <row r="40421" spans="17:17" x14ac:dyDescent="0.25">
      <c r="Q40421" s="8"/>
    </row>
    <row r="40422" spans="17:17" x14ac:dyDescent="0.25">
      <c r="Q40422" s="8"/>
    </row>
    <row r="40423" spans="17:17" x14ac:dyDescent="0.25">
      <c r="Q40423" s="8"/>
    </row>
    <row r="40424" spans="17:17" x14ac:dyDescent="0.25">
      <c r="Q40424" s="8"/>
    </row>
    <row r="40425" spans="17:17" x14ac:dyDescent="0.25">
      <c r="Q40425" s="8"/>
    </row>
    <row r="40426" spans="17:17" x14ac:dyDescent="0.25">
      <c r="Q40426" s="8"/>
    </row>
    <row r="40427" spans="17:17" x14ac:dyDescent="0.25">
      <c r="Q40427" s="8"/>
    </row>
    <row r="40428" spans="17:17" x14ac:dyDescent="0.25">
      <c r="Q40428" s="8"/>
    </row>
    <row r="40429" spans="17:17" x14ac:dyDescent="0.25">
      <c r="Q40429" s="8"/>
    </row>
    <row r="40430" spans="17:17" x14ac:dyDescent="0.25">
      <c r="Q40430" s="8"/>
    </row>
    <row r="40431" spans="17:17" x14ac:dyDescent="0.25">
      <c r="Q40431" s="8"/>
    </row>
    <row r="40432" spans="17:17" x14ac:dyDescent="0.25">
      <c r="Q40432" s="8"/>
    </row>
    <row r="40433" spans="17:17" x14ac:dyDescent="0.25">
      <c r="Q40433" s="8"/>
    </row>
    <row r="40434" spans="17:17" x14ac:dyDescent="0.25">
      <c r="Q40434" s="8"/>
    </row>
    <row r="40435" spans="17:17" x14ac:dyDescent="0.25">
      <c r="Q40435" s="8"/>
    </row>
    <row r="40436" spans="17:17" x14ac:dyDescent="0.25">
      <c r="Q40436" s="8"/>
    </row>
    <row r="40437" spans="17:17" x14ac:dyDescent="0.25">
      <c r="Q40437" s="8"/>
    </row>
    <row r="40438" spans="17:17" x14ac:dyDescent="0.25">
      <c r="Q40438" s="8"/>
    </row>
    <row r="40439" spans="17:17" x14ac:dyDescent="0.25">
      <c r="Q40439" s="8"/>
    </row>
    <row r="40440" spans="17:17" x14ac:dyDescent="0.25">
      <c r="Q40440" s="8"/>
    </row>
    <row r="40441" spans="17:17" x14ac:dyDescent="0.25">
      <c r="Q40441" s="8"/>
    </row>
    <row r="40442" spans="17:17" x14ac:dyDescent="0.25">
      <c r="Q40442" s="8"/>
    </row>
    <row r="40443" spans="17:17" x14ac:dyDescent="0.25">
      <c r="Q40443" s="8"/>
    </row>
    <row r="40444" spans="17:17" x14ac:dyDescent="0.25">
      <c r="Q40444" s="8"/>
    </row>
    <row r="40445" spans="17:17" x14ac:dyDescent="0.25">
      <c r="Q40445" s="8"/>
    </row>
    <row r="40446" spans="17:17" x14ac:dyDescent="0.25">
      <c r="Q40446" s="8"/>
    </row>
    <row r="40447" spans="17:17" x14ac:dyDescent="0.25">
      <c r="Q40447" s="8"/>
    </row>
    <row r="40448" spans="17:17" x14ac:dyDescent="0.25">
      <c r="Q40448" s="8"/>
    </row>
    <row r="40449" spans="17:17" x14ac:dyDescent="0.25">
      <c r="Q40449" s="8"/>
    </row>
    <row r="40450" spans="17:17" x14ac:dyDescent="0.25">
      <c r="Q40450" s="8"/>
    </row>
    <row r="40451" spans="17:17" x14ac:dyDescent="0.25">
      <c r="Q40451" s="8"/>
    </row>
    <row r="40452" spans="17:17" x14ac:dyDescent="0.25">
      <c r="Q40452" s="8"/>
    </row>
    <row r="40453" spans="17:17" x14ac:dyDescent="0.25">
      <c r="Q40453" s="8"/>
    </row>
    <row r="40454" spans="17:17" x14ac:dyDescent="0.25">
      <c r="Q40454" s="8"/>
    </row>
    <row r="40455" spans="17:17" x14ac:dyDescent="0.25">
      <c r="Q40455" s="8"/>
    </row>
    <row r="40456" spans="17:17" x14ac:dyDescent="0.25">
      <c r="Q40456" s="8"/>
    </row>
    <row r="40457" spans="17:17" x14ac:dyDescent="0.25">
      <c r="Q40457" s="8"/>
    </row>
    <row r="40458" spans="17:17" x14ac:dyDescent="0.25">
      <c r="Q40458" s="8"/>
    </row>
    <row r="40459" spans="17:17" x14ac:dyDescent="0.25">
      <c r="Q40459" s="8"/>
    </row>
    <row r="40460" spans="17:17" x14ac:dyDescent="0.25">
      <c r="Q40460" s="8"/>
    </row>
    <row r="40461" spans="17:17" x14ac:dyDescent="0.25">
      <c r="Q40461" s="8"/>
    </row>
    <row r="40462" spans="17:17" x14ac:dyDescent="0.25">
      <c r="Q40462" s="8"/>
    </row>
    <row r="40463" spans="17:17" x14ac:dyDescent="0.25">
      <c r="Q40463" s="8"/>
    </row>
    <row r="40464" spans="17:17" x14ac:dyDescent="0.25">
      <c r="Q40464" s="8"/>
    </row>
    <row r="40465" spans="17:17" x14ac:dyDescent="0.25">
      <c r="Q40465" s="8"/>
    </row>
    <row r="40466" spans="17:17" x14ac:dyDescent="0.25">
      <c r="Q40466" s="8"/>
    </row>
    <row r="40467" spans="17:17" x14ac:dyDescent="0.25">
      <c r="Q40467" s="8"/>
    </row>
    <row r="40468" spans="17:17" x14ac:dyDescent="0.25">
      <c r="Q40468" s="8"/>
    </row>
    <row r="40469" spans="17:17" x14ac:dyDescent="0.25">
      <c r="Q40469" s="8"/>
    </row>
    <row r="40470" spans="17:17" x14ac:dyDescent="0.25">
      <c r="Q40470" s="8"/>
    </row>
    <row r="40471" spans="17:17" x14ac:dyDescent="0.25">
      <c r="Q40471" s="8"/>
    </row>
    <row r="40472" spans="17:17" x14ac:dyDescent="0.25">
      <c r="Q40472" s="8"/>
    </row>
    <row r="40473" spans="17:17" x14ac:dyDescent="0.25">
      <c r="Q40473" s="8"/>
    </row>
    <row r="40474" spans="17:17" x14ac:dyDescent="0.25">
      <c r="Q40474" s="8"/>
    </row>
    <row r="40475" spans="17:17" x14ac:dyDescent="0.25">
      <c r="Q40475" s="8"/>
    </row>
    <row r="40476" spans="17:17" x14ac:dyDescent="0.25">
      <c r="Q40476" s="8"/>
    </row>
    <row r="40477" spans="17:17" x14ac:dyDescent="0.25">
      <c r="Q40477" s="8"/>
    </row>
    <row r="40478" spans="17:17" x14ac:dyDescent="0.25">
      <c r="Q40478" s="8"/>
    </row>
    <row r="40479" spans="17:17" x14ac:dyDescent="0.25">
      <c r="Q40479" s="8"/>
    </row>
    <row r="40480" spans="17:17" x14ac:dyDescent="0.25">
      <c r="Q40480" s="8"/>
    </row>
    <row r="40481" spans="17:17" x14ac:dyDescent="0.25">
      <c r="Q40481" s="8"/>
    </row>
    <row r="40482" spans="17:17" x14ac:dyDescent="0.25">
      <c r="Q40482" s="8"/>
    </row>
    <row r="40483" spans="17:17" x14ac:dyDescent="0.25">
      <c r="Q40483" s="8"/>
    </row>
    <row r="40484" spans="17:17" x14ac:dyDescent="0.25">
      <c r="Q40484" s="8"/>
    </row>
    <row r="40485" spans="17:17" x14ac:dyDescent="0.25">
      <c r="Q40485" s="8"/>
    </row>
    <row r="40486" spans="17:17" x14ac:dyDescent="0.25">
      <c r="Q40486" s="8"/>
    </row>
    <row r="40487" spans="17:17" x14ac:dyDescent="0.25">
      <c r="Q40487" s="8"/>
    </row>
    <row r="40488" spans="17:17" x14ac:dyDescent="0.25">
      <c r="Q40488" s="8"/>
    </row>
    <row r="40489" spans="17:17" x14ac:dyDescent="0.25">
      <c r="Q40489" s="8"/>
    </row>
    <row r="40490" spans="17:17" x14ac:dyDescent="0.25">
      <c r="Q40490" s="8"/>
    </row>
    <row r="40491" spans="17:17" x14ac:dyDescent="0.25">
      <c r="Q40491" s="8"/>
    </row>
    <row r="40492" spans="17:17" x14ac:dyDescent="0.25">
      <c r="Q40492" s="8"/>
    </row>
    <row r="40493" spans="17:17" x14ac:dyDescent="0.25">
      <c r="Q40493" s="8"/>
    </row>
    <row r="40494" spans="17:17" x14ac:dyDescent="0.25">
      <c r="Q40494" s="8"/>
    </row>
    <row r="40495" spans="17:17" x14ac:dyDescent="0.25">
      <c r="Q40495" s="8"/>
    </row>
    <row r="40496" spans="17:17" x14ac:dyDescent="0.25">
      <c r="Q40496" s="8"/>
    </row>
    <row r="40497" spans="17:17" x14ac:dyDescent="0.25">
      <c r="Q40497" s="8"/>
    </row>
    <row r="40498" spans="17:17" x14ac:dyDescent="0.25">
      <c r="Q40498" s="8"/>
    </row>
    <row r="40499" spans="17:17" x14ac:dyDescent="0.25">
      <c r="Q40499" s="8"/>
    </row>
    <row r="40500" spans="17:17" x14ac:dyDescent="0.25">
      <c r="Q40500" s="8"/>
    </row>
    <row r="40501" spans="17:17" x14ac:dyDescent="0.25">
      <c r="Q40501" s="8"/>
    </row>
    <row r="40502" spans="17:17" x14ac:dyDescent="0.25">
      <c r="Q40502" s="8"/>
    </row>
    <row r="40503" spans="17:17" x14ac:dyDescent="0.25">
      <c r="Q40503" s="8"/>
    </row>
    <row r="40504" spans="17:17" x14ac:dyDescent="0.25">
      <c r="Q40504" s="8"/>
    </row>
    <row r="40505" spans="17:17" x14ac:dyDescent="0.25">
      <c r="Q40505" s="8"/>
    </row>
    <row r="40506" spans="17:17" x14ac:dyDescent="0.25">
      <c r="Q40506" s="8"/>
    </row>
    <row r="40507" spans="17:17" x14ac:dyDescent="0.25">
      <c r="Q40507" s="8"/>
    </row>
    <row r="40508" spans="17:17" x14ac:dyDescent="0.25">
      <c r="Q40508" s="8"/>
    </row>
    <row r="40509" spans="17:17" x14ac:dyDescent="0.25">
      <c r="Q40509" s="8"/>
    </row>
    <row r="40510" spans="17:17" x14ac:dyDescent="0.25">
      <c r="Q40510" s="8"/>
    </row>
    <row r="40511" spans="17:17" x14ac:dyDescent="0.25">
      <c r="Q40511" s="8"/>
    </row>
    <row r="40512" spans="17:17" x14ac:dyDescent="0.25">
      <c r="Q40512" s="8"/>
    </row>
    <row r="40513" spans="17:17" x14ac:dyDescent="0.25">
      <c r="Q40513" s="8"/>
    </row>
    <row r="40514" spans="17:17" x14ac:dyDescent="0.25">
      <c r="Q40514" s="8"/>
    </row>
    <row r="40515" spans="17:17" x14ac:dyDescent="0.25">
      <c r="Q40515" s="8"/>
    </row>
    <row r="40516" spans="17:17" x14ac:dyDescent="0.25">
      <c r="Q40516" s="8"/>
    </row>
    <row r="40517" spans="17:17" x14ac:dyDescent="0.25">
      <c r="Q40517" s="8"/>
    </row>
    <row r="40518" spans="17:17" x14ac:dyDescent="0.25">
      <c r="Q40518" s="8"/>
    </row>
    <row r="40519" spans="17:17" x14ac:dyDescent="0.25">
      <c r="Q40519" s="8"/>
    </row>
    <row r="40520" spans="17:17" x14ac:dyDescent="0.25">
      <c r="Q40520" s="8"/>
    </row>
    <row r="40521" spans="17:17" x14ac:dyDescent="0.25">
      <c r="Q40521" s="8"/>
    </row>
    <row r="40522" spans="17:17" x14ac:dyDescent="0.25">
      <c r="Q40522" s="8"/>
    </row>
    <row r="40523" spans="17:17" x14ac:dyDescent="0.25">
      <c r="Q40523" s="8"/>
    </row>
    <row r="40524" spans="17:17" x14ac:dyDescent="0.25">
      <c r="Q40524" s="8"/>
    </row>
    <row r="40525" spans="17:17" x14ac:dyDescent="0.25">
      <c r="Q40525" s="8"/>
    </row>
    <row r="40526" spans="17:17" x14ac:dyDescent="0.25">
      <c r="Q40526" s="8"/>
    </row>
    <row r="40527" spans="17:17" x14ac:dyDescent="0.25">
      <c r="Q40527" s="8"/>
    </row>
    <row r="40528" spans="17:17" x14ac:dyDescent="0.25">
      <c r="Q40528" s="8"/>
    </row>
    <row r="40529" spans="17:17" x14ac:dyDescent="0.25">
      <c r="Q40529" s="8"/>
    </row>
    <row r="40530" spans="17:17" x14ac:dyDescent="0.25">
      <c r="Q40530" s="8"/>
    </row>
    <row r="40531" spans="17:17" x14ac:dyDescent="0.25">
      <c r="Q40531" s="8"/>
    </row>
    <row r="40532" spans="17:17" x14ac:dyDescent="0.25">
      <c r="Q40532" s="8"/>
    </row>
    <row r="40533" spans="17:17" x14ac:dyDescent="0.25">
      <c r="Q40533" s="8"/>
    </row>
    <row r="40534" spans="17:17" x14ac:dyDescent="0.25">
      <c r="Q40534" s="8"/>
    </row>
    <row r="40535" spans="17:17" x14ac:dyDescent="0.25">
      <c r="Q40535" s="8"/>
    </row>
    <row r="40536" spans="17:17" x14ac:dyDescent="0.25">
      <c r="Q40536" s="8"/>
    </row>
    <row r="40537" spans="17:17" x14ac:dyDescent="0.25">
      <c r="Q40537" s="8"/>
    </row>
    <row r="40538" spans="17:17" x14ac:dyDescent="0.25">
      <c r="Q40538" s="8"/>
    </row>
    <row r="40539" spans="17:17" x14ac:dyDescent="0.25">
      <c r="Q40539" s="8"/>
    </row>
    <row r="40540" spans="17:17" x14ac:dyDescent="0.25">
      <c r="Q40540" s="8"/>
    </row>
    <row r="40541" spans="17:17" x14ac:dyDescent="0.25">
      <c r="Q40541" s="8"/>
    </row>
    <row r="40542" spans="17:17" x14ac:dyDescent="0.25">
      <c r="Q40542" s="8"/>
    </row>
    <row r="40543" spans="17:17" x14ac:dyDescent="0.25">
      <c r="Q40543" s="8"/>
    </row>
    <row r="40544" spans="17:17" x14ac:dyDescent="0.25">
      <c r="Q40544" s="8"/>
    </row>
    <row r="40545" spans="17:17" x14ac:dyDescent="0.25">
      <c r="Q40545" s="8"/>
    </row>
    <row r="40546" spans="17:17" x14ac:dyDescent="0.25">
      <c r="Q40546" s="8"/>
    </row>
    <row r="40547" spans="17:17" x14ac:dyDescent="0.25">
      <c r="Q40547" s="8"/>
    </row>
    <row r="40548" spans="17:17" x14ac:dyDescent="0.25">
      <c r="Q40548" s="8"/>
    </row>
    <row r="40549" spans="17:17" x14ac:dyDescent="0.25">
      <c r="Q40549" s="8"/>
    </row>
    <row r="40550" spans="17:17" x14ac:dyDescent="0.25">
      <c r="Q40550" s="8"/>
    </row>
    <row r="40551" spans="17:17" x14ac:dyDescent="0.25">
      <c r="Q40551" s="8"/>
    </row>
    <row r="40552" spans="17:17" x14ac:dyDescent="0.25">
      <c r="Q40552" s="8"/>
    </row>
    <row r="40553" spans="17:17" x14ac:dyDescent="0.25">
      <c r="Q40553" s="8"/>
    </row>
    <row r="40554" spans="17:17" x14ac:dyDescent="0.25">
      <c r="Q40554" s="8"/>
    </row>
    <row r="40555" spans="17:17" x14ac:dyDescent="0.25">
      <c r="Q40555" s="8"/>
    </row>
    <row r="40556" spans="17:17" x14ac:dyDescent="0.25">
      <c r="Q40556" s="8"/>
    </row>
    <row r="40557" spans="17:17" x14ac:dyDescent="0.25">
      <c r="Q40557" s="8"/>
    </row>
    <row r="40558" spans="17:17" x14ac:dyDescent="0.25">
      <c r="Q40558" s="8"/>
    </row>
    <row r="40559" spans="17:17" x14ac:dyDescent="0.25">
      <c r="Q40559" s="8"/>
    </row>
    <row r="40560" spans="17:17" x14ac:dyDescent="0.25">
      <c r="Q40560" s="8"/>
    </row>
    <row r="40561" spans="17:17" x14ac:dyDescent="0.25">
      <c r="Q40561" s="8"/>
    </row>
    <row r="40562" spans="17:17" x14ac:dyDescent="0.25">
      <c r="Q40562" s="8"/>
    </row>
    <row r="40563" spans="17:17" x14ac:dyDescent="0.25">
      <c r="Q40563" s="8"/>
    </row>
    <row r="40564" spans="17:17" x14ac:dyDescent="0.25">
      <c r="Q40564" s="8"/>
    </row>
    <row r="40565" spans="17:17" x14ac:dyDescent="0.25">
      <c r="Q40565" s="8"/>
    </row>
    <row r="40566" spans="17:17" x14ac:dyDescent="0.25">
      <c r="Q40566" s="8"/>
    </row>
    <row r="40567" spans="17:17" x14ac:dyDescent="0.25">
      <c r="Q40567" s="8"/>
    </row>
    <row r="40568" spans="17:17" x14ac:dyDescent="0.25">
      <c r="Q40568" s="8"/>
    </row>
    <row r="40569" spans="17:17" x14ac:dyDescent="0.25">
      <c r="Q40569" s="8"/>
    </row>
    <row r="40570" spans="17:17" x14ac:dyDescent="0.25">
      <c r="Q40570" s="8"/>
    </row>
    <row r="40571" spans="17:17" x14ac:dyDescent="0.25">
      <c r="Q40571" s="8"/>
    </row>
    <row r="40572" spans="17:17" x14ac:dyDescent="0.25">
      <c r="Q40572" s="8"/>
    </row>
    <row r="40573" spans="17:17" x14ac:dyDescent="0.25">
      <c r="Q40573" s="8"/>
    </row>
    <row r="40574" spans="17:17" x14ac:dyDescent="0.25">
      <c r="Q40574" s="8"/>
    </row>
    <row r="40575" spans="17:17" x14ac:dyDescent="0.25">
      <c r="Q40575" s="8"/>
    </row>
    <row r="40576" spans="17:17" x14ac:dyDescent="0.25">
      <c r="Q40576" s="8"/>
    </row>
    <row r="40577" spans="17:17" x14ac:dyDescent="0.25">
      <c r="Q40577" s="8"/>
    </row>
    <row r="40578" spans="17:17" x14ac:dyDescent="0.25">
      <c r="Q40578" s="8"/>
    </row>
    <row r="40579" spans="17:17" x14ac:dyDescent="0.25">
      <c r="Q40579" s="8"/>
    </row>
    <row r="40580" spans="17:17" x14ac:dyDescent="0.25">
      <c r="Q40580" s="8"/>
    </row>
    <row r="40581" spans="17:17" x14ac:dyDescent="0.25">
      <c r="Q40581" s="8"/>
    </row>
    <row r="40582" spans="17:17" x14ac:dyDescent="0.25">
      <c r="Q40582" s="8"/>
    </row>
    <row r="40583" spans="17:17" x14ac:dyDescent="0.25">
      <c r="Q40583" s="8"/>
    </row>
    <row r="40584" spans="17:17" x14ac:dyDescent="0.25">
      <c r="Q40584" s="8"/>
    </row>
    <row r="40585" spans="17:17" x14ac:dyDescent="0.25">
      <c r="Q40585" s="8"/>
    </row>
    <row r="40586" spans="17:17" x14ac:dyDescent="0.25">
      <c r="Q40586" s="8"/>
    </row>
    <row r="40587" spans="17:17" x14ac:dyDescent="0.25">
      <c r="Q40587" s="8"/>
    </row>
    <row r="40588" spans="17:17" x14ac:dyDescent="0.25">
      <c r="Q40588" s="8"/>
    </row>
    <row r="40589" spans="17:17" x14ac:dyDescent="0.25">
      <c r="Q40589" s="8"/>
    </row>
    <row r="40590" spans="17:17" x14ac:dyDescent="0.25">
      <c r="Q40590" s="8"/>
    </row>
    <row r="40591" spans="17:17" x14ac:dyDescent="0.25">
      <c r="Q40591" s="8"/>
    </row>
    <row r="40592" spans="17:17" x14ac:dyDescent="0.25">
      <c r="Q40592" s="8"/>
    </row>
    <row r="40593" spans="17:17" x14ac:dyDescent="0.25">
      <c r="Q40593" s="8"/>
    </row>
    <row r="40594" spans="17:17" x14ac:dyDescent="0.25">
      <c r="Q40594" s="8"/>
    </row>
    <row r="40595" spans="17:17" x14ac:dyDescent="0.25">
      <c r="Q40595" s="8"/>
    </row>
    <row r="40596" spans="17:17" x14ac:dyDescent="0.25">
      <c r="Q40596" s="8"/>
    </row>
    <row r="40597" spans="17:17" x14ac:dyDescent="0.25">
      <c r="Q40597" s="8"/>
    </row>
    <row r="40598" spans="17:17" x14ac:dyDescent="0.25">
      <c r="Q40598" s="8"/>
    </row>
    <row r="40599" spans="17:17" x14ac:dyDescent="0.25">
      <c r="Q40599" s="8"/>
    </row>
    <row r="40600" spans="17:17" x14ac:dyDescent="0.25">
      <c r="Q40600" s="8"/>
    </row>
    <row r="40601" spans="17:17" x14ac:dyDescent="0.25">
      <c r="Q40601" s="8"/>
    </row>
    <row r="40602" spans="17:17" x14ac:dyDescent="0.25">
      <c r="Q40602" s="8"/>
    </row>
    <row r="40603" spans="17:17" x14ac:dyDescent="0.25">
      <c r="Q40603" s="8"/>
    </row>
    <row r="40604" spans="17:17" x14ac:dyDescent="0.25">
      <c r="Q40604" s="8"/>
    </row>
    <row r="40605" spans="17:17" x14ac:dyDescent="0.25">
      <c r="Q40605" s="8"/>
    </row>
    <row r="40606" spans="17:17" x14ac:dyDescent="0.25">
      <c r="Q40606" s="8"/>
    </row>
    <row r="40607" spans="17:17" x14ac:dyDescent="0.25">
      <c r="Q40607" s="8"/>
    </row>
    <row r="40608" spans="17:17" x14ac:dyDescent="0.25">
      <c r="Q40608" s="8"/>
    </row>
    <row r="40609" spans="17:17" x14ac:dyDescent="0.25">
      <c r="Q40609" s="8"/>
    </row>
    <row r="40610" spans="17:17" x14ac:dyDescent="0.25">
      <c r="Q40610" s="8"/>
    </row>
    <row r="40611" spans="17:17" x14ac:dyDescent="0.25">
      <c r="Q40611" s="8"/>
    </row>
    <row r="40612" spans="17:17" x14ac:dyDescent="0.25">
      <c r="Q40612" s="8"/>
    </row>
    <row r="40613" spans="17:17" x14ac:dyDescent="0.25">
      <c r="Q40613" s="8"/>
    </row>
    <row r="40614" spans="17:17" x14ac:dyDescent="0.25">
      <c r="Q40614" s="8"/>
    </row>
    <row r="40615" spans="17:17" x14ac:dyDescent="0.25">
      <c r="Q40615" s="8"/>
    </row>
    <row r="40616" spans="17:17" x14ac:dyDescent="0.25">
      <c r="Q40616" s="8"/>
    </row>
    <row r="40617" spans="17:17" x14ac:dyDescent="0.25">
      <c r="Q40617" s="8"/>
    </row>
    <row r="40618" spans="17:17" x14ac:dyDescent="0.25">
      <c r="Q40618" s="8"/>
    </row>
    <row r="40619" spans="17:17" x14ac:dyDescent="0.25">
      <c r="Q40619" s="8"/>
    </row>
    <row r="40620" spans="17:17" x14ac:dyDescent="0.25">
      <c r="Q40620" s="8"/>
    </row>
    <row r="40621" spans="17:17" x14ac:dyDescent="0.25">
      <c r="Q40621" s="8"/>
    </row>
    <row r="40622" spans="17:17" x14ac:dyDescent="0.25">
      <c r="Q40622" s="8"/>
    </row>
    <row r="40623" spans="17:17" x14ac:dyDescent="0.25">
      <c r="Q40623" s="8"/>
    </row>
    <row r="40624" spans="17:17" x14ac:dyDescent="0.25">
      <c r="Q40624" s="8"/>
    </row>
    <row r="40625" spans="17:17" x14ac:dyDescent="0.25">
      <c r="Q40625" s="8"/>
    </row>
    <row r="40626" spans="17:17" x14ac:dyDescent="0.25">
      <c r="Q40626" s="8"/>
    </row>
    <row r="40627" spans="17:17" x14ac:dyDescent="0.25">
      <c r="Q40627" s="8"/>
    </row>
    <row r="40628" spans="17:17" x14ac:dyDescent="0.25">
      <c r="Q40628" s="8"/>
    </row>
    <row r="40629" spans="17:17" x14ac:dyDescent="0.25">
      <c r="Q40629" s="8"/>
    </row>
    <row r="40630" spans="17:17" x14ac:dyDescent="0.25">
      <c r="Q40630" s="8"/>
    </row>
    <row r="40631" spans="17:17" x14ac:dyDescent="0.25">
      <c r="Q40631" s="8"/>
    </row>
    <row r="40632" spans="17:17" x14ac:dyDescent="0.25">
      <c r="Q40632" s="8"/>
    </row>
    <row r="40633" spans="17:17" x14ac:dyDescent="0.25">
      <c r="Q40633" s="8"/>
    </row>
    <row r="40634" spans="17:17" x14ac:dyDescent="0.25">
      <c r="Q40634" s="8"/>
    </row>
    <row r="40635" spans="17:17" x14ac:dyDescent="0.25">
      <c r="Q40635" s="8"/>
    </row>
    <row r="40636" spans="17:17" x14ac:dyDescent="0.25">
      <c r="Q40636" s="8"/>
    </row>
    <row r="40637" spans="17:17" x14ac:dyDescent="0.25">
      <c r="Q40637" s="8"/>
    </row>
    <row r="40638" spans="17:17" x14ac:dyDescent="0.25">
      <c r="Q40638" s="8"/>
    </row>
    <row r="40639" spans="17:17" x14ac:dyDescent="0.25">
      <c r="Q40639" s="8"/>
    </row>
    <row r="40640" spans="17:17" x14ac:dyDescent="0.25">
      <c r="Q40640" s="8"/>
    </row>
    <row r="40641" spans="17:17" x14ac:dyDescent="0.25">
      <c r="Q40641" s="8"/>
    </row>
    <row r="40642" spans="17:17" x14ac:dyDescent="0.25">
      <c r="Q40642" s="8"/>
    </row>
    <row r="40643" spans="17:17" x14ac:dyDescent="0.25">
      <c r="Q40643" s="8"/>
    </row>
    <row r="40644" spans="17:17" x14ac:dyDescent="0.25">
      <c r="Q40644" s="8"/>
    </row>
    <row r="40645" spans="17:17" x14ac:dyDescent="0.25">
      <c r="Q40645" s="8"/>
    </row>
    <row r="40646" spans="17:17" x14ac:dyDescent="0.25">
      <c r="Q40646" s="8"/>
    </row>
    <row r="40647" spans="17:17" x14ac:dyDescent="0.25">
      <c r="Q40647" s="8"/>
    </row>
    <row r="40648" spans="17:17" x14ac:dyDescent="0.25">
      <c r="Q40648" s="8"/>
    </row>
    <row r="40649" spans="17:17" x14ac:dyDescent="0.25">
      <c r="Q40649" s="8"/>
    </row>
    <row r="40650" spans="17:17" x14ac:dyDescent="0.25">
      <c r="Q40650" s="8"/>
    </row>
    <row r="40651" spans="17:17" x14ac:dyDescent="0.25">
      <c r="Q40651" s="8"/>
    </row>
    <row r="40652" spans="17:17" x14ac:dyDescent="0.25">
      <c r="Q40652" s="8"/>
    </row>
    <row r="40653" spans="17:17" x14ac:dyDescent="0.25">
      <c r="Q40653" s="8"/>
    </row>
    <row r="40654" spans="17:17" x14ac:dyDescent="0.25">
      <c r="Q40654" s="8"/>
    </row>
    <row r="40655" spans="17:17" x14ac:dyDescent="0.25">
      <c r="Q40655" s="8"/>
    </row>
    <row r="40656" spans="17:17" x14ac:dyDescent="0.25">
      <c r="Q40656" s="8"/>
    </row>
    <row r="40657" spans="17:17" x14ac:dyDescent="0.25">
      <c r="Q40657" s="8"/>
    </row>
    <row r="40658" spans="17:17" x14ac:dyDescent="0.25">
      <c r="Q40658" s="8"/>
    </row>
    <row r="40659" spans="17:17" x14ac:dyDescent="0.25">
      <c r="Q40659" s="8"/>
    </row>
    <row r="40660" spans="17:17" x14ac:dyDescent="0.25">
      <c r="Q40660" s="8"/>
    </row>
    <row r="40661" spans="17:17" x14ac:dyDescent="0.25">
      <c r="Q40661" s="8"/>
    </row>
    <row r="40662" spans="17:17" x14ac:dyDescent="0.25">
      <c r="Q40662" s="8"/>
    </row>
    <row r="40663" spans="17:17" x14ac:dyDescent="0.25">
      <c r="Q40663" s="8"/>
    </row>
    <row r="40664" spans="17:17" x14ac:dyDescent="0.25">
      <c r="Q40664" s="8"/>
    </row>
    <row r="40665" spans="17:17" x14ac:dyDescent="0.25">
      <c r="Q40665" s="8"/>
    </row>
    <row r="40666" spans="17:17" x14ac:dyDescent="0.25">
      <c r="Q40666" s="8"/>
    </row>
    <row r="40667" spans="17:17" x14ac:dyDescent="0.25">
      <c r="Q40667" s="8"/>
    </row>
    <row r="40668" spans="17:17" x14ac:dyDescent="0.25">
      <c r="Q40668" s="8"/>
    </row>
    <row r="40669" spans="17:17" x14ac:dyDescent="0.25">
      <c r="Q40669" s="8"/>
    </row>
    <row r="40670" spans="17:17" x14ac:dyDescent="0.25">
      <c r="Q40670" s="8"/>
    </row>
    <row r="40671" spans="17:17" x14ac:dyDescent="0.25">
      <c r="Q40671" s="8"/>
    </row>
    <row r="40672" spans="17:17" x14ac:dyDescent="0.25">
      <c r="Q40672" s="8"/>
    </row>
    <row r="40673" spans="17:17" x14ac:dyDescent="0.25">
      <c r="Q40673" s="8"/>
    </row>
    <row r="40674" spans="17:17" x14ac:dyDescent="0.25">
      <c r="Q40674" s="8"/>
    </row>
    <row r="40675" spans="17:17" x14ac:dyDescent="0.25">
      <c r="Q40675" s="8"/>
    </row>
    <row r="40676" spans="17:17" x14ac:dyDescent="0.25">
      <c r="Q40676" s="8"/>
    </row>
    <row r="40677" spans="17:17" x14ac:dyDescent="0.25">
      <c r="Q40677" s="8"/>
    </row>
    <row r="40678" spans="17:17" x14ac:dyDescent="0.25">
      <c r="Q40678" s="8"/>
    </row>
    <row r="40679" spans="17:17" x14ac:dyDescent="0.25">
      <c r="Q40679" s="8"/>
    </row>
    <row r="40680" spans="17:17" x14ac:dyDescent="0.25">
      <c r="Q40680" s="8"/>
    </row>
    <row r="40681" spans="17:17" x14ac:dyDescent="0.25">
      <c r="Q40681" s="8"/>
    </row>
    <row r="40682" spans="17:17" x14ac:dyDescent="0.25">
      <c r="Q40682" s="8"/>
    </row>
    <row r="40683" spans="17:17" x14ac:dyDescent="0.25">
      <c r="Q40683" s="8"/>
    </row>
    <row r="40684" spans="17:17" x14ac:dyDescent="0.25">
      <c r="Q40684" s="8"/>
    </row>
    <row r="40685" spans="17:17" x14ac:dyDescent="0.25">
      <c r="Q40685" s="8"/>
    </row>
    <row r="40686" spans="17:17" x14ac:dyDescent="0.25">
      <c r="Q40686" s="8"/>
    </row>
    <row r="40687" spans="17:17" x14ac:dyDescent="0.25">
      <c r="Q40687" s="8"/>
    </row>
    <row r="40688" spans="17:17" x14ac:dyDescent="0.25">
      <c r="Q40688" s="8"/>
    </row>
    <row r="40689" spans="17:17" x14ac:dyDescent="0.25">
      <c r="Q40689" s="8"/>
    </row>
    <row r="40690" spans="17:17" x14ac:dyDescent="0.25">
      <c r="Q40690" s="8"/>
    </row>
    <row r="40691" spans="17:17" x14ac:dyDescent="0.25">
      <c r="Q40691" s="8"/>
    </row>
    <row r="40692" spans="17:17" x14ac:dyDescent="0.25">
      <c r="Q40692" s="8"/>
    </row>
    <row r="40693" spans="17:17" x14ac:dyDescent="0.25">
      <c r="Q40693" s="8"/>
    </row>
    <row r="40694" spans="17:17" x14ac:dyDescent="0.25">
      <c r="Q40694" s="8"/>
    </row>
    <row r="40695" spans="17:17" x14ac:dyDescent="0.25">
      <c r="Q40695" s="8"/>
    </row>
    <row r="40696" spans="17:17" x14ac:dyDescent="0.25">
      <c r="Q40696" s="8"/>
    </row>
    <row r="40697" spans="17:17" x14ac:dyDescent="0.25">
      <c r="Q40697" s="8"/>
    </row>
    <row r="40698" spans="17:17" x14ac:dyDescent="0.25">
      <c r="Q40698" s="8"/>
    </row>
    <row r="40699" spans="17:17" x14ac:dyDescent="0.25">
      <c r="Q40699" s="8"/>
    </row>
    <row r="40700" spans="17:17" x14ac:dyDescent="0.25">
      <c r="Q40700" s="8"/>
    </row>
    <row r="40701" spans="17:17" x14ac:dyDescent="0.25">
      <c r="Q40701" s="8"/>
    </row>
    <row r="40702" spans="17:17" x14ac:dyDescent="0.25">
      <c r="Q40702" s="8"/>
    </row>
    <row r="40703" spans="17:17" x14ac:dyDescent="0.25">
      <c r="Q40703" s="8"/>
    </row>
    <row r="40704" spans="17:17" x14ac:dyDescent="0.25">
      <c r="Q40704" s="8"/>
    </row>
    <row r="40705" spans="17:17" x14ac:dyDescent="0.25">
      <c r="Q40705" s="8"/>
    </row>
    <row r="40706" spans="17:17" x14ac:dyDescent="0.25">
      <c r="Q40706" s="8"/>
    </row>
    <row r="40707" spans="17:17" x14ac:dyDescent="0.25">
      <c r="Q40707" s="8"/>
    </row>
    <row r="40708" spans="17:17" x14ac:dyDescent="0.25">
      <c r="Q40708" s="8"/>
    </row>
    <row r="40709" spans="17:17" x14ac:dyDescent="0.25">
      <c r="Q40709" s="8"/>
    </row>
    <row r="40710" spans="17:17" x14ac:dyDescent="0.25">
      <c r="Q40710" s="8"/>
    </row>
    <row r="40711" spans="17:17" x14ac:dyDescent="0.25">
      <c r="Q40711" s="8"/>
    </row>
    <row r="40712" spans="17:17" x14ac:dyDescent="0.25">
      <c r="Q40712" s="8"/>
    </row>
    <row r="40713" spans="17:17" x14ac:dyDescent="0.25">
      <c r="Q40713" s="8"/>
    </row>
    <row r="40714" spans="17:17" x14ac:dyDescent="0.25">
      <c r="Q40714" s="8"/>
    </row>
    <row r="40715" spans="17:17" x14ac:dyDescent="0.25">
      <c r="Q40715" s="8"/>
    </row>
    <row r="40716" spans="17:17" x14ac:dyDescent="0.25">
      <c r="Q40716" s="8"/>
    </row>
    <row r="40717" spans="17:17" x14ac:dyDescent="0.25">
      <c r="Q40717" s="8"/>
    </row>
    <row r="40718" spans="17:17" x14ac:dyDescent="0.25">
      <c r="Q40718" s="8"/>
    </row>
    <row r="40719" spans="17:17" x14ac:dyDescent="0.25">
      <c r="Q40719" s="8"/>
    </row>
    <row r="40720" spans="17:17" x14ac:dyDescent="0.25">
      <c r="Q40720" s="8"/>
    </row>
    <row r="40721" spans="17:17" x14ac:dyDescent="0.25">
      <c r="Q40721" s="8"/>
    </row>
    <row r="40722" spans="17:17" x14ac:dyDescent="0.25">
      <c r="Q40722" s="8"/>
    </row>
    <row r="40723" spans="17:17" x14ac:dyDescent="0.25">
      <c r="Q40723" s="8"/>
    </row>
    <row r="40724" spans="17:17" x14ac:dyDescent="0.25">
      <c r="Q40724" s="8"/>
    </row>
    <row r="40725" spans="17:17" x14ac:dyDescent="0.25">
      <c r="Q40725" s="8"/>
    </row>
    <row r="40726" spans="17:17" x14ac:dyDescent="0.25">
      <c r="Q40726" s="8"/>
    </row>
    <row r="40727" spans="17:17" x14ac:dyDescent="0.25">
      <c r="Q40727" s="8"/>
    </row>
    <row r="40728" spans="17:17" x14ac:dyDescent="0.25">
      <c r="Q40728" s="8"/>
    </row>
    <row r="40729" spans="17:17" x14ac:dyDescent="0.25">
      <c r="Q40729" s="8"/>
    </row>
    <row r="40730" spans="17:17" x14ac:dyDescent="0.25">
      <c r="Q40730" s="8"/>
    </row>
    <row r="40731" spans="17:17" x14ac:dyDescent="0.25">
      <c r="Q40731" s="8"/>
    </row>
    <row r="40732" spans="17:17" x14ac:dyDescent="0.25">
      <c r="Q40732" s="8"/>
    </row>
    <row r="40733" spans="17:17" x14ac:dyDescent="0.25">
      <c r="Q40733" s="8"/>
    </row>
    <row r="40734" spans="17:17" x14ac:dyDescent="0.25">
      <c r="Q40734" s="8"/>
    </row>
    <row r="40735" spans="17:17" x14ac:dyDescent="0.25">
      <c r="Q40735" s="8"/>
    </row>
    <row r="40736" spans="17:17" x14ac:dyDescent="0.25">
      <c r="Q40736" s="8"/>
    </row>
    <row r="40737" spans="17:17" x14ac:dyDescent="0.25">
      <c r="Q40737" s="8"/>
    </row>
    <row r="40738" spans="17:17" x14ac:dyDescent="0.25">
      <c r="Q40738" s="8"/>
    </row>
    <row r="40739" spans="17:17" x14ac:dyDescent="0.25">
      <c r="Q40739" s="8"/>
    </row>
    <row r="40740" spans="17:17" x14ac:dyDescent="0.25">
      <c r="Q40740" s="8"/>
    </row>
    <row r="40741" spans="17:17" x14ac:dyDescent="0.25">
      <c r="Q40741" s="8"/>
    </row>
    <row r="40742" spans="17:17" x14ac:dyDescent="0.25">
      <c r="Q40742" s="8"/>
    </row>
    <row r="40743" spans="17:17" x14ac:dyDescent="0.25">
      <c r="Q40743" s="8"/>
    </row>
    <row r="40744" spans="17:17" x14ac:dyDescent="0.25">
      <c r="Q40744" s="8"/>
    </row>
    <row r="40745" spans="17:17" x14ac:dyDescent="0.25">
      <c r="Q40745" s="8"/>
    </row>
    <row r="40746" spans="17:17" x14ac:dyDescent="0.25">
      <c r="Q40746" s="8"/>
    </row>
    <row r="40747" spans="17:17" x14ac:dyDescent="0.25">
      <c r="Q40747" s="8"/>
    </row>
    <row r="40748" spans="17:17" x14ac:dyDescent="0.25">
      <c r="Q40748" s="8"/>
    </row>
    <row r="40749" spans="17:17" x14ac:dyDescent="0.25">
      <c r="Q40749" s="8"/>
    </row>
    <row r="40750" spans="17:17" x14ac:dyDescent="0.25">
      <c r="Q40750" s="8"/>
    </row>
    <row r="40751" spans="17:17" x14ac:dyDescent="0.25">
      <c r="Q40751" s="8"/>
    </row>
    <row r="40752" spans="17:17" x14ac:dyDescent="0.25">
      <c r="Q40752" s="8"/>
    </row>
    <row r="40753" spans="17:17" x14ac:dyDescent="0.25">
      <c r="Q40753" s="8"/>
    </row>
    <row r="40754" spans="17:17" x14ac:dyDescent="0.25">
      <c r="Q40754" s="8"/>
    </row>
    <row r="40755" spans="17:17" x14ac:dyDescent="0.25">
      <c r="Q40755" s="8"/>
    </row>
    <row r="40756" spans="17:17" x14ac:dyDescent="0.25">
      <c r="Q40756" s="8"/>
    </row>
    <row r="40757" spans="17:17" x14ac:dyDescent="0.25">
      <c r="Q40757" s="8"/>
    </row>
    <row r="40758" spans="17:17" x14ac:dyDescent="0.25">
      <c r="Q40758" s="8"/>
    </row>
    <row r="40759" spans="17:17" x14ac:dyDescent="0.25">
      <c r="Q40759" s="8"/>
    </row>
    <row r="40760" spans="17:17" x14ac:dyDescent="0.25">
      <c r="Q40760" s="8"/>
    </row>
    <row r="40761" spans="17:17" x14ac:dyDescent="0.25">
      <c r="Q40761" s="8"/>
    </row>
    <row r="40762" spans="17:17" x14ac:dyDescent="0.25">
      <c r="Q40762" s="8"/>
    </row>
    <row r="40763" spans="17:17" x14ac:dyDescent="0.25">
      <c r="Q40763" s="8"/>
    </row>
    <row r="40764" spans="17:17" x14ac:dyDescent="0.25">
      <c r="Q40764" s="8"/>
    </row>
    <row r="40765" spans="17:17" x14ac:dyDescent="0.25">
      <c r="Q40765" s="8"/>
    </row>
    <row r="40766" spans="17:17" x14ac:dyDescent="0.25">
      <c r="Q40766" s="8"/>
    </row>
    <row r="40767" spans="17:17" x14ac:dyDescent="0.25">
      <c r="Q40767" s="8"/>
    </row>
    <row r="40768" spans="17:17" x14ac:dyDescent="0.25">
      <c r="Q40768" s="8"/>
    </row>
    <row r="40769" spans="17:17" x14ac:dyDescent="0.25">
      <c r="Q40769" s="8"/>
    </row>
    <row r="40770" spans="17:17" x14ac:dyDescent="0.25">
      <c r="Q40770" s="8"/>
    </row>
    <row r="40771" spans="17:17" x14ac:dyDescent="0.25">
      <c r="Q40771" s="8"/>
    </row>
    <row r="40772" spans="17:17" x14ac:dyDescent="0.25">
      <c r="Q40772" s="8"/>
    </row>
    <row r="40773" spans="17:17" x14ac:dyDescent="0.25">
      <c r="Q40773" s="8"/>
    </row>
    <row r="40774" spans="17:17" x14ac:dyDescent="0.25">
      <c r="Q40774" s="8"/>
    </row>
    <row r="40775" spans="17:17" x14ac:dyDescent="0.25">
      <c r="Q40775" s="8"/>
    </row>
    <row r="40776" spans="17:17" x14ac:dyDescent="0.25">
      <c r="Q40776" s="8"/>
    </row>
    <row r="40777" spans="17:17" x14ac:dyDescent="0.25">
      <c r="Q40777" s="8"/>
    </row>
    <row r="40778" spans="17:17" x14ac:dyDescent="0.25">
      <c r="Q40778" s="8"/>
    </row>
    <row r="40779" spans="17:17" x14ac:dyDescent="0.25">
      <c r="Q40779" s="8"/>
    </row>
    <row r="40780" spans="17:17" x14ac:dyDescent="0.25">
      <c r="Q40780" s="8"/>
    </row>
    <row r="40781" spans="17:17" x14ac:dyDescent="0.25">
      <c r="Q40781" s="8"/>
    </row>
    <row r="40782" spans="17:17" x14ac:dyDescent="0.25">
      <c r="Q40782" s="8"/>
    </row>
    <row r="40783" spans="17:17" x14ac:dyDescent="0.25">
      <c r="Q40783" s="8"/>
    </row>
    <row r="40784" spans="17:17" x14ac:dyDescent="0.25">
      <c r="Q40784" s="8"/>
    </row>
    <row r="40785" spans="17:17" x14ac:dyDescent="0.25">
      <c r="Q40785" s="8"/>
    </row>
    <row r="40786" spans="17:17" x14ac:dyDescent="0.25">
      <c r="Q40786" s="8"/>
    </row>
    <row r="40787" spans="17:17" x14ac:dyDescent="0.25">
      <c r="Q40787" s="8"/>
    </row>
    <row r="40788" spans="17:17" x14ac:dyDescent="0.25">
      <c r="Q40788" s="8"/>
    </row>
    <row r="40789" spans="17:17" x14ac:dyDescent="0.25">
      <c r="Q40789" s="8"/>
    </row>
    <row r="40790" spans="17:17" x14ac:dyDescent="0.25">
      <c r="Q40790" s="8"/>
    </row>
    <row r="40791" spans="17:17" x14ac:dyDescent="0.25">
      <c r="Q40791" s="8"/>
    </row>
    <row r="40792" spans="17:17" x14ac:dyDescent="0.25">
      <c r="Q40792" s="8"/>
    </row>
    <row r="40793" spans="17:17" x14ac:dyDescent="0.25">
      <c r="Q40793" s="8"/>
    </row>
    <row r="40794" spans="17:17" x14ac:dyDescent="0.25">
      <c r="Q40794" s="8"/>
    </row>
    <row r="40795" spans="17:17" x14ac:dyDescent="0.25">
      <c r="Q40795" s="8"/>
    </row>
    <row r="40796" spans="17:17" x14ac:dyDescent="0.25">
      <c r="Q40796" s="8"/>
    </row>
    <row r="40797" spans="17:17" x14ac:dyDescent="0.25">
      <c r="Q40797" s="8"/>
    </row>
    <row r="40798" spans="17:17" x14ac:dyDescent="0.25">
      <c r="Q40798" s="8"/>
    </row>
    <row r="40799" spans="17:17" x14ac:dyDescent="0.25">
      <c r="Q40799" s="8"/>
    </row>
    <row r="40800" spans="17:17" x14ac:dyDescent="0.25">
      <c r="Q40800" s="8"/>
    </row>
    <row r="40801" spans="17:17" x14ac:dyDescent="0.25">
      <c r="Q40801" s="8"/>
    </row>
    <row r="40802" spans="17:17" x14ac:dyDescent="0.25">
      <c r="Q40802" s="8"/>
    </row>
    <row r="40803" spans="17:17" x14ac:dyDescent="0.25">
      <c r="Q40803" s="8"/>
    </row>
    <row r="40804" spans="17:17" x14ac:dyDescent="0.25">
      <c r="Q40804" s="8"/>
    </row>
    <row r="40805" spans="17:17" x14ac:dyDescent="0.25">
      <c r="Q40805" s="8"/>
    </row>
    <row r="40806" spans="17:17" x14ac:dyDescent="0.25">
      <c r="Q40806" s="8"/>
    </row>
    <row r="40807" spans="17:17" x14ac:dyDescent="0.25">
      <c r="Q40807" s="8"/>
    </row>
    <row r="40808" spans="17:17" x14ac:dyDescent="0.25">
      <c r="Q40808" s="8"/>
    </row>
    <row r="40809" spans="17:17" x14ac:dyDescent="0.25">
      <c r="Q40809" s="8"/>
    </row>
    <row r="40810" spans="17:17" x14ac:dyDescent="0.25">
      <c r="Q40810" s="8"/>
    </row>
    <row r="40811" spans="17:17" x14ac:dyDescent="0.25">
      <c r="Q40811" s="8"/>
    </row>
    <row r="40812" spans="17:17" x14ac:dyDescent="0.25">
      <c r="Q40812" s="8"/>
    </row>
    <row r="40813" spans="17:17" x14ac:dyDescent="0.25">
      <c r="Q40813" s="8"/>
    </row>
    <row r="40814" spans="17:17" x14ac:dyDescent="0.25">
      <c r="Q40814" s="8"/>
    </row>
    <row r="40815" spans="17:17" x14ac:dyDescent="0.25">
      <c r="Q40815" s="8"/>
    </row>
    <row r="40816" spans="17:17" x14ac:dyDescent="0.25">
      <c r="Q40816" s="8"/>
    </row>
    <row r="40817" spans="17:17" x14ac:dyDescent="0.25">
      <c r="Q40817" s="8"/>
    </row>
    <row r="40818" spans="17:17" x14ac:dyDescent="0.25">
      <c r="Q40818" s="8"/>
    </row>
    <row r="40819" spans="17:17" x14ac:dyDescent="0.25">
      <c r="Q40819" s="8"/>
    </row>
    <row r="40820" spans="17:17" x14ac:dyDescent="0.25">
      <c r="Q40820" s="8"/>
    </row>
    <row r="40821" spans="17:17" x14ac:dyDescent="0.25">
      <c r="Q40821" s="8"/>
    </row>
    <row r="40822" spans="17:17" x14ac:dyDescent="0.25">
      <c r="Q40822" s="8"/>
    </row>
    <row r="40823" spans="17:17" x14ac:dyDescent="0.25">
      <c r="Q40823" s="8"/>
    </row>
    <row r="40824" spans="17:17" x14ac:dyDescent="0.25">
      <c r="Q40824" s="8"/>
    </row>
    <row r="40825" spans="17:17" x14ac:dyDescent="0.25">
      <c r="Q40825" s="8"/>
    </row>
    <row r="40826" spans="17:17" x14ac:dyDescent="0.25">
      <c r="Q40826" s="8"/>
    </row>
    <row r="40827" spans="17:17" x14ac:dyDescent="0.25">
      <c r="Q40827" s="8"/>
    </row>
    <row r="40828" spans="17:17" x14ac:dyDescent="0.25">
      <c r="Q40828" s="8"/>
    </row>
    <row r="40829" spans="17:17" x14ac:dyDescent="0.25">
      <c r="Q40829" s="8"/>
    </row>
    <row r="40830" spans="17:17" x14ac:dyDescent="0.25">
      <c r="Q40830" s="8"/>
    </row>
    <row r="40831" spans="17:17" x14ac:dyDescent="0.25">
      <c r="Q40831" s="8"/>
    </row>
    <row r="40832" spans="17:17" x14ac:dyDescent="0.25">
      <c r="Q40832" s="8"/>
    </row>
    <row r="40833" spans="17:17" x14ac:dyDescent="0.25">
      <c r="Q40833" s="8"/>
    </row>
    <row r="40834" spans="17:17" x14ac:dyDescent="0.25">
      <c r="Q40834" s="8"/>
    </row>
    <row r="40835" spans="17:17" x14ac:dyDescent="0.25">
      <c r="Q40835" s="8"/>
    </row>
    <row r="40836" spans="17:17" x14ac:dyDescent="0.25">
      <c r="Q40836" s="8"/>
    </row>
    <row r="40837" spans="17:17" x14ac:dyDescent="0.25">
      <c r="Q40837" s="8"/>
    </row>
    <row r="40838" spans="17:17" x14ac:dyDescent="0.25">
      <c r="Q40838" s="8"/>
    </row>
    <row r="40839" spans="17:17" x14ac:dyDescent="0.25">
      <c r="Q40839" s="8"/>
    </row>
    <row r="40840" spans="17:17" x14ac:dyDescent="0.25">
      <c r="Q40840" s="8"/>
    </row>
    <row r="40841" spans="17:17" x14ac:dyDescent="0.25">
      <c r="Q40841" s="8"/>
    </row>
    <row r="40842" spans="17:17" x14ac:dyDescent="0.25">
      <c r="Q40842" s="8"/>
    </row>
    <row r="40843" spans="17:17" x14ac:dyDescent="0.25">
      <c r="Q40843" s="8"/>
    </row>
    <row r="40844" spans="17:17" x14ac:dyDescent="0.25">
      <c r="Q40844" s="8"/>
    </row>
    <row r="40845" spans="17:17" x14ac:dyDescent="0.25">
      <c r="Q40845" s="8"/>
    </row>
    <row r="40846" spans="17:17" x14ac:dyDescent="0.25">
      <c r="Q40846" s="8"/>
    </row>
    <row r="40847" spans="17:17" x14ac:dyDescent="0.25">
      <c r="Q40847" s="8"/>
    </row>
    <row r="40848" spans="17:17" x14ac:dyDescent="0.25">
      <c r="Q40848" s="8"/>
    </row>
    <row r="40849" spans="17:17" x14ac:dyDescent="0.25">
      <c r="Q40849" s="8"/>
    </row>
    <row r="40850" spans="17:17" x14ac:dyDescent="0.25">
      <c r="Q40850" s="8"/>
    </row>
    <row r="40851" spans="17:17" x14ac:dyDescent="0.25">
      <c r="Q40851" s="8"/>
    </row>
    <row r="40852" spans="17:17" x14ac:dyDescent="0.25">
      <c r="Q40852" s="8"/>
    </row>
    <row r="40853" spans="17:17" x14ac:dyDescent="0.25">
      <c r="Q40853" s="8"/>
    </row>
    <row r="40854" spans="17:17" x14ac:dyDescent="0.25">
      <c r="Q40854" s="8"/>
    </row>
    <row r="40855" spans="17:17" x14ac:dyDescent="0.25">
      <c r="Q40855" s="8"/>
    </row>
    <row r="40856" spans="17:17" x14ac:dyDescent="0.25">
      <c r="Q40856" s="8"/>
    </row>
    <row r="40857" spans="17:17" x14ac:dyDescent="0.25">
      <c r="Q40857" s="8"/>
    </row>
    <row r="40858" spans="17:17" x14ac:dyDescent="0.25">
      <c r="Q40858" s="8"/>
    </row>
    <row r="40859" spans="17:17" x14ac:dyDescent="0.25">
      <c r="Q40859" s="8"/>
    </row>
    <row r="40860" spans="17:17" x14ac:dyDescent="0.25">
      <c r="Q40860" s="8"/>
    </row>
    <row r="40861" spans="17:17" x14ac:dyDescent="0.25">
      <c r="Q40861" s="8"/>
    </row>
    <row r="40862" spans="17:17" x14ac:dyDescent="0.25">
      <c r="Q40862" s="8"/>
    </row>
    <row r="40863" spans="17:17" x14ac:dyDescent="0.25">
      <c r="Q40863" s="8"/>
    </row>
    <row r="40864" spans="17:17" x14ac:dyDescent="0.25">
      <c r="Q40864" s="8"/>
    </row>
    <row r="40865" spans="17:17" x14ac:dyDescent="0.25">
      <c r="Q40865" s="8"/>
    </row>
    <row r="40866" spans="17:17" x14ac:dyDescent="0.25">
      <c r="Q40866" s="8"/>
    </row>
    <row r="40867" spans="17:17" x14ac:dyDescent="0.25">
      <c r="Q40867" s="8"/>
    </row>
    <row r="40868" spans="17:17" x14ac:dyDescent="0.25">
      <c r="Q40868" s="8"/>
    </row>
    <row r="40869" spans="17:17" x14ac:dyDescent="0.25">
      <c r="Q40869" s="8"/>
    </row>
    <row r="40870" spans="17:17" x14ac:dyDescent="0.25">
      <c r="Q40870" s="8"/>
    </row>
    <row r="40871" spans="17:17" x14ac:dyDescent="0.25">
      <c r="Q40871" s="8"/>
    </row>
    <row r="40872" spans="17:17" x14ac:dyDescent="0.25">
      <c r="Q40872" s="8"/>
    </row>
    <row r="40873" spans="17:17" x14ac:dyDescent="0.25">
      <c r="Q40873" s="8"/>
    </row>
    <row r="40874" spans="17:17" x14ac:dyDescent="0.25">
      <c r="Q40874" s="8"/>
    </row>
    <row r="40875" spans="17:17" x14ac:dyDescent="0.25">
      <c r="Q40875" s="8"/>
    </row>
    <row r="40876" spans="17:17" x14ac:dyDescent="0.25">
      <c r="Q40876" s="8"/>
    </row>
    <row r="40877" spans="17:17" x14ac:dyDescent="0.25">
      <c r="Q40877" s="8"/>
    </row>
    <row r="40878" spans="17:17" x14ac:dyDescent="0.25">
      <c r="Q40878" s="8"/>
    </row>
    <row r="40879" spans="17:17" x14ac:dyDescent="0.25">
      <c r="Q40879" s="8"/>
    </row>
    <row r="40880" spans="17:17" x14ac:dyDescent="0.25">
      <c r="Q40880" s="8"/>
    </row>
    <row r="40881" spans="17:17" x14ac:dyDescent="0.25">
      <c r="Q40881" s="8"/>
    </row>
    <row r="40882" spans="17:17" x14ac:dyDescent="0.25">
      <c r="Q40882" s="8"/>
    </row>
    <row r="40883" spans="17:17" x14ac:dyDescent="0.25">
      <c r="Q40883" s="8"/>
    </row>
    <row r="40884" spans="17:17" x14ac:dyDescent="0.25">
      <c r="Q40884" s="8"/>
    </row>
    <row r="40885" spans="17:17" x14ac:dyDescent="0.25">
      <c r="Q40885" s="8"/>
    </row>
    <row r="40886" spans="17:17" x14ac:dyDescent="0.25">
      <c r="Q40886" s="8"/>
    </row>
    <row r="40887" spans="17:17" x14ac:dyDescent="0.25">
      <c r="Q40887" s="8"/>
    </row>
    <row r="40888" spans="17:17" x14ac:dyDescent="0.25">
      <c r="Q40888" s="8"/>
    </row>
    <row r="40889" spans="17:17" x14ac:dyDescent="0.25">
      <c r="Q40889" s="8"/>
    </row>
    <row r="40890" spans="17:17" x14ac:dyDescent="0.25">
      <c r="Q40890" s="8"/>
    </row>
    <row r="40891" spans="17:17" x14ac:dyDescent="0.25">
      <c r="Q40891" s="8"/>
    </row>
    <row r="40892" spans="17:17" x14ac:dyDescent="0.25">
      <c r="Q40892" s="8"/>
    </row>
    <row r="40893" spans="17:17" x14ac:dyDescent="0.25">
      <c r="Q40893" s="8"/>
    </row>
    <row r="40894" spans="17:17" x14ac:dyDescent="0.25">
      <c r="Q40894" s="8"/>
    </row>
    <row r="40895" spans="17:17" x14ac:dyDescent="0.25">
      <c r="Q40895" s="8"/>
    </row>
    <row r="40896" spans="17:17" x14ac:dyDescent="0.25">
      <c r="Q40896" s="8"/>
    </row>
    <row r="40897" spans="17:17" x14ac:dyDescent="0.25">
      <c r="Q40897" s="8"/>
    </row>
    <row r="40898" spans="17:17" x14ac:dyDescent="0.25">
      <c r="Q40898" s="8"/>
    </row>
    <row r="40899" spans="17:17" x14ac:dyDescent="0.25">
      <c r="Q40899" s="8"/>
    </row>
    <row r="40900" spans="17:17" x14ac:dyDescent="0.25">
      <c r="Q40900" s="8"/>
    </row>
    <row r="40901" spans="17:17" x14ac:dyDescent="0.25">
      <c r="Q40901" s="8"/>
    </row>
    <row r="40902" spans="17:17" x14ac:dyDescent="0.25">
      <c r="Q40902" s="8"/>
    </row>
    <row r="40903" spans="17:17" x14ac:dyDescent="0.25">
      <c r="Q40903" s="8"/>
    </row>
    <row r="40904" spans="17:17" x14ac:dyDescent="0.25">
      <c r="Q40904" s="8"/>
    </row>
    <row r="40905" spans="17:17" x14ac:dyDescent="0.25">
      <c r="Q40905" s="8"/>
    </row>
    <row r="40906" spans="17:17" x14ac:dyDescent="0.25">
      <c r="Q40906" s="8"/>
    </row>
    <row r="40907" spans="17:17" x14ac:dyDescent="0.25">
      <c r="Q40907" s="8"/>
    </row>
    <row r="40908" spans="17:17" x14ac:dyDescent="0.25">
      <c r="Q40908" s="8"/>
    </row>
    <row r="40909" spans="17:17" x14ac:dyDescent="0.25">
      <c r="Q40909" s="8"/>
    </row>
    <row r="40910" spans="17:17" x14ac:dyDescent="0.25">
      <c r="Q40910" s="8"/>
    </row>
    <row r="40911" spans="17:17" x14ac:dyDescent="0.25">
      <c r="Q40911" s="8"/>
    </row>
    <row r="40912" spans="17:17" x14ac:dyDescent="0.25">
      <c r="Q40912" s="8"/>
    </row>
    <row r="40913" spans="17:17" x14ac:dyDescent="0.25">
      <c r="Q40913" s="8"/>
    </row>
    <row r="40914" spans="17:17" x14ac:dyDescent="0.25">
      <c r="Q40914" s="8"/>
    </row>
    <row r="40915" spans="17:17" x14ac:dyDescent="0.25">
      <c r="Q40915" s="8"/>
    </row>
    <row r="40916" spans="17:17" x14ac:dyDescent="0.25">
      <c r="Q40916" s="8"/>
    </row>
    <row r="40917" spans="17:17" x14ac:dyDescent="0.25">
      <c r="Q40917" s="8"/>
    </row>
    <row r="40918" spans="17:17" x14ac:dyDescent="0.25">
      <c r="Q40918" s="8"/>
    </row>
    <row r="40919" spans="17:17" x14ac:dyDescent="0.25">
      <c r="Q40919" s="8"/>
    </row>
    <row r="40920" spans="17:17" x14ac:dyDescent="0.25">
      <c r="Q40920" s="8"/>
    </row>
    <row r="40921" spans="17:17" x14ac:dyDescent="0.25">
      <c r="Q40921" s="8"/>
    </row>
    <row r="40922" spans="17:17" x14ac:dyDescent="0.25">
      <c r="Q40922" s="8"/>
    </row>
    <row r="40923" spans="17:17" x14ac:dyDescent="0.25">
      <c r="Q40923" s="8"/>
    </row>
    <row r="40924" spans="17:17" x14ac:dyDescent="0.25">
      <c r="Q40924" s="8"/>
    </row>
    <row r="40925" spans="17:17" x14ac:dyDescent="0.25">
      <c r="Q40925" s="8"/>
    </row>
    <row r="40926" spans="17:17" x14ac:dyDescent="0.25">
      <c r="Q40926" s="8"/>
    </row>
    <row r="40927" spans="17:17" x14ac:dyDescent="0.25">
      <c r="Q40927" s="8"/>
    </row>
    <row r="40928" spans="17:17" x14ac:dyDescent="0.25">
      <c r="Q40928" s="8"/>
    </row>
    <row r="40929" spans="17:17" x14ac:dyDescent="0.25">
      <c r="Q40929" s="8"/>
    </row>
    <row r="40930" spans="17:17" x14ac:dyDescent="0.25">
      <c r="Q40930" s="8"/>
    </row>
    <row r="40931" spans="17:17" x14ac:dyDescent="0.25">
      <c r="Q40931" s="8"/>
    </row>
    <row r="40932" spans="17:17" x14ac:dyDescent="0.25">
      <c r="Q40932" s="8"/>
    </row>
    <row r="40933" spans="17:17" x14ac:dyDescent="0.25">
      <c r="Q40933" s="8"/>
    </row>
    <row r="40934" spans="17:17" x14ac:dyDescent="0.25">
      <c r="Q40934" s="8"/>
    </row>
    <row r="40935" spans="17:17" x14ac:dyDescent="0.25">
      <c r="Q40935" s="8"/>
    </row>
    <row r="40936" spans="17:17" x14ac:dyDescent="0.25">
      <c r="Q40936" s="8"/>
    </row>
    <row r="40937" spans="17:17" x14ac:dyDescent="0.25">
      <c r="Q40937" s="8"/>
    </row>
    <row r="40938" spans="17:17" x14ac:dyDescent="0.25">
      <c r="Q40938" s="8"/>
    </row>
    <row r="40939" spans="17:17" x14ac:dyDescent="0.25">
      <c r="Q40939" s="8"/>
    </row>
    <row r="40940" spans="17:17" x14ac:dyDescent="0.25">
      <c r="Q40940" s="8"/>
    </row>
    <row r="40941" spans="17:17" x14ac:dyDescent="0.25">
      <c r="Q40941" s="8"/>
    </row>
    <row r="40942" spans="17:17" x14ac:dyDescent="0.25">
      <c r="Q40942" s="8"/>
    </row>
    <row r="40943" spans="17:17" x14ac:dyDescent="0.25">
      <c r="Q40943" s="8"/>
    </row>
    <row r="40944" spans="17:17" x14ac:dyDescent="0.25">
      <c r="Q40944" s="8"/>
    </row>
    <row r="40945" spans="17:17" x14ac:dyDescent="0.25">
      <c r="Q40945" s="8"/>
    </row>
    <row r="40946" spans="17:17" x14ac:dyDescent="0.25">
      <c r="Q40946" s="8"/>
    </row>
    <row r="40947" spans="17:17" x14ac:dyDescent="0.25">
      <c r="Q40947" s="8"/>
    </row>
    <row r="40948" spans="17:17" x14ac:dyDescent="0.25">
      <c r="Q40948" s="8"/>
    </row>
    <row r="40949" spans="17:17" x14ac:dyDescent="0.25">
      <c r="Q40949" s="8"/>
    </row>
    <row r="40950" spans="17:17" x14ac:dyDescent="0.25">
      <c r="Q40950" s="8"/>
    </row>
    <row r="40951" spans="17:17" x14ac:dyDescent="0.25">
      <c r="Q40951" s="8"/>
    </row>
    <row r="40952" spans="17:17" x14ac:dyDescent="0.25">
      <c r="Q40952" s="8"/>
    </row>
    <row r="40953" spans="17:17" x14ac:dyDescent="0.25">
      <c r="Q40953" s="8"/>
    </row>
    <row r="40954" spans="17:17" x14ac:dyDescent="0.25">
      <c r="Q40954" s="8"/>
    </row>
    <row r="40955" spans="17:17" x14ac:dyDescent="0.25">
      <c r="Q40955" s="8"/>
    </row>
    <row r="40956" spans="17:17" x14ac:dyDescent="0.25">
      <c r="Q40956" s="8"/>
    </row>
    <row r="40957" spans="17:17" x14ac:dyDescent="0.25">
      <c r="Q40957" s="8"/>
    </row>
    <row r="40958" spans="17:17" x14ac:dyDescent="0.25">
      <c r="Q40958" s="8"/>
    </row>
    <row r="40959" spans="17:17" x14ac:dyDescent="0.25">
      <c r="Q40959" s="8"/>
    </row>
    <row r="40960" spans="17:17" x14ac:dyDescent="0.25">
      <c r="Q40960" s="8"/>
    </row>
    <row r="40961" spans="17:17" x14ac:dyDescent="0.25">
      <c r="Q40961" s="8"/>
    </row>
    <row r="40962" spans="17:17" x14ac:dyDescent="0.25">
      <c r="Q40962" s="8"/>
    </row>
    <row r="40963" spans="17:17" x14ac:dyDescent="0.25">
      <c r="Q40963" s="8"/>
    </row>
    <row r="40964" spans="17:17" x14ac:dyDescent="0.25">
      <c r="Q40964" s="8"/>
    </row>
    <row r="40965" spans="17:17" x14ac:dyDescent="0.25">
      <c r="Q40965" s="8"/>
    </row>
    <row r="40966" spans="17:17" x14ac:dyDescent="0.25">
      <c r="Q40966" s="8"/>
    </row>
    <row r="40967" spans="17:17" x14ac:dyDescent="0.25">
      <c r="Q40967" s="8"/>
    </row>
    <row r="40968" spans="17:17" x14ac:dyDescent="0.25">
      <c r="Q40968" s="8"/>
    </row>
    <row r="40969" spans="17:17" x14ac:dyDescent="0.25">
      <c r="Q40969" s="8"/>
    </row>
    <row r="40970" spans="17:17" x14ac:dyDescent="0.25">
      <c r="Q40970" s="8"/>
    </row>
    <row r="40971" spans="17:17" x14ac:dyDescent="0.25">
      <c r="Q40971" s="8"/>
    </row>
    <row r="40972" spans="17:17" x14ac:dyDescent="0.25">
      <c r="Q40972" s="8"/>
    </row>
    <row r="40973" spans="17:17" x14ac:dyDescent="0.25">
      <c r="Q40973" s="8"/>
    </row>
    <row r="40974" spans="17:17" x14ac:dyDescent="0.25">
      <c r="Q40974" s="8"/>
    </row>
    <row r="40975" spans="17:17" x14ac:dyDescent="0.25">
      <c r="Q40975" s="8"/>
    </row>
    <row r="40976" spans="17:17" x14ac:dyDescent="0.25">
      <c r="Q40976" s="8"/>
    </row>
    <row r="40977" spans="17:17" x14ac:dyDescent="0.25">
      <c r="Q40977" s="8"/>
    </row>
    <row r="40978" spans="17:17" x14ac:dyDescent="0.25">
      <c r="Q40978" s="8"/>
    </row>
    <row r="40979" spans="17:17" x14ac:dyDescent="0.25">
      <c r="Q40979" s="8"/>
    </row>
    <row r="40980" spans="17:17" x14ac:dyDescent="0.25">
      <c r="Q40980" s="8"/>
    </row>
    <row r="40981" spans="17:17" x14ac:dyDescent="0.25">
      <c r="Q40981" s="8"/>
    </row>
    <row r="40982" spans="17:17" x14ac:dyDescent="0.25">
      <c r="Q40982" s="8"/>
    </row>
    <row r="40983" spans="17:17" x14ac:dyDescent="0.25">
      <c r="Q40983" s="8"/>
    </row>
    <row r="40984" spans="17:17" x14ac:dyDescent="0.25">
      <c r="Q40984" s="8"/>
    </row>
    <row r="40985" spans="17:17" x14ac:dyDescent="0.25">
      <c r="Q40985" s="8"/>
    </row>
    <row r="40986" spans="17:17" x14ac:dyDescent="0.25">
      <c r="Q40986" s="8"/>
    </row>
    <row r="40987" spans="17:17" x14ac:dyDescent="0.25">
      <c r="Q40987" s="8"/>
    </row>
    <row r="40988" spans="17:17" x14ac:dyDescent="0.25">
      <c r="Q40988" s="8"/>
    </row>
    <row r="40989" spans="17:17" x14ac:dyDescent="0.25">
      <c r="Q40989" s="8"/>
    </row>
    <row r="40990" spans="17:17" x14ac:dyDescent="0.25">
      <c r="Q40990" s="8"/>
    </row>
    <row r="40991" spans="17:17" x14ac:dyDescent="0.25">
      <c r="Q40991" s="8"/>
    </row>
    <row r="40992" spans="17:17" x14ac:dyDescent="0.25">
      <c r="Q40992" s="8"/>
    </row>
    <row r="40993" spans="17:17" x14ac:dyDescent="0.25">
      <c r="Q40993" s="8"/>
    </row>
    <row r="40994" spans="17:17" x14ac:dyDescent="0.25">
      <c r="Q40994" s="8"/>
    </row>
    <row r="40995" spans="17:17" x14ac:dyDescent="0.25">
      <c r="Q40995" s="8"/>
    </row>
    <row r="40996" spans="17:17" x14ac:dyDescent="0.25">
      <c r="Q40996" s="8"/>
    </row>
    <row r="40997" spans="17:17" x14ac:dyDescent="0.25">
      <c r="Q40997" s="8"/>
    </row>
    <row r="40998" spans="17:17" x14ac:dyDescent="0.25">
      <c r="Q40998" s="8"/>
    </row>
    <row r="40999" spans="17:17" x14ac:dyDescent="0.25">
      <c r="Q40999" s="8"/>
    </row>
    <row r="41000" spans="17:17" x14ac:dyDescent="0.25">
      <c r="Q41000" s="8"/>
    </row>
    <row r="41001" spans="17:17" x14ac:dyDescent="0.25">
      <c r="Q41001" s="8"/>
    </row>
    <row r="41002" spans="17:17" x14ac:dyDescent="0.25">
      <c r="Q41002" s="8"/>
    </row>
    <row r="41003" spans="17:17" x14ac:dyDescent="0.25">
      <c r="Q41003" s="8"/>
    </row>
    <row r="41004" spans="17:17" x14ac:dyDescent="0.25">
      <c r="Q41004" s="8"/>
    </row>
    <row r="41005" spans="17:17" x14ac:dyDescent="0.25">
      <c r="Q41005" s="8"/>
    </row>
    <row r="41006" spans="17:17" x14ac:dyDescent="0.25">
      <c r="Q41006" s="8"/>
    </row>
    <row r="41007" spans="17:17" x14ac:dyDescent="0.25">
      <c r="Q41007" s="8"/>
    </row>
    <row r="41008" spans="17:17" x14ac:dyDescent="0.25">
      <c r="Q41008" s="8"/>
    </row>
    <row r="41009" spans="17:17" x14ac:dyDescent="0.25">
      <c r="Q41009" s="8"/>
    </row>
    <row r="41010" spans="17:17" x14ac:dyDescent="0.25">
      <c r="Q41010" s="8"/>
    </row>
    <row r="41011" spans="17:17" x14ac:dyDescent="0.25">
      <c r="Q41011" s="8"/>
    </row>
    <row r="41012" spans="17:17" x14ac:dyDescent="0.25">
      <c r="Q41012" s="8"/>
    </row>
    <row r="41013" spans="17:17" x14ac:dyDescent="0.25">
      <c r="Q41013" s="8"/>
    </row>
    <row r="41014" spans="17:17" x14ac:dyDescent="0.25">
      <c r="Q41014" s="8"/>
    </row>
    <row r="41015" spans="17:17" x14ac:dyDescent="0.25">
      <c r="Q41015" s="8"/>
    </row>
    <row r="41016" spans="17:17" x14ac:dyDescent="0.25">
      <c r="Q41016" s="8"/>
    </row>
    <row r="41017" spans="17:17" x14ac:dyDescent="0.25">
      <c r="Q41017" s="8"/>
    </row>
    <row r="41018" spans="17:17" x14ac:dyDescent="0.25">
      <c r="Q41018" s="8"/>
    </row>
    <row r="41019" spans="17:17" x14ac:dyDescent="0.25">
      <c r="Q41019" s="8"/>
    </row>
    <row r="41020" spans="17:17" x14ac:dyDescent="0.25">
      <c r="Q41020" s="8"/>
    </row>
    <row r="41021" spans="17:17" x14ac:dyDescent="0.25">
      <c r="Q41021" s="8"/>
    </row>
    <row r="41022" spans="17:17" x14ac:dyDescent="0.25">
      <c r="Q41022" s="8"/>
    </row>
    <row r="41023" spans="17:17" x14ac:dyDescent="0.25">
      <c r="Q41023" s="8"/>
    </row>
    <row r="41024" spans="17:17" x14ac:dyDescent="0.25">
      <c r="Q41024" s="8"/>
    </row>
    <row r="41025" spans="17:17" x14ac:dyDescent="0.25">
      <c r="Q41025" s="8"/>
    </row>
    <row r="41026" spans="17:17" x14ac:dyDescent="0.25">
      <c r="Q41026" s="8"/>
    </row>
    <row r="41027" spans="17:17" x14ac:dyDescent="0.25">
      <c r="Q41027" s="8"/>
    </row>
    <row r="41028" spans="17:17" x14ac:dyDescent="0.25">
      <c r="Q41028" s="8"/>
    </row>
    <row r="41029" spans="17:17" x14ac:dyDescent="0.25">
      <c r="Q41029" s="8"/>
    </row>
    <row r="41030" spans="17:17" x14ac:dyDescent="0.25">
      <c r="Q41030" s="8"/>
    </row>
    <row r="41031" spans="17:17" x14ac:dyDescent="0.25">
      <c r="Q41031" s="8"/>
    </row>
    <row r="41032" spans="17:17" x14ac:dyDescent="0.25">
      <c r="Q41032" s="8"/>
    </row>
    <row r="41033" spans="17:17" x14ac:dyDescent="0.25">
      <c r="Q41033" s="8"/>
    </row>
    <row r="41034" spans="17:17" x14ac:dyDescent="0.25">
      <c r="Q41034" s="8"/>
    </row>
    <row r="41035" spans="17:17" x14ac:dyDescent="0.25">
      <c r="Q41035" s="8"/>
    </row>
    <row r="41036" spans="17:17" x14ac:dyDescent="0.25">
      <c r="Q41036" s="8"/>
    </row>
    <row r="41037" spans="17:17" x14ac:dyDescent="0.25">
      <c r="Q41037" s="8"/>
    </row>
    <row r="41038" spans="17:17" x14ac:dyDescent="0.25">
      <c r="Q41038" s="8"/>
    </row>
    <row r="41039" spans="17:17" x14ac:dyDescent="0.25">
      <c r="Q41039" s="8"/>
    </row>
    <row r="41040" spans="17:17" x14ac:dyDescent="0.25">
      <c r="Q41040" s="8"/>
    </row>
    <row r="41041" spans="17:17" x14ac:dyDescent="0.25">
      <c r="Q41041" s="8"/>
    </row>
    <row r="41042" spans="17:17" x14ac:dyDescent="0.25">
      <c r="Q41042" s="8"/>
    </row>
    <row r="41043" spans="17:17" x14ac:dyDescent="0.25">
      <c r="Q41043" s="8"/>
    </row>
    <row r="41044" spans="17:17" x14ac:dyDescent="0.25">
      <c r="Q41044" s="8"/>
    </row>
    <row r="41045" spans="17:17" x14ac:dyDescent="0.25">
      <c r="Q41045" s="8"/>
    </row>
    <row r="41046" spans="17:17" x14ac:dyDescent="0.25">
      <c r="Q41046" s="8"/>
    </row>
    <row r="41047" spans="17:17" x14ac:dyDescent="0.25">
      <c r="Q41047" s="8"/>
    </row>
    <row r="41048" spans="17:17" x14ac:dyDescent="0.25">
      <c r="Q41048" s="8"/>
    </row>
    <row r="41049" spans="17:17" x14ac:dyDescent="0.25">
      <c r="Q41049" s="8"/>
    </row>
    <row r="41050" spans="17:17" x14ac:dyDescent="0.25">
      <c r="Q41050" s="8"/>
    </row>
    <row r="41051" spans="17:17" x14ac:dyDescent="0.25">
      <c r="Q41051" s="8"/>
    </row>
    <row r="41052" spans="17:17" x14ac:dyDescent="0.25">
      <c r="Q41052" s="8"/>
    </row>
    <row r="41053" spans="17:17" x14ac:dyDescent="0.25">
      <c r="Q41053" s="8"/>
    </row>
    <row r="41054" spans="17:17" x14ac:dyDescent="0.25">
      <c r="Q41054" s="8"/>
    </row>
    <row r="41055" spans="17:17" x14ac:dyDescent="0.25">
      <c r="Q41055" s="8"/>
    </row>
    <row r="41056" spans="17:17" x14ac:dyDescent="0.25">
      <c r="Q41056" s="8"/>
    </row>
    <row r="41057" spans="17:17" x14ac:dyDescent="0.25">
      <c r="Q41057" s="8"/>
    </row>
    <row r="41058" spans="17:17" x14ac:dyDescent="0.25">
      <c r="Q41058" s="8"/>
    </row>
    <row r="41059" spans="17:17" x14ac:dyDescent="0.25">
      <c r="Q41059" s="8"/>
    </row>
    <row r="41060" spans="17:17" x14ac:dyDescent="0.25">
      <c r="Q41060" s="8"/>
    </row>
    <row r="41061" spans="17:17" x14ac:dyDescent="0.25">
      <c r="Q41061" s="8"/>
    </row>
    <row r="41062" spans="17:17" x14ac:dyDescent="0.25">
      <c r="Q41062" s="8"/>
    </row>
    <row r="41063" spans="17:17" x14ac:dyDescent="0.25">
      <c r="Q41063" s="8"/>
    </row>
    <row r="41064" spans="17:17" x14ac:dyDescent="0.25">
      <c r="Q41064" s="8"/>
    </row>
    <row r="41065" spans="17:17" x14ac:dyDescent="0.25">
      <c r="Q41065" s="8"/>
    </row>
    <row r="41066" spans="17:17" x14ac:dyDescent="0.25">
      <c r="Q41066" s="8"/>
    </row>
    <row r="41067" spans="17:17" x14ac:dyDescent="0.25">
      <c r="Q41067" s="8"/>
    </row>
    <row r="41068" spans="17:17" x14ac:dyDescent="0.25">
      <c r="Q41068" s="8"/>
    </row>
    <row r="41069" spans="17:17" x14ac:dyDescent="0.25">
      <c r="Q41069" s="8"/>
    </row>
    <row r="41070" spans="17:17" x14ac:dyDescent="0.25">
      <c r="Q41070" s="8"/>
    </row>
    <row r="41071" spans="17:17" x14ac:dyDescent="0.25">
      <c r="Q41071" s="8"/>
    </row>
    <row r="41072" spans="17:17" x14ac:dyDescent="0.25">
      <c r="Q41072" s="8"/>
    </row>
    <row r="41073" spans="17:17" x14ac:dyDescent="0.25">
      <c r="Q41073" s="8"/>
    </row>
    <row r="41074" spans="17:17" x14ac:dyDescent="0.25">
      <c r="Q41074" s="8"/>
    </row>
    <row r="41075" spans="17:17" x14ac:dyDescent="0.25">
      <c r="Q41075" s="8"/>
    </row>
    <row r="41076" spans="17:17" x14ac:dyDescent="0.25">
      <c r="Q41076" s="8"/>
    </row>
    <row r="41077" spans="17:17" x14ac:dyDescent="0.25">
      <c r="Q41077" s="8"/>
    </row>
    <row r="41078" spans="17:17" x14ac:dyDescent="0.25">
      <c r="Q41078" s="8"/>
    </row>
    <row r="41079" spans="17:17" x14ac:dyDescent="0.25">
      <c r="Q41079" s="8"/>
    </row>
    <row r="41080" spans="17:17" x14ac:dyDescent="0.25">
      <c r="Q41080" s="8"/>
    </row>
    <row r="41081" spans="17:17" x14ac:dyDescent="0.25">
      <c r="Q41081" s="8"/>
    </row>
    <row r="41082" spans="17:17" x14ac:dyDescent="0.25">
      <c r="Q41082" s="8"/>
    </row>
    <row r="41083" spans="17:17" x14ac:dyDescent="0.25">
      <c r="Q41083" s="8"/>
    </row>
    <row r="41084" spans="17:17" x14ac:dyDescent="0.25">
      <c r="Q41084" s="8"/>
    </row>
    <row r="41085" spans="17:17" x14ac:dyDescent="0.25">
      <c r="Q41085" s="8"/>
    </row>
    <row r="41086" spans="17:17" x14ac:dyDescent="0.25">
      <c r="Q41086" s="8"/>
    </row>
    <row r="41087" spans="17:17" x14ac:dyDescent="0.25">
      <c r="Q41087" s="8"/>
    </row>
    <row r="41088" spans="17:17" x14ac:dyDescent="0.25">
      <c r="Q41088" s="8"/>
    </row>
    <row r="41089" spans="17:17" x14ac:dyDescent="0.25">
      <c r="Q41089" s="8"/>
    </row>
    <row r="41090" spans="17:17" x14ac:dyDescent="0.25">
      <c r="Q41090" s="8"/>
    </row>
    <row r="41091" spans="17:17" x14ac:dyDescent="0.25">
      <c r="Q41091" s="8"/>
    </row>
    <row r="41092" spans="17:17" x14ac:dyDescent="0.25">
      <c r="Q41092" s="8"/>
    </row>
    <row r="41093" spans="17:17" x14ac:dyDescent="0.25">
      <c r="Q41093" s="8"/>
    </row>
    <row r="41094" spans="17:17" x14ac:dyDescent="0.25">
      <c r="Q41094" s="8"/>
    </row>
    <row r="41095" spans="17:17" x14ac:dyDescent="0.25">
      <c r="Q41095" s="8"/>
    </row>
    <row r="41096" spans="17:17" x14ac:dyDescent="0.25">
      <c r="Q41096" s="8"/>
    </row>
    <row r="41097" spans="17:17" x14ac:dyDescent="0.25">
      <c r="Q41097" s="8"/>
    </row>
    <row r="41098" spans="17:17" x14ac:dyDescent="0.25">
      <c r="Q41098" s="8"/>
    </row>
    <row r="41099" spans="17:17" x14ac:dyDescent="0.25">
      <c r="Q41099" s="8"/>
    </row>
    <row r="41100" spans="17:17" x14ac:dyDescent="0.25">
      <c r="Q41100" s="8"/>
    </row>
    <row r="41101" spans="17:17" x14ac:dyDescent="0.25">
      <c r="Q41101" s="8"/>
    </row>
    <row r="41102" spans="17:17" x14ac:dyDescent="0.25">
      <c r="Q41102" s="8"/>
    </row>
    <row r="41103" spans="17:17" x14ac:dyDescent="0.25">
      <c r="Q41103" s="8"/>
    </row>
    <row r="41104" spans="17:17" x14ac:dyDescent="0.25">
      <c r="Q41104" s="8"/>
    </row>
    <row r="41105" spans="17:17" x14ac:dyDescent="0.25">
      <c r="Q41105" s="8"/>
    </row>
    <row r="41106" spans="17:17" x14ac:dyDescent="0.25">
      <c r="Q41106" s="8"/>
    </row>
    <row r="41107" spans="17:17" x14ac:dyDescent="0.25">
      <c r="Q41107" s="8"/>
    </row>
    <row r="41108" spans="17:17" x14ac:dyDescent="0.25">
      <c r="Q41108" s="8"/>
    </row>
    <row r="41109" spans="17:17" x14ac:dyDescent="0.25">
      <c r="Q41109" s="8"/>
    </row>
    <row r="41110" spans="17:17" x14ac:dyDescent="0.25">
      <c r="Q41110" s="8"/>
    </row>
    <row r="41111" spans="17:17" x14ac:dyDescent="0.25">
      <c r="Q41111" s="8"/>
    </row>
    <row r="41112" spans="17:17" x14ac:dyDescent="0.25">
      <c r="Q41112" s="8"/>
    </row>
    <row r="41113" spans="17:17" x14ac:dyDescent="0.25">
      <c r="Q41113" s="8"/>
    </row>
    <row r="41114" spans="17:17" x14ac:dyDescent="0.25">
      <c r="Q41114" s="8"/>
    </row>
    <row r="41115" spans="17:17" x14ac:dyDescent="0.25">
      <c r="Q41115" s="8"/>
    </row>
    <row r="41116" spans="17:17" x14ac:dyDescent="0.25">
      <c r="Q41116" s="8"/>
    </row>
    <row r="41117" spans="17:17" x14ac:dyDescent="0.25">
      <c r="Q41117" s="8"/>
    </row>
    <row r="41118" spans="17:17" x14ac:dyDescent="0.25">
      <c r="Q41118" s="8"/>
    </row>
    <row r="41119" spans="17:17" x14ac:dyDescent="0.25">
      <c r="Q41119" s="8"/>
    </row>
    <row r="41120" spans="17:17" x14ac:dyDescent="0.25">
      <c r="Q41120" s="8"/>
    </row>
    <row r="41121" spans="17:17" x14ac:dyDescent="0.25">
      <c r="Q41121" s="8"/>
    </row>
    <row r="41122" spans="17:17" x14ac:dyDescent="0.25">
      <c r="Q41122" s="8"/>
    </row>
    <row r="41123" spans="17:17" x14ac:dyDescent="0.25">
      <c r="Q41123" s="8"/>
    </row>
    <row r="41124" spans="17:17" x14ac:dyDescent="0.25">
      <c r="Q41124" s="8"/>
    </row>
    <row r="41125" spans="17:17" x14ac:dyDescent="0.25">
      <c r="Q41125" s="8"/>
    </row>
    <row r="41126" spans="17:17" x14ac:dyDescent="0.25">
      <c r="Q41126" s="8"/>
    </row>
    <row r="41127" spans="17:17" x14ac:dyDescent="0.25">
      <c r="Q41127" s="8"/>
    </row>
    <row r="41128" spans="17:17" x14ac:dyDescent="0.25">
      <c r="Q41128" s="8"/>
    </row>
    <row r="41129" spans="17:17" x14ac:dyDescent="0.25">
      <c r="Q41129" s="8"/>
    </row>
    <row r="41130" spans="17:17" x14ac:dyDescent="0.25">
      <c r="Q41130" s="8"/>
    </row>
    <row r="41131" spans="17:17" x14ac:dyDescent="0.25">
      <c r="Q41131" s="8"/>
    </row>
    <row r="41132" spans="17:17" x14ac:dyDescent="0.25">
      <c r="Q41132" s="8"/>
    </row>
    <row r="41133" spans="17:17" x14ac:dyDescent="0.25">
      <c r="Q41133" s="8"/>
    </row>
    <row r="41134" spans="17:17" x14ac:dyDescent="0.25">
      <c r="Q41134" s="8"/>
    </row>
    <row r="41135" spans="17:17" x14ac:dyDescent="0.25">
      <c r="Q41135" s="8"/>
    </row>
    <row r="41136" spans="17:17" x14ac:dyDescent="0.25">
      <c r="Q41136" s="8"/>
    </row>
    <row r="41137" spans="17:17" x14ac:dyDescent="0.25">
      <c r="Q41137" s="8"/>
    </row>
    <row r="41138" spans="17:17" x14ac:dyDescent="0.25">
      <c r="Q41138" s="8"/>
    </row>
    <row r="41139" spans="17:17" x14ac:dyDescent="0.25">
      <c r="Q41139" s="8"/>
    </row>
    <row r="41140" spans="17:17" x14ac:dyDescent="0.25">
      <c r="Q41140" s="8"/>
    </row>
    <row r="41141" spans="17:17" x14ac:dyDescent="0.25">
      <c r="Q41141" s="8"/>
    </row>
    <row r="41142" spans="17:17" x14ac:dyDescent="0.25">
      <c r="Q41142" s="8"/>
    </row>
    <row r="41143" spans="17:17" x14ac:dyDescent="0.25">
      <c r="Q41143" s="8"/>
    </row>
    <row r="41144" spans="17:17" x14ac:dyDescent="0.25">
      <c r="Q41144" s="8"/>
    </row>
    <row r="41145" spans="17:17" x14ac:dyDescent="0.25">
      <c r="Q41145" s="8"/>
    </row>
    <row r="41146" spans="17:17" x14ac:dyDescent="0.25">
      <c r="Q41146" s="8"/>
    </row>
    <row r="41147" spans="17:17" x14ac:dyDescent="0.25">
      <c r="Q41147" s="8"/>
    </row>
    <row r="41148" spans="17:17" x14ac:dyDescent="0.25">
      <c r="Q41148" s="8"/>
    </row>
    <row r="41149" spans="17:17" x14ac:dyDescent="0.25">
      <c r="Q41149" s="8"/>
    </row>
    <row r="41150" spans="17:17" x14ac:dyDescent="0.25">
      <c r="Q41150" s="8"/>
    </row>
    <row r="41151" spans="17:17" x14ac:dyDescent="0.25">
      <c r="Q41151" s="8"/>
    </row>
    <row r="41152" spans="17:17" x14ac:dyDescent="0.25">
      <c r="Q41152" s="8"/>
    </row>
    <row r="41153" spans="17:17" x14ac:dyDescent="0.25">
      <c r="Q41153" s="8"/>
    </row>
    <row r="41154" spans="17:17" x14ac:dyDescent="0.25">
      <c r="Q41154" s="8"/>
    </row>
    <row r="41155" spans="17:17" x14ac:dyDescent="0.25">
      <c r="Q41155" s="8"/>
    </row>
    <row r="41156" spans="17:17" x14ac:dyDescent="0.25">
      <c r="Q41156" s="8"/>
    </row>
    <row r="41157" spans="17:17" x14ac:dyDescent="0.25">
      <c r="Q41157" s="8"/>
    </row>
    <row r="41158" spans="17:17" x14ac:dyDescent="0.25">
      <c r="Q41158" s="8"/>
    </row>
    <row r="41159" spans="17:17" x14ac:dyDescent="0.25">
      <c r="Q41159" s="8"/>
    </row>
    <row r="41160" spans="17:17" x14ac:dyDescent="0.25">
      <c r="Q41160" s="8"/>
    </row>
    <row r="41161" spans="17:17" x14ac:dyDescent="0.25">
      <c r="Q41161" s="8"/>
    </row>
    <row r="41162" spans="17:17" x14ac:dyDescent="0.25">
      <c r="Q41162" s="8"/>
    </row>
    <row r="41163" spans="17:17" x14ac:dyDescent="0.25">
      <c r="Q41163" s="8"/>
    </row>
    <row r="41164" spans="17:17" x14ac:dyDescent="0.25">
      <c r="Q41164" s="8"/>
    </row>
    <row r="41165" spans="17:17" x14ac:dyDescent="0.25">
      <c r="Q41165" s="8"/>
    </row>
    <row r="41166" spans="17:17" x14ac:dyDescent="0.25">
      <c r="Q41166" s="8"/>
    </row>
    <row r="41167" spans="17:17" x14ac:dyDescent="0.25">
      <c r="Q41167" s="8"/>
    </row>
    <row r="41168" spans="17:17" x14ac:dyDescent="0.25">
      <c r="Q41168" s="8"/>
    </row>
    <row r="41169" spans="17:17" x14ac:dyDescent="0.25">
      <c r="Q41169" s="8"/>
    </row>
    <row r="41170" spans="17:17" x14ac:dyDescent="0.25">
      <c r="Q41170" s="8"/>
    </row>
    <row r="41171" spans="17:17" x14ac:dyDescent="0.25">
      <c r="Q41171" s="8"/>
    </row>
    <row r="41172" spans="17:17" x14ac:dyDescent="0.25">
      <c r="Q41172" s="8"/>
    </row>
    <row r="41173" spans="17:17" x14ac:dyDescent="0.25">
      <c r="Q41173" s="8"/>
    </row>
    <row r="41174" spans="17:17" x14ac:dyDescent="0.25">
      <c r="Q41174" s="8"/>
    </row>
    <row r="41175" spans="17:17" x14ac:dyDescent="0.25">
      <c r="Q41175" s="8"/>
    </row>
    <row r="41176" spans="17:17" x14ac:dyDescent="0.25">
      <c r="Q41176" s="8"/>
    </row>
    <row r="41177" spans="17:17" x14ac:dyDescent="0.25">
      <c r="Q41177" s="8"/>
    </row>
    <row r="41178" spans="17:17" x14ac:dyDescent="0.25">
      <c r="Q41178" s="8"/>
    </row>
    <row r="41179" spans="17:17" x14ac:dyDescent="0.25">
      <c r="Q41179" s="8"/>
    </row>
    <row r="41180" spans="17:17" x14ac:dyDescent="0.25">
      <c r="Q41180" s="8"/>
    </row>
    <row r="41181" spans="17:17" x14ac:dyDescent="0.25">
      <c r="Q41181" s="8"/>
    </row>
    <row r="41182" spans="17:17" x14ac:dyDescent="0.25">
      <c r="Q41182" s="8"/>
    </row>
    <row r="41183" spans="17:17" x14ac:dyDescent="0.25">
      <c r="Q41183" s="8"/>
    </row>
    <row r="41184" spans="17:17" x14ac:dyDescent="0.25">
      <c r="Q41184" s="8"/>
    </row>
    <row r="41185" spans="17:17" x14ac:dyDescent="0.25">
      <c r="Q41185" s="8"/>
    </row>
    <row r="41186" spans="17:17" x14ac:dyDescent="0.25">
      <c r="Q41186" s="8"/>
    </row>
    <row r="41187" spans="17:17" x14ac:dyDescent="0.25">
      <c r="Q41187" s="8"/>
    </row>
    <row r="41188" spans="17:17" x14ac:dyDescent="0.25">
      <c r="Q41188" s="8"/>
    </row>
    <row r="41189" spans="17:17" x14ac:dyDescent="0.25">
      <c r="Q41189" s="8"/>
    </row>
    <row r="41190" spans="17:17" x14ac:dyDescent="0.25">
      <c r="Q41190" s="8"/>
    </row>
    <row r="41191" spans="17:17" x14ac:dyDescent="0.25">
      <c r="Q41191" s="8"/>
    </row>
    <row r="41192" spans="17:17" x14ac:dyDescent="0.25">
      <c r="Q41192" s="8"/>
    </row>
    <row r="41193" spans="17:17" x14ac:dyDescent="0.25">
      <c r="Q41193" s="8"/>
    </row>
    <row r="41194" spans="17:17" x14ac:dyDescent="0.25">
      <c r="Q41194" s="8"/>
    </row>
    <row r="41195" spans="17:17" x14ac:dyDescent="0.25">
      <c r="Q41195" s="8"/>
    </row>
    <row r="41196" spans="17:17" x14ac:dyDescent="0.25">
      <c r="Q41196" s="8"/>
    </row>
    <row r="41197" spans="17:17" x14ac:dyDescent="0.25">
      <c r="Q41197" s="8"/>
    </row>
    <row r="41198" spans="17:17" x14ac:dyDescent="0.25">
      <c r="Q41198" s="8"/>
    </row>
    <row r="41199" spans="17:17" x14ac:dyDescent="0.25">
      <c r="Q41199" s="8"/>
    </row>
    <row r="41200" spans="17:17" x14ac:dyDescent="0.25">
      <c r="Q41200" s="8"/>
    </row>
    <row r="41201" spans="17:17" x14ac:dyDescent="0.25">
      <c r="Q41201" s="8"/>
    </row>
    <row r="41202" spans="17:17" x14ac:dyDescent="0.25">
      <c r="Q41202" s="8"/>
    </row>
    <row r="41203" spans="17:17" x14ac:dyDescent="0.25">
      <c r="Q41203" s="8"/>
    </row>
    <row r="41204" spans="17:17" x14ac:dyDescent="0.25">
      <c r="Q41204" s="8"/>
    </row>
    <row r="41205" spans="17:17" x14ac:dyDescent="0.25">
      <c r="Q41205" s="8"/>
    </row>
    <row r="41206" spans="17:17" x14ac:dyDescent="0.25">
      <c r="Q41206" s="8"/>
    </row>
    <row r="41207" spans="17:17" x14ac:dyDescent="0.25">
      <c r="Q41207" s="8"/>
    </row>
    <row r="41208" spans="17:17" x14ac:dyDescent="0.25">
      <c r="Q41208" s="8"/>
    </row>
    <row r="41209" spans="17:17" x14ac:dyDescent="0.25">
      <c r="Q41209" s="8"/>
    </row>
    <row r="41210" spans="17:17" x14ac:dyDescent="0.25">
      <c r="Q41210" s="8"/>
    </row>
    <row r="41211" spans="17:17" x14ac:dyDescent="0.25">
      <c r="Q41211" s="8"/>
    </row>
    <row r="41212" spans="17:17" x14ac:dyDescent="0.25">
      <c r="Q41212" s="8"/>
    </row>
    <row r="41213" spans="17:17" x14ac:dyDescent="0.25">
      <c r="Q41213" s="8"/>
    </row>
    <row r="41214" spans="17:17" x14ac:dyDescent="0.25">
      <c r="Q41214" s="8"/>
    </row>
    <row r="41215" spans="17:17" x14ac:dyDescent="0.25">
      <c r="Q41215" s="8"/>
    </row>
    <row r="41216" spans="17:17" x14ac:dyDescent="0.25">
      <c r="Q41216" s="8"/>
    </row>
    <row r="41217" spans="17:17" x14ac:dyDescent="0.25">
      <c r="Q41217" s="8"/>
    </row>
    <row r="41218" spans="17:17" x14ac:dyDescent="0.25">
      <c r="Q41218" s="8"/>
    </row>
    <row r="41219" spans="17:17" x14ac:dyDescent="0.25">
      <c r="Q41219" s="8"/>
    </row>
    <row r="41220" spans="17:17" x14ac:dyDescent="0.25">
      <c r="Q41220" s="8"/>
    </row>
    <row r="41221" spans="17:17" x14ac:dyDescent="0.25">
      <c r="Q41221" s="8"/>
    </row>
    <row r="41222" spans="17:17" x14ac:dyDescent="0.25">
      <c r="Q41222" s="8"/>
    </row>
    <row r="41223" spans="17:17" x14ac:dyDescent="0.25">
      <c r="Q41223" s="8"/>
    </row>
    <row r="41224" spans="17:17" x14ac:dyDescent="0.25">
      <c r="Q41224" s="8"/>
    </row>
    <row r="41225" spans="17:17" x14ac:dyDescent="0.25">
      <c r="Q41225" s="8"/>
    </row>
    <row r="41226" spans="17:17" x14ac:dyDescent="0.25">
      <c r="Q41226" s="8"/>
    </row>
    <row r="41227" spans="17:17" x14ac:dyDescent="0.25">
      <c r="Q41227" s="8"/>
    </row>
    <row r="41228" spans="17:17" x14ac:dyDescent="0.25">
      <c r="Q41228" s="8"/>
    </row>
    <row r="41229" spans="17:17" x14ac:dyDescent="0.25">
      <c r="Q41229" s="8"/>
    </row>
    <row r="41230" spans="17:17" x14ac:dyDescent="0.25">
      <c r="Q41230" s="8"/>
    </row>
    <row r="41231" spans="17:17" x14ac:dyDescent="0.25">
      <c r="Q41231" s="8"/>
    </row>
    <row r="41232" spans="17:17" x14ac:dyDescent="0.25">
      <c r="Q41232" s="8"/>
    </row>
    <row r="41233" spans="17:17" x14ac:dyDescent="0.25">
      <c r="Q41233" s="8"/>
    </row>
    <row r="41234" spans="17:17" x14ac:dyDescent="0.25">
      <c r="Q41234" s="8"/>
    </row>
    <row r="41235" spans="17:17" x14ac:dyDescent="0.25">
      <c r="Q41235" s="8"/>
    </row>
    <row r="41236" spans="17:17" x14ac:dyDescent="0.25">
      <c r="Q41236" s="8"/>
    </row>
    <row r="41237" spans="17:17" x14ac:dyDescent="0.25">
      <c r="Q41237" s="8"/>
    </row>
    <row r="41238" spans="17:17" x14ac:dyDescent="0.25">
      <c r="Q41238" s="8"/>
    </row>
    <row r="41239" spans="17:17" x14ac:dyDescent="0.25">
      <c r="Q41239" s="8"/>
    </row>
    <row r="41240" spans="17:17" x14ac:dyDescent="0.25">
      <c r="Q41240" s="8"/>
    </row>
    <row r="41241" spans="17:17" x14ac:dyDescent="0.25">
      <c r="Q41241" s="8"/>
    </row>
    <row r="41242" spans="17:17" x14ac:dyDescent="0.25">
      <c r="Q41242" s="8"/>
    </row>
    <row r="41243" spans="17:17" x14ac:dyDescent="0.25">
      <c r="Q41243" s="8"/>
    </row>
    <row r="41244" spans="17:17" x14ac:dyDescent="0.25">
      <c r="Q41244" s="8"/>
    </row>
    <row r="41245" spans="17:17" x14ac:dyDescent="0.25">
      <c r="Q41245" s="8"/>
    </row>
    <row r="41246" spans="17:17" x14ac:dyDescent="0.25">
      <c r="Q41246" s="8"/>
    </row>
    <row r="41247" spans="17:17" x14ac:dyDescent="0.25">
      <c r="Q41247" s="8"/>
    </row>
    <row r="41248" spans="17:17" x14ac:dyDescent="0.25">
      <c r="Q41248" s="8"/>
    </row>
    <row r="41249" spans="17:17" x14ac:dyDescent="0.25">
      <c r="Q41249" s="8"/>
    </row>
    <row r="41250" spans="17:17" x14ac:dyDescent="0.25">
      <c r="Q41250" s="8"/>
    </row>
    <row r="41251" spans="17:17" x14ac:dyDescent="0.25">
      <c r="Q41251" s="8"/>
    </row>
    <row r="41252" spans="17:17" x14ac:dyDescent="0.25">
      <c r="Q41252" s="8"/>
    </row>
    <row r="41253" spans="17:17" x14ac:dyDescent="0.25">
      <c r="Q41253" s="8"/>
    </row>
    <row r="41254" spans="17:17" x14ac:dyDescent="0.25">
      <c r="Q41254" s="8"/>
    </row>
    <row r="41255" spans="17:17" x14ac:dyDescent="0.25">
      <c r="Q41255" s="8"/>
    </row>
    <row r="41256" spans="17:17" x14ac:dyDescent="0.25">
      <c r="Q41256" s="8"/>
    </row>
    <row r="41257" spans="17:17" x14ac:dyDescent="0.25">
      <c r="Q41257" s="8"/>
    </row>
    <row r="41258" spans="17:17" x14ac:dyDescent="0.25">
      <c r="Q41258" s="8"/>
    </row>
    <row r="41259" spans="17:17" x14ac:dyDescent="0.25">
      <c r="Q41259" s="8"/>
    </row>
    <row r="41260" spans="17:17" x14ac:dyDescent="0.25">
      <c r="Q41260" s="8"/>
    </row>
    <row r="41261" spans="17:17" x14ac:dyDescent="0.25">
      <c r="Q41261" s="8"/>
    </row>
    <row r="41262" spans="17:17" x14ac:dyDescent="0.25">
      <c r="Q41262" s="8"/>
    </row>
    <row r="41263" spans="17:17" x14ac:dyDescent="0.25">
      <c r="Q41263" s="8"/>
    </row>
    <row r="41264" spans="17:17" x14ac:dyDescent="0.25">
      <c r="Q41264" s="8"/>
    </row>
    <row r="41265" spans="17:17" x14ac:dyDescent="0.25">
      <c r="Q41265" s="8"/>
    </row>
    <row r="41266" spans="17:17" x14ac:dyDescent="0.25">
      <c r="Q41266" s="8"/>
    </row>
    <row r="41267" spans="17:17" x14ac:dyDescent="0.25">
      <c r="Q41267" s="8"/>
    </row>
    <row r="41268" spans="17:17" x14ac:dyDescent="0.25">
      <c r="Q41268" s="8"/>
    </row>
    <row r="41269" spans="17:17" x14ac:dyDescent="0.25">
      <c r="Q41269" s="8"/>
    </row>
    <row r="41270" spans="17:17" x14ac:dyDescent="0.25">
      <c r="Q41270" s="8"/>
    </row>
    <row r="41271" spans="17:17" x14ac:dyDescent="0.25">
      <c r="Q41271" s="8"/>
    </row>
    <row r="41272" spans="17:17" x14ac:dyDescent="0.25">
      <c r="Q41272" s="8"/>
    </row>
    <row r="41273" spans="17:17" x14ac:dyDescent="0.25">
      <c r="Q41273" s="8"/>
    </row>
    <row r="41274" spans="17:17" x14ac:dyDescent="0.25">
      <c r="Q41274" s="8"/>
    </row>
    <row r="41275" spans="17:17" x14ac:dyDescent="0.25">
      <c r="Q41275" s="8"/>
    </row>
    <row r="41276" spans="17:17" x14ac:dyDescent="0.25">
      <c r="Q41276" s="8"/>
    </row>
    <row r="41277" spans="17:17" x14ac:dyDescent="0.25">
      <c r="Q41277" s="8"/>
    </row>
    <row r="41278" spans="17:17" x14ac:dyDescent="0.25">
      <c r="Q41278" s="8"/>
    </row>
    <row r="41279" spans="17:17" x14ac:dyDescent="0.25">
      <c r="Q41279" s="8"/>
    </row>
    <row r="41280" spans="17:17" x14ac:dyDescent="0.25">
      <c r="Q41280" s="8"/>
    </row>
    <row r="41281" spans="17:17" x14ac:dyDescent="0.25">
      <c r="Q41281" s="8"/>
    </row>
    <row r="41282" spans="17:17" x14ac:dyDescent="0.25">
      <c r="Q41282" s="8"/>
    </row>
    <row r="41283" spans="17:17" x14ac:dyDescent="0.25">
      <c r="Q41283" s="8"/>
    </row>
    <row r="41284" spans="17:17" x14ac:dyDescent="0.25">
      <c r="Q41284" s="8"/>
    </row>
    <row r="41285" spans="17:17" x14ac:dyDescent="0.25">
      <c r="Q41285" s="8"/>
    </row>
    <row r="41286" spans="17:17" x14ac:dyDescent="0.25">
      <c r="Q41286" s="8"/>
    </row>
    <row r="41287" spans="17:17" x14ac:dyDescent="0.25">
      <c r="Q41287" s="8"/>
    </row>
    <row r="41288" spans="17:17" x14ac:dyDescent="0.25">
      <c r="Q41288" s="8"/>
    </row>
    <row r="41289" spans="17:17" x14ac:dyDescent="0.25">
      <c r="Q41289" s="8"/>
    </row>
    <row r="41290" spans="17:17" x14ac:dyDescent="0.25">
      <c r="Q41290" s="8"/>
    </row>
    <row r="41291" spans="17:17" x14ac:dyDescent="0.25">
      <c r="Q41291" s="8"/>
    </row>
    <row r="41292" spans="17:17" x14ac:dyDescent="0.25">
      <c r="Q41292" s="8"/>
    </row>
    <row r="41293" spans="17:17" x14ac:dyDescent="0.25">
      <c r="Q41293" s="8"/>
    </row>
    <row r="41294" spans="17:17" x14ac:dyDescent="0.25">
      <c r="Q41294" s="8"/>
    </row>
    <row r="41295" spans="17:17" x14ac:dyDescent="0.25">
      <c r="Q41295" s="8"/>
    </row>
    <row r="41296" spans="17:17" x14ac:dyDescent="0.25">
      <c r="Q41296" s="8"/>
    </row>
    <row r="41297" spans="17:17" x14ac:dyDescent="0.25">
      <c r="Q41297" s="8"/>
    </row>
    <row r="41298" spans="17:17" x14ac:dyDescent="0.25">
      <c r="Q41298" s="8"/>
    </row>
    <row r="41299" spans="17:17" x14ac:dyDescent="0.25">
      <c r="Q41299" s="8"/>
    </row>
    <row r="41300" spans="17:17" x14ac:dyDescent="0.25">
      <c r="Q41300" s="8"/>
    </row>
    <row r="41301" spans="17:17" x14ac:dyDescent="0.25">
      <c r="Q41301" s="8"/>
    </row>
    <row r="41302" spans="17:17" x14ac:dyDescent="0.25">
      <c r="Q41302" s="8"/>
    </row>
    <row r="41303" spans="17:17" x14ac:dyDescent="0.25">
      <c r="Q41303" s="8"/>
    </row>
    <row r="41304" spans="17:17" x14ac:dyDescent="0.25">
      <c r="Q41304" s="8"/>
    </row>
    <row r="41305" spans="17:17" x14ac:dyDescent="0.25">
      <c r="Q41305" s="8"/>
    </row>
    <row r="41306" spans="17:17" x14ac:dyDescent="0.25">
      <c r="Q41306" s="8"/>
    </row>
    <row r="41307" spans="17:17" x14ac:dyDescent="0.25">
      <c r="Q41307" s="8"/>
    </row>
    <row r="41308" spans="17:17" x14ac:dyDescent="0.25">
      <c r="Q41308" s="8"/>
    </row>
    <row r="41309" spans="17:17" x14ac:dyDescent="0.25">
      <c r="Q41309" s="8"/>
    </row>
    <row r="41310" spans="17:17" x14ac:dyDescent="0.25">
      <c r="Q41310" s="8"/>
    </row>
    <row r="41311" spans="17:17" x14ac:dyDescent="0.25">
      <c r="Q41311" s="8"/>
    </row>
    <row r="41312" spans="17:17" x14ac:dyDescent="0.25">
      <c r="Q41312" s="8"/>
    </row>
    <row r="41313" spans="17:17" x14ac:dyDescent="0.25">
      <c r="Q41313" s="8"/>
    </row>
    <row r="41314" spans="17:17" x14ac:dyDescent="0.25">
      <c r="Q41314" s="8"/>
    </row>
    <row r="41315" spans="17:17" x14ac:dyDescent="0.25">
      <c r="Q41315" s="8"/>
    </row>
    <row r="41316" spans="17:17" x14ac:dyDescent="0.25">
      <c r="Q41316" s="8"/>
    </row>
    <row r="41317" spans="17:17" x14ac:dyDescent="0.25">
      <c r="Q41317" s="8"/>
    </row>
    <row r="41318" spans="17:17" x14ac:dyDescent="0.25">
      <c r="Q41318" s="8"/>
    </row>
    <row r="41319" spans="17:17" x14ac:dyDescent="0.25">
      <c r="Q41319" s="8"/>
    </row>
    <row r="41320" spans="17:17" x14ac:dyDescent="0.25">
      <c r="Q41320" s="8"/>
    </row>
    <row r="41321" spans="17:17" x14ac:dyDescent="0.25">
      <c r="Q41321" s="8"/>
    </row>
    <row r="41322" spans="17:17" x14ac:dyDescent="0.25">
      <c r="Q41322" s="8"/>
    </row>
    <row r="41323" spans="17:17" x14ac:dyDescent="0.25">
      <c r="Q41323" s="8"/>
    </row>
    <row r="41324" spans="17:17" x14ac:dyDescent="0.25">
      <c r="Q41324" s="8"/>
    </row>
    <row r="41325" spans="17:17" x14ac:dyDescent="0.25">
      <c r="Q41325" s="8"/>
    </row>
    <row r="41326" spans="17:17" x14ac:dyDescent="0.25">
      <c r="Q41326" s="8"/>
    </row>
    <row r="41327" spans="17:17" x14ac:dyDescent="0.25">
      <c r="Q41327" s="8"/>
    </row>
    <row r="41328" spans="17:17" x14ac:dyDescent="0.25">
      <c r="Q41328" s="8"/>
    </row>
    <row r="41329" spans="17:17" x14ac:dyDescent="0.25">
      <c r="Q41329" s="8"/>
    </row>
    <row r="41330" spans="17:17" x14ac:dyDescent="0.25">
      <c r="Q41330" s="8"/>
    </row>
    <row r="41331" spans="17:17" x14ac:dyDescent="0.25">
      <c r="Q41331" s="8"/>
    </row>
    <row r="41332" spans="17:17" x14ac:dyDescent="0.25">
      <c r="Q41332" s="8"/>
    </row>
    <row r="41333" spans="17:17" x14ac:dyDescent="0.25">
      <c r="Q41333" s="8"/>
    </row>
    <row r="41334" spans="17:17" x14ac:dyDescent="0.25">
      <c r="Q41334" s="8"/>
    </row>
    <row r="41335" spans="17:17" x14ac:dyDescent="0.25">
      <c r="Q41335" s="8"/>
    </row>
    <row r="41336" spans="17:17" x14ac:dyDescent="0.25">
      <c r="Q41336" s="8"/>
    </row>
    <row r="41337" spans="17:17" x14ac:dyDescent="0.25">
      <c r="Q41337" s="8"/>
    </row>
    <row r="41338" spans="17:17" x14ac:dyDescent="0.25">
      <c r="Q41338" s="8"/>
    </row>
    <row r="41339" spans="17:17" x14ac:dyDescent="0.25">
      <c r="Q41339" s="8"/>
    </row>
    <row r="41340" spans="17:17" x14ac:dyDescent="0.25">
      <c r="Q41340" s="8"/>
    </row>
    <row r="41341" spans="17:17" x14ac:dyDescent="0.25">
      <c r="Q41341" s="8"/>
    </row>
    <row r="41342" spans="17:17" x14ac:dyDescent="0.25">
      <c r="Q41342" s="8"/>
    </row>
    <row r="41343" spans="17:17" x14ac:dyDescent="0.25">
      <c r="Q41343" s="8"/>
    </row>
    <row r="41344" spans="17:17" x14ac:dyDescent="0.25">
      <c r="Q41344" s="8"/>
    </row>
    <row r="41345" spans="17:17" x14ac:dyDescent="0.25">
      <c r="Q41345" s="8"/>
    </row>
    <row r="41346" spans="17:17" x14ac:dyDescent="0.25">
      <c r="Q41346" s="8"/>
    </row>
    <row r="41347" spans="17:17" x14ac:dyDescent="0.25">
      <c r="Q41347" s="8"/>
    </row>
    <row r="41348" spans="17:17" x14ac:dyDescent="0.25">
      <c r="Q41348" s="8"/>
    </row>
    <row r="41349" spans="17:17" x14ac:dyDescent="0.25">
      <c r="Q41349" s="8"/>
    </row>
    <row r="41350" spans="17:17" x14ac:dyDescent="0.25">
      <c r="Q41350" s="8"/>
    </row>
    <row r="41351" spans="17:17" x14ac:dyDescent="0.25">
      <c r="Q41351" s="8"/>
    </row>
    <row r="41352" spans="17:17" x14ac:dyDescent="0.25">
      <c r="Q41352" s="8"/>
    </row>
    <row r="41353" spans="17:17" x14ac:dyDescent="0.25">
      <c r="Q41353" s="8"/>
    </row>
    <row r="41354" spans="17:17" x14ac:dyDescent="0.25">
      <c r="Q41354" s="8"/>
    </row>
    <row r="41355" spans="17:17" x14ac:dyDescent="0.25">
      <c r="Q41355" s="8"/>
    </row>
    <row r="41356" spans="17:17" x14ac:dyDescent="0.25">
      <c r="Q41356" s="8"/>
    </row>
    <row r="41357" spans="17:17" x14ac:dyDescent="0.25">
      <c r="Q41357" s="8"/>
    </row>
    <row r="41358" spans="17:17" x14ac:dyDescent="0.25">
      <c r="Q41358" s="8"/>
    </row>
    <row r="41359" spans="17:17" x14ac:dyDescent="0.25">
      <c r="Q41359" s="8"/>
    </row>
    <row r="41360" spans="17:17" x14ac:dyDescent="0.25">
      <c r="Q41360" s="8"/>
    </row>
    <row r="41361" spans="17:17" x14ac:dyDescent="0.25">
      <c r="Q41361" s="8"/>
    </row>
    <row r="41362" spans="17:17" x14ac:dyDescent="0.25">
      <c r="Q41362" s="8"/>
    </row>
    <row r="41363" spans="17:17" x14ac:dyDescent="0.25">
      <c r="Q41363" s="8"/>
    </row>
    <row r="41364" spans="17:17" x14ac:dyDescent="0.25">
      <c r="Q41364" s="8"/>
    </row>
    <row r="41365" spans="17:17" x14ac:dyDescent="0.25">
      <c r="Q41365" s="8"/>
    </row>
    <row r="41366" spans="17:17" x14ac:dyDescent="0.25">
      <c r="Q41366" s="8"/>
    </row>
    <row r="41367" spans="17:17" x14ac:dyDescent="0.25">
      <c r="Q41367" s="8"/>
    </row>
    <row r="41368" spans="17:17" x14ac:dyDescent="0.25">
      <c r="Q41368" s="8"/>
    </row>
    <row r="41369" spans="17:17" x14ac:dyDescent="0.25">
      <c r="Q41369" s="8"/>
    </row>
    <row r="41370" spans="17:17" x14ac:dyDescent="0.25">
      <c r="Q41370" s="8"/>
    </row>
    <row r="41371" spans="17:17" x14ac:dyDescent="0.25">
      <c r="Q41371" s="8"/>
    </row>
    <row r="41372" spans="17:17" x14ac:dyDescent="0.25">
      <c r="Q41372" s="8"/>
    </row>
    <row r="41373" spans="17:17" x14ac:dyDescent="0.25">
      <c r="Q41373" s="8"/>
    </row>
    <row r="41374" spans="17:17" x14ac:dyDescent="0.25">
      <c r="Q41374" s="8"/>
    </row>
    <row r="41375" spans="17:17" x14ac:dyDescent="0.25">
      <c r="Q41375" s="8"/>
    </row>
    <row r="41376" spans="17:17" x14ac:dyDescent="0.25">
      <c r="Q41376" s="8"/>
    </row>
    <row r="41377" spans="17:17" x14ac:dyDescent="0.25">
      <c r="Q41377" s="8"/>
    </row>
    <row r="41378" spans="17:17" x14ac:dyDescent="0.25">
      <c r="Q41378" s="8"/>
    </row>
    <row r="41379" spans="17:17" x14ac:dyDescent="0.25">
      <c r="Q41379" s="8"/>
    </row>
    <row r="41380" spans="17:17" x14ac:dyDescent="0.25">
      <c r="Q41380" s="8"/>
    </row>
    <row r="41381" spans="17:17" x14ac:dyDescent="0.25">
      <c r="Q41381" s="8"/>
    </row>
    <row r="41382" spans="17:17" x14ac:dyDescent="0.25">
      <c r="Q41382" s="8"/>
    </row>
    <row r="41383" spans="17:17" x14ac:dyDescent="0.25">
      <c r="Q41383" s="8"/>
    </row>
    <row r="41384" spans="17:17" x14ac:dyDescent="0.25">
      <c r="Q41384" s="8"/>
    </row>
    <row r="41385" spans="17:17" x14ac:dyDescent="0.25">
      <c r="Q41385" s="8"/>
    </row>
    <row r="41386" spans="17:17" x14ac:dyDescent="0.25">
      <c r="Q41386" s="8"/>
    </row>
    <row r="41387" spans="17:17" x14ac:dyDescent="0.25">
      <c r="Q41387" s="8"/>
    </row>
    <row r="41388" spans="17:17" x14ac:dyDescent="0.25">
      <c r="Q41388" s="8"/>
    </row>
    <row r="41389" spans="17:17" x14ac:dyDescent="0.25">
      <c r="Q41389" s="8"/>
    </row>
    <row r="41390" spans="17:17" x14ac:dyDescent="0.25">
      <c r="Q41390" s="8"/>
    </row>
    <row r="41391" spans="17:17" x14ac:dyDescent="0.25">
      <c r="Q41391" s="8"/>
    </row>
    <row r="41392" spans="17:17" x14ac:dyDescent="0.25">
      <c r="Q41392" s="8"/>
    </row>
    <row r="41393" spans="17:17" x14ac:dyDescent="0.25">
      <c r="Q41393" s="8"/>
    </row>
    <row r="41394" spans="17:17" x14ac:dyDescent="0.25">
      <c r="Q41394" s="8"/>
    </row>
    <row r="41395" spans="17:17" x14ac:dyDescent="0.25">
      <c r="Q41395" s="8"/>
    </row>
    <row r="41396" spans="17:17" x14ac:dyDescent="0.25">
      <c r="Q41396" s="8"/>
    </row>
    <row r="41397" spans="17:17" x14ac:dyDescent="0.25">
      <c r="Q41397" s="8"/>
    </row>
    <row r="41398" spans="17:17" x14ac:dyDescent="0.25">
      <c r="Q41398" s="8"/>
    </row>
    <row r="41399" spans="17:17" x14ac:dyDescent="0.25">
      <c r="Q41399" s="8"/>
    </row>
    <row r="41400" spans="17:17" x14ac:dyDescent="0.25">
      <c r="Q41400" s="8"/>
    </row>
    <row r="41401" spans="17:17" x14ac:dyDescent="0.25">
      <c r="Q41401" s="8"/>
    </row>
    <row r="41402" spans="17:17" x14ac:dyDescent="0.25">
      <c r="Q41402" s="8"/>
    </row>
    <row r="41403" spans="17:17" x14ac:dyDescent="0.25">
      <c r="Q41403" s="8"/>
    </row>
    <row r="41404" spans="17:17" x14ac:dyDescent="0.25">
      <c r="Q41404" s="8"/>
    </row>
    <row r="41405" spans="17:17" x14ac:dyDescent="0.25">
      <c r="Q41405" s="8"/>
    </row>
    <row r="41406" spans="17:17" x14ac:dyDescent="0.25">
      <c r="Q41406" s="8"/>
    </row>
    <row r="41407" spans="17:17" x14ac:dyDescent="0.25">
      <c r="Q41407" s="8"/>
    </row>
    <row r="41408" spans="17:17" x14ac:dyDescent="0.25">
      <c r="Q41408" s="8"/>
    </row>
    <row r="41409" spans="17:17" x14ac:dyDescent="0.25">
      <c r="Q41409" s="8"/>
    </row>
    <row r="41410" spans="17:17" x14ac:dyDescent="0.25">
      <c r="Q41410" s="8"/>
    </row>
    <row r="41411" spans="17:17" x14ac:dyDescent="0.25">
      <c r="Q41411" s="8"/>
    </row>
    <row r="41412" spans="17:17" x14ac:dyDescent="0.25">
      <c r="Q41412" s="8"/>
    </row>
    <row r="41413" spans="17:17" x14ac:dyDescent="0.25">
      <c r="Q41413" s="8"/>
    </row>
    <row r="41414" spans="17:17" x14ac:dyDescent="0.25">
      <c r="Q41414" s="8"/>
    </row>
    <row r="41415" spans="17:17" x14ac:dyDescent="0.25">
      <c r="Q41415" s="8"/>
    </row>
    <row r="41416" spans="17:17" x14ac:dyDescent="0.25">
      <c r="Q41416" s="8"/>
    </row>
    <row r="41417" spans="17:17" x14ac:dyDescent="0.25">
      <c r="Q41417" s="8"/>
    </row>
    <row r="41418" spans="17:17" x14ac:dyDescent="0.25">
      <c r="Q41418" s="8"/>
    </row>
    <row r="41419" spans="17:17" x14ac:dyDescent="0.25">
      <c r="Q41419" s="8"/>
    </row>
    <row r="41420" spans="17:17" x14ac:dyDescent="0.25">
      <c r="Q41420" s="8"/>
    </row>
    <row r="41421" spans="17:17" x14ac:dyDescent="0.25">
      <c r="Q41421" s="8"/>
    </row>
    <row r="41422" spans="17:17" x14ac:dyDescent="0.25">
      <c r="Q41422" s="8"/>
    </row>
    <row r="41423" spans="17:17" x14ac:dyDescent="0.25">
      <c r="Q41423" s="8"/>
    </row>
    <row r="41424" spans="17:17" x14ac:dyDescent="0.25">
      <c r="Q41424" s="8"/>
    </row>
    <row r="41425" spans="17:17" x14ac:dyDescent="0.25">
      <c r="Q41425" s="8"/>
    </row>
    <row r="41426" spans="17:17" x14ac:dyDescent="0.25">
      <c r="Q41426" s="8"/>
    </row>
    <row r="41427" spans="17:17" x14ac:dyDescent="0.25">
      <c r="Q41427" s="8"/>
    </row>
    <row r="41428" spans="17:17" x14ac:dyDescent="0.25">
      <c r="Q41428" s="8"/>
    </row>
    <row r="41429" spans="17:17" x14ac:dyDescent="0.25">
      <c r="Q41429" s="8"/>
    </row>
    <row r="41430" spans="17:17" x14ac:dyDescent="0.25">
      <c r="Q41430" s="8"/>
    </row>
    <row r="41431" spans="17:17" x14ac:dyDescent="0.25">
      <c r="Q41431" s="8"/>
    </row>
    <row r="41432" spans="17:17" x14ac:dyDescent="0.25">
      <c r="Q41432" s="8"/>
    </row>
    <row r="41433" spans="17:17" x14ac:dyDescent="0.25">
      <c r="Q41433" s="8"/>
    </row>
    <row r="41434" spans="17:17" x14ac:dyDescent="0.25">
      <c r="Q41434" s="8"/>
    </row>
    <row r="41435" spans="17:17" x14ac:dyDescent="0.25">
      <c r="Q41435" s="8"/>
    </row>
    <row r="41436" spans="17:17" x14ac:dyDescent="0.25">
      <c r="Q41436" s="8"/>
    </row>
    <row r="41437" spans="17:17" x14ac:dyDescent="0.25">
      <c r="Q41437" s="8"/>
    </row>
    <row r="41438" spans="17:17" x14ac:dyDescent="0.25">
      <c r="Q41438" s="8"/>
    </row>
    <row r="41439" spans="17:17" x14ac:dyDescent="0.25">
      <c r="Q41439" s="8"/>
    </row>
    <row r="41440" spans="17:17" x14ac:dyDescent="0.25">
      <c r="Q41440" s="8"/>
    </row>
    <row r="41441" spans="17:17" x14ac:dyDescent="0.25">
      <c r="Q41441" s="8"/>
    </row>
    <row r="41442" spans="17:17" x14ac:dyDescent="0.25">
      <c r="Q41442" s="8"/>
    </row>
    <row r="41443" spans="17:17" x14ac:dyDescent="0.25">
      <c r="Q41443" s="8"/>
    </row>
    <row r="41444" spans="17:17" x14ac:dyDescent="0.25">
      <c r="Q41444" s="8"/>
    </row>
    <row r="41445" spans="17:17" x14ac:dyDescent="0.25">
      <c r="Q41445" s="8"/>
    </row>
    <row r="41446" spans="17:17" x14ac:dyDescent="0.25">
      <c r="Q41446" s="8"/>
    </row>
    <row r="41447" spans="17:17" x14ac:dyDescent="0.25">
      <c r="Q41447" s="8"/>
    </row>
    <row r="41448" spans="17:17" x14ac:dyDescent="0.25">
      <c r="Q41448" s="8"/>
    </row>
    <row r="41449" spans="17:17" x14ac:dyDescent="0.25">
      <c r="Q41449" s="8"/>
    </row>
    <row r="41450" spans="17:17" x14ac:dyDescent="0.25">
      <c r="Q41450" s="8"/>
    </row>
    <row r="41451" spans="17:17" x14ac:dyDescent="0.25">
      <c r="Q41451" s="8"/>
    </row>
    <row r="41452" spans="17:17" x14ac:dyDescent="0.25">
      <c r="Q41452" s="8"/>
    </row>
    <row r="41453" spans="17:17" x14ac:dyDescent="0.25">
      <c r="Q41453" s="8"/>
    </row>
    <row r="41454" spans="17:17" x14ac:dyDescent="0.25">
      <c r="Q41454" s="8"/>
    </row>
    <row r="41455" spans="17:17" x14ac:dyDescent="0.25">
      <c r="Q41455" s="8"/>
    </row>
    <row r="41456" spans="17:17" x14ac:dyDescent="0.25">
      <c r="Q41456" s="8"/>
    </row>
    <row r="41457" spans="17:17" x14ac:dyDescent="0.25">
      <c r="Q41457" s="8"/>
    </row>
    <row r="41458" spans="17:17" x14ac:dyDescent="0.25">
      <c r="Q41458" s="8"/>
    </row>
    <row r="41459" spans="17:17" x14ac:dyDescent="0.25">
      <c r="Q41459" s="8"/>
    </row>
    <row r="41460" spans="17:17" x14ac:dyDescent="0.25">
      <c r="Q41460" s="8"/>
    </row>
    <row r="41461" spans="17:17" x14ac:dyDescent="0.25">
      <c r="Q41461" s="8"/>
    </row>
    <row r="41462" spans="17:17" x14ac:dyDescent="0.25">
      <c r="Q41462" s="8"/>
    </row>
    <row r="41463" spans="17:17" x14ac:dyDescent="0.25">
      <c r="Q41463" s="8"/>
    </row>
    <row r="41464" spans="17:17" x14ac:dyDescent="0.25">
      <c r="Q41464" s="8"/>
    </row>
    <row r="41465" spans="17:17" x14ac:dyDescent="0.25">
      <c r="Q41465" s="8"/>
    </row>
    <row r="41466" spans="17:17" x14ac:dyDescent="0.25">
      <c r="Q41466" s="8"/>
    </row>
    <row r="41467" spans="17:17" x14ac:dyDescent="0.25">
      <c r="Q41467" s="8"/>
    </row>
    <row r="41468" spans="17:17" x14ac:dyDescent="0.25">
      <c r="Q41468" s="8"/>
    </row>
    <row r="41469" spans="17:17" x14ac:dyDescent="0.25">
      <c r="Q41469" s="8"/>
    </row>
    <row r="41470" spans="17:17" x14ac:dyDescent="0.25">
      <c r="Q41470" s="8"/>
    </row>
    <row r="41471" spans="17:17" x14ac:dyDescent="0.25">
      <c r="Q41471" s="8"/>
    </row>
    <row r="41472" spans="17:17" x14ac:dyDescent="0.25">
      <c r="Q41472" s="8"/>
    </row>
    <row r="41473" spans="17:17" x14ac:dyDescent="0.25">
      <c r="Q41473" s="8"/>
    </row>
    <row r="41474" spans="17:17" x14ac:dyDescent="0.25">
      <c r="Q41474" s="8"/>
    </row>
    <row r="41475" spans="17:17" x14ac:dyDescent="0.25">
      <c r="Q41475" s="8"/>
    </row>
    <row r="41476" spans="17:17" x14ac:dyDescent="0.25">
      <c r="Q41476" s="8"/>
    </row>
    <row r="41477" spans="17:17" x14ac:dyDescent="0.25">
      <c r="Q41477" s="8"/>
    </row>
    <row r="41478" spans="17:17" x14ac:dyDescent="0.25">
      <c r="Q41478" s="8"/>
    </row>
    <row r="41479" spans="17:17" x14ac:dyDescent="0.25">
      <c r="Q41479" s="8"/>
    </row>
    <row r="41480" spans="17:17" x14ac:dyDescent="0.25">
      <c r="Q41480" s="8"/>
    </row>
    <row r="41481" spans="17:17" x14ac:dyDescent="0.25">
      <c r="Q41481" s="8"/>
    </row>
    <row r="41482" spans="17:17" x14ac:dyDescent="0.25">
      <c r="Q41482" s="8"/>
    </row>
    <row r="41483" spans="17:17" x14ac:dyDescent="0.25">
      <c r="Q41483" s="8"/>
    </row>
    <row r="41484" spans="17:17" x14ac:dyDescent="0.25">
      <c r="Q41484" s="8"/>
    </row>
    <row r="41485" spans="17:17" x14ac:dyDescent="0.25">
      <c r="Q41485" s="8"/>
    </row>
    <row r="41486" spans="17:17" x14ac:dyDescent="0.25">
      <c r="Q41486" s="8"/>
    </row>
    <row r="41487" spans="17:17" x14ac:dyDescent="0.25">
      <c r="Q41487" s="8"/>
    </row>
    <row r="41488" spans="17:17" x14ac:dyDescent="0.25">
      <c r="Q41488" s="8"/>
    </row>
    <row r="41489" spans="17:17" x14ac:dyDescent="0.25">
      <c r="Q41489" s="8"/>
    </row>
    <row r="41490" spans="17:17" x14ac:dyDescent="0.25">
      <c r="Q41490" s="8"/>
    </row>
    <row r="41491" spans="17:17" x14ac:dyDescent="0.25">
      <c r="Q41491" s="8"/>
    </row>
    <row r="41492" spans="17:17" x14ac:dyDescent="0.25">
      <c r="Q41492" s="8"/>
    </row>
    <row r="41493" spans="17:17" x14ac:dyDescent="0.25">
      <c r="Q41493" s="8"/>
    </row>
    <row r="41494" spans="17:17" x14ac:dyDescent="0.25">
      <c r="Q41494" s="8"/>
    </row>
    <row r="41495" spans="17:17" x14ac:dyDescent="0.25">
      <c r="Q41495" s="8"/>
    </row>
    <row r="41496" spans="17:17" x14ac:dyDescent="0.25">
      <c r="Q41496" s="8"/>
    </row>
    <row r="41497" spans="17:17" x14ac:dyDescent="0.25">
      <c r="Q41497" s="8"/>
    </row>
    <row r="41498" spans="17:17" x14ac:dyDescent="0.25">
      <c r="Q41498" s="8"/>
    </row>
    <row r="41499" spans="17:17" x14ac:dyDescent="0.25">
      <c r="Q41499" s="8"/>
    </row>
    <row r="41500" spans="17:17" x14ac:dyDescent="0.25">
      <c r="Q41500" s="8"/>
    </row>
    <row r="41501" spans="17:17" x14ac:dyDescent="0.25">
      <c r="Q41501" s="8"/>
    </row>
    <row r="41502" spans="17:17" x14ac:dyDescent="0.25">
      <c r="Q41502" s="8"/>
    </row>
    <row r="41503" spans="17:17" x14ac:dyDescent="0.25">
      <c r="Q41503" s="8"/>
    </row>
    <row r="41504" spans="17:17" x14ac:dyDescent="0.25">
      <c r="Q41504" s="8"/>
    </row>
    <row r="41505" spans="17:17" x14ac:dyDescent="0.25">
      <c r="Q41505" s="8"/>
    </row>
    <row r="41506" spans="17:17" x14ac:dyDescent="0.25">
      <c r="Q41506" s="8"/>
    </row>
    <row r="41507" spans="17:17" x14ac:dyDescent="0.25">
      <c r="Q41507" s="8"/>
    </row>
    <row r="41508" spans="17:17" x14ac:dyDescent="0.25">
      <c r="Q41508" s="8"/>
    </row>
    <row r="41509" spans="17:17" x14ac:dyDescent="0.25">
      <c r="Q41509" s="8"/>
    </row>
    <row r="41510" spans="17:17" x14ac:dyDescent="0.25">
      <c r="Q41510" s="8"/>
    </row>
    <row r="41511" spans="17:17" x14ac:dyDescent="0.25">
      <c r="Q41511" s="8"/>
    </row>
    <row r="41512" spans="17:17" x14ac:dyDescent="0.25">
      <c r="Q41512" s="8"/>
    </row>
    <row r="41513" spans="17:17" x14ac:dyDescent="0.25">
      <c r="Q41513" s="8"/>
    </row>
    <row r="41514" spans="17:17" x14ac:dyDescent="0.25">
      <c r="Q41514" s="8"/>
    </row>
    <row r="41515" spans="17:17" x14ac:dyDescent="0.25">
      <c r="Q41515" s="8"/>
    </row>
    <row r="41516" spans="17:17" x14ac:dyDescent="0.25">
      <c r="Q41516" s="8"/>
    </row>
    <row r="41517" spans="17:17" x14ac:dyDescent="0.25">
      <c r="Q41517" s="8"/>
    </row>
    <row r="41518" spans="17:17" x14ac:dyDescent="0.25">
      <c r="Q41518" s="8"/>
    </row>
    <row r="41519" spans="17:17" x14ac:dyDescent="0.25">
      <c r="Q41519" s="8"/>
    </row>
    <row r="41520" spans="17:17" x14ac:dyDescent="0.25">
      <c r="Q41520" s="8"/>
    </row>
    <row r="41521" spans="17:17" x14ac:dyDescent="0.25">
      <c r="Q41521" s="8"/>
    </row>
    <row r="41522" spans="17:17" x14ac:dyDescent="0.25">
      <c r="Q41522" s="8"/>
    </row>
    <row r="41523" spans="17:17" x14ac:dyDescent="0.25">
      <c r="Q41523" s="8"/>
    </row>
    <row r="41524" spans="17:17" x14ac:dyDescent="0.25">
      <c r="Q41524" s="8"/>
    </row>
    <row r="41525" spans="17:17" x14ac:dyDescent="0.25">
      <c r="Q41525" s="8"/>
    </row>
    <row r="41526" spans="17:17" x14ac:dyDescent="0.25">
      <c r="Q41526" s="8"/>
    </row>
    <row r="41527" spans="17:17" x14ac:dyDescent="0.25">
      <c r="Q41527" s="8"/>
    </row>
    <row r="41528" spans="17:17" x14ac:dyDescent="0.25">
      <c r="Q41528" s="8"/>
    </row>
    <row r="41529" spans="17:17" x14ac:dyDescent="0.25">
      <c r="Q41529" s="8"/>
    </row>
    <row r="41530" spans="17:17" x14ac:dyDescent="0.25">
      <c r="Q41530" s="8"/>
    </row>
    <row r="41531" spans="17:17" x14ac:dyDescent="0.25">
      <c r="Q41531" s="8"/>
    </row>
    <row r="41532" spans="17:17" x14ac:dyDescent="0.25">
      <c r="Q41532" s="8"/>
    </row>
    <row r="41533" spans="17:17" x14ac:dyDescent="0.25">
      <c r="Q41533" s="8"/>
    </row>
    <row r="41534" spans="17:17" x14ac:dyDescent="0.25">
      <c r="Q41534" s="8"/>
    </row>
    <row r="41535" spans="17:17" x14ac:dyDescent="0.25">
      <c r="Q41535" s="8"/>
    </row>
    <row r="41536" spans="17:17" x14ac:dyDescent="0.25">
      <c r="Q41536" s="8"/>
    </row>
    <row r="41537" spans="17:17" x14ac:dyDescent="0.25">
      <c r="Q41537" s="8"/>
    </row>
    <row r="41538" spans="17:17" x14ac:dyDescent="0.25">
      <c r="Q41538" s="8"/>
    </row>
    <row r="41539" spans="17:17" x14ac:dyDescent="0.25">
      <c r="Q41539" s="8"/>
    </row>
    <row r="41540" spans="17:17" x14ac:dyDescent="0.25">
      <c r="Q41540" s="8"/>
    </row>
    <row r="41541" spans="17:17" x14ac:dyDescent="0.25">
      <c r="Q41541" s="8"/>
    </row>
    <row r="41542" spans="17:17" x14ac:dyDescent="0.25">
      <c r="Q41542" s="8"/>
    </row>
    <row r="41543" spans="17:17" x14ac:dyDescent="0.25">
      <c r="Q41543" s="8"/>
    </row>
    <row r="41544" spans="17:17" x14ac:dyDescent="0.25">
      <c r="Q41544" s="8"/>
    </row>
    <row r="41545" spans="17:17" x14ac:dyDescent="0.25">
      <c r="Q41545" s="8"/>
    </row>
    <row r="41546" spans="17:17" x14ac:dyDescent="0.25">
      <c r="Q41546" s="8"/>
    </row>
    <row r="41547" spans="17:17" x14ac:dyDescent="0.25">
      <c r="Q41547" s="8"/>
    </row>
    <row r="41548" spans="17:17" x14ac:dyDescent="0.25">
      <c r="Q41548" s="8"/>
    </row>
    <row r="41549" spans="17:17" x14ac:dyDescent="0.25">
      <c r="Q41549" s="8"/>
    </row>
    <row r="41550" spans="17:17" x14ac:dyDescent="0.25">
      <c r="Q41550" s="8"/>
    </row>
    <row r="41551" spans="17:17" x14ac:dyDescent="0.25">
      <c r="Q41551" s="8"/>
    </row>
    <row r="41552" spans="17:17" x14ac:dyDescent="0.25">
      <c r="Q41552" s="8"/>
    </row>
    <row r="41553" spans="17:17" x14ac:dyDescent="0.25">
      <c r="Q41553" s="8"/>
    </row>
    <row r="41554" spans="17:17" x14ac:dyDescent="0.25">
      <c r="Q41554" s="8"/>
    </row>
    <row r="41555" spans="17:17" x14ac:dyDescent="0.25">
      <c r="Q41555" s="8"/>
    </row>
    <row r="41556" spans="17:17" x14ac:dyDescent="0.25">
      <c r="Q41556" s="8"/>
    </row>
    <row r="41557" spans="17:17" x14ac:dyDescent="0.25">
      <c r="Q41557" s="8"/>
    </row>
    <row r="41558" spans="17:17" x14ac:dyDescent="0.25">
      <c r="Q41558" s="8"/>
    </row>
    <row r="41559" spans="17:17" x14ac:dyDescent="0.25">
      <c r="Q41559" s="8"/>
    </row>
    <row r="41560" spans="17:17" x14ac:dyDescent="0.25">
      <c r="Q41560" s="8"/>
    </row>
    <row r="41561" spans="17:17" x14ac:dyDescent="0.25">
      <c r="Q41561" s="8"/>
    </row>
    <row r="41562" spans="17:17" x14ac:dyDescent="0.25">
      <c r="Q41562" s="8"/>
    </row>
    <row r="41563" spans="17:17" x14ac:dyDescent="0.25">
      <c r="Q41563" s="8"/>
    </row>
    <row r="41564" spans="17:17" x14ac:dyDescent="0.25">
      <c r="Q41564" s="8"/>
    </row>
    <row r="41565" spans="17:17" x14ac:dyDescent="0.25">
      <c r="Q41565" s="8"/>
    </row>
    <row r="41566" spans="17:17" x14ac:dyDescent="0.25">
      <c r="Q41566" s="8"/>
    </row>
    <row r="41567" spans="17:17" x14ac:dyDescent="0.25">
      <c r="Q41567" s="8"/>
    </row>
    <row r="41568" spans="17:17" x14ac:dyDescent="0.25">
      <c r="Q41568" s="8"/>
    </row>
    <row r="41569" spans="17:17" x14ac:dyDescent="0.25">
      <c r="Q41569" s="8"/>
    </row>
    <row r="41570" spans="17:17" x14ac:dyDescent="0.25">
      <c r="Q41570" s="8"/>
    </row>
    <row r="41571" spans="17:17" x14ac:dyDescent="0.25">
      <c r="Q41571" s="8"/>
    </row>
    <row r="41572" spans="17:17" x14ac:dyDescent="0.25">
      <c r="Q41572" s="8"/>
    </row>
    <row r="41573" spans="17:17" x14ac:dyDescent="0.25">
      <c r="Q41573" s="8"/>
    </row>
    <row r="41574" spans="17:17" x14ac:dyDescent="0.25">
      <c r="Q41574" s="8"/>
    </row>
    <row r="41575" spans="17:17" x14ac:dyDescent="0.25">
      <c r="Q41575" s="8"/>
    </row>
    <row r="41576" spans="17:17" x14ac:dyDescent="0.25">
      <c r="Q41576" s="8"/>
    </row>
    <row r="41577" spans="17:17" x14ac:dyDescent="0.25">
      <c r="Q41577" s="8"/>
    </row>
    <row r="41578" spans="17:17" x14ac:dyDescent="0.25">
      <c r="Q41578" s="8"/>
    </row>
    <row r="41579" spans="17:17" x14ac:dyDescent="0.25">
      <c r="Q41579" s="8"/>
    </row>
    <row r="41580" spans="17:17" x14ac:dyDescent="0.25">
      <c r="Q41580" s="8"/>
    </row>
    <row r="41581" spans="17:17" x14ac:dyDescent="0.25">
      <c r="Q41581" s="8"/>
    </row>
    <row r="41582" spans="17:17" x14ac:dyDescent="0.25">
      <c r="Q41582" s="8"/>
    </row>
    <row r="41583" spans="17:17" x14ac:dyDescent="0.25">
      <c r="Q41583" s="8"/>
    </row>
    <row r="41584" spans="17:17" x14ac:dyDescent="0.25">
      <c r="Q41584" s="8"/>
    </row>
    <row r="41585" spans="17:17" x14ac:dyDescent="0.25">
      <c r="Q41585" s="8"/>
    </row>
    <row r="41586" spans="17:17" x14ac:dyDescent="0.25">
      <c r="Q41586" s="8"/>
    </row>
    <row r="41587" spans="17:17" x14ac:dyDescent="0.25">
      <c r="Q41587" s="8"/>
    </row>
    <row r="41588" spans="17:17" x14ac:dyDescent="0.25">
      <c r="Q41588" s="8"/>
    </row>
    <row r="41589" spans="17:17" x14ac:dyDescent="0.25">
      <c r="Q41589" s="8"/>
    </row>
    <row r="41590" spans="17:17" x14ac:dyDescent="0.25">
      <c r="Q41590" s="8"/>
    </row>
    <row r="41591" spans="17:17" x14ac:dyDescent="0.25">
      <c r="Q41591" s="8"/>
    </row>
    <row r="41592" spans="17:17" x14ac:dyDescent="0.25">
      <c r="Q41592" s="8"/>
    </row>
    <row r="41593" spans="17:17" x14ac:dyDescent="0.25">
      <c r="Q41593" s="8"/>
    </row>
    <row r="41594" spans="17:17" x14ac:dyDescent="0.25">
      <c r="Q41594" s="8"/>
    </row>
    <row r="41595" spans="17:17" x14ac:dyDescent="0.25">
      <c r="Q41595" s="8"/>
    </row>
    <row r="41596" spans="17:17" x14ac:dyDescent="0.25">
      <c r="Q41596" s="8"/>
    </row>
    <row r="41597" spans="17:17" x14ac:dyDescent="0.25">
      <c r="Q41597" s="8"/>
    </row>
    <row r="41598" spans="17:17" x14ac:dyDescent="0.25">
      <c r="Q41598" s="8"/>
    </row>
    <row r="41599" spans="17:17" x14ac:dyDescent="0.25">
      <c r="Q41599" s="8"/>
    </row>
    <row r="41600" spans="17:17" x14ac:dyDescent="0.25">
      <c r="Q41600" s="8"/>
    </row>
    <row r="41601" spans="17:17" x14ac:dyDescent="0.25">
      <c r="Q41601" s="8"/>
    </row>
    <row r="41602" spans="17:17" x14ac:dyDescent="0.25">
      <c r="Q41602" s="8"/>
    </row>
    <row r="41603" spans="17:17" x14ac:dyDescent="0.25">
      <c r="Q41603" s="8"/>
    </row>
    <row r="41604" spans="17:17" x14ac:dyDescent="0.25">
      <c r="Q41604" s="8"/>
    </row>
    <row r="41605" spans="17:17" x14ac:dyDescent="0.25">
      <c r="Q41605" s="8"/>
    </row>
    <row r="41606" spans="17:17" x14ac:dyDescent="0.25">
      <c r="Q41606" s="8"/>
    </row>
    <row r="41607" spans="17:17" x14ac:dyDescent="0.25">
      <c r="Q41607" s="8"/>
    </row>
    <row r="41608" spans="17:17" x14ac:dyDescent="0.25">
      <c r="Q41608" s="8"/>
    </row>
    <row r="41609" spans="17:17" x14ac:dyDescent="0.25">
      <c r="Q41609" s="8"/>
    </row>
    <row r="41610" spans="17:17" x14ac:dyDescent="0.25">
      <c r="Q41610" s="8"/>
    </row>
    <row r="41611" spans="17:17" x14ac:dyDescent="0.25">
      <c r="Q41611" s="8"/>
    </row>
    <row r="41612" spans="17:17" x14ac:dyDescent="0.25">
      <c r="Q41612" s="8"/>
    </row>
    <row r="41613" spans="17:17" x14ac:dyDescent="0.25">
      <c r="Q41613" s="8"/>
    </row>
    <row r="41614" spans="17:17" x14ac:dyDescent="0.25">
      <c r="Q41614" s="8"/>
    </row>
    <row r="41615" spans="17:17" x14ac:dyDescent="0.25">
      <c r="Q41615" s="8"/>
    </row>
    <row r="41616" spans="17:17" x14ac:dyDescent="0.25">
      <c r="Q41616" s="8"/>
    </row>
    <row r="41617" spans="17:17" x14ac:dyDescent="0.25">
      <c r="Q41617" s="8"/>
    </row>
    <row r="41618" spans="17:17" x14ac:dyDescent="0.25">
      <c r="Q41618" s="8"/>
    </row>
    <row r="41619" spans="17:17" x14ac:dyDescent="0.25">
      <c r="Q41619" s="8"/>
    </row>
    <row r="41620" spans="17:17" x14ac:dyDescent="0.25">
      <c r="Q41620" s="8"/>
    </row>
    <row r="41621" spans="17:17" x14ac:dyDescent="0.25">
      <c r="Q41621" s="8"/>
    </row>
    <row r="41622" spans="17:17" x14ac:dyDescent="0.25">
      <c r="Q41622" s="8"/>
    </row>
    <row r="41623" spans="17:17" x14ac:dyDescent="0.25">
      <c r="Q41623" s="8"/>
    </row>
    <row r="41624" spans="17:17" x14ac:dyDescent="0.25">
      <c r="Q41624" s="8"/>
    </row>
    <row r="41625" spans="17:17" x14ac:dyDescent="0.25">
      <c r="Q41625" s="8"/>
    </row>
    <row r="41626" spans="17:17" x14ac:dyDescent="0.25">
      <c r="Q41626" s="8"/>
    </row>
    <row r="41627" spans="17:17" x14ac:dyDescent="0.25">
      <c r="Q41627" s="8"/>
    </row>
    <row r="41628" spans="17:17" x14ac:dyDescent="0.25">
      <c r="Q41628" s="8"/>
    </row>
    <row r="41629" spans="17:17" x14ac:dyDescent="0.25">
      <c r="Q41629" s="8"/>
    </row>
    <row r="41630" spans="17:17" x14ac:dyDescent="0.25">
      <c r="Q41630" s="8"/>
    </row>
    <row r="41631" spans="17:17" x14ac:dyDescent="0.25">
      <c r="Q41631" s="8"/>
    </row>
    <row r="41632" spans="17:17" x14ac:dyDescent="0.25">
      <c r="Q41632" s="8"/>
    </row>
    <row r="41633" spans="17:17" x14ac:dyDescent="0.25">
      <c r="Q41633" s="8"/>
    </row>
    <row r="41634" spans="17:17" x14ac:dyDescent="0.25">
      <c r="Q41634" s="8"/>
    </row>
    <row r="41635" spans="17:17" x14ac:dyDescent="0.25">
      <c r="Q41635" s="8"/>
    </row>
    <row r="41636" spans="17:17" x14ac:dyDescent="0.25">
      <c r="Q41636" s="8"/>
    </row>
    <row r="41637" spans="17:17" x14ac:dyDescent="0.25">
      <c r="Q41637" s="8"/>
    </row>
    <row r="41638" spans="17:17" x14ac:dyDescent="0.25">
      <c r="Q41638" s="8"/>
    </row>
    <row r="41639" spans="17:17" x14ac:dyDescent="0.25">
      <c r="Q41639" s="8"/>
    </row>
    <row r="41640" spans="17:17" x14ac:dyDescent="0.25">
      <c r="Q41640" s="8"/>
    </row>
    <row r="41641" spans="17:17" x14ac:dyDescent="0.25">
      <c r="Q41641" s="8"/>
    </row>
    <row r="41642" spans="17:17" x14ac:dyDescent="0.25">
      <c r="Q41642" s="8"/>
    </row>
    <row r="41643" spans="17:17" x14ac:dyDescent="0.25">
      <c r="Q41643" s="8"/>
    </row>
    <row r="41644" spans="17:17" x14ac:dyDescent="0.25">
      <c r="Q41644" s="8"/>
    </row>
    <row r="41645" spans="17:17" x14ac:dyDescent="0.25">
      <c r="Q41645" s="8"/>
    </row>
    <row r="41646" spans="17:17" x14ac:dyDescent="0.25">
      <c r="Q41646" s="8"/>
    </row>
    <row r="41647" spans="17:17" x14ac:dyDescent="0.25">
      <c r="Q41647" s="8"/>
    </row>
    <row r="41648" spans="17:17" x14ac:dyDescent="0.25">
      <c r="Q41648" s="8"/>
    </row>
    <row r="41649" spans="17:17" x14ac:dyDescent="0.25">
      <c r="Q41649" s="8"/>
    </row>
    <row r="41650" spans="17:17" x14ac:dyDescent="0.25">
      <c r="Q41650" s="8"/>
    </row>
    <row r="41651" spans="17:17" x14ac:dyDescent="0.25">
      <c r="Q41651" s="8"/>
    </row>
    <row r="41652" spans="17:17" x14ac:dyDescent="0.25">
      <c r="Q41652" s="8"/>
    </row>
    <row r="41653" spans="17:17" x14ac:dyDescent="0.25">
      <c r="Q41653" s="8"/>
    </row>
    <row r="41654" spans="17:17" x14ac:dyDescent="0.25">
      <c r="Q41654" s="8"/>
    </row>
    <row r="41655" spans="17:17" x14ac:dyDescent="0.25">
      <c r="Q41655" s="8"/>
    </row>
    <row r="41656" spans="17:17" x14ac:dyDescent="0.25">
      <c r="Q41656" s="8"/>
    </row>
    <row r="41657" spans="17:17" x14ac:dyDescent="0.25">
      <c r="Q41657" s="8"/>
    </row>
    <row r="41658" spans="17:17" x14ac:dyDescent="0.25">
      <c r="Q41658" s="8"/>
    </row>
    <row r="41659" spans="17:17" x14ac:dyDescent="0.25">
      <c r="Q41659" s="8"/>
    </row>
    <row r="41660" spans="17:17" x14ac:dyDescent="0.25">
      <c r="Q41660" s="8"/>
    </row>
    <row r="41661" spans="17:17" x14ac:dyDescent="0.25">
      <c r="Q41661" s="8"/>
    </row>
    <row r="41662" spans="17:17" x14ac:dyDescent="0.25">
      <c r="Q41662" s="8"/>
    </row>
    <row r="41663" spans="17:17" x14ac:dyDescent="0.25">
      <c r="Q41663" s="8"/>
    </row>
    <row r="41664" spans="17:17" x14ac:dyDescent="0.25">
      <c r="Q41664" s="8"/>
    </row>
    <row r="41665" spans="17:17" x14ac:dyDescent="0.25">
      <c r="Q41665" s="8"/>
    </row>
    <row r="41666" spans="17:17" x14ac:dyDescent="0.25">
      <c r="Q41666" s="8"/>
    </row>
    <row r="41667" spans="17:17" x14ac:dyDescent="0.25">
      <c r="Q41667" s="8"/>
    </row>
    <row r="41668" spans="17:17" x14ac:dyDescent="0.25">
      <c r="Q41668" s="8"/>
    </row>
    <row r="41669" spans="17:17" x14ac:dyDescent="0.25">
      <c r="Q41669" s="8"/>
    </row>
    <row r="41670" spans="17:17" x14ac:dyDescent="0.25">
      <c r="Q41670" s="8"/>
    </row>
    <row r="41671" spans="17:17" x14ac:dyDescent="0.25">
      <c r="Q41671" s="8"/>
    </row>
    <row r="41672" spans="17:17" x14ac:dyDescent="0.25">
      <c r="Q41672" s="8"/>
    </row>
    <row r="41673" spans="17:17" x14ac:dyDescent="0.25">
      <c r="Q41673" s="8"/>
    </row>
    <row r="41674" spans="17:17" x14ac:dyDescent="0.25">
      <c r="Q41674" s="8"/>
    </row>
    <row r="41675" spans="17:17" x14ac:dyDescent="0.25">
      <c r="Q41675" s="8"/>
    </row>
    <row r="41676" spans="17:17" x14ac:dyDescent="0.25">
      <c r="Q41676" s="8"/>
    </row>
    <row r="41677" spans="17:17" x14ac:dyDescent="0.25">
      <c r="Q41677" s="8"/>
    </row>
    <row r="41678" spans="17:17" x14ac:dyDescent="0.25">
      <c r="Q41678" s="8"/>
    </row>
    <row r="41679" spans="17:17" x14ac:dyDescent="0.25">
      <c r="Q41679" s="8"/>
    </row>
    <row r="41680" spans="17:17" x14ac:dyDescent="0.25">
      <c r="Q41680" s="8"/>
    </row>
    <row r="41681" spans="17:17" x14ac:dyDescent="0.25">
      <c r="Q41681" s="8"/>
    </row>
    <row r="41682" spans="17:17" x14ac:dyDescent="0.25">
      <c r="Q41682" s="8"/>
    </row>
    <row r="41683" spans="17:17" x14ac:dyDescent="0.25">
      <c r="Q41683" s="8"/>
    </row>
    <row r="41684" spans="17:17" x14ac:dyDescent="0.25">
      <c r="Q41684" s="8"/>
    </row>
    <row r="41685" spans="17:17" x14ac:dyDescent="0.25">
      <c r="Q41685" s="8"/>
    </row>
    <row r="41686" spans="17:17" x14ac:dyDescent="0.25">
      <c r="Q41686" s="8"/>
    </row>
    <row r="41687" spans="17:17" x14ac:dyDescent="0.25">
      <c r="Q41687" s="8"/>
    </row>
    <row r="41688" spans="17:17" x14ac:dyDescent="0.25">
      <c r="Q41688" s="8"/>
    </row>
    <row r="41689" spans="17:17" x14ac:dyDescent="0.25">
      <c r="Q41689" s="8"/>
    </row>
    <row r="41690" spans="17:17" x14ac:dyDescent="0.25">
      <c r="Q41690" s="8"/>
    </row>
    <row r="41691" spans="17:17" x14ac:dyDescent="0.25">
      <c r="Q41691" s="8"/>
    </row>
    <row r="41692" spans="17:17" x14ac:dyDescent="0.25">
      <c r="Q41692" s="8"/>
    </row>
    <row r="41693" spans="17:17" x14ac:dyDescent="0.25">
      <c r="Q41693" s="8"/>
    </row>
    <row r="41694" spans="17:17" x14ac:dyDescent="0.25">
      <c r="Q41694" s="8"/>
    </row>
    <row r="41695" spans="17:17" x14ac:dyDescent="0.25">
      <c r="Q41695" s="8"/>
    </row>
    <row r="41696" spans="17:17" x14ac:dyDescent="0.25">
      <c r="Q41696" s="8"/>
    </row>
    <row r="41697" spans="17:17" x14ac:dyDescent="0.25">
      <c r="Q41697" s="8"/>
    </row>
    <row r="41698" spans="17:17" x14ac:dyDescent="0.25">
      <c r="Q41698" s="8"/>
    </row>
    <row r="41699" spans="17:17" x14ac:dyDescent="0.25">
      <c r="Q41699" s="8"/>
    </row>
    <row r="41700" spans="17:17" x14ac:dyDescent="0.25">
      <c r="Q41700" s="8"/>
    </row>
    <row r="41701" spans="17:17" x14ac:dyDescent="0.25">
      <c r="Q41701" s="8"/>
    </row>
    <row r="41702" spans="17:17" x14ac:dyDescent="0.25">
      <c r="Q41702" s="8"/>
    </row>
    <row r="41703" spans="17:17" x14ac:dyDescent="0.25">
      <c r="Q41703" s="8"/>
    </row>
    <row r="41704" spans="17:17" x14ac:dyDescent="0.25">
      <c r="Q41704" s="8"/>
    </row>
    <row r="41705" spans="17:17" x14ac:dyDescent="0.25">
      <c r="Q41705" s="8"/>
    </row>
    <row r="41706" spans="17:17" x14ac:dyDescent="0.25">
      <c r="Q41706" s="8"/>
    </row>
    <row r="41707" spans="17:17" x14ac:dyDescent="0.25">
      <c r="Q41707" s="8"/>
    </row>
    <row r="41708" spans="17:17" x14ac:dyDescent="0.25">
      <c r="Q41708" s="8"/>
    </row>
    <row r="41709" spans="17:17" x14ac:dyDescent="0.25">
      <c r="Q41709" s="8"/>
    </row>
    <row r="41710" spans="17:17" x14ac:dyDescent="0.25">
      <c r="Q41710" s="8"/>
    </row>
    <row r="41711" spans="17:17" x14ac:dyDescent="0.25">
      <c r="Q41711" s="8"/>
    </row>
    <row r="41712" spans="17:17" x14ac:dyDescent="0.25">
      <c r="Q41712" s="8"/>
    </row>
    <row r="41713" spans="17:17" x14ac:dyDescent="0.25">
      <c r="Q41713" s="8"/>
    </row>
    <row r="41714" spans="17:17" x14ac:dyDescent="0.25">
      <c r="Q41714" s="8"/>
    </row>
    <row r="41715" spans="17:17" x14ac:dyDescent="0.25">
      <c r="Q41715" s="8"/>
    </row>
    <row r="41716" spans="17:17" x14ac:dyDescent="0.25">
      <c r="Q41716" s="8"/>
    </row>
    <row r="41717" spans="17:17" x14ac:dyDescent="0.25">
      <c r="Q41717" s="8"/>
    </row>
    <row r="41718" spans="17:17" x14ac:dyDescent="0.25">
      <c r="Q41718" s="8"/>
    </row>
    <row r="41719" spans="17:17" x14ac:dyDescent="0.25">
      <c r="Q41719" s="8"/>
    </row>
    <row r="41720" spans="17:17" x14ac:dyDescent="0.25">
      <c r="Q41720" s="8"/>
    </row>
    <row r="41721" spans="17:17" x14ac:dyDescent="0.25">
      <c r="Q41721" s="8"/>
    </row>
    <row r="41722" spans="17:17" x14ac:dyDescent="0.25">
      <c r="Q41722" s="8"/>
    </row>
    <row r="41723" spans="17:17" x14ac:dyDescent="0.25">
      <c r="Q41723" s="8"/>
    </row>
    <row r="41724" spans="17:17" x14ac:dyDescent="0.25">
      <c r="Q41724" s="8"/>
    </row>
    <row r="41725" spans="17:17" x14ac:dyDescent="0.25">
      <c r="Q41725" s="8"/>
    </row>
    <row r="41726" spans="17:17" x14ac:dyDescent="0.25">
      <c r="Q41726" s="8"/>
    </row>
    <row r="41727" spans="17:17" x14ac:dyDescent="0.25">
      <c r="Q41727" s="8"/>
    </row>
    <row r="41728" spans="17:17" x14ac:dyDescent="0.25">
      <c r="Q41728" s="8"/>
    </row>
    <row r="41729" spans="17:17" x14ac:dyDescent="0.25">
      <c r="Q41729" s="8"/>
    </row>
    <row r="41730" spans="17:17" x14ac:dyDescent="0.25">
      <c r="Q41730" s="8"/>
    </row>
    <row r="41731" spans="17:17" x14ac:dyDescent="0.25">
      <c r="Q41731" s="8"/>
    </row>
    <row r="41732" spans="17:17" x14ac:dyDescent="0.25">
      <c r="Q41732" s="8"/>
    </row>
    <row r="41733" spans="17:17" x14ac:dyDescent="0.25">
      <c r="Q41733" s="8"/>
    </row>
    <row r="41734" spans="17:17" x14ac:dyDescent="0.25">
      <c r="Q41734" s="8"/>
    </row>
    <row r="41735" spans="17:17" x14ac:dyDescent="0.25">
      <c r="Q41735" s="8"/>
    </row>
    <row r="41736" spans="17:17" x14ac:dyDescent="0.25">
      <c r="Q41736" s="8"/>
    </row>
    <row r="41737" spans="17:17" x14ac:dyDescent="0.25">
      <c r="Q41737" s="8"/>
    </row>
    <row r="41738" spans="17:17" x14ac:dyDescent="0.25">
      <c r="Q41738" s="8"/>
    </row>
    <row r="41739" spans="17:17" x14ac:dyDescent="0.25">
      <c r="Q41739" s="8"/>
    </row>
    <row r="41740" spans="17:17" x14ac:dyDescent="0.25">
      <c r="Q41740" s="8"/>
    </row>
    <row r="41741" spans="17:17" x14ac:dyDescent="0.25">
      <c r="Q41741" s="8"/>
    </row>
    <row r="41742" spans="17:17" x14ac:dyDescent="0.25">
      <c r="Q41742" s="8"/>
    </row>
    <row r="41743" spans="17:17" x14ac:dyDescent="0.25">
      <c r="Q41743" s="8"/>
    </row>
    <row r="41744" spans="17:17" x14ac:dyDescent="0.25">
      <c r="Q41744" s="8"/>
    </row>
    <row r="41745" spans="17:17" x14ac:dyDescent="0.25">
      <c r="Q41745" s="8"/>
    </row>
    <row r="41746" spans="17:17" x14ac:dyDescent="0.25">
      <c r="Q41746" s="8"/>
    </row>
    <row r="41747" spans="17:17" x14ac:dyDescent="0.25">
      <c r="Q41747" s="8"/>
    </row>
    <row r="41748" spans="17:17" x14ac:dyDescent="0.25">
      <c r="Q41748" s="8"/>
    </row>
    <row r="41749" spans="17:17" x14ac:dyDescent="0.25">
      <c r="Q41749" s="8"/>
    </row>
    <row r="41750" spans="17:17" x14ac:dyDescent="0.25">
      <c r="Q41750" s="8"/>
    </row>
    <row r="41751" spans="17:17" x14ac:dyDescent="0.25">
      <c r="Q41751" s="8"/>
    </row>
    <row r="41752" spans="17:17" x14ac:dyDescent="0.25">
      <c r="Q41752" s="8"/>
    </row>
    <row r="41753" spans="17:17" x14ac:dyDescent="0.25">
      <c r="Q41753" s="8"/>
    </row>
    <row r="41754" spans="17:17" x14ac:dyDescent="0.25">
      <c r="Q41754" s="8"/>
    </row>
    <row r="41755" spans="17:17" x14ac:dyDescent="0.25">
      <c r="Q41755" s="8"/>
    </row>
    <row r="41756" spans="17:17" x14ac:dyDescent="0.25">
      <c r="Q41756" s="8"/>
    </row>
    <row r="41757" spans="17:17" x14ac:dyDescent="0.25">
      <c r="Q41757" s="8"/>
    </row>
    <row r="41758" spans="17:17" x14ac:dyDescent="0.25">
      <c r="Q41758" s="8"/>
    </row>
    <row r="41759" spans="17:17" x14ac:dyDescent="0.25">
      <c r="Q41759" s="8"/>
    </row>
    <row r="41760" spans="17:17" x14ac:dyDescent="0.25">
      <c r="Q41760" s="8"/>
    </row>
    <row r="41761" spans="17:17" x14ac:dyDescent="0.25">
      <c r="Q41761" s="8"/>
    </row>
    <row r="41762" spans="17:17" x14ac:dyDescent="0.25">
      <c r="Q41762" s="8"/>
    </row>
    <row r="41763" spans="17:17" x14ac:dyDescent="0.25">
      <c r="Q41763" s="8"/>
    </row>
    <row r="41764" spans="17:17" x14ac:dyDescent="0.25">
      <c r="Q41764" s="8"/>
    </row>
    <row r="41765" spans="17:17" x14ac:dyDescent="0.25">
      <c r="Q41765" s="8"/>
    </row>
    <row r="41766" spans="17:17" x14ac:dyDescent="0.25">
      <c r="Q41766" s="8"/>
    </row>
    <row r="41767" spans="17:17" x14ac:dyDescent="0.25">
      <c r="Q41767" s="8"/>
    </row>
    <row r="41768" spans="17:17" x14ac:dyDescent="0.25">
      <c r="Q41768" s="8"/>
    </row>
    <row r="41769" spans="17:17" x14ac:dyDescent="0.25">
      <c r="Q41769" s="8"/>
    </row>
    <row r="41770" spans="17:17" x14ac:dyDescent="0.25">
      <c r="Q41770" s="8"/>
    </row>
    <row r="41771" spans="17:17" x14ac:dyDescent="0.25">
      <c r="Q41771" s="8"/>
    </row>
    <row r="41772" spans="17:17" x14ac:dyDescent="0.25">
      <c r="Q41772" s="8"/>
    </row>
    <row r="41773" spans="17:17" x14ac:dyDescent="0.25">
      <c r="Q41773" s="8"/>
    </row>
    <row r="41774" spans="17:17" x14ac:dyDescent="0.25">
      <c r="Q41774" s="8"/>
    </row>
    <row r="41775" spans="17:17" x14ac:dyDescent="0.25">
      <c r="Q41775" s="8"/>
    </row>
    <row r="41776" spans="17:17" x14ac:dyDescent="0.25">
      <c r="Q41776" s="8"/>
    </row>
    <row r="41777" spans="17:17" x14ac:dyDescent="0.25">
      <c r="Q41777" s="8"/>
    </row>
    <row r="41778" spans="17:17" x14ac:dyDescent="0.25">
      <c r="Q41778" s="8"/>
    </row>
    <row r="41779" spans="17:17" x14ac:dyDescent="0.25">
      <c r="Q41779" s="8"/>
    </row>
    <row r="41780" spans="17:17" x14ac:dyDescent="0.25">
      <c r="Q41780" s="8"/>
    </row>
    <row r="41781" spans="17:17" x14ac:dyDescent="0.25">
      <c r="Q41781" s="8"/>
    </row>
    <row r="41782" spans="17:17" x14ac:dyDescent="0.25">
      <c r="Q41782" s="8"/>
    </row>
    <row r="41783" spans="17:17" x14ac:dyDescent="0.25">
      <c r="Q41783" s="8"/>
    </row>
    <row r="41784" spans="17:17" x14ac:dyDescent="0.25">
      <c r="Q41784" s="8"/>
    </row>
    <row r="41785" spans="17:17" x14ac:dyDescent="0.25">
      <c r="Q41785" s="8"/>
    </row>
    <row r="41786" spans="17:17" x14ac:dyDescent="0.25">
      <c r="Q41786" s="8"/>
    </row>
    <row r="41787" spans="17:17" x14ac:dyDescent="0.25">
      <c r="Q41787" s="8"/>
    </row>
    <row r="41788" spans="17:17" x14ac:dyDescent="0.25">
      <c r="Q41788" s="8"/>
    </row>
    <row r="41789" spans="17:17" x14ac:dyDescent="0.25">
      <c r="Q41789" s="8"/>
    </row>
    <row r="41790" spans="17:17" x14ac:dyDescent="0.25">
      <c r="Q41790" s="8"/>
    </row>
    <row r="41791" spans="17:17" x14ac:dyDescent="0.25">
      <c r="Q41791" s="8"/>
    </row>
    <row r="41792" spans="17:17" x14ac:dyDescent="0.25">
      <c r="Q41792" s="8"/>
    </row>
    <row r="41793" spans="17:17" x14ac:dyDescent="0.25">
      <c r="Q41793" s="8"/>
    </row>
    <row r="41794" spans="17:17" x14ac:dyDescent="0.25">
      <c r="Q41794" s="8"/>
    </row>
    <row r="41795" spans="17:17" x14ac:dyDescent="0.25">
      <c r="Q41795" s="8"/>
    </row>
    <row r="41796" spans="17:17" x14ac:dyDescent="0.25">
      <c r="Q41796" s="8"/>
    </row>
    <row r="41797" spans="17:17" x14ac:dyDescent="0.25">
      <c r="Q41797" s="8"/>
    </row>
    <row r="41798" spans="17:17" x14ac:dyDescent="0.25">
      <c r="Q41798" s="8"/>
    </row>
    <row r="41799" spans="17:17" x14ac:dyDescent="0.25">
      <c r="Q41799" s="8"/>
    </row>
    <row r="41800" spans="17:17" x14ac:dyDescent="0.25">
      <c r="Q41800" s="8"/>
    </row>
    <row r="41801" spans="17:17" x14ac:dyDescent="0.25">
      <c r="Q41801" s="8"/>
    </row>
    <row r="41802" spans="17:17" x14ac:dyDescent="0.25">
      <c r="Q41802" s="8"/>
    </row>
    <row r="41803" spans="17:17" x14ac:dyDescent="0.25">
      <c r="Q41803" s="8"/>
    </row>
    <row r="41804" spans="17:17" x14ac:dyDescent="0.25">
      <c r="Q41804" s="8"/>
    </row>
    <row r="41805" spans="17:17" x14ac:dyDescent="0.25">
      <c r="Q41805" s="8"/>
    </row>
    <row r="41806" spans="17:17" x14ac:dyDescent="0.25">
      <c r="Q41806" s="8"/>
    </row>
    <row r="41807" spans="17:17" x14ac:dyDescent="0.25">
      <c r="Q41807" s="8"/>
    </row>
    <row r="41808" spans="17:17" x14ac:dyDescent="0.25">
      <c r="Q41808" s="8"/>
    </row>
    <row r="41809" spans="17:17" x14ac:dyDescent="0.25">
      <c r="Q41809" s="8"/>
    </row>
    <row r="41810" spans="17:17" x14ac:dyDescent="0.25">
      <c r="Q41810" s="8"/>
    </row>
    <row r="41811" spans="17:17" x14ac:dyDescent="0.25">
      <c r="Q41811" s="8"/>
    </row>
    <row r="41812" spans="17:17" x14ac:dyDescent="0.25">
      <c r="Q41812" s="8"/>
    </row>
    <row r="41813" spans="17:17" x14ac:dyDescent="0.25">
      <c r="Q41813" s="8"/>
    </row>
    <row r="41814" spans="17:17" x14ac:dyDescent="0.25">
      <c r="Q41814" s="8"/>
    </row>
    <row r="41815" spans="17:17" x14ac:dyDescent="0.25">
      <c r="Q41815" s="8"/>
    </row>
    <row r="41816" spans="17:17" x14ac:dyDescent="0.25">
      <c r="Q41816" s="8"/>
    </row>
    <row r="41817" spans="17:17" x14ac:dyDescent="0.25">
      <c r="Q41817" s="8"/>
    </row>
    <row r="41818" spans="17:17" x14ac:dyDescent="0.25">
      <c r="Q41818" s="8"/>
    </row>
    <row r="41819" spans="17:17" x14ac:dyDescent="0.25">
      <c r="Q41819" s="8"/>
    </row>
    <row r="41820" spans="17:17" x14ac:dyDescent="0.25">
      <c r="Q41820" s="8"/>
    </row>
    <row r="41821" spans="17:17" x14ac:dyDescent="0.25">
      <c r="Q41821" s="8"/>
    </row>
    <row r="41822" spans="17:17" x14ac:dyDescent="0.25">
      <c r="Q41822" s="8"/>
    </row>
    <row r="41823" spans="17:17" x14ac:dyDescent="0.25">
      <c r="Q41823" s="8"/>
    </row>
    <row r="41824" spans="17:17" x14ac:dyDescent="0.25">
      <c r="Q41824" s="8"/>
    </row>
    <row r="41825" spans="17:17" x14ac:dyDescent="0.25">
      <c r="Q41825" s="8"/>
    </row>
    <row r="41826" spans="17:17" x14ac:dyDescent="0.25">
      <c r="Q41826" s="8"/>
    </row>
    <row r="41827" spans="17:17" x14ac:dyDescent="0.25">
      <c r="Q41827" s="8"/>
    </row>
    <row r="41828" spans="17:17" x14ac:dyDescent="0.25">
      <c r="Q41828" s="8"/>
    </row>
    <row r="41829" spans="17:17" x14ac:dyDescent="0.25">
      <c r="Q41829" s="8"/>
    </row>
    <row r="41830" spans="17:17" x14ac:dyDescent="0.25">
      <c r="Q41830" s="8"/>
    </row>
    <row r="41831" spans="17:17" x14ac:dyDescent="0.25">
      <c r="Q41831" s="8"/>
    </row>
    <row r="41832" spans="17:17" x14ac:dyDescent="0.25">
      <c r="Q41832" s="8"/>
    </row>
    <row r="41833" spans="17:17" x14ac:dyDescent="0.25">
      <c r="Q41833" s="8"/>
    </row>
    <row r="41834" spans="17:17" x14ac:dyDescent="0.25">
      <c r="Q41834" s="8"/>
    </row>
    <row r="41835" spans="17:17" x14ac:dyDescent="0.25">
      <c r="Q41835" s="8"/>
    </row>
    <row r="41836" spans="17:17" x14ac:dyDescent="0.25">
      <c r="Q41836" s="8"/>
    </row>
    <row r="41837" spans="17:17" x14ac:dyDescent="0.25">
      <c r="Q41837" s="8"/>
    </row>
    <row r="41838" spans="17:17" x14ac:dyDescent="0.25">
      <c r="Q41838" s="8"/>
    </row>
    <row r="41839" spans="17:17" x14ac:dyDescent="0.25">
      <c r="Q41839" s="8"/>
    </row>
    <row r="41840" spans="17:17" x14ac:dyDescent="0.25">
      <c r="Q41840" s="8"/>
    </row>
    <row r="41841" spans="17:17" x14ac:dyDescent="0.25">
      <c r="Q41841" s="8"/>
    </row>
    <row r="41842" spans="17:17" x14ac:dyDescent="0.25">
      <c r="Q41842" s="8"/>
    </row>
    <row r="41843" spans="17:17" x14ac:dyDescent="0.25">
      <c r="Q41843" s="8"/>
    </row>
    <row r="41844" spans="17:17" x14ac:dyDescent="0.25">
      <c r="Q41844" s="8"/>
    </row>
    <row r="41845" spans="17:17" x14ac:dyDescent="0.25">
      <c r="Q41845" s="8"/>
    </row>
    <row r="41846" spans="17:17" x14ac:dyDescent="0.25">
      <c r="Q41846" s="8"/>
    </row>
    <row r="41847" spans="17:17" x14ac:dyDescent="0.25">
      <c r="Q41847" s="8"/>
    </row>
    <row r="41848" spans="17:17" x14ac:dyDescent="0.25">
      <c r="Q41848" s="8"/>
    </row>
    <row r="41849" spans="17:17" x14ac:dyDescent="0.25">
      <c r="Q41849" s="8"/>
    </row>
    <row r="41850" spans="17:17" x14ac:dyDescent="0.25">
      <c r="Q41850" s="8"/>
    </row>
    <row r="41851" spans="17:17" x14ac:dyDescent="0.25">
      <c r="Q41851" s="8"/>
    </row>
    <row r="41852" spans="17:17" x14ac:dyDescent="0.25">
      <c r="Q41852" s="8"/>
    </row>
    <row r="41853" spans="17:17" x14ac:dyDescent="0.25">
      <c r="Q41853" s="8"/>
    </row>
    <row r="41854" spans="17:17" x14ac:dyDescent="0.25">
      <c r="Q41854" s="8"/>
    </row>
    <row r="41855" spans="17:17" x14ac:dyDescent="0.25">
      <c r="Q41855" s="8"/>
    </row>
    <row r="41856" spans="17:17" x14ac:dyDescent="0.25">
      <c r="Q41856" s="8"/>
    </row>
    <row r="41857" spans="17:17" x14ac:dyDescent="0.25">
      <c r="Q41857" s="8"/>
    </row>
    <row r="41858" spans="17:17" x14ac:dyDescent="0.25">
      <c r="Q41858" s="8"/>
    </row>
    <row r="41859" spans="17:17" x14ac:dyDescent="0.25">
      <c r="Q41859" s="8"/>
    </row>
    <row r="41860" spans="17:17" x14ac:dyDescent="0.25">
      <c r="Q41860" s="8"/>
    </row>
    <row r="41861" spans="17:17" x14ac:dyDescent="0.25">
      <c r="Q41861" s="8"/>
    </row>
    <row r="41862" spans="17:17" x14ac:dyDescent="0.25">
      <c r="Q41862" s="8"/>
    </row>
    <row r="41863" spans="17:17" x14ac:dyDescent="0.25">
      <c r="Q41863" s="8"/>
    </row>
    <row r="41864" spans="17:17" x14ac:dyDescent="0.25">
      <c r="Q41864" s="8"/>
    </row>
    <row r="41865" spans="17:17" x14ac:dyDescent="0.25">
      <c r="Q41865" s="8"/>
    </row>
    <row r="41866" spans="17:17" x14ac:dyDescent="0.25">
      <c r="Q41866" s="8"/>
    </row>
    <row r="41867" spans="17:17" x14ac:dyDescent="0.25">
      <c r="Q41867" s="8"/>
    </row>
    <row r="41868" spans="17:17" x14ac:dyDescent="0.25">
      <c r="Q41868" s="8"/>
    </row>
    <row r="41869" spans="17:17" x14ac:dyDescent="0.25">
      <c r="Q41869" s="8"/>
    </row>
    <row r="41870" spans="17:17" x14ac:dyDescent="0.25">
      <c r="Q41870" s="8"/>
    </row>
    <row r="41871" spans="17:17" x14ac:dyDescent="0.25">
      <c r="Q41871" s="8"/>
    </row>
    <row r="41872" spans="17:17" x14ac:dyDescent="0.25">
      <c r="Q41872" s="8"/>
    </row>
    <row r="41873" spans="17:17" x14ac:dyDescent="0.25">
      <c r="Q41873" s="8"/>
    </row>
    <row r="41874" spans="17:17" x14ac:dyDescent="0.25">
      <c r="Q41874" s="8"/>
    </row>
    <row r="41875" spans="17:17" x14ac:dyDescent="0.25">
      <c r="Q41875" s="8"/>
    </row>
    <row r="41876" spans="17:17" x14ac:dyDescent="0.25">
      <c r="Q41876" s="8"/>
    </row>
    <row r="41877" spans="17:17" x14ac:dyDescent="0.25">
      <c r="Q41877" s="8"/>
    </row>
    <row r="41878" spans="17:17" x14ac:dyDescent="0.25">
      <c r="Q41878" s="8"/>
    </row>
    <row r="41879" spans="17:17" x14ac:dyDescent="0.25">
      <c r="Q41879" s="8"/>
    </row>
    <row r="41880" spans="17:17" x14ac:dyDescent="0.25">
      <c r="Q41880" s="8"/>
    </row>
    <row r="41881" spans="17:17" x14ac:dyDescent="0.25">
      <c r="Q41881" s="8"/>
    </row>
    <row r="41882" spans="17:17" x14ac:dyDescent="0.25">
      <c r="Q41882" s="8"/>
    </row>
    <row r="41883" spans="17:17" x14ac:dyDescent="0.25">
      <c r="Q41883" s="8"/>
    </row>
    <row r="41884" spans="17:17" x14ac:dyDescent="0.25">
      <c r="Q41884" s="8"/>
    </row>
    <row r="41885" spans="17:17" x14ac:dyDescent="0.25">
      <c r="Q41885" s="8"/>
    </row>
    <row r="41886" spans="17:17" x14ac:dyDescent="0.25">
      <c r="Q41886" s="8"/>
    </row>
    <row r="41887" spans="17:17" x14ac:dyDescent="0.25">
      <c r="Q41887" s="8"/>
    </row>
    <row r="41888" spans="17:17" x14ac:dyDescent="0.25">
      <c r="Q41888" s="8"/>
    </row>
    <row r="41889" spans="17:17" x14ac:dyDescent="0.25">
      <c r="Q41889" s="8"/>
    </row>
    <row r="41890" spans="17:17" x14ac:dyDescent="0.25">
      <c r="Q41890" s="8"/>
    </row>
    <row r="41891" spans="17:17" x14ac:dyDescent="0.25">
      <c r="Q41891" s="8"/>
    </row>
    <row r="41892" spans="17:17" x14ac:dyDescent="0.25">
      <c r="Q41892" s="8"/>
    </row>
    <row r="41893" spans="17:17" x14ac:dyDescent="0.25">
      <c r="Q41893" s="8"/>
    </row>
    <row r="41894" spans="17:17" x14ac:dyDescent="0.25">
      <c r="Q41894" s="8"/>
    </row>
    <row r="41895" spans="17:17" x14ac:dyDescent="0.25">
      <c r="Q41895" s="8"/>
    </row>
    <row r="41896" spans="17:17" x14ac:dyDescent="0.25">
      <c r="Q41896" s="8"/>
    </row>
    <row r="41897" spans="17:17" x14ac:dyDescent="0.25">
      <c r="Q41897" s="8"/>
    </row>
    <row r="41898" spans="17:17" x14ac:dyDescent="0.25">
      <c r="Q41898" s="8"/>
    </row>
    <row r="41899" spans="17:17" x14ac:dyDescent="0.25">
      <c r="Q41899" s="8"/>
    </row>
    <row r="41900" spans="17:17" x14ac:dyDescent="0.25">
      <c r="Q41900" s="8"/>
    </row>
    <row r="41901" spans="17:17" x14ac:dyDescent="0.25">
      <c r="Q41901" s="8"/>
    </row>
    <row r="41902" spans="17:17" x14ac:dyDescent="0.25">
      <c r="Q41902" s="8"/>
    </row>
    <row r="41903" spans="17:17" x14ac:dyDescent="0.25">
      <c r="Q41903" s="8"/>
    </row>
    <row r="41904" spans="17:17" x14ac:dyDescent="0.25">
      <c r="Q41904" s="8"/>
    </row>
    <row r="41905" spans="17:17" x14ac:dyDescent="0.25">
      <c r="Q41905" s="8"/>
    </row>
    <row r="41906" spans="17:17" x14ac:dyDescent="0.25">
      <c r="Q41906" s="8"/>
    </row>
    <row r="41907" spans="17:17" x14ac:dyDescent="0.25">
      <c r="Q41907" s="8"/>
    </row>
    <row r="41908" spans="17:17" x14ac:dyDescent="0.25">
      <c r="Q41908" s="8"/>
    </row>
    <row r="41909" spans="17:17" x14ac:dyDescent="0.25">
      <c r="Q41909" s="8"/>
    </row>
    <row r="41910" spans="17:17" x14ac:dyDescent="0.25">
      <c r="Q41910" s="8"/>
    </row>
    <row r="41911" spans="17:17" x14ac:dyDescent="0.25">
      <c r="Q41911" s="8"/>
    </row>
    <row r="41912" spans="17:17" x14ac:dyDescent="0.25">
      <c r="Q41912" s="8"/>
    </row>
    <row r="41913" spans="17:17" x14ac:dyDescent="0.25">
      <c r="Q41913" s="8"/>
    </row>
    <row r="41914" spans="17:17" x14ac:dyDescent="0.25">
      <c r="Q41914" s="8"/>
    </row>
    <row r="41915" spans="17:17" x14ac:dyDescent="0.25">
      <c r="Q41915" s="8"/>
    </row>
    <row r="41916" spans="17:17" x14ac:dyDescent="0.25">
      <c r="Q41916" s="8"/>
    </row>
    <row r="41917" spans="17:17" x14ac:dyDescent="0.25">
      <c r="Q41917" s="8"/>
    </row>
    <row r="41918" spans="17:17" x14ac:dyDescent="0.25">
      <c r="Q41918" s="8"/>
    </row>
    <row r="41919" spans="17:17" x14ac:dyDescent="0.25">
      <c r="Q41919" s="8"/>
    </row>
    <row r="41920" spans="17:17" x14ac:dyDescent="0.25">
      <c r="Q41920" s="8"/>
    </row>
    <row r="41921" spans="17:17" x14ac:dyDescent="0.25">
      <c r="Q41921" s="8"/>
    </row>
    <row r="41922" spans="17:17" x14ac:dyDescent="0.25">
      <c r="Q41922" s="8"/>
    </row>
    <row r="41923" spans="17:17" x14ac:dyDescent="0.25">
      <c r="Q41923" s="8"/>
    </row>
    <row r="41924" spans="17:17" x14ac:dyDescent="0.25">
      <c r="Q41924" s="8"/>
    </row>
    <row r="41925" spans="17:17" x14ac:dyDescent="0.25">
      <c r="Q41925" s="8"/>
    </row>
    <row r="41926" spans="17:17" x14ac:dyDescent="0.25">
      <c r="Q41926" s="8"/>
    </row>
    <row r="41927" spans="17:17" x14ac:dyDescent="0.25">
      <c r="Q41927" s="8"/>
    </row>
    <row r="41928" spans="17:17" x14ac:dyDescent="0.25">
      <c r="Q41928" s="8"/>
    </row>
    <row r="41929" spans="17:17" x14ac:dyDescent="0.25">
      <c r="Q41929" s="8"/>
    </row>
    <row r="41930" spans="17:17" x14ac:dyDescent="0.25">
      <c r="Q41930" s="8"/>
    </row>
    <row r="41931" spans="17:17" x14ac:dyDescent="0.25">
      <c r="Q41931" s="8"/>
    </row>
    <row r="41932" spans="17:17" x14ac:dyDescent="0.25">
      <c r="Q41932" s="8"/>
    </row>
    <row r="41933" spans="17:17" x14ac:dyDescent="0.25">
      <c r="Q41933" s="8"/>
    </row>
    <row r="41934" spans="17:17" x14ac:dyDescent="0.25">
      <c r="Q41934" s="8"/>
    </row>
    <row r="41935" spans="17:17" x14ac:dyDescent="0.25">
      <c r="Q41935" s="8"/>
    </row>
    <row r="41936" spans="17:17" x14ac:dyDescent="0.25">
      <c r="Q41936" s="8"/>
    </row>
    <row r="41937" spans="17:17" x14ac:dyDescent="0.25">
      <c r="Q41937" s="8"/>
    </row>
    <row r="41938" spans="17:17" x14ac:dyDescent="0.25">
      <c r="Q41938" s="8"/>
    </row>
    <row r="41939" spans="17:17" x14ac:dyDescent="0.25">
      <c r="Q41939" s="8"/>
    </row>
    <row r="41940" spans="17:17" x14ac:dyDescent="0.25">
      <c r="Q41940" s="8"/>
    </row>
    <row r="41941" spans="17:17" x14ac:dyDescent="0.25">
      <c r="Q41941" s="8"/>
    </row>
    <row r="41942" spans="17:17" x14ac:dyDescent="0.25">
      <c r="Q41942" s="8"/>
    </row>
    <row r="41943" spans="17:17" x14ac:dyDescent="0.25">
      <c r="Q41943" s="8"/>
    </row>
    <row r="41944" spans="17:17" x14ac:dyDescent="0.25">
      <c r="Q41944" s="8"/>
    </row>
    <row r="41945" spans="17:17" x14ac:dyDescent="0.25">
      <c r="Q41945" s="8"/>
    </row>
    <row r="41946" spans="17:17" x14ac:dyDescent="0.25">
      <c r="Q41946" s="8"/>
    </row>
    <row r="41947" spans="17:17" x14ac:dyDescent="0.25">
      <c r="Q41947" s="8"/>
    </row>
    <row r="41948" spans="17:17" x14ac:dyDescent="0.25">
      <c r="Q41948" s="8"/>
    </row>
    <row r="41949" spans="17:17" x14ac:dyDescent="0.25">
      <c r="Q41949" s="8"/>
    </row>
    <row r="41950" spans="17:17" x14ac:dyDescent="0.25">
      <c r="Q41950" s="8"/>
    </row>
    <row r="41951" spans="17:17" x14ac:dyDescent="0.25">
      <c r="Q41951" s="8"/>
    </row>
    <row r="41952" spans="17:17" x14ac:dyDescent="0.25">
      <c r="Q41952" s="8"/>
    </row>
    <row r="41953" spans="17:17" x14ac:dyDescent="0.25">
      <c r="Q41953" s="8"/>
    </row>
    <row r="41954" spans="17:17" x14ac:dyDescent="0.25">
      <c r="Q41954" s="8"/>
    </row>
    <row r="41955" spans="17:17" x14ac:dyDescent="0.25">
      <c r="Q41955" s="8"/>
    </row>
    <row r="41956" spans="17:17" x14ac:dyDescent="0.25">
      <c r="Q41956" s="8"/>
    </row>
    <row r="41957" spans="17:17" x14ac:dyDescent="0.25">
      <c r="Q41957" s="8"/>
    </row>
    <row r="41958" spans="17:17" x14ac:dyDescent="0.25">
      <c r="Q41958" s="8"/>
    </row>
    <row r="41959" spans="17:17" x14ac:dyDescent="0.25">
      <c r="Q41959" s="8"/>
    </row>
    <row r="41960" spans="17:17" x14ac:dyDescent="0.25">
      <c r="Q41960" s="8"/>
    </row>
    <row r="41961" spans="17:17" x14ac:dyDescent="0.25">
      <c r="Q41961" s="8"/>
    </row>
    <row r="41962" spans="17:17" x14ac:dyDescent="0.25">
      <c r="Q41962" s="8"/>
    </row>
    <row r="41963" spans="17:17" x14ac:dyDescent="0.25">
      <c r="Q41963" s="8"/>
    </row>
    <row r="41964" spans="17:17" x14ac:dyDescent="0.25">
      <c r="Q41964" s="8"/>
    </row>
    <row r="41965" spans="17:17" x14ac:dyDescent="0.25">
      <c r="Q41965" s="8"/>
    </row>
    <row r="41966" spans="17:17" x14ac:dyDescent="0.25">
      <c r="Q41966" s="8"/>
    </row>
    <row r="41967" spans="17:17" x14ac:dyDescent="0.25">
      <c r="Q41967" s="8"/>
    </row>
    <row r="41968" spans="17:17" x14ac:dyDescent="0.25">
      <c r="Q41968" s="8"/>
    </row>
    <row r="41969" spans="17:17" x14ac:dyDescent="0.25">
      <c r="Q41969" s="8"/>
    </row>
    <row r="41970" spans="17:17" x14ac:dyDescent="0.25">
      <c r="Q41970" s="8"/>
    </row>
    <row r="41971" spans="17:17" x14ac:dyDescent="0.25">
      <c r="Q41971" s="8"/>
    </row>
    <row r="41972" spans="17:17" x14ac:dyDescent="0.25">
      <c r="Q41972" s="8"/>
    </row>
    <row r="41973" spans="17:17" x14ac:dyDescent="0.25">
      <c r="Q41973" s="8"/>
    </row>
    <row r="41974" spans="17:17" x14ac:dyDescent="0.25">
      <c r="Q41974" s="8"/>
    </row>
    <row r="41975" spans="17:17" x14ac:dyDescent="0.25">
      <c r="Q41975" s="8"/>
    </row>
    <row r="41976" spans="17:17" x14ac:dyDescent="0.25">
      <c r="Q41976" s="8"/>
    </row>
    <row r="41977" spans="17:17" x14ac:dyDescent="0.25">
      <c r="Q41977" s="8"/>
    </row>
    <row r="41978" spans="17:17" x14ac:dyDescent="0.25">
      <c r="Q41978" s="8"/>
    </row>
    <row r="41979" spans="17:17" x14ac:dyDescent="0.25">
      <c r="Q41979" s="8"/>
    </row>
    <row r="41980" spans="17:17" x14ac:dyDescent="0.25">
      <c r="Q41980" s="8"/>
    </row>
    <row r="41981" spans="17:17" x14ac:dyDescent="0.25">
      <c r="Q41981" s="8"/>
    </row>
    <row r="41982" spans="17:17" x14ac:dyDescent="0.25">
      <c r="Q41982" s="8"/>
    </row>
    <row r="41983" spans="17:17" x14ac:dyDescent="0.25">
      <c r="Q41983" s="8"/>
    </row>
    <row r="41984" spans="17:17" x14ac:dyDescent="0.25">
      <c r="Q41984" s="8"/>
    </row>
    <row r="41985" spans="17:17" x14ac:dyDescent="0.25">
      <c r="Q41985" s="8"/>
    </row>
    <row r="41986" spans="17:17" x14ac:dyDescent="0.25">
      <c r="Q41986" s="8"/>
    </row>
    <row r="41987" spans="17:17" x14ac:dyDescent="0.25">
      <c r="Q41987" s="8"/>
    </row>
    <row r="41988" spans="17:17" x14ac:dyDescent="0.25">
      <c r="Q41988" s="8"/>
    </row>
    <row r="41989" spans="17:17" x14ac:dyDescent="0.25">
      <c r="Q41989" s="8"/>
    </row>
    <row r="41990" spans="17:17" x14ac:dyDescent="0.25">
      <c r="Q41990" s="8"/>
    </row>
    <row r="41991" spans="17:17" x14ac:dyDescent="0.25">
      <c r="Q41991" s="8"/>
    </row>
    <row r="41992" spans="17:17" x14ac:dyDescent="0.25">
      <c r="Q41992" s="8"/>
    </row>
    <row r="41993" spans="17:17" x14ac:dyDescent="0.25">
      <c r="Q41993" s="8"/>
    </row>
    <row r="41994" spans="17:17" x14ac:dyDescent="0.25">
      <c r="Q41994" s="8"/>
    </row>
    <row r="41995" spans="17:17" x14ac:dyDescent="0.25">
      <c r="Q41995" s="8"/>
    </row>
    <row r="41996" spans="17:17" x14ac:dyDescent="0.25">
      <c r="Q41996" s="8"/>
    </row>
    <row r="41997" spans="17:17" x14ac:dyDescent="0.25">
      <c r="Q41997" s="8"/>
    </row>
    <row r="41998" spans="17:17" x14ac:dyDescent="0.25">
      <c r="Q41998" s="8"/>
    </row>
    <row r="41999" spans="17:17" x14ac:dyDescent="0.25">
      <c r="Q41999" s="8"/>
    </row>
    <row r="42000" spans="17:17" x14ac:dyDescent="0.25">
      <c r="Q42000" s="8"/>
    </row>
    <row r="42001" spans="17:17" x14ac:dyDescent="0.25">
      <c r="Q42001" s="8"/>
    </row>
    <row r="42002" spans="17:17" x14ac:dyDescent="0.25">
      <c r="Q42002" s="8"/>
    </row>
    <row r="42003" spans="17:17" x14ac:dyDescent="0.25">
      <c r="Q42003" s="8"/>
    </row>
    <row r="42004" spans="17:17" x14ac:dyDescent="0.25">
      <c r="Q42004" s="8"/>
    </row>
    <row r="42005" spans="17:17" x14ac:dyDescent="0.25">
      <c r="Q42005" s="8"/>
    </row>
    <row r="42006" spans="17:17" x14ac:dyDescent="0.25">
      <c r="Q42006" s="8"/>
    </row>
    <row r="42007" spans="17:17" x14ac:dyDescent="0.25">
      <c r="Q42007" s="8"/>
    </row>
    <row r="42008" spans="17:17" x14ac:dyDescent="0.25">
      <c r="Q42008" s="8"/>
    </row>
    <row r="42009" spans="17:17" x14ac:dyDescent="0.25">
      <c r="Q42009" s="8"/>
    </row>
    <row r="42010" spans="17:17" x14ac:dyDescent="0.25">
      <c r="Q42010" s="8"/>
    </row>
    <row r="42011" spans="17:17" x14ac:dyDescent="0.25">
      <c r="Q42011" s="8"/>
    </row>
    <row r="42012" spans="17:17" x14ac:dyDescent="0.25">
      <c r="Q42012" s="8"/>
    </row>
    <row r="42013" spans="17:17" x14ac:dyDescent="0.25">
      <c r="Q42013" s="8"/>
    </row>
    <row r="42014" spans="17:17" x14ac:dyDescent="0.25">
      <c r="Q42014" s="8"/>
    </row>
    <row r="42015" spans="17:17" x14ac:dyDescent="0.25">
      <c r="Q42015" s="8"/>
    </row>
    <row r="42016" spans="17:17" x14ac:dyDescent="0.25">
      <c r="Q42016" s="8"/>
    </row>
    <row r="42017" spans="17:17" x14ac:dyDescent="0.25">
      <c r="Q42017" s="8"/>
    </row>
    <row r="42018" spans="17:17" x14ac:dyDescent="0.25">
      <c r="Q42018" s="8"/>
    </row>
    <row r="42019" spans="17:17" x14ac:dyDescent="0.25">
      <c r="Q42019" s="8"/>
    </row>
    <row r="42020" spans="17:17" x14ac:dyDescent="0.25">
      <c r="Q42020" s="8"/>
    </row>
    <row r="42021" spans="17:17" x14ac:dyDescent="0.25">
      <c r="Q42021" s="8"/>
    </row>
    <row r="42022" spans="17:17" x14ac:dyDescent="0.25">
      <c r="Q42022" s="8"/>
    </row>
    <row r="42023" spans="17:17" x14ac:dyDescent="0.25">
      <c r="Q42023" s="8"/>
    </row>
    <row r="42024" spans="17:17" x14ac:dyDescent="0.25">
      <c r="Q42024" s="8"/>
    </row>
    <row r="42025" spans="17:17" x14ac:dyDescent="0.25">
      <c r="Q42025" s="8"/>
    </row>
    <row r="42026" spans="17:17" x14ac:dyDescent="0.25">
      <c r="Q42026" s="8"/>
    </row>
    <row r="42027" spans="17:17" x14ac:dyDescent="0.25">
      <c r="Q42027" s="8"/>
    </row>
    <row r="42028" spans="17:17" x14ac:dyDescent="0.25">
      <c r="Q42028" s="8"/>
    </row>
    <row r="42029" spans="17:17" x14ac:dyDescent="0.25">
      <c r="Q42029" s="8"/>
    </row>
    <row r="42030" spans="17:17" x14ac:dyDescent="0.25">
      <c r="Q42030" s="8"/>
    </row>
    <row r="42031" spans="17:17" x14ac:dyDescent="0.25">
      <c r="Q42031" s="8"/>
    </row>
    <row r="42032" spans="17:17" x14ac:dyDescent="0.25">
      <c r="Q42032" s="8"/>
    </row>
    <row r="42033" spans="17:17" x14ac:dyDescent="0.25">
      <c r="Q42033" s="8"/>
    </row>
    <row r="42034" spans="17:17" x14ac:dyDescent="0.25">
      <c r="Q42034" s="8"/>
    </row>
    <row r="42035" spans="17:17" x14ac:dyDescent="0.25">
      <c r="Q42035" s="8"/>
    </row>
    <row r="42036" spans="17:17" x14ac:dyDescent="0.25">
      <c r="Q42036" s="8"/>
    </row>
    <row r="42037" spans="17:17" x14ac:dyDescent="0.25">
      <c r="Q42037" s="8"/>
    </row>
    <row r="42038" spans="17:17" x14ac:dyDescent="0.25">
      <c r="Q42038" s="8"/>
    </row>
    <row r="42039" spans="17:17" x14ac:dyDescent="0.25">
      <c r="Q42039" s="8"/>
    </row>
    <row r="42040" spans="17:17" x14ac:dyDescent="0.25">
      <c r="Q42040" s="8"/>
    </row>
    <row r="42041" spans="17:17" x14ac:dyDescent="0.25">
      <c r="Q42041" s="8"/>
    </row>
    <row r="42042" spans="17:17" x14ac:dyDescent="0.25">
      <c r="Q42042" s="8"/>
    </row>
    <row r="42043" spans="17:17" x14ac:dyDescent="0.25">
      <c r="Q42043" s="8"/>
    </row>
    <row r="42044" spans="17:17" x14ac:dyDescent="0.25">
      <c r="Q42044" s="8"/>
    </row>
    <row r="42045" spans="17:17" x14ac:dyDescent="0.25">
      <c r="Q42045" s="8"/>
    </row>
    <row r="42046" spans="17:17" x14ac:dyDescent="0.25">
      <c r="Q42046" s="8"/>
    </row>
    <row r="42047" spans="17:17" x14ac:dyDescent="0.25">
      <c r="Q42047" s="8"/>
    </row>
    <row r="42048" spans="17:17" x14ac:dyDescent="0.25">
      <c r="Q42048" s="8"/>
    </row>
    <row r="42049" spans="17:17" x14ac:dyDescent="0.25">
      <c r="Q42049" s="8"/>
    </row>
    <row r="42050" spans="17:17" x14ac:dyDescent="0.25">
      <c r="Q42050" s="8"/>
    </row>
    <row r="42051" spans="17:17" x14ac:dyDescent="0.25">
      <c r="Q42051" s="8"/>
    </row>
    <row r="42052" spans="17:17" x14ac:dyDescent="0.25">
      <c r="Q42052" s="8"/>
    </row>
    <row r="42053" spans="17:17" x14ac:dyDescent="0.25">
      <c r="Q42053" s="8"/>
    </row>
    <row r="42054" spans="17:17" x14ac:dyDescent="0.25">
      <c r="Q42054" s="8"/>
    </row>
    <row r="42055" spans="17:17" x14ac:dyDescent="0.25">
      <c r="Q42055" s="8"/>
    </row>
    <row r="42056" spans="17:17" x14ac:dyDescent="0.25">
      <c r="Q42056" s="8"/>
    </row>
    <row r="42057" spans="17:17" x14ac:dyDescent="0.25">
      <c r="Q42057" s="8"/>
    </row>
    <row r="42058" spans="17:17" x14ac:dyDescent="0.25">
      <c r="Q42058" s="8"/>
    </row>
    <row r="42059" spans="17:17" x14ac:dyDescent="0.25">
      <c r="Q42059" s="8"/>
    </row>
    <row r="42060" spans="17:17" x14ac:dyDescent="0.25">
      <c r="Q42060" s="8"/>
    </row>
    <row r="42061" spans="17:17" x14ac:dyDescent="0.25">
      <c r="Q42061" s="8"/>
    </row>
    <row r="42062" spans="17:17" x14ac:dyDescent="0.25">
      <c r="Q42062" s="8"/>
    </row>
    <row r="42063" spans="17:17" x14ac:dyDescent="0.25">
      <c r="Q42063" s="8"/>
    </row>
    <row r="42064" spans="17:17" x14ac:dyDescent="0.25">
      <c r="Q42064" s="8"/>
    </row>
    <row r="42065" spans="17:17" x14ac:dyDescent="0.25">
      <c r="Q42065" s="8"/>
    </row>
    <row r="42066" spans="17:17" x14ac:dyDescent="0.25">
      <c r="Q42066" s="8"/>
    </row>
    <row r="42067" spans="17:17" x14ac:dyDescent="0.25">
      <c r="Q42067" s="8"/>
    </row>
    <row r="42068" spans="17:17" x14ac:dyDescent="0.25">
      <c r="Q42068" s="8"/>
    </row>
    <row r="42069" spans="17:17" x14ac:dyDescent="0.25">
      <c r="Q42069" s="8"/>
    </row>
    <row r="42070" spans="17:17" x14ac:dyDescent="0.25">
      <c r="Q42070" s="8"/>
    </row>
    <row r="42071" spans="17:17" x14ac:dyDescent="0.25">
      <c r="Q42071" s="8"/>
    </row>
    <row r="42072" spans="17:17" x14ac:dyDescent="0.25">
      <c r="Q42072" s="8"/>
    </row>
    <row r="42073" spans="17:17" x14ac:dyDescent="0.25">
      <c r="Q42073" s="8"/>
    </row>
    <row r="42074" spans="17:17" x14ac:dyDescent="0.25">
      <c r="Q42074" s="8"/>
    </row>
    <row r="42075" spans="17:17" x14ac:dyDescent="0.25">
      <c r="Q42075" s="8"/>
    </row>
    <row r="42076" spans="17:17" x14ac:dyDescent="0.25">
      <c r="Q42076" s="8"/>
    </row>
    <row r="42077" spans="17:17" x14ac:dyDescent="0.25">
      <c r="Q42077" s="8"/>
    </row>
    <row r="42078" spans="17:17" x14ac:dyDescent="0.25">
      <c r="Q42078" s="8"/>
    </row>
    <row r="42079" spans="17:17" x14ac:dyDescent="0.25">
      <c r="Q42079" s="8"/>
    </row>
    <row r="42080" spans="17:17" x14ac:dyDescent="0.25">
      <c r="Q42080" s="8"/>
    </row>
    <row r="42081" spans="17:17" x14ac:dyDescent="0.25">
      <c r="Q42081" s="8"/>
    </row>
    <row r="42082" spans="17:17" x14ac:dyDescent="0.25">
      <c r="Q42082" s="8"/>
    </row>
    <row r="42083" spans="17:17" x14ac:dyDescent="0.25">
      <c r="Q42083" s="8"/>
    </row>
    <row r="42084" spans="17:17" x14ac:dyDescent="0.25">
      <c r="Q42084" s="8"/>
    </row>
    <row r="42085" spans="17:17" x14ac:dyDescent="0.25">
      <c r="Q42085" s="8"/>
    </row>
    <row r="42086" spans="17:17" x14ac:dyDescent="0.25">
      <c r="Q42086" s="8"/>
    </row>
    <row r="42087" spans="17:17" x14ac:dyDescent="0.25">
      <c r="Q42087" s="8"/>
    </row>
    <row r="42088" spans="17:17" x14ac:dyDescent="0.25">
      <c r="Q42088" s="8"/>
    </row>
    <row r="42089" spans="17:17" x14ac:dyDescent="0.25">
      <c r="Q42089" s="8"/>
    </row>
    <row r="42090" spans="17:17" x14ac:dyDescent="0.25">
      <c r="Q42090" s="8"/>
    </row>
    <row r="42091" spans="17:17" x14ac:dyDescent="0.25">
      <c r="Q42091" s="8"/>
    </row>
    <row r="42092" spans="17:17" x14ac:dyDescent="0.25">
      <c r="Q42092" s="8"/>
    </row>
    <row r="42093" spans="17:17" x14ac:dyDescent="0.25">
      <c r="Q42093" s="8"/>
    </row>
    <row r="42094" spans="17:17" x14ac:dyDescent="0.25">
      <c r="Q42094" s="8"/>
    </row>
    <row r="42095" spans="17:17" x14ac:dyDescent="0.25">
      <c r="Q42095" s="8"/>
    </row>
    <row r="42096" spans="17:17" x14ac:dyDescent="0.25">
      <c r="Q42096" s="8"/>
    </row>
    <row r="42097" spans="17:17" x14ac:dyDescent="0.25">
      <c r="Q42097" s="8"/>
    </row>
    <row r="42098" spans="17:17" x14ac:dyDescent="0.25">
      <c r="Q42098" s="8"/>
    </row>
    <row r="42099" spans="17:17" x14ac:dyDescent="0.25">
      <c r="Q42099" s="8"/>
    </row>
    <row r="42100" spans="17:17" x14ac:dyDescent="0.25">
      <c r="Q42100" s="8"/>
    </row>
    <row r="42101" spans="17:17" x14ac:dyDescent="0.25">
      <c r="Q42101" s="8"/>
    </row>
    <row r="42102" spans="17:17" x14ac:dyDescent="0.25">
      <c r="Q42102" s="8"/>
    </row>
    <row r="42103" spans="17:17" x14ac:dyDescent="0.25">
      <c r="Q42103" s="8"/>
    </row>
    <row r="42104" spans="17:17" x14ac:dyDescent="0.25">
      <c r="Q42104" s="8"/>
    </row>
    <row r="42105" spans="17:17" x14ac:dyDescent="0.25">
      <c r="Q42105" s="8"/>
    </row>
    <row r="42106" spans="17:17" x14ac:dyDescent="0.25">
      <c r="Q42106" s="8"/>
    </row>
    <row r="42107" spans="17:17" x14ac:dyDescent="0.25">
      <c r="Q42107" s="8"/>
    </row>
    <row r="42108" spans="17:17" x14ac:dyDescent="0.25">
      <c r="Q42108" s="8"/>
    </row>
    <row r="42109" spans="17:17" x14ac:dyDescent="0.25">
      <c r="Q42109" s="8"/>
    </row>
    <row r="42110" spans="17:17" x14ac:dyDescent="0.25">
      <c r="Q42110" s="8"/>
    </row>
    <row r="42111" spans="17:17" x14ac:dyDescent="0.25">
      <c r="Q42111" s="8"/>
    </row>
    <row r="42112" spans="17:17" x14ac:dyDescent="0.25">
      <c r="Q42112" s="8"/>
    </row>
    <row r="42113" spans="17:17" x14ac:dyDescent="0.25">
      <c r="Q42113" s="8"/>
    </row>
    <row r="42114" spans="17:17" x14ac:dyDescent="0.25">
      <c r="Q42114" s="8"/>
    </row>
    <row r="42115" spans="17:17" x14ac:dyDescent="0.25">
      <c r="Q42115" s="8"/>
    </row>
    <row r="42116" spans="17:17" x14ac:dyDescent="0.25">
      <c r="Q42116" s="8"/>
    </row>
    <row r="42117" spans="17:17" x14ac:dyDescent="0.25">
      <c r="Q42117" s="8"/>
    </row>
    <row r="42118" spans="17:17" x14ac:dyDescent="0.25">
      <c r="Q42118" s="8"/>
    </row>
    <row r="42119" spans="17:17" x14ac:dyDescent="0.25">
      <c r="Q42119" s="8"/>
    </row>
    <row r="42120" spans="17:17" x14ac:dyDescent="0.25">
      <c r="Q42120" s="8"/>
    </row>
    <row r="42121" spans="17:17" x14ac:dyDescent="0.25">
      <c r="Q42121" s="8"/>
    </row>
    <row r="42122" spans="17:17" x14ac:dyDescent="0.25">
      <c r="Q42122" s="8"/>
    </row>
    <row r="42123" spans="17:17" x14ac:dyDescent="0.25">
      <c r="Q42123" s="8"/>
    </row>
    <row r="42124" spans="17:17" x14ac:dyDescent="0.25">
      <c r="Q42124" s="8"/>
    </row>
    <row r="42125" spans="17:17" x14ac:dyDescent="0.25">
      <c r="Q42125" s="8"/>
    </row>
    <row r="42126" spans="17:17" x14ac:dyDescent="0.25">
      <c r="Q42126" s="8"/>
    </row>
    <row r="42127" spans="17:17" x14ac:dyDescent="0.25">
      <c r="Q42127" s="8"/>
    </row>
    <row r="42128" spans="17:17" x14ac:dyDescent="0.25">
      <c r="Q42128" s="8"/>
    </row>
    <row r="42129" spans="17:17" x14ac:dyDescent="0.25">
      <c r="Q42129" s="8"/>
    </row>
    <row r="42130" spans="17:17" x14ac:dyDescent="0.25">
      <c r="Q42130" s="8"/>
    </row>
    <row r="42131" spans="17:17" x14ac:dyDescent="0.25">
      <c r="Q42131" s="8"/>
    </row>
    <row r="42132" spans="17:17" x14ac:dyDescent="0.25">
      <c r="Q42132" s="8"/>
    </row>
    <row r="42133" spans="17:17" x14ac:dyDescent="0.25">
      <c r="Q42133" s="8"/>
    </row>
    <row r="42134" spans="17:17" x14ac:dyDescent="0.25">
      <c r="Q42134" s="8"/>
    </row>
    <row r="42135" spans="17:17" x14ac:dyDescent="0.25">
      <c r="Q42135" s="8"/>
    </row>
    <row r="42136" spans="17:17" x14ac:dyDescent="0.25">
      <c r="Q42136" s="8"/>
    </row>
    <row r="42137" spans="17:17" x14ac:dyDescent="0.25">
      <c r="Q42137" s="8"/>
    </row>
    <row r="42138" spans="17:17" x14ac:dyDescent="0.25">
      <c r="Q42138" s="8"/>
    </row>
    <row r="42139" spans="17:17" x14ac:dyDescent="0.25">
      <c r="Q42139" s="8"/>
    </row>
    <row r="42140" spans="17:17" x14ac:dyDescent="0.25">
      <c r="Q42140" s="8"/>
    </row>
    <row r="42141" spans="17:17" x14ac:dyDescent="0.25">
      <c r="Q42141" s="8"/>
    </row>
    <row r="42142" spans="17:17" x14ac:dyDescent="0.25">
      <c r="Q42142" s="8"/>
    </row>
    <row r="42143" spans="17:17" x14ac:dyDescent="0.25">
      <c r="Q42143" s="8"/>
    </row>
    <row r="42144" spans="17:17" x14ac:dyDescent="0.25">
      <c r="Q42144" s="8"/>
    </row>
    <row r="42145" spans="17:17" x14ac:dyDescent="0.25">
      <c r="Q42145" s="8"/>
    </row>
    <row r="42146" spans="17:17" x14ac:dyDescent="0.25">
      <c r="Q42146" s="8"/>
    </row>
    <row r="42147" spans="17:17" x14ac:dyDescent="0.25">
      <c r="Q42147" s="8"/>
    </row>
    <row r="42148" spans="17:17" x14ac:dyDescent="0.25">
      <c r="Q42148" s="8"/>
    </row>
    <row r="42149" spans="17:17" x14ac:dyDescent="0.25">
      <c r="Q42149" s="8"/>
    </row>
    <row r="42150" spans="17:17" x14ac:dyDescent="0.25">
      <c r="Q42150" s="8"/>
    </row>
    <row r="42151" spans="17:17" x14ac:dyDescent="0.25">
      <c r="Q42151" s="8"/>
    </row>
    <row r="42152" spans="17:17" x14ac:dyDescent="0.25">
      <c r="Q42152" s="8"/>
    </row>
    <row r="42153" spans="17:17" x14ac:dyDescent="0.25">
      <c r="Q42153" s="8"/>
    </row>
    <row r="42154" spans="17:17" x14ac:dyDescent="0.25">
      <c r="Q42154" s="8"/>
    </row>
    <row r="42155" spans="17:17" x14ac:dyDescent="0.25">
      <c r="Q42155" s="8"/>
    </row>
    <row r="42156" spans="17:17" x14ac:dyDescent="0.25">
      <c r="Q42156" s="8"/>
    </row>
    <row r="42157" spans="17:17" x14ac:dyDescent="0.25">
      <c r="Q42157" s="8"/>
    </row>
    <row r="42158" spans="17:17" x14ac:dyDescent="0.25">
      <c r="Q42158" s="8"/>
    </row>
    <row r="42159" spans="17:17" x14ac:dyDescent="0.25">
      <c r="Q42159" s="8"/>
    </row>
    <row r="42160" spans="17:17" x14ac:dyDescent="0.25">
      <c r="Q42160" s="8"/>
    </row>
    <row r="42161" spans="17:17" x14ac:dyDescent="0.25">
      <c r="Q42161" s="8"/>
    </row>
    <row r="42162" spans="17:17" x14ac:dyDescent="0.25">
      <c r="Q42162" s="8"/>
    </row>
    <row r="42163" spans="17:17" x14ac:dyDescent="0.25">
      <c r="Q42163" s="8"/>
    </row>
    <row r="42164" spans="17:17" x14ac:dyDescent="0.25">
      <c r="Q42164" s="8"/>
    </row>
    <row r="42165" spans="17:17" x14ac:dyDescent="0.25">
      <c r="Q42165" s="8"/>
    </row>
    <row r="42166" spans="17:17" x14ac:dyDescent="0.25">
      <c r="Q42166" s="8"/>
    </row>
    <row r="42167" spans="17:17" x14ac:dyDescent="0.25">
      <c r="Q42167" s="8"/>
    </row>
    <row r="42168" spans="17:17" x14ac:dyDescent="0.25">
      <c r="Q42168" s="8"/>
    </row>
    <row r="42169" spans="17:17" x14ac:dyDescent="0.25">
      <c r="Q42169" s="8"/>
    </row>
    <row r="42170" spans="17:17" x14ac:dyDescent="0.25">
      <c r="Q42170" s="8"/>
    </row>
    <row r="42171" spans="17:17" x14ac:dyDescent="0.25">
      <c r="Q42171" s="8"/>
    </row>
    <row r="42172" spans="17:17" x14ac:dyDescent="0.25">
      <c r="Q42172" s="8"/>
    </row>
    <row r="42173" spans="17:17" x14ac:dyDescent="0.25">
      <c r="Q42173" s="8"/>
    </row>
    <row r="42174" spans="17:17" x14ac:dyDescent="0.25">
      <c r="Q42174" s="8"/>
    </row>
    <row r="42175" spans="17:17" x14ac:dyDescent="0.25">
      <c r="Q42175" s="8"/>
    </row>
    <row r="42176" spans="17:17" x14ac:dyDescent="0.25">
      <c r="Q42176" s="8"/>
    </row>
    <row r="42177" spans="17:17" x14ac:dyDescent="0.25">
      <c r="Q42177" s="8"/>
    </row>
    <row r="42178" spans="17:17" x14ac:dyDescent="0.25">
      <c r="Q42178" s="8"/>
    </row>
    <row r="42179" spans="17:17" x14ac:dyDescent="0.25">
      <c r="Q42179" s="8"/>
    </row>
    <row r="42180" spans="17:17" x14ac:dyDescent="0.25">
      <c r="Q42180" s="8"/>
    </row>
    <row r="42181" spans="17:17" x14ac:dyDescent="0.25">
      <c r="Q42181" s="8"/>
    </row>
    <row r="42182" spans="17:17" x14ac:dyDescent="0.25">
      <c r="Q42182" s="8"/>
    </row>
    <row r="42183" spans="17:17" x14ac:dyDescent="0.25">
      <c r="Q42183" s="8"/>
    </row>
    <row r="42184" spans="17:17" x14ac:dyDescent="0.25">
      <c r="Q42184" s="8"/>
    </row>
    <row r="42185" spans="17:17" x14ac:dyDescent="0.25">
      <c r="Q42185" s="8"/>
    </row>
    <row r="42186" spans="17:17" x14ac:dyDescent="0.25">
      <c r="Q42186" s="8"/>
    </row>
    <row r="42187" spans="17:17" x14ac:dyDescent="0.25">
      <c r="Q42187" s="8"/>
    </row>
    <row r="42188" spans="17:17" x14ac:dyDescent="0.25">
      <c r="Q42188" s="8"/>
    </row>
    <row r="42189" spans="17:17" x14ac:dyDescent="0.25">
      <c r="Q42189" s="8"/>
    </row>
    <row r="42190" spans="17:17" x14ac:dyDescent="0.25">
      <c r="Q42190" s="8"/>
    </row>
    <row r="42191" spans="17:17" x14ac:dyDescent="0.25">
      <c r="Q42191" s="8"/>
    </row>
    <row r="42192" spans="17:17" x14ac:dyDescent="0.25">
      <c r="Q42192" s="8"/>
    </row>
    <row r="42193" spans="17:17" x14ac:dyDescent="0.25">
      <c r="Q42193" s="8"/>
    </row>
    <row r="42194" spans="17:17" x14ac:dyDescent="0.25">
      <c r="Q42194" s="8"/>
    </row>
    <row r="42195" spans="17:17" x14ac:dyDescent="0.25">
      <c r="Q42195" s="8"/>
    </row>
    <row r="42196" spans="17:17" x14ac:dyDescent="0.25">
      <c r="Q42196" s="8"/>
    </row>
    <row r="42197" spans="17:17" x14ac:dyDescent="0.25">
      <c r="Q42197" s="8"/>
    </row>
    <row r="42198" spans="17:17" x14ac:dyDescent="0.25">
      <c r="Q42198" s="8"/>
    </row>
    <row r="42199" spans="17:17" x14ac:dyDescent="0.25">
      <c r="Q42199" s="8"/>
    </row>
    <row r="42200" spans="17:17" x14ac:dyDescent="0.25">
      <c r="Q42200" s="8"/>
    </row>
    <row r="42201" spans="17:17" x14ac:dyDescent="0.25">
      <c r="Q42201" s="8"/>
    </row>
    <row r="42202" spans="17:17" x14ac:dyDescent="0.25">
      <c r="Q42202" s="8"/>
    </row>
    <row r="42203" spans="17:17" x14ac:dyDescent="0.25">
      <c r="Q42203" s="8"/>
    </row>
    <row r="42204" spans="17:17" x14ac:dyDescent="0.25">
      <c r="Q42204" s="8"/>
    </row>
    <row r="42205" spans="17:17" x14ac:dyDescent="0.25">
      <c r="Q42205" s="8"/>
    </row>
    <row r="42206" spans="17:17" x14ac:dyDescent="0.25">
      <c r="Q42206" s="8"/>
    </row>
    <row r="42207" spans="17:17" x14ac:dyDescent="0.25">
      <c r="Q42207" s="8"/>
    </row>
    <row r="42208" spans="17:17" x14ac:dyDescent="0.25">
      <c r="Q42208" s="8"/>
    </row>
    <row r="42209" spans="17:17" x14ac:dyDescent="0.25">
      <c r="Q42209" s="8"/>
    </row>
    <row r="42210" spans="17:17" x14ac:dyDescent="0.25">
      <c r="Q42210" s="8"/>
    </row>
    <row r="42211" spans="17:17" x14ac:dyDescent="0.25">
      <c r="Q42211" s="8"/>
    </row>
    <row r="42212" spans="17:17" x14ac:dyDescent="0.25">
      <c r="Q42212" s="8"/>
    </row>
    <row r="42213" spans="17:17" x14ac:dyDescent="0.25">
      <c r="Q42213" s="8"/>
    </row>
    <row r="42214" spans="17:17" x14ac:dyDescent="0.25">
      <c r="Q42214" s="8"/>
    </row>
    <row r="42215" spans="17:17" x14ac:dyDescent="0.25">
      <c r="Q42215" s="8"/>
    </row>
    <row r="42216" spans="17:17" x14ac:dyDescent="0.25">
      <c r="Q42216" s="8"/>
    </row>
    <row r="42217" spans="17:17" x14ac:dyDescent="0.25">
      <c r="Q42217" s="8"/>
    </row>
    <row r="42218" spans="17:17" x14ac:dyDescent="0.25">
      <c r="Q42218" s="8"/>
    </row>
    <row r="42219" spans="17:17" x14ac:dyDescent="0.25">
      <c r="Q42219" s="8"/>
    </row>
    <row r="42220" spans="17:17" x14ac:dyDescent="0.25">
      <c r="Q42220" s="8"/>
    </row>
    <row r="42221" spans="17:17" x14ac:dyDescent="0.25">
      <c r="Q42221" s="8"/>
    </row>
    <row r="42222" spans="17:17" x14ac:dyDescent="0.25">
      <c r="Q42222" s="8"/>
    </row>
    <row r="42223" spans="17:17" x14ac:dyDescent="0.25">
      <c r="Q42223" s="8"/>
    </row>
    <row r="42224" spans="17:17" x14ac:dyDescent="0.25">
      <c r="Q42224" s="8"/>
    </row>
    <row r="42225" spans="17:17" x14ac:dyDescent="0.25">
      <c r="Q42225" s="8"/>
    </row>
    <row r="42226" spans="17:17" x14ac:dyDescent="0.25">
      <c r="Q42226" s="8"/>
    </row>
    <row r="42227" spans="17:17" x14ac:dyDescent="0.25">
      <c r="Q42227" s="8"/>
    </row>
    <row r="42228" spans="17:17" x14ac:dyDescent="0.25">
      <c r="Q42228" s="8"/>
    </row>
    <row r="42229" spans="17:17" x14ac:dyDescent="0.25">
      <c r="Q42229" s="8"/>
    </row>
    <row r="42230" spans="17:17" x14ac:dyDescent="0.25">
      <c r="Q42230" s="8"/>
    </row>
    <row r="42231" spans="17:17" x14ac:dyDescent="0.25">
      <c r="Q42231" s="8"/>
    </row>
    <row r="42232" spans="17:17" x14ac:dyDescent="0.25">
      <c r="Q42232" s="8"/>
    </row>
    <row r="42233" spans="17:17" x14ac:dyDescent="0.25">
      <c r="Q42233" s="8"/>
    </row>
    <row r="42234" spans="17:17" x14ac:dyDescent="0.25">
      <c r="Q42234" s="8"/>
    </row>
    <row r="42235" spans="17:17" x14ac:dyDescent="0.25">
      <c r="Q42235" s="8"/>
    </row>
    <row r="42236" spans="17:17" x14ac:dyDescent="0.25">
      <c r="Q42236" s="8"/>
    </row>
    <row r="42237" spans="17:17" x14ac:dyDescent="0.25">
      <c r="Q42237" s="8"/>
    </row>
    <row r="42238" spans="17:17" x14ac:dyDescent="0.25">
      <c r="Q42238" s="8"/>
    </row>
    <row r="42239" spans="17:17" x14ac:dyDescent="0.25">
      <c r="Q42239" s="8"/>
    </row>
    <row r="42240" spans="17:17" x14ac:dyDescent="0.25">
      <c r="Q42240" s="8"/>
    </row>
    <row r="42241" spans="17:17" x14ac:dyDescent="0.25">
      <c r="Q42241" s="8"/>
    </row>
    <row r="42242" spans="17:17" x14ac:dyDescent="0.25">
      <c r="Q42242" s="8"/>
    </row>
    <row r="42243" spans="17:17" x14ac:dyDescent="0.25">
      <c r="Q42243" s="8"/>
    </row>
    <row r="42244" spans="17:17" x14ac:dyDescent="0.25">
      <c r="Q42244" s="8"/>
    </row>
    <row r="42245" spans="17:17" x14ac:dyDescent="0.25">
      <c r="Q42245" s="8"/>
    </row>
    <row r="42246" spans="17:17" x14ac:dyDescent="0.25">
      <c r="Q42246" s="8"/>
    </row>
    <row r="42247" spans="17:17" x14ac:dyDescent="0.25">
      <c r="Q42247" s="8"/>
    </row>
    <row r="42248" spans="17:17" x14ac:dyDescent="0.25">
      <c r="Q42248" s="8"/>
    </row>
    <row r="42249" spans="17:17" x14ac:dyDescent="0.25">
      <c r="Q42249" s="8"/>
    </row>
    <row r="42250" spans="17:17" x14ac:dyDescent="0.25">
      <c r="Q42250" s="8"/>
    </row>
    <row r="42251" spans="17:17" x14ac:dyDescent="0.25">
      <c r="Q42251" s="8"/>
    </row>
    <row r="42252" spans="17:17" x14ac:dyDescent="0.25">
      <c r="Q42252" s="8"/>
    </row>
    <row r="42253" spans="17:17" x14ac:dyDescent="0.25">
      <c r="Q42253" s="8"/>
    </row>
    <row r="42254" spans="17:17" x14ac:dyDescent="0.25">
      <c r="Q42254" s="8"/>
    </row>
    <row r="42255" spans="17:17" x14ac:dyDescent="0.25">
      <c r="Q42255" s="8"/>
    </row>
    <row r="42256" spans="17:17" x14ac:dyDescent="0.25">
      <c r="Q42256" s="8"/>
    </row>
    <row r="42257" spans="17:17" x14ac:dyDescent="0.25">
      <c r="Q42257" s="8"/>
    </row>
    <row r="42258" spans="17:17" x14ac:dyDescent="0.25">
      <c r="Q42258" s="8"/>
    </row>
    <row r="42259" spans="17:17" x14ac:dyDescent="0.25">
      <c r="Q42259" s="8"/>
    </row>
    <row r="42260" spans="17:17" x14ac:dyDescent="0.25">
      <c r="Q42260" s="8"/>
    </row>
    <row r="42261" spans="17:17" x14ac:dyDescent="0.25">
      <c r="Q42261" s="8"/>
    </row>
    <row r="42262" spans="17:17" x14ac:dyDescent="0.25">
      <c r="Q42262" s="8"/>
    </row>
    <row r="42263" spans="17:17" x14ac:dyDescent="0.25">
      <c r="Q42263" s="8"/>
    </row>
    <row r="42264" spans="17:17" x14ac:dyDescent="0.25">
      <c r="Q42264" s="8"/>
    </row>
    <row r="42265" spans="17:17" x14ac:dyDescent="0.25">
      <c r="Q42265" s="8"/>
    </row>
    <row r="42266" spans="17:17" x14ac:dyDescent="0.25">
      <c r="Q42266" s="8"/>
    </row>
    <row r="42267" spans="17:17" x14ac:dyDescent="0.25">
      <c r="Q42267" s="8"/>
    </row>
    <row r="42268" spans="17:17" x14ac:dyDescent="0.25">
      <c r="Q42268" s="8"/>
    </row>
    <row r="42269" spans="17:17" x14ac:dyDescent="0.25">
      <c r="Q42269" s="8"/>
    </row>
    <row r="42270" spans="17:17" x14ac:dyDescent="0.25">
      <c r="Q42270" s="8"/>
    </row>
    <row r="42271" spans="17:17" x14ac:dyDescent="0.25">
      <c r="Q42271" s="8"/>
    </row>
    <row r="42272" spans="17:17" x14ac:dyDescent="0.25">
      <c r="Q42272" s="8"/>
    </row>
    <row r="42273" spans="17:17" x14ac:dyDescent="0.25">
      <c r="Q42273" s="8"/>
    </row>
    <row r="42274" spans="17:17" x14ac:dyDescent="0.25">
      <c r="Q42274" s="8"/>
    </row>
    <row r="42275" spans="17:17" x14ac:dyDescent="0.25">
      <c r="Q42275" s="8"/>
    </row>
    <row r="42276" spans="17:17" x14ac:dyDescent="0.25">
      <c r="Q42276" s="8"/>
    </row>
    <row r="42277" spans="17:17" x14ac:dyDescent="0.25">
      <c r="Q42277" s="8"/>
    </row>
    <row r="42278" spans="17:17" x14ac:dyDescent="0.25">
      <c r="Q42278" s="8"/>
    </row>
    <row r="42279" spans="17:17" x14ac:dyDescent="0.25">
      <c r="Q42279" s="8"/>
    </row>
    <row r="42280" spans="17:17" x14ac:dyDescent="0.25">
      <c r="Q42280" s="8"/>
    </row>
    <row r="42281" spans="17:17" x14ac:dyDescent="0.25">
      <c r="Q42281" s="8"/>
    </row>
    <row r="42282" spans="17:17" x14ac:dyDescent="0.25">
      <c r="Q42282" s="8"/>
    </row>
    <row r="42283" spans="17:17" x14ac:dyDescent="0.25">
      <c r="Q42283" s="8"/>
    </row>
    <row r="42284" spans="17:17" x14ac:dyDescent="0.25">
      <c r="Q42284" s="8"/>
    </row>
    <row r="42285" spans="17:17" x14ac:dyDescent="0.25">
      <c r="Q42285" s="8"/>
    </row>
    <row r="42286" spans="17:17" x14ac:dyDescent="0.25">
      <c r="Q42286" s="8"/>
    </row>
    <row r="42287" spans="17:17" x14ac:dyDescent="0.25">
      <c r="Q42287" s="8"/>
    </row>
    <row r="42288" spans="17:17" x14ac:dyDescent="0.25">
      <c r="Q42288" s="8"/>
    </row>
    <row r="42289" spans="17:17" x14ac:dyDescent="0.25">
      <c r="Q42289" s="8"/>
    </row>
    <row r="42290" spans="17:17" x14ac:dyDescent="0.25">
      <c r="Q42290" s="8"/>
    </row>
    <row r="42291" spans="17:17" x14ac:dyDescent="0.25">
      <c r="Q42291" s="8"/>
    </row>
    <row r="42292" spans="17:17" x14ac:dyDescent="0.25">
      <c r="Q42292" s="8"/>
    </row>
    <row r="42293" spans="17:17" x14ac:dyDescent="0.25">
      <c r="Q42293" s="8"/>
    </row>
    <row r="42294" spans="17:17" x14ac:dyDescent="0.25">
      <c r="Q42294" s="8"/>
    </row>
    <row r="42295" spans="17:17" x14ac:dyDescent="0.25">
      <c r="Q42295" s="8"/>
    </row>
    <row r="42296" spans="17:17" x14ac:dyDescent="0.25">
      <c r="Q42296" s="8"/>
    </row>
    <row r="42297" spans="17:17" x14ac:dyDescent="0.25">
      <c r="Q42297" s="8"/>
    </row>
    <row r="42298" spans="17:17" x14ac:dyDescent="0.25">
      <c r="Q42298" s="8"/>
    </row>
    <row r="42299" spans="17:17" x14ac:dyDescent="0.25">
      <c r="Q42299" s="8"/>
    </row>
    <row r="42300" spans="17:17" x14ac:dyDescent="0.25">
      <c r="Q42300" s="8"/>
    </row>
    <row r="42301" spans="17:17" x14ac:dyDescent="0.25">
      <c r="Q42301" s="8"/>
    </row>
    <row r="42302" spans="17:17" x14ac:dyDescent="0.25">
      <c r="Q42302" s="8"/>
    </row>
    <row r="42303" spans="17:17" x14ac:dyDescent="0.25">
      <c r="Q42303" s="8"/>
    </row>
    <row r="42304" spans="17:17" x14ac:dyDescent="0.25">
      <c r="Q42304" s="8"/>
    </row>
    <row r="42305" spans="17:17" x14ac:dyDescent="0.25">
      <c r="Q42305" s="8"/>
    </row>
    <row r="42306" spans="17:17" x14ac:dyDescent="0.25">
      <c r="Q42306" s="8"/>
    </row>
    <row r="42307" spans="17:17" x14ac:dyDescent="0.25">
      <c r="Q42307" s="8"/>
    </row>
    <row r="42308" spans="17:17" x14ac:dyDescent="0.25">
      <c r="Q42308" s="8"/>
    </row>
    <row r="42309" spans="17:17" x14ac:dyDescent="0.25">
      <c r="Q42309" s="8"/>
    </row>
    <row r="42310" spans="17:17" x14ac:dyDescent="0.25">
      <c r="Q42310" s="8"/>
    </row>
    <row r="42311" spans="17:17" x14ac:dyDescent="0.25">
      <c r="Q42311" s="8"/>
    </row>
    <row r="42312" spans="17:17" x14ac:dyDescent="0.25">
      <c r="Q42312" s="8"/>
    </row>
    <row r="42313" spans="17:17" x14ac:dyDescent="0.25">
      <c r="Q42313" s="8"/>
    </row>
    <row r="42314" spans="17:17" x14ac:dyDescent="0.25">
      <c r="Q42314" s="8"/>
    </row>
    <row r="42315" spans="17:17" x14ac:dyDescent="0.25">
      <c r="Q42315" s="8"/>
    </row>
    <row r="42316" spans="17:17" x14ac:dyDescent="0.25">
      <c r="Q42316" s="8"/>
    </row>
    <row r="42317" spans="17:17" x14ac:dyDescent="0.25">
      <c r="Q42317" s="8"/>
    </row>
    <row r="42318" spans="17:17" x14ac:dyDescent="0.25">
      <c r="Q42318" s="8"/>
    </row>
    <row r="42319" spans="17:17" x14ac:dyDescent="0.25">
      <c r="Q42319" s="8"/>
    </row>
    <row r="42320" spans="17:17" x14ac:dyDescent="0.25">
      <c r="Q42320" s="8"/>
    </row>
    <row r="42321" spans="17:17" x14ac:dyDescent="0.25">
      <c r="Q42321" s="8"/>
    </row>
    <row r="42322" spans="17:17" x14ac:dyDescent="0.25">
      <c r="Q42322" s="8"/>
    </row>
    <row r="42323" spans="17:17" x14ac:dyDescent="0.25">
      <c r="Q42323" s="8"/>
    </row>
    <row r="42324" spans="17:17" x14ac:dyDescent="0.25">
      <c r="Q42324" s="8"/>
    </row>
    <row r="42325" spans="17:17" x14ac:dyDescent="0.25">
      <c r="Q42325" s="8"/>
    </row>
    <row r="42326" spans="17:17" x14ac:dyDescent="0.25">
      <c r="Q42326" s="8"/>
    </row>
    <row r="42327" spans="17:17" x14ac:dyDescent="0.25">
      <c r="Q42327" s="8"/>
    </row>
    <row r="42328" spans="17:17" x14ac:dyDescent="0.25">
      <c r="Q42328" s="8"/>
    </row>
    <row r="42329" spans="17:17" x14ac:dyDescent="0.25">
      <c r="Q42329" s="8"/>
    </row>
    <row r="42330" spans="17:17" x14ac:dyDescent="0.25">
      <c r="Q42330" s="8"/>
    </row>
    <row r="42331" spans="17:17" x14ac:dyDescent="0.25">
      <c r="Q42331" s="8"/>
    </row>
    <row r="42332" spans="17:17" x14ac:dyDescent="0.25">
      <c r="Q42332" s="8"/>
    </row>
    <row r="42333" spans="17:17" x14ac:dyDescent="0.25">
      <c r="Q42333" s="8"/>
    </row>
    <row r="42334" spans="17:17" x14ac:dyDescent="0.25">
      <c r="Q42334" s="8"/>
    </row>
    <row r="42335" spans="17:17" x14ac:dyDescent="0.25">
      <c r="Q42335" s="8"/>
    </row>
    <row r="42336" spans="17:17" x14ac:dyDescent="0.25">
      <c r="Q42336" s="8"/>
    </row>
    <row r="42337" spans="17:17" x14ac:dyDescent="0.25">
      <c r="Q42337" s="8"/>
    </row>
    <row r="42338" spans="17:17" x14ac:dyDescent="0.25">
      <c r="Q42338" s="8"/>
    </row>
    <row r="42339" spans="17:17" x14ac:dyDescent="0.25">
      <c r="Q42339" s="8"/>
    </row>
    <row r="42340" spans="17:17" x14ac:dyDescent="0.25">
      <c r="Q42340" s="8"/>
    </row>
    <row r="42341" spans="17:17" x14ac:dyDescent="0.25">
      <c r="Q42341" s="8"/>
    </row>
    <row r="42342" spans="17:17" x14ac:dyDescent="0.25">
      <c r="Q42342" s="8"/>
    </row>
    <row r="42343" spans="17:17" x14ac:dyDescent="0.25">
      <c r="Q42343" s="8"/>
    </row>
    <row r="42344" spans="17:17" x14ac:dyDescent="0.25">
      <c r="Q42344" s="8"/>
    </row>
    <row r="42345" spans="17:17" x14ac:dyDescent="0.25">
      <c r="Q42345" s="8"/>
    </row>
    <row r="42346" spans="17:17" x14ac:dyDescent="0.25">
      <c r="Q42346" s="8"/>
    </row>
    <row r="42347" spans="17:17" x14ac:dyDescent="0.25">
      <c r="Q42347" s="8"/>
    </row>
    <row r="42348" spans="17:17" x14ac:dyDescent="0.25">
      <c r="Q42348" s="8"/>
    </row>
    <row r="42349" spans="17:17" x14ac:dyDescent="0.25">
      <c r="Q42349" s="8"/>
    </row>
    <row r="42350" spans="17:17" x14ac:dyDescent="0.25">
      <c r="Q42350" s="8"/>
    </row>
    <row r="42351" spans="17:17" x14ac:dyDescent="0.25">
      <c r="Q42351" s="8"/>
    </row>
    <row r="42352" spans="17:17" x14ac:dyDescent="0.25">
      <c r="Q42352" s="8"/>
    </row>
    <row r="42353" spans="17:17" x14ac:dyDescent="0.25">
      <c r="Q42353" s="8"/>
    </row>
    <row r="42354" spans="17:17" x14ac:dyDescent="0.25">
      <c r="Q42354" s="8"/>
    </row>
    <row r="42355" spans="17:17" x14ac:dyDescent="0.25">
      <c r="Q42355" s="8"/>
    </row>
    <row r="42356" spans="17:17" x14ac:dyDescent="0.25">
      <c r="Q42356" s="8"/>
    </row>
    <row r="42357" spans="17:17" x14ac:dyDescent="0.25">
      <c r="Q42357" s="8"/>
    </row>
    <row r="42358" spans="17:17" x14ac:dyDescent="0.25">
      <c r="Q42358" s="8"/>
    </row>
    <row r="42359" spans="17:17" x14ac:dyDescent="0.25">
      <c r="Q42359" s="8"/>
    </row>
    <row r="42360" spans="17:17" x14ac:dyDescent="0.25">
      <c r="Q42360" s="8"/>
    </row>
    <row r="42361" spans="17:17" x14ac:dyDescent="0.25">
      <c r="Q42361" s="8"/>
    </row>
    <row r="42362" spans="17:17" x14ac:dyDescent="0.25">
      <c r="Q42362" s="8"/>
    </row>
    <row r="42363" spans="17:17" x14ac:dyDescent="0.25">
      <c r="Q42363" s="8"/>
    </row>
    <row r="42364" spans="17:17" x14ac:dyDescent="0.25">
      <c r="Q42364" s="8"/>
    </row>
    <row r="42365" spans="17:17" x14ac:dyDescent="0.25">
      <c r="Q42365" s="8"/>
    </row>
    <row r="42366" spans="17:17" x14ac:dyDescent="0.25">
      <c r="Q42366" s="8"/>
    </row>
    <row r="42367" spans="17:17" x14ac:dyDescent="0.25">
      <c r="Q42367" s="8"/>
    </row>
    <row r="42368" spans="17:17" x14ac:dyDescent="0.25">
      <c r="Q42368" s="8"/>
    </row>
    <row r="42369" spans="17:17" x14ac:dyDescent="0.25">
      <c r="Q42369" s="8"/>
    </row>
    <row r="42370" spans="17:17" x14ac:dyDescent="0.25">
      <c r="Q42370" s="8"/>
    </row>
    <row r="42371" spans="17:17" x14ac:dyDescent="0.25">
      <c r="Q42371" s="8"/>
    </row>
    <row r="42372" spans="17:17" x14ac:dyDescent="0.25">
      <c r="Q42372" s="8"/>
    </row>
    <row r="42373" spans="17:17" x14ac:dyDescent="0.25">
      <c r="Q42373" s="8"/>
    </row>
    <row r="42374" spans="17:17" x14ac:dyDescent="0.25">
      <c r="Q42374" s="8"/>
    </row>
    <row r="42375" spans="17:17" x14ac:dyDescent="0.25">
      <c r="Q42375" s="8"/>
    </row>
    <row r="42376" spans="17:17" x14ac:dyDescent="0.25">
      <c r="Q42376" s="8"/>
    </row>
    <row r="42377" spans="17:17" x14ac:dyDescent="0.25">
      <c r="Q42377" s="8"/>
    </row>
    <row r="42378" spans="17:17" x14ac:dyDescent="0.25">
      <c r="Q42378" s="8"/>
    </row>
    <row r="42379" spans="17:17" x14ac:dyDescent="0.25">
      <c r="Q42379" s="8"/>
    </row>
    <row r="42380" spans="17:17" x14ac:dyDescent="0.25">
      <c r="Q42380" s="8"/>
    </row>
    <row r="42381" spans="17:17" x14ac:dyDescent="0.25">
      <c r="Q42381" s="8"/>
    </row>
    <row r="42382" spans="17:17" x14ac:dyDescent="0.25">
      <c r="Q42382" s="8"/>
    </row>
    <row r="42383" spans="17:17" x14ac:dyDescent="0.25">
      <c r="Q42383" s="8"/>
    </row>
    <row r="42384" spans="17:17" x14ac:dyDescent="0.25">
      <c r="Q42384" s="8"/>
    </row>
    <row r="42385" spans="17:17" x14ac:dyDescent="0.25">
      <c r="Q42385" s="8"/>
    </row>
    <row r="42386" spans="17:17" x14ac:dyDescent="0.25">
      <c r="Q42386" s="8"/>
    </row>
    <row r="42387" spans="17:17" x14ac:dyDescent="0.25">
      <c r="Q42387" s="8"/>
    </row>
    <row r="42388" spans="17:17" x14ac:dyDescent="0.25">
      <c r="Q42388" s="8"/>
    </row>
    <row r="42389" spans="17:17" x14ac:dyDescent="0.25">
      <c r="Q42389" s="8"/>
    </row>
    <row r="42390" spans="17:17" x14ac:dyDescent="0.25">
      <c r="Q42390" s="8"/>
    </row>
    <row r="42391" spans="17:17" x14ac:dyDescent="0.25">
      <c r="Q42391" s="8"/>
    </row>
    <row r="42392" spans="17:17" x14ac:dyDescent="0.25">
      <c r="Q42392" s="8"/>
    </row>
    <row r="42393" spans="17:17" x14ac:dyDescent="0.25">
      <c r="Q42393" s="8"/>
    </row>
    <row r="42394" spans="17:17" x14ac:dyDescent="0.25">
      <c r="Q42394" s="8"/>
    </row>
    <row r="42395" spans="17:17" x14ac:dyDescent="0.25">
      <c r="Q42395" s="8"/>
    </row>
    <row r="42396" spans="17:17" x14ac:dyDescent="0.25">
      <c r="Q42396" s="8"/>
    </row>
    <row r="42397" spans="17:17" x14ac:dyDescent="0.25">
      <c r="Q42397" s="8"/>
    </row>
    <row r="42398" spans="17:17" x14ac:dyDescent="0.25">
      <c r="Q42398" s="8"/>
    </row>
    <row r="42399" spans="17:17" x14ac:dyDescent="0.25">
      <c r="Q42399" s="8"/>
    </row>
    <row r="42400" spans="17:17" x14ac:dyDescent="0.25">
      <c r="Q42400" s="8"/>
    </row>
    <row r="42401" spans="17:17" x14ac:dyDescent="0.25">
      <c r="Q42401" s="8"/>
    </row>
    <row r="42402" spans="17:17" x14ac:dyDescent="0.25">
      <c r="Q42402" s="8"/>
    </row>
    <row r="42403" spans="17:17" x14ac:dyDescent="0.25">
      <c r="Q42403" s="8"/>
    </row>
    <row r="42404" spans="17:17" x14ac:dyDescent="0.25">
      <c r="Q42404" s="8"/>
    </row>
    <row r="42405" spans="17:17" x14ac:dyDescent="0.25">
      <c r="Q42405" s="8"/>
    </row>
    <row r="42406" spans="17:17" x14ac:dyDescent="0.25">
      <c r="Q42406" s="8"/>
    </row>
    <row r="42407" spans="17:17" x14ac:dyDescent="0.25">
      <c r="Q42407" s="8"/>
    </row>
    <row r="42408" spans="17:17" x14ac:dyDescent="0.25">
      <c r="Q42408" s="8"/>
    </row>
    <row r="42409" spans="17:17" x14ac:dyDescent="0.25">
      <c r="Q42409" s="8"/>
    </row>
    <row r="42410" spans="17:17" x14ac:dyDescent="0.25">
      <c r="Q42410" s="8"/>
    </row>
    <row r="42411" spans="17:17" x14ac:dyDescent="0.25">
      <c r="Q42411" s="8"/>
    </row>
    <row r="42412" spans="17:17" x14ac:dyDescent="0.25">
      <c r="Q42412" s="8"/>
    </row>
    <row r="42413" spans="17:17" x14ac:dyDescent="0.25">
      <c r="Q42413" s="8"/>
    </row>
    <row r="42414" spans="17:17" x14ac:dyDescent="0.25">
      <c r="Q42414" s="8"/>
    </row>
    <row r="42415" spans="17:17" x14ac:dyDescent="0.25">
      <c r="Q42415" s="8"/>
    </row>
    <row r="42416" spans="17:17" x14ac:dyDescent="0.25">
      <c r="Q42416" s="8"/>
    </row>
    <row r="42417" spans="17:17" x14ac:dyDescent="0.25">
      <c r="Q42417" s="8"/>
    </row>
    <row r="42418" spans="17:17" x14ac:dyDescent="0.25">
      <c r="Q42418" s="8"/>
    </row>
    <row r="42419" spans="17:17" x14ac:dyDescent="0.25">
      <c r="Q42419" s="8"/>
    </row>
    <row r="42420" spans="17:17" x14ac:dyDescent="0.25">
      <c r="Q42420" s="8"/>
    </row>
    <row r="42421" spans="17:17" x14ac:dyDescent="0.25">
      <c r="Q42421" s="8"/>
    </row>
    <row r="42422" spans="17:17" x14ac:dyDescent="0.25">
      <c r="Q42422" s="8"/>
    </row>
    <row r="42423" spans="17:17" x14ac:dyDescent="0.25">
      <c r="Q42423" s="8"/>
    </row>
    <row r="42424" spans="17:17" x14ac:dyDescent="0.25">
      <c r="Q42424" s="8"/>
    </row>
    <row r="42425" spans="17:17" x14ac:dyDescent="0.25">
      <c r="Q42425" s="8"/>
    </row>
    <row r="42426" spans="17:17" x14ac:dyDescent="0.25">
      <c r="Q42426" s="8"/>
    </row>
    <row r="42427" spans="17:17" x14ac:dyDescent="0.25">
      <c r="Q42427" s="8"/>
    </row>
    <row r="42428" spans="17:17" x14ac:dyDescent="0.25">
      <c r="Q42428" s="8"/>
    </row>
    <row r="42429" spans="17:17" x14ac:dyDescent="0.25">
      <c r="Q42429" s="8"/>
    </row>
    <row r="42430" spans="17:17" x14ac:dyDescent="0.25">
      <c r="Q42430" s="8"/>
    </row>
    <row r="42431" spans="17:17" x14ac:dyDescent="0.25">
      <c r="Q42431" s="8"/>
    </row>
    <row r="42432" spans="17:17" x14ac:dyDescent="0.25">
      <c r="Q42432" s="8"/>
    </row>
    <row r="42433" spans="17:17" x14ac:dyDescent="0.25">
      <c r="Q42433" s="8"/>
    </row>
    <row r="42434" spans="17:17" x14ac:dyDescent="0.25">
      <c r="Q42434" s="8"/>
    </row>
    <row r="42435" spans="17:17" x14ac:dyDescent="0.25">
      <c r="Q42435" s="8"/>
    </row>
    <row r="42436" spans="17:17" x14ac:dyDescent="0.25">
      <c r="Q42436" s="8"/>
    </row>
    <row r="42437" spans="17:17" x14ac:dyDescent="0.25">
      <c r="Q42437" s="8"/>
    </row>
    <row r="42438" spans="17:17" x14ac:dyDescent="0.25">
      <c r="Q42438" s="8"/>
    </row>
    <row r="42439" spans="17:17" x14ac:dyDescent="0.25">
      <c r="Q42439" s="8"/>
    </row>
    <row r="42440" spans="17:17" x14ac:dyDescent="0.25">
      <c r="Q42440" s="8"/>
    </row>
    <row r="42441" spans="17:17" x14ac:dyDescent="0.25">
      <c r="Q42441" s="8"/>
    </row>
    <row r="42442" spans="17:17" x14ac:dyDescent="0.25">
      <c r="Q42442" s="8"/>
    </row>
    <row r="42443" spans="17:17" x14ac:dyDescent="0.25">
      <c r="Q42443" s="8"/>
    </row>
    <row r="42444" spans="17:17" x14ac:dyDescent="0.25">
      <c r="Q42444" s="8"/>
    </row>
    <row r="42445" spans="17:17" x14ac:dyDescent="0.25">
      <c r="Q42445" s="8"/>
    </row>
    <row r="42446" spans="17:17" x14ac:dyDescent="0.25">
      <c r="Q42446" s="8"/>
    </row>
    <row r="42447" spans="17:17" x14ac:dyDescent="0.25">
      <c r="Q42447" s="8"/>
    </row>
    <row r="42448" spans="17:17" x14ac:dyDescent="0.25">
      <c r="Q42448" s="8"/>
    </row>
    <row r="42449" spans="17:17" x14ac:dyDescent="0.25">
      <c r="Q42449" s="8"/>
    </row>
    <row r="42450" spans="17:17" x14ac:dyDescent="0.25">
      <c r="Q42450" s="8"/>
    </row>
    <row r="42451" spans="17:17" x14ac:dyDescent="0.25">
      <c r="Q42451" s="8"/>
    </row>
    <row r="42452" spans="17:17" x14ac:dyDescent="0.25">
      <c r="Q42452" s="8"/>
    </row>
    <row r="42453" spans="17:17" x14ac:dyDescent="0.25">
      <c r="Q42453" s="8"/>
    </row>
    <row r="42454" spans="17:17" x14ac:dyDescent="0.25">
      <c r="Q42454" s="8"/>
    </row>
    <row r="42455" spans="17:17" x14ac:dyDescent="0.25">
      <c r="Q42455" s="8"/>
    </row>
    <row r="42456" spans="17:17" x14ac:dyDescent="0.25">
      <c r="Q42456" s="8"/>
    </row>
    <row r="42457" spans="17:17" x14ac:dyDescent="0.25">
      <c r="Q42457" s="8"/>
    </row>
    <row r="42458" spans="17:17" x14ac:dyDescent="0.25">
      <c r="Q42458" s="8"/>
    </row>
    <row r="42459" spans="17:17" x14ac:dyDescent="0.25">
      <c r="Q42459" s="8"/>
    </row>
    <row r="42460" spans="17:17" x14ac:dyDescent="0.25">
      <c r="Q42460" s="8"/>
    </row>
    <row r="42461" spans="17:17" x14ac:dyDescent="0.25">
      <c r="Q42461" s="8"/>
    </row>
    <row r="42462" spans="17:17" x14ac:dyDescent="0.25">
      <c r="Q42462" s="8"/>
    </row>
    <row r="42463" spans="17:17" x14ac:dyDescent="0.25">
      <c r="Q42463" s="8"/>
    </row>
    <row r="42464" spans="17:17" x14ac:dyDescent="0.25">
      <c r="Q42464" s="8"/>
    </row>
    <row r="42465" spans="17:17" x14ac:dyDescent="0.25">
      <c r="Q42465" s="8"/>
    </row>
    <row r="42466" spans="17:17" x14ac:dyDescent="0.25">
      <c r="Q42466" s="8"/>
    </row>
    <row r="42467" spans="17:17" x14ac:dyDescent="0.25">
      <c r="Q42467" s="8"/>
    </row>
    <row r="42468" spans="17:17" x14ac:dyDescent="0.25">
      <c r="Q42468" s="8"/>
    </row>
    <row r="42469" spans="17:17" x14ac:dyDescent="0.25">
      <c r="Q42469" s="8"/>
    </row>
    <row r="42470" spans="17:17" x14ac:dyDescent="0.25">
      <c r="Q42470" s="8"/>
    </row>
    <row r="42471" spans="17:17" x14ac:dyDescent="0.25">
      <c r="Q42471" s="8"/>
    </row>
    <row r="42472" spans="17:17" x14ac:dyDescent="0.25">
      <c r="Q42472" s="8"/>
    </row>
    <row r="42473" spans="17:17" x14ac:dyDescent="0.25">
      <c r="Q42473" s="8"/>
    </row>
    <row r="42474" spans="17:17" x14ac:dyDescent="0.25">
      <c r="Q42474" s="8"/>
    </row>
    <row r="42475" spans="17:17" x14ac:dyDescent="0.25">
      <c r="Q42475" s="8"/>
    </row>
    <row r="42476" spans="17:17" x14ac:dyDescent="0.25">
      <c r="Q42476" s="8"/>
    </row>
    <row r="42477" spans="17:17" x14ac:dyDescent="0.25">
      <c r="Q42477" s="8"/>
    </row>
    <row r="42478" spans="17:17" x14ac:dyDescent="0.25">
      <c r="Q42478" s="8"/>
    </row>
    <row r="42479" spans="17:17" x14ac:dyDescent="0.25">
      <c r="Q42479" s="8"/>
    </row>
    <row r="42480" spans="17:17" x14ac:dyDescent="0.25">
      <c r="Q42480" s="8"/>
    </row>
    <row r="42481" spans="17:17" x14ac:dyDescent="0.25">
      <c r="Q42481" s="8"/>
    </row>
    <row r="42482" spans="17:17" x14ac:dyDescent="0.25">
      <c r="Q42482" s="8"/>
    </row>
    <row r="42483" spans="17:17" x14ac:dyDescent="0.25">
      <c r="Q42483" s="8"/>
    </row>
    <row r="42484" spans="17:17" x14ac:dyDescent="0.25">
      <c r="Q42484" s="8"/>
    </row>
    <row r="42485" spans="17:17" x14ac:dyDescent="0.25">
      <c r="Q42485" s="8"/>
    </row>
    <row r="42486" spans="17:17" x14ac:dyDescent="0.25">
      <c r="Q42486" s="8"/>
    </row>
    <row r="42487" spans="17:17" x14ac:dyDescent="0.25">
      <c r="Q42487" s="8"/>
    </row>
    <row r="42488" spans="17:17" x14ac:dyDescent="0.25">
      <c r="Q42488" s="8"/>
    </row>
    <row r="42489" spans="17:17" x14ac:dyDescent="0.25">
      <c r="Q42489" s="8"/>
    </row>
    <row r="42490" spans="17:17" x14ac:dyDescent="0.25">
      <c r="Q42490" s="8"/>
    </row>
    <row r="42491" spans="17:17" x14ac:dyDescent="0.25">
      <c r="Q42491" s="8"/>
    </row>
    <row r="42492" spans="17:17" x14ac:dyDescent="0.25">
      <c r="Q42492" s="8"/>
    </row>
    <row r="42493" spans="17:17" x14ac:dyDescent="0.25">
      <c r="Q42493" s="8"/>
    </row>
    <row r="42494" spans="17:17" x14ac:dyDescent="0.25">
      <c r="Q42494" s="8"/>
    </row>
    <row r="42495" spans="17:17" x14ac:dyDescent="0.25">
      <c r="Q42495" s="8"/>
    </row>
    <row r="42496" spans="17:17" x14ac:dyDescent="0.25">
      <c r="Q42496" s="8"/>
    </row>
    <row r="42497" spans="17:17" x14ac:dyDescent="0.25">
      <c r="Q42497" s="8"/>
    </row>
    <row r="42498" spans="17:17" x14ac:dyDescent="0.25">
      <c r="Q42498" s="8"/>
    </row>
    <row r="42499" spans="17:17" x14ac:dyDescent="0.25">
      <c r="Q42499" s="8"/>
    </row>
    <row r="42500" spans="17:17" x14ac:dyDescent="0.25">
      <c r="Q42500" s="8"/>
    </row>
    <row r="42501" spans="17:17" x14ac:dyDescent="0.25">
      <c r="Q42501" s="8"/>
    </row>
    <row r="42502" spans="17:17" x14ac:dyDescent="0.25">
      <c r="Q42502" s="8"/>
    </row>
    <row r="42503" spans="17:17" x14ac:dyDescent="0.25">
      <c r="Q42503" s="8"/>
    </row>
    <row r="42504" spans="17:17" x14ac:dyDescent="0.25">
      <c r="Q42504" s="8"/>
    </row>
    <row r="42505" spans="17:17" x14ac:dyDescent="0.25">
      <c r="Q42505" s="8"/>
    </row>
    <row r="42506" spans="17:17" x14ac:dyDescent="0.25">
      <c r="Q42506" s="8"/>
    </row>
    <row r="42507" spans="17:17" x14ac:dyDescent="0.25">
      <c r="Q42507" s="8"/>
    </row>
    <row r="42508" spans="17:17" x14ac:dyDescent="0.25">
      <c r="Q42508" s="8"/>
    </row>
    <row r="42509" spans="17:17" x14ac:dyDescent="0.25">
      <c r="Q42509" s="8"/>
    </row>
    <row r="42510" spans="17:17" x14ac:dyDescent="0.25">
      <c r="Q42510" s="8"/>
    </row>
    <row r="42511" spans="17:17" x14ac:dyDescent="0.25">
      <c r="Q42511" s="8"/>
    </row>
    <row r="42512" spans="17:17" x14ac:dyDescent="0.25">
      <c r="Q42512" s="8"/>
    </row>
    <row r="42513" spans="17:17" x14ac:dyDescent="0.25">
      <c r="Q42513" s="8"/>
    </row>
    <row r="42514" spans="17:17" x14ac:dyDescent="0.25">
      <c r="Q42514" s="8"/>
    </row>
    <row r="42515" spans="17:17" x14ac:dyDescent="0.25">
      <c r="Q42515" s="8"/>
    </row>
    <row r="42516" spans="17:17" x14ac:dyDescent="0.25">
      <c r="Q42516" s="8"/>
    </row>
    <row r="42517" spans="17:17" x14ac:dyDescent="0.25">
      <c r="Q42517" s="8"/>
    </row>
    <row r="42518" spans="17:17" x14ac:dyDescent="0.25">
      <c r="Q42518" s="8"/>
    </row>
    <row r="42519" spans="17:17" x14ac:dyDescent="0.25">
      <c r="Q42519" s="8"/>
    </row>
    <row r="42520" spans="17:17" x14ac:dyDescent="0.25">
      <c r="Q42520" s="8"/>
    </row>
    <row r="42521" spans="17:17" x14ac:dyDescent="0.25">
      <c r="Q42521" s="8"/>
    </row>
    <row r="42522" spans="17:17" x14ac:dyDescent="0.25">
      <c r="Q42522" s="8"/>
    </row>
    <row r="42523" spans="17:17" x14ac:dyDescent="0.25">
      <c r="Q42523" s="8"/>
    </row>
    <row r="42524" spans="17:17" x14ac:dyDescent="0.25">
      <c r="Q42524" s="8"/>
    </row>
    <row r="42525" spans="17:17" x14ac:dyDescent="0.25">
      <c r="Q42525" s="8"/>
    </row>
    <row r="42526" spans="17:17" x14ac:dyDescent="0.25">
      <c r="Q42526" s="8"/>
    </row>
    <row r="42527" spans="17:17" x14ac:dyDescent="0.25">
      <c r="Q42527" s="8"/>
    </row>
    <row r="42528" spans="17:17" x14ac:dyDescent="0.25">
      <c r="Q42528" s="8"/>
    </row>
    <row r="42529" spans="17:17" x14ac:dyDescent="0.25">
      <c r="Q42529" s="8"/>
    </row>
    <row r="42530" spans="17:17" x14ac:dyDescent="0.25">
      <c r="Q42530" s="8"/>
    </row>
    <row r="42531" spans="17:17" x14ac:dyDescent="0.25">
      <c r="Q42531" s="8"/>
    </row>
    <row r="42532" spans="17:17" x14ac:dyDescent="0.25">
      <c r="Q42532" s="8"/>
    </row>
    <row r="42533" spans="17:17" x14ac:dyDescent="0.25">
      <c r="Q42533" s="8"/>
    </row>
    <row r="42534" spans="17:17" x14ac:dyDescent="0.25">
      <c r="Q42534" s="8"/>
    </row>
    <row r="42535" spans="17:17" x14ac:dyDescent="0.25">
      <c r="Q42535" s="8"/>
    </row>
    <row r="42536" spans="17:17" x14ac:dyDescent="0.25">
      <c r="Q42536" s="8"/>
    </row>
    <row r="42537" spans="17:17" x14ac:dyDescent="0.25">
      <c r="Q42537" s="8"/>
    </row>
    <row r="42538" spans="17:17" x14ac:dyDescent="0.25">
      <c r="Q42538" s="8"/>
    </row>
    <row r="42539" spans="17:17" x14ac:dyDescent="0.25">
      <c r="Q42539" s="8"/>
    </row>
    <row r="42540" spans="17:17" x14ac:dyDescent="0.25">
      <c r="Q42540" s="8"/>
    </row>
    <row r="42541" spans="17:17" x14ac:dyDescent="0.25">
      <c r="Q42541" s="8"/>
    </row>
    <row r="42542" spans="17:17" x14ac:dyDescent="0.25">
      <c r="Q42542" s="8"/>
    </row>
    <row r="42543" spans="17:17" x14ac:dyDescent="0.25">
      <c r="Q42543" s="8"/>
    </row>
    <row r="42544" spans="17:17" x14ac:dyDescent="0.25">
      <c r="Q42544" s="8"/>
    </row>
    <row r="42545" spans="17:17" x14ac:dyDescent="0.25">
      <c r="Q42545" s="8"/>
    </row>
    <row r="42546" spans="17:17" x14ac:dyDescent="0.25">
      <c r="Q42546" s="8"/>
    </row>
    <row r="42547" spans="17:17" x14ac:dyDescent="0.25">
      <c r="Q42547" s="8"/>
    </row>
    <row r="42548" spans="17:17" x14ac:dyDescent="0.25">
      <c r="Q42548" s="8"/>
    </row>
    <row r="42549" spans="17:17" x14ac:dyDescent="0.25">
      <c r="Q42549" s="8"/>
    </row>
    <row r="42550" spans="17:17" x14ac:dyDescent="0.25">
      <c r="Q42550" s="8"/>
    </row>
    <row r="42551" spans="17:17" x14ac:dyDescent="0.25">
      <c r="Q42551" s="8"/>
    </row>
    <row r="42552" spans="17:17" x14ac:dyDescent="0.25">
      <c r="Q42552" s="8"/>
    </row>
    <row r="42553" spans="17:17" x14ac:dyDescent="0.25">
      <c r="Q42553" s="8"/>
    </row>
    <row r="42554" spans="17:17" x14ac:dyDescent="0.25">
      <c r="Q42554" s="8"/>
    </row>
    <row r="42555" spans="17:17" x14ac:dyDescent="0.25">
      <c r="Q42555" s="8"/>
    </row>
    <row r="42556" spans="17:17" x14ac:dyDescent="0.25">
      <c r="Q42556" s="8"/>
    </row>
    <row r="42557" spans="17:17" x14ac:dyDescent="0.25">
      <c r="Q42557" s="8"/>
    </row>
    <row r="42558" spans="17:17" x14ac:dyDescent="0.25">
      <c r="Q42558" s="8"/>
    </row>
    <row r="42559" spans="17:17" x14ac:dyDescent="0.25">
      <c r="Q42559" s="8"/>
    </row>
    <row r="42560" spans="17:17" x14ac:dyDescent="0.25">
      <c r="Q42560" s="8"/>
    </row>
    <row r="42561" spans="17:17" x14ac:dyDescent="0.25">
      <c r="Q42561" s="8"/>
    </row>
    <row r="42562" spans="17:17" x14ac:dyDescent="0.25">
      <c r="Q42562" s="8"/>
    </row>
    <row r="42563" spans="17:17" x14ac:dyDescent="0.25">
      <c r="Q42563" s="8"/>
    </row>
    <row r="42564" spans="17:17" x14ac:dyDescent="0.25">
      <c r="Q42564" s="8"/>
    </row>
    <row r="42565" spans="17:17" x14ac:dyDescent="0.25">
      <c r="Q42565" s="8"/>
    </row>
    <row r="42566" spans="17:17" x14ac:dyDescent="0.25">
      <c r="Q42566" s="8"/>
    </row>
    <row r="42567" spans="17:17" x14ac:dyDescent="0.25">
      <c r="Q42567" s="8"/>
    </row>
    <row r="42568" spans="17:17" x14ac:dyDescent="0.25">
      <c r="Q42568" s="8"/>
    </row>
    <row r="42569" spans="17:17" x14ac:dyDescent="0.25">
      <c r="Q42569" s="8"/>
    </row>
    <row r="42570" spans="17:17" x14ac:dyDescent="0.25">
      <c r="Q42570" s="8"/>
    </row>
    <row r="42571" spans="17:17" x14ac:dyDescent="0.25">
      <c r="Q42571" s="8"/>
    </row>
    <row r="42572" spans="17:17" x14ac:dyDescent="0.25">
      <c r="Q42572" s="8"/>
    </row>
    <row r="42573" spans="17:17" x14ac:dyDescent="0.25">
      <c r="Q42573" s="8"/>
    </row>
    <row r="42574" spans="17:17" x14ac:dyDescent="0.25">
      <c r="Q42574" s="8"/>
    </row>
    <row r="42575" spans="17:17" x14ac:dyDescent="0.25">
      <c r="Q42575" s="8"/>
    </row>
    <row r="42576" spans="17:17" x14ac:dyDescent="0.25">
      <c r="Q42576" s="8"/>
    </row>
    <row r="42577" spans="17:17" x14ac:dyDescent="0.25">
      <c r="Q42577" s="8"/>
    </row>
    <row r="42578" spans="17:17" x14ac:dyDescent="0.25">
      <c r="Q42578" s="8"/>
    </row>
    <row r="42579" spans="17:17" x14ac:dyDescent="0.25">
      <c r="Q42579" s="8"/>
    </row>
    <row r="42580" spans="17:17" x14ac:dyDescent="0.25">
      <c r="Q42580" s="8"/>
    </row>
    <row r="42581" spans="17:17" x14ac:dyDescent="0.25">
      <c r="Q42581" s="8"/>
    </row>
    <row r="42582" spans="17:17" x14ac:dyDescent="0.25">
      <c r="Q42582" s="8"/>
    </row>
    <row r="42583" spans="17:17" x14ac:dyDescent="0.25">
      <c r="Q42583" s="8"/>
    </row>
    <row r="42584" spans="17:17" x14ac:dyDescent="0.25">
      <c r="Q42584" s="8"/>
    </row>
    <row r="42585" spans="17:17" x14ac:dyDescent="0.25">
      <c r="Q42585" s="8"/>
    </row>
    <row r="42586" spans="17:17" x14ac:dyDescent="0.25">
      <c r="Q42586" s="8"/>
    </row>
    <row r="42587" spans="17:17" x14ac:dyDescent="0.25">
      <c r="Q42587" s="8"/>
    </row>
    <row r="42588" spans="17:17" x14ac:dyDescent="0.25">
      <c r="Q42588" s="8"/>
    </row>
    <row r="42589" spans="17:17" x14ac:dyDescent="0.25">
      <c r="Q42589" s="8"/>
    </row>
    <row r="42590" spans="17:17" x14ac:dyDescent="0.25">
      <c r="Q42590" s="8"/>
    </row>
    <row r="42591" spans="17:17" x14ac:dyDescent="0.25">
      <c r="Q42591" s="8"/>
    </row>
    <row r="42592" spans="17:17" x14ac:dyDescent="0.25">
      <c r="Q42592" s="8"/>
    </row>
    <row r="42593" spans="17:17" x14ac:dyDescent="0.25">
      <c r="Q42593" s="8"/>
    </row>
    <row r="42594" spans="17:17" x14ac:dyDescent="0.25">
      <c r="Q42594" s="8"/>
    </row>
    <row r="42595" spans="17:17" x14ac:dyDescent="0.25">
      <c r="Q42595" s="8"/>
    </row>
    <row r="42596" spans="17:17" x14ac:dyDescent="0.25">
      <c r="Q42596" s="8"/>
    </row>
    <row r="42597" spans="17:17" x14ac:dyDescent="0.25">
      <c r="Q42597" s="8"/>
    </row>
    <row r="42598" spans="17:17" x14ac:dyDescent="0.25">
      <c r="Q42598" s="8"/>
    </row>
    <row r="42599" spans="17:17" x14ac:dyDescent="0.25">
      <c r="Q42599" s="8"/>
    </row>
    <row r="42600" spans="17:17" x14ac:dyDescent="0.25">
      <c r="Q42600" s="8"/>
    </row>
    <row r="42601" spans="17:17" x14ac:dyDescent="0.25">
      <c r="Q42601" s="8"/>
    </row>
    <row r="42602" spans="17:17" x14ac:dyDescent="0.25">
      <c r="Q42602" s="8"/>
    </row>
    <row r="42603" spans="17:17" x14ac:dyDescent="0.25">
      <c r="Q42603" s="8"/>
    </row>
    <row r="42604" spans="17:17" x14ac:dyDescent="0.25">
      <c r="Q42604" s="8"/>
    </row>
    <row r="42605" spans="17:17" x14ac:dyDescent="0.25">
      <c r="Q42605" s="8"/>
    </row>
    <row r="42606" spans="17:17" x14ac:dyDescent="0.25">
      <c r="Q42606" s="8"/>
    </row>
    <row r="42607" spans="17:17" x14ac:dyDescent="0.25">
      <c r="Q42607" s="8"/>
    </row>
    <row r="42608" spans="17:17" x14ac:dyDescent="0.25">
      <c r="Q42608" s="8"/>
    </row>
    <row r="42609" spans="17:17" x14ac:dyDescent="0.25">
      <c r="Q42609" s="8"/>
    </row>
    <row r="42610" spans="17:17" x14ac:dyDescent="0.25">
      <c r="Q42610" s="8"/>
    </row>
    <row r="42611" spans="17:17" x14ac:dyDescent="0.25">
      <c r="Q42611" s="8"/>
    </row>
    <row r="42612" spans="17:17" x14ac:dyDescent="0.25">
      <c r="Q42612" s="8"/>
    </row>
    <row r="42613" spans="17:17" x14ac:dyDescent="0.25">
      <c r="Q42613" s="8"/>
    </row>
    <row r="42614" spans="17:17" x14ac:dyDescent="0.25">
      <c r="Q42614" s="8"/>
    </row>
    <row r="42615" spans="17:17" x14ac:dyDescent="0.25">
      <c r="Q42615" s="8"/>
    </row>
    <row r="42616" spans="17:17" x14ac:dyDescent="0.25">
      <c r="Q42616" s="8"/>
    </row>
    <row r="42617" spans="17:17" x14ac:dyDescent="0.25">
      <c r="Q42617" s="8"/>
    </row>
    <row r="42618" spans="17:17" x14ac:dyDescent="0.25">
      <c r="Q42618" s="8"/>
    </row>
    <row r="42619" spans="17:17" x14ac:dyDescent="0.25">
      <c r="Q42619" s="8"/>
    </row>
    <row r="42620" spans="17:17" x14ac:dyDescent="0.25">
      <c r="Q42620" s="8"/>
    </row>
    <row r="42621" spans="17:17" x14ac:dyDescent="0.25">
      <c r="Q42621" s="8"/>
    </row>
    <row r="42622" spans="17:17" x14ac:dyDescent="0.25">
      <c r="Q42622" s="8"/>
    </row>
    <row r="42623" spans="17:17" x14ac:dyDescent="0.25">
      <c r="Q42623" s="8"/>
    </row>
    <row r="42624" spans="17:17" x14ac:dyDescent="0.25">
      <c r="Q42624" s="8"/>
    </row>
    <row r="42625" spans="17:17" x14ac:dyDescent="0.25">
      <c r="Q42625" s="8"/>
    </row>
    <row r="42626" spans="17:17" x14ac:dyDescent="0.25">
      <c r="Q42626" s="8"/>
    </row>
    <row r="42627" spans="17:17" x14ac:dyDescent="0.25">
      <c r="Q42627" s="8"/>
    </row>
    <row r="42628" spans="17:17" x14ac:dyDescent="0.25">
      <c r="Q42628" s="8"/>
    </row>
    <row r="42629" spans="17:17" x14ac:dyDescent="0.25">
      <c r="Q42629" s="8"/>
    </row>
    <row r="42630" spans="17:17" x14ac:dyDescent="0.25">
      <c r="Q42630" s="8"/>
    </row>
    <row r="42631" spans="17:17" x14ac:dyDescent="0.25">
      <c r="Q42631" s="8"/>
    </row>
    <row r="42632" spans="17:17" x14ac:dyDescent="0.25">
      <c r="Q42632" s="8"/>
    </row>
    <row r="42633" spans="17:17" x14ac:dyDescent="0.25">
      <c r="Q42633" s="8"/>
    </row>
    <row r="42634" spans="17:17" x14ac:dyDescent="0.25">
      <c r="Q42634" s="8"/>
    </row>
    <row r="42635" spans="17:17" x14ac:dyDescent="0.25">
      <c r="Q42635" s="8"/>
    </row>
    <row r="42636" spans="17:17" x14ac:dyDescent="0.25">
      <c r="Q42636" s="8"/>
    </row>
    <row r="42637" spans="17:17" x14ac:dyDescent="0.25">
      <c r="Q42637" s="8"/>
    </row>
    <row r="42638" spans="17:17" x14ac:dyDescent="0.25">
      <c r="Q42638" s="8"/>
    </row>
    <row r="42639" spans="17:17" x14ac:dyDescent="0.25">
      <c r="Q42639" s="8"/>
    </row>
    <row r="42640" spans="17:17" x14ac:dyDescent="0.25">
      <c r="Q42640" s="8"/>
    </row>
    <row r="42641" spans="17:17" x14ac:dyDescent="0.25">
      <c r="Q42641" s="8"/>
    </row>
    <row r="42642" spans="17:17" x14ac:dyDescent="0.25">
      <c r="Q42642" s="8"/>
    </row>
    <row r="42643" spans="17:17" x14ac:dyDescent="0.25">
      <c r="Q42643" s="8"/>
    </row>
    <row r="42644" spans="17:17" x14ac:dyDescent="0.25">
      <c r="Q42644" s="8"/>
    </row>
    <row r="42645" spans="17:17" x14ac:dyDescent="0.25">
      <c r="Q42645" s="8"/>
    </row>
    <row r="42646" spans="17:17" x14ac:dyDescent="0.25">
      <c r="Q42646" s="8"/>
    </row>
    <row r="42647" spans="17:17" x14ac:dyDescent="0.25">
      <c r="Q42647" s="8"/>
    </row>
    <row r="42648" spans="17:17" x14ac:dyDescent="0.25">
      <c r="Q42648" s="8"/>
    </row>
    <row r="42649" spans="17:17" x14ac:dyDescent="0.25">
      <c r="Q42649" s="8"/>
    </row>
    <row r="42650" spans="17:17" x14ac:dyDescent="0.25">
      <c r="Q42650" s="8"/>
    </row>
    <row r="42651" spans="17:17" x14ac:dyDescent="0.25">
      <c r="Q42651" s="8"/>
    </row>
    <row r="42652" spans="17:17" x14ac:dyDescent="0.25">
      <c r="Q42652" s="8"/>
    </row>
    <row r="42653" spans="17:17" x14ac:dyDescent="0.25">
      <c r="Q42653" s="8"/>
    </row>
    <row r="42654" spans="17:17" x14ac:dyDescent="0.25">
      <c r="Q42654" s="8"/>
    </row>
    <row r="42655" spans="17:17" x14ac:dyDescent="0.25">
      <c r="Q42655" s="8"/>
    </row>
    <row r="42656" spans="17:17" x14ac:dyDescent="0.25">
      <c r="Q42656" s="8"/>
    </row>
    <row r="42657" spans="17:17" x14ac:dyDescent="0.25">
      <c r="Q42657" s="8"/>
    </row>
    <row r="42658" spans="17:17" x14ac:dyDescent="0.25">
      <c r="Q42658" s="8"/>
    </row>
    <row r="42659" spans="17:17" x14ac:dyDescent="0.25">
      <c r="Q42659" s="8"/>
    </row>
    <row r="42660" spans="17:17" x14ac:dyDescent="0.25">
      <c r="Q42660" s="8"/>
    </row>
    <row r="42661" spans="17:17" x14ac:dyDescent="0.25">
      <c r="Q42661" s="8"/>
    </row>
    <row r="42662" spans="17:17" x14ac:dyDescent="0.25">
      <c r="Q42662" s="8"/>
    </row>
    <row r="42663" spans="17:17" x14ac:dyDescent="0.25">
      <c r="Q42663" s="8"/>
    </row>
    <row r="42664" spans="17:17" x14ac:dyDescent="0.25">
      <c r="Q42664" s="8"/>
    </row>
    <row r="42665" spans="17:17" x14ac:dyDescent="0.25">
      <c r="Q42665" s="8"/>
    </row>
    <row r="42666" spans="17:17" x14ac:dyDescent="0.25">
      <c r="Q42666" s="8"/>
    </row>
    <row r="42667" spans="17:17" x14ac:dyDescent="0.25">
      <c r="Q42667" s="8"/>
    </row>
    <row r="42668" spans="17:17" x14ac:dyDescent="0.25">
      <c r="Q42668" s="8"/>
    </row>
    <row r="42669" spans="17:17" x14ac:dyDescent="0.25">
      <c r="Q42669" s="8"/>
    </row>
    <row r="42670" spans="17:17" x14ac:dyDescent="0.25">
      <c r="Q42670" s="8"/>
    </row>
    <row r="42671" spans="17:17" x14ac:dyDescent="0.25">
      <c r="Q42671" s="8"/>
    </row>
    <row r="42672" spans="17:17" x14ac:dyDescent="0.25">
      <c r="Q42672" s="8"/>
    </row>
    <row r="42673" spans="17:17" x14ac:dyDescent="0.25">
      <c r="Q42673" s="8"/>
    </row>
    <row r="42674" spans="17:17" x14ac:dyDescent="0.25">
      <c r="Q42674" s="8"/>
    </row>
    <row r="42675" spans="17:17" x14ac:dyDescent="0.25">
      <c r="Q42675" s="8"/>
    </row>
    <row r="42676" spans="17:17" x14ac:dyDescent="0.25">
      <c r="Q42676" s="8"/>
    </row>
    <row r="42677" spans="17:17" x14ac:dyDescent="0.25">
      <c r="Q42677" s="8"/>
    </row>
    <row r="42678" spans="17:17" x14ac:dyDescent="0.25">
      <c r="Q42678" s="8"/>
    </row>
    <row r="42679" spans="17:17" x14ac:dyDescent="0.25">
      <c r="Q42679" s="8"/>
    </row>
    <row r="42680" spans="17:17" x14ac:dyDescent="0.25">
      <c r="Q42680" s="8"/>
    </row>
    <row r="42681" spans="17:17" x14ac:dyDescent="0.25">
      <c r="Q42681" s="8"/>
    </row>
    <row r="42682" spans="17:17" x14ac:dyDescent="0.25">
      <c r="Q42682" s="8"/>
    </row>
    <row r="42683" spans="17:17" x14ac:dyDescent="0.25">
      <c r="Q42683" s="8"/>
    </row>
    <row r="42684" spans="17:17" x14ac:dyDescent="0.25">
      <c r="Q42684" s="8"/>
    </row>
    <row r="42685" spans="17:17" x14ac:dyDescent="0.25">
      <c r="Q42685" s="8"/>
    </row>
    <row r="42686" spans="17:17" x14ac:dyDescent="0.25">
      <c r="Q42686" s="8"/>
    </row>
    <row r="42687" spans="17:17" x14ac:dyDescent="0.25">
      <c r="Q42687" s="8"/>
    </row>
    <row r="42688" spans="17:17" x14ac:dyDescent="0.25">
      <c r="Q42688" s="8"/>
    </row>
    <row r="42689" spans="17:17" x14ac:dyDescent="0.25">
      <c r="Q42689" s="8"/>
    </row>
    <row r="42690" spans="17:17" x14ac:dyDescent="0.25">
      <c r="Q42690" s="8"/>
    </row>
    <row r="42691" spans="17:17" x14ac:dyDescent="0.25">
      <c r="Q42691" s="8"/>
    </row>
    <row r="42692" spans="17:17" x14ac:dyDescent="0.25">
      <c r="Q42692" s="8"/>
    </row>
    <row r="42693" spans="17:17" x14ac:dyDescent="0.25">
      <c r="Q42693" s="8"/>
    </row>
    <row r="42694" spans="17:17" x14ac:dyDescent="0.25">
      <c r="Q42694" s="8"/>
    </row>
    <row r="42695" spans="17:17" x14ac:dyDescent="0.25">
      <c r="Q42695" s="8"/>
    </row>
    <row r="42696" spans="17:17" x14ac:dyDescent="0.25">
      <c r="Q42696" s="8"/>
    </row>
    <row r="42697" spans="17:17" x14ac:dyDescent="0.25">
      <c r="Q42697" s="8"/>
    </row>
    <row r="42698" spans="17:17" x14ac:dyDescent="0.25">
      <c r="Q42698" s="8"/>
    </row>
    <row r="42699" spans="17:17" x14ac:dyDescent="0.25">
      <c r="Q42699" s="8"/>
    </row>
    <row r="42700" spans="17:17" x14ac:dyDescent="0.25">
      <c r="Q42700" s="8"/>
    </row>
    <row r="42701" spans="17:17" x14ac:dyDescent="0.25">
      <c r="Q42701" s="8"/>
    </row>
    <row r="42702" spans="17:17" x14ac:dyDescent="0.25">
      <c r="Q42702" s="8"/>
    </row>
    <row r="42703" spans="17:17" x14ac:dyDescent="0.25">
      <c r="Q42703" s="8"/>
    </row>
    <row r="42704" spans="17:17" x14ac:dyDescent="0.25">
      <c r="Q42704" s="8"/>
    </row>
    <row r="42705" spans="17:17" x14ac:dyDescent="0.25">
      <c r="Q42705" s="8"/>
    </row>
    <row r="42706" spans="17:17" x14ac:dyDescent="0.25">
      <c r="Q42706" s="8"/>
    </row>
    <row r="42707" spans="17:17" x14ac:dyDescent="0.25">
      <c r="Q42707" s="8"/>
    </row>
    <row r="42708" spans="17:17" x14ac:dyDescent="0.25">
      <c r="Q42708" s="8"/>
    </row>
    <row r="42709" spans="17:17" x14ac:dyDescent="0.25">
      <c r="Q42709" s="8"/>
    </row>
    <row r="42710" spans="17:17" x14ac:dyDescent="0.25">
      <c r="Q42710" s="8"/>
    </row>
    <row r="42711" spans="17:17" x14ac:dyDescent="0.25">
      <c r="Q42711" s="8"/>
    </row>
    <row r="42712" spans="17:17" x14ac:dyDescent="0.25">
      <c r="Q42712" s="8"/>
    </row>
    <row r="42713" spans="17:17" x14ac:dyDescent="0.25">
      <c r="Q42713" s="8"/>
    </row>
    <row r="42714" spans="17:17" x14ac:dyDescent="0.25">
      <c r="Q42714" s="8"/>
    </row>
    <row r="42715" spans="17:17" x14ac:dyDescent="0.25">
      <c r="Q42715" s="8"/>
    </row>
    <row r="42716" spans="17:17" x14ac:dyDescent="0.25">
      <c r="Q42716" s="8"/>
    </row>
    <row r="42717" spans="17:17" x14ac:dyDescent="0.25">
      <c r="Q42717" s="8"/>
    </row>
    <row r="42718" spans="17:17" x14ac:dyDescent="0.25">
      <c r="Q42718" s="8"/>
    </row>
    <row r="42719" spans="17:17" x14ac:dyDescent="0.25">
      <c r="Q42719" s="8"/>
    </row>
    <row r="42720" spans="17:17" x14ac:dyDescent="0.25">
      <c r="Q42720" s="8"/>
    </row>
    <row r="42721" spans="17:17" x14ac:dyDescent="0.25">
      <c r="Q42721" s="8"/>
    </row>
    <row r="42722" spans="17:17" x14ac:dyDescent="0.25">
      <c r="Q42722" s="8"/>
    </row>
    <row r="42723" spans="17:17" x14ac:dyDescent="0.25">
      <c r="Q42723" s="8"/>
    </row>
    <row r="42724" spans="17:17" x14ac:dyDescent="0.25">
      <c r="Q42724" s="8"/>
    </row>
    <row r="42725" spans="17:17" x14ac:dyDescent="0.25">
      <c r="Q42725" s="8"/>
    </row>
    <row r="42726" spans="17:17" x14ac:dyDescent="0.25">
      <c r="Q42726" s="8"/>
    </row>
    <row r="42727" spans="17:17" x14ac:dyDescent="0.25">
      <c r="Q42727" s="8"/>
    </row>
    <row r="42728" spans="17:17" x14ac:dyDescent="0.25">
      <c r="Q42728" s="8"/>
    </row>
    <row r="42729" spans="17:17" x14ac:dyDescent="0.25">
      <c r="Q42729" s="8"/>
    </row>
    <row r="42730" spans="17:17" x14ac:dyDescent="0.25">
      <c r="Q42730" s="8"/>
    </row>
    <row r="42731" spans="17:17" x14ac:dyDescent="0.25">
      <c r="Q42731" s="8"/>
    </row>
    <row r="42732" spans="17:17" x14ac:dyDescent="0.25">
      <c r="Q42732" s="8"/>
    </row>
    <row r="42733" spans="17:17" x14ac:dyDescent="0.25">
      <c r="Q42733" s="8"/>
    </row>
    <row r="42734" spans="17:17" x14ac:dyDescent="0.25">
      <c r="Q42734" s="8"/>
    </row>
    <row r="42735" spans="17:17" x14ac:dyDescent="0.25">
      <c r="Q42735" s="8"/>
    </row>
    <row r="42736" spans="17:17" x14ac:dyDescent="0.25">
      <c r="Q42736" s="8"/>
    </row>
    <row r="42737" spans="17:17" x14ac:dyDescent="0.25">
      <c r="Q42737" s="8"/>
    </row>
    <row r="42738" spans="17:17" x14ac:dyDescent="0.25">
      <c r="Q42738" s="8"/>
    </row>
    <row r="42739" spans="17:17" x14ac:dyDescent="0.25">
      <c r="Q42739" s="8"/>
    </row>
    <row r="42740" spans="17:17" x14ac:dyDescent="0.25">
      <c r="Q42740" s="8"/>
    </row>
    <row r="42741" spans="17:17" x14ac:dyDescent="0.25">
      <c r="Q42741" s="8"/>
    </row>
    <row r="42742" spans="17:17" x14ac:dyDescent="0.25">
      <c r="Q42742" s="8"/>
    </row>
    <row r="42743" spans="17:17" x14ac:dyDescent="0.25">
      <c r="Q42743" s="8"/>
    </row>
    <row r="42744" spans="17:17" x14ac:dyDescent="0.25">
      <c r="Q42744" s="8"/>
    </row>
    <row r="42745" spans="17:17" x14ac:dyDescent="0.25">
      <c r="Q42745" s="8"/>
    </row>
    <row r="42746" spans="17:17" x14ac:dyDescent="0.25">
      <c r="Q42746" s="8"/>
    </row>
    <row r="42747" spans="17:17" x14ac:dyDescent="0.25">
      <c r="Q42747" s="8"/>
    </row>
    <row r="42748" spans="17:17" x14ac:dyDescent="0.25">
      <c r="Q42748" s="8"/>
    </row>
    <row r="42749" spans="17:17" x14ac:dyDescent="0.25">
      <c r="Q42749" s="8"/>
    </row>
    <row r="42750" spans="17:17" x14ac:dyDescent="0.25">
      <c r="Q42750" s="8"/>
    </row>
    <row r="42751" spans="17:17" x14ac:dyDescent="0.25">
      <c r="Q42751" s="8"/>
    </row>
    <row r="42752" spans="17:17" x14ac:dyDescent="0.25">
      <c r="Q42752" s="8"/>
    </row>
    <row r="42753" spans="17:17" x14ac:dyDescent="0.25">
      <c r="Q42753" s="8"/>
    </row>
    <row r="42754" spans="17:17" x14ac:dyDescent="0.25">
      <c r="Q42754" s="8"/>
    </row>
    <row r="42755" spans="17:17" x14ac:dyDescent="0.25">
      <c r="Q42755" s="8"/>
    </row>
    <row r="42756" spans="17:17" x14ac:dyDescent="0.25">
      <c r="Q42756" s="8"/>
    </row>
    <row r="42757" spans="17:17" x14ac:dyDescent="0.25">
      <c r="Q42757" s="8"/>
    </row>
    <row r="42758" spans="17:17" x14ac:dyDescent="0.25">
      <c r="Q42758" s="8"/>
    </row>
    <row r="42759" spans="17:17" x14ac:dyDescent="0.25">
      <c r="Q42759" s="8"/>
    </row>
    <row r="42760" spans="17:17" x14ac:dyDescent="0.25">
      <c r="Q42760" s="8"/>
    </row>
    <row r="42761" spans="17:17" x14ac:dyDescent="0.25">
      <c r="Q42761" s="8"/>
    </row>
    <row r="42762" spans="17:17" x14ac:dyDescent="0.25">
      <c r="Q42762" s="8"/>
    </row>
    <row r="42763" spans="17:17" x14ac:dyDescent="0.25">
      <c r="Q42763" s="8"/>
    </row>
    <row r="42764" spans="17:17" x14ac:dyDescent="0.25">
      <c r="Q42764" s="8"/>
    </row>
    <row r="42765" spans="17:17" x14ac:dyDescent="0.25">
      <c r="Q42765" s="8"/>
    </row>
    <row r="42766" spans="17:17" x14ac:dyDescent="0.25">
      <c r="Q42766" s="8"/>
    </row>
    <row r="42767" spans="17:17" x14ac:dyDescent="0.25">
      <c r="Q42767" s="8"/>
    </row>
    <row r="42768" spans="17:17" x14ac:dyDescent="0.25">
      <c r="Q42768" s="8"/>
    </row>
    <row r="42769" spans="17:17" x14ac:dyDescent="0.25">
      <c r="Q42769" s="8"/>
    </row>
    <row r="42770" spans="17:17" x14ac:dyDescent="0.25">
      <c r="Q42770" s="8"/>
    </row>
    <row r="42771" spans="17:17" x14ac:dyDescent="0.25">
      <c r="Q42771" s="8"/>
    </row>
    <row r="42772" spans="17:17" x14ac:dyDescent="0.25">
      <c r="Q42772" s="8"/>
    </row>
    <row r="42773" spans="17:17" x14ac:dyDescent="0.25">
      <c r="Q42773" s="8"/>
    </row>
    <row r="42774" spans="17:17" x14ac:dyDescent="0.25">
      <c r="Q42774" s="8"/>
    </row>
    <row r="42775" spans="17:17" x14ac:dyDescent="0.25">
      <c r="Q42775" s="8"/>
    </row>
    <row r="42776" spans="17:17" x14ac:dyDescent="0.25">
      <c r="Q42776" s="8"/>
    </row>
    <row r="42777" spans="17:17" x14ac:dyDescent="0.25">
      <c r="Q42777" s="8"/>
    </row>
    <row r="42778" spans="17:17" x14ac:dyDescent="0.25">
      <c r="Q42778" s="8"/>
    </row>
    <row r="42779" spans="17:17" x14ac:dyDescent="0.25">
      <c r="Q42779" s="8"/>
    </row>
    <row r="42780" spans="17:17" x14ac:dyDescent="0.25">
      <c r="Q42780" s="8"/>
    </row>
    <row r="42781" spans="17:17" x14ac:dyDescent="0.25">
      <c r="Q42781" s="8"/>
    </row>
    <row r="42782" spans="17:17" x14ac:dyDescent="0.25">
      <c r="Q42782" s="8"/>
    </row>
    <row r="42783" spans="17:17" x14ac:dyDescent="0.25">
      <c r="Q42783" s="8"/>
    </row>
    <row r="42784" spans="17:17" x14ac:dyDescent="0.25">
      <c r="Q42784" s="8"/>
    </row>
    <row r="42785" spans="17:17" x14ac:dyDescent="0.25">
      <c r="Q42785" s="8"/>
    </row>
    <row r="42786" spans="17:17" x14ac:dyDescent="0.25">
      <c r="Q42786" s="8"/>
    </row>
    <row r="42787" spans="17:17" x14ac:dyDescent="0.25">
      <c r="Q42787" s="8"/>
    </row>
    <row r="42788" spans="17:17" x14ac:dyDescent="0.25">
      <c r="Q42788" s="8"/>
    </row>
    <row r="42789" spans="17:17" x14ac:dyDescent="0.25">
      <c r="Q42789" s="8"/>
    </row>
    <row r="42790" spans="17:17" x14ac:dyDescent="0.25">
      <c r="Q42790" s="8"/>
    </row>
    <row r="42791" spans="17:17" x14ac:dyDescent="0.25">
      <c r="Q42791" s="8"/>
    </row>
    <row r="42792" spans="17:17" x14ac:dyDescent="0.25">
      <c r="Q42792" s="8"/>
    </row>
    <row r="42793" spans="17:17" x14ac:dyDescent="0.25">
      <c r="Q42793" s="8"/>
    </row>
    <row r="42794" spans="17:17" x14ac:dyDescent="0.25">
      <c r="Q42794" s="8"/>
    </row>
    <row r="42795" spans="17:17" x14ac:dyDescent="0.25">
      <c r="Q42795" s="8"/>
    </row>
    <row r="42796" spans="17:17" x14ac:dyDescent="0.25">
      <c r="Q42796" s="8"/>
    </row>
    <row r="42797" spans="17:17" x14ac:dyDescent="0.25">
      <c r="Q42797" s="8"/>
    </row>
    <row r="42798" spans="17:17" x14ac:dyDescent="0.25">
      <c r="Q42798" s="8"/>
    </row>
    <row r="42799" spans="17:17" x14ac:dyDescent="0.25">
      <c r="Q42799" s="8"/>
    </row>
    <row r="42800" spans="17:17" x14ac:dyDescent="0.25">
      <c r="Q42800" s="8"/>
    </row>
    <row r="42801" spans="17:17" x14ac:dyDescent="0.25">
      <c r="Q42801" s="8"/>
    </row>
    <row r="42802" spans="17:17" x14ac:dyDescent="0.25">
      <c r="Q42802" s="8"/>
    </row>
    <row r="42803" spans="17:17" x14ac:dyDescent="0.25">
      <c r="Q42803" s="8"/>
    </row>
    <row r="42804" spans="17:17" x14ac:dyDescent="0.25">
      <c r="Q42804" s="8"/>
    </row>
    <row r="42805" spans="17:17" x14ac:dyDescent="0.25">
      <c r="Q42805" s="8"/>
    </row>
    <row r="42806" spans="17:17" x14ac:dyDescent="0.25">
      <c r="Q42806" s="8"/>
    </row>
    <row r="42807" spans="17:17" x14ac:dyDescent="0.25">
      <c r="Q42807" s="8"/>
    </row>
    <row r="42808" spans="17:17" x14ac:dyDescent="0.25">
      <c r="Q42808" s="8"/>
    </row>
    <row r="42809" spans="17:17" x14ac:dyDescent="0.25">
      <c r="Q42809" s="8"/>
    </row>
    <row r="42810" spans="17:17" x14ac:dyDescent="0.25">
      <c r="Q42810" s="8"/>
    </row>
    <row r="42811" spans="17:17" x14ac:dyDescent="0.25">
      <c r="Q42811" s="8"/>
    </row>
    <row r="42812" spans="17:17" x14ac:dyDescent="0.25">
      <c r="Q42812" s="8"/>
    </row>
    <row r="42813" spans="17:17" x14ac:dyDescent="0.25">
      <c r="Q42813" s="8"/>
    </row>
    <row r="42814" spans="17:17" x14ac:dyDescent="0.25">
      <c r="Q42814" s="8"/>
    </row>
    <row r="42815" spans="17:17" x14ac:dyDescent="0.25">
      <c r="Q42815" s="8"/>
    </row>
    <row r="42816" spans="17:17" x14ac:dyDescent="0.25">
      <c r="Q42816" s="8"/>
    </row>
    <row r="42817" spans="17:17" x14ac:dyDescent="0.25">
      <c r="Q42817" s="8"/>
    </row>
    <row r="42818" spans="17:17" x14ac:dyDescent="0.25">
      <c r="Q42818" s="8"/>
    </row>
    <row r="42819" spans="17:17" x14ac:dyDescent="0.25">
      <c r="Q42819" s="8"/>
    </row>
    <row r="42820" spans="17:17" x14ac:dyDescent="0.25">
      <c r="Q42820" s="8"/>
    </row>
    <row r="42821" spans="17:17" x14ac:dyDescent="0.25">
      <c r="Q42821" s="8"/>
    </row>
    <row r="42822" spans="17:17" x14ac:dyDescent="0.25">
      <c r="Q42822" s="8"/>
    </row>
    <row r="42823" spans="17:17" x14ac:dyDescent="0.25">
      <c r="Q42823" s="8"/>
    </row>
    <row r="42824" spans="17:17" x14ac:dyDescent="0.25">
      <c r="Q42824" s="8"/>
    </row>
    <row r="42825" spans="17:17" x14ac:dyDescent="0.25">
      <c r="Q42825" s="8"/>
    </row>
    <row r="42826" spans="17:17" x14ac:dyDescent="0.25">
      <c r="Q42826" s="8"/>
    </row>
    <row r="42827" spans="17:17" x14ac:dyDescent="0.25">
      <c r="Q42827" s="8"/>
    </row>
    <row r="42828" spans="17:17" x14ac:dyDescent="0.25">
      <c r="Q42828" s="8"/>
    </row>
    <row r="42829" spans="17:17" x14ac:dyDescent="0.25">
      <c r="Q42829" s="8"/>
    </row>
    <row r="42830" spans="17:17" x14ac:dyDescent="0.25">
      <c r="Q42830" s="8"/>
    </row>
    <row r="42831" spans="17:17" x14ac:dyDescent="0.25">
      <c r="Q42831" s="8"/>
    </row>
    <row r="42832" spans="17:17" x14ac:dyDescent="0.25">
      <c r="Q42832" s="8"/>
    </row>
    <row r="42833" spans="17:17" x14ac:dyDescent="0.25">
      <c r="Q42833" s="8"/>
    </row>
    <row r="42834" spans="17:17" x14ac:dyDescent="0.25">
      <c r="Q42834" s="8"/>
    </row>
    <row r="42835" spans="17:17" x14ac:dyDescent="0.25">
      <c r="Q42835" s="8"/>
    </row>
    <row r="42836" spans="17:17" x14ac:dyDescent="0.25">
      <c r="Q42836" s="8"/>
    </row>
    <row r="42837" spans="17:17" x14ac:dyDescent="0.25">
      <c r="Q42837" s="8"/>
    </row>
    <row r="42838" spans="17:17" x14ac:dyDescent="0.25">
      <c r="Q42838" s="8"/>
    </row>
    <row r="42839" spans="17:17" x14ac:dyDescent="0.25">
      <c r="Q42839" s="8"/>
    </row>
    <row r="42840" spans="17:17" x14ac:dyDescent="0.25">
      <c r="Q42840" s="8"/>
    </row>
    <row r="42841" spans="17:17" x14ac:dyDescent="0.25">
      <c r="Q42841" s="8"/>
    </row>
    <row r="42842" spans="17:17" x14ac:dyDescent="0.25">
      <c r="Q42842" s="8"/>
    </row>
    <row r="42843" spans="17:17" x14ac:dyDescent="0.25">
      <c r="Q42843" s="8"/>
    </row>
    <row r="42844" spans="17:17" x14ac:dyDescent="0.25">
      <c r="Q42844" s="8"/>
    </row>
    <row r="42845" spans="17:17" x14ac:dyDescent="0.25">
      <c r="Q42845" s="8"/>
    </row>
    <row r="42846" spans="17:17" x14ac:dyDescent="0.25">
      <c r="Q42846" s="8"/>
    </row>
    <row r="42847" spans="17:17" x14ac:dyDescent="0.25">
      <c r="Q42847" s="8"/>
    </row>
    <row r="42848" spans="17:17" x14ac:dyDescent="0.25">
      <c r="Q42848" s="8"/>
    </row>
    <row r="42849" spans="17:17" x14ac:dyDescent="0.25">
      <c r="Q42849" s="8"/>
    </row>
    <row r="42850" spans="17:17" x14ac:dyDescent="0.25">
      <c r="Q42850" s="8"/>
    </row>
    <row r="42851" spans="17:17" x14ac:dyDescent="0.25">
      <c r="Q42851" s="8"/>
    </row>
    <row r="42852" spans="17:17" x14ac:dyDescent="0.25">
      <c r="Q42852" s="8"/>
    </row>
    <row r="42853" spans="17:17" x14ac:dyDescent="0.25">
      <c r="Q42853" s="8"/>
    </row>
    <row r="42854" spans="17:17" x14ac:dyDescent="0.25">
      <c r="Q42854" s="8"/>
    </row>
    <row r="42855" spans="17:17" x14ac:dyDescent="0.25">
      <c r="Q42855" s="8"/>
    </row>
    <row r="42856" spans="17:17" x14ac:dyDescent="0.25">
      <c r="Q42856" s="8"/>
    </row>
    <row r="42857" spans="17:17" x14ac:dyDescent="0.25">
      <c r="Q42857" s="8"/>
    </row>
    <row r="42858" spans="17:17" x14ac:dyDescent="0.25">
      <c r="Q42858" s="8"/>
    </row>
    <row r="42859" spans="17:17" x14ac:dyDescent="0.25">
      <c r="Q42859" s="8"/>
    </row>
    <row r="42860" spans="17:17" x14ac:dyDescent="0.25">
      <c r="Q42860" s="8"/>
    </row>
    <row r="42861" spans="17:17" x14ac:dyDescent="0.25">
      <c r="Q42861" s="8"/>
    </row>
    <row r="42862" spans="17:17" x14ac:dyDescent="0.25">
      <c r="Q42862" s="8"/>
    </row>
    <row r="42863" spans="17:17" x14ac:dyDescent="0.25">
      <c r="Q42863" s="8"/>
    </row>
    <row r="42864" spans="17:17" x14ac:dyDescent="0.25">
      <c r="Q42864" s="8"/>
    </row>
    <row r="42865" spans="17:17" x14ac:dyDescent="0.25">
      <c r="Q42865" s="8"/>
    </row>
    <row r="42866" spans="17:17" x14ac:dyDescent="0.25">
      <c r="Q42866" s="8"/>
    </row>
    <row r="42867" spans="17:17" x14ac:dyDescent="0.25">
      <c r="Q42867" s="8"/>
    </row>
    <row r="42868" spans="17:17" x14ac:dyDescent="0.25">
      <c r="Q42868" s="8"/>
    </row>
    <row r="42869" spans="17:17" x14ac:dyDescent="0.25">
      <c r="Q42869" s="8"/>
    </row>
    <row r="42870" spans="17:17" x14ac:dyDescent="0.25">
      <c r="Q42870" s="8"/>
    </row>
    <row r="42871" spans="17:17" x14ac:dyDescent="0.25">
      <c r="Q42871" s="8"/>
    </row>
    <row r="42872" spans="17:17" x14ac:dyDescent="0.25">
      <c r="Q42872" s="8"/>
    </row>
    <row r="42873" spans="17:17" x14ac:dyDescent="0.25">
      <c r="Q42873" s="8"/>
    </row>
    <row r="42874" spans="17:17" x14ac:dyDescent="0.25">
      <c r="Q42874" s="8"/>
    </row>
    <row r="42875" spans="17:17" x14ac:dyDescent="0.25">
      <c r="Q42875" s="8"/>
    </row>
    <row r="42876" spans="17:17" x14ac:dyDescent="0.25">
      <c r="Q42876" s="8"/>
    </row>
    <row r="42877" spans="17:17" x14ac:dyDescent="0.25">
      <c r="Q42877" s="8"/>
    </row>
    <row r="42878" spans="17:17" x14ac:dyDescent="0.25">
      <c r="Q42878" s="8"/>
    </row>
    <row r="42879" spans="17:17" x14ac:dyDescent="0.25">
      <c r="Q42879" s="8"/>
    </row>
    <row r="42880" spans="17:17" x14ac:dyDescent="0.25">
      <c r="Q42880" s="8"/>
    </row>
    <row r="42881" spans="17:17" x14ac:dyDescent="0.25">
      <c r="Q42881" s="8"/>
    </row>
    <row r="42882" spans="17:17" x14ac:dyDescent="0.25">
      <c r="Q42882" s="8"/>
    </row>
    <row r="42883" spans="17:17" x14ac:dyDescent="0.25">
      <c r="Q42883" s="8"/>
    </row>
    <row r="42884" spans="17:17" x14ac:dyDescent="0.25">
      <c r="Q42884" s="8"/>
    </row>
    <row r="42885" spans="17:17" x14ac:dyDescent="0.25">
      <c r="Q42885" s="8"/>
    </row>
    <row r="42886" spans="17:17" x14ac:dyDescent="0.25">
      <c r="Q42886" s="8"/>
    </row>
    <row r="42887" spans="17:17" x14ac:dyDescent="0.25">
      <c r="Q42887" s="8"/>
    </row>
    <row r="42888" spans="17:17" x14ac:dyDescent="0.25">
      <c r="Q42888" s="8"/>
    </row>
    <row r="42889" spans="17:17" x14ac:dyDescent="0.25">
      <c r="Q42889" s="8"/>
    </row>
    <row r="42890" spans="17:17" x14ac:dyDescent="0.25">
      <c r="Q42890" s="8"/>
    </row>
    <row r="42891" spans="17:17" x14ac:dyDescent="0.25">
      <c r="Q42891" s="8"/>
    </row>
    <row r="42892" spans="17:17" x14ac:dyDescent="0.25">
      <c r="Q42892" s="8"/>
    </row>
    <row r="42893" spans="17:17" x14ac:dyDescent="0.25">
      <c r="Q42893" s="8"/>
    </row>
    <row r="42894" spans="17:17" x14ac:dyDescent="0.25">
      <c r="Q42894" s="8"/>
    </row>
    <row r="42895" spans="17:17" x14ac:dyDescent="0.25">
      <c r="Q42895" s="8"/>
    </row>
    <row r="42896" spans="17:17" x14ac:dyDescent="0.25">
      <c r="Q42896" s="8"/>
    </row>
    <row r="42897" spans="17:17" x14ac:dyDescent="0.25">
      <c r="Q42897" s="8"/>
    </row>
    <row r="42898" spans="17:17" x14ac:dyDescent="0.25">
      <c r="Q42898" s="8"/>
    </row>
    <row r="42899" spans="17:17" x14ac:dyDescent="0.25">
      <c r="Q42899" s="8"/>
    </row>
    <row r="42900" spans="17:17" x14ac:dyDescent="0.25">
      <c r="Q42900" s="8"/>
    </row>
    <row r="42901" spans="17:17" x14ac:dyDescent="0.25">
      <c r="Q42901" s="8"/>
    </row>
    <row r="42902" spans="17:17" x14ac:dyDescent="0.25">
      <c r="Q42902" s="8"/>
    </row>
    <row r="42903" spans="17:17" x14ac:dyDescent="0.25">
      <c r="Q42903" s="8"/>
    </row>
    <row r="42904" spans="17:17" x14ac:dyDescent="0.25">
      <c r="Q42904" s="8"/>
    </row>
    <row r="42905" spans="17:17" x14ac:dyDescent="0.25">
      <c r="Q42905" s="8"/>
    </row>
    <row r="42906" spans="17:17" x14ac:dyDescent="0.25">
      <c r="Q42906" s="8"/>
    </row>
    <row r="42907" spans="17:17" x14ac:dyDescent="0.25">
      <c r="Q42907" s="8"/>
    </row>
    <row r="42908" spans="17:17" x14ac:dyDescent="0.25">
      <c r="Q42908" s="8"/>
    </row>
    <row r="42909" spans="17:17" x14ac:dyDescent="0.25">
      <c r="Q42909" s="8"/>
    </row>
    <row r="42910" spans="17:17" x14ac:dyDescent="0.25">
      <c r="Q42910" s="8"/>
    </row>
    <row r="42911" spans="17:17" x14ac:dyDescent="0.25">
      <c r="Q42911" s="8"/>
    </row>
    <row r="42912" spans="17:17" x14ac:dyDescent="0.25">
      <c r="Q42912" s="8"/>
    </row>
    <row r="42913" spans="17:17" x14ac:dyDescent="0.25">
      <c r="Q42913" s="8"/>
    </row>
    <row r="42914" spans="17:17" x14ac:dyDescent="0.25">
      <c r="Q42914" s="8"/>
    </row>
    <row r="42915" spans="17:17" x14ac:dyDescent="0.25">
      <c r="Q42915" s="8"/>
    </row>
    <row r="42916" spans="17:17" x14ac:dyDescent="0.25">
      <c r="Q42916" s="8"/>
    </row>
    <row r="42917" spans="17:17" x14ac:dyDescent="0.25">
      <c r="Q42917" s="8"/>
    </row>
    <row r="42918" spans="17:17" x14ac:dyDescent="0.25">
      <c r="Q42918" s="8"/>
    </row>
    <row r="42919" spans="17:17" x14ac:dyDescent="0.25">
      <c r="Q42919" s="8"/>
    </row>
    <row r="42920" spans="17:17" x14ac:dyDescent="0.25">
      <c r="Q42920" s="8"/>
    </row>
    <row r="42921" spans="17:17" x14ac:dyDescent="0.25">
      <c r="Q42921" s="8"/>
    </row>
    <row r="42922" spans="17:17" x14ac:dyDescent="0.25">
      <c r="Q42922" s="8"/>
    </row>
    <row r="42923" spans="17:17" x14ac:dyDescent="0.25">
      <c r="Q42923" s="8"/>
    </row>
    <row r="42924" spans="17:17" x14ac:dyDescent="0.25">
      <c r="Q42924" s="8"/>
    </row>
    <row r="42925" spans="17:17" x14ac:dyDescent="0.25">
      <c r="Q42925" s="8"/>
    </row>
    <row r="42926" spans="17:17" x14ac:dyDescent="0.25">
      <c r="Q42926" s="8"/>
    </row>
    <row r="42927" spans="17:17" x14ac:dyDescent="0.25">
      <c r="Q42927" s="8"/>
    </row>
    <row r="42928" spans="17:17" x14ac:dyDescent="0.25">
      <c r="Q42928" s="8"/>
    </row>
    <row r="42929" spans="17:17" x14ac:dyDescent="0.25">
      <c r="Q42929" s="8"/>
    </row>
    <row r="42930" spans="17:17" x14ac:dyDescent="0.25">
      <c r="Q42930" s="8"/>
    </row>
    <row r="42931" spans="17:17" x14ac:dyDescent="0.25">
      <c r="Q42931" s="8"/>
    </row>
    <row r="42932" spans="17:17" x14ac:dyDescent="0.25">
      <c r="Q42932" s="8"/>
    </row>
    <row r="42933" spans="17:17" x14ac:dyDescent="0.25">
      <c r="Q42933" s="8"/>
    </row>
    <row r="42934" spans="17:17" x14ac:dyDescent="0.25">
      <c r="Q42934" s="8"/>
    </row>
    <row r="42935" spans="17:17" x14ac:dyDescent="0.25">
      <c r="Q42935" s="8"/>
    </row>
    <row r="42936" spans="17:17" x14ac:dyDescent="0.25">
      <c r="Q42936" s="8"/>
    </row>
    <row r="42937" spans="17:17" x14ac:dyDescent="0.25">
      <c r="Q42937" s="8"/>
    </row>
    <row r="42938" spans="17:17" x14ac:dyDescent="0.25">
      <c r="Q42938" s="8"/>
    </row>
    <row r="42939" spans="17:17" x14ac:dyDescent="0.25">
      <c r="Q42939" s="8"/>
    </row>
    <row r="42940" spans="17:17" x14ac:dyDescent="0.25">
      <c r="Q42940" s="8"/>
    </row>
    <row r="42941" spans="17:17" x14ac:dyDescent="0.25">
      <c r="Q42941" s="8"/>
    </row>
    <row r="42942" spans="17:17" x14ac:dyDescent="0.25">
      <c r="Q42942" s="8"/>
    </row>
    <row r="42943" spans="17:17" x14ac:dyDescent="0.25">
      <c r="Q42943" s="8"/>
    </row>
    <row r="42944" spans="17:17" x14ac:dyDescent="0.25">
      <c r="Q42944" s="8"/>
    </row>
    <row r="42945" spans="17:17" x14ac:dyDescent="0.25">
      <c r="Q42945" s="8"/>
    </row>
    <row r="42946" spans="17:17" x14ac:dyDescent="0.25">
      <c r="Q42946" s="8"/>
    </row>
    <row r="42947" spans="17:17" x14ac:dyDescent="0.25">
      <c r="Q42947" s="8"/>
    </row>
    <row r="42948" spans="17:17" x14ac:dyDescent="0.25">
      <c r="Q42948" s="8"/>
    </row>
    <row r="42949" spans="17:17" x14ac:dyDescent="0.25">
      <c r="Q42949" s="8"/>
    </row>
    <row r="42950" spans="17:17" x14ac:dyDescent="0.25">
      <c r="Q42950" s="8"/>
    </row>
    <row r="42951" spans="17:17" x14ac:dyDescent="0.25">
      <c r="Q42951" s="8"/>
    </row>
    <row r="42952" spans="17:17" x14ac:dyDescent="0.25">
      <c r="Q42952" s="8"/>
    </row>
    <row r="42953" spans="17:17" x14ac:dyDescent="0.25">
      <c r="Q42953" s="8"/>
    </row>
    <row r="42954" spans="17:17" x14ac:dyDescent="0.25">
      <c r="Q42954" s="8"/>
    </row>
    <row r="42955" spans="17:17" x14ac:dyDescent="0.25">
      <c r="Q42955" s="8"/>
    </row>
    <row r="42956" spans="17:17" x14ac:dyDescent="0.25">
      <c r="Q42956" s="8"/>
    </row>
    <row r="42957" spans="17:17" x14ac:dyDescent="0.25">
      <c r="Q42957" s="8"/>
    </row>
    <row r="42958" spans="17:17" x14ac:dyDescent="0.25">
      <c r="Q42958" s="8"/>
    </row>
    <row r="42959" spans="17:17" x14ac:dyDescent="0.25">
      <c r="Q42959" s="8"/>
    </row>
    <row r="42960" spans="17:17" x14ac:dyDescent="0.25">
      <c r="Q42960" s="8"/>
    </row>
    <row r="42961" spans="17:17" x14ac:dyDescent="0.25">
      <c r="Q42961" s="8"/>
    </row>
    <row r="42962" spans="17:17" x14ac:dyDescent="0.25">
      <c r="Q42962" s="8"/>
    </row>
    <row r="42963" spans="17:17" x14ac:dyDescent="0.25">
      <c r="Q42963" s="8"/>
    </row>
    <row r="42964" spans="17:17" x14ac:dyDescent="0.25">
      <c r="Q42964" s="8"/>
    </row>
    <row r="42965" spans="17:17" x14ac:dyDescent="0.25">
      <c r="Q42965" s="8"/>
    </row>
    <row r="42966" spans="17:17" x14ac:dyDescent="0.25">
      <c r="Q42966" s="8"/>
    </row>
    <row r="42967" spans="17:17" x14ac:dyDescent="0.25">
      <c r="Q42967" s="8"/>
    </row>
    <row r="42968" spans="17:17" x14ac:dyDescent="0.25">
      <c r="Q42968" s="8"/>
    </row>
    <row r="42969" spans="17:17" x14ac:dyDescent="0.25">
      <c r="Q42969" s="8"/>
    </row>
    <row r="42970" spans="17:17" x14ac:dyDescent="0.25">
      <c r="Q42970" s="8"/>
    </row>
    <row r="42971" spans="17:17" x14ac:dyDescent="0.25">
      <c r="Q42971" s="8"/>
    </row>
    <row r="42972" spans="17:17" x14ac:dyDescent="0.25">
      <c r="Q42972" s="8"/>
    </row>
    <row r="42973" spans="17:17" x14ac:dyDescent="0.25">
      <c r="Q42973" s="8"/>
    </row>
    <row r="42974" spans="17:17" x14ac:dyDescent="0.25">
      <c r="Q42974" s="8"/>
    </row>
    <row r="42975" spans="17:17" x14ac:dyDescent="0.25">
      <c r="Q42975" s="8"/>
    </row>
    <row r="42976" spans="17:17" x14ac:dyDescent="0.25">
      <c r="Q42976" s="8"/>
    </row>
    <row r="42977" spans="17:17" x14ac:dyDescent="0.25">
      <c r="Q42977" s="8"/>
    </row>
    <row r="42978" spans="17:17" x14ac:dyDescent="0.25">
      <c r="Q42978" s="8"/>
    </row>
    <row r="42979" spans="17:17" x14ac:dyDescent="0.25">
      <c r="Q42979" s="8"/>
    </row>
    <row r="42980" spans="17:17" x14ac:dyDescent="0.25">
      <c r="Q42980" s="8"/>
    </row>
    <row r="42981" spans="17:17" x14ac:dyDescent="0.25">
      <c r="Q42981" s="8"/>
    </row>
    <row r="42982" spans="17:17" x14ac:dyDescent="0.25">
      <c r="Q42982" s="8"/>
    </row>
    <row r="42983" spans="17:17" x14ac:dyDescent="0.25">
      <c r="Q42983" s="8"/>
    </row>
    <row r="42984" spans="17:17" x14ac:dyDescent="0.25">
      <c r="Q42984" s="8"/>
    </row>
    <row r="42985" spans="17:17" x14ac:dyDescent="0.25">
      <c r="Q42985" s="8"/>
    </row>
    <row r="42986" spans="17:17" x14ac:dyDescent="0.25">
      <c r="Q42986" s="8"/>
    </row>
    <row r="42987" spans="17:17" x14ac:dyDescent="0.25">
      <c r="Q42987" s="8"/>
    </row>
    <row r="42988" spans="17:17" x14ac:dyDescent="0.25">
      <c r="Q42988" s="8"/>
    </row>
    <row r="42989" spans="17:17" x14ac:dyDescent="0.25">
      <c r="Q42989" s="8"/>
    </row>
    <row r="42990" spans="17:17" x14ac:dyDescent="0.25">
      <c r="Q42990" s="8"/>
    </row>
    <row r="42991" spans="17:17" x14ac:dyDescent="0.25">
      <c r="Q42991" s="8"/>
    </row>
    <row r="42992" spans="17:17" x14ac:dyDescent="0.25">
      <c r="Q42992" s="8"/>
    </row>
    <row r="42993" spans="17:17" x14ac:dyDescent="0.25">
      <c r="Q42993" s="8"/>
    </row>
    <row r="42994" spans="17:17" x14ac:dyDescent="0.25">
      <c r="Q42994" s="8"/>
    </row>
    <row r="42995" spans="17:17" x14ac:dyDescent="0.25">
      <c r="Q42995" s="8"/>
    </row>
    <row r="42996" spans="17:17" x14ac:dyDescent="0.25">
      <c r="Q42996" s="8"/>
    </row>
    <row r="42997" spans="17:17" x14ac:dyDescent="0.25">
      <c r="Q42997" s="8"/>
    </row>
    <row r="42998" spans="17:17" x14ac:dyDescent="0.25">
      <c r="Q42998" s="8"/>
    </row>
    <row r="42999" spans="17:17" x14ac:dyDescent="0.25">
      <c r="Q42999" s="8"/>
    </row>
    <row r="43000" spans="17:17" x14ac:dyDescent="0.25">
      <c r="Q43000" s="8"/>
    </row>
    <row r="43001" spans="17:17" x14ac:dyDescent="0.25">
      <c r="Q43001" s="8"/>
    </row>
    <row r="43002" spans="17:17" x14ac:dyDescent="0.25">
      <c r="Q43002" s="8"/>
    </row>
    <row r="43003" spans="17:17" x14ac:dyDescent="0.25">
      <c r="Q43003" s="8"/>
    </row>
    <row r="43004" spans="17:17" x14ac:dyDescent="0.25">
      <c r="Q43004" s="8"/>
    </row>
    <row r="43005" spans="17:17" x14ac:dyDescent="0.25">
      <c r="Q43005" s="8"/>
    </row>
    <row r="43006" spans="17:17" x14ac:dyDescent="0.25">
      <c r="Q43006" s="8"/>
    </row>
    <row r="43007" spans="17:17" x14ac:dyDescent="0.25">
      <c r="Q43007" s="8"/>
    </row>
    <row r="43008" spans="17:17" x14ac:dyDescent="0.25">
      <c r="Q43008" s="8"/>
    </row>
    <row r="43009" spans="17:17" x14ac:dyDescent="0.25">
      <c r="Q43009" s="8"/>
    </row>
    <row r="43010" spans="17:17" x14ac:dyDescent="0.25">
      <c r="Q43010" s="8"/>
    </row>
    <row r="43011" spans="17:17" x14ac:dyDescent="0.25">
      <c r="Q43011" s="8"/>
    </row>
    <row r="43012" spans="17:17" x14ac:dyDescent="0.25">
      <c r="Q43012" s="8"/>
    </row>
    <row r="43013" spans="17:17" x14ac:dyDescent="0.25">
      <c r="Q43013" s="8"/>
    </row>
    <row r="43014" spans="17:17" x14ac:dyDescent="0.25">
      <c r="Q43014" s="8"/>
    </row>
    <row r="43015" spans="17:17" x14ac:dyDescent="0.25">
      <c r="Q43015" s="8"/>
    </row>
    <row r="43016" spans="17:17" x14ac:dyDescent="0.25">
      <c r="Q43016" s="8"/>
    </row>
    <row r="43017" spans="17:17" x14ac:dyDescent="0.25">
      <c r="Q43017" s="8"/>
    </row>
    <row r="43018" spans="17:17" x14ac:dyDescent="0.25">
      <c r="Q43018" s="8"/>
    </row>
    <row r="43019" spans="17:17" x14ac:dyDescent="0.25">
      <c r="Q43019" s="8"/>
    </row>
    <row r="43020" spans="17:17" x14ac:dyDescent="0.25">
      <c r="Q43020" s="8"/>
    </row>
    <row r="43021" spans="17:17" x14ac:dyDescent="0.25">
      <c r="Q43021" s="8"/>
    </row>
    <row r="43022" spans="17:17" x14ac:dyDescent="0.25">
      <c r="Q43022" s="8"/>
    </row>
    <row r="43023" spans="17:17" x14ac:dyDescent="0.25">
      <c r="Q43023" s="8"/>
    </row>
    <row r="43024" spans="17:17" x14ac:dyDescent="0.25">
      <c r="Q43024" s="8"/>
    </row>
    <row r="43025" spans="17:17" x14ac:dyDescent="0.25">
      <c r="Q43025" s="8"/>
    </row>
    <row r="43026" spans="17:17" x14ac:dyDescent="0.25">
      <c r="Q43026" s="8"/>
    </row>
    <row r="43027" spans="17:17" x14ac:dyDescent="0.25">
      <c r="Q43027" s="8"/>
    </row>
    <row r="43028" spans="17:17" x14ac:dyDescent="0.25">
      <c r="Q43028" s="8"/>
    </row>
    <row r="43029" spans="17:17" x14ac:dyDescent="0.25">
      <c r="Q43029" s="8"/>
    </row>
    <row r="43030" spans="17:17" x14ac:dyDescent="0.25">
      <c r="Q43030" s="8"/>
    </row>
    <row r="43031" spans="17:17" x14ac:dyDescent="0.25">
      <c r="Q43031" s="8"/>
    </row>
    <row r="43032" spans="17:17" x14ac:dyDescent="0.25">
      <c r="Q43032" s="8"/>
    </row>
    <row r="43033" spans="17:17" x14ac:dyDescent="0.25">
      <c r="Q43033" s="8"/>
    </row>
    <row r="43034" spans="17:17" x14ac:dyDescent="0.25">
      <c r="Q43034" s="8"/>
    </row>
    <row r="43035" spans="17:17" x14ac:dyDescent="0.25">
      <c r="Q43035" s="8"/>
    </row>
    <row r="43036" spans="17:17" x14ac:dyDescent="0.25">
      <c r="Q43036" s="8"/>
    </row>
    <row r="43037" spans="17:17" x14ac:dyDescent="0.25">
      <c r="Q43037" s="8"/>
    </row>
    <row r="43038" spans="17:17" x14ac:dyDescent="0.25">
      <c r="Q43038" s="8"/>
    </row>
    <row r="43039" spans="17:17" x14ac:dyDescent="0.25">
      <c r="Q43039" s="8"/>
    </row>
    <row r="43040" spans="17:17" x14ac:dyDescent="0.25">
      <c r="Q43040" s="8"/>
    </row>
    <row r="43041" spans="17:17" x14ac:dyDescent="0.25">
      <c r="Q43041" s="8"/>
    </row>
    <row r="43042" spans="17:17" x14ac:dyDescent="0.25">
      <c r="Q43042" s="8"/>
    </row>
    <row r="43043" spans="17:17" x14ac:dyDescent="0.25">
      <c r="Q43043" s="8"/>
    </row>
    <row r="43044" spans="17:17" x14ac:dyDescent="0.25">
      <c r="Q43044" s="8"/>
    </row>
    <row r="43045" spans="17:17" x14ac:dyDescent="0.25">
      <c r="Q43045" s="8"/>
    </row>
    <row r="43046" spans="17:17" x14ac:dyDescent="0.25">
      <c r="Q43046" s="8"/>
    </row>
    <row r="43047" spans="17:17" x14ac:dyDescent="0.25">
      <c r="Q43047" s="8"/>
    </row>
    <row r="43048" spans="17:17" x14ac:dyDescent="0.25">
      <c r="Q43048" s="8"/>
    </row>
    <row r="43049" spans="17:17" x14ac:dyDescent="0.25">
      <c r="Q43049" s="8"/>
    </row>
    <row r="43050" spans="17:17" x14ac:dyDescent="0.25">
      <c r="Q43050" s="8"/>
    </row>
    <row r="43051" spans="17:17" x14ac:dyDescent="0.25">
      <c r="Q43051" s="8"/>
    </row>
    <row r="43052" spans="17:17" x14ac:dyDescent="0.25">
      <c r="Q43052" s="8"/>
    </row>
    <row r="43053" spans="17:17" x14ac:dyDescent="0.25">
      <c r="Q43053" s="8"/>
    </row>
    <row r="43054" spans="17:17" x14ac:dyDescent="0.25">
      <c r="Q43054" s="8"/>
    </row>
    <row r="43055" spans="17:17" x14ac:dyDescent="0.25">
      <c r="Q43055" s="8"/>
    </row>
    <row r="43056" spans="17:17" x14ac:dyDescent="0.25">
      <c r="Q43056" s="8"/>
    </row>
    <row r="43057" spans="17:17" x14ac:dyDescent="0.25">
      <c r="Q43057" s="8"/>
    </row>
    <row r="43058" spans="17:17" x14ac:dyDescent="0.25">
      <c r="Q43058" s="8"/>
    </row>
    <row r="43059" spans="17:17" x14ac:dyDescent="0.25">
      <c r="Q43059" s="8"/>
    </row>
    <row r="43060" spans="17:17" x14ac:dyDescent="0.25">
      <c r="Q43060" s="8"/>
    </row>
    <row r="43061" spans="17:17" x14ac:dyDescent="0.25">
      <c r="Q43061" s="8"/>
    </row>
    <row r="43062" spans="17:17" x14ac:dyDescent="0.25">
      <c r="Q43062" s="8"/>
    </row>
    <row r="43063" spans="17:17" x14ac:dyDescent="0.25">
      <c r="Q43063" s="8"/>
    </row>
    <row r="43064" spans="17:17" x14ac:dyDescent="0.25">
      <c r="Q43064" s="8"/>
    </row>
    <row r="43065" spans="17:17" x14ac:dyDescent="0.25">
      <c r="Q43065" s="8"/>
    </row>
    <row r="43066" spans="17:17" x14ac:dyDescent="0.25">
      <c r="Q43066" s="8"/>
    </row>
    <row r="43067" spans="17:17" x14ac:dyDescent="0.25">
      <c r="Q43067" s="8"/>
    </row>
    <row r="43068" spans="17:17" x14ac:dyDescent="0.25">
      <c r="Q43068" s="8"/>
    </row>
    <row r="43069" spans="17:17" x14ac:dyDescent="0.25">
      <c r="Q43069" s="8"/>
    </row>
    <row r="43070" spans="17:17" x14ac:dyDescent="0.25">
      <c r="Q43070" s="8"/>
    </row>
    <row r="43071" spans="17:17" x14ac:dyDescent="0.25">
      <c r="Q43071" s="8"/>
    </row>
    <row r="43072" spans="17:17" x14ac:dyDescent="0.25">
      <c r="Q43072" s="8"/>
    </row>
    <row r="43073" spans="17:17" x14ac:dyDescent="0.25">
      <c r="Q43073" s="8"/>
    </row>
    <row r="43074" spans="17:17" x14ac:dyDescent="0.25">
      <c r="Q43074" s="8"/>
    </row>
    <row r="43075" spans="17:17" x14ac:dyDescent="0.25">
      <c r="Q43075" s="8"/>
    </row>
    <row r="43076" spans="17:17" x14ac:dyDescent="0.25">
      <c r="Q43076" s="8"/>
    </row>
    <row r="43077" spans="17:17" x14ac:dyDescent="0.25">
      <c r="Q43077" s="8"/>
    </row>
    <row r="43078" spans="17:17" x14ac:dyDescent="0.25">
      <c r="Q43078" s="8"/>
    </row>
    <row r="43079" spans="17:17" x14ac:dyDescent="0.25">
      <c r="Q43079" s="8"/>
    </row>
    <row r="43080" spans="17:17" x14ac:dyDescent="0.25">
      <c r="Q43080" s="8"/>
    </row>
    <row r="43081" spans="17:17" x14ac:dyDescent="0.25">
      <c r="Q43081" s="8"/>
    </row>
    <row r="43082" spans="17:17" x14ac:dyDescent="0.25">
      <c r="Q43082" s="8"/>
    </row>
    <row r="43083" spans="17:17" x14ac:dyDescent="0.25">
      <c r="Q43083" s="8"/>
    </row>
    <row r="43084" spans="17:17" x14ac:dyDescent="0.25">
      <c r="Q43084" s="8"/>
    </row>
    <row r="43085" spans="17:17" x14ac:dyDescent="0.25">
      <c r="Q43085" s="8"/>
    </row>
    <row r="43086" spans="17:17" x14ac:dyDescent="0.25">
      <c r="Q43086" s="8"/>
    </row>
    <row r="43087" spans="17:17" x14ac:dyDescent="0.25">
      <c r="Q43087" s="8"/>
    </row>
    <row r="43088" spans="17:17" x14ac:dyDescent="0.25">
      <c r="Q43088" s="8"/>
    </row>
    <row r="43089" spans="17:17" x14ac:dyDescent="0.25">
      <c r="Q43089" s="8"/>
    </row>
    <row r="43090" spans="17:17" x14ac:dyDescent="0.25">
      <c r="Q43090" s="8"/>
    </row>
    <row r="43091" spans="17:17" x14ac:dyDescent="0.25">
      <c r="Q43091" s="8"/>
    </row>
    <row r="43092" spans="17:17" x14ac:dyDescent="0.25">
      <c r="Q43092" s="8"/>
    </row>
    <row r="43093" spans="17:17" x14ac:dyDescent="0.25">
      <c r="Q43093" s="8"/>
    </row>
    <row r="43094" spans="17:17" x14ac:dyDescent="0.25">
      <c r="Q43094" s="8"/>
    </row>
    <row r="43095" spans="17:17" x14ac:dyDescent="0.25">
      <c r="Q43095" s="8"/>
    </row>
    <row r="43096" spans="17:17" x14ac:dyDescent="0.25">
      <c r="Q43096" s="8"/>
    </row>
    <row r="43097" spans="17:17" x14ac:dyDescent="0.25">
      <c r="Q43097" s="8"/>
    </row>
    <row r="43098" spans="17:17" x14ac:dyDescent="0.25">
      <c r="Q43098" s="8"/>
    </row>
    <row r="43099" spans="17:17" x14ac:dyDescent="0.25">
      <c r="Q43099" s="8"/>
    </row>
    <row r="43100" spans="17:17" x14ac:dyDescent="0.25">
      <c r="Q43100" s="8"/>
    </row>
    <row r="43101" spans="17:17" x14ac:dyDescent="0.25">
      <c r="Q43101" s="8"/>
    </row>
    <row r="43102" spans="17:17" x14ac:dyDescent="0.25">
      <c r="Q43102" s="8"/>
    </row>
    <row r="43103" spans="17:17" x14ac:dyDescent="0.25">
      <c r="Q43103" s="8"/>
    </row>
    <row r="43104" spans="17:17" x14ac:dyDescent="0.25">
      <c r="Q43104" s="8"/>
    </row>
    <row r="43105" spans="17:17" x14ac:dyDescent="0.25">
      <c r="Q43105" s="8"/>
    </row>
    <row r="43106" spans="17:17" x14ac:dyDescent="0.25">
      <c r="Q43106" s="8"/>
    </row>
    <row r="43107" spans="17:17" x14ac:dyDescent="0.25">
      <c r="Q43107" s="8"/>
    </row>
    <row r="43108" spans="17:17" x14ac:dyDescent="0.25">
      <c r="Q43108" s="8"/>
    </row>
    <row r="43109" spans="17:17" x14ac:dyDescent="0.25">
      <c r="Q43109" s="8"/>
    </row>
    <row r="43110" spans="17:17" x14ac:dyDescent="0.25">
      <c r="Q43110" s="8"/>
    </row>
    <row r="43111" spans="17:17" x14ac:dyDescent="0.25">
      <c r="Q43111" s="8"/>
    </row>
    <row r="43112" spans="17:17" x14ac:dyDescent="0.25">
      <c r="Q43112" s="8"/>
    </row>
    <row r="43113" spans="17:17" x14ac:dyDescent="0.25">
      <c r="Q43113" s="8"/>
    </row>
    <row r="43114" spans="17:17" x14ac:dyDescent="0.25">
      <c r="Q43114" s="8"/>
    </row>
    <row r="43115" spans="17:17" x14ac:dyDescent="0.25">
      <c r="Q43115" s="8"/>
    </row>
    <row r="43116" spans="17:17" x14ac:dyDescent="0.25">
      <c r="Q43116" s="8"/>
    </row>
    <row r="43117" spans="17:17" x14ac:dyDescent="0.25">
      <c r="Q43117" s="8"/>
    </row>
    <row r="43118" spans="17:17" x14ac:dyDescent="0.25">
      <c r="Q43118" s="8"/>
    </row>
    <row r="43119" spans="17:17" x14ac:dyDescent="0.25">
      <c r="Q43119" s="8"/>
    </row>
    <row r="43120" spans="17:17" x14ac:dyDescent="0.25">
      <c r="Q43120" s="8"/>
    </row>
    <row r="43121" spans="17:17" x14ac:dyDescent="0.25">
      <c r="Q43121" s="8"/>
    </row>
    <row r="43122" spans="17:17" x14ac:dyDescent="0.25">
      <c r="Q43122" s="8"/>
    </row>
    <row r="43123" spans="17:17" x14ac:dyDescent="0.25">
      <c r="Q43123" s="8"/>
    </row>
    <row r="43124" spans="17:17" x14ac:dyDescent="0.25">
      <c r="Q43124" s="8"/>
    </row>
    <row r="43125" spans="17:17" x14ac:dyDescent="0.25">
      <c r="Q43125" s="8"/>
    </row>
    <row r="43126" spans="17:17" x14ac:dyDescent="0.25">
      <c r="Q43126" s="8"/>
    </row>
    <row r="43127" spans="17:17" x14ac:dyDescent="0.25">
      <c r="Q43127" s="8"/>
    </row>
    <row r="43128" spans="17:17" x14ac:dyDescent="0.25">
      <c r="Q43128" s="8"/>
    </row>
    <row r="43129" spans="17:17" x14ac:dyDescent="0.25">
      <c r="Q43129" s="8"/>
    </row>
    <row r="43130" spans="17:17" x14ac:dyDescent="0.25">
      <c r="Q43130" s="8"/>
    </row>
    <row r="43131" spans="17:17" x14ac:dyDescent="0.25">
      <c r="Q43131" s="8"/>
    </row>
    <row r="43132" spans="17:17" x14ac:dyDescent="0.25">
      <c r="Q43132" s="8"/>
    </row>
    <row r="43133" spans="17:17" x14ac:dyDescent="0.25">
      <c r="Q43133" s="8"/>
    </row>
    <row r="43134" spans="17:17" x14ac:dyDescent="0.25">
      <c r="Q43134" s="8"/>
    </row>
    <row r="43135" spans="17:17" x14ac:dyDescent="0.25">
      <c r="Q43135" s="8"/>
    </row>
    <row r="43136" spans="17:17" x14ac:dyDescent="0.25">
      <c r="Q43136" s="8"/>
    </row>
    <row r="43137" spans="17:17" x14ac:dyDescent="0.25">
      <c r="Q43137" s="8"/>
    </row>
    <row r="43138" spans="17:17" x14ac:dyDescent="0.25">
      <c r="Q43138" s="8"/>
    </row>
    <row r="43139" spans="17:17" x14ac:dyDescent="0.25">
      <c r="Q43139" s="8"/>
    </row>
    <row r="43140" spans="17:17" x14ac:dyDescent="0.25">
      <c r="Q43140" s="8"/>
    </row>
    <row r="43141" spans="17:17" x14ac:dyDescent="0.25">
      <c r="Q43141" s="8"/>
    </row>
    <row r="43142" spans="17:17" x14ac:dyDescent="0.25">
      <c r="Q43142" s="8"/>
    </row>
    <row r="43143" spans="17:17" x14ac:dyDescent="0.25">
      <c r="Q43143" s="8"/>
    </row>
    <row r="43144" spans="17:17" x14ac:dyDescent="0.25">
      <c r="Q43144" s="8"/>
    </row>
    <row r="43145" spans="17:17" x14ac:dyDescent="0.25">
      <c r="Q43145" s="8"/>
    </row>
    <row r="43146" spans="17:17" x14ac:dyDescent="0.25">
      <c r="Q43146" s="8"/>
    </row>
    <row r="43147" spans="17:17" x14ac:dyDescent="0.25">
      <c r="Q43147" s="8"/>
    </row>
    <row r="43148" spans="17:17" x14ac:dyDescent="0.25">
      <c r="Q43148" s="8"/>
    </row>
    <row r="43149" spans="17:17" x14ac:dyDescent="0.25">
      <c r="Q43149" s="8"/>
    </row>
    <row r="43150" spans="17:17" x14ac:dyDescent="0.25">
      <c r="Q43150" s="8"/>
    </row>
    <row r="43151" spans="17:17" x14ac:dyDescent="0.25">
      <c r="Q43151" s="8"/>
    </row>
    <row r="43152" spans="17:17" x14ac:dyDescent="0.25">
      <c r="Q43152" s="8"/>
    </row>
    <row r="43153" spans="17:17" x14ac:dyDescent="0.25">
      <c r="Q43153" s="8"/>
    </row>
    <row r="43154" spans="17:17" x14ac:dyDescent="0.25">
      <c r="Q43154" s="8"/>
    </row>
    <row r="43155" spans="17:17" x14ac:dyDescent="0.25">
      <c r="Q43155" s="8"/>
    </row>
    <row r="43156" spans="17:17" x14ac:dyDescent="0.25">
      <c r="Q43156" s="8"/>
    </row>
    <row r="43157" spans="17:17" x14ac:dyDescent="0.25">
      <c r="Q43157" s="8"/>
    </row>
    <row r="43158" spans="17:17" x14ac:dyDescent="0.25">
      <c r="Q43158" s="8"/>
    </row>
    <row r="43159" spans="17:17" x14ac:dyDescent="0.25">
      <c r="Q43159" s="8"/>
    </row>
    <row r="43160" spans="17:17" x14ac:dyDescent="0.25">
      <c r="Q43160" s="8"/>
    </row>
    <row r="43161" spans="17:17" x14ac:dyDescent="0.25">
      <c r="Q43161" s="8"/>
    </row>
    <row r="43162" spans="17:17" x14ac:dyDescent="0.25">
      <c r="Q43162" s="8"/>
    </row>
    <row r="43163" spans="17:17" x14ac:dyDescent="0.25">
      <c r="Q43163" s="8"/>
    </row>
    <row r="43164" spans="17:17" x14ac:dyDescent="0.25">
      <c r="Q43164" s="8"/>
    </row>
    <row r="43165" spans="17:17" x14ac:dyDescent="0.25">
      <c r="Q43165" s="8"/>
    </row>
    <row r="43166" spans="17:17" x14ac:dyDescent="0.25">
      <c r="Q43166" s="8"/>
    </row>
    <row r="43167" spans="17:17" x14ac:dyDescent="0.25">
      <c r="Q43167" s="8"/>
    </row>
    <row r="43168" spans="17:17" x14ac:dyDescent="0.25">
      <c r="Q43168" s="8"/>
    </row>
    <row r="43169" spans="17:17" x14ac:dyDescent="0.25">
      <c r="Q43169" s="8"/>
    </row>
    <row r="43170" spans="17:17" x14ac:dyDescent="0.25">
      <c r="Q43170" s="8"/>
    </row>
    <row r="43171" spans="17:17" x14ac:dyDescent="0.25">
      <c r="Q43171" s="8"/>
    </row>
    <row r="43172" spans="17:17" x14ac:dyDescent="0.25">
      <c r="Q43172" s="8"/>
    </row>
    <row r="43173" spans="17:17" x14ac:dyDescent="0.25">
      <c r="Q43173" s="8"/>
    </row>
    <row r="43174" spans="17:17" x14ac:dyDescent="0.25">
      <c r="Q43174" s="8"/>
    </row>
    <row r="43175" spans="17:17" x14ac:dyDescent="0.25">
      <c r="Q43175" s="8"/>
    </row>
    <row r="43176" spans="17:17" x14ac:dyDescent="0.25">
      <c r="Q43176" s="8"/>
    </row>
    <row r="43177" spans="17:17" x14ac:dyDescent="0.25">
      <c r="Q43177" s="8"/>
    </row>
    <row r="43178" spans="17:17" x14ac:dyDescent="0.25">
      <c r="Q43178" s="8"/>
    </row>
    <row r="43179" spans="17:17" x14ac:dyDescent="0.25">
      <c r="Q43179" s="8"/>
    </row>
    <row r="43180" spans="17:17" x14ac:dyDescent="0.25">
      <c r="Q43180" s="8"/>
    </row>
    <row r="43181" spans="17:17" x14ac:dyDescent="0.25">
      <c r="Q43181" s="8"/>
    </row>
    <row r="43182" spans="17:17" x14ac:dyDescent="0.25">
      <c r="Q43182" s="8"/>
    </row>
    <row r="43183" spans="17:17" x14ac:dyDescent="0.25">
      <c r="Q43183" s="8"/>
    </row>
    <row r="43184" spans="17:17" x14ac:dyDescent="0.25">
      <c r="Q43184" s="8"/>
    </row>
    <row r="43185" spans="17:17" x14ac:dyDescent="0.25">
      <c r="Q43185" s="8"/>
    </row>
    <row r="43186" spans="17:17" x14ac:dyDescent="0.25">
      <c r="Q43186" s="8"/>
    </row>
    <row r="43187" spans="17:17" x14ac:dyDescent="0.25">
      <c r="Q43187" s="8"/>
    </row>
    <row r="43188" spans="17:17" x14ac:dyDescent="0.25">
      <c r="Q43188" s="8"/>
    </row>
    <row r="43189" spans="17:17" x14ac:dyDescent="0.25">
      <c r="Q43189" s="8"/>
    </row>
    <row r="43190" spans="17:17" x14ac:dyDescent="0.25">
      <c r="Q43190" s="8"/>
    </row>
    <row r="43191" spans="17:17" x14ac:dyDescent="0.25">
      <c r="Q43191" s="8"/>
    </row>
    <row r="43192" spans="17:17" x14ac:dyDescent="0.25">
      <c r="Q43192" s="8"/>
    </row>
    <row r="43193" spans="17:17" x14ac:dyDescent="0.25">
      <c r="Q43193" s="8"/>
    </row>
    <row r="43194" spans="17:17" x14ac:dyDescent="0.25">
      <c r="Q43194" s="8"/>
    </row>
    <row r="43195" spans="17:17" x14ac:dyDescent="0.25">
      <c r="Q43195" s="8"/>
    </row>
    <row r="43196" spans="17:17" x14ac:dyDescent="0.25">
      <c r="Q43196" s="8"/>
    </row>
    <row r="43197" spans="17:17" x14ac:dyDescent="0.25">
      <c r="Q43197" s="8"/>
    </row>
    <row r="43198" spans="17:17" x14ac:dyDescent="0.25">
      <c r="Q43198" s="8"/>
    </row>
    <row r="43199" spans="17:17" x14ac:dyDescent="0.25">
      <c r="Q43199" s="8"/>
    </row>
    <row r="43200" spans="17:17" x14ac:dyDescent="0.25">
      <c r="Q43200" s="8"/>
    </row>
    <row r="43201" spans="17:17" x14ac:dyDescent="0.25">
      <c r="Q43201" s="8"/>
    </row>
    <row r="43202" spans="17:17" x14ac:dyDescent="0.25">
      <c r="Q43202" s="8"/>
    </row>
    <row r="43203" spans="17:17" x14ac:dyDescent="0.25">
      <c r="Q43203" s="8"/>
    </row>
    <row r="43204" spans="17:17" x14ac:dyDescent="0.25">
      <c r="Q43204" s="8"/>
    </row>
    <row r="43205" spans="17:17" x14ac:dyDescent="0.25">
      <c r="Q43205" s="8"/>
    </row>
    <row r="43206" spans="17:17" x14ac:dyDescent="0.25">
      <c r="Q43206" s="8"/>
    </row>
    <row r="43207" spans="17:17" x14ac:dyDescent="0.25">
      <c r="Q43207" s="8"/>
    </row>
    <row r="43208" spans="17:17" x14ac:dyDescent="0.25">
      <c r="Q43208" s="8"/>
    </row>
    <row r="43209" spans="17:17" x14ac:dyDescent="0.25">
      <c r="Q43209" s="8"/>
    </row>
    <row r="43210" spans="17:17" x14ac:dyDescent="0.25">
      <c r="Q43210" s="8"/>
    </row>
    <row r="43211" spans="17:17" x14ac:dyDescent="0.25">
      <c r="Q43211" s="8"/>
    </row>
    <row r="43212" spans="17:17" x14ac:dyDescent="0.25">
      <c r="Q43212" s="8"/>
    </row>
    <row r="43213" spans="17:17" x14ac:dyDescent="0.25">
      <c r="Q43213" s="8"/>
    </row>
    <row r="43214" spans="17:17" x14ac:dyDescent="0.25">
      <c r="Q43214" s="8"/>
    </row>
    <row r="43215" spans="17:17" x14ac:dyDescent="0.25">
      <c r="Q43215" s="8"/>
    </row>
    <row r="43216" spans="17:17" x14ac:dyDescent="0.25">
      <c r="Q43216" s="8"/>
    </row>
    <row r="43217" spans="17:17" x14ac:dyDescent="0.25">
      <c r="Q43217" s="8"/>
    </row>
    <row r="43218" spans="17:17" x14ac:dyDescent="0.25">
      <c r="Q43218" s="8"/>
    </row>
    <row r="43219" spans="17:17" x14ac:dyDescent="0.25">
      <c r="Q43219" s="8"/>
    </row>
    <row r="43220" spans="17:17" x14ac:dyDescent="0.25">
      <c r="Q43220" s="8"/>
    </row>
    <row r="43221" spans="17:17" x14ac:dyDescent="0.25">
      <c r="Q43221" s="8"/>
    </row>
    <row r="43222" spans="17:17" x14ac:dyDescent="0.25">
      <c r="Q43222" s="8"/>
    </row>
    <row r="43223" spans="17:17" x14ac:dyDescent="0.25">
      <c r="Q43223" s="8"/>
    </row>
    <row r="43224" spans="17:17" x14ac:dyDescent="0.25">
      <c r="Q43224" s="8"/>
    </row>
    <row r="43225" spans="17:17" x14ac:dyDescent="0.25">
      <c r="Q43225" s="8"/>
    </row>
    <row r="43226" spans="17:17" x14ac:dyDescent="0.25">
      <c r="Q43226" s="8"/>
    </row>
    <row r="43227" spans="17:17" x14ac:dyDescent="0.25">
      <c r="Q43227" s="8"/>
    </row>
    <row r="43228" spans="17:17" x14ac:dyDescent="0.25">
      <c r="Q43228" s="8"/>
    </row>
    <row r="43229" spans="17:17" x14ac:dyDescent="0.25">
      <c r="Q43229" s="8"/>
    </row>
    <row r="43230" spans="17:17" x14ac:dyDescent="0.25">
      <c r="Q43230" s="8"/>
    </row>
    <row r="43231" spans="17:17" x14ac:dyDescent="0.25">
      <c r="Q43231" s="8"/>
    </row>
    <row r="43232" spans="17:17" x14ac:dyDescent="0.25">
      <c r="Q43232" s="8"/>
    </row>
    <row r="43233" spans="17:17" x14ac:dyDescent="0.25">
      <c r="Q43233" s="8"/>
    </row>
    <row r="43234" spans="17:17" x14ac:dyDescent="0.25">
      <c r="Q43234" s="8"/>
    </row>
    <row r="43235" spans="17:17" x14ac:dyDescent="0.25">
      <c r="Q43235" s="8"/>
    </row>
    <row r="43236" spans="17:17" x14ac:dyDescent="0.25">
      <c r="Q43236" s="8"/>
    </row>
    <row r="43237" spans="17:17" x14ac:dyDescent="0.25">
      <c r="Q43237" s="8"/>
    </row>
    <row r="43238" spans="17:17" x14ac:dyDescent="0.25">
      <c r="Q43238" s="8"/>
    </row>
    <row r="43239" spans="17:17" x14ac:dyDescent="0.25">
      <c r="Q43239" s="8"/>
    </row>
    <row r="43240" spans="17:17" x14ac:dyDescent="0.25">
      <c r="Q43240" s="8"/>
    </row>
    <row r="43241" spans="17:17" x14ac:dyDescent="0.25">
      <c r="Q43241" s="8"/>
    </row>
    <row r="43242" spans="17:17" x14ac:dyDescent="0.25">
      <c r="Q43242" s="8"/>
    </row>
    <row r="43243" spans="17:17" x14ac:dyDescent="0.25">
      <c r="Q43243" s="8"/>
    </row>
    <row r="43244" spans="17:17" x14ac:dyDescent="0.25">
      <c r="Q43244" s="8"/>
    </row>
    <row r="43245" spans="17:17" x14ac:dyDescent="0.25">
      <c r="Q43245" s="8"/>
    </row>
    <row r="43246" spans="17:17" x14ac:dyDescent="0.25">
      <c r="Q43246" s="8"/>
    </row>
    <row r="43247" spans="17:17" x14ac:dyDescent="0.25">
      <c r="Q43247" s="8"/>
    </row>
    <row r="43248" spans="17:17" x14ac:dyDescent="0.25">
      <c r="Q43248" s="8"/>
    </row>
    <row r="43249" spans="17:17" x14ac:dyDescent="0.25">
      <c r="Q43249" s="8"/>
    </row>
    <row r="43250" spans="17:17" x14ac:dyDescent="0.25">
      <c r="Q43250" s="8"/>
    </row>
    <row r="43251" spans="17:17" x14ac:dyDescent="0.25">
      <c r="Q43251" s="8"/>
    </row>
    <row r="43252" spans="17:17" x14ac:dyDescent="0.25">
      <c r="Q43252" s="8"/>
    </row>
    <row r="43253" spans="17:17" x14ac:dyDescent="0.25">
      <c r="Q43253" s="8"/>
    </row>
    <row r="43254" spans="17:17" x14ac:dyDescent="0.25">
      <c r="Q43254" s="8"/>
    </row>
    <row r="43255" spans="17:17" x14ac:dyDescent="0.25">
      <c r="Q43255" s="8"/>
    </row>
    <row r="43256" spans="17:17" x14ac:dyDescent="0.25">
      <c r="Q43256" s="8"/>
    </row>
    <row r="43257" spans="17:17" x14ac:dyDescent="0.25">
      <c r="Q43257" s="8"/>
    </row>
    <row r="43258" spans="17:17" x14ac:dyDescent="0.25">
      <c r="Q43258" s="8"/>
    </row>
    <row r="43259" spans="17:17" x14ac:dyDescent="0.25">
      <c r="Q43259" s="8"/>
    </row>
    <row r="43260" spans="17:17" x14ac:dyDescent="0.25">
      <c r="Q43260" s="8"/>
    </row>
    <row r="43261" spans="17:17" x14ac:dyDescent="0.25">
      <c r="Q43261" s="8"/>
    </row>
    <row r="43262" spans="17:17" x14ac:dyDescent="0.25">
      <c r="Q43262" s="8"/>
    </row>
    <row r="43263" spans="17:17" x14ac:dyDescent="0.25">
      <c r="Q43263" s="8"/>
    </row>
    <row r="43264" spans="17:17" x14ac:dyDescent="0.25">
      <c r="Q43264" s="8"/>
    </row>
    <row r="43265" spans="17:17" x14ac:dyDescent="0.25">
      <c r="Q43265" s="8"/>
    </row>
    <row r="43266" spans="17:17" x14ac:dyDescent="0.25">
      <c r="Q43266" s="8"/>
    </row>
    <row r="43267" spans="17:17" x14ac:dyDescent="0.25">
      <c r="Q43267" s="8"/>
    </row>
    <row r="43268" spans="17:17" x14ac:dyDescent="0.25">
      <c r="Q43268" s="8"/>
    </row>
    <row r="43269" spans="17:17" x14ac:dyDescent="0.25">
      <c r="Q43269" s="8"/>
    </row>
    <row r="43270" spans="17:17" x14ac:dyDescent="0.25">
      <c r="Q43270" s="8"/>
    </row>
    <row r="43271" spans="17:17" x14ac:dyDescent="0.25">
      <c r="Q43271" s="8"/>
    </row>
    <row r="43272" spans="17:17" x14ac:dyDescent="0.25">
      <c r="Q43272" s="8"/>
    </row>
    <row r="43273" spans="17:17" x14ac:dyDescent="0.25">
      <c r="Q43273" s="8"/>
    </row>
    <row r="43274" spans="17:17" x14ac:dyDescent="0.25">
      <c r="Q43274" s="8"/>
    </row>
    <row r="43275" spans="17:17" x14ac:dyDescent="0.25">
      <c r="Q43275" s="8"/>
    </row>
    <row r="43276" spans="17:17" x14ac:dyDescent="0.25">
      <c r="Q43276" s="8"/>
    </row>
    <row r="43277" spans="17:17" x14ac:dyDescent="0.25">
      <c r="Q43277" s="8"/>
    </row>
    <row r="43278" spans="17:17" x14ac:dyDescent="0.25">
      <c r="Q43278" s="8"/>
    </row>
    <row r="43279" spans="17:17" x14ac:dyDescent="0.25">
      <c r="Q43279" s="8"/>
    </row>
    <row r="43280" spans="17:17" x14ac:dyDescent="0.25">
      <c r="Q43280" s="8"/>
    </row>
    <row r="43281" spans="17:17" x14ac:dyDescent="0.25">
      <c r="Q43281" s="8"/>
    </row>
    <row r="43282" spans="17:17" x14ac:dyDescent="0.25">
      <c r="Q43282" s="8"/>
    </row>
    <row r="43283" spans="17:17" x14ac:dyDescent="0.25">
      <c r="Q43283" s="8"/>
    </row>
    <row r="43284" spans="17:17" x14ac:dyDescent="0.25">
      <c r="Q43284" s="8"/>
    </row>
    <row r="43285" spans="17:17" x14ac:dyDescent="0.25">
      <c r="Q43285" s="8"/>
    </row>
    <row r="43286" spans="17:17" x14ac:dyDescent="0.25">
      <c r="Q43286" s="8"/>
    </row>
    <row r="43287" spans="17:17" x14ac:dyDescent="0.25">
      <c r="Q43287" s="8"/>
    </row>
    <row r="43288" spans="17:17" x14ac:dyDescent="0.25">
      <c r="Q43288" s="8"/>
    </row>
    <row r="43289" spans="17:17" x14ac:dyDescent="0.25">
      <c r="Q43289" s="8"/>
    </row>
    <row r="43290" spans="17:17" x14ac:dyDescent="0.25">
      <c r="Q43290" s="8"/>
    </row>
    <row r="43291" spans="17:17" x14ac:dyDescent="0.25">
      <c r="Q43291" s="8"/>
    </row>
    <row r="43292" spans="17:17" x14ac:dyDescent="0.25">
      <c r="Q43292" s="8"/>
    </row>
    <row r="43293" spans="17:17" x14ac:dyDescent="0.25">
      <c r="Q43293" s="8"/>
    </row>
    <row r="43294" spans="17:17" x14ac:dyDescent="0.25">
      <c r="Q43294" s="8"/>
    </row>
    <row r="43295" spans="17:17" x14ac:dyDescent="0.25">
      <c r="Q43295" s="8"/>
    </row>
    <row r="43296" spans="17:17" x14ac:dyDescent="0.25">
      <c r="Q43296" s="8"/>
    </row>
    <row r="43297" spans="17:17" x14ac:dyDescent="0.25">
      <c r="Q43297" s="8"/>
    </row>
    <row r="43298" spans="17:17" x14ac:dyDescent="0.25">
      <c r="Q43298" s="8"/>
    </row>
    <row r="43299" spans="17:17" x14ac:dyDescent="0.25">
      <c r="Q43299" s="8"/>
    </row>
    <row r="43300" spans="17:17" x14ac:dyDescent="0.25">
      <c r="Q43300" s="8"/>
    </row>
    <row r="43301" spans="17:17" x14ac:dyDescent="0.25">
      <c r="Q43301" s="8"/>
    </row>
    <row r="43302" spans="17:17" x14ac:dyDescent="0.25">
      <c r="Q43302" s="8"/>
    </row>
    <row r="43303" spans="17:17" x14ac:dyDescent="0.25">
      <c r="Q43303" s="8"/>
    </row>
    <row r="43304" spans="17:17" x14ac:dyDescent="0.25">
      <c r="Q43304" s="8"/>
    </row>
    <row r="43305" spans="17:17" x14ac:dyDescent="0.25">
      <c r="Q43305" s="8"/>
    </row>
    <row r="43306" spans="17:17" x14ac:dyDescent="0.25">
      <c r="Q43306" s="8"/>
    </row>
    <row r="43307" spans="17:17" x14ac:dyDescent="0.25">
      <c r="Q43307" s="8"/>
    </row>
    <row r="43308" spans="17:17" x14ac:dyDescent="0.25">
      <c r="Q43308" s="8"/>
    </row>
    <row r="43309" spans="17:17" x14ac:dyDescent="0.25">
      <c r="Q43309" s="8"/>
    </row>
    <row r="43310" spans="17:17" x14ac:dyDescent="0.25">
      <c r="Q43310" s="8"/>
    </row>
    <row r="43311" spans="17:17" x14ac:dyDescent="0.25">
      <c r="Q43311" s="8"/>
    </row>
    <row r="43312" spans="17:17" x14ac:dyDescent="0.25">
      <c r="Q43312" s="8"/>
    </row>
    <row r="43313" spans="17:17" x14ac:dyDescent="0.25">
      <c r="Q43313" s="8"/>
    </row>
    <row r="43314" spans="17:17" x14ac:dyDescent="0.25">
      <c r="Q43314" s="8"/>
    </row>
    <row r="43315" spans="17:17" x14ac:dyDescent="0.25">
      <c r="Q43315" s="8"/>
    </row>
    <row r="43316" spans="17:17" x14ac:dyDescent="0.25">
      <c r="Q43316" s="8"/>
    </row>
    <row r="43317" spans="17:17" x14ac:dyDescent="0.25">
      <c r="Q43317" s="8"/>
    </row>
    <row r="43318" spans="17:17" x14ac:dyDescent="0.25">
      <c r="Q43318" s="8"/>
    </row>
    <row r="43319" spans="17:17" x14ac:dyDescent="0.25">
      <c r="Q43319" s="8"/>
    </row>
    <row r="43320" spans="17:17" x14ac:dyDescent="0.25">
      <c r="Q43320" s="8"/>
    </row>
    <row r="43321" spans="17:17" x14ac:dyDescent="0.25">
      <c r="Q43321" s="8"/>
    </row>
    <row r="43322" spans="17:17" x14ac:dyDescent="0.25">
      <c r="Q43322" s="8"/>
    </row>
    <row r="43323" spans="17:17" x14ac:dyDescent="0.25">
      <c r="Q43323" s="8"/>
    </row>
    <row r="43324" spans="17:17" x14ac:dyDescent="0.25">
      <c r="Q43324" s="8"/>
    </row>
    <row r="43325" spans="17:17" x14ac:dyDescent="0.25">
      <c r="Q43325" s="8"/>
    </row>
    <row r="43326" spans="17:17" x14ac:dyDescent="0.25">
      <c r="Q43326" s="8"/>
    </row>
    <row r="43327" spans="17:17" x14ac:dyDescent="0.25">
      <c r="Q43327" s="8"/>
    </row>
    <row r="43328" spans="17:17" x14ac:dyDescent="0.25">
      <c r="Q43328" s="8"/>
    </row>
    <row r="43329" spans="17:17" x14ac:dyDescent="0.25">
      <c r="Q43329" s="8"/>
    </row>
    <row r="43330" spans="17:17" x14ac:dyDescent="0.25">
      <c r="Q43330" s="8"/>
    </row>
    <row r="43331" spans="17:17" x14ac:dyDescent="0.25">
      <c r="Q43331" s="8"/>
    </row>
    <row r="43332" spans="17:17" x14ac:dyDescent="0.25">
      <c r="Q43332" s="8"/>
    </row>
    <row r="43333" spans="17:17" x14ac:dyDescent="0.25">
      <c r="Q43333" s="8"/>
    </row>
    <row r="43334" spans="17:17" x14ac:dyDescent="0.25">
      <c r="Q43334" s="8"/>
    </row>
    <row r="43335" spans="17:17" x14ac:dyDescent="0.25">
      <c r="Q43335" s="8"/>
    </row>
    <row r="43336" spans="17:17" x14ac:dyDescent="0.25">
      <c r="Q43336" s="8"/>
    </row>
    <row r="43337" spans="17:17" x14ac:dyDescent="0.25">
      <c r="Q43337" s="8"/>
    </row>
    <row r="43338" spans="17:17" x14ac:dyDescent="0.25">
      <c r="Q43338" s="8"/>
    </row>
    <row r="43339" spans="17:17" x14ac:dyDescent="0.25">
      <c r="Q43339" s="8"/>
    </row>
    <row r="43340" spans="17:17" x14ac:dyDescent="0.25">
      <c r="Q43340" s="8"/>
    </row>
    <row r="43341" spans="17:17" x14ac:dyDescent="0.25">
      <c r="Q43341" s="8"/>
    </row>
    <row r="43342" spans="17:17" x14ac:dyDescent="0.25">
      <c r="Q43342" s="8"/>
    </row>
    <row r="43343" spans="17:17" x14ac:dyDescent="0.25">
      <c r="Q43343" s="8"/>
    </row>
    <row r="43344" spans="17:17" x14ac:dyDescent="0.25">
      <c r="Q43344" s="8"/>
    </row>
    <row r="43345" spans="17:17" x14ac:dyDescent="0.25">
      <c r="Q43345" s="8"/>
    </row>
    <row r="43346" spans="17:17" x14ac:dyDescent="0.25">
      <c r="Q43346" s="8"/>
    </row>
    <row r="43347" spans="17:17" x14ac:dyDescent="0.25">
      <c r="Q43347" s="8"/>
    </row>
    <row r="43348" spans="17:17" x14ac:dyDescent="0.25">
      <c r="Q43348" s="8"/>
    </row>
    <row r="43349" spans="17:17" x14ac:dyDescent="0.25">
      <c r="Q43349" s="8"/>
    </row>
    <row r="43350" spans="17:17" x14ac:dyDescent="0.25">
      <c r="Q43350" s="8"/>
    </row>
    <row r="43351" spans="17:17" x14ac:dyDescent="0.25">
      <c r="Q43351" s="8"/>
    </row>
    <row r="43352" spans="17:17" x14ac:dyDescent="0.25">
      <c r="Q43352" s="8"/>
    </row>
    <row r="43353" spans="17:17" x14ac:dyDescent="0.25">
      <c r="Q43353" s="8"/>
    </row>
    <row r="43354" spans="17:17" x14ac:dyDescent="0.25">
      <c r="Q43354" s="8"/>
    </row>
    <row r="43355" spans="17:17" x14ac:dyDescent="0.25">
      <c r="Q43355" s="8"/>
    </row>
    <row r="43356" spans="17:17" x14ac:dyDescent="0.25">
      <c r="Q43356" s="8"/>
    </row>
    <row r="43357" spans="17:17" x14ac:dyDescent="0.25">
      <c r="Q43357" s="8"/>
    </row>
    <row r="43358" spans="17:17" x14ac:dyDescent="0.25">
      <c r="Q43358" s="8"/>
    </row>
    <row r="43359" spans="17:17" x14ac:dyDescent="0.25">
      <c r="Q43359" s="8"/>
    </row>
    <row r="43360" spans="17:17" x14ac:dyDescent="0.25">
      <c r="Q43360" s="8"/>
    </row>
    <row r="43361" spans="17:17" x14ac:dyDescent="0.25">
      <c r="Q43361" s="8"/>
    </row>
    <row r="43362" spans="17:17" x14ac:dyDescent="0.25">
      <c r="Q43362" s="8"/>
    </row>
    <row r="43363" spans="17:17" x14ac:dyDescent="0.25">
      <c r="Q43363" s="8"/>
    </row>
    <row r="43364" spans="17:17" x14ac:dyDescent="0.25">
      <c r="Q43364" s="8"/>
    </row>
    <row r="43365" spans="17:17" x14ac:dyDescent="0.25">
      <c r="Q43365" s="8"/>
    </row>
    <row r="43366" spans="17:17" x14ac:dyDescent="0.25">
      <c r="Q43366" s="8"/>
    </row>
    <row r="43367" spans="17:17" x14ac:dyDescent="0.25">
      <c r="Q43367" s="8"/>
    </row>
    <row r="43368" spans="17:17" x14ac:dyDescent="0.25">
      <c r="Q43368" s="8"/>
    </row>
    <row r="43369" spans="17:17" x14ac:dyDescent="0.25">
      <c r="Q43369" s="8"/>
    </row>
    <row r="43370" spans="17:17" x14ac:dyDescent="0.25">
      <c r="Q43370" s="8"/>
    </row>
    <row r="43371" spans="17:17" x14ac:dyDescent="0.25">
      <c r="Q43371" s="8"/>
    </row>
    <row r="43372" spans="17:17" x14ac:dyDescent="0.25">
      <c r="Q43372" s="8"/>
    </row>
    <row r="43373" spans="17:17" x14ac:dyDescent="0.25">
      <c r="Q43373" s="8"/>
    </row>
    <row r="43374" spans="17:17" x14ac:dyDescent="0.25">
      <c r="Q43374" s="8"/>
    </row>
    <row r="43375" spans="17:17" x14ac:dyDescent="0.25">
      <c r="Q43375" s="8"/>
    </row>
    <row r="43376" spans="17:17" x14ac:dyDescent="0.25">
      <c r="Q43376" s="8"/>
    </row>
    <row r="43377" spans="17:17" x14ac:dyDescent="0.25">
      <c r="Q43377" s="8"/>
    </row>
    <row r="43378" spans="17:17" x14ac:dyDescent="0.25">
      <c r="Q43378" s="8"/>
    </row>
    <row r="43379" spans="17:17" x14ac:dyDescent="0.25">
      <c r="Q43379" s="8"/>
    </row>
    <row r="43380" spans="17:17" x14ac:dyDescent="0.25">
      <c r="Q43380" s="8"/>
    </row>
    <row r="43381" spans="17:17" x14ac:dyDescent="0.25">
      <c r="Q43381" s="8"/>
    </row>
    <row r="43382" spans="17:17" x14ac:dyDescent="0.25">
      <c r="Q43382" s="8"/>
    </row>
    <row r="43383" spans="17:17" x14ac:dyDescent="0.25">
      <c r="Q43383" s="8"/>
    </row>
    <row r="43384" spans="17:17" x14ac:dyDescent="0.25">
      <c r="Q43384" s="8"/>
    </row>
    <row r="43385" spans="17:17" x14ac:dyDescent="0.25">
      <c r="Q43385" s="8"/>
    </row>
    <row r="43386" spans="17:17" x14ac:dyDescent="0.25">
      <c r="Q43386" s="8"/>
    </row>
    <row r="43387" spans="17:17" x14ac:dyDescent="0.25">
      <c r="Q43387" s="8"/>
    </row>
    <row r="43388" spans="17:17" x14ac:dyDescent="0.25">
      <c r="Q43388" s="8"/>
    </row>
    <row r="43389" spans="17:17" x14ac:dyDescent="0.25">
      <c r="Q43389" s="8"/>
    </row>
    <row r="43390" spans="17:17" x14ac:dyDescent="0.25">
      <c r="Q43390" s="8"/>
    </row>
    <row r="43391" spans="17:17" x14ac:dyDescent="0.25">
      <c r="Q43391" s="8"/>
    </row>
    <row r="43392" spans="17:17" x14ac:dyDescent="0.25">
      <c r="Q43392" s="8"/>
    </row>
    <row r="43393" spans="17:17" x14ac:dyDescent="0.25">
      <c r="Q43393" s="8"/>
    </row>
    <row r="43394" spans="17:17" x14ac:dyDescent="0.25">
      <c r="Q43394" s="8"/>
    </row>
    <row r="43395" spans="17:17" x14ac:dyDescent="0.25">
      <c r="Q43395" s="8"/>
    </row>
    <row r="43396" spans="17:17" x14ac:dyDescent="0.25">
      <c r="Q43396" s="8"/>
    </row>
    <row r="43397" spans="17:17" x14ac:dyDescent="0.25">
      <c r="Q43397" s="8"/>
    </row>
    <row r="43398" spans="17:17" x14ac:dyDescent="0.25">
      <c r="Q43398" s="8"/>
    </row>
    <row r="43399" spans="17:17" x14ac:dyDescent="0.25">
      <c r="Q43399" s="8"/>
    </row>
    <row r="43400" spans="17:17" x14ac:dyDescent="0.25">
      <c r="Q43400" s="8"/>
    </row>
    <row r="43401" spans="17:17" x14ac:dyDescent="0.25">
      <c r="Q43401" s="8"/>
    </row>
    <row r="43402" spans="17:17" x14ac:dyDescent="0.25">
      <c r="Q43402" s="8"/>
    </row>
    <row r="43403" spans="17:17" x14ac:dyDescent="0.25">
      <c r="Q43403" s="8"/>
    </row>
    <row r="43404" spans="17:17" x14ac:dyDescent="0.25">
      <c r="Q43404" s="8"/>
    </row>
    <row r="43405" spans="17:17" x14ac:dyDescent="0.25">
      <c r="Q43405" s="8"/>
    </row>
    <row r="43406" spans="17:17" x14ac:dyDescent="0.25">
      <c r="Q43406" s="8"/>
    </row>
    <row r="43407" spans="17:17" x14ac:dyDescent="0.25">
      <c r="Q43407" s="8"/>
    </row>
    <row r="43408" spans="17:17" x14ac:dyDescent="0.25">
      <c r="Q43408" s="8"/>
    </row>
    <row r="43409" spans="17:17" x14ac:dyDescent="0.25">
      <c r="Q43409" s="8"/>
    </row>
    <row r="43410" spans="17:17" x14ac:dyDescent="0.25">
      <c r="Q43410" s="8"/>
    </row>
    <row r="43411" spans="17:17" x14ac:dyDescent="0.25">
      <c r="Q43411" s="8"/>
    </row>
    <row r="43412" spans="17:17" x14ac:dyDescent="0.25">
      <c r="Q43412" s="8"/>
    </row>
    <row r="43413" spans="17:17" x14ac:dyDescent="0.25">
      <c r="Q43413" s="8"/>
    </row>
    <row r="43414" spans="17:17" x14ac:dyDescent="0.25">
      <c r="Q43414" s="8"/>
    </row>
    <row r="43415" spans="17:17" x14ac:dyDescent="0.25">
      <c r="Q43415" s="8"/>
    </row>
    <row r="43416" spans="17:17" x14ac:dyDescent="0.25">
      <c r="Q43416" s="8"/>
    </row>
    <row r="43417" spans="17:17" x14ac:dyDescent="0.25">
      <c r="Q43417" s="8"/>
    </row>
    <row r="43418" spans="17:17" x14ac:dyDescent="0.25">
      <c r="Q43418" s="8"/>
    </row>
    <row r="43419" spans="17:17" x14ac:dyDescent="0.25">
      <c r="Q43419" s="8"/>
    </row>
    <row r="43420" spans="17:17" x14ac:dyDescent="0.25">
      <c r="Q43420" s="8"/>
    </row>
    <row r="43421" spans="17:17" x14ac:dyDescent="0.25">
      <c r="Q43421" s="8"/>
    </row>
    <row r="43422" spans="17:17" x14ac:dyDescent="0.25">
      <c r="Q43422" s="8"/>
    </row>
    <row r="43423" spans="17:17" x14ac:dyDescent="0.25">
      <c r="Q43423" s="8"/>
    </row>
    <row r="43424" spans="17:17" x14ac:dyDescent="0.25">
      <c r="Q43424" s="8"/>
    </row>
    <row r="43425" spans="17:17" x14ac:dyDescent="0.25">
      <c r="Q43425" s="8"/>
    </row>
    <row r="43426" spans="17:17" x14ac:dyDescent="0.25">
      <c r="Q43426" s="8"/>
    </row>
    <row r="43427" spans="17:17" x14ac:dyDescent="0.25">
      <c r="Q43427" s="8"/>
    </row>
    <row r="43428" spans="17:17" x14ac:dyDescent="0.25">
      <c r="Q43428" s="8"/>
    </row>
    <row r="43429" spans="17:17" x14ac:dyDescent="0.25">
      <c r="Q43429" s="8"/>
    </row>
    <row r="43430" spans="17:17" x14ac:dyDescent="0.25">
      <c r="Q43430" s="8"/>
    </row>
    <row r="43431" spans="17:17" x14ac:dyDescent="0.25">
      <c r="Q43431" s="8"/>
    </row>
    <row r="43432" spans="17:17" x14ac:dyDescent="0.25">
      <c r="Q43432" s="8"/>
    </row>
    <row r="43433" spans="17:17" x14ac:dyDescent="0.25">
      <c r="Q43433" s="8"/>
    </row>
    <row r="43434" spans="17:17" x14ac:dyDescent="0.25">
      <c r="Q43434" s="8"/>
    </row>
    <row r="43435" spans="17:17" x14ac:dyDescent="0.25">
      <c r="Q43435" s="8"/>
    </row>
    <row r="43436" spans="17:17" x14ac:dyDescent="0.25">
      <c r="Q43436" s="8"/>
    </row>
    <row r="43437" spans="17:17" x14ac:dyDescent="0.25">
      <c r="Q43437" s="8"/>
    </row>
    <row r="43438" spans="17:17" x14ac:dyDescent="0.25">
      <c r="Q43438" s="8"/>
    </row>
    <row r="43439" spans="17:17" x14ac:dyDescent="0.25">
      <c r="Q43439" s="8"/>
    </row>
    <row r="43440" spans="17:17" x14ac:dyDescent="0.25">
      <c r="Q43440" s="8"/>
    </row>
    <row r="43441" spans="17:17" x14ac:dyDescent="0.25">
      <c r="Q43441" s="8"/>
    </row>
    <row r="43442" spans="17:17" x14ac:dyDescent="0.25">
      <c r="Q43442" s="8"/>
    </row>
    <row r="43443" spans="17:17" x14ac:dyDescent="0.25">
      <c r="Q43443" s="8"/>
    </row>
    <row r="43444" spans="17:17" x14ac:dyDescent="0.25">
      <c r="Q43444" s="8"/>
    </row>
    <row r="43445" spans="17:17" x14ac:dyDescent="0.25">
      <c r="Q43445" s="8"/>
    </row>
    <row r="43446" spans="17:17" x14ac:dyDescent="0.25">
      <c r="Q43446" s="8"/>
    </row>
    <row r="43447" spans="17:17" x14ac:dyDescent="0.25">
      <c r="Q43447" s="8"/>
    </row>
    <row r="43448" spans="17:17" x14ac:dyDescent="0.25">
      <c r="Q43448" s="8"/>
    </row>
    <row r="43449" spans="17:17" x14ac:dyDescent="0.25">
      <c r="Q43449" s="8"/>
    </row>
    <row r="43450" spans="17:17" x14ac:dyDescent="0.25">
      <c r="Q43450" s="8"/>
    </row>
    <row r="43451" spans="17:17" x14ac:dyDescent="0.25">
      <c r="Q43451" s="8"/>
    </row>
    <row r="43452" spans="17:17" x14ac:dyDescent="0.25">
      <c r="Q43452" s="8"/>
    </row>
    <row r="43453" spans="17:17" x14ac:dyDescent="0.25">
      <c r="Q43453" s="8"/>
    </row>
    <row r="43454" spans="17:17" x14ac:dyDescent="0.25">
      <c r="Q43454" s="8"/>
    </row>
    <row r="43455" spans="17:17" x14ac:dyDescent="0.25">
      <c r="Q43455" s="8"/>
    </row>
    <row r="43456" spans="17:17" x14ac:dyDescent="0.25">
      <c r="Q43456" s="8"/>
    </row>
    <row r="43457" spans="17:17" x14ac:dyDescent="0.25">
      <c r="Q43457" s="8"/>
    </row>
    <row r="43458" spans="17:17" x14ac:dyDescent="0.25">
      <c r="Q43458" s="8"/>
    </row>
    <row r="43459" spans="17:17" x14ac:dyDescent="0.25">
      <c r="Q43459" s="8"/>
    </row>
    <row r="43460" spans="17:17" x14ac:dyDescent="0.25">
      <c r="Q43460" s="8"/>
    </row>
    <row r="43461" spans="17:17" x14ac:dyDescent="0.25">
      <c r="Q43461" s="8"/>
    </row>
    <row r="43462" spans="17:17" x14ac:dyDescent="0.25">
      <c r="Q43462" s="8"/>
    </row>
    <row r="43463" spans="17:17" x14ac:dyDescent="0.25">
      <c r="Q43463" s="8"/>
    </row>
    <row r="43464" spans="17:17" x14ac:dyDescent="0.25">
      <c r="Q43464" s="8"/>
    </row>
    <row r="43465" spans="17:17" x14ac:dyDescent="0.25">
      <c r="Q43465" s="8"/>
    </row>
    <row r="43466" spans="17:17" x14ac:dyDescent="0.25">
      <c r="Q43466" s="8"/>
    </row>
    <row r="43467" spans="17:17" x14ac:dyDescent="0.25">
      <c r="Q43467" s="8"/>
    </row>
    <row r="43468" spans="17:17" x14ac:dyDescent="0.25">
      <c r="Q43468" s="8"/>
    </row>
    <row r="43469" spans="17:17" x14ac:dyDescent="0.25">
      <c r="Q43469" s="8"/>
    </row>
    <row r="43470" spans="17:17" x14ac:dyDescent="0.25">
      <c r="Q43470" s="8"/>
    </row>
    <row r="43471" spans="17:17" x14ac:dyDescent="0.25">
      <c r="Q43471" s="8"/>
    </row>
    <row r="43472" spans="17:17" x14ac:dyDescent="0.25">
      <c r="Q43472" s="8"/>
    </row>
    <row r="43473" spans="17:17" x14ac:dyDescent="0.25">
      <c r="Q43473" s="8"/>
    </row>
    <row r="43474" spans="17:17" x14ac:dyDescent="0.25">
      <c r="Q43474" s="8"/>
    </row>
    <row r="43475" spans="17:17" x14ac:dyDescent="0.25">
      <c r="Q43475" s="8"/>
    </row>
    <row r="43476" spans="17:17" x14ac:dyDescent="0.25">
      <c r="Q43476" s="8"/>
    </row>
    <row r="43477" spans="17:17" x14ac:dyDescent="0.25">
      <c r="Q43477" s="8"/>
    </row>
    <row r="43478" spans="17:17" x14ac:dyDescent="0.25">
      <c r="Q43478" s="8"/>
    </row>
    <row r="43479" spans="17:17" x14ac:dyDescent="0.25">
      <c r="Q43479" s="8"/>
    </row>
    <row r="43480" spans="17:17" x14ac:dyDescent="0.25">
      <c r="Q43480" s="8"/>
    </row>
    <row r="43481" spans="17:17" x14ac:dyDescent="0.25">
      <c r="Q43481" s="8"/>
    </row>
    <row r="43482" spans="17:17" x14ac:dyDescent="0.25">
      <c r="Q43482" s="8"/>
    </row>
    <row r="43483" spans="17:17" x14ac:dyDescent="0.25">
      <c r="Q43483" s="8"/>
    </row>
    <row r="43484" spans="17:17" x14ac:dyDescent="0.25">
      <c r="Q43484" s="8"/>
    </row>
    <row r="43485" spans="17:17" x14ac:dyDescent="0.25">
      <c r="Q43485" s="8"/>
    </row>
    <row r="43486" spans="17:17" x14ac:dyDescent="0.25">
      <c r="Q43486" s="8"/>
    </row>
    <row r="43487" spans="17:17" x14ac:dyDescent="0.25">
      <c r="Q43487" s="8"/>
    </row>
    <row r="43488" spans="17:17" x14ac:dyDescent="0.25">
      <c r="Q43488" s="8"/>
    </row>
    <row r="43489" spans="17:17" x14ac:dyDescent="0.25">
      <c r="Q43489" s="8"/>
    </row>
    <row r="43490" spans="17:17" x14ac:dyDescent="0.25">
      <c r="Q43490" s="8"/>
    </row>
    <row r="43491" spans="17:17" x14ac:dyDescent="0.25">
      <c r="Q43491" s="8"/>
    </row>
    <row r="43492" spans="17:17" x14ac:dyDescent="0.25">
      <c r="Q43492" s="8"/>
    </row>
    <row r="43493" spans="17:17" x14ac:dyDescent="0.25">
      <c r="Q43493" s="8"/>
    </row>
    <row r="43494" spans="17:17" x14ac:dyDescent="0.25">
      <c r="Q43494" s="8"/>
    </row>
    <row r="43495" spans="17:17" x14ac:dyDescent="0.25">
      <c r="Q43495" s="8"/>
    </row>
    <row r="43496" spans="17:17" x14ac:dyDescent="0.25">
      <c r="Q43496" s="8"/>
    </row>
    <row r="43497" spans="17:17" x14ac:dyDescent="0.25">
      <c r="Q43497" s="8"/>
    </row>
    <row r="43498" spans="17:17" x14ac:dyDescent="0.25">
      <c r="Q43498" s="8"/>
    </row>
    <row r="43499" spans="17:17" x14ac:dyDescent="0.25">
      <c r="Q43499" s="8"/>
    </row>
    <row r="43500" spans="17:17" x14ac:dyDescent="0.25">
      <c r="Q43500" s="8"/>
    </row>
    <row r="43501" spans="17:17" x14ac:dyDescent="0.25">
      <c r="Q43501" s="8"/>
    </row>
    <row r="43502" spans="17:17" x14ac:dyDescent="0.25">
      <c r="Q43502" s="8"/>
    </row>
    <row r="43503" spans="17:17" x14ac:dyDescent="0.25">
      <c r="Q43503" s="8"/>
    </row>
    <row r="43504" spans="17:17" x14ac:dyDescent="0.25">
      <c r="Q43504" s="8"/>
    </row>
    <row r="43505" spans="17:17" x14ac:dyDescent="0.25">
      <c r="Q43505" s="8"/>
    </row>
    <row r="43506" spans="17:17" x14ac:dyDescent="0.25">
      <c r="Q43506" s="8"/>
    </row>
    <row r="43507" spans="17:17" x14ac:dyDescent="0.25">
      <c r="Q43507" s="8"/>
    </row>
    <row r="43508" spans="17:17" x14ac:dyDescent="0.25">
      <c r="Q43508" s="8"/>
    </row>
    <row r="43509" spans="17:17" x14ac:dyDescent="0.25">
      <c r="Q43509" s="8"/>
    </row>
    <row r="43510" spans="17:17" x14ac:dyDescent="0.25">
      <c r="Q43510" s="8"/>
    </row>
    <row r="43511" spans="17:17" x14ac:dyDescent="0.25">
      <c r="Q43511" s="8"/>
    </row>
    <row r="43512" spans="17:17" x14ac:dyDescent="0.25">
      <c r="Q43512" s="8"/>
    </row>
    <row r="43513" spans="17:17" x14ac:dyDescent="0.25">
      <c r="Q43513" s="8"/>
    </row>
    <row r="43514" spans="17:17" x14ac:dyDescent="0.25">
      <c r="Q43514" s="8"/>
    </row>
    <row r="43515" spans="17:17" x14ac:dyDescent="0.25">
      <c r="Q43515" s="8"/>
    </row>
    <row r="43516" spans="17:17" x14ac:dyDescent="0.25">
      <c r="Q43516" s="8"/>
    </row>
    <row r="43517" spans="17:17" x14ac:dyDescent="0.25">
      <c r="Q43517" s="8"/>
    </row>
    <row r="43518" spans="17:17" x14ac:dyDescent="0.25">
      <c r="Q43518" s="8"/>
    </row>
    <row r="43519" spans="17:17" x14ac:dyDescent="0.25">
      <c r="Q43519" s="8"/>
    </row>
    <row r="43520" spans="17:17" x14ac:dyDescent="0.25">
      <c r="Q43520" s="8"/>
    </row>
    <row r="43521" spans="17:17" x14ac:dyDescent="0.25">
      <c r="Q43521" s="8"/>
    </row>
    <row r="43522" spans="17:17" x14ac:dyDescent="0.25">
      <c r="Q43522" s="8"/>
    </row>
    <row r="43523" spans="17:17" x14ac:dyDescent="0.25">
      <c r="Q43523" s="8"/>
    </row>
    <row r="43524" spans="17:17" x14ac:dyDescent="0.25">
      <c r="Q43524" s="8"/>
    </row>
    <row r="43525" spans="17:17" x14ac:dyDescent="0.25">
      <c r="Q43525" s="8"/>
    </row>
    <row r="43526" spans="17:17" x14ac:dyDescent="0.25">
      <c r="Q43526" s="8"/>
    </row>
    <row r="43527" spans="17:17" x14ac:dyDescent="0.25">
      <c r="Q43527" s="8"/>
    </row>
    <row r="43528" spans="17:17" x14ac:dyDescent="0.25">
      <c r="Q43528" s="8"/>
    </row>
    <row r="43529" spans="17:17" x14ac:dyDescent="0.25">
      <c r="Q43529" s="8"/>
    </row>
    <row r="43530" spans="17:17" x14ac:dyDescent="0.25">
      <c r="Q43530" s="8"/>
    </row>
    <row r="43531" spans="17:17" x14ac:dyDescent="0.25">
      <c r="Q43531" s="8"/>
    </row>
    <row r="43532" spans="17:17" x14ac:dyDescent="0.25">
      <c r="Q43532" s="8"/>
    </row>
    <row r="43533" spans="17:17" x14ac:dyDescent="0.25">
      <c r="Q43533" s="8"/>
    </row>
    <row r="43534" spans="17:17" x14ac:dyDescent="0.25">
      <c r="Q43534" s="8"/>
    </row>
    <row r="43535" spans="17:17" x14ac:dyDescent="0.25">
      <c r="Q43535" s="8"/>
    </row>
    <row r="43536" spans="17:17" x14ac:dyDescent="0.25">
      <c r="Q43536" s="8"/>
    </row>
    <row r="43537" spans="17:17" x14ac:dyDescent="0.25">
      <c r="Q43537" s="8"/>
    </row>
    <row r="43538" spans="17:17" x14ac:dyDescent="0.25">
      <c r="Q43538" s="8"/>
    </row>
    <row r="43539" spans="17:17" x14ac:dyDescent="0.25">
      <c r="Q43539" s="8"/>
    </row>
    <row r="43540" spans="17:17" x14ac:dyDescent="0.25">
      <c r="Q43540" s="8"/>
    </row>
    <row r="43541" spans="17:17" x14ac:dyDescent="0.25">
      <c r="Q43541" s="8"/>
    </row>
    <row r="43542" spans="17:17" x14ac:dyDescent="0.25">
      <c r="Q43542" s="8"/>
    </row>
    <row r="43543" spans="17:17" x14ac:dyDescent="0.25">
      <c r="Q43543" s="8"/>
    </row>
    <row r="43544" spans="17:17" x14ac:dyDescent="0.25">
      <c r="Q43544" s="8"/>
    </row>
    <row r="43545" spans="17:17" x14ac:dyDescent="0.25">
      <c r="Q43545" s="8"/>
    </row>
    <row r="43546" spans="17:17" x14ac:dyDescent="0.25">
      <c r="Q43546" s="8"/>
    </row>
    <row r="43547" spans="17:17" x14ac:dyDescent="0.25">
      <c r="Q43547" s="8"/>
    </row>
    <row r="43548" spans="17:17" x14ac:dyDescent="0.25">
      <c r="Q43548" s="8"/>
    </row>
    <row r="43549" spans="17:17" x14ac:dyDescent="0.25">
      <c r="Q43549" s="8"/>
    </row>
    <row r="43550" spans="17:17" x14ac:dyDescent="0.25">
      <c r="Q43550" s="8"/>
    </row>
    <row r="43551" spans="17:17" x14ac:dyDescent="0.25">
      <c r="Q43551" s="8"/>
    </row>
    <row r="43552" spans="17:17" x14ac:dyDescent="0.25">
      <c r="Q43552" s="8"/>
    </row>
    <row r="43553" spans="17:17" x14ac:dyDescent="0.25">
      <c r="Q43553" s="8"/>
    </row>
    <row r="43554" spans="17:17" x14ac:dyDescent="0.25">
      <c r="Q43554" s="8"/>
    </row>
    <row r="43555" spans="17:17" x14ac:dyDescent="0.25">
      <c r="Q43555" s="8"/>
    </row>
    <row r="43556" spans="17:17" x14ac:dyDescent="0.25">
      <c r="Q43556" s="8"/>
    </row>
    <row r="43557" spans="17:17" x14ac:dyDescent="0.25">
      <c r="Q43557" s="8"/>
    </row>
    <row r="43558" spans="17:17" x14ac:dyDescent="0.25">
      <c r="Q43558" s="8"/>
    </row>
    <row r="43559" spans="17:17" x14ac:dyDescent="0.25">
      <c r="Q43559" s="8"/>
    </row>
    <row r="43560" spans="17:17" x14ac:dyDescent="0.25">
      <c r="Q43560" s="8"/>
    </row>
    <row r="43561" spans="17:17" x14ac:dyDescent="0.25">
      <c r="Q43561" s="8"/>
    </row>
    <row r="43562" spans="17:17" x14ac:dyDescent="0.25">
      <c r="Q43562" s="8"/>
    </row>
    <row r="43563" spans="17:17" x14ac:dyDescent="0.25">
      <c r="Q43563" s="8"/>
    </row>
    <row r="43564" spans="17:17" x14ac:dyDescent="0.25">
      <c r="Q43564" s="8"/>
    </row>
    <row r="43565" spans="17:17" x14ac:dyDescent="0.25">
      <c r="Q43565" s="8"/>
    </row>
    <row r="43566" spans="17:17" x14ac:dyDescent="0.25">
      <c r="Q43566" s="8"/>
    </row>
    <row r="43567" spans="17:17" x14ac:dyDescent="0.25">
      <c r="Q43567" s="8"/>
    </row>
    <row r="43568" spans="17:17" x14ac:dyDescent="0.25">
      <c r="Q43568" s="8"/>
    </row>
    <row r="43569" spans="17:17" x14ac:dyDescent="0.25">
      <c r="Q43569" s="8"/>
    </row>
    <row r="43570" spans="17:17" x14ac:dyDescent="0.25">
      <c r="Q43570" s="8"/>
    </row>
    <row r="43571" spans="17:17" x14ac:dyDescent="0.25">
      <c r="Q43571" s="8"/>
    </row>
    <row r="43572" spans="17:17" x14ac:dyDescent="0.25">
      <c r="Q43572" s="8"/>
    </row>
    <row r="43573" spans="17:17" x14ac:dyDescent="0.25">
      <c r="Q43573" s="8"/>
    </row>
    <row r="43574" spans="17:17" x14ac:dyDescent="0.25">
      <c r="Q43574" s="8"/>
    </row>
    <row r="43575" spans="17:17" x14ac:dyDescent="0.25">
      <c r="Q43575" s="8"/>
    </row>
    <row r="43576" spans="17:17" x14ac:dyDescent="0.25">
      <c r="Q43576" s="8"/>
    </row>
    <row r="43577" spans="17:17" x14ac:dyDescent="0.25">
      <c r="Q43577" s="8"/>
    </row>
    <row r="43578" spans="17:17" x14ac:dyDescent="0.25">
      <c r="Q43578" s="8"/>
    </row>
    <row r="43579" spans="17:17" x14ac:dyDescent="0.25">
      <c r="Q43579" s="8"/>
    </row>
    <row r="43580" spans="17:17" x14ac:dyDescent="0.25">
      <c r="Q43580" s="8"/>
    </row>
    <row r="43581" spans="17:17" x14ac:dyDescent="0.25">
      <c r="Q43581" s="8"/>
    </row>
    <row r="43582" spans="17:17" x14ac:dyDescent="0.25">
      <c r="Q43582" s="8"/>
    </row>
    <row r="43583" spans="17:17" x14ac:dyDescent="0.25">
      <c r="Q43583" s="8"/>
    </row>
    <row r="43584" spans="17:17" x14ac:dyDescent="0.25">
      <c r="Q43584" s="8"/>
    </row>
    <row r="43585" spans="17:17" x14ac:dyDescent="0.25">
      <c r="Q43585" s="8"/>
    </row>
    <row r="43586" spans="17:17" x14ac:dyDescent="0.25">
      <c r="Q43586" s="8"/>
    </row>
    <row r="43587" spans="17:17" x14ac:dyDescent="0.25">
      <c r="Q43587" s="8"/>
    </row>
    <row r="43588" spans="17:17" x14ac:dyDescent="0.25">
      <c r="Q43588" s="8"/>
    </row>
    <row r="43589" spans="17:17" x14ac:dyDescent="0.25">
      <c r="Q43589" s="8"/>
    </row>
    <row r="43590" spans="17:17" x14ac:dyDescent="0.25">
      <c r="Q43590" s="8"/>
    </row>
    <row r="43591" spans="17:17" x14ac:dyDescent="0.25">
      <c r="Q43591" s="8"/>
    </row>
    <row r="43592" spans="17:17" x14ac:dyDescent="0.25">
      <c r="Q43592" s="8"/>
    </row>
    <row r="43593" spans="17:17" x14ac:dyDescent="0.25">
      <c r="Q43593" s="8"/>
    </row>
    <row r="43594" spans="17:17" x14ac:dyDescent="0.25">
      <c r="Q43594" s="8"/>
    </row>
    <row r="43595" spans="17:17" x14ac:dyDescent="0.25">
      <c r="Q43595" s="8"/>
    </row>
    <row r="43596" spans="17:17" x14ac:dyDescent="0.25">
      <c r="Q43596" s="8"/>
    </row>
    <row r="43597" spans="17:17" x14ac:dyDescent="0.25">
      <c r="Q43597" s="8"/>
    </row>
    <row r="43598" spans="17:17" x14ac:dyDescent="0.25">
      <c r="Q43598" s="8"/>
    </row>
    <row r="43599" spans="17:17" x14ac:dyDescent="0.25">
      <c r="Q43599" s="8"/>
    </row>
    <row r="43600" spans="17:17" x14ac:dyDescent="0.25">
      <c r="Q43600" s="8"/>
    </row>
    <row r="43601" spans="17:17" x14ac:dyDescent="0.25">
      <c r="Q43601" s="8"/>
    </row>
    <row r="43602" spans="17:17" x14ac:dyDescent="0.25">
      <c r="Q43602" s="8"/>
    </row>
    <row r="43603" spans="17:17" x14ac:dyDescent="0.25">
      <c r="Q43603" s="8"/>
    </row>
    <row r="43604" spans="17:17" x14ac:dyDescent="0.25">
      <c r="Q43604" s="8"/>
    </row>
    <row r="43605" spans="17:17" x14ac:dyDescent="0.25">
      <c r="Q43605" s="8"/>
    </row>
    <row r="43606" spans="17:17" x14ac:dyDescent="0.25">
      <c r="Q43606" s="8"/>
    </row>
    <row r="43607" spans="17:17" x14ac:dyDescent="0.25">
      <c r="Q43607" s="8"/>
    </row>
    <row r="43608" spans="17:17" x14ac:dyDescent="0.25">
      <c r="Q43608" s="8"/>
    </row>
    <row r="43609" spans="17:17" x14ac:dyDescent="0.25">
      <c r="Q43609" s="8"/>
    </row>
    <row r="43610" spans="17:17" x14ac:dyDescent="0.25">
      <c r="Q43610" s="8"/>
    </row>
    <row r="43611" spans="17:17" x14ac:dyDescent="0.25">
      <c r="Q43611" s="8"/>
    </row>
    <row r="43612" spans="17:17" x14ac:dyDescent="0.25">
      <c r="Q43612" s="8"/>
    </row>
    <row r="43613" spans="17:17" x14ac:dyDescent="0.25">
      <c r="Q43613" s="8"/>
    </row>
    <row r="43614" spans="17:17" x14ac:dyDescent="0.25">
      <c r="Q43614" s="8"/>
    </row>
    <row r="43615" spans="17:17" x14ac:dyDescent="0.25">
      <c r="Q43615" s="8"/>
    </row>
    <row r="43616" spans="17:17" x14ac:dyDescent="0.25">
      <c r="Q43616" s="8"/>
    </row>
    <row r="43617" spans="17:17" x14ac:dyDescent="0.25">
      <c r="Q43617" s="8"/>
    </row>
    <row r="43618" spans="17:17" x14ac:dyDescent="0.25">
      <c r="Q43618" s="8"/>
    </row>
    <row r="43619" spans="17:17" x14ac:dyDescent="0.25">
      <c r="Q43619" s="8"/>
    </row>
    <row r="43620" spans="17:17" x14ac:dyDescent="0.25">
      <c r="Q43620" s="8"/>
    </row>
    <row r="43621" spans="17:17" x14ac:dyDescent="0.25">
      <c r="Q43621" s="8"/>
    </row>
    <row r="43622" spans="17:17" x14ac:dyDescent="0.25">
      <c r="Q43622" s="8"/>
    </row>
    <row r="43623" spans="17:17" x14ac:dyDescent="0.25">
      <c r="Q43623" s="8"/>
    </row>
    <row r="43624" spans="17:17" x14ac:dyDescent="0.25">
      <c r="Q43624" s="8"/>
    </row>
    <row r="43625" spans="17:17" x14ac:dyDescent="0.25">
      <c r="Q43625" s="8"/>
    </row>
    <row r="43626" spans="17:17" x14ac:dyDescent="0.25">
      <c r="Q43626" s="8"/>
    </row>
    <row r="43627" spans="17:17" x14ac:dyDescent="0.25">
      <c r="Q43627" s="8"/>
    </row>
    <row r="43628" spans="17:17" x14ac:dyDescent="0.25">
      <c r="Q43628" s="8"/>
    </row>
    <row r="43629" spans="17:17" x14ac:dyDescent="0.25">
      <c r="Q43629" s="8"/>
    </row>
    <row r="43630" spans="17:17" x14ac:dyDescent="0.25">
      <c r="Q43630" s="8"/>
    </row>
    <row r="43631" spans="17:17" x14ac:dyDescent="0.25">
      <c r="Q43631" s="8"/>
    </row>
    <row r="43632" spans="17:17" x14ac:dyDescent="0.25">
      <c r="Q43632" s="8"/>
    </row>
    <row r="43633" spans="17:17" x14ac:dyDescent="0.25">
      <c r="Q43633" s="8"/>
    </row>
    <row r="43634" spans="17:17" x14ac:dyDescent="0.25">
      <c r="Q43634" s="8"/>
    </row>
    <row r="43635" spans="17:17" x14ac:dyDescent="0.25">
      <c r="Q43635" s="8"/>
    </row>
    <row r="43636" spans="17:17" x14ac:dyDescent="0.25">
      <c r="Q43636" s="8"/>
    </row>
    <row r="43637" spans="17:17" x14ac:dyDescent="0.25">
      <c r="Q43637" s="8"/>
    </row>
    <row r="43638" spans="17:17" x14ac:dyDescent="0.25">
      <c r="Q43638" s="8"/>
    </row>
    <row r="43639" spans="17:17" x14ac:dyDescent="0.25">
      <c r="Q43639" s="8"/>
    </row>
    <row r="43640" spans="17:17" x14ac:dyDescent="0.25">
      <c r="Q43640" s="8"/>
    </row>
    <row r="43641" spans="17:17" x14ac:dyDescent="0.25">
      <c r="Q43641" s="8"/>
    </row>
    <row r="43642" spans="17:17" x14ac:dyDescent="0.25">
      <c r="Q43642" s="8"/>
    </row>
    <row r="43643" spans="17:17" x14ac:dyDescent="0.25">
      <c r="Q43643" s="8"/>
    </row>
    <row r="43644" spans="17:17" x14ac:dyDescent="0.25">
      <c r="Q43644" s="8"/>
    </row>
    <row r="43645" spans="17:17" x14ac:dyDescent="0.25">
      <c r="Q43645" s="8"/>
    </row>
    <row r="43646" spans="17:17" x14ac:dyDescent="0.25">
      <c r="Q43646" s="8"/>
    </row>
    <row r="43647" spans="17:17" x14ac:dyDescent="0.25">
      <c r="Q43647" s="8"/>
    </row>
    <row r="43648" spans="17:17" x14ac:dyDescent="0.25">
      <c r="Q43648" s="8"/>
    </row>
    <row r="43649" spans="17:17" x14ac:dyDescent="0.25">
      <c r="Q43649" s="8"/>
    </row>
    <row r="43650" spans="17:17" x14ac:dyDescent="0.25">
      <c r="Q43650" s="8"/>
    </row>
    <row r="43651" spans="17:17" x14ac:dyDescent="0.25">
      <c r="Q43651" s="8"/>
    </row>
    <row r="43652" spans="17:17" x14ac:dyDescent="0.25">
      <c r="Q43652" s="8"/>
    </row>
    <row r="43653" spans="17:17" x14ac:dyDescent="0.25">
      <c r="Q43653" s="8"/>
    </row>
    <row r="43654" spans="17:17" x14ac:dyDescent="0.25">
      <c r="Q43654" s="8"/>
    </row>
    <row r="43655" spans="17:17" x14ac:dyDescent="0.25">
      <c r="Q43655" s="8"/>
    </row>
    <row r="43656" spans="17:17" x14ac:dyDescent="0.25">
      <c r="Q43656" s="8"/>
    </row>
    <row r="43657" spans="17:17" x14ac:dyDescent="0.25">
      <c r="Q43657" s="8"/>
    </row>
    <row r="43658" spans="17:17" x14ac:dyDescent="0.25">
      <c r="Q43658" s="8"/>
    </row>
    <row r="43659" spans="17:17" x14ac:dyDescent="0.25">
      <c r="Q43659" s="8"/>
    </row>
    <row r="43660" spans="17:17" x14ac:dyDescent="0.25">
      <c r="Q43660" s="8"/>
    </row>
    <row r="43661" spans="17:17" x14ac:dyDescent="0.25">
      <c r="Q43661" s="8"/>
    </row>
    <row r="43662" spans="17:17" x14ac:dyDescent="0.25">
      <c r="Q43662" s="8"/>
    </row>
    <row r="43663" spans="17:17" x14ac:dyDescent="0.25">
      <c r="Q43663" s="8"/>
    </row>
    <row r="43664" spans="17:17" x14ac:dyDescent="0.25">
      <c r="Q43664" s="8"/>
    </row>
    <row r="43665" spans="17:17" x14ac:dyDescent="0.25">
      <c r="Q43665" s="8"/>
    </row>
    <row r="43666" spans="17:17" x14ac:dyDescent="0.25">
      <c r="Q43666" s="8"/>
    </row>
    <row r="43667" spans="17:17" x14ac:dyDescent="0.25">
      <c r="Q43667" s="8"/>
    </row>
    <row r="43668" spans="17:17" x14ac:dyDescent="0.25">
      <c r="Q43668" s="8"/>
    </row>
    <row r="43669" spans="17:17" x14ac:dyDescent="0.25">
      <c r="Q43669" s="8"/>
    </row>
    <row r="43670" spans="17:17" x14ac:dyDescent="0.25">
      <c r="Q43670" s="8"/>
    </row>
    <row r="43671" spans="17:17" x14ac:dyDescent="0.25">
      <c r="Q43671" s="8"/>
    </row>
    <row r="43672" spans="17:17" x14ac:dyDescent="0.25">
      <c r="Q43672" s="8"/>
    </row>
    <row r="43673" spans="17:17" x14ac:dyDescent="0.25">
      <c r="Q43673" s="8"/>
    </row>
    <row r="43674" spans="17:17" x14ac:dyDescent="0.25">
      <c r="Q43674" s="8"/>
    </row>
    <row r="43675" spans="17:17" x14ac:dyDescent="0.25">
      <c r="Q43675" s="8"/>
    </row>
    <row r="43676" spans="17:17" x14ac:dyDescent="0.25">
      <c r="Q43676" s="8"/>
    </row>
    <row r="43677" spans="17:17" x14ac:dyDescent="0.25">
      <c r="Q43677" s="8"/>
    </row>
    <row r="43678" spans="17:17" x14ac:dyDescent="0.25">
      <c r="Q43678" s="8"/>
    </row>
    <row r="43679" spans="17:17" x14ac:dyDescent="0.25">
      <c r="Q43679" s="8"/>
    </row>
    <row r="43680" spans="17:17" x14ac:dyDescent="0.25">
      <c r="Q43680" s="8"/>
    </row>
    <row r="43681" spans="17:17" x14ac:dyDescent="0.25">
      <c r="Q43681" s="8"/>
    </row>
    <row r="43682" spans="17:17" x14ac:dyDescent="0.25">
      <c r="Q43682" s="8"/>
    </row>
    <row r="43683" spans="17:17" x14ac:dyDescent="0.25">
      <c r="Q43683" s="8"/>
    </row>
    <row r="43684" spans="17:17" x14ac:dyDescent="0.25">
      <c r="Q43684" s="8"/>
    </row>
    <row r="43685" spans="17:17" x14ac:dyDescent="0.25">
      <c r="Q43685" s="8"/>
    </row>
    <row r="43686" spans="17:17" x14ac:dyDescent="0.25">
      <c r="Q43686" s="8"/>
    </row>
    <row r="43687" spans="17:17" x14ac:dyDescent="0.25">
      <c r="Q43687" s="8"/>
    </row>
    <row r="43688" spans="17:17" x14ac:dyDescent="0.25">
      <c r="Q43688" s="8"/>
    </row>
    <row r="43689" spans="17:17" x14ac:dyDescent="0.25">
      <c r="Q43689" s="8"/>
    </row>
    <row r="43690" spans="17:17" x14ac:dyDescent="0.25">
      <c r="Q43690" s="8"/>
    </row>
    <row r="43691" spans="17:17" x14ac:dyDescent="0.25">
      <c r="Q43691" s="8"/>
    </row>
    <row r="43692" spans="17:17" x14ac:dyDescent="0.25">
      <c r="Q43692" s="8"/>
    </row>
    <row r="43693" spans="17:17" x14ac:dyDescent="0.25">
      <c r="Q43693" s="8"/>
    </row>
    <row r="43694" spans="17:17" x14ac:dyDescent="0.25">
      <c r="Q43694" s="8"/>
    </row>
    <row r="43695" spans="17:17" x14ac:dyDescent="0.25">
      <c r="Q43695" s="8"/>
    </row>
    <row r="43696" spans="17:17" x14ac:dyDescent="0.25">
      <c r="Q43696" s="8"/>
    </row>
    <row r="43697" spans="17:17" x14ac:dyDescent="0.25">
      <c r="Q43697" s="8"/>
    </row>
    <row r="43698" spans="17:17" x14ac:dyDescent="0.25">
      <c r="Q43698" s="8"/>
    </row>
    <row r="43699" spans="17:17" x14ac:dyDescent="0.25">
      <c r="Q43699" s="8"/>
    </row>
    <row r="43700" spans="17:17" x14ac:dyDescent="0.25">
      <c r="Q43700" s="8"/>
    </row>
    <row r="43701" spans="17:17" x14ac:dyDescent="0.25">
      <c r="Q43701" s="8"/>
    </row>
    <row r="43702" spans="17:17" x14ac:dyDescent="0.25">
      <c r="Q43702" s="8"/>
    </row>
    <row r="43703" spans="17:17" x14ac:dyDescent="0.25">
      <c r="Q43703" s="8"/>
    </row>
    <row r="43704" spans="17:17" x14ac:dyDescent="0.25">
      <c r="Q43704" s="8"/>
    </row>
    <row r="43705" spans="17:17" x14ac:dyDescent="0.25">
      <c r="Q43705" s="8"/>
    </row>
    <row r="43706" spans="17:17" x14ac:dyDescent="0.25">
      <c r="Q43706" s="8"/>
    </row>
    <row r="43707" spans="17:17" x14ac:dyDescent="0.25">
      <c r="Q43707" s="8"/>
    </row>
    <row r="43708" spans="17:17" x14ac:dyDescent="0.25">
      <c r="Q43708" s="8"/>
    </row>
    <row r="43709" spans="17:17" x14ac:dyDescent="0.25">
      <c r="Q43709" s="8"/>
    </row>
    <row r="43710" spans="17:17" x14ac:dyDescent="0.25">
      <c r="Q43710" s="8"/>
    </row>
    <row r="43711" spans="17:17" x14ac:dyDescent="0.25">
      <c r="Q43711" s="8"/>
    </row>
    <row r="43712" spans="17:17" x14ac:dyDescent="0.25">
      <c r="Q43712" s="8"/>
    </row>
    <row r="43713" spans="17:17" x14ac:dyDescent="0.25">
      <c r="Q43713" s="8"/>
    </row>
    <row r="43714" spans="17:17" x14ac:dyDescent="0.25">
      <c r="Q43714" s="8"/>
    </row>
    <row r="43715" spans="17:17" x14ac:dyDescent="0.25">
      <c r="Q43715" s="8"/>
    </row>
    <row r="43716" spans="17:17" x14ac:dyDescent="0.25">
      <c r="Q43716" s="8"/>
    </row>
    <row r="43717" spans="17:17" x14ac:dyDescent="0.25">
      <c r="Q43717" s="8"/>
    </row>
    <row r="43718" spans="17:17" x14ac:dyDescent="0.25">
      <c r="Q43718" s="8"/>
    </row>
    <row r="43719" spans="17:17" x14ac:dyDescent="0.25">
      <c r="Q43719" s="8"/>
    </row>
    <row r="43720" spans="17:17" x14ac:dyDescent="0.25">
      <c r="Q43720" s="8"/>
    </row>
    <row r="43721" spans="17:17" x14ac:dyDescent="0.25">
      <c r="Q43721" s="8"/>
    </row>
    <row r="43722" spans="17:17" x14ac:dyDescent="0.25">
      <c r="Q43722" s="8"/>
    </row>
    <row r="43723" spans="17:17" x14ac:dyDescent="0.25">
      <c r="Q43723" s="8"/>
    </row>
    <row r="43724" spans="17:17" x14ac:dyDescent="0.25">
      <c r="Q43724" s="8"/>
    </row>
    <row r="43725" spans="17:17" x14ac:dyDescent="0.25">
      <c r="Q43725" s="8"/>
    </row>
    <row r="43726" spans="17:17" x14ac:dyDescent="0.25">
      <c r="Q43726" s="8"/>
    </row>
    <row r="43727" spans="17:17" x14ac:dyDescent="0.25">
      <c r="Q43727" s="8"/>
    </row>
    <row r="43728" spans="17:17" x14ac:dyDescent="0.25">
      <c r="Q43728" s="8"/>
    </row>
    <row r="43729" spans="17:17" x14ac:dyDescent="0.25">
      <c r="Q43729" s="8"/>
    </row>
    <row r="43730" spans="17:17" x14ac:dyDescent="0.25">
      <c r="Q43730" s="8"/>
    </row>
    <row r="43731" spans="17:17" x14ac:dyDescent="0.25">
      <c r="Q43731" s="8"/>
    </row>
    <row r="43732" spans="17:17" x14ac:dyDescent="0.25">
      <c r="Q43732" s="8"/>
    </row>
    <row r="43733" spans="17:17" x14ac:dyDescent="0.25">
      <c r="Q43733" s="8"/>
    </row>
    <row r="43734" spans="17:17" x14ac:dyDescent="0.25">
      <c r="Q43734" s="8"/>
    </row>
    <row r="43735" spans="17:17" x14ac:dyDescent="0.25">
      <c r="Q43735" s="8"/>
    </row>
    <row r="43736" spans="17:17" x14ac:dyDescent="0.25">
      <c r="Q43736" s="8"/>
    </row>
    <row r="43737" spans="17:17" x14ac:dyDescent="0.25">
      <c r="Q43737" s="8"/>
    </row>
    <row r="43738" spans="17:17" x14ac:dyDescent="0.25">
      <c r="Q43738" s="8"/>
    </row>
    <row r="43739" spans="17:17" x14ac:dyDescent="0.25">
      <c r="Q43739" s="8"/>
    </row>
    <row r="43740" spans="17:17" x14ac:dyDescent="0.25">
      <c r="Q43740" s="8"/>
    </row>
    <row r="43741" spans="17:17" x14ac:dyDescent="0.25">
      <c r="Q43741" s="8"/>
    </row>
    <row r="43742" spans="17:17" x14ac:dyDescent="0.25">
      <c r="Q43742" s="8"/>
    </row>
    <row r="43743" spans="17:17" x14ac:dyDescent="0.25">
      <c r="Q43743" s="8"/>
    </row>
    <row r="43744" spans="17:17" x14ac:dyDescent="0.25">
      <c r="Q43744" s="8"/>
    </row>
    <row r="43745" spans="17:17" x14ac:dyDescent="0.25">
      <c r="Q43745" s="8"/>
    </row>
    <row r="43746" spans="17:17" x14ac:dyDescent="0.25">
      <c r="Q43746" s="8"/>
    </row>
    <row r="43747" spans="17:17" x14ac:dyDescent="0.25">
      <c r="Q43747" s="8"/>
    </row>
    <row r="43748" spans="17:17" x14ac:dyDescent="0.25">
      <c r="Q43748" s="8"/>
    </row>
    <row r="43749" spans="17:17" x14ac:dyDescent="0.25">
      <c r="Q43749" s="8"/>
    </row>
    <row r="43750" spans="17:17" x14ac:dyDescent="0.25">
      <c r="Q43750" s="8"/>
    </row>
    <row r="43751" spans="17:17" x14ac:dyDescent="0.25">
      <c r="Q43751" s="8"/>
    </row>
    <row r="43752" spans="17:17" x14ac:dyDescent="0.25">
      <c r="Q43752" s="8"/>
    </row>
    <row r="43753" spans="17:17" x14ac:dyDescent="0.25">
      <c r="Q43753" s="8"/>
    </row>
    <row r="43754" spans="17:17" x14ac:dyDescent="0.25">
      <c r="Q43754" s="8"/>
    </row>
    <row r="43755" spans="17:17" x14ac:dyDescent="0.25">
      <c r="Q43755" s="8"/>
    </row>
    <row r="43756" spans="17:17" x14ac:dyDescent="0.25">
      <c r="Q43756" s="8"/>
    </row>
    <row r="43757" spans="17:17" x14ac:dyDescent="0.25">
      <c r="Q43757" s="8"/>
    </row>
    <row r="43758" spans="17:17" x14ac:dyDescent="0.25">
      <c r="Q43758" s="8"/>
    </row>
    <row r="43759" spans="17:17" x14ac:dyDescent="0.25">
      <c r="Q43759" s="8"/>
    </row>
    <row r="43760" spans="17:17" x14ac:dyDescent="0.25">
      <c r="Q43760" s="8"/>
    </row>
    <row r="43761" spans="17:17" x14ac:dyDescent="0.25">
      <c r="Q43761" s="8"/>
    </row>
    <row r="43762" spans="17:17" x14ac:dyDescent="0.25">
      <c r="Q43762" s="8"/>
    </row>
    <row r="43763" spans="17:17" x14ac:dyDescent="0.25">
      <c r="Q43763" s="8"/>
    </row>
    <row r="43764" spans="17:17" x14ac:dyDescent="0.25">
      <c r="Q43764" s="8"/>
    </row>
    <row r="43765" spans="17:17" x14ac:dyDescent="0.25">
      <c r="Q43765" s="8"/>
    </row>
    <row r="43766" spans="17:17" x14ac:dyDescent="0.25">
      <c r="Q43766" s="8"/>
    </row>
    <row r="43767" spans="17:17" x14ac:dyDescent="0.25">
      <c r="Q43767" s="8"/>
    </row>
    <row r="43768" spans="17:17" x14ac:dyDescent="0.25">
      <c r="Q43768" s="8"/>
    </row>
    <row r="43769" spans="17:17" x14ac:dyDescent="0.25">
      <c r="Q43769" s="8"/>
    </row>
    <row r="43770" spans="17:17" x14ac:dyDescent="0.25">
      <c r="Q43770" s="8"/>
    </row>
    <row r="43771" spans="17:17" x14ac:dyDescent="0.25">
      <c r="Q43771" s="8"/>
    </row>
    <row r="43772" spans="17:17" x14ac:dyDescent="0.25">
      <c r="Q43772" s="8"/>
    </row>
    <row r="43773" spans="17:17" x14ac:dyDescent="0.25">
      <c r="Q43773" s="8"/>
    </row>
    <row r="43774" spans="17:17" x14ac:dyDescent="0.25">
      <c r="Q43774" s="8"/>
    </row>
    <row r="43775" spans="17:17" x14ac:dyDescent="0.25">
      <c r="Q43775" s="8"/>
    </row>
    <row r="43776" spans="17:17" x14ac:dyDescent="0.25">
      <c r="Q43776" s="8"/>
    </row>
    <row r="43777" spans="17:17" x14ac:dyDescent="0.25">
      <c r="Q43777" s="8"/>
    </row>
    <row r="43778" spans="17:17" x14ac:dyDescent="0.25">
      <c r="Q43778" s="8"/>
    </row>
    <row r="43779" spans="17:17" x14ac:dyDescent="0.25">
      <c r="Q43779" s="8"/>
    </row>
    <row r="43780" spans="17:17" x14ac:dyDescent="0.25">
      <c r="Q43780" s="8"/>
    </row>
    <row r="43781" spans="17:17" x14ac:dyDescent="0.25">
      <c r="Q43781" s="8"/>
    </row>
    <row r="43782" spans="17:17" x14ac:dyDescent="0.25">
      <c r="Q43782" s="8"/>
    </row>
    <row r="43783" spans="17:17" x14ac:dyDescent="0.25">
      <c r="Q43783" s="8"/>
    </row>
    <row r="43784" spans="17:17" x14ac:dyDescent="0.25">
      <c r="Q43784" s="8"/>
    </row>
    <row r="43785" spans="17:17" x14ac:dyDescent="0.25">
      <c r="Q43785" s="8"/>
    </row>
    <row r="43786" spans="17:17" x14ac:dyDescent="0.25">
      <c r="Q43786" s="8"/>
    </row>
    <row r="43787" spans="17:17" x14ac:dyDescent="0.25">
      <c r="Q43787" s="8"/>
    </row>
    <row r="43788" spans="17:17" x14ac:dyDescent="0.25">
      <c r="Q43788" s="8"/>
    </row>
    <row r="43789" spans="17:17" x14ac:dyDescent="0.25">
      <c r="Q43789" s="8"/>
    </row>
    <row r="43790" spans="17:17" x14ac:dyDescent="0.25">
      <c r="Q43790" s="8"/>
    </row>
    <row r="43791" spans="17:17" x14ac:dyDescent="0.25">
      <c r="Q43791" s="8"/>
    </row>
    <row r="43792" spans="17:17" x14ac:dyDescent="0.25">
      <c r="Q43792" s="8"/>
    </row>
    <row r="43793" spans="17:17" x14ac:dyDescent="0.25">
      <c r="Q43793" s="8"/>
    </row>
    <row r="43794" spans="17:17" x14ac:dyDescent="0.25">
      <c r="Q43794" s="8"/>
    </row>
    <row r="43795" spans="17:17" x14ac:dyDescent="0.25">
      <c r="Q43795" s="8"/>
    </row>
    <row r="43796" spans="17:17" x14ac:dyDescent="0.25">
      <c r="Q43796" s="8"/>
    </row>
    <row r="43797" spans="17:17" x14ac:dyDescent="0.25">
      <c r="Q43797" s="8"/>
    </row>
    <row r="43798" spans="17:17" x14ac:dyDescent="0.25">
      <c r="Q43798" s="8"/>
    </row>
    <row r="43799" spans="17:17" x14ac:dyDescent="0.25">
      <c r="Q43799" s="8"/>
    </row>
    <row r="43800" spans="17:17" x14ac:dyDescent="0.25">
      <c r="Q43800" s="8"/>
    </row>
    <row r="43801" spans="17:17" x14ac:dyDescent="0.25">
      <c r="Q43801" s="8"/>
    </row>
    <row r="43802" spans="17:17" x14ac:dyDescent="0.25">
      <c r="Q43802" s="8"/>
    </row>
    <row r="43803" spans="17:17" x14ac:dyDescent="0.25">
      <c r="Q43803" s="8"/>
    </row>
    <row r="43804" spans="17:17" x14ac:dyDescent="0.25">
      <c r="Q43804" s="8"/>
    </row>
    <row r="43805" spans="17:17" x14ac:dyDescent="0.25">
      <c r="Q43805" s="8"/>
    </row>
    <row r="43806" spans="17:17" x14ac:dyDescent="0.25">
      <c r="Q43806" s="8"/>
    </row>
    <row r="43807" spans="17:17" x14ac:dyDescent="0.25">
      <c r="Q43807" s="8"/>
    </row>
    <row r="43808" spans="17:17" x14ac:dyDescent="0.25">
      <c r="Q43808" s="8"/>
    </row>
    <row r="43809" spans="17:17" x14ac:dyDescent="0.25">
      <c r="Q43809" s="8"/>
    </row>
    <row r="43810" spans="17:17" x14ac:dyDescent="0.25">
      <c r="Q43810" s="8"/>
    </row>
    <row r="43811" spans="17:17" x14ac:dyDescent="0.25">
      <c r="Q43811" s="8"/>
    </row>
    <row r="43812" spans="17:17" x14ac:dyDescent="0.25">
      <c r="Q43812" s="8"/>
    </row>
    <row r="43813" spans="17:17" x14ac:dyDescent="0.25">
      <c r="Q43813" s="8"/>
    </row>
    <row r="43814" spans="17:17" x14ac:dyDescent="0.25">
      <c r="Q43814" s="8"/>
    </row>
    <row r="43815" spans="17:17" x14ac:dyDescent="0.25">
      <c r="Q43815" s="8"/>
    </row>
    <row r="43816" spans="17:17" x14ac:dyDescent="0.25">
      <c r="Q43816" s="8"/>
    </row>
    <row r="43817" spans="17:17" x14ac:dyDescent="0.25">
      <c r="Q43817" s="8"/>
    </row>
    <row r="43818" spans="17:17" x14ac:dyDescent="0.25">
      <c r="Q43818" s="8"/>
    </row>
    <row r="43819" spans="17:17" x14ac:dyDescent="0.25">
      <c r="Q43819" s="8"/>
    </row>
    <row r="43820" spans="17:17" x14ac:dyDescent="0.25">
      <c r="Q43820" s="8"/>
    </row>
    <row r="43821" spans="17:17" x14ac:dyDescent="0.25">
      <c r="Q43821" s="8"/>
    </row>
    <row r="43822" spans="17:17" x14ac:dyDescent="0.25">
      <c r="Q43822" s="8"/>
    </row>
    <row r="43823" spans="17:17" x14ac:dyDescent="0.25">
      <c r="Q43823" s="8"/>
    </row>
    <row r="43824" spans="17:17" x14ac:dyDescent="0.25">
      <c r="Q43824" s="8"/>
    </row>
    <row r="43825" spans="17:17" x14ac:dyDescent="0.25">
      <c r="Q43825" s="8"/>
    </row>
    <row r="43826" spans="17:17" x14ac:dyDescent="0.25">
      <c r="Q43826" s="8"/>
    </row>
    <row r="43827" spans="17:17" x14ac:dyDescent="0.25">
      <c r="Q43827" s="8"/>
    </row>
    <row r="43828" spans="17:17" x14ac:dyDescent="0.25">
      <c r="Q43828" s="8"/>
    </row>
    <row r="43829" spans="17:17" x14ac:dyDescent="0.25">
      <c r="Q43829" s="8"/>
    </row>
    <row r="43830" spans="17:17" x14ac:dyDescent="0.25">
      <c r="Q43830" s="8"/>
    </row>
    <row r="43831" spans="17:17" x14ac:dyDescent="0.25">
      <c r="Q43831" s="8"/>
    </row>
    <row r="43832" spans="17:17" x14ac:dyDescent="0.25">
      <c r="Q43832" s="8"/>
    </row>
    <row r="43833" spans="17:17" x14ac:dyDescent="0.25">
      <c r="Q43833" s="8"/>
    </row>
    <row r="43834" spans="17:17" x14ac:dyDescent="0.25">
      <c r="Q43834" s="8"/>
    </row>
    <row r="43835" spans="17:17" x14ac:dyDescent="0.25">
      <c r="Q43835" s="8"/>
    </row>
    <row r="43836" spans="17:17" x14ac:dyDescent="0.25">
      <c r="Q43836" s="8"/>
    </row>
    <row r="43837" spans="17:17" x14ac:dyDescent="0.25">
      <c r="Q43837" s="8"/>
    </row>
    <row r="43838" spans="17:17" x14ac:dyDescent="0.25">
      <c r="Q43838" s="8"/>
    </row>
    <row r="43839" spans="17:17" x14ac:dyDescent="0.25">
      <c r="Q43839" s="8"/>
    </row>
    <row r="43840" spans="17:17" x14ac:dyDescent="0.25">
      <c r="Q43840" s="8"/>
    </row>
    <row r="43841" spans="17:17" x14ac:dyDescent="0.25">
      <c r="Q43841" s="8"/>
    </row>
    <row r="43842" spans="17:17" x14ac:dyDescent="0.25">
      <c r="Q43842" s="8"/>
    </row>
    <row r="43843" spans="17:17" x14ac:dyDescent="0.25">
      <c r="Q43843" s="8"/>
    </row>
    <row r="43844" spans="17:17" x14ac:dyDescent="0.25">
      <c r="Q43844" s="8"/>
    </row>
    <row r="43845" spans="17:17" x14ac:dyDescent="0.25">
      <c r="Q43845" s="8"/>
    </row>
    <row r="43846" spans="17:17" x14ac:dyDescent="0.25">
      <c r="Q43846" s="8"/>
    </row>
    <row r="43847" spans="17:17" x14ac:dyDescent="0.25">
      <c r="Q43847" s="8"/>
    </row>
    <row r="43848" spans="17:17" x14ac:dyDescent="0.25">
      <c r="Q43848" s="8"/>
    </row>
    <row r="43849" spans="17:17" x14ac:dyDescent="0.25">
      <c r="Q43849" s="8"/>
    </row>
    <row r="43850" spans="17:17" x14ac:dyDescent="0.25">
      <c r="Q43850" s="8"/>
    </row>
    <row r="43851" spans="17:17" x14ac:dyDescent="0.25">
      <c r="Q43851" s="8"/>
    </row>
    <row r="43852" spans="17:17" x14ac:dyDescent="0.25">
      <c r="Q43852" s="8"/>
    </row>
    <row r="43853" spans="17:17" x14ac:dyDescent="0.25">
      <c r="Q43853" s="8"/>
    </row>
    <row r="43854" spans="17:17" x14ac:dyDescent="0.25">
      <c r="Q43854" s="8"/>
    </row>
    <row r="43855" spans="17:17" x14ac:dyDescent="0.25">
      <c r="Q43855" s="8"/>
    </row>
    <row r="43856" spans="17:17" x14ac:dyDescent="0.25">
      <c r="Q43856" s="8"/>
    </row>
    <row r="43857" spans="17:17" x14ac:dyDescent="0.25">
      <c r="Q43857" s="8"/>
    </row>
    <row r="43858" spans="17:17" x14ac:dyDescent="0.25">
      <c r="Q43858" s="8"/>
    </row>
    <row r="43859" spans="17:17" x14ac:dyDescent="0.25">
      <c r="Q43859" s="8"/>
    </row>
    <row r="43860" spans="17:17" x14ac:dyDescent="0.25">
      <c r="Q43860" s="8"/>
    </row>
    <row r="43861" spans="17:17" x14ac:dyDescent="0.25">
      <c r="Q43861" s="8"/>
    </row>
    <row r="43862" spans="17:17" x14ac:dyDescent="0.25">
      <c r="Q43862" s="8"/>
    </row>
    <row r="43863" spans="17:17" x14ac:dyDescent="0.25">
      <c r="Q43863" s="8"/>
    </row>
    <row r="43864" spans="17:17" x14ac:dyDescent="0.25">
      <c r="Q43864" s="8"/>
    </row>
    <row r="43865" spans="17:17" x14ac:dyDescent="0.25">
      <c r="Q43865" s="8"/>
    </row>
    <row r="43866" spans="17:17" x14ac:dyDescent="0.25">
      <c r="Q43866" s="8"/>
    </row>
    <row r="43867" spans="17:17" x14ac:dyDescent="0.25">
      <c r="Q43867" s="8"/>
    </row>
    <row r="43868" spans="17:17" x14ac:dyDescent="0.25">
      <c r="Q43868" s="8"/>
    </row>
    <row r="43869" spans="17:17" x14ac:dyDescent="0.25">
      <c r="Q43869" s="8"/>
    </row>
    <row r="43870" spans="17:17" x14ac:dyDescent="0.25">
      <c r="Q43870" s="8"/>
    </row>
    <row r="43871" spans="17:17" x14ac:dyDescent="0.25">
      <c r="Q43871" s="8"/>
    </row>
    <row r="43872" spans="17:17" x14ac:dyDescent="0.25">
      <c r="Q43872" s="8"/>
    </row>
    <row r="43873" spans="17:17" x14ac:dyDescent="0.25">
      <c r="Q43873" s="8"/>
    </row>
    <row r="43874" spans="17:17" x14ac:dyDescent="0.25">
      <c r="Q43874" s="8"/>
    </row>
    <row r="43875" spans="17:17" x14ac:dyDescent="0.25">
      <c r="Q43875" s="8"/>
    </row>
    <row r="43876" spans="17:17" x14ac:dyDescent="0.25">
      <c r="Q43876" s="8"/>
    </row>
    <row r="43877" spans="17:17" x14ac:dyDescent="0.25">
      <c r="Q43877" s="8"/>
    </row>
    <row r="43878" spans="17:17" x14ac:dyDescent="0.25">
      <c r="Q43878" s="8"/>
    </row>
    <row r="43879" spans="17:17" x14ac:dyDescent="0.25">
      <c r="Q43879" s="8"/>
    </row>
    <row r="43880" spans="17:17" x14ac:dyDescent="0.25">
      <c r="Q43880" s="8"/>
    </row>
    <row r="43881" spans="17:17" x14ac:dyDescent="0.25">
      <c r="Q43881" s="8"/>
    </row>
    <row r="43882" spans="17:17" x14ac:dyDescent="0.25">
      <c r="Q43882" s="8"/>
    </row>
    <row r="43883" spans="17:17" x14ac:dyDescent="0.25">
      <c r="Q43883" s="8"/>
    </row>
    <row r="43884" spans="17:17" x14ac:dyDescent="0.25">
      <c r="Q43884" s="8"/>
    </row>
    <row r="43885" spans="17:17" x14ac:dyDescent="0.25">
      <c r="Q43885" s="8"/>
    </row>
    <row r="43886" spans="17:17" x14ac:dyDescent="0.25">
      <c r="Q43886" s="8"/>
    </row>
    <row r="43887" spans="17:17" x14ac:dyDescent="0.25">
      <c r="Q43887" s="8"/>
    </row>
    <row r="43888" spans="17:17" x14ac:dyDescent="0.25">
      <c r="Q43888" s="8"/>
    </row>
    <row r="43889" spans="17:17" x14ac:dyDescent="0.25">
      <c r="Q43889" s="8"/>
    </row>
    <row r="43890" spans="17:17" x14ac:dyDescent="0.25">
      <c r="Q43890" s="8"/>
    </row>
    <row r="43891" spans="17:17" x14ac:dyDescent="0.25">
      <c r="Q43891" s="8"/>
    </row>
    <row r="43892" spans="17:17" x14ac:dyDescent="0.25">
      <c r="Q43892" s="8"/>
    </row>
    <row r="43893" spans="17:17" x14ac:dyDescent="0.25">
      <c r="Q43893" s="8"/>
    </row>
    <row r="43894" spans="17:17" x14ac:dyDescent="0.25">
      <c r="Q43894" s="8"/>
    </row>
    <row r="43895" spans="17:17" x14ac:dyDescent="0.25">
      <c r="Q43895" s="8"/>
    </row>
    <row r="43896" spans="17:17" x14ac:dyDescent="0.25">
      <c r="Q43896" s="8"/>
    </row>
    <row r="43897" spans="17:17" x14ac:dyDescent="0.25">
      <c r="Q43897" s="8"/>
    </row>
    <row r="43898" spans="17:17" x14ac:dyDescent="0.25">
      <c r="Q43898" s="8"/>
    </row>
    <row r="43899" spans="17:17" x14ac:dyDescent="0.25">
      <c r="Q43899" s="8"/>
    </row>
    <row r="43900" spans="17:17" x14ac:dyDescent="0.25">
      <c r="Q43900" s="8"/>
    </row>
    <row r="43901" spans="17:17" x14ac:dyDescent="0.25">
      <c r="Q43901" s="8"/>
    </row>
    <row r="43902" spans="17:17" x14ac:dyDescent="0.25">
      <c r="Q43902" s="8"/>
    </row>
    <row r="43903" spans="17:17" x14ac:dyDescent="0.25">
      <c r="Q43903" s="8"/>
    </row>
    <row r="43904" spans="17:17" x14ac:dyDescent="0.25">
      <c r="Q43904" s="8"/>
    </row>
    <row r="43905" spans="17:17" x14ac:dyDescent="0.25">
      <c r="Q43905" s="8"/>
    </row>
    <row r="43906" spans="17:17" x14ac:dyDescent="0.25">
      <c r="Q43906" s="8"/>
    </row>
    <row r="43907" spans="17:17" x14ac:dyDescent="0.25">
      <c r="Q43907" s="8"/>
    </row>
    <row r="43908" spans="17:17" x14ac:dyDescent="0.25">
      <c r="Q43908" s="8"/>
    </row>
    <row r="43909" spans="17:17" x14ac:dyDescent="0.25">
      <c r="Q43909" s="8"/>
    </row>
    <row r="43910" spans="17:17" x14ac:dyDescent="0.25">
      <c r="Q43910" s="8"/>
    </row>
    <row r="43911" spans="17:17" x14ac:dyDescent="0.25">
      <c r="Q43911" s="8"/>
    </row>
    <row r="43912" spans="17:17" x14ac:dyDescent="0.25">
      <c r="Q43912" s="8"/>
    </row>
    <row r="43913" spans="17:17" x14ac:dyDescent="0.25">
      <c r="Q43913" s="8"/>
    </row>
    <row r="43914" spans="17:17" x14ac:dyDescent="0.25">
      <c r="Q43914" s="8"/>
    </row>
    <row r="43915" spans="17:17" x14ac:dyDescent="0.25">
      <c r="Q43915" s="8"/>
    </row>
    <row r="43916" spans="17:17" x14ac:dyDescent="0.25">
      <c r="Q43916" s="8"/>
    </row>
    <row r="43917" spans="17:17" x14ac:dyDescent="0.25">
      <c r="Q43917" s="8"/>
    </row>
    <row r="43918" spans="17:17" x14ac:dyDescent="0.25">
      <c r="Q43918" s="8"/>
    </row>
    <row r="43919" spans="17:17" x14ac:dyDescent="0.25">
      <c r="Q43919" s="8"/>
    </row>
    <row r="43920" spans="17:17" x14ac:dyDescent="0.25">
      <c r="Q43920" s="8"/>
    </row>
    <row r="43921" spans="17:17" x14ac:dyDescent="0.25">
      <c r="Q43921" s="8"/>
    </row>
    <row r="43922" spans="17:17" x14ac:dyDescent="0.25">
      <c r="Q43922" s="8"/>
    </row>
    <row r="43923" spans="17:17" x14ac:dyDescent="0.25">
      <c r="Q43923" s="8"/>
    </row>
    <row r="43924" spans="17:17" x14ac:dyDescent="0.25">
      <c r="Q43924" s="8"/>
    </row>
    <row r="43925" spans="17:17" x14ac:dyDescent="0.25">
      <c r="Q43925" s="8"/>
    </row>
    <row r="43926" spans="17:17" x14ac:dyDescent="0.25">
      <c r="Q43926" s="8"/>
    </row>
    <row r="43927" spans="17:17" x14ac:dyDescent="0.25">
      <c r="Q43927" s="8"/>
    </row>
    <row r="43928" spans="17:17" x14ac:dyDescent="0.25">
      <c r="Q43928" s="8"/>
    </row>
    <row r="43929" spans="17:17" x14ac:dyDescent="0.25">
      <c r="Q43929" s="8"/>
    </row>
    <row r="43930" spans="17:17" x14ac:dyDescent="0.25">
      <c r="Q43930" s="8"/>
    </row>
    <row r="43931" spans="17:17" x14ac:dyDescent="0.25">
      <c r="Q43931" s="8"/>
    </row>
    <row r="43932" spans="17:17" x14ac:dyDescent="0.25">
      <c r="Q43932" s="8"/>
    </row>
    <row r="43933" spans="17:17" x14ac:dyDescent="0.25">
      <c r="Q43933" s="8"/>
    </row>
    <row r="43934" spans="17:17" x14ac:dyDescent="0.25">
      <c r="Q43934" s="8"/>
    </row>
    <row r="43935" spans="17:17" x14ac:dyDescent="0.25">
      <c r="Q43935" s="8"/>
    </row>
    <row r="43936" spans="17:17" x14ac:dyDescent="0.25">
      <c r="Q43936" s="8"/>
    </row>
    <row r="43937" spans="17:17" x14ac:dyDescent="0.25">
      <c r="Q43937" s="8"/>
    </row>
    <row r="43938" spans="17:17" x14ac:dyDescent="0.25">
      <c r="Q43938" s="8"/>
    </row>
    <row r="43939" spans="17:17" x14ac:dyDescent="0.25">
      <c r="Q43939" s="8"/>
    </row>
    <row r="43940" spans="17:17" x14ac:dyDescent="0.25">
      <c r="Q43940" s="8"/>
    </row>
    <row r="43941" spans="17:17" x14ac:dyDescent="0.25">
      <c r="Q43941" s="8"/>
    </row>
    <row r="43942" spans="17:17" x14ac:dyDescent="0.25">
      <c r="Q43942" s="8"/>
    </row>
    <row r="43943" spans="17:17" x14ac:dyDescent="0.25">
      <c r="Q43943" s="8"/>
    </row>
    <row r="43944" spans="17:17" x14ac:dyDescent="0.25">
      <c r="Q43944" s="8"/>
    </row>
    <row r="43945" spans="17:17" x14ac:dyDescent="0.25">
      <c r="Q43945" s="8"/>
    </row>
    <row r="43946" spans="17:17" x14ac:dyDescent="0.25">
      <c r="Q43946" s="8"/>
    </row>
    <row r="43947" spans="17:17" x14ac:dyDescent="0.25">
      <c r="Q43947" s="8"/>
    </row>
    <row r="43948" spans="17:17" x14ac:dyDescent="0.25">
      <c r="Q43948" s="8"/>
    </row>
    <row r="43949" spans="17:17" x14ac:dyDescent="0.25">
      <c r="Q43949" s="8"/>
    </row>
    <row r="43950" spans="17:17" x14ac:dyDescent="0.25">
      <c r="Q43950" s="8"/>
    </row>
    <row r="43951" spans="17:17" x14ac:dyDescent="0.25">
      <c r="Q43951" s="8"/>
    </row>
    <row r="43952" spans="17:17" x14ac:dyDescent="0.25">
      <c r="Q43952" s="8"/>
    </row>
    <row r="43953" spans="17:17" x14ac:dyDescent="0.25">
      <c r="Q43953" s="8"/>
    </row>
    <row r="43954" spans="17:17" x14ac:dyDescent="0.25">
      <c r="Q43954" s="8"/>
    </row>
    <row r="43955" spans="17:17" x14ac:dyDescent="0.25">
      <c r="Q43955" s="8"/>
    </row>
    <row r="43956" spans="17:17" x14ac:dyDescent="0.25">
      <c r="Q43956" s="8"/>
    </row>
    <row r="43957" spans="17:17" x14ac:dyDescent="0.25">
      <c r="Q43957" s="8"/>
    </row>
    <row r="43958" spans="17:17" x14ac:dyDescent="0.25">
      <c r="Q43958" s="8"/>
    </row>
    <row r="43959" spans="17:17" x14ac:dyDescent="0.25">
      <c r="Q43959" s="8"/>
    </row>
    <row r="43960" spans="17:17" x14ac:dyDescent="0.25">
      <c r="Q43960" s="8"/>
    </row>
    <row r="43961" spans="17:17" x14ac:dyDescent="0.25">
      <c r="Q43961" s="8"/>
    </row>
    <row r="43962" spans="17:17" x14ac:dyDescent="0.25">
      <c r="Q43962" s="8"/>
    </row>
    <row r="43963" spans="17:17" x14ac:dyDescent="0.25">
      <c r="Q43963" s="8"/>
    </row>
    <row r="43964" spans="17:17" x14ac:dyDescent="0.25">
      <c r="Q43964" s="8"/>
    </row>
    <row r="43965" spans="17:17" x14ac:dyDescent="0.25">
      <c r="Q43965" s="8"/>
    </row>
    <row r="43966" spans="17:17" x14ac:dyDescent="0.25">
      <c r="Q43966" s="8"/>
    </row>
    <row r="43967" spans="17:17" x14ac:dyDescent="0.25">
      <c r="Q43967" s="8"/>
    </row>
    <row r="43968" spans="17:17" x14ac:dyDescent="0.25">
      <c r="Q43968" s="8"/>
    </row>
    <row r="43969" spans="17:17" x14ac:dyDescent="0.25">
      <c r="Q43969" s="8"/>
    </row>
    <row r="43970" spans="17:17" x14ac:dyDescent="0.25">
      <c r="Q43970" s="8"/>
    </row>
    <row r="43971" spans="17:17" x14ac:dyDescent="0.25">
      <c r="Q43971" s="8"/>
    </row>
    <row r="43972" spans="17:17" x14ac:dyDescent="0.25">
      <c r="Q43972" s="8"/>
    </row>
    <row r="43973" spans="17:17" x14ac:dyDescent="0.25">
      <c r="Q43973" s="8"/>
    </row>
    <row r="43974" spans="17:17" x14ac:dyDescent="0.25">
      <c r="Q43974" s="8"/>
    </row>
    <row r="43975" spans="17:17" x14ac:dyDescent="0.25">
      <c r="Q43975" s="8"/>
    </row>
    <row r="43976" spans="17:17" x14ac:dyDescent="0.25">
      <c r="Q43976" s="8"/>
    </row>
    <row r="43977" spans="17:17" x14ac:dyDescent="0.25">
      <c r="Q43977" s="8"/>
    </row>
    <row r="43978" spans="17:17" x14ac:dyDescent="0.25">
      <c r="Q43978" s="8"/>
    </row>
    <row r="43979" spans="17:17" x14ac:dyDescent="0.25">
      <c r="Q43979" s="8"/>
    </row>
    <row r="43980" spans="17:17" x14ac:dyDescent="0.25">
      <c r="Q43980" s="8"/>
    </row>
    <row r="43981" spans="17:17" x14ac:dyDescent="0.25">
      <c r="Q43981" s="8"/>
    </row>
    <row r="43982" spans="17:17" x14ac:dyDescent="0.25">
      <c r="Q43982" s="8"/>
    </row>
    <row r="43983" spans="17:17" x14ac:dyDescent="0.25">
      <c r="Q43983" s="8"/>
    </row>
    <row r="43984" spans="17:17" x14ac:dyDescent="0.25">
      <c r="Q43984" s="8"/>
    </row>
    <row r="43985" spans="17:17" x14ac:dyDescent="0.25">
      <c r="Q43985" s="8"/>
    </row>
    <row r="43986" spans="17:17" x14ac:dyDescent="0.25">
      <c r="Q43986" s="8"/>
    </row>
    <row r="43987" spans="17:17" x14ac:dyDescent="0.25">
      <c r="Q43987" s="8"/>
    </row>
    <row r="43988" spans="17:17" x14ac:dyDescent="0.25">
      <c r="Q43988" s="8"/>
    </row>
    <row r="43989" spans="17:17" x14ac:dyDescent="0.25">
      <c r="Q43989" s="8"/>
    </row>
    <row r="43990" spans="17:17" x14ac:dyDescent="0.25">
      <c r="Q43990" s="8"/>
    </row>
    <row r="43991" spans="17:17" x14ac:dyDescent="0.25">
      <c r="Q43991" s="8"/>
    </row>
    <row r="43992" spans="17:17" x14ac:dyDescent="0.25">
      <c r="Q43992" s="8"/>
    </row>
    <row r="43993" spans="17:17" x14ac:dyDescent="0.25">
      <c r="Q43993" s="8"/>
    </row>
    <row r="43994" spans="17:17" x14ac:dyDescent="0.25">
      <c r="Q43994" s="8"/>
    </row>
    <row r="43995" spans="17:17" x14ac:dyDescent="0.25">
      <c r="Q43995" s="8"/>
    </row>
    <row r="43996" spans="17:17" x14ac:dyDescent="0.25">
      <c r="Q43996" s="8"/>
    </row>
    <row r="43997" spans="17:17" x14ac:dyDescent="0.25">
      <c r="Q43997" s="8"/>
    </row>
    <row r="43998" spans="17:17" x14ac:dyDescent="0.25">
      <c r="Q43998" s="8"/>
    </row>
    <row r="43999" spans="17:17" x14ac:dyDescent="0.25">
      <c r="Q43999" s="8"/>
    </row>
    <row r="44000" spans="17:17" x14ac:dyDescent="0.25">
      <c r="Q44000" s="8"/>
    </row>
    <row r="44001" spans="17:17" x14ac:dyDescent="0.25">
      <c r="Q44001" s="8"/>
    </row>
    <row r="44002" spans="17:17" x14ac:dyDescent="0.25">
      <c r="Q44002" s="8"/>
    </row>
    <row r="44003" spans="17:17" x14ac:dyDescent="0.25">
      <c r="Q44003" s="8"/>
    </row>
    <row r="44004" spans="17:17" x14ac:dyDescent="0.25">
      <c r="Q44004" s="8"/>
    </row>
    <row r="44005" spans="17:17" x14ac:dyDescent="0.25">
      <c r="Q44005" s="8"/>
    </row>
    <row r="44006" spans="17:17" x14ac:dyDescent="0.25">
      <c r="Q44006" s="8"/>
    </row>
    <row r="44007" spans="17:17" x14ac:dyDescent="0.25">
      <c r="Q44007" s="8"/>
    </row>
    <row r="44008" spans="17:17" x14ac:dyDescent="0.25">
      <c r="Q44008" s="8"/>
    </row>
    <row r="44009" spans="17:17" x14ac:dyDescent="0.25">
      <c r="Q44009" s="8"/>
    </row>
    <row r="44010" spans="17:17" x14ac:dyDescent="0.25">
      <c r="Q44010" s="8"/>
    </row>
    <row r="44011" spans="17:17" x14ac:dyDescent="0.25">
      <c r="Q44011" s="8"/>
    </row>
    <row r="44012" spans="17:17" x14ac:dyDescent="0.25">
      <c r="Q44012" s="8"/>
    </row>
    <row r="44013" spans="17:17" x14ac:dyDescent="0.25">
      <c r="Q44013" s="8"/>
    </row>
    <row r="44014" spans="17:17" x14ac:dyDescent="0.25">
      <c r="Q44014" s="8"/>
    </row>
    <row r="44015" spans="17:17" x14ac:dyDescent="0.25">
      <c r="Q44015" s="8"/>
    </row>
    <row r="44016" spans="17:17" x14ac:dyDescent="0.25">
      <c r="Q44016" s="8"/>
    </row>
    <row r="44017" spans="17:17" x14ac:dyDescent="0.25">
      <c r="Q44017" s="8"/>
    </row>
    <row r="44018" spans="17:17" x14ac:dyDescent="0.25">
      <c r="Q44018" s="8"/>
    </row>
    <row r="44019" spans="17:17" x14ac:dyDescent="0.25">
      <c r="Q44019" s="8"/>
    </row>
    <row r="44020" spans="17:17" x14ac:dyDescent="0.25">
      <c r="Q44020" s="8"/>
    </row>
    <row r="44021" spans="17:17" x14ac:dyDescent="0.25">
      <c r="Q44021" s="8"/>
    </row>
    <row r="44022" spans="17:17" x14ac:dyDescent="0.25">
      <c r="Q44022" s="8"/>
    </row>
    <row r="44023" spans="17:17" x14ac:dyDescent="0.25">
      <c r="Q44023" s="8"/>
    </row>
    <row r="44024" spans="17:17" x14ac:dyDescent="0.25">
      <c r="Q44024" s="8"/>
    </row>
    <row r="44025" spans="17:17" x14ac:dyDescent="0.25">
      <c r="Q44025" s="8"/>
    </row>
    <row r="44026" spans="17:17" x14ac:dyDescent="0.25">
      <c r="Q44026" s="8"/>
    </row>
    <row r="44027" spans="17:17" x14ac:dyDescent="0.25">
      <c r="Q44027" s="8"/>
    </row>
    <row r="44028" spans="17:17" x14ac:dyDescent="0.25">
      <c r="Q44028" s="8"/>
    </row>
    <row r="44029" spans="17:17" x14ac:dyDescent="0.25">
      <c r="Q44029" s="8"/>
    </row>
    <row r="44030" spans="17:17" x14ac:dyDescent="0.25">
      <c r="Q44030" s="8"/>
    </row>
    <row r="44031" spans="17:17" x14ac:dyDescent="0.25">
      <c r="Q44031" s="8"/>
    </row>
    <row r="44032" spans="17:17" x14ac:dyDescent="0.25">
      <c r="Q44032" s="8"/>
    </row>
    <row r="44033" spans="17:17" x14ac:dyDescent="0.25">
      <c r="Q44033" s="8"/>
    </row>
    <row r="44034" spans="17:17" x14ac:dyDescent="0.25">
      <c r="Q44034" s="8"/>
    </row>
    <row r="44035" spans="17:17" x14ac:dyDescent="0.25">
      <c r="Q44035" s="8"/>
    </row>
    <row r="44036" spans="17:17" x14ac:dyDescent="0.25">
      <c r="Q44036" s="8"/>
    </row>
    <row r="44037" spans="17:17" x14ac:dyDescent="0.25">
      <c r="Q44037" s="8"/>
    </row>
    <row r="44038" spans="17:17" x14ac:dyDescent="0.25">
      <c r="Q44038" s="8"/>
    </row>
    <row r="44039" spans="17:17" x14ac:dyDescent="0.25">
      <c r="Q44039" s="8"/>
    </row>
    <row r="44040" spans="17:17" x14ac:dyDescent="0.25">
      <c r="Q44040" s="8"/>
    </row>
    <row r="44041" spans="17:17" x14ac:dyDescent="0.25">
      <c r="Q44041" s="8"/>
    </row>
    <row r="44042" spans="17:17" x14ac:dyDescent="0.25">
      <c r="Q44042" s="8"/>
    </row>
    <row r="44043" spans="17:17" x14ac:dyDescent="0.25">
      <c r="Q44043" s="8"/>
    </row>
    <row r="44044" spans="17:17" x14ac:dyDescent="0.25">
      <c r="Q44044" s="8"/>
    </row>
    <row r="44045" spans="17:17" x14ac:dyDescent="0.25">
      <c r="Q44045" s="8"/>
    </row>
    <row r="44046" spans="17:17" x14ac:dyDescent="0.25">
      <c r="Q44046" s="8"/>
    </row>
    <row r="44047" spans="17:17" x14ac:dyDescent="0.25">
      <c r="Q44047" s="8"/>
    </row>
    <row r="44048" spans="17:17" x14ac:dyDescent="0.25">
      <c r="Q44048" s="8"/>
    </row>
    <row r="44049" spans="17:17" x14ac:dyDescent="0.25">
      <c r="Q44049" s="8"/>
    </row>
    <row r="44050" spans="17:17" x14ac:dyDescent="0.25">
      <c r="Q44050" s="8"/>
    </row>
    <row r="44051" spans="17:17" x14ac:dyDescent="0.25">
      <c r="Q44051" s="8"/>
    </row>
    <row r="44052" spans="17:17" x14ac:dyDescent="0.25">
      <c r="Q44052" s="8"/>
    </row>
    <row r="44053" spans="17:17" x14ac:dyDescent="0.25">
      <c r="Q44053" s="8"/>
    </row>
    <row r="44054" spans="17:17" x14ac:dyDescent="0.25">
      <c r="Q44054" s="8"/>
    </row>
    <row r="44055" spans="17:17" x14ac:dyDescent="0.25">
      <c r="Q44055" s="8"/>
    </row>
    <row r="44056" spans="17:17" x14ac:dyDescent="0.25">
      <c r="Q44056" s="8"/>
    </row>
    <row r="44057" spans="17:17" x14ac:dyDescent="0.25">
      <c r="Q44057" s="8"/>
    </row>
    <row r="44058" spans="17:17" x14ac:dyDescent="0.25">
      <c r="Q44058" s="8"/>
    </row>
    <row r="44059" spans="17:17" x14ac:dyDescent="0.25">
      <c r="Q44059" s="8"/>
    </row>
    <row r="44060" spans="17:17" x14ac:dyDescent="0.25">
      <c r="Q44060" s="8"/>
    </row>
    <row r="44061" spans="17:17" x14ac:dyDescent="0.25">
      <c r="Q44061" s="8"/>
    </row>
    <row r="44062" spans="17:17" x14ac:dyDescent="0.25">
      <c r="Q44062" s="8"/>
    </row>
    <row r="44063" spans="17:17" x14ac:dyDescent="0.25">
      <c r="Q44063" s="8"/>
    </row>
    <row r="44064" spans="17:17" x14ac:dyDescent="0.25">
      <c r="Q44064" s="8"/>
    </row>
    <row r="44065" spans="17:17" x14ac:dyDescent="0.25">
      <c r="Q44065" s="8"/>
    </row>
    <row r="44066" spans="17:17" x14ac:dyDescent="0.25">
      <c r="Q44066" s="8"/>
    </row>
    <row r="44067" spans="17:17" x14ac:dyDescent="0.25">
      <c r="Q44067" s="8"/>
    </row>
    <row r="44068" spans="17:17" x14ac:dyDescent="0.25">
      <c r="Q44068" s="8"/>
    </row>
    <row r="44069" spans="17:17" x14ac:dyDescent="0.25">
      <c r="Q44069" s="8"/>
    </row>
    <row r="44070" spans="17:17" x14ac:dyDescent="0.25">
      <c r="Q44070" s="8"/>
    </row>
    <row r="44071" spans="17:17" x14ac:dyDescent="0.25">
      <c r="Q44071" s="8"/>
    </row>
    <row r="44072" spans="17:17" x14ac:dyDescent="0.25">
      <c r="Q44072" s="8"/>
    </row>
    <row r="44073" spans="17:17" x14ac:dyDescent="0.25">
      <c r="Q44073" s="8"/>
    </row>
    <row r="44074" spans="17:17" x14ac:dyDescent="0.25">
      <c r="Q44074" s="8"/>
    </row>
    <row r="44075" spans="17:17" x14ac:dyDescent="0.25">
      <c r="Q44075" s="8"/>
    </row>
    <row r="44076" spans="17:17" x14ac:dyDescent="0.25">
      <c r="Q44076" s="8"/>
    </row>
    <row r="44077" spans="17:17" x14ac:dyDescent="0.25">
      <c r="Q44077" s="8"/>
    </row>
    <row r="44078" spans="17:17" x14ac:dyDescent="0.25">
      <c r="Q44078" s="8"/>
    </row>
    <row r="44079" spans="17:17" x14ac:dyDescent="0.25">
      <c r="Q44079" s="8"/>
    </row>
    <row r="44080" spans="17:17" x14ac:dyDescent="0.25">
      <c r="Q44080" s="8"/>
    </row>
    <row r="44081" spans="17:17" x14ac:dyDescent="0.25">
      <c r="Q44081" s="8"/>
    </row>
    <row r="44082" spans="17:17" x14ac:dyDescent="0.25">
      <c r="Q44082" s="8"/>
    </row>
    <row r="44083" spans="17:17" x14ac:dyDescent="0.25">
      <c r="Q44083" s="8"/>
    </row>
    <row r="44084" spans="17:17" x14ac:dyDescent="0.25">
      <c r="Q44084" s="8"/>
    </row>
    <row r="44085" spans="17:17" x14ac:dyDescent="0.25">
      <c r="Q44085" s="8"/>
    </row>
    <row r="44086" spans="17:17" x14ac:dyDescent="0.25">
      <c r="Q44086" s="8"/>
    </row>
    <row r="44087" spans="17:17" x14ac:dyDescent="0.25">
      <c r="Q44087" s="8"/>
    </row>
    <row r="44088" spans="17:17" x14ac:dyDescent="0.25">
      <c r="Q44088" s="8"/>
    </row>
    <row r="44089" spans="17:17" x14ac:dyDescent="0.25">
      <c r="Q44089" s="8"/>
    </row>
    <row r="44090" spans="17:17" x14ac:dyDescent="0.25">
      <c r="Q44090" s="8"/>
    </row>
    <row r="44091" spans="17:17" x14ac:dyDescent="0.25">
      <c r="Q44091" s="8"/>
    </row>
    <row r="44092" spans="17:17" x14ac:dyDescent="0.25">
      <c r="Q44092" s="8"/>
    </row>
    <row r="44093" spans="17:17" x14ac:dyDescent="0.25">
      <c r="Q44093" s="8"/>
    </row>
    <row r="44094" spans="17:17" x14ac:dyDescent="0.25">
      <c r="Q44094" s="8"/>
    </row>
    <row r="44095" spans="17:17" x14ac:dyDescent="0.25">
      <c r="Q44095" s="8"/>
    </row>
    <row r="44096" spans="17:17" x14ac:dyDescent="0.25">
      <c r="Q44096" s="8"/>
    </row>
    <row r="44097" spans="17:17" x14ac:dyDescent="0.25">
      <c r="Q44097" s="8"/>
    </row>
    <row r="44098" spans="17:17" x14ac:dyDescent="0.25">
      <c r="Q44098" s="8"/>
    </row>
    <row r="44099" spans="17:17" x14ac:dyDescent="0.25">
      <c r="Q44099" s="8"/>
    </row>
    <row r="44100" spans="17:17" x14ac:dyDescent="0.25">
      <c r="Q44100" s="8"/>
    </row>
    <row r="44101" spans="17:17" x14ac:dyDescent="0.25">
      <c r="Q44101" s="8"/>
    </row>
    <row r="44102" spans="17:17" x14ac:dyDescent="0.25">
      <c r="Q44102" s="8"/>
    </row>
    <row r="44103" spans="17:17" x14ac:dyDescent="0.25">
      <c r="Q44103" s="8"/>
    </row>
    <row r="44104" spans="17:17" x14ac:dyDescent="0.25">
      <c r="Q44104" s="8"/>
    </row>
    <row r="44105" spans="17:17" x14ac:dyDescent="0.25">
      <c r="Q44105" s="8"/>
    </row>
    <row r="44106" spans="17:17" x14ac:dyDescent="0.25">
      <c r="Q44106" s="8"/>
    </row>
    <row r="44107" spans="17:17" x14ac:dyDescent="0.25">
      <c r="Q44107" s="8"/>
    </row>
    <row r="44108" spans="17:17" x14ac:dyDescent="0.25">
      <c r="Q44108" s="8"/>
    </row>
    <row r="44109" spans="17:17" x14ac:dyDescent="0.25">
      <c r="Q44109" s="8"/>
    </row>
    <row r="44110" spans="17:17" x14ac:dyDescent="0.25">
      <c r="Q44110" s="8"/>
    </row>
    <row r="44111" spans="17:17" x14ac:dyDescent="0.25">
      <c r="Q44111" s="8"/>
    </row>
    <row r="44112" spans="17:17" x14ac:dyDescent="0.25">
      <c r="Q44112" s="8"/>
    </row>
    <row r="44113" spans="17:17" x14ac:dyDescent="0.25">
      <c r="Q44113" s="8"/>
    </row>
    <row r="44114" spans="17:17" x14ac:dyDescent="0.25">
      <c r="Q44114" s="8"/>
    </row>
    <row r="44115" spans="17:17" x14ac:dyDescent="0.25">
      <c r="Q44115" s="8"/>
    </row>
    <row r="44116" spans="17:17" x14ac:dyDescent="0.25">
      <c r="Q44116" s="8"/>
    </row>
    <row r="44117" spans="17:17" x14ac:dyDescent="0.25">
      <c r="Q44117" s="8"/>
    </row>
    <row r="44118" spans="17:17" x14ac:dyDescent="0.25">
      <c r="Q44118" s="8"/>
    </row>
    <row r="44119" spans="17:17" x14ac:dyDescent="0.25">
      <c r="Q44119" s="8"/>
    </row>
    <row r="44120" spans="17:17" x14ac:dyDescent="0.25">
      <c r="Q44120" s="8"/>
    </row>
    <row r="44121" spans="17:17" x14ac:dyDescent="0.25">
      <c r="Q44121" s="8"/>
    </row>
    <row r="44122" spans="17:17" x14ac:dyDescent="0.25">
      <c r="Q44122" s="8"/>
    </row>
    <row r="44123" spans="17:17" x14ac:dyDescent="0.25">
      <c r="Q44123" s="8"/>
    </row>
    <row r="44124" spans="17:17" x14ac:dyDescent="0.25">
      <c r="Q44124" s="8"/>
    </row>
    <row r="44125" spans="17:17" x14ac:dyDescent="0.25">
      <c r="Q44125" s="8"/>
    </row>
    <row r="44126" spans="17:17" x14ac:dyDescent="0.25">
      <c r="Q44126" s="8"/>
    </row>
    <row r="44127" spans="17:17" x14ac:dyDescent="0.25">
      <c r="Q44127" s="8"/>
    </row>
    <row r="44128" spans="17:17" x14ac:dyDescent="0.25">
      <c r="Q44128" s="8"/>
    </row>
    <row r="44129" spans="17:17" x14ac:dyDescent="0.25">
      <c r="Q44129" s="8"/>
    </row>
    <row r="44130" spans="17:17" x14ac:dyDescent="0.25">
      <c r="Q44130" s="8"/>
    </row>
    <row r="44131" spans="17:17" x14ac:dyDescent="0.25">
      <c r="Q44131" s="8"/>
    </row>
    <row r="44132" spans="17:17" x14ac:dyDescent="0.25">
      <c r="Q44132" s="8"/>
    </row>
    <row r="44133" spans="17:17" x14ac:dyDescent="0.25">
      <c r="Q44133" s="8"/>
    </row>
    <row r="44134" spans="17:17" x14ac:dyDescent="0.25">
      <c r="Q44134" s="8"/>
    </row>
    <row r="44135" spans="17:17" x14ac:dyDescent="0.25">
      <c r="Q44135" s="8"/>
    </row>
    <row r="44136" spans="17:17" x14ac:dyDescent="0.25">
      <c r="Q44136" s="8"/>
    </row>
    <row r="44137" spans="17:17" x14ac:dyDescent="0.25">
      <c r="Q44137" s="8"/>
    </row>
    <row r="44138" spans="17:17" x14ac:dyDescent="0.25">
      <c r="Q44138" s="8"/>
    </row>
    <row r="44139" spans="17:17" x14ac:dyDescent="0.25">
      <c r="Q44139" s="8"/>
    </row>
    <row r="44140" spans="17:17" x14ac:dyDescent="0.25">
      <c r="Q44140" s="8"/>
    </row>
    <row r="44141" spans="17:17" x14ac:dyDescent="0.25">
      <c r="Q44141" s="8"/>
    </row>
    <row r="44142" spans="17:17" x14ac:dyDescent="0.25">
      <c r="Q44142" s="8"/>
    </row>
    <row r="44143" spans="17:17" x14ac:dyDescent="0.25">
      <c r="Q44143" s="8"/>
    </row>
    <row r="44144" spans="17:17" x14ac:dyDescent="0.25">
      <c r="Q44144" s="8"/>
    </row>
    <row r="44145" spans="17:17" x14ac:dyDescent="0.25">
      <c r="Q44145" s="8"/>
    </row>
    <row r="44146" spans="17:17" x14ac:dyDescent="0.25">
      <c r="Q44146" s="8"/>
    </row>
    <row r="44147" spans="17:17" x14ac:dyDescent="0.25">
      <c r="Q44147" s="8"/>
    </row>
    <row r="44148" spans="17:17" x14ac:dyDescent="0.25">
      <c r="Q44148" s="8"/>
    </row>
    <row r="44149" spans="17:17" x14ac:dyDescent="0.25">
      <c r="Q44149" s="8"/>
    </row>
    <row r="44150" spans="17:17" x14ac:dyDescent="0.25">
      <c r="Q44150" s="8"/>
    </row>
    <row r="44151" spans="17:17" x14ac:dyDescent="0.25">
      <c r="Q44151" s="8"/>
    </row>
    <row r="44152" spans="17:17" x14ac:dyDescent="0.25">
      <c r="Q44152" s="8"/>
    </row>
    <row r="44153" spans="17:17" x14ac:dyDescent="0.25">
      <c r="Q44153" s="8"/>
    </row>
    <row r="44154" spans="17:17" x14ac:dyDescent="0.25">
      <c r="Q44154" s="8"/>
    </row>
    <row r="44155" spans="17:17" x14ac:dyDescent="0.25">
      <c r="Q44155" s="8"/>
    </row>
    <row r="44156" spans="17:17" x14ac:dyDescent="0.25">
      <c r="Q44156" s="8"/>
    </row>
    <row r="44157" spans="17:17" x14ac:dyDescent="0.25">
      <c r="Q44157" s="8"/>
    </row>
    <row r="44158" spans="17:17" x14ac:dyDescent="0.25">
      <c r="Q44158" s="8"/>
    </row>
    <row r="44159" spans="17:17" x14ac:dyDescent="0.25">
      <c r="Q44159" s="8"/>
    </row>
    <row r="44160" spans="17:17" x14ac:dyDescent="0.25">
      <c r="Q44160" s="8"/>
    </row>
    <row r="44161" spans="17:17" x14ac:dyDescent="0.25">
      <c r="Q44161" s="8"/>
    </row>
    <row r="44162" spans="17:17" x14ac:dyDescent="0.25">
      <c r="Q44162" s="8"/>
    </row>
    <row r="44163" spans="17:17" x14ac:dyDescent="0.25">
      <c r="Q44163" s="8"/>
    </row>
    <row r="44164" spans="17:17" x14ac:dyDescent="0.25">
      <c r="Q44164" s="8"/>
    </row>
    <row r="44165" spans="17:17" x14ac:dyDescent="0.25">
      <c r="Q44165" s="8"/>
    </row>
    <row r="44166" spans="17:17" x14ac:dyDescent="0.25">
      <c r="Q44166" s="8"/>
    </row>
    <row r="44167" spans="17:17" x14ac:dyDescent="0.25">
      <c r="Q44167" s="8"/>
    </row>
    <row r="44168" spans="17:17" x14ac:dyDescent="0.25">
      <c r="Q44168" s="8"/>
    </row>
    <row r="44169" spans="17:17" x14ac:dyDescent="0.25">
      <c r="Q44169" s="8"/>
    </row>
    <row r="44170" spans="17:17" x14ac:dyDescent="0.25">
      <c r="Q44170" s="8"/>
    </row>
    <row r="44171" spans="17:17" x14ac:dyDescent="0.25">
      <c r="Q44171" s="8"/>
    </row>
    <row r="44172" spans="17:17" x14ac:dyDescent="0.25">
      <c r="Q44172" s="8"/>
    </row>
    <row r="44173" spans="17:17" x14ac:dyDescent="0.25">
      <c r="Q44173" s="8"/>
    </row>
    <row r="44174" spans="17:17" x14ac:dyDescent="0.25">
      <c r="Q44174" s="8"/>
    </row>
    <row r="44175" spans="17:17" x14ac:dyDescent="0.25">
      <c r="Q44175" s="8"/>
    </row>
    <row r="44176" spans="17:17" x14ac:dyDescent="0.25">
      <c r="Q44176" s="8"/>
    </row>
    <row r="44177" spans="17:17" x14ac:dyDescent="0.25">
      <c r="Q44177" s="8"/>
    </row>
    <row r="44178" spans="17:17" x14ac:dyDescent="0.25">
      <c r="Q44178" s="8"/>
    </row>
    <row r="44179" spans="17:17" x14ac:dyDescent="0.25">
      <c r="Q44179" s="8"/>
    </row>
    <row r="44180" spans="17:17" x14ac:dyDescent="0.25">
      <c r="Q44180" s="8"/>
    </row>
    <row r="44181" spans="17:17" x14ac:dyDescent="0.25">
      <c r="Q44181" s="8"/>
    </row>
    <row r="44182" spans="17:17" x14ac:dyDescent="0.25">
      <c r="Q44182" s="8"/>
    </row>
    <row r="44183" spans="17:17" x14ac:dyDescent="0.25">
      <c r="Q44183" s="8"/>
    </row>
    <row r="44184" spans="17:17" x14ac:dyDescent="0.25">
      <c r="Q44184" s="8"/>
    </row>
    <row r="44185" spans="17:17" x14ac:dyDescent="0.25">
      <c r="Q44185" s="8"/>
    </row>
    <row r="44186" spans="17:17" x14ac:dyDescent="0.25">
      <c r="Q44186" s="8"/>
    </row>
    <row r="44187" spans="17:17" x14ac:dyDescent="0.25">
      <c r="Q44187" s="8"/>
    </row>
    <row r="44188" spans="17:17" x14ac:dyDescent="0.25">
      <c r="Q44188" s="8"/>
    </row>
    <row r="44189" spans="17:17" x14ac:dyDescent="0.25">
      <c r="Q44189" s="8"/>
    </row>
    <row r="44190" spans="17:17" x14ac:dyDescent="0.25">
      <c r="Q44190" s="8"/>
    </row>
    <row r="44191" spans="17:17" x14ac:dyDescent="0.25">
      <c r="Q44191" s="8"/>
    </row>
    <row r="44192" spans="17:17" x14ac:dyDescent="0.25">
      <c r="Q44192" s="8"/>
    </row>
    <row r="44193" spans="17:17" x14ac:dyDescent="0.25">
      <c r="Q44193" s="8"/>
    </row>
    <row r="44194" spans="17:17" x14ac:dyDescent="0.25">
      <c r="Q44194" s="8"/>
    </row>
    <row r="44195" spans="17:17" x14ac:dyDescent="0.25">
      <c r="Q44195" s="8"/>
    </row>
    <row r="44196" spans="17:17" x14ac:dyDescent="0.25">
      <c r="Q44196" s="8"/>
    </row>
    <row r="44197" spans="17:17" x14ac:dyDescent="0.25">
      <c r="Q44197" s="8"/>
    </row>
    <row r="44198" spans="17:17" x14ac:dyDescent="0.25">
      <c r="Q44198" s="8"/>
    </row>
    <row r="44199" spans="17:17" x14ac:dyDescent="0.25">
      <c r="Q44199" s="8"/>
    </row>
    <row r="44200" spans="17:17" x14ac:dyDescent="0.25">
      <c r="Q44200" s="8"/>
    </row>
    <row r="44201" spans="17:17" x14ac:dyDescent="0.25">
      <c r="Q44201" s="8"/>
    </row>
    <row r="44202" spans="17:17" x14ac:dyDescent="0.25">
      <c r="Q44202" s="8"/>
    </row>
    <row r="44203" spans="17:17" x14ac:dyDescent="0.25">
      <c r="Q44203" s="8"/>
    </row>
    <row r="44204" spans="17:17" x14ac:dyDescent="0.25">
      <c r="Q44204" s="8"/>
    </row>
    <row r="44205" spans="17:17" x14ac:dyDescent="0.25">
      <c r="Q44205" s="8"/>
    </row>
    <row r="44206" spans="17:17" x14ac:dyDescent="0.25">
      <c r="Q44206" s="8"/>
    </row>
    <row r="44207" spans="17:17" x14ac:dyDescent="0.25">
      <c r="Q44207" s="8"/>
    </row>
    <row r="44208" spans="17:17" x14ac:dyDescent="0.25">
      <c r="Q44208" s="8"/>
    </row>
    <row r="44209" spans="17:17" x14ac:dyDescent="0.25">
      <c r="Q44209" s="8"/>
    </row>
    <row r="44210" spans="17:17" x14ac:dyDescent="0.25">
      <c r="Q44210" s="8"/>
    </row>
    <row r="44211" spans="17:17" x14ac:dyDescent="0.25">
      <c r="Q44211" s="8"/>
    </row>
    <row r="44212" spans="17:17" x14ac:dyDescent="0.25">
      <c r="Q44212" s="8"/>
    </row>
    <row r="44213" spans="17:17" x14ac:dyDescent="0.25">
      <c r="Q44213" s="8"/>
    </row>
    <row r="44214" spans="17:17" x14ac:dyDescent="0.25">
      <c r="Q44214" s="8"/>
    </row>
    <row r="44215" spans="17:17" x14ac:dyDescent="0.25">
      <c r="Q44215" s="8"/>
    </row>
    <row r="44216" spans="17:17" x14ac:dyDescent="0.25">
      <c r="Q44216" s="8"/>
    </row>
    <row r="44217" spans="17:17" x14ac:dyDescent="0.25">
      <c r="Q44217" s="8"/>
    </row>
    <row r="44218" spans="17:17" x14ac:dyDescent="0.25">
      <c r="Q44218" s="8"/>
    </row>
    <row r="44219" spans="17:17" x14ac:dyDescent="0.25">
      <c r="Q44219" s="8"/>
    </row>
    <row r="44220" spans="17:17" x14ac:dyDescent="0.25">
      <c r="Q44220" s="8"/>
    </row>
    <row r="44221" spans="17:17" x14ac:dyDescent="0.25">
      <c r="Q44221" s="8"/>
    </row>
    <row r="44222" spans="17:17" x14ac:dyDescent="0.25">
      <c r="Q44222" s="8"/>
    </row>
    <row r="44223" spans="17:17" x14ac:dyDescent="0.25">
      <c r="Q44223" s="8"/>
    </row>
    <row r="44224" spans="17:17" x14ac:dyDescent="0.25">
      <c r="Q44224" s="8"/>
    </row>
    <row r="44225" spans="17:17" x14ac:dyDescent="0.25">
      <c r="Q44225" s="8"/>
    </row>
    <row r="44226" spans="17:17" x14ac:dyDescent="0.25">
      <c r="Q44226" s="8"/>
    </row>
    <row r="44227" spans="17:17" x14ac:dyDescent="0.25">
      <c r="Q44227" s="8"/>
    </row>
    <row r="44228" spans="17:17" x14ac:dyDescent="0.25">
      <c r="Q44228" s="8"/>
    </row>
    <row r="44229" spans="17:17" x14ac:dyDescent="0.25">
      <c r="Q44229" s="8"/>
    </row>
    <row r="44230" spans="17:17" x14ac:dyDescent="0.25">
      <c r="Q44230" s="8"/>
    </row>
    <row r="44231" spans="17:17" x14ac:dyDescent="0.25">
      <c r="Q44231" s="8"/>
    </row>
    <row r="44232" spans="17:17" x14ac:dyDescent="0.25">
      <c r="Q44232" s="8"/>
    </row>
    <row r="44233" spans="17:17" x14ac:dyDescent="0.25">
      <c r="Q44233" s="8"/>
    </row>
    <row r="44234" spans="17:17" x14ac:dyDescent="0.25">
      <c r="Q44234" s="8"/>
    </row>
    <row r="44235" spans="17:17" x14ac:dyDescent="0.25">
      <c r="Q44235" s="8"/>
    </row>
    <row r="44236" spans="17:17" x14ac:dyDescent="0.25">
      <c r="Q44236" s="8"/>
    </row>
    <row r="44237" spans="17:17" x14ac:dyDescent="0.25">
      <c r="Q44237" s="8"/>
    </row>
    <row r="44238" spans="17:17" x14ac:dyDescent="0.25">
      <c r="Q44238" s="8"/>
    </row>
    <row r="44239" spans="17:17" x14ac:dyDescent="0.25">
      <c r="Q44239" s="8"/>
    </row>
    <row r="44240" spans="17:17" x14ac:dyDescent="0.25">
      <c r="Q44240" s="8"/>
    </row>
    <row r="44241" spans="17:17" x14ac:dyDescent="0.25">
      <c r="Q44241" s="8"/>
    </row>
    <row r="44242" spans="17:17" x14ac:dyDescent="0.25">
      <c r="Q44242" s="8"/>
    </row>
    <row r="44243" spans="17:17" x14ac:dyDescent="0.25">
      <c r="Q44243" s="8"/>
    </row>
    <row r="44244" spans="17:17" x14ac:dyDescent="0.25">
      <c r="Q44244" s="8"/>
    </row>
    <row r="44245" spans="17:17" x14ac:dyDescent="0.25">
      <c r="Q44245" s="8"/>
    </row>
    <row r="44246" spans="17:17" x14ac:dyDescent="0.25">
      <c r="Q44246" s="8"/>
    </row>
    <row r="44247" spans="17:17" x14ac:dyDescent="0.25">
      <c r="Q44247" s="8"/>
    </row>
    <row r="44248" spans="17:17" x14ac:dyDescent="0.25">
      <c r="Q44248" s="8"/>
    </row>
    <row r="44249" spans="17:17" x14ac:dyDescent="0.25">
      <c r="Q44249" s="8"/>
    </row>
    <row r="44250" spans="17:17" x14ac:dyDescent="0.25">
      <c r="Q44250" s="8"/>
    </row>
    <row r="44251" spans="17:17" x14ac:dyDescent="0.25">
      <c r="Q44251" s="8"/>
    </row>
    <row r="44252" spans="17:17" x14ac:dyDescent="0.25">
      <c r="Q44252" s="8"/>
    </row>
    <row r="44253" spans="17:17" x14ac:dyDescent="0.25">
      <c r="Q44253" s="8"/>
    </row>
    <row r="44254" spans="17:17" x14ac:dyDescent="0.25">
      <c r="Q44254" s="8"/>
    </row>
    <row r="44255" spans="17:17" x14ac:dyDescent="0.25">
      <c r="Q44255" s="8"/>
    </row>
    <row r="44256" spans="17:17" x14ac:dyDescent="0.25">
      <c r="Q44256" s="8"/>
    </row>
    <row r="44257" spans="17:17" x14ac:dyDescent="0.25">
      <c r="Q44257" s="8"/>
    </row>
    <row r="44258" spans="17:17" x14ac:dyDescent="0.25">
      <c r="Q44258" s="8"/>
    </row>
    <row r="44259" spans="17:17" x14ac:dyDescent="0.25">
      <c r="Q44259" s="8"/>
    </row>
    <row r="44260" spans="17:17" x14ac:dyDescent="0.25">
      <c r="Q44260" s="8"/>
    </row>
    <row r="44261" spans="17:17" x14ac:dyDescent="0.25">
      <c r="Q44261" s="8"/>
    </row>
    <row r="44262" spans="17:17" x14ac:dyDescent="0.25">
      <c r="Q44262" s="8"/>
    </row>
    <row r="44263" spans="17:17" x14ac:dyDescent="0.25">
      <c r="Q44263" s="8"/>
    </row>
    <row r="44264" spans="17:17" x14ac:dyDescent="0.25">
      <c r="Q44264" s="8"/>
    </row>
    <row r="44265" spans="17:17" x14ac:dyDescent="0.25">
      <c r="Q44265" s="8"/>
    </row>
    <row r="44266" spans="17:17" x14ac:dyDescent="0.25">
      <c r="Q44266" s="8"/>
    </row>
    <row r="44267" spans="17:17" x14ac:dyDescent="0.25">
      <c r="Q44267" s="8"/>
    </row>
    <row r="44268" spans="17:17" x14ac:dyDescent="0.25">
      <c r="Q44268" s="8"/>
    </row>
    <row r="44269" spans="17:17" x14ac:dyDescent="0.25">
      <c r="Q44269" s="8"/>
    </row>
    <row r="44270" spans="17:17" x14ac:dyDescent="0.25">
      <c r="Q44270" s="8"/>
    </row>
    <row r="44271" spans="17:17" x14ac:dyDescent="0.25">
      <c r="Q44271" s="8"/>
    </row>
    <row r="44272" spans="17:17" x14ac:dyDescent="0.25">
      <c r="Q44272" s="8"/>
    </row>
    <row r="44273" spans="17:17" x14ac:dyDescent="0.25">
      <c r="Q44273" s="8"/>
    </row>
    <row r="44274" spans="17:17" x14ac:dyDescent="0.25">
      <c r="Q44274" s="8"/>
    </row>
    <row r="44275" spans="17:17" x14ac:dyDescent="0.25">
      <c r="Q44275" s="8"/>
    </row>
    <row r="44276" spans="17:17" x14ac:dyDescent="0.25">
      <c r="Q44276" s="8"/>
    </row>
    <row r="44277" spans="17:17" x14ac:dyDescent="0.25">
      <c r="Q44277" s="8"/>
    </row>
    <row r="44278" spans="17:17" x14ac:dyDescent="0.25">
      <c r="Q44278" s="8"/>
    </row>
    <row r="44279" spans="17:17" x14ac:dyDescent="0.25">
      <c r="Q44279" s="8"/>
    </row>
    <row r="44280" spans="17:17" x14ac:dyDescent="0.25">
      <c r="Q44280" s="8"/>
    </row>
    <row r="44281" spans="17:17" x14ac:dyDescent="0.25">
      <c r="Q44281" s="8"/>
    </row>
    <row r="44282" spans="17:17" x14ac:dyDescent="0.25">
      <c r="Q44282" s="8"/>
    </row>
    <row r="44283" spans="17:17" x14ac:dyDescent="0.25">
      <c r="Q44283" s="8"/>
    </row>
    <row r="44284" spans="17:17" x14ac:dyDescent="0.25">
      <c r="Q44284" s="8"/>
    </row>
    <row r="44285" spans="17:17" x14ac:dyDescent="0.25">
      <c r="Q44285" s="8"/>
    </row>
    <row r="44286" spans="17:17" x14ac:dyDescent="0.25">
      <c r="Q44286" s="8"/>
    </row>
    <row r="44287" spans="17:17" x14ac:dyDescent="0.25">
      <c r="Q44287" s="8"/>
    </row>
    <row r="44288" spans="17:17" x14ac:dyDescent="0.25">
      <c r="Q44288" s="8"/>
    </row>
    <row r="44289" spans="17:17" x14ac:dyDescent="0.25">
      <c r="Q44289" s="8"/>
    </row>
    <row r="44290" spans="17:17" x14ac:dyDescent="0.25">
      <c r="Q44290" s="8"/>
    </row>
    <row r="44291" spans="17:17" x14ac:dyDescent="0.25">
      <c r="Q44291" s="8"/>
    </row>
    <row r="44292" spans="17:17" x14ac:dyDescent="0.25">
      <c r="Q44292" s="8"/>
    </row>
    <row r="44293" spans="17:17" x14ac:dyDescent="0.25">
      <c r="Q44293" s="8"/>
    </row>
    <row r="44294" spans="17:17" x14ac:dyDescent="0.25">
      <c r="Q44294" s="8"/>
    </row>
    <row r="44295" spans="17:17" x14ac:dyDescent="0.25">
      <c r="Q44295" s="8"/>
    </row>
    <row r="44296" spans="17:17" x14ac:dyDescent="0.25">
      <c r="Q44296" s="8"/>
    </row>
    <row r="44297" spans="17:17" x14ac:dyDescent="0.25">
      <c r="Q44297" s="8"/>
    </row>
    <row r="44298" spans="17:17" x14ac:dyDescent="0.25">
      <c r="Q44298" s="8"/>
    </row>
    <row r="44299" spans="17:17" x14ac:dyDescent="0.25">
      <c r="Q44299" s="8"/>
    </row>
    <row r="44300" spans="17:17" x14ac:dyDescent="0.25">
      <c r="Q44300" s="8"/>
    </row>
    <row r="44301" spans="17:17" x14ac:dyDescent="0.25">
      <c r="Q44301" s="8"/>
    </row>
    <row r="44302" spans="17:17" x14ac:dyDescent="0.25">
      <c r="Q44302" s="8"/>
    </row>
    <row r="44303" spans="17:17" x14ac:dyDescent="0.25">
      <c r="Q44303" s="8"/>
    </row>
    <row r="44304" spans="17:17" x14ac:dyDescent="0.25">
      <c r="Q44304" s="8"/>
    </row>
    <row r="44305" spans="17:17" x14ac:dyDescent="0.25">
      <c r="Q44305" s="8"/>
    </row>
    <row r="44306" spans="17:17" x14ac:dyDescent="0.25">
      <c r="Q44306" s="8"/>
    </row>
    <row r="44307" spans="17:17" x14ac:dyDescent="0.25">
      <c r="Q44307" s="8"/>
    </row>
    <row r="44308" spans="17:17" x14ac:dyDescent="0.25">
      <c r="Q44308" s="8"/>
    </row>
    <row r="44309" spans="17:17" x14ac:dyDescent="0.25">
      <c r="Q44309" s="8"/>
    </row>
    <row r="44310" spans="17:17" x14ac:dyDescent="0.25">
      <c r="Q44310" s="8"/>
    </row>
    <row r="44311" spans="17:17" x14ac:dyDescent="0.25">
      <c r="Q44311" s="8"/>
    </row>
    <row r="44312" spans="17:17" x14ac:dyDescent="0.25">
      <c r="Q44312" s="8"/>
    </row>
    <row r="44313" spans="17:17" x14ac:dyDescent="0.25">
      <c r="Q44313" s="8"/>
    </row>
    <row r="44314" spans="17:17" x14ac:dyDescent="0.25">
      <c r="Q44314" s="8"/>
    </row>
    <row r="44315" spans="17:17" x14ac:dyDescent="0.25">
      <c r="Q44315" s="8"/>
    </row>
    <row r="44316" spans="17:17" x14ac:dyDescent="0.25">
      <c r="Q44316" s="8"/>
    </row>
    <row r="44317" spans="17:17" x14ac:dyDescent="0.25">
      <c r="Q44317" s="8"/>
    </row>
    <row r="44318" spans="17:17" x14ac:dyDescent="0.25">
      <c r="Q44318" s="8"/>
    </row>
    <row r="44319" spans="17:17" x14ac:dyDescent="0.25">
      <c r="Q44319" s="8"/>
    </row>
    <row r="44320" spans="17:17" x14ac:dyDescent="0.25">
      <c r="Q44320" s="8"/>
    </row>
    <row r="44321" spans="17:17" x14ac:dyDescent="0.25">
      <c r="Q44321" s="8"/>
    </row>
    <row r="44322" spans="17:17" x14ac:dyDescent="0.25">
      <c r="Q44322" s="8"/>
    </row>
    <row r="44323" spans="17:17" x14ac:dyDescent="0.25">
      <c r="Q44323" s="8"/>
    </row>
    <row r="44324" spans="17:17" x14ac:dyDescent="0.25">
      <c r="Q44324" s="8"/>
    </row>
    <row r="44325" spans="17:17" x14ac:dyDescent="0.25">
      <c r="Q44325" s="8"/>
    </row>
    <row r="44326" spans="17:17" x14ac:dyDescent="0.25">
      <c r="Q44326" s="8"/>
    </row>
    <row r="44327" spans="17:17" x14ac:dyDescent="0.25">
      <c r="Q44327" s="8"/>
    </row>
    <row r="44328" spans="17:17" x14ac:dyDescent="0.25">
      <c r="Q44328" s="8"/>
    </row>
    <row r="44329" spans="17:17" x14ac:dyDescent="0.25">
      <c r="Q44329" s="8"/>
    </row>
    <row r="44330" spans="17:17" x14ac:dyDescent="0.25">
      <c r="Q44330" s="8"/>
    </row>
    <row r="44331" spans="17:17" x14ac:dyDescent="0.25">
      <c r="Q44331" s="8"/>
    </row>
    <row r="44332" spans="17:17" x14ac:dyDescent="0.25">
      <c r="Q44332" s="8"/>
    </row>
    <row r="44333" spans="17:17" x14ac:dyDescent="0.25">
      <c r="Q44333" s="8"/>
    </row>
    <row r="44334" spans="17:17" x14ac:dyDescent="0.25">
      <c r="Q44334" s="8"/>
    </row>
    <row r="44335" spans="17:17" x14ac:dyDescent="0.25">
      <c r="Q44335" s="8"/>
    </row>
    <row r="44336" spans="17:17" x14ac:dyDescent="0.25">
      <c r="Q44336" s="8"/>
    </row>
    <row r="44337" spans="17:17" x14ac:dyDescent="0.25">
      <c r="Q44337" s="8"/>
    </row>
    <row r="44338" spans="17:17" x14ac:dyDescent="0.25">
      <c r="Q44338" s="8"/>
    </row>
    <row r="44339" spans="17:17" x14ac:dyDescent="0.25">
      <c r="Q44339" s="8"/>
    </row>
    <row r="44340" spans="17:17" x14ac:dyDescent="0.25">
      <c r="Q44340" s="8"/>
    </row>
    <row r="44341" spans="17:17" x14ac:dyDescent="0.25">
      <c r="Q44341" s="8"/>
    </row>
    <row r="44342" spans="17:17" x14ac:dyDescent="0.25">
      <c r="Q44342" s="8"/>
    </row>
    <row r="44343" spans="17:17" x14ac:dyDescent="0.25">
      <c r="Q44343" s="8"/>
    </row>
    <row r="44344" spans="17:17" x14ac:dyDescent="0.25">
      <c r="Q44344" s="8"/>
    </row>
    <row r="44345" spans="17:17" x14ac:dyDescent="0.25">
      <c r="Q44345" s="8"/>
    </row>
    <row r="44346" spans="17:17" x14ac:dyDescent="0.25">
      <c r="Q44346" s="8"/>
    </row>
    <row r="44347" spans="17:17" x14ac:dyDescent="0.25">
      <c r="Q44347" s="8"/>
    </row>
    <row r="44348" spans="17:17" x14ac:dyDescent="0.25">
      <c r="Q44348" s="8"/>
    </row>
    <row r="44349" spans="17:17" x14ac:dyDescent="0.25">
      <c r="Q44349" s="8"/>
    </row>
    <row r="44350" spans="17:17" x14ac:dyDescent="0.25">
      <c r="Q44350" s="8"/>
    </row>
    <row r="44351" spans="17:17" x14ac:dyDescent="0.25">
      <c r="Q44351" s="8"/>
    </row>
    <row r="44352" spans="17:17" x14ac:dyDescent="0.25">
      <c r="Q44352" s="8"/>
    </row>
    <row r="44353" spans="17:17" x14ac:dyDescent="0.25">
      <c r="Q44353" s="8"/>
    </row>
    <row r="44354" spans="17:17" x14ac:dyDescent="0.25">
      <c r="Q44354" s="8"/>
    </row>
    <row r="44355" spans="17:17" x14ac:dyDescent="0.25">
      <c r="Q44355" s="8"/>
    </row>
    <row r="44356" spans="17:17" x14ac:dyDescent="0.25">
      <c r="Q44356" s="8"/>
    </row>
    <row r="44357" spans="17:17" x14ac:dyDescent="0.25">
      <c r="Q44357" s="8"/>
    </row>
    <row r="44358" spans="17:17" x14ac:dyDescent="0.25">
      <c r="Q44358" s="8"/>
    </row>
    <row r="44359" spans="17:17" x14ac:dyDescent="0.25">
      <c r="Q44359" s="8"/>
    </row>
    <row r="44360" spans="17:17" x14ac:dyDescent="0.25">
      <c r="Q44360" s="8"/>
    </row>
    <row r="44361" spans="17:17" x14ac:dyDescent="0.25">
      <c r="Q44361" s="8"/>
    </row>
    <row r="44362" spans="17:17" x14ac:dyDescent="0.25">
      <c r="Q44362" s="8"/>
    </row>
    <row r="44363" spans="17:17" x14ac:dyDescent="0.25">
      <c r="Q44363" s="8"/>
    </row>
    <row r="44364" spans="17:17" x14ac:dyDescent="0.25">
      <c r="Q44364" s="8"/>
    </row>
    <row r="44365" spans="17:17" x14ac:dyDescent="0.25">
      <c r="Q44365" s="8"/>
    </row>
    <row r="44366" spans="17:17" x14ac:dyDescent="0.25">
      <c r="Q44366" s="8"/>
    </row>
    <row r="44367" spans="17:17" x14ac:dyDescent="0.25">
      <c r="Q44367" s="8"/>
    </row>
    <row r="44368" spans="17:17" x14ac:dyDescent="0.25">
      <c r="Q44368" s="8"/>
    </row>
    <row r="44369" spans="17:17" x14ac:dyDescent="0.25">
      <c r="Q44369" s="8"/>
    </row>
    <row r="44370" spans="17:17" x14ac:dyDescent="0.25">
      <c r="Q44370" s="8"/>
    </row>
    <row r="44371" spans="17:17" x14ac:dyDescent="0.25">
      <c r="Q44371" s="8"/>
    </row>
    <row r="44372" spans="17:17" x14ac:dyDescent="0.25">
      <c r="Q44372" s="8"/>
    </row>
    <row r="44373" spans="17:17" x14ac:dyDescent="0.25">
      <c r="Q44373" s="8"/>
    </row>
    <row r="44374" spans="17:17" x14ac:dyDescent="0.25">
      <c r="Q44374" s="8"/>
    </row>
    <row r="44375" spans="17:17" x14ac:dyDescent="0.25">
      <c r="Q44375" s="8"/>
    </row>
    <row r="44376" spans="17:17" x14ac:dyDescent="0.25">
      <c r="Q44376" s="8"/>
    </row>
    <row r="44377" spans="17:17" x14ac:dyDescent="0.25">
      <c r="Q44377" s="8"/>
    </row>
    <row r="44378" spans="17:17" x14ac:dyDescent="0.25">
      <c r="Q44378" s="8"/>
    </row>
    <row r="44379" spans="17:17" x14ac:dyDescent="0.25">
      <c r="Q44379" s="8"/>
    </row>
    <row r="44380" spans="17:17" x14ac:dyDescent="0.25">
      <c r="Q44380" s="8"/>
    </row>
    <row r="44381" spans="17:17" x14ac:dyDescent="0.25">
      <c r="Q44381" s="8"/>
    </row>
    <row r="44382" spans="17:17" x14ac:dyDescent="0.25">
      <c r="Q44382" s="8"/>
    </row>
    <row r="44383" spans="17:17" x14ac:dyDescent="0.25">
      <c r="Q44383" s="8"/>
    </row>
    <row r="44384" spans="17:17" x14ac:dyDescent="0.25">
      <c r="Q44384" s="8"/>
    </row>
    <row r="44385" spans="17:17" x14ac:dyDescent="0.25">
      <c r="Q44385" s="8"/>
    </row>
    <row r="44386" spans="17:17" x14ac:dyDescent="0.25">
      <c r="Q44386" s="8"/>
    </row>
    <row r="44387" spans="17:17" x14ac:dyDescent="0.25">
      <c r="Q44387" s="8"/>
    </row>
    <row r="44388" spans="17:17" x14ac:dyDescent="0.25">
      <c r="Q44388" s="8"/>
    </row>
    <row r="44389" spans="17:17" x14ac:dyDescent="0.25">
      <c r="Q44389" s="8"/>
    </row>
    <row r="44390" spans="17:17" x14ac:dyDescent="0.25">
      <c r="Q44390" s="8"/>
    </row>
    <row r="44391" spans="17:17" x14ac:dyDescent="0.25">
      <c r="Q44391" s="8"/>
    </row>
    <row r="44392" spans="17:17" x14ac:dyDescent="0.25">
      <c r="Q44392" s="8"/>
    </row>
    <row r="44393" spans="17:17" x14ac:dyDescent="0.25">
      <c r="Q44393" s="8"/>
    </row>
    <row r="44394" spans="17:17" x14ac:dyDescent="0.25">
      <c r="Q44394" s="8"/>
    </row>
    <row r="44395" spans="17:17" x14ac:dyDescent="0.25">
      <c r="Q44395" s="8"/>
    </row>
    <row r="44396" spans="17:17" x14ac:dyDescent="0.25">
      <c r="Q44396" s="8"/>
    </row>
    <row r="44397" spans="17:17" x14ac:dyDescent="0.25">
      <c r="Q44397" s="8"/>
    </row>
    <row r="44398" spans="17:17" x14ac:dyDescent="0.25">
      <c r="Q44398" s="8"/>
    </row>
    <row r="44399" spans="17:17" x14ac:dyDescent="0.25">
      <c r="Q44399" s="8"/>
    </row>
    <row r="44400" spans="17:17" x14ac:dyDescent="0.25">
      <c r="Q44400" s="8"/>
    </row>
    <row r="44401" spans="17:17" x14ac:dyDescent="0.25">
      <c r="Q44401" s="8"/>
    </row>
    <row r="44402" spans="17:17" x14ac:dyDescent="0.25">
      <c r="Q44402" s="8"/>
    </row>
    <row r="44403" spans="17:17" x14ac:dyDescent="0.25">
      <c r="Q44403" s="8"/>
    </row>
    <row r="44404" spans="17:17" x14ac:dyDescent="0.25">
      <c r="Q44404" s="8"/>
    </row>
    <row r="44405" spans="17:17" x14ac:dyDescent="0.25">
      <c r="Q44405" s="8"/>
    </row>
    <row r="44406" spans="17:17" x14ac:dyDescent="0.25">
      <c r="Q44406" s="8"/>
    </row>
    <row r="44407" spans="17:17" x14ac:dyDescent="0.25">
      <c r="Q44407" s="8"/>
    </row>
    <row r="44408" spans="17:17" x14ac:dyDescent="0.25">
      <c r="Q44408" s="8"/>
    </row>
    <row r="44409" spans="17:17" x14ac:dyDescent="0.25">
      <c r="Q44409" s="8"/>
    </row>
    <row r="44410" spans="17:17" x14ac:dyDescent="0.25">
      <c r="Q44410" s="8"/>
    </row>
    <row r="44411" spans="17:17" x14ac:dyDescent="0.25">
      <c r="Q44411" s="8"/>
    </row>
    <row r="44412" spans="17:17" x14ac:dyDescent="0.25">
      <c r="Q44412" s="8"/>
    </row>
    <row r="44413" spans="17:17" x14ac:dyDescent="0.25">
      <c r="Q44413" s="8"/>
    </row>
    <row r="44414" spans="17:17" x14ac:dyDescent="0.25">
      <c r="Q44414" s="8"/>
    </row>
    <row r="44415" spans="17:17" x14ac:dyDescent="0.25">
      <c r="Q44415" s="8"/>
    </row>
    <row r="44416" spans="17:17" x14ac:dyDescent="0.25">
      <c r="Q44416" s="8"/>
    </row>
    <row r="44417" spans="17:17" x14ac:dyDescent="0.25">
      <c r="Q44417" s="8"/>
    </row>
    <row r="44418" spans="17:17" x14ac:dyDescent="0.25">
      <c r="Q44418" s="8"/>
    </row>
    <row r="44419" spans="17:17" x14ac:dyDescent="0.25">
      <c r="Q44419" s="8"/>
    </row>
    <row r="44420" spans="17:17" x14ac:dyDescent="0.25">
      <c r="Q44420" s="8"/>
    </row>
    <row r="44421" spans="17:17" x14ac:dyDescent="0.25">
      <c r="Q44421" s="8"/>
    </row>
    <row r="44422" spans="17:17" x14ac:dyDescent="0.25">
      <c r="Q44422" s="8"/>
    </row>
    <row r="44423" spans="17:17" x14ac:dyDescent="0.25">
      <c r="Q44423" s="8"/>
    </row>
    <row r="44424" spans="17:17" x14ac:dyDescent="0.25">
      <c r="Q44424" s="8"/>
    </row>
    <row r="44425" spans="17:17" x14ac:dyDescent="0.25">
      <c r="Q44425" s="8"/>
    </row>
    <row r="44426" spans="17:17" x14ac:dyDescent="0.25">
      <c r="Q44426" s="8"/>
    </row>
    <row r="44427" spans="17:17" x14ac:dyDescent="0.25">
      <c r="Q44427" s="8"/>
    </row>
    <row r="44428" spans="17:17" x14ac:dyDescent="0.25">
      <c r="Q44428" s="8"/>
    </row>
    <row r="44429" spans="17:17" x14ac:dyDescent="0.25">
      <c r="Q44429" s="8"/>
    </row>
    <row r="44430" spans="17:17" x14ac:dyDescent="0.25">
      <c r="Q44430" s="8"/>
    </row>
    <row r="44431" spans="17:17" x14ac:dyDescent="0.25">
      <c r="Q44431" s="8"/>
    </row>
    <row r="44432" spans="17:17" x14ac:dyDescent="0.25">
      <c r="Q44432" s="8"/>
    </row>
    <row r="44433" spans="17:17" x14ac:dyDescent="0.25">
      <c r="Q44433" s="8"/>
    </row>
    <row r="44434" spans="17:17" x14ac:dyDescent="0.25">
      <c r="Q44434" s="8"/>
    </row>
    <row r="44435" spans="17:17" x14ac:dyDescent="0.25">
      <c r="Q44435" s="8"/>
    </row>
    <row r="44436" spans="17:17" x14ac:dyDescent="0.25">
      <c r="Q44436" s="8"/>
    </row>
    <row r="44437" spans="17:17" x14ac:dyDescent="0.25">
      <c r="Q44437" s="8"/>
    </row>
    <row r="44438" spans="17:17" x14ac:dyDescent="0.25">
      <c r="Q44438" s="8"/>
    </row>
    <row r="44439" spans="17:17" x14ac:dyDescent="0.25">
      <c r="Q44439" s="8"/>
    </row>
    <row r="44440" spans="17:17" x14ac:dyDescent="0.25">
      <c r="Q44440" s="8"/>
    </row>
    <row r="44441" spans="17:17" x14ac:dyDescent="0.25">
      <c r="Q44441" s="8"/>
    </row>
    <row r="44442" spans="17:17" x14ac:dyDescent="0.25">
      <c r="Q44442" s="8"/>
    </row>
    <row r="44443" spans="17:17" x14ac:dyDescent="0.25">
      <c r="Q44443" s="8"/>
    </row>
    <row r="44444" spans="17:17" x14ac:dyDescent="0.25">
      <c r="Q44444" s="8"/>
    </row>
    <row r="44445" spans="17:17" x14ac:dyDescent="0.25">
      <c r="Q44445" s="8"/>
    </row>
    <row r="44446" spans="17:17" x14ac:dyDescent="0.25">
      <c r="Q44446" s="8"/>
    </row>
    <row r="44447" spans="17:17" x14ac:dyDescent="0.25">
      <c r="Q44447" s="8"/>
    </row>
    <row r="44448" spans="17:17" x14ac:dyDescent="0.25">
      <c r="Q44448" s="8"/>
    </row>
    <row r="44449" spans="17:17" x14ac:dyDescent="0.25">
      <c r="Q44449" s="8"/>
    </row>
    <row r="44450" spans="17:17" x14ac:dyDescent="0.25">
      <c r="Q44450" s="8"/>
    </row>
    <row r="44451" spans="17:17" x14ac:dyDescent="0.25">
      <c r="Q44451" s="8"/>
    </row>
    <row r="44452" spans="17:17" x14ac:dyDescent="0.25">
      <c r="Q44452" s="8"/>
    </row>
    <row r="44453" spans="17:17" x14ac:dyDescent="0.25">
      <c r="Q44453" s="8"/>
    </row>
    <row r="44454" spans="17:17" x14ac:dyDescent="0.25">
      <c r="Q44454" s="8"/>
    </row>
    <row r="44455" spans="17:17" x14ac:dyDescent="0.25">
      <c r="Q44455" s="8"/>
    </row>
    <row r="44456" spans="17:17" x14ac:dyDescent="0.25">
      <c r="Q44456" s="8"/>
    </row>
    <row r="44457" spans="17:17" x14ac:dyDescent="0.25">
      <c r="Q44457" s="8"/>
    </row>
    <row r="44458" spans="17:17" x14ac:dyDescent="0.25">
      <c r="Q44458" s="8"/>
    </row>
    <row r="44459" spans="17:17" x14ac:dyDescent="0.25">
      <c r="Q44459" s="8"/>
    </row>
    <row r="44460" spans="17:17" x14ac:dyDescent="0.25">
      <c r="Q44460" s="8"/>
    </row>
    <row r="44461" spans="17:17" x14ac:dyDescent="0.25">
      <c r="Q44461" s="8"/>
    </row>
    <row r="44462" spans="17:17" x14ac:dyDescent="0.25">
      <c r="Q44462" s="8"/>
    </row>
    <row r="44463" spans="17:17" x14ac:dyDescent="0.25">
      <c r="Q44463" s="8"/>
    </row>
    <row r="44464" spans="17:17" x14ac:dyDescent="0.25">
      <c r="Q44464" s="8"/>
    </row>
    <row r="44465" spans="17:17" x14ac:dyDescent="0.25">
      <c r="Q44465" s="8"/>
    </row>
    <row r="44466" spans="17:17" x14ac:dyDescent="0.25">
      <c r="Q44466" s="8"/>
    </row>
    <row r="44467" spans="17:17" x14ac:dyDescent="0.25">
      <c r="Q44467" s="8"/>
    </row>
    <row r="44468" spans="17:17" x14ac:dyDescent="0.25">
      <c r="Q44468" s="8"/>
    </row>
    <row r="44469" spans="17:17" x14ac:dyDescent="0.25">
      <c r="Q44469" s="8"/>
    </row>
    <row r="44470" spans="17:17" x14ac:dyDescent="0.25">
      <c r="Q44470" s="8"/>
    </row>
    <row r="44471" spans="17:17" x14ac:dyDescent="0.25">
      <c r="Q44471" s="8"/>
    </row>
    <row r="44472" spans="17:17" x14ac:dyDescent="0.25">
      <c r="Q44472" s="8"/>
    </row>
    <row r="44473" spans="17:17" x14ac:dyDescent="0.25">
      <c r="Q44473" s="8"/>
    </row>
    <row r="44474" spans="17:17" x14ac:dyDescent="0.25">
      <c r="Q44474" s="8"/>
    </row>
    <row r="44475" spans="17:17" x14ac:dyDescent="0.25">
      <c r="Q44475" s="8"/>
    </row>
    <row r="44476" spans="17:17" x14ac:dyDescent="0.25">
      <c r="Q44476" s="8"/>
    </row>
    <row r="44477" spans="17:17" x14ac:dyDescent="0.25">
      <c r="Q44477" s="8"/>
    </row>
    <row r="44478" spans="17:17" x14ac:dyDescent="0.25">
      <c r="Q44478" s="8"/>
    </row>
    <row r="44479" spans="17:17" x14ac:dyDescent="0.25">
      <c r="Q44479" s="8"/>
    </row>
    <row r="44480" spans="17:17" x14ac:dyDescent="0.25">
      <c r="Q44480" s="8"/>
    </row>
    <row r="44481" spans="17:17" x14ac:dyDescent="0.25">
      <c r="Q44481" s="8"/>
    </row>
    <row r="44482" spans="17:17" x14ac:dyDescent="0.25">
      <c r="Q44482" s="8"/>
    </row>
    <row r="44483" spans="17:17" x14ac:dyDescent="0.25">
      <c r="Q44483" s="8"/>
    </row>
    <row r="44484" spans="17:17" x14ac:dyDescent="0.25">
      <c r="Q44484" s="8"/>
    </row>
    <row r="44485" spans="17:17" x14ac:dyDescent="0.25">
      <c r="Q44485" s="8"/>
    </row>
    <row r="44486" spans="17:17" x14ac:dyDescent="0.25">
      <c r="Q44486" s="8"/>
    </row>
    <row r="44487" spans="17:17" x14ac:dyDescent="0.25">
      <c r="Q44487" s="8"/>
    </row>
    <row r="44488" spans="17:17" x14ac:dyDescent="0.25">
      <c r="Q44488" s="8"/>
    </row>
    <row r="44489" spans="17:17" x14ac:dyDescent="0.25">
      <c r="Q44489" s="8"/>
    </row>
    <row r="44490" spans="17:17" x14ac:dyDescent="0.25">
      <c r="Q44490" s="8"/>
    </row>
    <row r="44491" spans="17:17" x14ac:dyDescent="0.25">
      <c r="Q44491" s="8"/>
    </row>
    <row r="44492" spans="17:17" x14ac:dyDescent="0.25">
      <c r="Q44492" s="8"/>
    </row>
    <row r="44493" spans="17:17" x14ac:dyDescent="0.25">
      <c r="Q44493" s="8"/>
    </row>
    <row r="44494" spans="17:17" x14ac:dyDescent="0.25">
      <c r="Q44494" s="8"/>
    </row>
    <row r="44495" spans="17:17" x14ac:dyDescent="0.25">
      <c r="Q44495" s="8"/>
    </row>
    <row r="44496" spans="17:17" x14ac:dyDescent="0.25">
      <c r="Q44496" s="8"/>
    </row>
    <row r="44497" spans="17:17" x14ac:dyDescent="0.25">
      <c r="Q44497" s="8"/>
    </row>
    <row r="44498" spans="17:17" x14ac:dyDescent="0.25">
      <c r="Q44498" s="8"/>
    </row>
    <row r="44499" spans="17:17" x14ac:dyDescent="0.25">
      <c r="Q44499" s="8"/>
    </row>
    <row r="44500" spans="17:17" x14ac:dyDescent="0.25">
      <c r="Q44500" s="8"/>
    </row>
    <row r="44501" spans="17:17" x14ac:dyDescent="0.25">
      <c r="Q44501" s="8"/>
    </row>
    <row r="44502" spans="17:17" x14ac:dyDescent="0.25">
      <c r="Q44502" s="8"/>
    </row>
    <row r="44503" spans="17:17" x14ac:dyDescent="0.25">
      <c r="Q44503" s="8"/>
    </row>
    <row r="44504" spans="17:17" x14ac:dyDescent="0.25">
      <c r="Q44504" s="8"/>
    </row>
    <row r="44505" spans="17:17" x14ac:dyDescent="0.25">
      <c r="Q44505" s="8"/>
    </row>
    <row r="44506" spans="17:17" x14ac:dyDescent="0.25">
      <c r="Q44506" s="8"/>
    </row>
    <row r="44507" spans="17:17" x14ac:dyDescent="0.25">
      <c r="Q44507" s="8"/>
    </row>
    <row r="44508" spans="17:17" x14ac:dyDescent="0.25">
      <c r="Q44508" s="8"/>
    </row>
    <row r="44509" spans="17:17" x14ac:dyDescent="0.25">
      <c r="Q44509" s="8"/>
    </row>
    <row r="44510" spans="17:17" x14ac:dyDescent="0.25">
      <c r="Q44510" s="8"/>
    </row>
    <row r="44511" spans="17:17" x14ac:dyDescent="0.25">
      <c r="Q44511" s="8"/>
    </row>
    <row r="44512" spans="17:17" x14ac:dyDescent="0.25">
      <c r="Q44512" s="8"/>
    </row>
    <row r="44513" spans="17:17" x14ac:dyDescent="0.25">
      <c r="Q44513" s="8"/>
    </row>
    <row r="44514" spans="17:17" x14ac:dyDescent="0.25">
      <c r="Q44514" s="8"/>
    </row>
    <row r="44515" spans="17:17" x14ac:dyDescent="0.25">
      <c r="Q44515" s="8"/>
    </row>
    <row r="44516" spans="17:17" x14ac:dyDescent="0.25">
      <c r="Q44516" s="8"/>
    </row>
    <row r="44517" spans="17:17" x14ac:dyDescent="0.25">
      <c r="Q44517" s="8"/>
    </row>
    <row r="44518" spans="17:17" x14ac:dyDescent="0.25">
      <c r="Q44518" s="8"/>
    </row>
    <row r="44519" spans="17:17" x14ac:dyDescent="0.25">
      <c r="Q44519" s="8"/>
    </row>
    <row r="44520" spans="17:17" x14ac:dyDescent="0.25">
      <c r="Q44520" s="8"/>
    </row>
    <row r="44521" spans="17:17" x14ac:dyDescent="0.25">
      <c r="Q44521" s="8"/>
    </row>
    <row r="44522" spans="17:17" x14ac:dyDescent="0.25">
      <c r="Q44522" s="8"/>
    </row>
    <row r="44523" spans="17:17" x14ac:dyDescent="0.25">
      <c r="Q44523" s="8"/>
    </row>
    <row r="44524" spans="17:17" x14ac:dyDescent="0.25">
      <c r="Q44524" s="8"/>
    </row>
    <row r="44525" spans="17:17" x14ac:dyDescent="0.25">
      <c r="Q44525" s="8"/>
    </row>
    <row r="44526" spans="17:17" x14ac:dyDescent="0.25">
      <c r="Q44526" s="8"/>
    </row>
    <row r="44527" spans="17:17" x14ac:dyDescent="0.25">
      <c r="Q44527" s="8"/>
    </row>
    <row r="44528" spans="17:17" x14ac:dyDescent="0.25">
      <c r="Q44528" s="8"/>
    </row>
    <row r="44529" spans="17:17" x14ac:dyDescent="0.25">
      <c r="Q44529" s="8"/>
    </row>
    <row r="44530" spans="17:17" x14ac:dyDescent="0.25">
      <c r="Q44530" s="8"/>
    </row>
    <row r="44531" spans="17:17" x14ac:dyDescent="0.25">
      <c r="Q44531" s="8"/>
    </row>
    <row r="44532" spans="17:17" x14ac:dyDescent="0.25">
      <c r="Q44532" s="8"/>
    </row>
    <row r="44533" spans="17:17" x14ac:dyDescent="0.25">
      <c r="Q44533" s="8"/>
    </row>
    <row r="44534" spans="17:17" x14ac:dyDescent="0.25">
      <c r="Q44534" s="8"/>
    </row>
    <row r="44535" spans="17:17" x14ac:dyDescent="0.25">
      <c r="Q44535" s="8"/>
    </row>
    <row r="44536" spans="17:17" x14ac:dyDescent="0.25">
      <c r="Q44536" s="8"/>
    </row>
    <row r="44537" spans="17:17" x14ac:dyDescent="0.25">
      <c r="Q44537" s="8"/>
    </row>
    <row r="44538" spans="17:17" x14ac:dyDescent="0.25">
      <c r="Q44538" s="8"/>
    </row>
    <row r="44539" spans="17:17" x14ac:dyDescent="0.25">
      <c r="Q44539" s="8"/>
    </row>
    <row r="44540" spans="17:17" x14ac:dyDescent="0.25">
      <c r="Q44540" s="8"/>
    </row>
    <row r="44541" spans="17:17" x14ac:dyDescent="0.25">
      <c r="Q44541" s="8"/>
    </row>
    <row r="44542" spans="17:17" x14ac:dyDescent="0.25">
      <c r="Q44542" s="8"/>
    </row>
    <row r="44543" spans="17:17" x14ac:dyDescent="0.25">
      <c r="Q44543" s="8"/>
    </row>
    <row r="44544" spans="17:17" x14ac:dyDescent="0.25">
      <c r="Q44544" s="8"/>
    </row>
    <row r="44545" spans="17:17" x14ac:dyDescent="0.25">
      <c r="Q44545" s="8"/>
    </row>
    <row r="44546" spans="17:17" x14ac:dyDescent="0.25">
      <c r="Q44546" s="8"/>
    </row>
    <row r="44547" spans="17:17" x14ac:dyDescent="0.25">
      <c r="Q44547" s="8"/>
    </row>
    <row r="44548" spans="17:17" x14ac:dyDescent="0.25">
      <c r="Q44548" s="8"/>
    </row>
    <row r="44549" spans="17:17" x14ac:dyDescent="0.25">
      <c r="Q44549" s="8"/>
    </row>
    <row r="44550" spans="17:17" x14ac:dyDescent="0.25">
      <c r="Q44550" s="8"/>
    </row>
    <row r="44551" spans="17:17" x14ac:dyDescent="0.25">
      <c r="Q44551" s="8"/>
    </row>
    <row r="44552" spans="17:17" x14ac:dyDescent="0.25">
      <c r="Q44552" s="8"/>
    </row>
    <row r="44553" spans="17:17" x14ac:dyDescent="0.25">
      <c r="Q44553" s="8"/>
    </row>
    <row r="44554" spans="17:17" x14ac:dyDescent="0.25">
      <c r="Q44554" s="8"/>
    </row>
    <row r="44555" spans="17:17" x14ac:dyDescent="0.25">
      <c r="Q44555" s="8"/>
    </row>
    <row r="44556" spans="17:17" x14ac:dyDescent="0.25">
      <c r="Q44556" s="8"/>
    </row>
    <row r="44557" spans="17:17" x14ac:dyDescent="0.25">
      <c r="Q44557" s="8"/>
    </row>
    <row r="44558" spans="17:17" x14ac:dyDescent="0.25">
      <c r="Q44558" s="8"/>
    </row>
    <row r="44559" spans="17:17" x14ac:dyDescent="0.25">
      <c r="Q44559" s="8"/>
    </row>
    <row r="44560" spans="17:17" x14ac:dyDescent="0.25">
      <c r="Q44560" s="8"/>
    </row>
    <row r="44561" spans="17:17" x14ac:dyDescent="0.25">
      <c r="Q44561" s="8"/>
    </row>
    <row r="44562" spans="17:17" x14ac:dyDescent="0.25">
      <c r="Q44562" s="8"/>
    </row>
    <row r="44563" spans="17:17" x14ac:dyDescent="0.25">
      <c r="Q44563" s="8"/>
    </row>
    <row r="44564" spans="17:17" x14ac:dyDescent="0.25">
      <c r="Q44564" s="8"/>
    </row>
    <row r="44565" spans="17:17" x14ac:dyDescent="0.25">
      <c r="Q44565" s="8"/>
    </row>
    <row r="44566" spans="17:17" x14ac:dyDescent="0.25">
      <c r="Q44566" s="8"/>
    </row>
    <row r="44567" spans="17:17" x14ac:dyDescent="0.25">
      <c r="Q44567" s="8"/>
    </row>
    <row r="44568" spans="17:17" x14ac:dyDescent="0.25">
      <c r="Q44568" s="8"/>
    </row>
    <row r="44569" spans="17:17" x14ac:dyDescent="0.25">
      <c r="Q44569" s="8"/>
    </row>
    <row r="44570" spans="17:17" x14ac:dyDescent="0.25">
      <c r="Q44570" s="8"/>
    </row>
    <row r="44571" spans="17:17" x14ac:dyDescent="0.25">
      <c r="Q44571" s="8"/>
    </row>
    <row r="44572" spans="17:17" x14ac:dyDescent="0.25">
      <c r="Q44572" s="8"/>
    </row>
    <row r="44573" spans="17:17" x14ac:dyDescent="0.25">
      <c r="Q44573" s="8"/>
    </row>
    <row r="44574" spans="17:17" x14ac:dyDescent="0.25">
      <c r="Q44574" s="8"/>
    </row>
    <row r="44575" spans="17:17" x14ac:dyDescent="0.25">
      <c r="Q44575" s="8"/>
    </row>
    <row r="44576" spans="17:17" x14ac:dyDescent="0.25">
      <c r="Q44576" s="8"/>
    </row>
    <row r="44577" spans="17:17" x14ac:dyDescent="0.25">
      <c r="Q44577" s="8"/>
    </row>
    <row r="44578" spans="17:17" x14ac:dyDescent="0.25">
      <c r="Q44578" s="8"/>
    </row>
    <row r="44579" spans="17:17" x14ac:dyDescent="0.25">
      <c r="Q44579" s="8"/>
    </row>
    <row r="44580" spans="17:17" x14ac:dyDescent="0.25">
      <c r="Q44580" s="8"/>
    </row>
    <row r="44581" spans="17:17" x14ac:dyDescent="0.25">
      <c r="Q44581" s="8"/>
    </row>
    <row r="44582" spans="17:17" x14ac:dyDescent="0.25">
      <c r="Q44582" s="8"/>
    </row>
    <row r="44583" spans="17:17" x14ac:dyDescent="0.25">
      <c r="Q44583" s="8"/>
    </row>
    <row r="44584" spans="17:17" x14ac:dyDescent="0.25">
      <c r="Q44584" s="8"/>
    </row>
    <row r="44585" spans="17:17" x14ac:dyDescent="0.25">
      <c r="Q44585" s="8"/>
    </row>
    <row r="44586" spans="17:17" x14ac:dyDescent="0.25">
      <c r="Q44586" s="8"/>
    </row>
    <row r="44587" spans="17:17" x14ac:dyDescent="0.25">
      <c r="Q44587" s="8"/>
    </row>
    <row r="44588" spans="17:17" x14ac:dyDescent="0.25">
      <c r="Q44588" s="8"/>
    </row>
    <row r="44589" spans="17:17" x14ac:dyDescent="0.25">
      <c r="Q44589" s="8"/>
    </row>
    <row r="44590" spans="17:17" x14ac:dyDescent="0.25">
      <c r="Q44590" s="8"/>
    </row>
    <row r="44591" spans="17:17" x14ac:dyDescent="0.25">
      <c r="Q44591" s="8"/>
    </row>
    <row r="44592" spans="17:17" x14ac:dyDescent="0.25">
      <c r="Q44592" s="8"/>
    </row>
    <row r="44593" spans="17:17" x14ac:dyDescent="0.25">
      <c r="Q44593" s="8"/>
    </row>
    <row r="44594" spans="17:17" x14ac:dyDescent="0.25">
      <c r="Q44594" s="8"/>
    </row>
    <row r="44595" spans="17:17" x14ac:dyDescent="0.25">
      <c r="Q44595" s="8"/>
    </row>
    <row r="44596" spans="17:17" x14ac:dyDescent="0.25">
      <c r="Q44596" s="8"/>
    </row>
    <row r="44597" spans="17:17" x14ac:dyDescent="0.25">
      <c r="Q44597" s="8"/>
    </row>
    <row r="44598" spans="17:17" x14ac:dyDescent="0.25">
      <c r="Q44598" s="8"/>
    </row>
    <row r="44599" spans="17:17" x14ac:dyDescent="0.25">
      <c r="Q44599" s="8"/>
    </row>
    <row r="44600" spans="17:17" x14ac:dyDescent="0.25">
      <c r="Q44600" s="8"/>
    </row>
    <row r="44601" spans="17:17" x14ac:dyDescent="0.25">
      <c r="Q44601" s="8"/>
    </row>
    <row r="44602" spans="17:17" x14ac:dyDescent="0.25">
      <c r="Q44602" s="8"/>
    </row>
    <row r="44603" spans="17:17" x14ac:dyDescent="0.25">
      <c r="Q44603" s="8"/>
    </row>
    <row r="44604" spans="17:17" x14ac:dyDescent="0.25">
      <c r="Q44604" s="8"/>
    </row>
    <row r="44605" spans="17:17" x14ac:dyDescent="0.25">
      <c r="Q44605" s="8"/>
    </row>
    <row r="44606" spans="17:17" x14ac:dyDescent="0.25">
      <c r="Q44606" s="8"/>
    </row>
    <row r="44607" spans="17:17" x14ac:dyDescent="0.25">
      <c r="Q44607" s="8"/>
    </row>
    <row r="44608" spans="17:17" x14ac:dyDescent="0.25">
      <c r="Q44608" s="8"/>
    </row>
    <row r="44609" spans="17:17" x14ac:dyDescent="0.25">
      <c r="Q44609" s="8"/>
    </row>
    <row r="44610" spans="17:17" x14ac:dyDescent="0.25">
      <c r="Q44610" s="8"/>
    </row>
    <row r="44611" spans="17:17" x14ac:dyDescent="0.25">
      <c r="Q44611" s="8"/>
    </row>
    <row r="44612" spans="17:17" x14ac:dyDescent="0.25">
      <c r="Q44612" s="8"/>
    </row>
    <row r="44613" spans="17:17" x14ac:dyDescent="0.25">
      <c r="Q44613" s="8"/>
    </row>
    <row r="44614" spans="17:17" x14ac:dyDescent="0.25">
      <c r="Q44614" s="8"/>
    </row>
    <row r="44615" spans="17:17" x14ac:dyDescent="0.25">
      <c r="Q44615" s="8"/>
    </row>
    <row r="44616" spans="17:17" x14ac:dyDescent="0.25">
      <c r="Q44616" s="8"/>
    </row>
    <row r="44617" spans="17:17" x14ac:dyDescent="0.25">
      <c r="Q44617" s="8"/>
    </row>
    <row r="44618" spans="17:17" x14ac:dyDescent="0.25">
      <c r="Q44618" s="8"/>
    </row>
    <row r="44619" spans="17:17" x14ac:dyDescent="0.25">
      <c r="Q44619" s="8"/>
    </row>
    <row r="44620" spans="17:17" x14ac:dyDescent="0.25">
      <c r="Q44620" s="8"/>
    </row>
    <row r="44621" spans="17:17" x14ac:dyDescent="0.25">
      <c r="Q44621" s="8"/>
    </row>
    <row r="44622" spans="17:17" x14ac:dyDescent="0.25">
      <c r="Q44622" s="8"/>
    </row>
    <row r="44623" spans="17:17" x14ac:dyDescent="0.25">
      <c r="Q44623" s="8"/>
    </row>
    <row r="44624" spans="17:17" x14ac:dyDescent="0.25">
      <c r="Q44624" s="8"/>
    </row>
    <row r="44625" spans="17:17" x14ac:dyDescent="0.25">
      <c r="Q44625" s="8"/>
    </row>
    <row r="44626" spans="17:17" x14ac:dyDescent="0.25">
      <c r="Q44626" s="8"/>
    </row>
    <row r="44627" spans="17:17" x14ac:dyDescent="0.25">
      <c r="Q44627" s="8"/>
    </row>
    <row r="44628" spans="17:17" x14ac:dyDescent="0.25">
      <c r="Q44628" s="8"/>
    </row>
    <row r="44629" spans="17:17" x14ac:dyDescent="0.25">
      <c r="Q44629" s="8"/>
    </row>
    <row r="44630" spans="17:17" x14ac:dyDescent="0.25">
      <c r="Q44630" s="8"/>
    </row>
    <row r="44631" spans="17:17" x14ac:dyDescent="0.25">
      <c r="Q44631" s="8"/>
    </row>
    <row r="44632" spans="17:17" x14ac:dyDescent="0.25">
      <c r="Q44632" s="8"/>
    </row>
    <row r="44633" spans="17:17" x14ac:dyDescent="0.25">
      <c r="Q44633" s="8"/>
    </row>
    <row r="44634" spans="17:17" x14ac:dyDescent="0.25">
      <c r="Q44634" s="8"/>
    </row>
    <row r="44635" spans="17:17" x14ac:dyDescent="0.25">
      <c r="Q44635" s="8"/>
    </row>
    <row r="44636" spans="17:17" x14ac:dyDescent="0.25">
      <c r="Q44636" s="8"/>
    </row>
    <row r="44637" spans="17:17" x14ac:dyDescent="0.25">
      <c r="Q44637" s="8"/>
    </row>
    <row r="44638" spans="17:17" x14ac:dyDescent="0.25">
      <c r="Q44638" s="8"/>
    </row>
    <row r="44639" spans="17:17" x14ac:dyDescent="0.25">
      <c r="Q44639" s="8"/>
    </row>
    <row r="44640" spans="17:17" x14ac:dyDescent="0.25">
      <c r="Q44640" s="8"/>
    </row>
    <row r="44641" spans="17:17" x14ac:dyDescent="0.25">
      <c r="Q44641" s="8"/>
    </row>
    <row r="44642" spans="17:17" x14ac:dyDescent="0.25">
      <c r="Q44642" s="8"/>
    </row>
    <row r="44643" spans="17:17" x14ac:dyDescent="0.25">
      <c r="Q44643" s="8"/>
    </row>
    <row r="44644" spans="17:17" x14ac:dyDescent="0.25">
      <c r="Q44644" s="8"/>
    </row>
    <row r="44645" spans="17:17" x14ac:dyDescent="0.25">
      <c r="Q44645" s="8"/>
    </row>
    <row r="44646" spans="17:17" x14ac:dyDescent="0.25">
      <c r="Q44646" s="8"/>
    </row>
    <row r="44647" spans="17:17" x14ac:dyDescent="0.25">
      <c r="Q44647" s="8"/>
    </row>
    <row r="44648" spans="17:17" x14ac:dyDescent="0.25">
      <c r="Q44648" s="8"/>
    </row>
    <row r="44649" spans="17:17" x14ac:dyDescent="0.25">
      <c r="Q44649" s="8"/>
    </row>
    <row r="44650" spans="17:17" x14ac:dyDescent="0.25">
      <c r="Q44650" s="8"/>
    </row>
    <row r="44651" spans="17:17" x14ac:dyDescent="0.25">
      <c r="Q44651" s="8"/>
    </row>
    <row r="44652" spans="17:17" x14ac:dyDescent="0.25">
      <c r="Q44652" s="8"/>
    </row>
    <row r="44653" spans="17:17" x14ac:dyDescent="0.25">
      <c r="Q44653" s="8"/>
    </row>
    <row r="44654" spans="17:17" x14ac:dyDescent="0.25">
      <c r="Q44654" s="8"/>
    </row>
    <row r="44655" spans="17:17" x14ac:dyDescent="0.25">
      <c r="Q44655" s="8"/>
    </row>
    <row r="44656" spans="17:17" x14ac:dyDescent="0.25">
      <c r="Q44656" s="8"/>
    </row>
    <row r="44657" spans="17:17" x14ac:dyDescent="0.25">
      <c r="Q44657" s="8"/>
    </row>
    <row r="44658" spans="17:17" x14ac:dyDescent="0.25">
      <c r="Q44658" s="8"/>
    </row>
    <row r="44659" spans="17:17" x14ac:dyDescent="0.25">
      <c r="Q44659" s="8"/>
    </row>
    <row r="44660" spans="17:17" x14ac:dyDescent="0.25">
      <c r="Q44660" s="8"/>
    </row>
    <row r="44661" spans="17:17" x14ac:dyDescent="0.25">
      <c r="Q44661" s="8"/>
    </row>
    <row r="44662" spans="17:17" x14ac:dyDescent="0.25">
      <c r="Q44662" s="8"/>
    </row>
    <row r="44663" spans="17:17" x14ac:dyDescent="0.25">
      <c r="Q44663" s="8"/>
    </row>
    <row r="44664" spans="17:17" x14ac:dyDescent="0.25">
      <c r="Q44664" s="8"/>
    </row>
    <row r="44665" spans="17:17" x14ac:dyDescent="0.25">
      <c r="Q44665" s="8"/>
    </row>
    <row r="44666" spans="17:17" x14ac:dyDescent="0.25">
      <c r="Q44666" s="8"/>
    </row>
    <row r="44667" spans="17:17" x14ac:dyDescent="0.25">
      <c r="Q44667" s="8"/>
    </row>
    <row r="44668" spans="17:17" x14ac:dyDescent="0.25">
      <c r="Q44668" s="8"/>
    </row>
    <row r="44669" spans="17:17" x14ac:dyDescent="0.25">
      <c r="Q44669" s="8"/>
    </row>
    <row r="44670" spans="17:17" x14ac:dyDescent="0.25">
      <c r="Q44670" s="8"/>
    </row>
    <row r="44671" spans="17:17" x14ac:dyDescent="0.25">
      <c r="Q44671" s="8"/>
    </row>
    <row r="44672" spans="17:17" x14ac:dyDescent="0.25">
      <c r="Q44672" s="8"/>
    </row>
    <row r="44673" spans="17:17" x14ac:dyDescent="0.25">
      <c r="Q44673" s="8"/>
    </row>
    <row r="44674" spans="17:17" x14ac:dyDescent="0.25">
      <c r="Q44674" s="8"/>
    </row>
    <row r="44675" spans="17:17" x14ac:dyDescent="0.25">
      <c r="Q44675" s="8"/>
    </row>
    <row r="44676" spans="17:17" x14ac:dyDescent="0.25">
      <c r="Q44676" s="8"/>
    </row>
    <row r="44677" spans="17:17" x14ac:dyDescent="0.25">
      <c r="Q44677" s="8"/>
    </row>
    <row r="44678" spans="17:17" x14ac:dyDescent="0.25">
      <c r="Q44678" s="8"/>
    </row>
    <row r="44679" spans="17:17" x14ac:dyDescent="0.25">
      <c r="Q44679" s="8"/>
    </row>
    <row r="44680" spans="17:17" x14ac:dyDescent="0.25">
      <c r="Q44680" s="8"/>
    </row>
    <row r="44681" spans="17:17" x14ac:dyDescent="0.25">
      <c r="Q44681" s="8"/>
    </row>
    <row r="44682" spans="17:17" x14ac:dyDescent="0.25">
      <c r="Q44682" s="8"/>
    </row>
    <row r="44683" spans="17:17" x14ac:dyDescent="0.25">
      <c r="Q44683" s="8"/>
    </row>
    <row r="44684" spans="17:17" x14ac:dyDescent="0.25">
      <c r="Q44684" s="8"/>
    </row>
    <row r="44685" spans="17:17" x14ac:dyDescent="0.25">
      <c r="Q44685" s="8"/>
    </row>
    <row r="44686" spans="17:17" x14ac:dyDescent="0.25">
      <c r="Q44686" s="8"/>
    </row>
    <row r="44687" spans="17:17" x14ac:dyDescent="0.25">
      <c r="Q44687" s="8"/>
    </row>
    <row r="44688" spans="17:17" x14ac:dyDescent="0.25">
      <c r="Q44688" s="8"/>
    </row>
    <row r="44689" spans="17:17" x14ac:dyDescent="0.25">
      <c r="Q44689" s="8"/>
    </row>
    <row r="44690" spans="17:17" x14ac:dyDescent="0.25">
      <c r="Q44690" s="8"/>
    </row>
    <row r="44691" spans="17:17" x14ac:dyDescent="0.25">
      <c r="Q44691" s="8"/>
    </row>
    <row r="44692" spans="17:17" x14ac:dyDescent="0.25">
      <c r="Q44692" s="8"/>
    </row>
    <row r="44693" spans="17:17" x14ac:dyDescent="0.25">
      <c r="Q44693" s="8"/>
    </row>
    <row r="44694" spans="17:17" x14ac:dyDescent="0.25">
      <c r="Q44694" s="8"/>
    </row>
    <row r="44695" spans="17:17" x14ac:dyDescent="0.25">
      <c r="Q44695" s="8"/>
    </row>
    <row r="44696" spans="17:17" x14ac:dyDescent="0.25">
      <c r="Q44696" s="8"/>
    </row>
    <row r="44697" spans="17:17" x14ac:dyDescent="0.25">
      <c r="Q44697" s="8"/>
    </row>
    <row r="44698" spans="17:17" x14ac:dyDescent="0.25">
      <c r="Q44698" s="8"/>
    </row>
    <row r="44699" spans="17:17" x14ac:dyDescent="0.25">
      <c r="Q44699" s="8"/>
    </row>
    <row r="44700" spans="17:17" x14ac:dyDescent="0.25">
      <c r="Q44700" s="8"/>
    </row>
    <row r="44701" spans="17:17" x14ac:dyDescent="0.25">
      <c r="Q44701" s="8"/>
    </row>
    <row r="44702" spans="17:17" x14ac:dyDescent="0.25">
      <c r="Q44702" s="8"/>
    </row>
    <row r="44703" spans="17:17" x14ac:dyDescent="0.25">
      <c r="Q44703" s="8"/>
    </row>
    <row r="44704" spans="17:17" x14ac:dyDescent="0.25">
      <c r="Q44704" s="8"/>
    </row>
    <row r="44705" spans="17:17" x14ac:dyDescent="0.25">
      <c r="Q44705" s="8"/>
    </row>
    <row r="44706" spans="17:17" x14ac:dyDescent="0.25">
      <c r="Q44706" s="8"/>
    </row>
    <row r="44707" spans="17:17" x14ac:dyDescent="0.25">
      <c r="Q44707" s="8"/>
    </row>
    <row r="44708" spans="17:17" x14ac:dyDescent="0.25">
      <c r="Q44708" s="8"/>
    </row>
    <row r="44709" spans="17:17" x14ac:dyDescent="0.25">
      <c r="Q44709" s="8"/>
    </row>
    <row r="44710" spans="17:17" x14ac:dyDescent="0.25">
      <c r="Q44710" s="8"/>
    </row>
    <row r="44711" spans="17:17" x14ac:dyDescent="0.25">
      <c r="Q44711" s="8"/>
    </row>
    <row r="44712" spans="17:17" x14ac:dyDescent="0.25">
      <c r="Q44712" s="8"/>
    </row>
    <row r="44713" spans="17:17" x14ac:dyDescent="0.25">
      <c r="Q44713" s="8"/>
    </row>
    <row r="44714" spans="17:17" x14ac:dyDescent="0.25">
      <c r="Q44714" s="8"/>
    </row>
    <row r="44715" spans="17:17" x14ac:dyDescent="0.25">
      <c r="Q44715" s="8"/>
    </row>
    <row r="44716" spans="17:17" x14ac:dyDescent="0.25">
      <c r="Q44716" s="8"/>
    </row>
    <row r="44717" spans="17:17" x14ac:dyDescent="0.25">
      <c r="Q44717" s="8"/>
    </row>
    <row r="44718" spans="17:17" x14ac:dyDescent="0.25">
      <c r="Q44718" s="8"/>
    </row>
    <row r="44719" spans="17:17" x14ac:dyDescent="0.25">
      <c r="Q44719" s="8"/>
    </row>
    <row r="44720" spans="17:17" x14ac:dyDescent="0.25">
      <c r="Q44720" s="8"/>
    </row>
    <row r="44721" spans="17:17" x14ac:dyDescent="0.25">
      <c r="Q44721" s="8"/>
    </row>
    <row r="44722" spans="17:17" x14ac:dyDescent="0.25">
      <c r="Q44722" s="8"/>
    </row>
    <row r="44723" spans="17:17" x14ac:dyDescent="0.25">
      <c r="Q44723" s="8"/>
    </row>
    <row r="44724" spans="17:17" x14ac:dyDescent="0.25">
      <c r="Q44724" s="8"/>
    </row>
    <row r="44725" spans="17:17" x14ac:dyDescent="0.25">
      <c r="Q44725" s="8"/>
    </row>
    <row r="44726" spans="17:17" x14ac:dyDescent="0.25">
      <c r="Q44726" s="8"/>
    </row>
    <row r="44727" spans="17:17" x14ac:dyDescent="0.25">
      <c r="Q44727" s="8"/>
    </row>
    <row r="44728" spans="17:17" x14ac:dyDescent="0.25">
      <c r="Q44728" s="8"/>
    </row>
    <row r="44729" spans="17:17" x14ac:dyDescent="0.25">
      <c r="Q44729" s="8"/>
    </row>
    <row r="44730" spans="17:17" x14ac:dyDescent="0.25">
      <c r="Q44730" s="8"/>
    </row>
    <row r="44731" spans="17:17" x14ac:dyDescent="0.25">
      <c r="Q44731" s="8"/>
    </row>
    <row r="44732" spans="17:17" x14ac:dyDescent="0.25">
      <c r="Q44732" s="8"/>
    </row>
    <row r="44733" spans="17:17" x14ac:dyDescent="0.25">
      <c r="Q44733" s="8"/>
    </row>
    <row r="44734" spans="17:17" x14ac:dyDescent="0.25">
      <c r="Q44734" s="8"/>
    </row>
    <row r="44735" spans="17:17" x14ac:dyDescent="0.25">
      <c r="Q44735" s="8"/>
    </row>
    <row r="44736" spans="17:17" x14ac:dyDescent="0.25">
      <c r="Q44736" s="8"/>
    </row>
    <row r="44737" spans="17:17" x14ac:dyDescent="0.25">
      <c r="Q44737" s="8"/>
    </row>
    <row r="44738" spans="17:17" x14ac:dyDescent="0.25">
      <c r="Q44738" s="8"/>
    </row>
    <row r="44739" spans="17:17" x14ac:dyDescent="0.25">
      <c r="Q44739" s="8"/>
    </row>
    <row r="44740" spans="17:17" x14ac:dyDescent="0.25">
      <c r="Q44740" s="8"/>
    </row>
    <row r="44741" spans="17:17" x14ac:dyDescent="0.25">
      <c r="Q44741" s="8"/>
    </row>
    <row r="44742" spans="17:17" x14ac:dyDescent="0.25">
      <c r="Q44742" s="8"/>
    </row>
    <row r="44743" spans="17:17" x14ac:dyDescent="0.25">
      <c r="Q44743" s="8"/>
    </row>
    <row r="44744" spans="17:17" x14ac:dyDescent="0.25">
      <c r="Q44744" s="8"/>
    </row>
    <row r="44745" spans="17:17" x14ac:dyDescent="0.25">
      <c r="Q44745" s="8"/>
    </row>
    <row r="44746" spans="17:17" x14ac:dyDescent="0.25">
      <c r="Q44746" s="8"/>
    </row>
    <row r="44747" spans="17:17" x14ac:dyDescent="0.25">
      <c r="Q44747" s="8"/>
    </row>
    <row r="44748" spans="17:17" x14ac:dyDescent="0.25">
      <c r="Q44748" s="8"/>
    </row>
    <row r="44749" spans="17:17" x14ac:dyDescent="0.25">
      <c r="Q44749" s="8"/>
    </row>
    <row r="44750" spans="17:17" x14ac:dyDescent="0.25">
      <c r="Q44750" s="8"/>
    </row>
    <row r="44751" spans="17:17" x14ac:dyDescent="0.25">
      <c r="Q44751" s="8"/>
    </row>
    <row r="44752" spans="17:17" x14ac:dyDescent="0.25">
      <c r="Q44752" s="8"/>
    </row>
    <row r="44753" spans="17:17" x14ac:dyDescent="0.25">
      <c r="Q44753" s="8"/>
    </row>
    <row r="44754" spans="17:17" x14ac:dyDescent="0.25">
      <c r="Q44754" s="8"/>
    </row>
    <row r="44755" spans="17:17" x14ac:dyDescent="0.25">
      <c r="Q44755" s="8"/>
    </row>
    <row r="44756" spans="17:17" x14ac:dyDescent="0.25">
      <c r="Q44756" s="8"/>
    </row>
    <row r="44757" spans="17:17" x14ac:dyDescent="0.25">
      <c r="Q44757" s="8"/>
    </row>
    <row r="44758" spans="17:17" x14ac:dyDescent="0.25">
      <c r="Q44758" s="8"/>
    </row>
    <row r="44759" spans="17:17" x14ac:dyDescent="0.25">
      <c r="Q44759" s="8"/>
    </row>
    <row r="44760" spans="17:17" x14ac:dyDescent="0.25">
      <c r="Q44760" s="8"/>
    </row>
    <row r="44761" spans="17:17" x14ac:dyDescent="0.25">
      <c r="Q44761" s="8"/>
    </row>
    <row r="44762" spans="17:17" x14ac:dyDescent="0.25">
      <c r="Q44762" s="8"/>
    </row>
    <row r="44763" spans="17:17" x14ac:dyDescent="0.25">
      <c r="Q44763" s="8"/>
    </row>
    <row r="44764" spans="17:17" x14ac:dyDescent="0.25">
      <c r="Q44764" s="8"/>
    </row>
    <row r="44765" spans="17:17" x14ac:dyDescent="0.25">
      <c r="Q44765" s="8"/>
    </row>
    <row r="44766" spans="17:17" x14ac:dyDescent="0.25">
      <c r="Q44766" s="8"/>
    </row>
    <row r="44767" spans="17:17" x14ac:dyDescent="0.25">
      <c r="Q44767" s="8"/>
    </row>
    <row r="44768" spans="17:17" x14ac:dyDescent="0.25">
      <c r="Q44768" s="8"/>
    </row>
    <row r="44769" spans="17:17" x14ac:dyDescent="0.25">
      <c r="Q44769" s="8"/>
    </row>
    <row r="44770" spans="17:17" x14ac:dyDescent="0.25">
      <c r="Q44770" s="8"/>
    </row>
    <row r="44771" spans="17:17" x14ac:dyDescent="0.25">
      <c r="Q44771" s="8"/>
    </row>
    <row r="44772" spans="17:17" x14ac:dyDescent="0.25">
      <c r="Q44772" s="8"/>
    </row>
    <row r="44773" spans="17:17" x14ac:dyDescent="0.25">
      <c r="Q44773" s="8"/>
    </row>
    <row r="44774" spans="17:17" x14ac:dyDescent="0.25">
      <c r="Q44774" s="8"/>
    </row>
    <row r="44775" spans="17:17" x14ac:dyDescent="0.25">
      <c r="Q44775" s="8"/>
    </row>
    <row r="44776" spans="17:17" x14ac:dyDescent="0.25">
      <c r="Q44776" s="8"/>
    </row>
    <row r="44777" spans="17:17" x14ac:dyDescent="0.25">
      <c r="Q44777" s="8"/>
    </row>
    <row r="44778" spans="17:17" x14ac:dyDescent="0.25">
      <c r="Q44778" s="8"/>
    </row>
    <row r="44779" spans="17:17" x14ac:dyDescent="0.25">
      <c r="Q44779" s="8"/>
    </row>
    <row r="44780" spans="17:17" x14ac:dyDescent="0.25">
      <c r="Q44780" s="8"/>
    </row>
    <row r="44781" spans="17:17" x14ac:dyDescent="0.25">
      <c r="Q44781" s="8"/>
    </row>
    <row r="44782" spans="17:17" x14ac:dyDescent="0.25">
      <c r="Q44782" s="8"/>
    </row>
    <row r="44783" spans="17:17" x14ac:dyDescent="0.25">
      <c r="Q44783" s="8"/>
    </row>
    <row r="44784" spans="17:17" x14ac:dyDescent="0.25">
      <c r="Q44784" s="8"/>
    </row>
    <row r="44785" spans="17:17" x14ac:dyDescent="0.25">
      <c r="Q44785" s="8"/>
    </row>
    <row r="44786" spans="17:17" x14ac:dyDescent="0.25">
      <c r="Q44786" s="8"/>
    </row>
    <row r="44787" spans="17:17" x14ac:dyDescent="0.25">
      <c r="Q44787" s="8"/>
    </row>
    <row r="44788" spans="17:17" x14ac:dyDescent="0.25">
      <c r="Q44788" s="8"/>
    </row>
    <row r="44789" spans="17:17" x14ac:dyDescent="0.25">
      <c r="Q44789" s="8"/>
    </row>
    <row r="44790" spans="17:17" x14ac:dyDescent="0.25">
      <c r="Q44790" s="8"/>
    </row>
    <row r="44791" spans="17:17" x14ac:dyDescent="0.25">
      <c r="Q44791" s="8"/>
    </row>
    <row r="44792" spans="17:17" x14ac:dyDescent="0.25">
      <c r="Q44792" s="8"/>
    </row>
    <row r="44793" spans="17:17" x14ac:dyDescent="0.25">
      <c r="Q44793" s="8"/>
    </row>
    <row r="44794" spans="17:17" x14ac:dyDescent="0.25">
      <c r="Q44794" s="8"/>
    </row>
    <row r="44795" spans="17:17" x14ac:dyDescent="0.25">
      <c r="Q44795" s="8"/>
    </row>
    <row r="44796" spans="17:17" x14ac:dyDescent="0.25">
      <c r="Q44796" s="8"/>
    </row>
    <row r="44797" spans="17:17" x14ac:dyDescent="0.25">
      <c r="Q44797" s="8"/>
    </row>
    <row r="44798" spans="17:17" x14ac:dyDescent="0.25">
      <c r="Q44798" s="8"/>
    </row>
    <row r="44799" spans="17:17" x14ac:dyDescent="0.25">
      <c r="Q44799" s="8"/>
    </row>
    <row r="44800" spans="17:17" x14ac:dyDescent="0.25">
      <c r="Q44800" s="8"/>
    </row>
    <row r="44801" spans="17:17" x14ac:dyDescent="0.25">
      <c r="Q44801" s="8"/>
    </row>
    <row r="44802" spans="17:17" x14ac:dyDescent="0.25">
      <c r="Q44802" s="8"/>
    </row>
    <row r="44803" spans="17:17" x14ac:dyDescent="0.25">
      <c r="Q44803" s="8"/>
    </row>
    <row r="44804" spans="17:17" x14ac:dyDescent="0.25">
      <c r="Q44804" s="8"/>
    </row>
    <row r="44805" spans="17:17" x14ac:dyDescent="0.25">
      <c r="Q44805" s="8"/>
    </row>
    <row r="44806" spans="17:17" x14ac:dyDescent="0.25">
      <c r="Q44806" s="8"/>
    </row>
    <row r="44807" spans="17:17" x14ac:dyDescent="0.25">
      <c r="Q44807" s="8"/>
    </row>
    <row r="44808" spans="17:17" x14ac:dyDescent="0.25">
      <c r="Q44808" s="8"/>
    </row>
    <row r="44809" spans="17:17" x14ac:dyDescent="0.25">
      <c r="Q44809" s="8"/>
    </row>
    <row r="44810" spans="17:17" x14ac:dyDescent="0.25">
      <c r="Q44810" s="8"/>
    </row>
    <row r="44811" spans="17:17" x14ac:dyDescent="0.25">
      <c r="Q44811" s="8"/>
    </row>
    <row r="44812" spans="17:17" x14ac:dyDescent="0.25">
      <c r="Q44812" s="8"/>
    </row>
    <row r="44813" spans="17:17" x14ac:dyDescent="0.25">
      <c r="Q44813" s="8"/>
    </row>
    <row r="44814" spans="17:17" x14ac:dyDescent="0.25">
      <c r="Q44814" s="8"/>
    </row>
    <row r="44815" spans="17:17" x14ac:dyDescent="0.25">
      <c r="Q44815" s="8"/>
    </row>
    <row r="44816" spans="17:17" x14ac:dyDescent="0.25">
      <c r="Q44816" s="8"/>
    </row>
    <row r="44817" spans="17:17" x14ac:dyDescent="0.25">
      <c r="Q44817" s="8"/>
    </row>
    <row r="44818" spans="17:17" x14ac:dyDescent="0.25">
      <c r="Q44818" s="8"/>
    </row>
    <row r="44819" spans="17:17" x14ac:dyDescent="0.25">
      <c r="Q44819" s="8"/>
    </row>
    <row r="44820" spans="17:17" x14ac:dyDescent="0.25">
      <c r="Q44820" s="8"/>
    </row>
    <row r="44821" spans="17:17" x14ac:dyDescent="0.25">
      <c r="Q44821" s="8"/>
    </row>
    <row r="44822" spans="17:17" x14ac:dyDescent="0.25">
      <c r="Q44822" s="8"/>
    </row>
    <row r="44823" spans="17:17" x14ac:dyDescent="0.25">
      <c r="Q44823" s="8"/>
    </row>
    <row r="44824" spans="17:17" x14ac:dyDescent="0.25">
      <c r="Q44824" s="8"/>
    </row>
    <row r="44825" spans="17:17" x14ac:dyDescent="0.25">
      <c r="Q44825" s="8"/>
    </row>
    <row r="44826" spans="17:17" x14ac:dyDescent="0.25">
      <c r="Q44826" s="8"/>
    </row>
    <row r="44827" spans="17:17" x14ac:dyDescent="0.25">
      <c r="Q44827" s="8"/>
    </row>
    <row r="44828" spans="17:17" x14ac:dyDescent="0.25">
      <c r="Q44828" s="8"/>
    </row>
    <row r="44829" spans="17:17" x14ac:dyDescent="0.25">
      <c r="Q44829" s="8"/>
    </row>
    <row r="44830" spans="17:17" x14ac:dyDescent="0.25">
      <c r="Q44830" s="8"/>
    </row>
    <row r="44831" spans="17:17" x14ac:dyDescent="0.25">
      <c r="Q44831" s="8"/>
    </row>
    <row r="44832" spans="17:17" x14ac:dyDescent="0.25">
      <c r="Q44832" s="8"/>
    </row>
    <row r="44833" spans="17:17" x14ac:dyDescent="0.25">
      <c r="Q44833" s="8"/>
    </row>
    <row r="44834" spans="17:17" x14ac:dyDescent="0.25">
      <c r="Q44834" s="8"/>
    </row>
    <row r="44835" spans="17:17" x14ac:dyDescent="0.25">
      <c r="Q44835" s="8"/>
    </row>
    <row r="44836" spans="17:17" x14ac:dyDescent="0.25">
      <c r="Q44836" s="8"/>
    </row>
    <row r="44837" spans="17:17" x14ac:dyDescent="0.25">
      <c r="Q44837" s="8"/>
    </row>
    <row r="44838" spans="17:17" x14ac:dyDescent="0.25">
      <c r="Q44838" s="8"/>
    </row>
    <row r="44839" spans="17:17" x14ac:dyDescent="0.25">
      <c r="Q44839" s="8"/>
    </row>
    <row r="44840" spans="17:17" x14ac:dyDescent="0.25">
      <c r="Q44840" s="8"/>
    </row>
    <row r="44841" spans="17:17" x14ac:dyDescent="0.25">
      <c r="Q44841" s="8"/>
    </row>
    <row r="44842" spans="17:17" x14ac:dyDescent="0.25">
      <c r="Q44842" s="8"/>
    </row>
    <row r="44843" spans="17:17" x14ac:dyDescent="0.25">
      <c r="Q44843" s="8"/>
    </row>
    <row r="44844" spans="17:17" x14ac:dyDescent="0.25">
      <c r="Q44844" s="8"/>
    </row>
    <row r="44845" spans="17:17" x14ac:dyDescent="0.25">
      <c r="Q44845" s="8"/>
    </row>
    <row r="44846" spans="17:17" x14ac:dyDescent="0.25">
      <c r="Q44846" s="8"/>
    </row>
    <row r="44847" spans="17:17" x14ac:dyDescent="0.25">
      <c r="Q44847" s="8"/>
    </row>
    <row r="44848" spans="17:17" x14ac:dyDescent="0.25">
      <c r="Q44848" s="8"/>
    </row>
    <row r="44849" spans="17:17" x14ac:dyDescent="0.25">
      <c r="Q44849" s="8"/>
    </row>
    <row r="44850" spans="17:17" x14ac:dyDescent="0.25">
      <c r="Q44850" s="8"/>
    </row>
    <row r="44851" spans="17:17" x14ac:dyDescent="0.25">
      <c r="Q44851" s="8"/>
    </row>
    <row r="44852" spans="17:17" x14ac:dyDescent="0.25">
      <c r="Q44852" s="8"/>
    </row>
    <row r="44853" spans="17:17" x14ac:dyDescent="0.25">
      <c r="Q44853" s="8"/>
    </row>
    <row r="44854" spans="17:17" x14ac:dyDescent="0.25">
      <c r="Q44854" s="8"/>
    </row>
    <row r="44855" spans="17:17" x14ac:dyDescent="0.25">
      <c r="Q44855" s="8"/>
    </row>
    <row r="44856" spans="17:17" x14ac:dyDescent="0.25">
      <c r="Q44856" s="8"/>
    </row>
    <row r="44857" spans="17:17" x14ac:dyDescent="0.25">
      <c r="Q44857" s="8"/>
    </row>
    <row r="44858" spans="17:17" x14ac:dyDescent="0.25">
      <c r="Q44858" s="8"/>
    </row>
    <row r="44859" spans="17:17" x14ac:dyDescent="0.25">
      <c r="Q44859" s="8"/>
    </row>
    <row r="44860" spans="17:17" x14ac:dyDescent="0.25">
      <c r="Q44860" s="8"/>
    </row>
    <row r="44861" spans="17:17" x14ac:dyDescent="0.25">
      <c r="Q44861" s="8"/>
    </row>
    <row r="44862" spans="17:17" x14ac:dyDescent="0.25">
      <c r="Q44862" s="8"/>
    </row>
    <row r="44863" spans="17:17" x14ac:dyDescent="0.25">
      <c r="Q44863" s="8"/>
    </row>
    <row r="44864" spans="17:17" x14ac:dyDescent="0.25">
      <c r="Q44864" s="8"/>
    </row>
    <row r="44865" spans="17:17" x14ac:dyDescent="0.25">
      <c r="Q44865" s="8"/>
    </row>
    <row r="44866" spans="17:17" x14ac:dyDescent="0.25">
      <c r="Q44866" s="8"/>
    </row>
    <row r="44867" spans="17:17" x14ac:dyDescent="0.25">
      <c r="Q44867" s="8"/>
    </row>
    <row r="44868" spans="17:17" x14ac:dyDescent="0.25">
      <c r="Q44868" s="8"/>
    </row>
    <row r="44869" spans="17:17" x14ac:dyDescent="0.25">
      <c r="Q44869" s="8"/>
    </row>
    <row r="44870" spans="17:17" x14ac:dyDescent="0.25">
      <c r="Q44870" s="8"/>
    </row>
    <row r="44871" spans="17:17" x14ac:dyDescent="0.25">
      <c r="Q44871" s="8"/>
    </row>
    <row r="44872" spans="17:17" x14ac:dyDescent="0.25">
      <c r="Q44872" s="8"/>
    </row>
    <row r="44873" spans="17:17" x14ac:dyDescent="0.25">
      <c r="Q44873" s="8"/>
    </row>
    <row r="44874" spans="17:17" x14ac:dyDescent="0.25">
      <c r="Q44874" s="8"/>
    </row>
    <row r="44875" spans="17:17" x14ac:dyDescent="0.25">
      <c r="Q44875" s="8"/>
    </row>
    <row r="44876" spans="17:17" x14ac:dyDescent="0.25">
      <c r="Q44876" s="8"/>
    </row>
    <row r="44877" spans="17:17" x14ac:dyDescent="0.25">
      <c r="Q44877" s="8"/>
    </row>
    <row r="44878" spans="17:17" x14ac:dyDescent="0.25">
      <c r="Q44878" s="8"/>
    </row>
    <row r="44879" spans="17:17" x14ac:dyDescent="0.25">
      <c r="Q44879" s="8"/>
    </row>
    <row r="44880" spans="17:17" x14ac:dyDescent="0.25">
      <c r="Q44880" s="8"/>
    </row>
    <row r="44881" spans="17:17" x14ac:dyDescent="0.25">
      <c r="Q44881" s="8"/>
    </row>
    <row r="44882" spans="17:17" x14ac:dyDescent="0.25">
      <c r="Q44882" s="8"/>
    </row>
    <row r="44883" spans="17:17" x14ac:dyDescent="0.25">
      <c r="Q44883" s="8"/>
    </row>
    <row r="44884" spans="17:17" x14ac:dyDescent="0.25">
      <c r="Q44884" s="8"/>
    </row>
    <row r="44885" spans="17:17" x14ac:dyDescent="0.25">
      <c r="Q44885" s="8"/>
    </row>
    <row r="44886" spans="17:17" x14ac:dyDescent="0.25">
      <c r="Q44886" s="8"/>
    </row>
    <row r="44887" spans="17:17" x14ac:dyDescent="0.25">
      <c r="Q44887" s="8"/>
    </row>
    <row r="44888" spans="17:17" x14ac:dyDescent="0.25">
      <c r="Q44888" s="8"/>
    </row>
    <row r="44889" spans="17:17" x14ac:dyDescent="0.25">
      <c r="Q44889" s="8"/>
    </row>
    <row r="44890" spans="17:17" x14ac:dyDescent="0.25">
      <c r="Q44890" s="8"/>
    </row>
    <row r="44891" spans="17:17" x14ac:dyDescent="0.25">
      <c r="Q44891" s="8"/>
    </row>
    <row r="44892" spans="17:17" x14ac:dyDescent="0.25">
      <c r="Q44892" s="8"/>
    </row>
    <row r="44893" spans="17:17" x14ac:dyDescent="0.25">
      <c r="Q44893" s="8"/>
    </row>
    <row r="44894" spans="17:17" x14ac:dyDescent="0.25">
      <c r="Q44894" s="8"/>
    </row>
    <row r="44895" spans="17:17" x14ac:dyDescent="0.25">
      <c r="Q44895" s="8"/>
    </row>
    <row r="44896" spans="17:17" x14ac:dyDescent="0.25">
      <c r="Q44896" s="8"/>
    </row>
    <row r="44897" spans="17:17" x14ac:dyDescent="0.25">
      <c r="Q44897" s="8"/>
    </row>
    <row r="44898" spans="17:17" x14ac:dyDescent="0.25">
      <c r="Q44898" s="8"/>
    </row>
    <row r="44899" spans="17:17" x14ac:dyDescent="0.25">
      <c r="Q44899" s="8"/>
    </row>
    <row r="44900" spans="17:17" x14ac:dyDescent="0.25">
      <c r="Q44900" s="8"/>
    </row>
    <row r="44901" spans="17:17" x14ac:dyDescent="0.25">
      <c r="Q44901" s="8"/>
    </row>
    <row r="44902" spans="17:17" x14ac:dyDescent="0.25">
      <c r="Q44902" s="8"/>
    </row>
    <row r="44903" spans="17:17" x14ac:dyDescent="0.25">
      <c r="Q44903" s="8"/>
    </row>
    <row r="44904" spans="17:17" x14ac:dyDescent="0.25">
      <c r="Q44904" s="8"/>
    </row>
    <row r="44905" spans="17:17" x14ac:dyDescent="0.25">
      <c r="Q44905" s="8"/>
    </row>
    <row r="44906" spans="17:17" x14ac:dyDescent="0.25">
      <c r="Q44906" s="8"/>
    </row>
    <row r="44907" spans="17:17" x14ac:dyDescent="0.25">
      <c r="Q44907" s="8"/>
    </row>
    <row r="44908" spans="17:17" x14ac:dyDescent="0.25">
      <c r="Q44908" s="8"/>
    </row>
    <row r="44909" spans="17:17" x14ac:dyDescent="0.25">
      <c r="Q44909" s="8"/>
    </row>
    <row r="44910" spans="17:17" x14ac:dyDescent="0.25">
      <c r="Q44910" s="8"/>
    </row>
    <row r="44911" spans="17:17" x14ac:dyDescent="0.25">
      <c r="Q44911" s="8"/>
    </row>
    <row r="44912" spans="17:17" x14ac:dyDescent="0.25">
      <c r="Q44912" s="8"/>
    </row>
    <row r="44913" spans="17:17" x14ac:dyDescent="0.25">
      <c r="Q44913" s="8"/>
    </row>
    <row r="44914" spans="17:17" x14ac:dyDescent="0.25">
      <c r="Q44914" s="8"/>
    </row>
    <row r="44915" spans="17:17" x14ac:dyDescent="0.25">
      <c r="Q44915" s="8"/>
    </row>
    <row r="44916" spans="17:17" x14ac:dyDescent="0.25">
      <c r="Q44916" s="8"/>
    </row>
    <row r="44917" spans="17:17" x14ac:dyDescent="0.25">
      <c r="Q44917" s="8"/>
    </row>
    <row r="44918" spans="17:17" x14ac:dyDescent="0.25">
      <c r="Q44918" s="8"/>
    </row>
    <row r="44919" spans="17:17" x14ac:dyDescent="0.25">
      <c r="Q44919" s="8"/>
    </row>
    <row r="44920" spans="17:17" x14ac:dyDescent="0.25">
      <c r="Q44920" s="8"/>
    </row>
    <row r="44921" spans="17:17" x14ac:dyDescent="0.25">
      <c r="Q44921" s="8"/>
    </row>
    <row r="44922" spans="17:17" x14ac:dyDescent="0.25">
      <c r="Q44922" s="8"/>
    </row>
    <row r="44923" spans="17:17" x14ac:dyDescent="0.25">
      <c r="Q44923" s="8"/>
    </row>
    <row r="44924" spans="17:17" x14ac:dyDescent="0.25">
      <c r="Q44924" s="8"/>
    </row>
    <row r="44925" spans="17:17" x14ac:dyDescent="0.25">
      <c r="Q44925" s="8"/>
    </row>
    <row r="44926" spans="17:17" x14ac:dyDescent="0.25">
      <c r="Q44926" s="8"/>
    </row>
    <row r="44927" spans="17:17" x14ac:dyDescent="0.25">
      <c r="Q44927" s="8"/>
    </row>
    <row r="44928" spans="17:17" x14ac:dyDescent="0.25">
      <c r="Q44928" s="8"/>
    </row>
    <row r="44929" spans="17:17" x14ac:dyDescent="0.25">
      <c r="Q44929" s="8"/>
    </row>
    <row r="44930" spans="17:17" x14ac:dyDescent="0.25">
      <c r="Q44930" s="8"/>
    </row>
    <row r="44931" spans="17:17" x14ac:dyDescent="0.25">
      <c r="Q44931" s="8"/>
    </row>
    <row r="44932" spans="17:17" x14ac:dyDescent="0.25">
      <c r="Q44932" s="8"/>
    </row>
    <row r="44933" spans="17:17" x14ac:dyDescent="0.25">
      <c r="Q44933" s="8"/>
    </row>
    <row r="44934" spans="17:17" x14ac:dyDescent="0.25">
      <c r="Q44934" s="8"/>
    </row>
    <row r="44935" spans="17:17" x14ac:dyDescent="0.25">
      <c r="Q44935" s="8"/>
    </row>
    <row r="44936" spans="17:17" x14ac:dyDescent="0.25">
      <c r="Q44936" s="8"/>
    </row>
    <row r="44937" spans="17:17" x14ac:dyDescent="0.25">
      <c r="Q44937" s="8"/>
    </row>
    <row r="44938" spans="17:17" x14ac:dyDescent="0.25">
      <c r="Q44938" s="8"/>
    </row>
    <row r="44939" spans="17:17" x14ac:dyDescent="0.25">
      <c r="Q44939" s="8"/>
    </row>
    <row r="44940" spans="17:17" x14ac:dyDescent="0.25">
      <c r="Q44940" s="8"/>
    </row>
    <row r="44941" spans="17:17" x14ac:dyDescent="0.25">
      <c r="Q44941" s="8"/>
    </row>
    <row r="44942" spans="17:17" x14ac:dyDescent="0.25">
      <c r="Q44942" s="8"/>
    </row>
    <row r="44943" spans="17:17" x14ac:dyDescent="0.25">
      <c r="Q44943" s="8"/>
    </row>
    <row r="44944" spans="17:17" x14ac:dyDescent="0.25">
      <c r="Q44944" s="8"/>
    </row>
    <row r="44945" spans="17:17" x14ac:dyDescent="0.25">
      <c r="Q44945" s="8"/>
    </row>
    <row r="44946" spans="17:17" x14ac:dyDescent="0.25">
      <c r="Q44946" s="8"/>
    </row>
    <row r="44947" spans="17:17" x14ac:dyDescent="0.25">
      <c r="Q44947" s="8"/>
    </row>
    <row r="44948" spans="17:17" x14ac:dyDescent="0.25">
      <c r="Q44948" s="8"/>
    </row>
    <row r="44949" spans="17:17" x14ac:dyDescent="0.25">
      <c r="Q44949" s="8"/>
    </row>
    <row r="44950" spans="17:17" x14ac:dyDescent="0.25">
      <c r="Q44950" s="8"/>
    </row>
    <row r="44951" spans="17:17" x14ac:dyDescent="0.25">
      <c r="Q44951" s="8"/>
    </row>
    <row r="44952" spans="17:17" x14ac:dyDescent="0.25">
      <c r="Q44952" s="8"/>
    </row>
    <row r="44953" spans="17:17" x14ac:dyDescent="0.25">
      <c r="Q44953" s="8"/>
    </row>
    <row r="44954" spans="17:17" x14ac:dyDescent="0.25">
      <c r="Q44954" s="8"/>
    </row>
    <row r="44955" spans="17:17" x14ac:dyDescent="0.25">
      <c r="Q44955" s="8"/>
    </row>
    <row r="44956" spans="17:17" x14ac:dyDescent="0.25">
      <c r="Q44956" s="8"/>
    </row>
    <row r="44957" spans="17:17" x14ac:dyDescent="0.25">
      <c r="Q44957" s="8"/>
    </row>
    <row r="44958" spans="17:17" x14ac:dyDescent="0.25">
      <c r="Q44958" s="8"/>
    </row>
    <row r="44959" spans="17:17" x14ac:dyDescent="0.25">
      <c r="Q44959" s="8"/>
    </row>
    <row r="44960" spans="17:17" x14ac:dyDescent="0.25">
      <c r="Q44960" s="8"/>
    </row>
    <row r="44961" spans="17:17" x14ac:dyDescent="0.25">
      <c r="Q44961" s="8"/>
    </row>
    <row r="44962" spans="17:17" x14ac:dyDescent="0.25">
      <c r="Q44962" s="8"/>
    </row>
    <row r="44963" spans="17:17" x14ac:dyDescent="0.25">
      <c r="Q44963" s="8"/>
    </row>
    <row r="44964" spans="17:17" x14ac:dyDescent="0.25">
      <c r="Q44964" s="8"/>
    </row>
    <row r="44965" spans="17:17" x14ac:dyDescent="0.25">
      <c r="Q44965" s="8"/>
    </row>
    <row r="44966" spans="17:17" x14ac:dyDescent="0.25">
      <c r="Q44966" s="8"/>
    </row>
    <row r="44967" spans="17:17" x14ac:dyDescent="0.25">
      <c r="Q44967" s="8"/>
    </row>
    <row r="44968" spans="17:17" x14ac:dyDescent="0.25">
      <c r="Q44968" s="8"/>
    </row>
    <row r="44969" spans="17:17" x14ac:dyDescent="0.25">
      <c r="Q44969" s="8"/>
    </row>
    <row r="44970" spans="17:17" x14ac:dyDescent="0.25">
      <c r="Q44970" s="8"/>
    </row>
    <row r="44971" spans="17:17" x14ac:dyDescent="0.25">
      <c r="Q44971" s="8"/>
    </row>
    <row r="44972" spans="17:17" x14ac:dyDescent="0.25">
      <c r="Q44972" s="8"/>
    </row>
    <row r="44973" spans="17:17" x14ac:dyDescent="0.25">
      <c r="Q44973" s="8"/>
    </row>
    <row r="44974" spans="17:17" x14ac:dyDescent="0.25">
      <c r="Q44974" s="8"/>
    </row>
    <row r="44975" spans="17:17" x14ac:dyDescent="0.25">
      <c r="Q44975" s="8"/>
    </row>
    <row r="44976" spans="17:17" x14ac:dyDescent="0.25">
      <c r="Q44976" s="8"/>
    </row>
    <row r="44977" spans="17:17" x14ac:dyDescent="0.25">
      <c r="Q44977" s="8"/>
    </row>
    <row r="44978" spans="17:17" x14ac:dyDescent="0.25">
      <c r="Q44978" s="8"/>
    </row>
    <row r="44979" spans="17:17" x14ac:dyDescent="0.25">
      <c r="Q44979" s="8"/>
    </row>
    <row r="44980" spans="17:17" x14ac:dyDescent="0.25">
      <c r="Q44980" s="8"/>
    </row>
    <row r="44981" spans="17:17" x14ac:dyDescent="0.25">
      <c r="Q44981" s="8"/>
    </row>
    <row r="44982" spans="17:17" x14ac:dyDescent="0.25">
      <c r="Q44982" s="8"/>
    </row>
    <row r="44983" spans="17:17" x14ac:dyDescent="0.25">
      <c r="Q44983" s="8"/>
    </row>
    <row r="44984" spans="17:17" x14ac:dyDescent="0.25">
      <c r="Q44984" s="8"/>
    </row>
    <row r="44985" spans="17:17" x14ac:dyDescent="0.25">
      <c r="Q44985" s="8"/>
    </row>
    <row r="44986" spans="17:17" x14ac:dyDescent="0.25">
      <c r="Q44986" s="8"/>
    </row>
    <row r="44987" spans="17:17" x14ac:dyDescent="0.25">
      <c r="Q44987" s="8"/>
    </row>
    <row r="44988" spans="17:17" x14ac:dyDescent="0.25">
      <c r="Q44988" s="8"/>
    </row>
    <row r="44989" spans="17:17" x14ac:dyDescent="0.25">
      <c r="Q44989" s="8"/>
    </row>
    <row r="44990" spans="17:17" x14ac:dyDescent="0.25">
      <c r="Q44990" s="8"/>
    </row>
    <row r="44991" spans="17:17" x14ac:dyDescent="0.25">
      <c r="Q44991" s="8"/>
    </row>
    <row r="44992" spans="17:17" x14ac:dyDescent="0.25">
      <c r="Q44992" s="8"/>
    </row>
    <row r="44993" spans="17:17" x14ac:dyDescent="0.25">
      <c r="Q44993" s="8"/>
    </row>
    <row r="44994" spans="17:17" x14ac:dyDescent="0.25">
      <c r="Q44994" s="8"/>
    </row>
    <row r="44995" spans="17:17" x14ac:dyDescent="0.25">
      <c r="Q44995" s="8"/>
    </row>
    <row r="44996" spans="17:17" x14ac:dyDescent="0.25">
      <c r="Q44996" s="8"/>
    </row>
    <row r="44997" spans="17:17" x14ac:dyDescent="0.25">
      <c r="Q44997" s="8"/>
    </row>
    <row r="44998" spans="17:17" x14ac:dyDescent="0.25">
      <c r="Q44998" s="8"/>
    </row>
    <row r="44999" spans="17:17" x14ac:dyDescent="0.25">
      <c r="Q44999" s="8"/>
    </row>
    <row r="45000" spans="17:17" x14ac:dyDescent="0.25">
      <c r="Q45000" s="8"/>
    </row>
    <row r="45001" spans="17:17" x14ac:dyDescent="0.25">
      <c r="Q45001" s="8"/>
    </row>
    <row r="45002" spans="17:17" x14ac:dyDescent="0.25">
      <c r="Q45002" s="8"/>
    </row>
    <row r="45003" spans="17:17" x14ac:dyDescent="0.25">
      <c r="Q45003" s="8"/>
    </row>
    <row r="45004" spans="17:17" x14ac:dyDescent="0.25">
      <c r="Q45004" s="8"/>
    </row>
    <row r="45005" spans="17:17" x14ac:dyDescent="0.25">
      <c r="Q45005" s="8"/>
    </row>
    <row r="45006" spans="17:17" x14ac:dyDescent="0.25">
      <c r="Q45006" s="8"/>
    </row>
    <row r="45007" spans="17:17" x14ac:dyDescent="0.25">
      <c r="Q45007" s="8"/>
    </row>
    <row r="45008" spans="17:17" x14ac:dyDescent="0.25">
      <c r="Q45008" s="8"/>
    </row>
    <row r="45009" spans="17:17" x14ac:dyDescent="0.25">
      <c r="Q45009" s="8"/>
    </row>
    <row r="45010" spans="17:17" x14ac:dyDescent="0.25">
      <c r="Q45010" s="8"/>
    </row>
    <row r="45011" spans="17:17" x14ac:dyDescent="0.25">
      <c r="Q45011" s="8"/>
    </row>
    <row r="45012" spans="17:17" x14ac:dyDescent="0.25">
      <c r="Q45012" s="8"/>
    </row>
    <row r="45013" spans="17:17" x14ac:dyDescent="0.25">
      <c r="Q45013" s="8"/>
    </row>
    <row r="45014" spans="17:17" x14ac:dyDescent="0.25">
      <c r="Q45014" s="8"/>
    </row>
    <row r="45015" spans="17:17" x14ac:dyDescent="0.25">
      <c r="Q45015" s="8"/>
    </row>
    <row r="45016" spans="17:17" x14ac:dyDescent="0.25">
      <c r="Q45016" s="8"/>
    </row>
    <row r="45017" spans="17:17" x14ac:dyDescent="0.25">
      <c r="Q45017" s="8"/>
    </row>
    <row r="45018" spans="17:17" x14ac:dyDescent="0.25">
      <c r="Q45018" s="8"/>
    </row>
    <row r="45019" spans="17:17" x14ac:dyDescent="0.25">
      <c r="Q45019" s="8"/>
    </row>
    <row r="45020" spans="17:17" x14ac:dyDescent="0.25">
      <c r="Q45020" s="8"/>
    </row>
    <row r="45021" spans="17:17" x14ac:dyDescent="0.25">
      <c r="Q45021" s="8"/>
    </row>
    <row r="45022" spans="17:17" x14ac:dyDescent="0.25">
      <c r="Q45022" s="8"/>
    </row>
    <row r="45023" spans="17:17" x14ac:dyDescent="0.25">
      <c r="Q45023" s="8"/>
    </row>
    <row r="45024" spans="17:17" x14ac:dyDescent="0.25">
      <c r="Q45024" s="8"/>
    </row>
    <row r="45025" spans="17:17" x14ac:dyDescent="0.25">
      <c r="Q45025" s="8"/>
    </row>
    <row r="45026" spans="17:17" x14ac:dyDescent="0.25">
      <c r="Q45026" s="8"/>
    </row>
    <row r="45027" spans="17:17" x14ac:dyDescent="0.25">
      <c r="Q45027" s="8"/>
    </row>
    <row r="45028" spans="17:17" x14ac:dyDescent="0.25">
      <c r="Q45028" s="8"/>
    </row>
    <row r="45029" spans="17:17" x14ac:dyDescent="0.25">
      <c r="Q45029" s="8"/>
    </row>
    <row r="45030" spans="17:17" x14ac:dyDescent="0.25">
      <c r="Q45030" s="8"/>
    </row>
    <row r="45031" spans="17:17" x14ac:dyDescent="0.25">
      <c r="Q45031" s="8"/>
    </row>
    <row r="45032" spans="17:17" x14ac:dyDescent="0.25">
      <c r="Q45032" s="8"/>
    </row>
    <row r="45033" spans="17:17" x14ac:dyDescent="0.25">
      <c r="Q45033" s="8"/>
    </row>
    <row r="45034" spans="17:17" x14ac:dyDescent="0.25">
      <c r="Q45034" s="8"/>
    </row>
    <row r="45035" spans="17:17" x14ac:dyDescent="0.25">
      <c r="Q45035" s="8"/>
    </row>
    <row r="45036" spans="17:17" x14ac:dyDescent="0.25">
      <c r="Q45036" s="8"/>
    </row>
    <row r="45037" spans="17:17" x14ac:dyDescent="0.25">
      <c r="Q45037" s="8"/>
    </row>
    <row r="45038" spans="17:17" x14ac:dyDescent="0.25">
      <c r="Q45038" s="8"/>
    </row>
    <row r="45039" spans="17:17" x14ac:dyDescent="0.25">
      <c r="Q45039" s="8"/>
    </row>
    <row r="45040" spans="17:17" x14ac:dyDescent="0.25">
      <c r="Q45040" s="8"/>
    </row>
    <row r="45041" spans="17:17" x14ac:dyDescent="0.25">
      <c r="Q45041" s="8"/>
    </row>
    <row r="45042" spans="17:17" x14ac:dyDescent="0.25">
      <c r="Q45042" s="8"/>
    </row>
    <row r="45043" spans="17:17" x14ac:dyDescent="0.25">
      <c r="Q45043" s="8"/>
    </row>
    <row r="45044" spans="17:17" x14ac:dyDescent="0.25">
      <c r="Q45044" s="8"/>
    </row>
    <row r="45045" spans="17:17" x14ac:dyDescent="0.25">
      <c r="Q45045" s="8"/>
    </row>
    <row r="45046" spans="17:17" x14ac:dyDescent="0.25">
      <c r="Q45046" s="8"/>
    </row>
    <row r="45047" spans="17:17" x14ac:dyDescent="0.25">
      <c r="Q45047" s="8"/>
    </row>
    <row r="45048" spans="17:17" x14ac:dyDescent="0.25">
      <c r="Q45048" s="8"/>
    </row>
    <row r="45049" spans="17:17" x14ac:dyDescent="0.25">
      <c r="Q45049" s="8"/>
    </row>
    <row r="45050" spans="17:17" x14ac:dyDescent="0.25">
      <c r="Q45050" s="8"/>
    </row>
    <row r="45051" spans="17:17" x14ac:dyDescent="0.25">
      <c r="Q45051" s="8"/>
    </row>
    <row r="45052" spans="17:17" x14ac:dyDescent="0.25">
      <c r="Q45052" s="8"/>
    </row>
    <row r="45053" spans="17:17" x14ac:dyDescent="0.25">
      <c r="Q45053" s="8"/>
    </row>
    <row r="45054" spans="17:17" x14ac:dyDescent="0.25">
      <c r="Q45054" s="8"/>
    </row>
    <row r="45055" spans="17:17" x14ac:dyDescent="0.25">
      <c r="Q45055" s="8"/>
    </row>
    <row r="45056" spans="17:17" x14ac:dyDescent="0.25">
      <c r="Q45056" s="8"/>
    </row>
    <row r="45057" spans="17:17" x14ac:dyDescent="0.25">
      <c r="Q45057" s="8"/>
    </row>
    <row r="45058" spans="17:17" x14ac:dyDescent="0.25">
      <c r="Q45058" s="8"/>
    </row>
    <row r="45059" spans="17:17" x14ac:dyDescent="0.25">
      <c r="Q45059" s="8"/>
    </row>
    <row r="45060" spans="17:17" x14ac:dyDescent="0.25">
      <c r="Q45060" s="8"/>
    </row>
    <row r="45061" spans="17:17" x14ac:dyDescent="0.25">
      <c r="Q45061" s="8"/>
    </row>
    <row r="45062" spans="17:17" x14ac:dyDescent="0.25">
      <c r="Q45062" s="8"/>
    </row>
    <row r="45063" spans="17:17" x14ac:dyDescent="0.25">
      <c r="Q45063" s="8"/>
    </row>
    <row r="45064" spans="17:17" x14ac:dyDescent="0.25">
      <c r="Q45064" s="8"/>
    </row>
    <row r="45065" spans="17:17" x14ac:dyDescent="0.25">
      <c r="Q45065" s="8"/>
    </row>
    <row r="45066" spans="17:17" x14ac:dyDescent="0.25">
      <c r="Q45066" s="8"/>
    </row>
    <row r="45067" spans="17:17" x14ac:dyDescent="0.25">
      <c r="Q45067" s="8"/>
    </row>
    <row r="45068" spans="17:17" x14ac:dyDescent="0.25">
      <c r="Q45068" s="8"/>
    </row>
    <row r="45069" spans="17:17" x14ac:dyDescent="0.25">
      <c r="Q45069" s="8"/>
    </row>
    <row r="45070" spans="17:17" x14ac:dyDescent="0.25">
      <c r="Q45070" s="8"/>
    </row>
    <row r="45071" spans="17:17" x14ac:dyDescent="0.25">
      <c r="Q45071" s="8"/>
    </row>
    <row r="45072" spans="17:17" x14ac:dyDescent="0.25">
      <c r="Q45072" s="8"/>
    </row>
    <row r="45073" spans="17:17" x14ac:dyDescent="0.25">
      <c r="Q45073" s="8"/>
    </row>
    <row r="45074" spans="17:17" x14ac:dyDescent="0.25">
      <c r="Q45074" s="8"/>
    </row>
    <row r="45075" spans="17:17" x14ac:dyDescent="0.25">
      <c r="Q45075" s="8"/>
    </row>
    <row r="45076" spans="17:17" x14ac:dyDescent="0.25">
      <c r="Q45076" s="8"/>
    </row>
    <row r="45077" spans="17:17" x14ac:dyDescent="0.25">
      <c r="Q45077" s="8"/>
    </row>
    <row r="45078" spans="17:17" x14ac:dyDescent="0.25">
      <c r="Q45078" s="8"/>
    </row>
    <row r="45079" spans="17:17" x14ac:dyDescent="0.25">
      <c r="Q45079" s="8"/>
    </row>
    <row r="45080" spans="17:17" x14ac:dyDescent="0.25">
      <c r="Q45080" s="8"/>
    </row>
    <row r="45081" spans="17:17" x14ac:dyDescent="0.25">
      <c r="Q45081" s="8"/>
    </row>
    <row r="45082" spans="17:17" x14ac:dyDescent="0.25">
      <c r="Q45082" s="8"/>
    </row>
    <row r="45083" spans="17:17" x14ac:dyDescent="0.25">
      <c r="Q45083" s="8"/>
    </row>
    <row r="45084" spans="17:17" x14ac:dyDescent="0.25">
      <c r="Q45084" s="8"/>
    </row>
    <row r="45085" spans="17:17" x14ac:dyDescent="0.25">
      <c r="Q45085" s="8"/>
    </row>
    <row r="45086" spans="17:17" x14ac:dyDescent="0.25">
      <c r="Q45086" s="8"/>
    </row>
    <row r="45087" spans="17:17" x14ac:dyDescent="0.25">
      <c r="Q45087" s="8"/>
    </row>
    <row r="45088" spans="17:17" x14ac:dyDescent="0.25">
      <c r="Q45088" s="8"/>
    </row>
    <row r="45089" spans="17:17" x14ac:dyDescent="0.25">
      <c r="Q45089" s="8"/>
    </row>
    <row r="45090" spans="17:17" x14ac:dyDescent="0.25">
      <c r="Q45090" s="8"/>
    </row>
    <row r="45091" spans="17:17" x14ac:dyDescent="0.25">
      <c r="Q45091" s="8"/>
    </row>
    <row r="45092" spans="17:17" x14ac:dyDescent="0.25">
      <c r="Q45092" s="8"/>
    </row>
    <row r="45093" spans="17:17" x14ac:dyDescent="0.25">
      <c r="Q45093" s="8"/>
    </row>
    <row r="45094" spans="17:17" x14ac:dyDescent="0.25">
      <c r="Q45094" s="8"/>
    </row>
    <row r="45095" spans="17:17" x14ac:dyDescent="0.25">
      <c r="Q45095" s="8"/>
    </row>
    <row r="45096" spans="17:17" x14ac:dyDescent="0.25">
      <c r="Q45096" s="8"/>
    </row>
    <row r="45097" spans="17:17" x14ac:dyDescent="0.25">
      <c r="Q45097" s="8"/>
    </row>
    <row r="45098" spans="17:17" x14ac:dyDescent="0.25">
      <c r="Q45098" s="8"/>
    </row>
    <row r="45099" spans="17:17" x14ac:dyDescent="0.25">
      <c r="Q45099" s="8"/>
    </row>
    <row r="45100" spans="17:17" x14ac:dyDescent="0.25">
      <c r="Q45100" s="8"/>
    </row>
    <row r="45101" spans="17:17" x14ac:dyDescent="0.25">
      <c r="Q45101" s="8"/>
    </row>
    <row r="45102" spans="17:17" x14ac:dyDescent="0.25">
      <c r="Q45102" s="8"/>
    </row>
    <row r="45103" spans="17:17" x14ac:dyDescent="0.25">
      <c r="Q45103" s="8"/>
    </row>
    <row r="45104" spans="17:17" x14ac:dyDescent="0.25">
      <c r="Q45104" s="8"/>
    </row>
    <row r="45105" spans="17:17" x14ac:dyDescent="0.25">
      <c r="Q45105" s="8"/>
    </row>
    <row r="45106" spans="17:17" x14ac:dyDescent="0.25">
      <c r="Q45106" s="8"/>
    </row>
    <row r="45107" spans="17:17" x14ac:dyDescent="0.25">
      <c r="Q45107" s="8"/>
    </row>
    <row r="45108" spans="17:17" x14ac:dyDescent="0.25">
      <c r="Q45108" s="8"/>
    </row>
    <row r="45109" spans="17:17" x14ac:dyDescent="0.25">
      <c r="Q45109" s="8"/>
    </row>
    <row r="45110" spans="17:17" x14ac:dyDescent="0.25">
      <c r="Q45110" s="8"/>
    </row>
    <row r="45111" spans="17:17" x14ac:dyDescent="0.25">
      <c r="Q45111" s="8"/>
    </row>
    <row r="45112" spans="17:17" x14ac:dyDescent="0.25">
      <c r="Q45112" s="8"/>
    </row>
    <row r="45113" spans="17:17" x14ac:dyDescent="0.25">
      <c r="Q45113" s="8"/>
    </row>
    <row r="45114" spans="17:17" x14ac:dyDescent="0.25">
      <c r="Q45114" s="8"/>
    </row>
    <row r="45115" spans="17:17" x14ac:dyDescent="0.25">
      <c r="Q45115" s="8"/>
    </row>
    <row r="45116" spans="17:17" x14ac:dyDescent="0.25">
      <c r="Q45116" s="8"/>
    </row>
    <row r="45117" spans="17:17" x14ac:dyDescent="0.25">
      <c r="Q45117" s="8"/>
    </row>
    <row r="45118" spans="17:17" x14ac:dyDescent="0.25">
      <c r="Q45118" s="8"/>
    </row>
    <row r="45119" spans="17:17" x14ac:dyDescent="0.25">
      <c r="Q45119" s="8"/>
    </row>
    <row r="45120" spans="17:17" x14ac:dyDescent="0.25">
      <c r="Q45120" s="8"/>
    </row>
    <row r="45121" spans="17:17" x14ac:dyDescent="0.25">
      <c r="Q45121" s="8"/>
    </row>
    <row r="45122" spans="17:17" x14ac:dyDescent="0.25">
      <c r="Q45122" s="8"/>
    </row>
    <row r="45123" spans="17:17" x14ac:dyDescent="0.25">
      <c r="Q45123" s="8"/>
    </row>
    <row r="45124" spans="17:17" x14ac:dyDescent="0.25">
      <c r="Q45124" s="8"/>
    </row>
    <row r="45125" spans="17:17" x14ac:dyDescent="0.25">
      <c r="Q45125" s="8"/>
    </row>
    <row r="45126" spans="17:17" x14ac:dyDescent="0.25">
      <c r="Q45126" s="8"/>
    </row>
    <row r="45127" spans="17:17" x14ac:dyDescent="0.25">
      <c r="Q45127" s="8"/>
    </row>
    <row r="45128" spans="17:17" x14ac:dyDescent="0.25">
      <c r="Q45128" s="8"/>
    </row>
    <row r="45129" spans="17:17" x14ac:dyDescent="0.25">
      <c r="Q45129" s="8"/>
    </row>
    <row r="45130" spans="17:17" x14ac:dyDescent="0.25">
      <c r="Q45130" s="8"/>
    </row>
    <row r="45131" spans="17:17" x14ac:dyDescent="0.25">
      <c r="Q45131" s="8"/>
    </row>
    <row r="45132" spans="17:17" x14ac:dyDescent="0.25">
      <c r="Q45132" s="8"/>
    </row>
    <row r="45133" spans="17:17" x14ac:dyDescent="0.25">
      <c r="Q45133" s="8"/>
    </row>
    <row r="45134" spans="17:17" x14ac:dyDescent="0.25">
      <c r="Q45134" s="8"/>
    </row>
    <row r="45135" spans="17:17" x14ac:dyDescent="0.25">
      <c r="Q45135" s="8"/>
    </row>
    <row r="45136" spans="17:17" x14ac:dyDescent="0.25">
      <c r="Q45136" s="8"/>
    </row>
    <row r="45137" spans="17:17" x14ac:dyDescent="0.25">
      <c r="Q45137" s="8"/>
    </row>
    <row r="45138" spans="17:17" x14ac:dyDescent="0.25">
      <c r="Q45138" s="8"/>
    </row>
    <row r="45139" spans="17:17" x14ac:dyDescent="0.25">
      <c r="Q45139" s="8"/>
    </row>
    <row r="45140" spans="17:17" x14ac:dyDescent="0.25">
      <c r="Q45140" s="8"/>
    </row>
    <row r="45141" spans="17:17" x14ac:dyDescent="0.25">
      <c r="Q45141" s="8"/>
    </row>
    <row r="45142" spans="17:17" x14ac:dyDescent="0.25">
      <c r="Q45142" s="8"/>
    </row>
    <row r="45143" spans="17:17" x14ac:dyDescent="0.25">
      <c r="Q45143" s="8"/>
    </row>
    <row r="45144" spans="17:17" x14ac:dyDescent="0.25">
      <c r="Q45144" s="8"/>
    </row>
    <row r="45145" spans="17:17" x14ac:dyDescent="0.25">
      <c r="Q45145" s="8"/>
    </row>
    <row r="45146" spans="17:17" x14ac:dyDescent="0.25">
      <c r="Q45146" s="8"/>
    </row>
    <row r="45147" spans="17:17" x14ac:dyDescent="0.25">
      <c r="Q45147" s="8"/>
    </row>
    <row r="45148" spans="17:17" x14ac:dyDescent="0.25">
      <c r="Q45148" s="8"/>
    </row>
    <row r="45149" spans="17:17" x14ac:dyDescent="0.25">
      <c r="Q45149" s="8"/>
    </row>
    <row r="45150" spans="17:17" x14ac:dyDescent="0.25">
      <c r="Q45150" s="8"/>
    </row>
    <row r="45151" spans="17:17" x14ac:dyDescent="0.25">
      <c r="Q45151" s="8"/>
    </row>
    <row r="45152" spans="17:17" x14ac:dyDescent="0.25">
      <c r="Q45152" s="8"/>
    </row>
    <row r="45153" spans="17:17" x14ac:dyDescent="0.25">
      <c r="Q45153" s="8"/>
    </row>
    <row r="45154" spans="17:17" x14ac:dyDescent="0.25">
      <c r="Q45154" s="8"/>
    </row>
    <row r="45155" spans="17:17" x14ac:dyDescent="0.25">
      <c r="Q45155" s="8"/>
    </row>
    <row r="45156" spans="17:17" x14ac:dyDescent="0.25">
      <c r="Q45156" s="8"/>
    </row>
    <row r="45157" spans="17:17" x14ac:dyDescent="0.25">
      <c r="Q45157" s="8"/>
    </row>
    <row r="45158" spans="17:17" x14ac:dyDescent="0.25">
      <c r="Q45158" s="8"/>
    </row>
    <row r="45159" spans="17:17" x14ac:dyDescent="0.25">
      <c r="Q45159" s="8"/>
    </row>
    <row r="45160" spans="17:17" x14ac:dyDescent="0.25">
      <c r="Q45160" s="8"/>
    </row>
    <row r="45161" spans="17:17" x14ac:dyDescent="0.25">
      <c r="Q45161" s="8"/>
    </row>
    <row r="45162" spans="17:17" x14ac:dyDescent="0.25">
      <c r="Q45162" s="8"/>
    </row>
    <row r="45163" spans="17:17" x14ac:dyDescent="0.25">
      <c r="Q45163" s="8"/>
    </row>
    <row r="45164" spans="17:17" x14ac:dyDescent="0.25">
      <c r="Q45164" s="8"/>
    </row>
    <row r="45165" spans="17:17" x14ac:dyDescent="0.25">
      <c r="Q45165" s="8"/>
    </row>
    <row r="45166" spans="17:17" x14ac:dyDescent="0.25">
      <c r="Q45166" s="8"/>
    </row>
    <row r="45167" spans="17:17" x14ac:dyDescent="0.25">
      <c r="Q45167" s="8"/>
    </row>
    <row r="45168" spans="17:17" x14ac:dyDescent="0.25">
      <c r="Q45168" s="8"/>
    </row>
    <row r="45169" spans="17:17" x14ac:dyDescent="0.25">
      <c r="Q45169" s="8"/>
    </row>
    <row r="45170" spans="17:17" x14ac:dyDescent="0.25">
      <c r="Q45170" s="8"/>
    </row>
    <row r="45171" spans="17:17" x14ac:dyDescent="0.25">
      <c r="Q45171" s="8"/>
    </row>
    <row r="45172" spans="17:17" x14ac:dyDescent="0.25">
      <c r="Q45172" s="8"/>
    </row>
    <row r="45173" spans="17:17" x14ac:dyDescent="0.25">
      <c r="Q45173" s="8"/>
    </row>
    <row r="45174" spans="17:17" x14ac:dyDescent="0.25">
      <c r="Q45174" s="8"/>
    </row>
    <row r="45175" spans="17:17" x14ac:dyDescent="0.25">
      <c r="Q45175" s="8"/>
    </row>
    <row r="45176" spans="17:17" x14ac:dyDescent="0.25">
      <c r="Q45176" s="8"/>
    </row>
    <row r="45177" spans="17:17" x14ac:dyDescent="0.25">
      <c r="Q45177" s="8"/>
    </row>
    <row r="45178" spans="17:17" x14ac:dyDescent="0.25">
      <c r="Q45178" s="8"/>
    </row>
    <row r="45179" spans="17:17" x14ac:dyDescent="0.25">
      <c r="Q45179" s="8"/>
    </row>
    <row r="45180" spans="17:17" x14ac:dyDescent="0.25">
      <c r="Q45180" s="8"/>
    </row>
    <row r="45181" spans="17:17" x14ac:dyDescent="0.25">
      <c r="Q45181" s="8"/>
    </row>
    <row r="45182" spans="17:17" x14ac:dyDescent="0.25">
      <c r="Q45182" s="8"/>
    </row>
    <row r="45183" spans="17:17" x14ac:dyDescent="0.25">
      <c r="Q45183" s="8"/>
    </row>
    <row r="45184" spans="17:17" x14ac:dyDescent="0.25">
      <c r="Q45184" s="8"/>
    </row>
    <row r="45185" spans="17:17" x14ac:dyDescent="0.25">
      <c r="Q45185" s="8"/>
    </row>
    <row r="45186" spans="17:17" x14ac:dyDescent="0.25">
      <c r="Q45186" s="8"/>
    </row>
    <row r="45187" spans="17:17" x14ac:dyDescent="0.25">
      <c r="Q45187" s="8"/>
    </row>
    <row r="45188" spans="17:17" x14ac:dyDescent="0.25">
      <c r="Q45188" s="8"/>
    </row>
    <row r="45189" spans="17:17" x14ac:dyDescent="0.25">
      <c r="Q45189" s="8"/>
    </row>
    <row r="45190" spans="17:17" x14ac:dyDescent="0.25">
      <c r="Q45190" s="8"/>
    </row>
    <row r="45191" spans="17:17" x14ac:dyDescent="0.25">
      <c r="Q45191" s="8"/>
    </row>
    <row r="45192" spans="17:17" x14ac:dyDescent="0.25">
      <c r="Q45192" s="8"/>
    </row>
    <row r="45193" spans="17:17" x14ac:dyDescent="0.25">
      <c r="Q45193" s="8"/>
    </row>
    <row r="45194" spans="17:17" x14ac:dyDescent="0.25">
      <c r="Q45194" s="8"/>
    </row>
    <row r="45195" spans="17:17" x14ac:dyDescent="0.25">
      <c r="Q45195" s="8"/>
    </row>
    <row r="45196" spans="17:17" x14ac:dyDescent="0.25">
      <c r="Q45196" s="8"/>
    </row>
    <row r="45197" spans="17:17" x14ac:dyDescent="0.25">
      <c r="Q45197" s="8"/>
    </row>
    <row r="45198" spans="17:17" x14ac:dyDescent="0.25">
      <c r="Q45198" s="8"/>
    </row>
    <row r="45199" spans="17:17" x14ac:dyDescent="0.25">
      <c r="Q45199" s="8"/>
    </row>
    <row r="45200" spans="17:17" x14ac:dyDescent="0.25">
      <c r="Q45200" s="8"/>
    </row>
    <row r="45201" spans="17:17" x14ac:dyDescent="0.25">
      <c r="Q45201" s="8"/>
    </row>
    <row r="45202" spans="17:17" x14ac:dyDescent="0.25">
      <c r="Q45202" s="8"/>
    </row>
    <row r="45203" spans="17:17" x14ac:dyDescent="0.25">
      <c r="Q45203" s="8"/>
    </row>
    <row r="45204" spans="17:17" x14ac:dyDescent="0.25">
      <c r="Q45204" s="8"/>
    </row>
    <row r="45205" spans="17:17" x14ac:dyDescent="0.25">
      <c r="Q45205" s="8"/>
    </row>
    <row r="45206" spans="17:17" x14ac:dyDescent="0.25">
      <c r="Q45206" s="8"/>
    </row>
    <row r="45207" spans="17:17" x14ac:dyDescent="0.25">
      <c r="Q45207" s="8"/>
    </row>
    <row r="45208" spans="17:17" x14ac:dyDescent="0.25">
      <c r="Q45208" s="8"/>
    </row>
    <row r="45209" spans="17:17" x14ac:dyDescent="0.25">
      <c r="Q45209" s="8"/>
    </row>
    <row r="45210" spans="17:17" x14ac:dyDescent="0.25">
      <c r="Q45210" s="8"/>
    </row>
    <row r="45211" spans="17:17" x14ac:dyDescent="0.25">
      <c r="Q45211" s="8"/>
    </row>
    <row r="45212" spans="17:17" x14ac:dyDescent="0.25">
      <c r="Q45212" s="8"/>
    </row>
    <row r="45213" spans="17:17" x14ac:dyDescent="0.25">
      <c r="Q45213" s="8"/>
    </row>
    <row r="45214" spans="17:17" x14ac:dyDescent="0.25">
      <c r="Q45214" s="8"/>
    </row>
    <row r="45215" spans="17:17" x14ac:dyDescent="0.25">
      <c r="Q45215" s="8"/>
    </row>
    <row r="45216" spans="17:17" x14ac:dyDescent="0.25">
      <c r="Q45216" s="8"/>
    </row>
    <row r="45217" spans="17:17" x14ac:dyDescent="0.25">
      <c r="Q45217" s="8"/>
    </row>
    <row r="45218" spans="17:17" x14ac:dyDescent="0.25">
      <c r="Q45218" s="8"/>
    </row>
    <row r="45219" spans="17:17" x14ac:dyDescent="0.25">
      <c r="Q45219" s="8"/>
    </row>
    <row r="45220" spans="17:17" x14ac:dyDescent="0.25">
      <c r="Q45220" s="8"/>
    </row>
    <row r="45221" spans="17:17" x14ac:dyDescent="0.25">
      <c r="Q45221" s="8"/>
    </row>
    <row r="45222" spans="17:17" x14ac:dyDescent="0.25">
      <c r="Q45222" s="8"/>
    </row>
    <row r="45223" spans="17:17" x14ac:dyDescent="0.25">
      <c r="Q45223" s="8"/>
    </row>
    <row r="45224" spans="17:17" x14ac:dyDescent="0.25">
      <c r="Q45224" s="8"/>
    </row>
    <row r="45225" spans="17:17" x14ac:dyDescent="0.25">
      <c r="Q45225" s="8"/>
    </row>
    <row r="45226" spans="17:17" x14ac:dyDescent="0.25">
      <c r="Q45226" s="8"/>
    </row>
    <row r="45227" spans="17:17" x14ac:dyDescent="0.25">
      <c r="Q45227" s="8"/>
    </row>
    <row r="45228" spans="17:17" x14ac:dyDescent="0.25">
      <c r="Q45228" s="8"/>
    </row>
    <row r="45229" spans="17:17" x14ac:dyDescent="0.25">
      <c r="Q45229" s="8"/>
    </row>
    <row r="45230" spans="17:17" x14ac:dyDescent="0.25">
      <c r="Q45230" s="8"/>
    </row>
    <row r="45231" spans="17:17" x14ac:dyDescent="0.25">
      <c r="Q45231" s="8"/>
    </row>
    <row r="45232" spans="17:17" x14ac:dyDescent="0.25">
      <c r="Q45232" s="8"/>
    </row>
    <row r="45233" spans="17:17" x14ac:dyDescent="0.25">
      <c r="Q45233" s="8"/>
    </row>
    <row r="45234" spans="17:17" x14ac:dyDescent="0.25">
      <c r="Q45234" s="8"/>
    </row>
    <row r="45235" spans="17:17" x14ac:dyDescent="0.25">
      <c r="Q45235" s="8"/>
    </row>
    <row r="45236" spans="17:17" x14ac:dyDescent="0.25">
      <c r="Q45236" s="8"/>
    </row>
    <row r="45237" spans="17:17" x14ac:dyDescent="0.25">
      <c r="Q45237" s="8"/>
    </row>
    <row r="45238" spans="17:17" x14ac:dyDescent="0.25">
      <c r="Q45238" s="8"/>
    </row>
    <row r="45239" spans="17:17" x14ac:dyDescent="0.25">
      <c r="Q45239" s="8"/>
    </row>
    <row r="45240" spans="17:17" x14ac:dyDescent="0.25">
      <c r="Q45240" s="8"/>
    </row>
    <row r="45241" spans="17:17" x14ac:dyDescent="0.25">
      <c r="Q45241" s="8"/>
    </row>
    <row r="45242" spans="17:17" x14ac:dyDescent="0.25">
      <c r="Q45242" s="8"/>
    </row>
    <row r="45243" spans="17:17" x14ac:dyDescent="0.25">
      <c r="Q45243" s="8"/>
    </row>
    <row r="45244" spans="17:17" x14ac:dyDescent="0.25">
      <c r="Q45244" s="8"/>
    </row>
    <row r="45245" spans="17:17" x14ac:dyDescent="0.25">
      <c r="Q45245" s="8"/>
    </row>
    <row r="45246" spans="17:17" x14ac:dyDescent="0.25">
      <c r="Q45246" s="8"/>
    </row>
    <row r="45247" spans="17:17" x14ac:dyDescent="0.25">
      <c r="Q45247" s="8"/>
    </row>
    <row r="45248" spans="17:17" x14ac:dyDescent="0.25">
      <c r="Q45248" s="8"/>
    </row>
    <row r="45249" spans="17:17" x14ac:dyDescent="0.25">
      <c r="Q45249" s="8"/>
    </row>
    <row r="45250" spans="17:17" x14ac:dyDescent="0.25">
      <c r="Q45250" s="8"/>
    </row>
    <row r="45251" spans="17:17" x14ac:dyDescent="0.25">
      <c r="Q45251" s="8"/>
    </row>
    <row r="45252" spans="17:17" x14ac:dyDescent="0.25">
      <c r="Q45252" s="8"/>
    </row>
    <row r="45253" spans="17:17" x14ac:dyDescent="0.25">
      <c r="Q45253" s="8"/>
    </row>
    <row r="45254" spans="17:17" x14ac:dyDescent="0.25">
      <c r="Q45254" s="8"/>
    </row>
    <row r="45255" spans="17:17" x14ac:dyDescent="0.25">
      <c r="Q45255" s="8"/>
    </row>
    <row r="45256" spans="17:17" x14ac:dyDescent="0.25">
      <c r="Q45256" s="8"/>
    </row>
    <row r="45257" spans="17:17" x14ac:dyDescent="0.25">
      <c r="Q45257" s="8"/>
    </row>
    <row r="45258" spans="17:17" x14ac:dyDescent="0.25">
      <c r="Q45258" s="8"/>
    </row>
    <row r="45259" spans="17:17" x14ac:dyDescent="0.25">
      <c r="Q45259" s="8"/>
    </row>
    <row r="45260" spans="17:17" x14ac:dyDescent="0.25">
      <c r="Q45260" s="8"/>
    </row>
    <row r="45261" spans="17:17" x14ac:dyDescent="0.25">
      <c r="Q45261" s="8"/>
    </row>
    <row r="45262" spans="17:17" x14ac:dyDescent="0.25">
      <c r="Q45262" s="8"/>
    </row>
    <row r="45263" spans="17:17" x14ac:dyDescent="0.25">
      <c r="Q45263" s="8"/>
    </row>
    <row r="45264" spans="17:17" x14ac:dyDescent="0.25">
      <c r="Q45264" s="8"/>
    </row>
    <row r="45265" spans="17:17" x14ac:dyDescent="0.25">
      <c r="Q45265" s="8"/>
    </row>
    <row r="45266" spans="17:17" x14ac:dyDescent="0.25">
      <c r="Q45266" s="8"/>
    </row>
    <row r="45267" spans="17:17" x14ac:dyDescent="0.25">
      <c r="Q45267" s="8"/>
    </row>
    <row r="45268" spans="17:17" x14ac:dyDescent="0.25">
      <c r="Q45268" s="8"/>
    </row>
    <row r="45269" spans="17:17" x14ac:dyDescent="0.25">
      <c r="Q45269" s="8"/>
    </row>
    <row r="45270" spans="17:17" x14ac:dyDescent="0.25">
      <c r="Q45270" s="8"/>
    </row>
    <row r="45271" spans="17:17" x14ac:dyDescent="0.25">
      <c r="Q45271" s="8"/>
    </row>
    <row r="45272" spans="17:17" x14ac:dyDescent="0.25">
      <c r="Q45272" s="8"/>
    </row>
    <row r="45273" spans="17:17" x14ac:dyDescent="0.25">
      <c r="Q45273" s="8"/>
    </row>
    <row r="45274" spans="17:17" x14ac:dyDescent="0.25">
      <c r="Q45274" s="8"/>
    </row>
    <row r="45275" spans="17:17" x14ac:dyDescent="0.25">
      <c r="Q45275" s="8"/>
    </row>
    <row r="45276" spans="17:17" x14ac:dyDescent="0.25">
      <c r="Q45276" s="8"/>
    </row>
    <row r="45277" spans="17:17" x14ac:dyDescent="0.25">
      <c r="Q45277" s="8"/>
    </row>
    <row r="45278" spans="17:17" x14ac:dyDescent="0.25">
      <c r="Q45278" s="8"/>
    </row>
    <row r="45279" spans="17:17" x14ac:dyDescent="0.25">
      <c r="Q45279" s="8"/>
    </row>
    <row r="45280" spans="17:17" x14ac:dyDescent="0.25">
      <c r="Q45280" s="8"/>
    </row>
    <row r="45281" spans="17:17" x14ac:dyDescent="0.25">
      <c r="Q45281" s="8"/>
    </row>
    <row r="45282" spans="17:17" x14ac:dyDescent="0.25">
      <c r="Q45282" s="8"/>
    </row>
    <row r="45283" spans="17:17" x14ac:dyDescent="0.25">
      <c r="Q45283" s="8"/>
    </row>
    <row r="45284" spans="17:17" x14ac:dyDescent="0.25">
      <c r="Q45284" s="8"/>
    </row>
    <row r="45285" spans="17:17" x14ac:dyDescent="0.25">
      <c r="Q45285" s="8"/>
    </row>
    <row r="45286" spans="17:17" x14ac:dyDescent="0.25">
      <c r="Q45286" s="8"/>
    </row>
    <row r="45287" spans="17:17" x14ac:dyDescent="0.25">
      <c r="Q45287" s="8"/>
    </row>
    <row r="45288" spans="17:17" x14ac:dyDescent="0.25">
      <c r="Q45288" s="8"/>
    </row>
    <row r="45289" spans="17:17" x14ac:dyDescent="0.25">
      <c r="Q45289" s="8"/>
    </row>
    <row r="45290" spans="17:17" x14ac:dyDescent="0.25">
      <c r="Q45290" s="8"/>
    </row>
    <row r="45291" spans="17:17" x14ac:dyDescent="0.25">
      <c r="Q45291" s="8"/>
    </row>
    <row r="45292" spans="17:17" x14ac:dyDescent="0.25">
      <c r="Q45292" s="8"/>
    </row>
    <row r="45293" spans="17:17" x14ac:dyDescent="0.25">
      <c r="Q45293" s="8"/>
    </row>
    <row r="45294" spans="17:17" x14ac:dyDescent="0.25">
      <c r="Q45294" s="8"/>
    </row>
    <row r="45295" spans="17:17" x14ac:dyDescent="0.25">
      <c r="Q45295" s="8"/>
    </row>
    <row r="45296" spans="17:17" x14ac:dyDescent="0.25">
      <c r="Q45296" s="8"/>
    </row>
    <row r="45297" spans="17:17" x14ac:dyDescent="0.25">
      <c r="Q45297" s="8"/>
    </row>
    <row r="45298" spans="17:17" x14ac:dyDescent="0.25">
      <c r="Q45298" s="8"/>
    </row>
    <row r="45299" spans="17:17" x14ac:dyDescent="0.25">
      <c r="Q45299" s="8"/>
    </row>
    <row r="45300" spans="17:17" x14ac:dyDescent="0.25">
      <c r="Q45300" s="8"/>
    </row>
    <row r="45301" spans="17:17" x14ac:dyDescent="0.25">
      <c r="Q45301" s="8"/>
    </row>
    <row r="45302" spans="17:17" x14ac:dyDescent="0.25">
      <c r="Q45302" s="8"/>
    </row>
    <row r="45303" spans="17:17" x14ac:dyDescent="0.25">
      <c r="Q45303" s="8"/>
    </row>
    <row r="45304" spans="17:17" x14ac:dyDescent="0.25">
      <c r="Q45304" s="8"/>
    </row>
    <row r="45305" spans="17:17" x14ac:dyDescent="0.25">
      <c r="Q45305" s="8"/>
    </row>
    <row r="45306" spans="17:17" x14ac:dyDescent="0.25">
      <c r="Q45306" s="8"/>
    </row>
    <row r="45307" spans="17:17" x14ac:dyDescent="0.25">
      <c r="Q45307" s="8"/>
    </row>
    <row r="45308" spans="17:17" x14ac:dyDescent="0.25">
      <c r="Q45308" s="8"/>
    </row>
    <row r="45309" spans="17:17" x14ac:dyDescent="0.25">
      <c r="Q45309" s="8"/>
    </row>
    <row r="45310" spans="17:17" x14ac:dyDescent="0.25">
      <c r="Q45310" s="8"/>
    </row>
    <row r="45311" spans="17:17" x14ac:dyDescent="0.25">
      <c r="Q45311" s="8"/>
    </row>
    <row r="45312" spans="17:17" x14ac:dyDescent="0.25">
      <c r="Q45312" s="8"/>
    </row>
    <row r="45313" spans="17:17" x14ac:dyDescent="0.25">
      <c r="Q45313" s="8"/>
    </row>
    <row r="45314" spans="17:17" x14ac:dyDescent="0.25">
      <c r="Q45314" s="8"/>
    </row>
    <row r="45315" spans="17:17" x14ac:dyDescent="0.25">
      <c r="Q45315" s="8"/>
    </row>
    <row r="45316" spans="17:17" x14ac:dyDescent="0.25">
      <c r="Q45316" s="8"/>
    </row>
    <row r="45317" spans="17:17" x14ac:dyDescent="0.25">
      <c r="Q45317" s="8"/>
    </row>
    <row r="45318" spans="17:17" x14ac:dyDescent="0.25">
      <c r="Q45318" s="8"/>
    </row>
    <row r="45319" spans="17:17" x14ac:dyDescent="0.25">
      <c r="Q45319" s="8"/>
    </row>
    <row r="45320" spans="17:17" x14ac:dyDescent="0.25">
      <c r="Q45320" s="8"/>
    </row>
    <row r="45321" spans="17:17" x14ac:dyDescent="0.25">
      <c r="Q45321" s="8"/>
    </row>
    <row r="45322" spans="17:17" x14ac:dyDescent="0.25">
      <c r="Q45322" s="8"/>
    </row>
    <row r="45323" spans="17:17" x14ac:dyDescent="0.25">
      <c r="Q45323" s="8"/>
    </row>
    <row r="45324" spans="17:17" x14ac:dyDescent="0.25">
      <c r="Q45324" s="8"/>
    </row>
    <row r="45325" spans="17:17" x14ac:dyDescent="0.25">
      <c r="Q45325" s="8"/>
    </row>
    <row r="45326" spans="17:17" x14ac:dyDescent="0.25">
      <c r="Q45326" s="8"/>
    </row>
    <row r="45327" spans="17:17" x14ac:dyDescent="0.25">
      <c r="Q45327" s="8"/>
    </row>
    <row r="45328" spans="17:17" x14ac:dyDescent="0.25">
      <c r="Q45328" s="8"/>
    </row>
    <row r="45329" spans="17:17" x14ac:dyDescent="0.25">
      <c r="Q45329" s="8"/>
    </row>
    <row r="45330" spans="17:17" x14ac:dyDescent="0.25">
      <c r="Q45330" s="8"/>
    </row>
    <row r="45331" spans="17:17" x14ac:dyDescent="0.25">
      <c r="Q45331" s="8"/>
    </row>
    <row r="45332" spans="17:17" x14ac:dyDescent="0.25">
      <c r="Q45332" s="8"/>
    </row>
    <row r="45333" spans="17:17" x14ac:dyDescent="0.25">
      <c r="Q45333" s="8"/>
    </row>
    <row r="45334" spans="17:17" x14ac:dyDescent="0.25">
      <c r="Q45334" s="8"/>
    </row>
    <row r="45335" spans="17:17" x14ac:dyDescent="0.25">
      <c r="Q45335" s="8"/>
    </row>
    <row r="45336" spans="17:17" x14ac:dyDescent="0.25">
      <c r="Q45336" s="8"/>
    </row>
    <row r="45337" spans="17:17" x14ac:dyDescent="0.25">
      <c r="Q45337" s="8"/>
    </row>
    <row r="45338" spans="17:17" x14ac:dyDescent="0.25">
      <c r="Q45338" s="8"/>
    </row>
    <row r="45339" spans="17:17" x14ac:dyDescent="0.25">
      <c r="Q45339" s="8"/>
    </row>
    <row r="45340" spans="17:17" x14ac:dyDescent="0.25">
      <c r="Q45340" s="8"/>
    </row>
    <row r="45341" spans="17:17" x14ac:dyDescent="0.25">
      <c r="Q45341" s="8"/>
    </row>
    <row r="45342" spans="17:17" x14ac:dyDescent="0.25">
      <c r="Q45342" s="8"/>
    </row>
    <row r="45343" spans="17:17" x14ac:dyDescent="0.25">
      <c r="Q45343" s="8"/>
    </row>
    <row r="45344" spans="17:17" x14ac:dyDescent="0.25">
      <c r="Q45344" s="8"/>
    </row>
    <row r="45345" spans="17:17" x14ac:dyDescent="0.25">
      <c r="Q45345" s="8"/>
    </row>
    <row r="45346" spans="17:17" x14ac:dyDescent="0.25">
      <c r="Q45346" s="8"/>
    </row>
    <row r="45347" spans="17:17" x14ac:dyDescent="0.25">
      <c r="Q45347" s="8"/>
    </row>
    <row r="45348" spans="17:17" x14ac:dyDescent="0.25">
      <c r="Q45348" s="8"/>
    </row>
    <row r="45349" spans="17:17" x14ac:dyDescent="0.25">
      <c r="Q45349" s="8"/>
    </row>
    <row r="45350" spans="17:17" x14ac:dyDescent="0.25">
      <c r="Q45350" s="8"/>
    </row>
    <row r="45351" spans="17:17" x14ac:dyDescent="0.25">
      <c r="Q45351" s="8"/>
    </row>
    <row r="45352" spans="17:17" x14ac:dyDescent="0.25">
      <c r="Q45352" s="8"/>
    </row>
    <row r="45353" spans="17:17" x14ac:dyDescent="0.25">
      <c r="Q45353" s="8"/>
    </row>
    <row r="45354" spans="17:17" x14ac:dyDescent="0.25">
      <c r="Q45354" s="8"/>
    </row>
    <row r="45355" spans="17:17" x14ac:dyDescent="0.25">
      <c r="Q45355" s="8"/>
    </row>
    <row r="45356" spans="17:17" x14ac:dyDescent="0.25">
      <c r="Q45356" s="8"/>
    </row>
    <row r="45357" spans="17:17" x14ac:dyDescent="0.25">
      <c r="Q45357" s="8"/>
    </row>
    <row r="45358" spans="17:17" x14ac:dyDescent="0.25">
      <c r="Q45358" s="8"/>
    </row>
    <row r="45359" spans="17:17" x14ac:dyDescent="0.25">
      <c r="Q45359" s="8"/>
    </row>
    <row r="45360" spans="17:17" x14ac:dyDescent="0.25">
      <c r="Q45360" s="8"/>
    </row>
    <row r="45361" spans="17:17" x14ac:dyDescent="0.25">
      <c r="Q45361" s="8"/>
    </row>
    <row r="45362" spans="17:17" x14ac:dyDescent="0.25">
      <c r="Q45362" s="8"/>
    </row>
    <row r="45363" spans="17:17" x14ac:dyDescent="0.25">
      <c r="Q45363" s="8"/>
    </row>
    <row r="45364" spans="17:17" x14ac:dyDescent="0.25">
      <c r="Q45364" s="8"/>
    </row>
    <row r="45365" spans="17:17" x14ac:dyDescent="0.25">
      <c r="Q45365" s="8"/>
    </row>
    <row r="45366" spans="17:17" x14ac:dyDescent="0.25">
      <c r="Q45366" s="8"/>
    </row>
    <row r="45367" spans="17:17" x14ac:dyDescent="0.25">
      <c r="Q45367" s="8"/>
    </row>
    <row r="45368" spans="17:17" x14ac:dyDescent="0.25">
      <c r="Q45368" s="8"/>
    </row>
    <row r="45369" spans="17:17" x14ac:dyDescent="0.25">
      <c r="Q45369" s="8"/>
    </row>
    <row r="45370" spans="17:17" x14ac:dyDescent="0.25">
      <c r="Q45370" s="8"/>
    </row>
    <row r="45371" spans="17:17" x14ac:dyDescent="0.25">
      <c r="Q45371" s="8"/>
    </row>
    <row r="45372" spans="17:17" x14ac:dyDescent="0.25">
      <c r="Q45372" s="8"/>
    </row>
    <row r="45373" spans="17:17" x14ac:dyDescent="0.25">
      <c r="Q45373" s="8"/>
    </row>
    <row r="45374" spans="17:17" x14ac:dyDescent="0.25">
      <c r="Q45374" s="8"/>
    </row>
    <row r="45375" spans="17:17" x14ac:dyDescent="0.25">
      <c r="Q45375" s="8"/>
    </row>
    <row r="45376" spans="17:17" x14ac:dyDescent="0.25">
      <c r="Q45376" s="8"/>
    </row>
    <row r="45377" spans="17:17" x14ac:dyDescent="0.25">
      <c r="Q45377" s="8"/>
    </row>
    <row r="45378" spans="17:17" x14ac:dyDescent="0.25">
      <c r="Q45378" s="8"/>
    </row>
    <row r="45379" spans="17:17" x14ac:dyDescent="0.25">
      <c r="Q45379" s="8"/>
    </row>
    <row r="45380" spans="17:17" x14ac:dyDescent="0.25">
      <c r="Q45380" s="8"/>
    </row>
    <row r="45381" spans="17:17" x14ac:dyDescent="0.25">
      <c r="Q45381" s="8"/>
    </row>
    <row r="45382" spans="17:17" x14ac:dyDescent="0.25">
      <c r="Q45382" s="8"/>
    </row>
    <row r="45383" spans="17:17" x14ac:dyDescent="0.25">
      <c r="Q45383" s="8"/>
    </row>
    <row r="45384" spans="17:17" x14ac:dyDescent="0.25">
      <c r="Q45384" s="8"/>
    </row>
    <row r="45385" spans="17:17" x14ac:dyDescent="0.25">
      <c r="Q45385" s="8"/>
    </row>
    <row r="45386" spans="17:17" x14ac:dyDescent="0.25">
      <c r="Q45386" s="8"/>
    </row>
    <row r="45387" spans="17:17" x14ac:dyDescent="0.25">
      <c r="Q45387" s="8"/>
    </row>
    <row r="45388" spans="17:17" x14ac:dyDescent="0.25">
      <c r="Q45388" s="8"/>
    </row>
    <row r="45389" spans="17:17" x14ac:dyDescent="0.25">
      <c r="Q45389" s="8"/>
    </row>
    <row r="45390" spans="17:17" x14ac:dyDescent="0.25">
      <c r="Q45390" s="8"/>
    </row>
    <row r="45391" spans="17:17" x14ac:dyDescent="0.25">
      <c r="Q45391" s="8"/>
    </row>
    <row r="45392" spans="17:17" x14ac:dyDescent="0.25">
      <c r="Q45392" s="8"/>
    </row>
    <row r="45393" spans="17:17" x14ac:dyDescent="0.25">
      <c r="Q45393" s="8"/>
    </row>
    <row r="45394" spans="17:17" x14ac:dyDescent="0.25">
      <c r="Q45394" s="8"/>
    </row>
    <row r="45395" spans="17:17" x14ac:dyDescent="0.25">
      <c r="Q45395" s="8"/>
    </row>
    <row r="45396" spans="17:17" x14ac:dyDescent="0.25">
      <c r="Q45396" s="8"/>
    </row>
    <row r="45397" spans="17:17" x14ac:dyDescent="0.25">
      <c r="Q45397" s="8"/>
    </row>
    <row r="45398" spans="17:17" x14ac:dyDescent="0.25">
      <c r="Q45398" s="8"/>
    </row>
    <row r="45399" spans="17:17" x14ac:dyDescent="0.25">
      <c r="Q45399" s="8"/>
    </row>
    <row r="45400" spans="17:17" x14ac:dyDescent="0.25">
      <c r="Q45400" s="8"/>
    </row>
    <row r="45401" spans="17:17" x14ac:dyDescent="0.25">
      <c r="Q45401" s="8"/>
    </row>
    <row r="45402" spans="17:17" x14ac:dyDescent="0.25">
      <c r="Q45402" s="8"/>
    </row>
    <row r="45403" spans="17:17" x14ac:dyDescent="0.25">
      <c r="Q45403" s="8"/>
    </row>
    <row r="45404" spans="17:17" x14ac:dyDescent="0.25">
      <c r="Q45404" s="8"/>
    </row>
    <row r="45405" spans="17:17" x14ac:dyDescent="0.25">
      <c r="Q45405" s="8"/>
    </row>
    <row r="45406" spans="17:17" x14ac:dyDescent="0.25">
      <c r="Q45406" s="8"/>
    </row>
    <row r="45407" spans="17:17" x14ac:dyDescent="0.25">
      <c r="Q45407" s="8"/>
    </row>
    <row r="45408" spans="17:17" x14ac:dyDescent="0.25">
      <c r="Q45408" s="8"/>
    </row>
    <row r="45409" spans="17:17" x14ac:dyDescent="0.25">
      <c r="Q45409" s="8"/>
    </row>
    <row r="45410" spans="17:17" x14ac:dyDescent="0.25">
      <c r="Q45410" s="8"/>
    </row>
    <row r="45411" spans="17:17" x14ac:dyDescent="0.25">
      <c r="Q45411" s="8"/>
    </row>
    <row r="45412" spans="17:17" x14ac:dyDescent="0.25">
      <c r="Q45412" s="8"/>
    </row>
    <row r="45413" spans="17:17" x14ac:dyDescent="0.25">
      <c r="Q45413" s="8"/>
    </row>
    <row r="45414" spans="17:17" x14ac:dyDescent="0.25">
      <c r="Q45414" s="8"/>
    </row>
    <row r="45415" spans="17:17" x14ac:dyDescent="0.25">
      <c r="Q45415" s="8"/>
    </row>
    <row r="45416" spans="17:17" x14ac:dyDescent="0.25">
      <c r="Q45416" s="8"/>
    </row>
    <row r="45417" spans="17:17" x14ac:dyDescent="0.25">
      <c r="Q45417" s="8"/>
    </row>
    <row r="45418" spans="17:17" x14ac:dyDescent="0.25">
      <c r="Q45418" s="8"/>
    </row>
    <row r="45419" spans="17:17" x14ac:dyDescent="0.25">
      <c r="Q45419" s="8"/>
    </row>
    <row r="45420" spans="17:17" x14ac:dyDescent="0.25">
      <c r="Q45420" s="8"/>
    </row>
    <row r="45421" spans="17:17" x14ac:dyDescent="0.25">
      <c r="Q45421" s="8"/>
    </row>
    <row r="45422" spans="17:17" x14ac:dyDescent="0.25">
      <c r="Q45422" s="8"/>
    </row>
    <row r="45423" spans="17:17" x14ac:dyDescent="0.25">
      <c r="Q45423" s="8"/>
    </row>
    <row r="45424" spans="17:17" x14ac:dyDescent="0.25">
      <c r="Q45424" s="8"/>
    </row>
    <row r="45425" spans="17:17" x14ac:dyDescent="0.25">
      <c r="Q45425" s="8"/>
    </row>
    <row r="45426" spans="17:17" x14ac:dyDescent="0.25">
      <c r="Q45426" s="8"/>
    </row>
    <row r="45427" spans="17:17" x14ac:dyDescent="0.25">
      <c r="Q45427" s="8"/>
    </row>
    <row r="45428" spans="17:17" x14ac:dyDescent="0.25">
      <c r="Q45428" s="8"/>
    </row>
    <row r="45429" spans="17:17" x14ac:dyDescent="0.25">
      <c r="Q45429" s="8"/>
    </row>
    <row r="45430" spans="17:17" x14ac:dyDescent="0.25">
      <c r="Q45430" s="8"/>
    </row>
    <row r="45431" spans="17:17" x14ac:dyDescent="0.25">
      <c r="Q45431" s="8"/>
    </row>
    <row r="45432" spans="17:17" x14ac:dyDescent="0.25">
      <c r="Q45432" s="8"/>
    </row>
    <row r="45433" spans="17:17" x14ac:dyDescent="0.25">
      <c r="Q45433" s="8"/>
    </row>
    <row r="45434" spans="17:17" x14ac:dyDescent="0.25">
      <c r="Q45434" s="8"/>
    </row>
    <row r="45435" spans="17:17" x14ac:dyDescent="0.25">
      <c r="Q45435" s="8"/>
    </row>
    <row r="45436" spans="17:17" x14ac:dyDescent="0.25">
      <c r="Q45436" s="8"/>
    </row>
    <row r="45437" spans="17:17" x14ac:dyDescent="0.25">
      <c r="Q45437" s="8"/>
    </row>
    <row r="45438" spans="17:17" x14ac:dyDescent="0.25">
      <c r="Q45438" s="8"/>
    </row>
    <row r="45439" spans="17:17" x14ac:dyDescent="0.25">
      <c r="Q45439" s="8"/>
    </row>
    <row r="45440" spans="17:17" x14ac:dyDescent="0.25">
      <c r="Q45440" s="8"/>
    </row>
    <row r="45441" spans="17:17" x14ac:dyDescent="0.25">
      <c r="Q45441" s="8"/>
    </row>
    <row r="45442" spans="17:17" x14ac:dyDescent="0.25">
      <c r="Q45442" s="8"/>
    </row>
    <row r="45443" spans="17:17" x14ac:dyDescent="0.25">
      <c r="Q45443" s="8"/>
    </row>
    <row r="45444" spans="17:17" x14ac:dyDescent="0.25">
      <c r="Q45444" s="8"/>
    </row>
    <row r="45445" spans="17:17" x14ac:dyDescent="0.25">
      <c r="Q45445" s="8"/>
    </row>
    <row r="45446" spans="17:17" x14ac:dyDescent="0.25">
      <c r="Q45446" s="8"/>
    </row>
    <row r="45447" spans="17:17" x14ac:dyDescent="0.25">
      <c r="Q45447" s="8"/>
    </row>
    <row r="45448" spans="17:17" x14ac:dyDescent="0.25">
      <c r="Q45448" s="8"/>
    </row>
    <row r="45449" spans="17:17" x14ac:dyDescent="0.25">
      <c r="Q45449" s="8"/>
    </row>
    <row r="45450" spans="17:17" x14ac:dyDescent="0.25">
      <c r="Q45450" s="8"/>
    </row>
    <row r="45451" spans="17:17" x14ac:dyDescent="0.25">
      <c r="Q45451" s="8"/>
    </row>
    <row r="45452" spans="17:17" x14ac:dyDescent="0.25">
      <c r="Q45452" s="8"/>
    </row>
    <row r="45453" spans="17:17" x14ac:dyDescent="0.25">
      <c r="Q45453" s="8"/>
    </row>
    <row r="45454" spans="17:17" x14ac:dyDescent="0.25">
      <c r="Q45454" s="8"/>
    </row>
    <row r="45455" spans="17:17" x14ac:dyDescent="0.25">
      <c r="Q45455" s="8"/>
    </row>
    <row r="45456" spans="17:17" x14ac:dyDescent="0.25">
      <c r="Q45456" s="8"/>
    </row>
    <row r="45457" spans="17:17" x14ac:dyDescent="0.25">
      <c r="Q45457" s="8"/>
    </row>
    <row r="45458" spans="17:17" x14ac:dyDescent="0.25">
      <c r="Q45458" s="8"/>
    </row>
    <row r="45459" spans="17:17" x14ac:dyDescent="0.25">
      <c r="Q45459" s="8"/>
    </row>
    <row r="45460" spans="17:17" x14ac:dyDescent="0.25">
      <c r="Q45460" s="8"/>
    </row>
    <row r="45461" spans="17:17" x14ac:dyDescent="0.25">
      <c r="Q45461" s="8"/>
    </row>
    <row r="45462" spans="17:17" x14ac:dyDescent="0.25">
      <c r="Q45462" s="8"/>
    </row>
    <row r="45463" spans="17:17" x14ac:dyDescent="0.25">
      <c r="Q45463" s="8"/>
    </row>
    <row r="45464" spans="17:17" x14ac:dyDescent="0.25">
      <c r="Q45464" s="8"/>
    </row>
    <row r="45465" spans="17:17" x14ac:dyDescent="0.25">
      <c r="Q45465" s="8"/>
    </row>
    <row r="45466" spans="17:17" x14ac:dyDescent="0.25">
      <c r="Q45466" s="8"/>
    </row>
    <row r="45467" spans="17:17" x14ac:dyDescent="0.25">
      <c r="Q45467" s="8"/>
    </row>
    <row r="45468" spans="17:17" x14ac:dyDescent="0.25">
      <c r="Q45468" s="8"/>
    </row>
    <row r="45469" spans="17:17" x14ac:dyDescent="0.25">
      <c r="Q45469" s="8"/>
    </row>
    <row r="45470" spans="17:17" x14ac:dyDescent="0.25">
      <c r="Q45470" s="8"/>
    </row>
    <row r="45471" spans="17:17" x14ac:dyDescent="0.25">
      <c r="Q45471" s="8"/>
    </row>
    <row r="45472" spans="17:17" x14ac:dyDescent="0.25">
      <c r="Q45472" s="8"/>
    </row>
    <row r="45473" spans="17:17" x14ac:dyDescent="0.25">
      <c r="Q45473" s="8"/>
    </row>
    <row r="45474" spans="17:17" x14ac:dyDescent="0.25">
      <c r="Q45474" s="8"/>
    </row>
    <row r="45475" spans="17:17" x14ac:dyDescent="0.25">
      <c r="Q45475" s="8"/>
    </row>
    <row r="45476" spans="17:17" x14ac:dyDescent="0.25">
      <c r="Q45476" s="8"/>
    </row>
    <row r="45477" spans="17:17" x14ac:dyDescent="0.25">
      <c r="Q45477" s="8"/>
    </row>
    <row r="45478" spans="17:17" x14ac:dyDescent="0.25">
      <c r="Q45478" s="8"/>
    </row>
    <row r="45479" spans="17:17" x14ac:dyDescent="0.25">
      <c r="Q45479" s="8"/>
    </row>
    <row r="45480" spans="17:17" x14ac:dyDescent="0.25">
      <c r="Q45480" s="8"/>
    </row>
    <row r="45481" spans="17:17" x14ac:dyDescent="0.25">
      <c r="Q45481" s="8"/>
    </row>
    <row r="45482" spans="17:17" x14ac:dyDescent="0.25">
      <c r="Q45482" s="8"/>
    </row>
    <row r="45483" spans="17:17" x14ac:dyDescent="0.25">
      <c r="Q45483" s="8"/>
    </row>
    <row r="45484" spans="17:17" x14ac:dyDescent="0.25">
      <c r="Q45484" s="8"/>
    </row>
    <row r="45485" spans="17:17" x14ac:dyDescent="0.25">
      <c r="Q45485" s="8"/>
    </row>
    <row r="45486" spans="17:17" x14ac:dyDescent="0.25">
      <c r="Q45486" s="8"/>
    </row>
    <row r="45487" spans="17:17" x14ac:dyDescent="0.25">
      <c r="Q45487" s="8"/>
    </row>
    <row r="45488" spans="17:17" x14ac:dyDescent="0.25">
      <c r="Q45488" s="8"/>
    </row>
    <row r="45489" spans="17:17" x14ac:dyDescent="0.25">
      <c r="Q45489" s="8"/>
    </row>
    <row r="45490" spans="17:17" x14ac:dyDescent="0.25">
      <c r="Q45490" s="8"/>
    </row>
    <row r="45491" spans="17:17" x14ac:dyDescent="0.25">
      <c r="Q45491" s="8"/>
    </row>
    <row r="45492" spans="17:17" x14ac:dyDescent="0.25">
      <c r="Q45492" s="8"/>
    </row>
    <row r="45493" spans="17:17" x14ac:dyDescent="0.25">
      <c r="Q45493" s="8"/>
    </row>
    <row r="45494" spans="17:17" x14ac:dyDescent="0.25">
      <c r="Q45494" s="8"/>
    </row>
    <row r="45495" spans="17:17" x14ac:dyDescent="0.25">
      <c r="Q45495" s="8"/>
    </row>
    <row r="45496" spans="17:17" x14ac:dyDescent="0.25">
      <c r="Q45496" s="8"/>
    </row>
    <row r="45497" spans="17:17" x14ac:dyDescent="0.25">
      <c r="Q45497" s="8"/>
    </row>
    <row r="45498" spans="17:17" x14ac:dyDescent="0.25">
      <c r="Q45498" s="8"/>
    </row>
    <row r="45499" spans="17:17" x14ac:dyDescent="0.25">
      <c r="Q45499" s="8"/>
    </row>
    <row r="45500" spans="17:17" x14ac:dyDescent="0.25">
      <c r="Q45500" s="8"/>
    </row>
    <row r="45501" spans="17:17" x14ac:dyDescent="0.25">
      <c r="Q45501" s="8"/>
    </row>
    <row r="45502" spans="17:17" x14ac:dyDescent="0.25">
      <c r="Q45502" s="8"/>
    </row>
    <row r="45503" spans="17:17" x14ac:dyDescent="0.25">
      <c r="Q45503" s="8"/>
    </row>
    <row r="45504" spans="17:17" x14ac:dyDescent="0.25">
      <c r="Q45504" s="8"/>
    </row>
    <row r="45505" spans="17:17" x14ac:dyDescent="0.25">
      <c r="Q45505" s="8"/>
    </row>
    <row r="45506" spans="17:17" x14ac:dyDescent="0.25">
      <c r="Q45506" s="8"/>
    </row>
    <row r="45507" spans="17:17" x14ac:dyDescent="0.25">
      <c r="Q45507" s="8"/>
    </row>
    <row r="45508" spans="17:17" x14ac:dyDescent="0.25">
      <c r="Q45508" s="8"/>
    </row>
    <row r="45509" spans="17:17" x14ac:dyDescent="0.25">
      <c r="Q45509" s="8"/>
    </row>
    <row r="45510" spans="17:17" x14ac:dyDescent="0.25">
      <c r="Q45510" s="8"/>
    </row>
    <row r="45511" spans="17:17" x14ac:dyDescent="0.25">
      <c r="Q45511" s="8"/>
    </row>
    <row r="45512" spans="17:17" x14ac:dyDescent="0.25">
      <c r="Q45512" s="8"/>
    </row>
    <row r="45513" spans="17:17" x14ac:dyDescent="0.25">
      <c r="Q45513" s="8"/>
    </row>
    <row r="45514" spans="17:17" x14ac:dyDescent="0.25">
      <c r="Q45514" s="8"/>
    </row>
    <row r="45515" spans="17:17" x14ac:dyDescent="0.25">
      <c r="Q45515" s="8"/>
    </row>
    <row r="45516" spans="17:17" x14ac:dyDescent="0.25">
      <c r="Q45516" s="8"/>
    </row>
    <row r="45517" spans="17:17" x14ac:dyDescent="0.25">
      <c r="Q45517" s="8"/>
    </row>
    <row r="45518" spans="17:17" x14ac:dyDescent="0.25">
      <c r="Q45518" s="8"/>
    </row>
    <row r="45519" spans="17:17" x14ac:dyDescent="0.25">
      <c r="Q45519" s="8"/>
    </row>
    <row r="45520" spans="17:17" x14ac:dyDescent="0.25">
      <c r="Q45520" s="8"/>
    </row>
    <row r="45521" spans="17:17" x14ac:dyDescent="0.25">
      <c r="Q45521" s="8"/>
    </row>
    <row r="45522" spans="17:17" x14ac:dyDescent="0.25">
      <c r="Q45522" s="8"/>
    </row>
    <row r="45523" spans="17:17" x14ac:dyDescent="0.25">
      <c r="Q45523" s="8"/>
    </row>
    <row r="45524" spans="17:17" x14ac:dyDescent="0.25">
      <c r="Q45524" s="8"/>
    </row>
    <row r="45525" spans="17:17" x14ac:dyDescent="0.25">
      <c r="Q45525" s="8"/>
    </row>
    <row r="45526" spans="17:17" x14ac:dyDescent="0.25">
      <c r="Q45526" s="8"/>
    </row>
    <row r="45527" spans="17:17" x14ac:dyDescent="0.25">
      <c r="Q45527" s="8"/>
    </row>
    <row r="45528" spans="17:17" x14ac:dyDescent="0.25">
      <c r="Q45528" s="8"/>
    </row>
    <row r="45529" spans="17:17" x14ac:dyDescent="0.25">
      <c r="Q45529" s="8"/>
    </row>
    <row r="45530" spans="17:17" x14ac:dyDescent="0.25">
      <c r="Q45530" s="8"/>
    </row>
    <row r="45531" spans="17:17" x14ac:dyDescent="0.25">
      <c r="Q45531" s="8"/>
    </row>
    <row r="45532" spans="17:17" x14ac:dyDescent="0.25">
      <c r="Q45532" s="8"/>
    </row>
    <row r="45533" spans="17:17" x14ac:dyDescent="0.25">
      <c r="Q45533" s="8"/>
    </row>
    <row r="45534" spans="17:17" x14ac:dyDescent="0.25">
      <c r="Q45534" s="8"/>
    </row>
    <row r="45535" spans="17:17" x14ac:dyDescent="0.25">
      <c r="Q45535" s="8"/>
    </row>
    <row r="45536" spans="17:17" x14ac:dyDescent="0.25">
      <c r="Q45536" s="8"/>
    </row>
    <row r="45537" spans="17:17" x14ac:dyDescent="0.25">
      <c r="Q45537" s="8"/>
    </row>
    <row r="45538" spans="17:17" x14ac:dyDescent="0.25">
      <c r="Q45538" s="8"/>
    </row>
    <row r="45539" spans="17:17" x14ac:dyDescent="0.25">
      <c r="Q45539" s="8"/>
    </row>
    <row r="45540" spans="17:17" x14ac:dyDescent="0.25">
      <c r="Q45540" s="8"/>
    </row>
    <row r="45541" spans="17:17" x14ac:dyDescent="0.25">
      <c r="Q45541" s="8"/>
    </row>
    <row r="45542" spans="17:17" x14ac:dyDescent="0.25">
      <c r="Q45542" s="8"/>
    </row>
    <row r="45543" spans="17:17" x14ac:dyDescent="0.25">
      <c r="Q45543" s="8"/>
    </row>
    <row r="45544" spans="17:17" x14ac:dyDescent="0.25">
      <c r="Q45544" s="8"/>
    </row>
    <row r="45545" spans="17:17" x14ac:dyDescent="0.25">
      <c r="Q45545" s="8"/>
    </row>
    <row r="45546" spans="17:17" x14ac:dyDescent="0.25">
      <c r="Q45546" s="8"/>
    </row>
    <row r="45547" spans="17:17" x14ac:dyDescent="0.25">
      <c r="Q45547" s="8"/>
    </row>
    <row r="45548" spans="17:17" x14ac:dyDescent="0.25">
      <c r="Q45548" s="8"/>
    </row>
    <row r="45549" spans="17:17" x14ac:dyDescent="0.25">
      <c r="Q45549" s="8"/>
    </row>
    <row r="45550" spans="17:17" x14ac:dyDescent="0.25">
      <c r="Q45550" s="8"/>
    </row>
    <row r="45551" spans="17:17" x14ac:dyDescent="0.25">
      <c r="Q45551" s="8"/>
    </row>
    <row r="45552" spans="17:17" x14ac:dyDescent="0.25">
      <c r="Q45552" s="8"/>
    </row>
    <row r="45553" spans="17:17" x14ac:dyDescent="0.25">
      <c r="Q45553" s="8"/>
    </row>
    <row r="45554" spans="17:17" x14ac:dyDescent="0.25">
      <c r="Q45554" s="8"/>
    </row>
    <row r="45555" spans="17:17" x14ac:dyDescent="0.25">
      <c r="Q45555" s="8"/>
    </row>
    <row r="45556" spans="17:17" x14ac:dyDescent="0.25">
      <c r="Q45556" s="8"/>
    </row>
    <row r="45557" spans="17:17" x14ac:dyDescent="0.25">
      <c r="Q45557" s="8"/>
    </row>
    <row r="45558" spans="17:17" x14ac:dyDescent="0.25">
      <c r="Q45558" s="8"/>
    </row>
    <row r="45559" spans="17:17" x14ac:dyDescent="0.25">
      <c r="Q45559" s="8"/>
    </row>
    <row r="45560" spans="17:17" x14ac:dyDescent="0.25">
      <c r="Q45560" s="8"/>
    </row>
    <row r="45561" spans="17:17" x14ac:dyDescent="0.25">
      <c r="Q45561" s="8"/>
    </row>
    <row r="45562" spans="17:17" x14ac:dyDescent="0.25">
      <c r="Q45562" s="8"/>
    </row>
    <row r="45563" spans="17:17" x14ac:dyDescent="0.25">
      <c r="Q45563" s="8"/>
    </row>
    <row r="45564" spans="17:17" x14ac:dyDescent="0.25">
      <c r="Q45564" s="8"/>
    </row>
    <row r="45565" spans="17:17" x14ac:dyDescent="0.25">
      <c r="Q45565" s="8"/>
    </row>
    <row r="45566" spans="17:17" x14ac:dyDescent="0.25">
      <c r="Q45566" s="8"/>
    </row>
    <row r="45567" spans="17:17" x14ac:dyDescent="0.25">
      <c r="Q45567" s="8"/>
    </row>
    <row r="45568" spans="17:17" x14ac:dyDescent="0.25">
      <c r="Q45568" s="8"/>
    </row>
    <row r="45569" spans="17:17" x14ac:dyDescent="0.25">
      <c r="Q45569" s="8"/>
    </row>
    <row r="45570" spans="17:17" x14ac:dyDescent="0.25">
      <c r="Q45570" s="8"/>
    </row>
    <row r="45571" spans="17:17" x14ac:dyDescent="0.25">
      <c r="Q45571" s="8"/>
    </row>
    <row r="45572" spans="17:17" x14ac:dyDescent="0.25">
      <c r="Q45572" s="8"/>
    </row>
    <row r="45573" spans="17:17" x14ac:dyDescent="0.25">
      <c r="Q45573" s="8"/>
    </row>
    <row r="45574" spans="17:17" x14ac:dyDescent="0.25">
      <c r="Q45574" s="8"/>
    </row>
    <row r="45575" spans="17:17" x14ac:dyDescent="0.25">
      <c r="Q45575" s="8"/>
    </row>
    <row r="45576" spans="17:17" x14ac:dyDescent="0.25">
      <c r="Q45576" s="8"/>
    </row>
    <row r="45577" spans="17:17" x14ac:dyDescent="0.25">
      <c r="Q45577" s="8"/>
    </row>
    <row r="45578" spans="17:17" x14ac:dyDescent="0.25">
      <c r="Q45578" s="8"/>
    </row>
    <row r="45579" spans="17:17" x14ac:dyDescent="0.25">
      <c r="Q45579" s="8"/>
    </row>
    <row r="45580" spans="17:17" x14ac:dyDescent="0.25">
      <c r="Q45580" s="8"/>
    </row>
    <row r="45581" spans="17:17" x14ac:dyDescent="0.25">
      <c r="Q45581" s="8"/>
    </row>
    <row r="45582" spans="17:17" x14ac:dyDescent="0.25">
      <c r="Q45582" s="8"/>
    </row>
    <row r="45583" spans="17:17" x14ac:dyDescent="0.25">
      <c r="Q45583" s="8"/>
    </row>
    <row r="45584" spans="17:17" x14ac:dyDescent="0.25">
      <c r="Q45584" s="8"/>
    </row>
    <row r="45585" spans="17:17" x14ac:dyDescent="0.25">
      <c r="Q45585" s="8"/>
    </row>
    <row r="45586" spans="17:17" x14ac:dyDescent="0.25">
      <c r="Q45586" s="8"/>
    </row>
    <row r="45587" spans="17:17" x14ac:dyDescent="0.25">
      <c r="Q45587" s="8"/>
    </row>
    <row r="45588" spans="17:17" x14ac:dyDescent="0.25">
      <c r="Q45588" s="8"/>
    </row>
    <row r="45589" spans="17:17" x14ac:dyDescent="0.25">
      <c r="Q45589" s="8"/>
    </row>
    <row r="45590" spans="17:17" x14ac:dyDescent="0.25">
      <c r="Q45590" s="8"/>
    </row>
    <row r="45591" spans="17:17" x14ac:dyDescent="0.25">
      <c r="Q45591" s="8"/>
    </row>
    <row r="45592" spans="17:17" x14ac:dyDescent="0.25">
      <c r="Q45592" s="8"/>
    </row>
    <row r="45593" spans="17:17" x14ac:dyDescent="0.25">
      <c r="Q45593" s="8"/>
    </row>
    <row r="45594" spans="17:17" x14ac:dyDescent="0.25">
      <c r="Q45594" s="8"/>
    </row>
    <row r="45595" spans="17:17" x14ac:dyDescent="0.25">
      <c r="Q45595" s="8"/>
    </row>
    <row r="45596" spans="17:17" x14ac:dyDescent="0.25">
      <c r="Q45596" s="8"/>
    </row>
    <row r="45597" spans="17:17" x14ac:dyDescent="0.25">
      <c r="Q45597" s="8"/>
    </row>
    <row r="45598" spans="17:17" x14ac:dyDescent="0.25">
      <c r="Q45598" s="8"/>
    </row>
    <row r="45599" spans="17:17" x14ac:dyDescent="0.25">
      <c r="Q45599" s="8"/>
    </row>
    <row r="45600" spans="17:17" x14ac:dyDescent="0.25">
      <c r="Q45600" s="8"/>
    </row>
    <row r="45601" spans="17:17" x14ac:dyDescent="0.25">
      <c r="Q45601" s="8"/>
    </row>
    <row r="45602" spans="17:17" x14ac:dyDescent="0.25">
      <c r="Q45602" s="8"/>
    </row>
    <row r="45603" spans="17:17" x14ac:dyDescent="0.25">
      <c r="Q45603" s="8"/>
    </row>
    <row r="45604" spans="17:17" x14ac:dyDescent="0.25">
      <c r="Q45604" s="8"/>
    </row>
    <row r="45605" spans="17:17" x14ac:dyDescent="0.25">
      <c r="Q45605" s="8"/>
    </row>
    <row r="45606" spans="17:17" x14ac:dyDescent="0.25">
      <c r="Q45606" s="8"/>
    </row>
    <row r="45607" spans="17:17" x14ac:dyDescent="0.25">
      <c r="Q45607" s="8"/>
    </row>
    <row r="45608" spans="17:17" x14ac:dyDescent="0.25">
      <c r="Q45608" s="8"/>
    </row>
    <row r="45609" spans="17:17" x14ac:dyDescent="0.25">
      <c r="Q45609" s="8"/>
    </row>
    <row r="45610" spans="17:17" x14ac:dyDescent="0.25">
      <c r="Q45610" s="8"/>
    </row>
    <row r="45611" spans="17:17" x14ac:dyDescent="0.25">
      <c r="Q45611" s="8"/>
    </row>
    <row r="45612" spans="17:17" x14ac:dyDescent="0.25">
      <c r="Q45612" s="8"/>
    </row>
    <row r="45613" spans="17:17" x14ac:dyDescent="0.25">
      <c r="Q45613" s="8"/>
    </row>
    <row r="45614" spans="17:17" x14ac:dyDescent="0.25">
      <c r="Q45614" s="8"/>
    </row>
    <row r="45615" spans="17:17" x14ac:dyDescent="0.25">
      <c r="Q45615" s="8"/>
    </row>
    <row r="45616" spans="17:17" x14ac:dyDescent="0.25">
      <c r="Q45616" s="8"/>
    </row>
    <row r="45617" spans="17:17" x14ac:dyDescent="0.25">
      <c r="Q45617" s="8"/>
    </row>
    <row r="45618" spans="17:17" x14ac:dyDescent="0.25">
      <c r="Q45618" s="8"/>
    </row>
    <row r="45619" spans="17:17" x14ac:dyDescent="0.25">
      <c r="Q45619" s="8"/>
    </row>
    <row r="45620" spans="17:17" x14ac:dyDescent="0.25">
      <c r="Q45620" s="8"/>
    </row>
    <row r="45621" spans="17:17" x14ac:dyDescent="0.25">
      <c r="Q45621" s="8"/>
    </row>
    <row r="45622" spans="17:17" x14ac:dyDescent="0.25">
      <c r="Q45622" s="8"/>
    </row>
    <row r="45623" spans="17:17" x14ac:dyDescent="0.25">
      <c r="Q45623" s="8"/>
    </row>
    <row r="45624" spans="17:17" x14ac:dyDescent="0.25">
      <c r="Q45624" s="8"/>
    </row>
    <row r="45625" spans="17:17" x14ac:dyDescent="0.25">
      <c r="Q45625" s="8"/>
    </row>
    <row r="45626" spans="17:17" x14ac:dyDescent="0.25">
      <c r="Q45626" s="8"/>
    </row>
    <row r="45627" spans="17:17" x14ac:dyDescent="0.25">
      <c r="Q45627" s="8"/>
    </row>
    <row r="45628" spans="17:17" x14ac:dyDescent="0.25">
      <c r="Q45628" s="8"/>
    </row>
    <row r="45629" spans="17:17" x14ac:dyDescent="0.25">
      <c r="Q45629" s="8"/>
    </row>
    <row r="45630" spans="17:17" x14ac:dyDescent="0.25">
      <c r="Q45630" s="8"/>
    </row>
    <row r="45631" spans="17:17" x14ac:dyDescent="0.25">
      <c r="Q45631" s="8"/>
    </row>
    <row r="45632" spans="17:17" x14ac:dyDescent="0.25">
      <c r="Q45632" s="8"/>
    </row>
    <row r="45633" spans="17:17" x14ac:dyDescent="0.25">
      <c r="Q45633" s="8"/>
    </row>
    <row r="45634" spans="17:17" x14ac:dyDescent="0.25">
      <c r="Q45634" s="8"/>
    </row>
    <row r="45635" spans="17:17" x14ac:dyDescent="0.25">
      <c r="Q45635" s="8"/>
    </row>
    <row r="45636" spans="17:17" x14ac:dyDescent="0.25">
      <c r="Q45636" s="8"/>
    </row>
    <row r="45637" spans="17:17" x14ac:dyDescent="0.25">
      <c r="Q45637" s="8"/>
    </row>
    <row r="45638" spans="17:17" x14ac:dyDescent="0.25">
      <c r="Q45638" s="8"/>
    </row>
    <row r="45639" spans="17:17" x14ac:dyDescent="0.25">
      <c r="Q45639" s="8"/>
    </row>
    <row r="45640" spans="17:17" x14ac:dyDescent="0.25">
      <c r="Q45640" s="8"/>
    </row>
    <row r="45641" spans="17:17" x14ac:dyDescent="0.25">
      <c r="Q45641" s="8"/>
    </row>
    <row r="45642" spans="17:17" x14ac:dyDescent="0.25">
      <c r="Q45642" s="8"/>
    </row>
    <row r="45643" spans="17:17" x14ac:dyDescent="0.25">
      <c r="Q45643" s="8"/>
    </row>
    <row r="45644" spans="17:17" x14ac:dyDescent="0.25">
      <c r="Q45644" s="8"/>
    </row>
    <row r="45645" spans="17:17" x14ac:dyDescent="0.25">
      <c r="Q45645" s="8"/>
    </row>
    <row r="45646" spans="17:17" x14ac:dyDescent="0.25">
      <c r="Q45646" s="8"/>
    </row>
    <row r="45647" spans="17:17" x14ac:dyDescent="0.25">
      <c r="Q45647" s="8"/>
    </row>
    <row r="45648" spans="17:17" x14ac:dyDescent="0.25">
      <c r="Q45648" s="8"/>
    </row>
    <row r="45649" spans="17:17" x14ac:dyDescent="0.25">
      <c r="Q45649" s="8"/>
    </row>
    <row r="45650" spans="17:17" x14ac:dyDescent="0.25">
      <c r="Q45650" s="8"/>
    </row>
    <row r="45651" spans="17:17" x14ac:dyDescent="0.25">
      <c r="Q45651" s="8"/>
    </row>
    <row r="45652" spans="17:17" x14ac:dyDescent="0.25">
      <c r="Q45652" s="8"/>
    </row>
    <row r="45653" spans="17:17" x14ac:dyDescent="0.25">
      <c r="Q45653" s="8"/>
    </row>
    <row r="45654" spans="17:17" x14ac:dyDescent="0.25">
      <c r="Q45654" s="8"/>
    </row>
    <row r="45655" spans="17:17" x14ac:dyDescent="0.25">
      <c r="Q45655" s="8"/>
    </row>
    <row r="45656" spans="17:17" x14ac:dyDescent="0.25">
      <c r="Q45656" s="8"/>
    </row>
    <row r="45657" spans="17:17" x14ac:dyDescent="0.25">
      <c r="Q45657" s="8"/>
    </row>
    <row r="45658" spans="17:17" x14ac:dyDescent="0.25">
      <c r="Q45658" s="8"/>
    </row>
    <row r="45659" spans="17:17" x14ac:dyDescent="0.25">
      <c r="Q45659" s="8"/>
    </row>
    <row r="45660" spans="17:17" x14ac:dyDescent="0.25">
      <c r="Q45660" s="8"/>
    </row>
    <row r="45661" spans="17:17" x14ac:dyDescent="0.25">
      <c r="Q45661" s="8"/>
    </row>
    <row r="45662" spans="17:17" x14ac:dyDescent="0.25">
      <c r="Q45662" s="8"/>
    </row>
    <row r="45663" spans="17:17" x14ac:dyDescent="0.25">
      <c r="Q45663" s="8"/>
    </row>
    <row r="45664" spans="17:17" x14ac:dyDescent="0.25">
      <c r="Q45664" s="8"/>
    </row>
    <row r="45665" spans="17:17" x14ac:dyDescent="0.25">
      <c r="Q45665" s="8"/>
    </row>
    <row r="45666" spans="17:17" x14ac:dyDescent="0.25">
      <c r="Q45666" s="8"/>
    </row>
    <row r="45667" spans="17:17" x14ac:dyDescent="0.25">
      <c r="Q45667" s="8"/>
    </row>
    <row r="45668" spans="17:17" x14ac:dyDescent="0.25">
      <c r="Q45668" s="8"/>
    </row>
    <row r="45669" spans="17:17" x14ac:dyDescent="0.25">
      <c r="Q45669" s="8"/>
    </row>
    <row r="45670" spans="17:17" x14ac:dyDescent="0.25">
      <c r="Q45670" s="8"/>
    </row>
    <row r="45671" spans="17:17" x14ac:dyDescent="0.25">
      <c r="Q45671" s="8"/>
    </row>
    <row r="45672" spans="17:17" x14ac:dyDescent="0.25">
      <c r="Q45672" s="8"/>
    </row>
    <row r="45673" spans="17:17" x14ac:dyDescent="0.25">
      <c r="Q45673" s="8"/>
    </row>
    <row r="45674" spans="17:17" x14ac:dyDescent="0.25">
      <c r="Q45674" s="8"/>
    </row>
    <row r="45675" spans="17:17" x14ac:dyDescent="0.25">
      <c r="Q45675" s="8"/>
    </row>
    <row r="45676" spans="17:17" x14ac:dyDescent="0.25">
      <c r="Q45676" s="8"/>
    </row>
    <row r="45677" spans="17:17" x14ac:dyDescent="0.25">
      <c r="Q45677" s="8"/>
    </row>
    <row r="45678" spans="17:17" x14ac:dyDescent="0.25">
      <c r="Q45678" s="8"/>
    </row>
    <row r="45679" spans="17:17" x14ac:dyDescent="0.25">
      <c r="Q45679" s="8"/>
    </row>
    <row r="45680" spans="17:17" x14ac:dyDescent="0.25">
      <c r="Q45680" s="8"/>
    </row>
    <row r="45681" spans="17:17" x14ac:dyDescent="0.25">
      <c r="Q45681" s="8"/>
    </row>
    <row r="45682" spans="17:17" x14ac:dyDescent="0.25">
      <c r="Q45682" s="8"/>
    </row>
    <row r="45683" spans="17:17" x14ac:dyDescent="0.25">
      <c r="Q45683" s="8"/>
    </row>
    <row r="45684" spans="17:17" x14ac:dyDescent="0.25">
      <c r="Q45684" s="8"/>
    </row>
    <row r="45685" spans="17:17" x14ac:dyDescent="0.25">
      <c r="Q45685" s="8"/>
    </row>
    <row r="45686" spans="17:17" x14ac:dyDescent="0.25">
      <c r="Q45686" s="8"/>
    </row>
    <row r="45687" spans="17:17" x14ac:dyDescent="0.25">
      <c r="Q45687" s="8"/>
    </row>
    <row r="45688" spans="17:17" x14ac:dyDescent="0.25">
      <c r="Q45688" s="8"/>
    </row>
    <row r="45689" spans="17:17" x14ac:dyDescent="0.25">
      <c r="Q45689" s="8"/>
    </row>
    <row r="45690" spans="17:17" x14ac:dyDescent="0.25">
      <c r="Q45690" s="8"/>
    </row>
    <row r="45691" spans="17:17" x14ac:dyDescent="0.25">
      <c r="Q45691" s="8"/>
    </row>
    <row r="45692" spans="17:17" x14ac:dyDescent="0.25">
      <c r="Q45692" s="8"/>
    </row>
    <row r="45693" spans="17:17" x14ac:dyDescent="0.25">
      <c r="Q45693" s="8"/>
    </row>
    <row r="45694" spans="17:17" x14ac:dyDescent="0.25">
      <c r="Q45694" s="8"/>
    </row>
    <row r="45695" spans="17:17" x14ac:dyDescent="0.25">
      <c r="Q45695" s="8"/>
    </row>
    <row r="45696" spans="17:17" x14ac:dyDescent="0.25">
      <c r="Q45696" s="8"/>
    </row>
    <row r="45697" spans="17:17" x14ac:dyDescent="0.25">
      <c r="Q45697" s="8"/>
    </row>
    <row r="45698" spans="17:17" x14ac:dyDescent="0.25">
      <c r="Q45698" s="8"/>
    </row>
    <row r="45699" spans="17:17" x14ac:dyDescent="0.25">
      <c r="Q45699" s="8"/>
    </row>
    <row r="45700" spans="17:17" x14ac:dyDescent="0.25">
      <c r="Q45700" s="8"/>
    </row>
    <row r="45701" spans="17:17" x14ac:dyDescent="0.25">
      <c r="Q45701" s="8"/>
    </row>
    <row r="45702" spans="17:17" x14ac:dyDescent="0.25">
      <c r="Q45702" s="8"/>
    </row>
    <row r="45703" spans="17:17" x14ac:dyDescent="0.25">
      <c r="Q45703" s="8"/>
    </row>
    <row r="45704" spans="17:17" x14ac:dyDescent="0.25">
      <c r="Q45704" s="8"/>
    </row>
    <row r="45705" spans="17:17" x14ac:dyDescent="0.25">
      <c r="Q45705" s="8"/>
    </row>
    <row r="45706" spans="17:17" x14ac:dyDescent="0.25">
      <c r="Q45706" s="8"/>
    </row>
    <row r="45707" spans="17:17" x14ac:dyDescent="0.25">
      <c r="Q45707" s="8"/>
    </row>
    <row r="45708" spans="17:17" x14ac:dyDescent="0.25">
      <c r="Q45708" s="8"/>
    </row>
    <row r="45709" spans="17:17" x14ac:dyDescent="0.25">
      <c r="Q45709" s="8"/>
    </row>
    <row r="45710" spans="17:17" x14ac:dyDescent="0.25">
      <c r="Q45710" s="8"/>
    </row>
    <row r="45711" spans="17:17" x14ac:dyDescent="0.25">
      <c r="Q45711" s="8"/>
    </row>
    <row r="45712" spans="17:17" x14ac:dyDescent="0.25">
      <c r="Q45712" s="8"/>
    </row>
    <row r="45713" spans="17:17" x14ac:dyDescent="0.25">
      <c r="Q45713" s="8"/>
    </row>
    <row r="45714" spans="17:17" x14ac:dyDescent="0.25">
      <c r="Q45714" s="8"/>
    </row>
    <row r="45715" spans="17:17" x14ac:dyDescent="0.25">
      <c r="Q45715" s="8"/>
    </row>
    <row r="45716" spans="17:17" x14ac:dyDescent="0.25">
      <c r="Q45716" s="8"/>
    </row>
    <row r="45717" spans="17:17" x14ac:dyDescent="0.25">
      <c r="Q45717" s="8"/>
    </row>
    <row r="45718" spans="17:17" x14ac:dyDescent="0.25">
      <c r="Q45718" s="8"/>
    </row>
    <row r="45719" spans="17:17" x14ac:dyDescent="0.25">
      <c r="Q45719" s="8"/>
    </row>
    <row r="45720" spans="17:17" x14ac:dyDescent="0.25">
      <c r="Q45720" s="8"/>
    </row>
    <row r="45721" spans="17:17" x14ac:dyDescent="0.25">
      <c r="Q45721" s="8"/>
    </row>
    <row r="45722" spans="17:17" x14ac:dyDescent="0.25">
      <c r="Q45722" s="8"/>
    </row>
    <row r="45723" spans="17:17" x14ac:dyDescent="0.25">
      <c r="Q45723" s="8"/>
    </row>
    <row r="45724" spans="17:17" x14ac:dyDescent="0.25">
      <c r="Q45724" s="8"/>
    </row>
    <row r="45725" spans="17:17" x14ac:dyDescent="0.25">
      <c r="Q45725" s="8"/>
    </row>
    <row r="45726" spans="17:17" x14ac:dyDescent="0.25">
      <c r="Q45726" s="8"/>
    </row>
    <row r="45727" spans="17:17" x14ac:dyDescent="0.25">
      <c r="Q45727" s="8"/>
    </row>
    <row r="45728" spans="17:17" x14ac:dyDescent="0.25">
      <c r="Q45728" s="8"/>
    </row>
    <row r="45729" spans="17:17" x14ac:dyDescent="0.25">
      <c r="Q45729" s="8"/>
    </row>
    <row r="45730" spans="17:17" x14ac:dyDescent="0.25">
      <c r="Q45730" s="8"/>
    </row>
    <row r="45731" spans="17:17" x14ac:dyDescent="0.25">
      <c r="Q45731" s="8"/>
    </row>
    <row r="45732" spans="17:17" x14ac:dyDescent="0.25">
      <c r="Q45732" s="8"/>
    </row>
    <row r="45733" spans="17:17" x14ac:dyDescent="0.25">
      <c r="Q45733" s="8"/>
    </row>
    <row r="45734" spans="17:17" x14ac:dyDescent="0.25">
      <c r="Q45734" s="8"/>
    </row>
    <row r="45735" spans="17:17" x14ac:dyDescent="0.25">
      <c r="Q45735" s="8"/>
    </row>
    <row r="45736" spans="17:17" x14ac:dyDescent="0.25">
      <c r="Q45736" s="8"/>
    </row>
    <row r="45737" spans="17:17" x14ac:dyDescent="0.25">
      <c r="Q45737" s="8"/>
    </row>
    <row r="45738" spans="17:17" x14ac:dyDescent="0.25">
      <c r="Q45738" s="8"/>
    </row>
    <row r="45739" spans="17:17" x14ac:dyDescent="0.25">
      <c r="Q45739" s="8"/>
    </row>
    <row r="45740" spans="17:17" x14ac:dyDescent="0.25">
      <c r="Q45740" s="8"/>
    </row>
    <row r="45741" spans="17:17" x14ac:dyDescent="0.25">
      <c r="Q45741" s="8"/>
    </row>
    <row r="45742" spans="17:17" x14ac:dyDescent="0.25">
      <c r="Q45742" s="8"/>
    </row>
    <row r="45743" spans="17:17" x14ac:dyDescent="0.25">
      <c r="Q45743" s="8"/>
    </row>
    <row r="45744" spans="17:17" x14ac:dyDescent="0.25">
      <c r="Q45744" s="8"/>
    </row>
    <row r="45745" spans="17:17" x14ac:dyDescent="0.25">
      <c r="Q45745" s="8"/>
    </row>
    <row r="45746" spans="17:17" x14ac:dyDescent="0.25">
      <c r="Q45746" s="8"/>
    </row>
    <row r="45747" spans="17:17" x14ac:dyDescent="0.25">
      <c r="Q45747" s="8"/>
    </row>
    <row r="45748" spans="17:17" x14ac:dyDescent="0.25">
      <c r="Q45748" s="8"/>
    </row>
    <row r="45749" spans="17:17" x14ac:dyDescent="0.25">
      <c r="Q45749" s="8"/>
    </row>
    <row r="45750" spans="17:17" x14ac:dyDescent="0.25">
      <c r="Q45750" s="8"/>
    </row>
    <row r="45751" spans="17:17" x14ac:dyDescent="0.25">
      <c r="Q45751" s="8"/>
    </row>
    <row r="45752" spans="17:17" x14ac:dyDescent="0.25">
      <c r="Q45752" s="8"/>
    </row>
    <row r="45753" spans="17:17" x14ac:dyDescent="0.25">
      <c r="Q45753" s="8"/>
    </row>
    <row r="45754" spans="17:17" x14ac:dyDescent="0.25">
      <c r="Q45754" s="8"/>
    </row>
    <row r="45755" spans="17:17" x14ac:dyDescent="0.25">
      <c r="Q45755" s="8"/>
    </row>
    <row r="45756" spans="17:17" x14ac:dyDescent="0.25">
      <c r="Q45756" s="8"/>
    </row>
    <row r="45757" spans="17:17" x14ac:dyDescent="0.25">
      <c r="Q45757" s="8"/>
    </row>
    <row r="45758" spans="17:17" x14ac:dyDescent="0.25">
      <c r="Q45758" s="8"/>
    </row>
    <row r="45759" spans="17:17" x14ac:dyDescent="0.25">
      <c r="Q45759" s="8"/>
    </row>
    <row r="45760" spans="17:17" x14ac:dyDescent="0.25">
      <c r="Q45760" s="8"/>
    </row>
    <row r="45761" spans="17:17" x14ac:dyDescent="0.25">
      <c r="Q45761" s="8"/>
    </row>
    <row r="45762" spans="17:17" x14ac:dyDescent="0.25">
      <c r="Q45762" s="8"/>
    </row>
    <row r="45763" spans="17:17" x14ac:dyDescent="0.25">
      <c r="Q45763" s="8"/>
    </row>
    <row r="45764" spans="17:17" x14ac:dyDescent="0.25">
      <c r="Q45764" s="8"/>
    </row>
    <row r="45765" spans="17:17" x14ac:dyDescent="0.25">
      <c r="Q45765" s="8"/>
    </row>
    <row r="45766" spans="17:17" x14ac:dyDescent="0.25">
      <c r="Q45766" s="8"/>
    </row>
    <row r="45767" spans="17:17" x14ac:dyDescent="0.25">
      <c r="Q45767" s="8"/>
    </row>
    <row r="45768" spans="17:17" x14ac:dyDescent="0.25">
      <c r="Q45768" s="8"/>
    </row>
    <row r="45769" spans="17:17" x14ac:dyDescent="0.25">
      <c r="Q45769" s="8"/>
    </row>
    <row r="45770" spans="17:17" x14ac:dyDescent="0.25">
      <c r="Q45770" s="8"/>
    </row>
    <row r="45771" spans="17:17" x14ac:dyDescent="0.25">
      <c r="Q45771" s="8"/>
    </row>
    <row r="45772" spans="17:17" x14ac:dyDescent="0.25">
      <c r="Q45772" s="8"/>
    </row>
    <row r="45773" spans="17:17" x14ac:dyDescent="0.25">
      <c r="Q45773" s="8"/>
    </row>
    <row r="45774" spans="17:17" x14ac:dyDescent="0.25">
      <c r="Q45774" s="8"/>
    </row>
    <row r="45775" spans="17:17" x14ac:dyDescent="0.25">
      <c r="Q45775" s="8"/>
    </row>
    <row r="45776" spans="17:17" x14ac:dyDescent="0.25">
      <c r="Q45776" s="8"/>
    </row>
    <row r="45777" spans="17:17" x14ac:dyDescent="0.25">
      <c r="Q45777" s="8"/>
    </row>
    <row r="45778" spans="17:17" x14ac:dyDescent="0.25">
      <c r="Q45778" s="8"/>
    </row>
    <row r="45779" spans="17:17" x14ac:dyDescent="0.25">
      <c r="Q45779" s="8"/>
    </row>
    <row r="45780" spans="17:17" x14ac:dyDescent="0.25">
      <c r="Q45780" s="8"/>
    </row>
    <row r="45781" spans="17:17" x14ac:dyDescent="0.25">
      <c r="Q45781" s="8"/>
    </row>
    <row r="45782" spans="17:17" x14ac:dyDescent="0.25">
      <c r="Q45782" s="8"/>
    </row>
    <row r="45783" spans="17:17" x14ac:dyDescent="0.25">
      <c r="Q45783" s="8"/>
    </row>
    <row r="45784" spans="17:17" x14ac:dyDescent="0.25">
      <c r="Q45784" s="8"/>
    </row>
    <row r="45785" spans="17:17" x14ac:dyDescent="0.25">
      <c r="Q45785" s="8"/>
    </row>
    <row r="45786" spans="17:17" x14ac:dyDescent="0.25">
      <c r="Q45786" s="8"/>
    </row>
    <row r="45787" spans="17:17" x14ac:dyDescent="0.25">
      <c r="Q45787" s="8"/>
    </row>
    <row r="45788" spans="17:17" x14ac:dyDescent="0.25">
      <c r="Q45788" s="8"/>
    </row>
    <row r="45789" spans="17:17" x14ac:dyDescent="0.25">
      <c r="Q45789" s="8"/>
    </row>
    <row r="45790" spans="17:17" x14ac:dyDescent="0.25">
      <c r="Q45790" s="8"/>
    </row>
    <row r="45791" spans="17:17" x14ac:dyDescent="0.25">
      <c r="Q45791" s="8"/>
    </row>
    <row r="45792" spans="17:17" x14ac:dyDescent="0.25">
      <c r="Q45792" s="8"/>
    </row>
    <row r="45793" spans="17:17" x14ac:dyDescent="0.25">
      <c r="Q45793" s="8"/>
    </row>
    <row r="45794" spans="17:17" x14ac:dyDescent="0.25">
      <c r="Q45794" s="8"/>
    </row>
    <row r="45795" spans="17:17" x14ac:dyDescent="0.25">
      <c r="Q45795" s="8"/>
    </row>
    <row r="45796" spans="17:17" x14ac:dyDescent="0.25">
      <c r="Q45796" s="8"/>
    </row>
    <row r="45797" spans="17:17" x14ac:dyDescent="0.25">
      <c r="Q45797" s="8"/>
    </row>
    <row r="45798" spans="17:17" x14ac:dyDescent="0.25">
      <c r="Q45798" s="8"/>
    </row>
    <row r="45799" spans="17:17" x14ac:dyDescent="0.25">
      <c r="Q45799" s="8"/>
    </row>
    <row r="45800" spans="17:17" x14ac:dyDescent="0.25">
      <c r="Q45800" s="8"/>
    </row>
    <row r="45801" spans="17:17" x14ac:dyDescent="0.25">
      <c r="Q45801" s="8"/>
    </row>
    <row r="45802" spans="17:17" x14ac:dyDescent="0.25">
      <c r="Q45802" s="8"/>
    </row>
    <row r="45803" spans="17:17" x14ac:dyDescent="0.25">
      <c r="Q45803" s="8"/>
    </row>
    <row r="45804" spans="17:17" x14ac:dyDescent="0.25">
      <c r="Q45804" s="8"/>
    </row>
    <row r="45805" spans="17:17" x14ac:dyDescent="0.25">
      <c r="Q45805" s="8"/>
    </row>
    <row r="45806" spans="17:17" x14ac:dyDescent="0.25">
      <c r="Q45806" s="8"/>
    </row>
    <row r="45807" spans="17:17" x14ac:dyDescent="0.25">
      <c r="Q45807" s="8"/>
    </row>
    <row r="45808" spans="17:17" x14ac:dyDescent="0.25">
      <c r="Q45808" s="8"/>
    </row>
    <row r="45809" spans="17:17" x14ac:dyDescent="0.25">
      <c r="Q45809" s="8"/>
    </row>
    <row r="45810" spans="17:17" x14ac:dyDescent="0.25">
      <c r="Q45810" s="8"/>
    </row>
    <row r="45811" spans="17:17" x14ac:dyDescent="0.25">
      <c r="Q45811" s="8"/>
    </row>
    <row r="45812" spans="17:17" x14ac:dyDescent="0.25">
      <c r="Q45812" s="8"/>
    </row>
    <row r="45813" spans="17:17" x14ac:dyDescent="0.25">
      <c r="Q45813" s="8"/>
    </row>
    <row r="45814" spans="17:17" x14ac:dyDescent="0.25">
      <c r="Q45814" s="8"/>
    </row>
    <row r="45815" spans="17:17" x14ac:dyDescent="0.25">
      <c r="Q45815" s="8"/>
    </row>
    <row r="45816" spans="17:17" x14ac:dyDescent="0.25">
      <c r="Q45816" s="8"/>
    </row>
    <row r="45817" spans="17:17" x14ac:dyDescent="0.25">
      <c r="Q45817" s="8"/>
    </row>
    <row r="45818" spans="17:17" x14ac:dyDescent="0.25">
      <c r="Q45818" s="8"/>
    </row>
    <row r="45819" spans="17:17" x14ac:dyDescent="0.25">
      <c r="Q45819" s="8"/>
    </row>
    <row r="45820" spans="17:17" x14ac:dyDescent="0.25">
      <c r="Q45820" s="8"/>
    </row>
    <row r="45821" spans="17:17" x14ac:dyDescent="0.25">
      <c r="Q45821" s="8"/>
    </row>
    <row r="45822" spans="17:17" x14ac:dyDescent="0.25">
      <c r="Q45822" s="8"/>
    </row>
    <row r="45823" spans="17:17" x14ac:dyDescent="0.25">
      <c r="Q45823" s="8"/>
    </row>
    <row r="45824" spans="17:17" x14ac:dyDescent="0.25">
      <c r="Q45824" s="8"/>
    </row>
    <row r="45825" spans="17:17" x14ac:dyDescent="0.25">
      <c r="Q45825" s="8"/>
    </row>
    <row r="45826" spans="17:17" x14ac:dyDescent="0.25">
      <c r="Q45826" s="8"/>
    </row>
    <row r="45827" spans="17:17" x14ac:dyDescent="0.25">
      <c r="Q45827" s="8"/>
    </row>
    <row r="45828" spans="17:17" x14ac:dyDescent="0.25">
      <c r="Q45828" s="8"/>
    </row>
    <row r="45829" spans="17:17" x14ac:dyDescent="0.25">
      <c r="Q45829" s="8"/>
    </row>
    <row r="45830" spans="17:17" x14ac:dyDescent="0.25">
      <c r="Q45830" s="8"/>
    </row>
    <row r="45831" spans="17:17" x14ac:dyDescent="0.25">
      <c r="Q45831" s="8"/>
    </row>
    <row r="45832" spans="17:17" x14ac:dyDescent="0.25">
      <c r="Q45832" s="8"/>
    </row>
    <row r="45833" spans="17:17" x14ac:dyDescent="0.25">
      <c r="Q45833" s="8"/>
    </row>
    <row r="45834" spans="17:17" x14ac:dyDescent="0.25">
      <c r="Q45834" s="8"/>
    </row>
    <row r="45835" spans="17:17" x14ac:dyDescent="0.25">
      <c r="Q45835" s="8"/>
    </row>
    <row r="45836" spans="17:17" x14ac:dyDescent="0.25">
      <c r="Q45836" s="8"/>
    </row>
    <row r="45837" spans="17:17" x14ac:dyDescent="0.25">
      <c r="Q45837" s="8"/>
    </row>
    <row r="45838" spans="17:17" x14ac:dyDescent="0.25">
      <c r="Q45838" s="8"/>
    </row>
    <row r="45839" spans="17:17" x14ac:dyDescent="0.25">
      <c r="Q45839" s="8"/>
    </row>
    <row r="45840" spans="17:17" x14ac:dyDescent="0.25">
      <c r="Q45840" s="8"/>
    </row>
    <row r="45841" spans="17:17" x14ac:dyDescent="0.25">
      <c r="Q45841" s="8"/>
    </row>
    <row r="45842" spans="17:17" x14ac:dyDescent="0.25">
      <c r="Q45842" s="8"/>
    </row>
    <row r="45843" spans="17:17" x14ac:dyDescent="0.25">
      <c r="Q45843" s="8"/>
    </row>
    <row r="45844" spans="17:17" x14ac:dyDescent="0.25">
      <c r="Q45844" s="8"/>
    </row>
    <row r="45845" spans="17:17" x14ac:dyDescent="0.25">
      <c r="Q45845" s="8"/>
    </row>
    <row r="45846" spans="17:17" x14ac:dyDescent="0.25">
      <c r="Q45846" s="8"/>
    </row>
    <row r="45847" spans="17:17" x14ac:dyDescent="0.25">
      <c r="Q45847" s="8"/>
    </row>
    <row r="45848" spans="17:17" x14ac:dyDescent="0.25">
      <c r="Q45848" s="8"/>
    </row>
    <row r="45849" spans="17:17" x14ac:dyDescent="0.25">
      <c r="Q45849" s="8"/>
    </row>
    <row r="45850" spans="17:17" x14ac:dyDescent="0.25">
      <c r="Q45850" s="8"/>
    </row>
    <row r="45851" spans="17:17" x14ac:dyDescent="0.25">
      <c r="Q45851" s="8"/>
    </row>
    <row r="45852" spans="17:17" x14ac:dyDescent="0.25">
      <c r="Q45852" s="8"/>
    </row>
    <row r="45853" spans="17:17" x14ac:dyDescent="0.25">
      <c r="Q45853" s="8"/>
    </row>
    <row r="45854" spans="17:17" x14ac:dyDescent="0.25">
      <c r="Q45854" s="8"/>
    </row>
    <row r="45855" spans="17:17" x14ac:dyDescent="0.25">
      <c r="Q45855" s="8"/>
    </row>
    <row r="45856" spans="17:17" x14ac:dyDescent="0.25">
      <c r="Q45856" s="8"/>
    </row>
    <row r="45857" spans="17:17" x14ac:dyDescent="0.25">
      <c r="Q45857" s="8"/>
    </row>
    <row r="45858" spans="17:17" x14ac:dyDescent="0.25">
      <c r="Q45858" s="8"/>
    </row>
    <row r="45859" spans="17:17" x14ac:dyDescent="0.25">
      <c r="Q45859" s="8"/>
    </row>
    <row r="45860" spans="17:17" x14ac:dyDescent="0.25">
      <c r="Q45860" s="8"/>
    </row>
    <row r="45861" spans="17:17" x14ac:dyDescent="0.25">
      <c r="Q45861" s="8"/>
    </row>
    <row r="45862" spans="17:17" x14ac:dyDescent="0.25">
      <c r="Q45862" s="8"/>
    </row>
    <row r="45863" spans="17:17" x14ac:dyDescent="0.25">
      <c r="Q45863" s="8"/>
    </row>
    <row r="45864" spans="17:17" x14ac:dyDescent="0.25">
      <c r="Q45864" s="8"/>
    </row>
    <row r="45865" spans="17:17" x14ac:dyDescent="0.25">
      <c r="Q45865" s="8"/>
    </row>
    <row r="45866" spans="17:17" x14ac:dyDescent="0.25">
      <c r="Q45866" s="8"/>
    </row>
    <row r="45867" spans="17:17" x14ac:dyDescent="0.25">
      <c r="Q45867" s="8"/>
    </row>
    <row r="45868" spans="17:17" x14ac:dyDescent="0.25">
      <c r="Q45868" s="8"/>
    </row>
    <row r="45869" spans="17:17" x14ac:dyDescent="0.25">
      <c r="Q45869" s="8"/>
    </row>
    <row r="45870" spans="17:17" x14ac:dyDescent="0.25">
      <c r="Q45870" s="8"/>
    </row>
    <row r="45871" spans="17:17" x14ac:dyDescent="0.25">
      <c r="Q45871" s="8"/>
    </row>
    <row r="45872" spans="17:17" x14ac:dyDescent="0.25">
      <c r="Q45872" s="8"/>
    </row>
    <row r="45873" spans="17:17" x14ac:dyDescent="0.25">
      <c r="Q45873" s="8"/>
    </row>
    <row r="45874" spans="17:17" x14ac:dyDescent="0.25">
      <c r="Q45874" s="8"/>
    </row>
    <row r="45875" spans="17:17" x14ac:dyDescent="0.25">
      <c r="Q45875" s="8"/>
    </row>
    <row r="45876" spans="17:17" x14ac:dyDescent="0.25">
      <c r="Q45876" s="8"/>
    </row>
    <row r="45877" spans="17:17" x14ac:dyDescent="0.25">
      <c r="Q45877" s="8"/>
    </row>
    <row r="45878" spans="17:17" x14ac:dyDescent="0.25">
      <c r="Q45878" s="8"/>
    </row>
    <row r="45879" spans="17:17" x14ac:dyDescent="0.25">
      <c r="Q45879" s="8"/>
    </row>
    <row r="45880" spans="17:17" x14ac:dyDescent="0.25">
      <c r="Q45880" s="8"/>
    </row>
    <row r="45881" spans="17:17" x14ac:dyDescent="0.25">
      <c r="Q45881" s="8"/>
    </row>
    <row r="45882" spans="17:17" x14ac:dyDescent="0.25">
      <c r="Q45882" s="8"/>
    </row>
    <row r="45883" spans="17:17" x14ac:dyDescent="0.25">
      <c r="Q45883" s="8"/>
    </row>
    <row r="45884" spans="17:17" x14ac:dyDescent="0.25">
      <c r="Q45884" s="8"/>
    </row>
    <row r="45885" spans="17:17" x14ac:dyDescent="0.25">
      <c r="Q45885" s="8"/>
    </row>
    <row r="45886" spans="17:17" x14ac:dyDescent="0.25">
      <c r="Q45886" s="8"/>
    </row>
    <row r="45887" spans="17:17" x14ac:dyDescent="0.25">
      <c r="Q45887" s="8"/>
    </row>
    <row r="45888" spans="17:17" x14ac:dyDescent="0.25">
      <c r="Q45888" s="8"/>
    </row>
    <row r="45889" spans="17:17" x14ac:dyDescent="0.25">
      <c r="Q45889" s="8"/>
    </row>
    <row r="45890" spans="17:17" x14ac:dyDescent="0.25">
      <c r="Q45890" s="8"/>
    </row>
    <row r="45891" spans="17:17" x14ac:dyDescent="0.25">
      <c r="Q45891" s="8"/>
    </row>
    <row r="45892" spans="17:17" x14ac:dyDescent="0.25">
      <c r="Q45892" s="8"/>
    </row>
    <row r="45893" spans="17:17" x14ac:dyDescent="0.25">
      <c r="Q45893" s="8"/>
    </row>
    <row r="45894" spans="17:17" x14ac:dyDescent="0.25">
      <c r="Q45894" s="8"/>
    </row>
    <row r="45895" spans="17:17" x14ac:dyDescent="0.25">
      <c r="Q45895" s="8"/>
    </row>
    <row r="45896" spans="17:17" x14ac:dyDescent="0.25">
      <c r="Q45896" s="8"/>
    </row>
    <row r="45897" spans="17:17" x14ac:dyDescent="0.25">
      <c r="Q45897" s="8"/>
    </row>
    <row r="45898" spans="17:17" x14ac:dyDescent="0.25">
      <c r="Q45898" s="8"/>
    </row>
    <row r="45899" spans="17:17" x14ac:dyDescent="0.25">
      <c r="Q45899" s="8"/>
    </row>
    <row r="45900" spans="17:17" x14ac:dyDescent="0.25">
      <c r="Q45900" s="8"/>
    </row>
    <row r="45901" spans="17:17" x14ac:dyDescent="0.25">
      <c r="Q45901" s="8"/>
    </row>
    <row r="45902" spans="17:17" x14ac:dyDescent="0.25">
      <c r="Q45902" s="8"/>
    </row>
    <row r="45903" spans="17:17" x14ac:dyDescent="0.25">
      <c r="Q45903" s="8"/>
    </row>
    <row r="45904" spans="17:17" x14ac:dyDescent="0.25">
      <c r="Q45904" s="8"/>
    </row>
    <row r="45905" spans="17:17" x14ac:dyDescent="0.25">
      <c r="Q45905" s="8"/>
    </row>
    <row r="45906" spans="17:17" x14ac:dyDescent="0.25">
      <c r="Q45906" s="8"/>
    </row>
    <row r="45907" spans="17:17" x14ac:dyDescent="0.25">
      <c r="Q45907" s="8"/>
    </row>
    <row r="45908" spans="17:17" x14ac:dyDescent="0.25">
      <c r="Q45908" s="8"/>
    </row>
    <row r="45909" spans="17:17" x14ac:dyDescent="0.25">
      <c r="Q45909" s="8"/>
    </row>
    <row r="45910" spans="17:17" x14ac:dyDescent="0.25">
      <c r="Q45910" s="8"/>
    </row>
    <row r="45911" spans="17:17" x14ac:dyDescent="0.25">
      <c r="Q45911" s="8"/>
    </row>
    <row r="45912" spans="17:17" x14ac:dyDescent="0.25">
      <c r="Q45912" s="8"/>
    </row>
    <row r="45913" spans="17:17" x14ac:dyDescent="0.25">
      <c r="Q45913" s="8"/>
    </row>
    <row r="45914" spans="17:17" x14ac:dyDescent="0.25">
      <c r="Q45914" s="8"/>
    </row>
    <row r="45915" spans="17:17" x14ac:dyDescent="0.25">
      <c r="Q45915" s="8"/>
    </row>
    <row r="45916" spans="17:17" x14ac:dyDescent="0.25">
      <c r="Q45916" s="8"/>
    </row>
    <row r="45917" spans="17:17" x14ac:dyDescent="0.25">
      <c r="Q45917" s="8"/>
    </row>
    <row r="45918" spans="17:17" x14ac:dyDescent="0.25">
      <c r="Q45918" s="8"/>
    </row>
    <row r="45919" spans="17:17" x14ac:dyDescent="0.25">
      <c r="Q45919" s="8"/>
    </row>
    <row r="45920" spans="17:17" x14ac:dyDescent="0.25">
      <c r="Q45920" s="8"/>
    </row>
    <row r="45921" spans="17:17" x14ac:dyDescent="0.25">
      <c r="Q45921" s="8"/>
    </row>
    <row r="45922" spans="17:17" x14ac:dyDescent="0.25">
      <c r="Q45922" s="8"/>
    </row>
    <row r="45923" spans="17:17" x14ac:dyDescent="0.25">
      <c r="Q45923" s="8"/>
    </row>
    <row r="45924" spans="17:17" x14ac:dyDescent="0.25">
      <c r="Q45924" s="8"/>
    </row>
    <row r="45925" spans="17:17" x14ac:dyDescent="0.25">
      <c r="Q45925" s="8"/>
    </row>
    <row r="45926" spans="17:17" x14ac:dyDescent="0.25">
      <c r="Q45926" s="8"/>
    </row>
    <row r="45927" spans="17:17" x14ac:dyDescent="0.25">
      <c r="Q45927" s="8"/>
    </row>
    <row r="45928" spans="17:17" x14ac:dyDescent="0.25">
      <c r="Q45928" s="8"/>
    </row>
    <row r="45929" spans="17:17" x14ac:dyDescent="0.25">
      <c r="Q45929" s="8"/>
    </row>
    <row r="45930" spans="17:17" x14ac:dyDescent="0.25">
      <c r="Q45930" s="8"/>
    </row>
    <row r="45931" spans="17:17" x14ac:dyDescent="0.25">
      <c r="Q45931" s="8"/>
    </row>
    <row r="45932" spans="17:17" x14ac:dyDescent="0.25">
      <c r="Q45932" s="8"/>
    </row>
    <row r="45933" spans="17:17" x14ac:dyDescent="0.25">
      <c r="Q45933" s="8"/>
    </row>
    <row r="45934" spans="17:17" x14ac:dyDescent="0.25">
      <c r="Q45934" s="8"/>
    </row>
    <row r="45935" spans="17:17" x14ac:dyDescent="0.25">
      <c r="Q45935" s="8"/>
    </row>
    <row r="45936" spans="17:17" x14ac:dyDescent="0.25">
      <c r="Q45936" s="8"/>
    </row>
    <row r="45937" spans="17:17" x14ac:dyDescent="0.25">
      <c r="Q45937" s="8"/>
    </row>
    <row r="45938" spans="17:17" x14ac:dyDescent="0.25">
      <c r="Q45938" s="8"/>
    </row>
    <row r="45939" spans="17:17" x14ac:dyDescent="0.25">
      <c r="Q45939" s="8"/>
    </row>
    <row r="45940" spans="17:17" x14ac:dyDescent="0.25">
      <c r="Q45940" s="8"/>
    </row>
    <row r="45941" spans="17:17" x14ac:dyDescent="0.25">
      <c r="Q45941" s="8"/>
    </row>
    <row r="45942" spans="17:17" x14ac:dyDescent="0.25">
      <c r="Q45942" s="8"/>
    </row>
    <row r="45943" spans="17:17" x14ac:dyDescent="0.25">
      <c r="Q45943" s="8"/>
    </row>
    <row r="45944" spans="17:17" x14ac:dyDescent="0.25">
      <c r="Q45944" s="8"/>
    </row>
    <row r="45945" spans="17:17" x14ac:dyDescent="0.25">
      <c r="Q45945" s="8"/>
    </row>
    <row r="45946" spans="17:17" x14ac:dyDescent="0.25">
      <c r="Q45946" s="8"/>
    </row>
    <row r="45947" spans="17:17" x14ac:dyDescent="0.25">
      <c r="Q45947" s="8"/>
    </row>
    <row r="45948" spans="17:17" x14ac:dyDescent="0.25">
      <c r="Q45948" s="8"/>
    </row>
    <row r="45949" spans="17:17" x14ac:dyDescent="0.25">
      <c r="Q45949" s="8"/>
    </row>
    <row r="45950" spans="17:17" x14ac:dyDescent="0.25">
      <c r="Q45950" s="8"/>
    </row>
    <row r="45951" spans="17:17" x14ac:dyDescent="0.25">
      <c r="Q45951" s="8"/>
    </row>
    <row r="45952" spans="17:17" x14ac:dyDescent="0.25">
      <c r="Q45952" s="8"/>
    </row>
    <row r="45953" spans="17:17" x14ac:dyDescent="0.25">
      <c r="Q45953" s="8"/>
    </row>
    <row r="45954" spans="17:17" x14ac:dyDescent="0.25">
      <c r="Q45954" s="8"/>
    </row>
    <row r="45955" spans="17:17" x14ac:dyDescent="0.25">
      <c r="Q45955" s="8"/>
    </row>
    <row r="45956" spans="17:17" x14ac:dyDescent="0.25">
      <c r="Q45956" s="8"/>
    </row>
    <row r="45957" spans="17:17" x14ac:dyDescent="0.25">
      <c r="Q45957" s="8"/>
    </row>
    <row r="45958" spans="17:17" x14ac:dyDescent="0.25">
      <c r="Q45958" s="8"/>
    </row>
    <row r="45959" spans="17:17" x14ac:dyDescent="0.25">
      <c r="Q45959" s="8"/>
    </row>
    <row r="45960" spans="17:17" x14ac:dyDescent="0.25">
      <c r="Q45960" s="8"/>
    </row>
    <row r="45961" spans="17:17" x14ac:dyDescent="0.25">
      <c r="Q45961" s="8"/>
    </row>
    <row r="45962" spans="17:17" x14ac:dyDescent="0.25">
      <c r="Q45962" s="8"/>
    </row>
    <row r="45963" spans="17:17" x14ac:dyDescent="0.25">
      <c r="Q45963" s="8"/>
    </row>
    <row r="45964" spans="17:17" x14ac:dyDescent="0.25">
      <c r="Q45964" s="8"/>
    </row>
    <row r="45965" spans="17:17" x14ac:dyDescent="0.25">
      <c r="Q45965" s="8"/>
    </row>
    <row r="45966" spans="17:17" x14ac:dyDescent="0.25">
      <c r="Q45966" s="8"/>
    </row>
    <row r="45967" spans="17:17" x14ac:dyDescent="0.25">
      <c r="Q45967" s="8"/>
    </row>
    <row r="45968" spans="17:17" x14ac:dyDescent="0.25">
      <c r="Q45968" s="8"/>
    </row>
    <row r="45969" spans="17:17" x14ac:dyDescent="0.25">
      <c r="Q45969" s="8"/>
    </row>
    <row r="45970" spans="17:17" x14ac:dyDescent="0.25">
      <c r="Q45970" s="8"/>
    </row>
    <row r="45971" spans="17:17" x14ac:dyDescent="0.25">
      <c r="Q45971" s="8"/>
    </row>
    <row r="45972" spans="17:17" x14ac:dyDescent="0.25">
      <c r="Q45972" s="8"/>
    </row>
    <row r="45973" spans="17:17" x14ac:dyDescent="0.25">
      <c r="Q45973" s="8"/>
    </row>
    <row r="45974" spans="17:17" x14ac:dyDescent="0.25">
      <c r="Q45974" s="8"/>
    </row>
    <row r="45975" spans="17:17" x14ac:dyDescent="0.25">
      <c r="Q45975" s="8"/>
    </row>
    <row r="45976" spans="17:17" x14ac:dyDescent="0.25">
      <c r="Q45976" s="8"/>
    </row>
    <row r="45977" spans="17:17" x14ac:dyDescent="0.25">
      <c r="Q45977" s="8"/>
    </row>
    <row r="45978" spans="17:17" x14ac:dyDescent="0.25">
      <c r="Q45978" s="8"/>
    </row>
    <row r="45979" spans="17:17" x14ac:dyDescent="0.25">
      <c r="Q45979" s="8"/>
    </row>
    <row r="45980" spans="17:17" x14ac:dyDescent="0.25">
      <c r="Q45980" s="8"/>
    </row>
    <row r="45981" spans="17:17" x14ac:dyDescent="0.25">
      <c r="Q45981" s="8"/>
    </row>
    <row r="45982" spans="17:17" x14ac:dyDescent="0.25">
      <c r="Q45982" s="8"/>
    </row>
    <row r="45983" spans="17:17" x14ac:dyDescent="0.25">
      <c r="Q45983" s="8"/>
    </row>
    <row r="45984" spans="17:17" x14ac:dyDescent="0.25">
      <c r="Q45984" s="8"/>
    </row>
    <row r="45985" spans="17:17" x14ac:dyDescent="0.25">
      <c r="Q45985" s="8"/>
    </row>
    <row r="45986" spans="17:17" x14ac:dyDescent="0.25">
      <c r="Q45986" s="8"/>
    </row>
    <row r="45987" spans="17:17" x14ac:dyDescent="0.25">
      <c r="Q45987" s="8"/>
    </row>
    <row r="45988" spans="17:17" x14ac:dyDescent="0.25">
      <c r="Q45988" s="8"/>
    </row>
    <row r="45989" spans="17:17" x14ac:dyDescent="0.25">
      <c r="Q45989" s="8"/>
    </row>
    <row r="45990" spans="17:17" x14ac:dyDescent="0.25">
      <c r="Q45990" s="8"/>
    </row>
    <row r="45991" spans="17:17" x14ac:dyDescent="0.25">
      <c r="Q45991" s="8"/>
    </row>
    <row r="45992" spans="17:17" x14ac:dyDescent="0.25">
      <c r="Q45992" s="8"/>
    </row>
    <row r="45993" spans="17:17" x14ac:dyDescent="0.25">
      <c r="Q45993" s="8"/>
    </row>
    <row r="45994" spans="17:17" x14ac:dyDescent="0.25">
      <c r="Q45994" s="8"/>
    </row>
    <row r="45995" spans="17:17" x14ac:dyDescent="0.25">
      <c r="Q45995" s="8"/>
    </row>
    <row r="45996" spans="17:17" x14ac:dyDescent="0.25">
      <c r="Q45996" s="8"/>
    </row>
    <row r="45997" spans="17:17" x14ac:dyDescent="0.25">
      <c r="Q45997" s="8"/>
    </row>
    <row r="45998" spans="17:17" x14ac:dyDescent="0.25">
      <c r="Q45998" s="8"/>
    </row>
    <row r="45999" spans="17:17" x14ac:dyDescent="0.25">
      <c r="Q45999" s="8"/>
    </row>
    <row r="46000" spans="17:17" x14ac:dyDescent="0.25">
      <c r="Q46000" s="8"/>
    </row>
    <row r="46001" spans="17:17" x14ac:dyDescent="0.25">
      <c r="Q46001" s="8"/>
    </row>
    <row r="46002" spans="17:17" x14ac:dyDescent="0.25">
      <c r="Q46002" s="8"/>
    </row>
    <row r="46003" spans="17:17" x14ac:dyDescent="0.25">
      <c r="Q46003" s="8"/>
    </row>
    <row r="46004" spans="17:17" x14ac:dyDescent="0.25">
      <c r="Q46004" s="8"/>
    </row>
    <row r="46005" spans="17:17" x14ac:dyDescent="0.25">
      <c r="Q46005" s="8"/>
    </row>
    <row r="46006" spans="17:17" x14ac:dyDescent="0.25">
      <c r="Q46006" s="8"/>
    </row>
    <row r="46007" spans="17:17" x14ac:dyDescent="0.25">
      <c r="Q46007" s="8"/>
    </row>
    <row r="46008" spans="17:17" x14ac:dyDescent="0.25">
      <c r="Q46008" s="8"/>
    </row>
    <row r="46009" spans="17:17" x14ac:dyDescent="0.25">
      <c r="Q46009" s="8"/>
    </row>
    <row r="46010" spans="17:17" x14ac:dyDescent="0.25">
      <c r="Q46010" s="8"/>
    </row>
    <row r="46011" spans="17:17" x14ac:dyDescent="0.25">
      <c r="Q46011" s="8"/>
    </row>
    <row r="46012" spans="17:17" x14ac:dyDescent="0.25">
      <c r="Q46012" s="8"/>
    </row>
    <row r="46013" spans="17:17" x14ac:dyDescent="0.25">
      <c r="Q46013" s="8"/>
    </row>
    <row r="46014" spans="17:17" x14ac:dyDescent="0.25">
      <c r="Q46014" s="8"/>
    </row>
    <row r="46015" spans="17:17" x14ac:dyDescent="0.25">
      <c r="Q46015" s="8"/>
    </row>
    <row r="46016" spans="17:17" x14ac:dyDescent="0.25">
      <c r="Q46016" s="8"/>
    </row>
    <row r="46017" spans="17:17" x14ac:dyDescent="0.25">
      <c r="Q46017" s="8"/>
    </row>
    <row r="46018" spans="17:17" x14ac:dyDescent="0.25">
      <c r="Q46018" s="8"/>
    </row>
    <row r="46019" spans="17:17" x14ac:dyDescent="0.25">
      <c r="Q46019" s="8"/>
    </row>
    <row r="46020" spans="17:17" x14ac:dyDescent="0.25">
      <c r="Q46020" s="8"/>
    </row>
    <row r="46021" spans="17:17" x14ac:dyDescent="0.25">
      <c r="Q46021" s="8"/>
    </row>
    <row r="46022" spans="17:17" x14ac:dyDescent="0.25">
      <c r="Q46022" s="8"/>
    </row>
    <row r="46023" spans="17:17" x14ac:dyDescent="0.25">
      <c r="Q46023" s="8"/>
    </row>
    <row r="46024" spans="17:17" x14ac:dyDescent="0.25">
      <c r="Q46024" s="8"/>
    </row>
    <row r="46025" spans="17:17" x14ac:dyDescent="0.25">
      <c r="Q46025" s="8"/>
    </row>
    <row r="46026" spans="17:17" x14ac:dyDescent="0.25">
      <c r="Q46026" s="8"/>
    </row>
    <row r="46027" spans="17:17" x14ac:dyDescent="0.25">
      <c r="Q46027" s="8"/>
    </row>
    <row r="46028" spans="17:17" x14ac:dyDescent="0.25">
      <c r="Q46028" s="8"/>
    </row>
    <row r="46029" spans="17:17" x14ac:dyDescent="0.25">
      <c r="Q46029" s="8"/>
    </row>
    <row r="46030" spans="17:17" x14ac:dyDescent="0.25">
      <c r="Q46030" s="8"/>
    </row>
    <row r="46031" spans="17:17" x14ac:dyDescent="0.25">
      <c r="Q46031" s="8"/>
    </row>
    <row r="46032" spans="17:17" x14ac:dyDescent="0.25">
      <c r="Q46032" s="8"/>
    </row>
    <row r="46033" spans="17:17" x14ac:dyDescent="0.25">
      <c r="Q46033" s="8"/>
    </row>
    <row r="46034" spans="17:17" x14ac:dyDescent="0.25">
      <c r="Q46034" s="8"/>
    </row>
    <row r="46035" spans="17:17" x14ac:dyDescent="0.25">
      <c r="Q46035" s="8"/>
    </row>
    <row r="46036" spans="17:17" x14ac:dyDescent="0.25">
      <c r="Q46036" s="8"/>
    </row>
    <row r="46037" spans="17:17" x14ac:dyDescent="0.25">
      <c r="Q46037" s="8"/>
    </row>
    <row r="46038" spans="17:17" x14ac:dyDescent="0.25">
      <c r="Q46038" s="8"/>
    </row>
    <row r="46039" spans="17:17" x14ac:dyDescent="0.25">
      <c r="Q46039" s="8"/>
    </row>
    <row r="46040" spans="17:17" x14ac:dyDescent="0.25">
      <c r="Q46040" s="8"/>
    </row>
    <row r="46041" spans="17:17" x14ac:dyDescent="0.25">
      <c r="Q46041" s="8"/>
    </row>
    <row r="46042" spans="17:17" x14ac:dyDescent="0.25">
      <c r="Q46042" s="8"/>
    </row>
    <row r="46043" spans="17:17" x14ac:dyDescent="0.25">
      <c r="Q46043" s="8"/>
    </row>
    <row r="46044" spans="17:17" x14ac:dyDescent="0.25">
      <c r="Q46044" s="8"/>
    </row>
    <row r="46045" spans="17:17" x14ac:dyDescent="0.25">
      <c r="Q46045" s="8"/>
    </row>
    <row r="46046" spans="17:17" x14ac:dyDescent="0.25">
      <c r="Q46046" s="8"/>
    </row>
    <row r="46047" spans="17:17" x14ac:dyDescent="0.25">
      <c r="Q46047" s="8"/>
    </row>
    <row r="46048" spans="17:17" x14ac:dyDescent="0.25">
      <c r="Q46048" s="8"/>
    </row>
    <row r="46049" spans="17:17" x14ac:dyDescent="0.25">
      <c r="Q46049" s="8"/>
    </row>
    <row r="46050" spans="17:17" x14ac:dyDescent="0.25">
      <c r="Q46050" s="8"/>
    </row>
    <row r="46051" spans="17:17" x14ac:dyDescent="0.25">
      <c r="Q46051" s="8"/>
    </row>
    <row r="46052" spans="17:17" x14ac:dyDescent="0.25">
      <c r="Q46052" s="8"/>
    </row>
    <row r="46053" spans="17:17" x14ac:dyDescent="0.25">
      <c r="Q46053" s="8"/>
    </row>
    <row r="46054" spans="17:17" x14ac:dyDescent="0.25">
      <c r="Q46054" s="8"/>
    </row>
    <row r="46055" spans="17:17" x14ac:dyDescent="0.25">
      <c r="Q46055" s="8"/>
    </row>
    <row r="46056" spans="17:17" x14ac:dyDescent="0.25">
      <c r="Q46056" s="8"/>
    </row>
    <row r="46057" spans="17:17" x14ac:dyDescent="0.25">
      <c r="Q46057" s="8"/>
    </row>
    <row r="46058" spans="17:17" x14ac:dyDescent="0.25">
      <c r="Q46058" s="8"/>
    </row>
    <row r="46059" spans="17:17" x14ac:dyDescent="0.25">
      <c r="Q46059" s="8"/>
    </row>
    <row r="46060" spans="17:17" x14ac:dyDescent="0.25">
      <c r="Q46060" s="8"/>
    </row>
    <row r="46061" spans="17:17" x14ac:dyDescent="0.25">
      <c r="Q46061" s="8"/>
    </row>
    <row r="46062" spans="17:17" x14ac:dyDescent="0.25">
      <c r="Q46062" s="8"/>
    </row>
    <row r="46063" spans="17:17" x14ac:dyDescent="0.25">
      <c r="Q46063" s="8"/>
    </row>
    <row r="46064" spans="17:17" x14ac:dyDescent="0.25">
      <c r="Q46064" s="8"/>
    </row>
    <row r="46065" spans="17:17" x14ac:dyDescent="0.25">
      <c r="Q46065" s="8"/>
    </row>
    <row r="46066" spans="17:17" x14ac:dyDescent="0.25">
      <c r="Q46066" s="8"/>
    </row>
    <row r="46067" spans="17:17" x14ac:dyDescent="0.25">
      <c r="Q46067" s="8"/>
    </row>
    <row r="46068" spans="17:17" x14ac:dyDescent="0.25">
      <c r="Q46068" s="8"/>
    </row>
    <row r="46069" spans="17:17" x14ac:dyDescent="0.25">
      <c r="Q46069" s="8"/>
    </row>
    <row r="46070" spans="17:17" x14ac:dyDescent="0.25">
      <c r="Q46070" s="8"/>
    </row>
    <row r="46071" spans="17:17" x14ac:dyDescent="0.25">
      <c r="Q46071" s="8"/>
    </row>
    <row r="46072" spans="17:17" x14ac:dyDescent="0.25">
      <c r="Q46072" s="8"/>
    </row>
    <row r="46073" spans="17:17" x14ac:dyDescent="0.25">
      <c r="Q46073" s="8"/>
    </row>
    <row r="46074" spans="17:17" x14ac:dyDescent="0.25">
      <c r="Q46074" s="8"/>
    </row>
    <row r="46075" spans="17:17" x14ac:dyDescent="0.25">
      <c r="Q46075" s="8"/>
    </row>
    <row r="46076" spans="17:17" x14ac:dyDescent="0.25">
      <c r="Q46076" s="8"/>
    </row>
    <row r="46077" spans="17:17" x14ac:dyDescent="0.25">
      <c r="Q46077" s="8"/>
    </row>
    <row r="46078" spans="17:17" x14ac:dyDescent="0.25">
      <c r="Q46078" s="8"/>
    </row>
    <row r="46079" spans="17:17" x14ac:dyDescent="0.25">
      <c r="Q46079" s="8"/>
    </row>
    <row r="46080" spans="17:17" x14ac:dyDescent="0.25">
      <c r="Q46080" s="8"/>
    </row>
    <row r="46081" spans="17:17" x14ac:dyDescent="0.25">
      <c r="Q46081" s="8"/>
    </row>
    <row r="46082" spans="17:17" x14ac:dyDescent="0.25">
      <c r="Q46082" s="8"/>
    </row>
    <row r="46083" spans="17:17" x14ac:dyDescent="0.25">
      <c r="Q46083" s="8"/>
    </row>
    <row r="46084" spans="17:17" x14ac:dyDescent="0.25">
      <c r="Q46084" s="8"/>
    </row>
    <row r="46085" spans="17:17" x14ac:dyDescent="0.25">
      <c r="Q46085" s="8"/>
    </row>
    <row r="46086" spans="17:17" x14ac:dyDescent="0.25">
      <c r="Q46086" s="8"/>
    </row>
    <row r="46087" spans="17:17" x14ac:dyDescent="0.25">
      <c r="Q46087" s="8"/>
    </row>
    <row r="46088" spans="17:17" x14ac:dyDescent="0.25">
      <c r="Q46088" s="8"/>
    </row>
    <row r="46089" spans="17:17" x14ac:dyDescent="0.25">
      <c r="Q46089" s="8"/>
    </row>
    <row r="46090" spans="17:17" x14ac:dyDescent="0.25">
      <c r="Q46090" s="8"/>
    </row>
    <row r="46091" spans="17:17" x14ac:dyDescent="0.25">
      <c r="Q46091" s="8"/>
    </row>
    <row r="46092" spans="17:17" x14ac:dyDescent="0.25">
      <c r="Q46092" s="8"/>
    </row>
    <row r="46093" spans="17:17" x14ac:dyDescent="0.25">
      <c r="Q46093" s="8"/>
    </row>
    <row r="46094" spans="17:17" x14ac:dyDescent="0.25">
      <c r="Q46094" s="8"/>
    </row>
    <row r="46095" spans="17:17" x14ac:dyDescent="0.25">
      <c r="Q46095" s="8"/>
    </row>
    <row r="46096" spans="17:17" x14ac:dyDescent="0.25">
      <c r="Q46096" s="8"/>
    </row>
    <row r="46097" spans="17:17" x14ac:dyDescent="0.25">
      <c r="Q46097" s="8"/>
    </row>
    <row r="46098" spans="17:17" x14ac:dyDescent="0.25">
      <c r="Q46098" s="8"/>
    </row>
    <row r="46099" spans="17:17" x14ac:dyDescent="0.25">
      <c r="Q46099" s="8"/>
    </row>
    <row r="46100" spans="17:17" x14ac:dyDescent="0.25">
      <c r="Q46100" s="8"/>
    </row>
    <row r="46101" spans="17:17" x14ac:dyDescent="0.25">
      <c r="Q46101" s="8"/>
    </row>
    <row r="46102" spans="17:17" x14ac:dyDescent="0.25">
      <c r="Q46102" s="8"/>
    </row>
    <row r="46103" spans="17:17" x14ac:dyDescent="0.25">
      <c r="Q46103" s="8"/>
    </row>
    <row r="46104" spans="17:17" x14ac:dyDescent="0.25">
      <c r="Q46104" s="8"/>
    </row>
    <row r="46105" spans="17:17" x14ac:dyDescent="0.25">
      <c r="Q46105" s="8"/>
    </row>
    <row r="46106" spans="17:17" x14ac:dyDescent="0.25">
      <c r="Q46106" s="8"/>
    </row>
    <row r="46107" spans="17:17" x14ac:dyDescent="0.25">
      <c r="Q46107" s="8"/>
    </row>
    <row r="46108" spans="17:17" x14ac:dyDescent="0.25">
      <c r="Q46108" s="8"/>
    </row>
    <row r="46109" spans="17:17" x14ac:dyDescent="0.25">
      <c r="Q46109" s="8"/>
    </row>
    <row r="46110" spans="17:17" x14ac:dyDescent="0.25">
      <c r="Q46110" s="8"/>
    </row>
    <row r="46111" spans="17:17" x14ac:dyDescent="0.25">
      <c r="Q46111" s="8"/>
    </row>
    <row r="46112" spans="17:17" x14ac:dyDescent="0.25">
      <c r="Q46112" s="8"/>
    </row>
    <row r="46113" spans="17:17" x14ac:dyDescent="0.25">
      <c r="Q46113" s="8"/>
    </row>
    <row r="46114" spans="17:17" x14ac:dyDescent="0.25">
      <c r="Q46114" s="8"/>
    </row>
    <row r="46115" spans="17:17" x14ac:dyDescent="0.25">
      <c r="Q46115" s="8"/>
    </row>
    <row r="46116" spans="17:17" x14ac:dyDescent="0.25">
      <c r="Q46116" s="8"/>
    </row>
    <row r="46117" spans="17:17" x14ac:dyDescent="0.25">
      <c r="Q46117" s="8"/>
    </row>
    <row r="46118" spans="17:17" x14ac:dyDescent="0.25">
      <c r="Q46118" s="8"/>
    </row>
    <row r="46119" spans="17:17" x14ac:dyDescent="0.25">
      <c r="Q46119" s="8"/>
    </row>
    <row r="46120" spans="17:17" x14ac:dyDescent="0.25">
      <c r="Q46120" s="8"/>
    </row>
    <row r="46121" spans="17:17" x14ac:dyDescent="0.25">
      <c r="Q46121" s="8"/>
    </row>
    <row r="46122" spans="17:17" x14ac:dyDescent="0.25">
      <c r="Q46122" s="8"/>
    </row>
    <row r="46123" spans="17:17" x14ac:dyDescent="0.25">
      <c r="Q46123" s="8"/>
    </row>
    <row r="46124" spans="17:17" x14ac:dyDescent="0.25">
      <c r="Q46124" s="8"/>
    </row>
    <row r="46125" spans="17:17" x14ac:dyDescent="0.25">
      <c r="Q46125" s="8"/>
    </row>
    <row r="46126" spans="17:17" x14ac:dyDescent="0.25">
      <c r="Q46126" s="8"/>
    </row>
    <row r="46127" spans="17:17" x14ac:dyDescent="0.25">
      <c r="Q46127" s="8"/>
    </row>
    <row r="46128" spans="17:17" x14ac:dyDescent="0.25">
      <c r="Q46128" s="8"/>
    </row>
    <row r="46129" spans="17:17" x14ac:dyDescent="0.25">
      <c r="Q46129" s="8"/>
    </row>
    <row r="46130" spans="17:17" x14ac:dyDescent="0.25">
      <c r="Q46130" s="8"/>
    </row>
    <row r="46131" spans="17:17" x14ac:dyDescent="0.25">
      <c r="Q46131" s="8"/>
    </row>
    <row r="46132" spans="17:17" x14ac:dyDescent="0.25">
      <c r="Q46132" s="8"/>
    </row>
    <row r="46133" spans="17:17" x14ac:dyDescent="0.25">
      <c r="Q46133" s="8"/>
    </row>
    <row r="46134" spans="17:17" x14ac:dyDescent="0.25">
      <c r="Q46134" s="8"/>
    </row>
    <row r="46135" spans="17:17" x14ac:dyDescent="0.25">
      <c r="Q46135" s="8"/>
    </row>
    <row r="46136" spans="17:17" x14ac:dyDescent="0.25">
      <c r="Q46136" s="8"/>
    </row>
    <row r="46137" spans="17:17" x14ac:dyDescent="0.25">
      <c r="Q46137" s="8"/>
    </row>
    <row r="46138" spans="17:17" x14ac:dyDescent="0.25">
      <c r="Q46138" s="8"/>
    </row>
    <row r="46139" spans="17:17" x14ac:dyDescent="0.25">
      <c r="Q46139" s="8"/>
    </row>
    <row r="46140" spans="17:17" x14ac:dyDescent="0.25">
      <c r="Q46140" s="8"/>
    </row>
    <row r="46141" spans="17:17" x14ac:dyDescent="0.25">
      <c r="Q46141" s="8"/>
    </row>
    <row r="46142" spans="17:17" x14ac:dyDescent="0.25">
      <c r="Q46142" s="8"/>
    </row>
    <row r="46143" spans="17:17" x14ac:dyDescent="0.25">
      <c r="Q46143" s="8"/>
    </row>
    <row r="46144" spans="17:17" x14ac:dyDescent="0.25">
      <c r="Q46144" s="8"/>
    </row>
    <row r="46145" spans="17:17" x14ac:dyDescent="0.25">
      <c r="Q46145" s="8"/>
    </row>
    <row r="46146" spans="17:17" x14ac:dyDescent="0.25">
      <c r="Q46146" s="8"/>
    </row>
    <row r="46147" spans="17:17" x14ac:dyDescent="0.25">
      <c r="Q46147" s="8"/>
    </row>
    <row r="46148" spans="17:17" x14ac:dyDescent="0.25">
      <c r="Q46148" s="8"/>
    </row>
    <row r="46149" spans="17:17" x14ac:dyDescent="0.25">
      <c r="Q46149" s="8"/>
    </row>
    <row r="46150" spans="17:17" x14ac:dyDescent="0.25">
      <c r="Q46150" s="8"/>
    </row>
    <row r="46151" spans="17:17" x14ac:dyDescent="0.25">
      <c r="Q46151" s="8"/>
    </row>
    <row r="46152" spans="17:17" x14ac:dyDescent="0.25">
      <c r="Q46152" s="8"/>
    </row>
    <row r="46153" spans="17:17" x14ac:dyDescent="0.25">
      <c r="Q46153" s="8"/>
    </row>
    <row r="46154" spans="17:17" x14ac:dyDescent="0.25">
      <c r="Q46154" s="8"/>
    </row>
    <row r="46155" spans="17:17" x14ac:dyDescent="0.25">
      <c r="Q46155" s="8"/>
    </row>
    <row r="46156" spans="17:17" x14ac:dyDescent="0.25">
      <c r="Q46156" s="8"/>
    </row>
    <row r="46157" spans="17:17" x14ac:dyDescent="0.25">
      <c r="Q46157" s="8"/>
    </row>
    <row r="46158" spans="17:17" x14ac:dyDescent="0.25">
      <c r="Q46158" s="8"/>
    </row>
    <row r="46159" spans="17:17" x14ac:dyDescent="0.25">
      <c r="Q46159" s="8"/>
    </row>
    <row r="46160" spans="17:17" x14ac:dyDescent="0.25">
      <c r="Q46160" s="8"/>
    </row>
    <row r="46161" spans="17:17" x14ac:dyDescent="0.25">
      <c r="Q46161" s="8"/>
    </row>
    <row r="46162" spans="17:17" x14ac:dyDescent="0.25">
      <c r="Q46162" s="8"/>
    </row>
    <row r="46163" spans="17:17" x14ac:dyDescent="0.25">
      <c r="Q46163" s="8"/>
    </row>
    <row r="46164" spans="17:17" x14ac:dyDescent="0.25">
      <c r="Q46164" s="8"/>
    </row>
    <row r="46165" spans="17:17" x14ac:dyDescent="0.25">
      <c r="Q46165" s="8"/>
    </row>
    <row r="46166" spans="17:17" x14ac:dyDescent="0.25">
      <c r="Q46166" s="8"/>
    </row>
    <row r="46167" spans="17:17" x14ac:dyDescent="0.25">
      <c r="Q46167" s="8"/>
    </row>
    <row r="46168" spans="17:17" x14ac:dyDescent="0.25">
      <c r="Q46168" s="8"/>
    </row>
    <row r="46169" spans="17:17" x14ac:dyDescent="0.25">
      <c r="Q46169" s="8"/>
    </row>
    <row r="46170" spans="17:17" x14ac:dyDescent="0.25">
      <c r="Q46170" s="8"/>
    </row>
    <row r="46171" spans="17:17" x14ac:dyDescent="0.25">
      <c r="Q46171" s="8"/>
    </row>
    <row r="46172" spans="17:17" x14ac:dyDescent="0.25">
      <c r="Q46172" s="8"/>
    </row>
    <row r="46173" spans="17:17" x14ac:dyDescent="0.25">
      <c r="Q46173" s="8"/>
    </row>
    <row r="46174" spans="17:17" x14ac:dyDescent="0.25">
      <c r="Q46174" s="8"/>
    </row>
    <row r="46175" spans="17:17" x14ac:dyDescent="0.25">
      <c r="Q46175" s="8"/>
    </row>
    <row r="46176" spans="17:17" x14ac:dyDescent="0.25">
      <c r="Q46176" s="8"/>
    </row>
    <row r="46177" spans="17:17" x14ac:dyDescent="0.25">
      <c r="Q46177" s="8"/>
    </row>
    <row r="46178" spans="17:17" x14ac:dyDescent="0.25">
      <c r="Q46178" s="8"/>
    </row>
    <row r="46179" spans="17:17" x14ac:dyDescent="0.25">
      <c r="Q46179" s="8"/>
    </row>
    <row r="46180" spans="17:17" x14ac:dyDescent="0.25">
      <c r="Q46180" s="8"/>
    </row>
    <row r="46181" spans="17:17" x14ac:dyDescent="0.25">
      <c r="Q46181" s="8"/>
    </row>
    <row r="46182" spans="17:17" x14ac:dyDescent="0.25">
      <c r="Q46182" s="8"/>
    </row>
    <row r="46183" spans="17:17" x14ac:dyDescent="0.25">
      <c r="Q46183" s="8"/>
    </row>
    <row r="46184" spans="17:17" x14ac:dyDescent="0.25">
      <c r="Q46184" s="8"/>
    </row>
    <row r="46185" spans="17:17" x14ac:dyDescent="0.25">
      <c r="Q46185" s="8"/>
    </row>
    <row r="46186" spans="17:17" x14ac:dyDescent="0.25">
      <c r="Q46186" s="8"/>
    </row>
    <row r="46187" spans="17:17" x14ac:dyDescent="0.25">
      <c r="Q46187" s="8"/>
    </row>
    <row r="46188" spans="17:17" x14ac:dyDescent="0.25">
      <c r="Q46188" s="8"/>
    </row>
    <row r="46189" spans="17:17" x14ac:dyDescent="0.25">
      <c r="Q46189" s="8"/>
    </row>
    <row r="46190" spans="17:17" x14ac:dyDescent="0.25">
      <c r="Q46190" s="8"/>
    </row>
    <row r="46191" spans="17:17" x14ac:dyDescent="0.25">
      <c r="Q46191" s="8"/>
    </row>
    <row r="46192" spans="17:17" x14ac:dyDescent="0.25">
      <c r="Q46192" s="8"/>
    </row>
    <row r="46193" spans="17:17" x14ac:dyDescent="0.25">
      <c r="Q46193" s="8"/>
    </row>
    <row r="46194" spans="17:17" x14ac:dyDescent="0.25">
      <c r="Q46194" s="8"/>
    </row>
    <row r="46195" spans="17:17" x14ac:dyDescent="0.25">
      <c r="Q46195" s="8"/>
    </row>
    <row r="46196" spans="17:17" x14ac:dyDescent="0.25">
      <c r="Q46196" s="8"/>
    </row>
    <row r="46197" spans="17:17" x14ac:dyDescent="0.25">
      <c r="Q46197" s="8"/>
    </row>
    <row r="46198" spans="17:17" x14ac:dyDescent="0.25">
      <c r="Q46198" s="8"/>
    </row>
    <row r="46199" spans="17:17" x14ac:dyDescent="0.25">
      <c r="Q46199" s="8"/>
    </row>
    <row r="46200" spans="17:17" x14ac:dyDescent="0.25">
      <c r="Q46200" s="8"/>
    </row>
    <row r="46201" spans="17:17" x14ac:dyDescent="0.25">
      <c r="Q46201" s="8"/>
    </row>
    <row r="46202" spans="17:17" x14ac:dyDescent="0.25">
      <c r="Q46202" s="8"/>
    </row>
    <row r="46203" spans="17:17" x14ac:dyDescent="0.25">
      <c r="Q46203" s="8"/>
    </row>
    <row r="46204" spans="17:17" x14ac:dyDescent="0.25">
      <c r="Q46204" s="8"/>
    </row>
    <row r="46205" spans="17:17" x14ac:dyDescent="0.25">
      <c r="Q46205" s="8"/>
    </row>
    <row r="46206" spans="17:17" x14ac:dyDescent="0.25">
      <c r="Q46206" s="8"/>
    </row>
    <row r="46207" spans="17:17" x14ac:dyDescent="0.25">
      <c r="Q46207" s="8"/>
    </row>
    <row r="46208" spans="17:17" x14ac:dyDescent="0.25">
      <c r="Q46208" s="8"/>
    </row>
    <row r="46209" spans="17:17" x14ac:dyDescent="0.25">
      <c r="Q46209" s="8"/>
    </row>
    <row r="46210" spans="17:17" x14ac:dyDescent="0.25">
      <c r="Q46210" s="8"/>
    </row>
    <row r="46211" spans="17:17" x14ac:dyDescent="0.25">
      <c r="Q46211" s="8"/>
    </row>
    <row r="46212" spans="17:17" x14ac:dyDescent="0.25">
      <c r="Q46212" s="8"/>
    </row>
    <row r="46213" spans="17:17" x14ac:dyDescent="0.25">
      <c r="Q46213" s="8"/>
    </row>
    <row r="46214" spans="17:17" x14ac:dyDescent="0.25">
      <c r="Q46214" s="8"/>
    </row>
    <row r="46215" spans="17:17" x14ac:dyDescent="0.25">
      <c r="Q46215" s="8"/>
    </row>
    <row r="46216" spans="17:17" x14ac:dyDescent="0.25">
      <c r="Q46216" s="8"/>
    </row>
    <row r="46217" spans="17:17" x14ac:dyDescent="0.25">
      <c r="Q46217" s="8"/>
    </row>
    <row r="46218" spans="17:17" x14ac:dyDescent="0.25">
      <c r="Q46218" s="8"/>
    </row>
    <row r="46219" spans="17:17" x14ac:dyDescent="0.25">
      <c r="Q46219" s="8"/>
    </row>
    <row r="46220" spans="17:17" x14ac:dyDescent="0.25">
      <c r="Q46220" s="8"/>
    </row>
    <row r="46221" spans="17:17" x14ac:dyDescent="0.25">
      <c r="Q46221" s="8"/>
    </row>
    <row r="46222" spans="17:17" x14ac:dyDescent="0.25">
      <c r="Q46222" s="8"/>
    </row>
    <row r="46223" spans="17:17" x14ac:dyDescent="0.25">
      <c r="Q46223" s="8"/>
    </row>
    <row r="46224" spans="17:17" x14ac:dyDescent="0.25">
      <c r="Q46224" s="8"/>
    </row>
    <row r="46225" spans="17:17" x14ac:dyDescent="0.25">
      <c r="Q46225" s="8"/>
    </row>
    <row r="46226" spans="17:17" x14ac:dyDescent="0.25">
      <c r="Q46226" s="8"/>
    </row>
    <row r="46227" spans="17:17" x14ac:dyDescent="0.25">
      <c r="Q46227" s="8"/>
    </row>
    <row r="46228" spans="17:17" x14ac:dyDescent="0.25">
      <c r="Q46228" s="8"/>
    </row>
    <row r="46229" spans="17:17" x14ac:dyDescent="0.25">
      <c r="Q46229" s="8"/>
    </row>
    <row r="46230" spans="17:17" x14ac:dyDescent="0.25">
      <c r="Q46230" s="8"/>
    </row>
    <row r="46231" spans="17:17" x14ac:dyDescent="0.25">
      <c r="Q46231" s="8"/>
    </row>
    <row r="46232" spans="17:17" x14ac:dyDescent="0.25">
      <c r="Q46232" s="8"/>
    </row>
    <row r="46233" spans="17:17" x14ac:dyDescent="0.25">
      <c r="Q46233" s="8"/>
    </row>
    <row r="46234" spans="17:17" x14ac:dyDescent="0.25">
      <c r="Q46234" s="8"/>
    </row>
    <row r="46235" spans="17:17" x14ac:dyDescent="0.25">
      <c r="Q46235" s="8"/>
    </row>
    <row r="46236" spans="17:17" x14ac:dyDescent="0.25">
      <c r="Q46236" s="8"/>
    </row>
    <row r="46237" spans="17:17" x14ac:dyDescent="0.25">
      <c r="Q46237" s="8"/>
    </row>
    <row r="46238" spans="17:17" x14ac:dyDescent="0.25">
      <c r="Q46238" s="8"/>
    </row>
    <row r="46239" spans="17:17" x14ac:dyDescent="0.25">
      <c r="Q46239" s="8"/>
    </row>
    <row r="46240" spans="17:17" x14ac:dyDescent="0.25">
      <c r="Q46240" s="8"/>
    </row>
    <row r="46241" spans="17:17" x14ac:dyDescent="0.25">
      <c r="Q46241" s="8"/>
    </row>
    <row r="46242" spans="17:17" x14ac:dyDescent="0.25">
      <c r="Q46242" s="8"/>
    </row>
    <row r="46243" spans="17:17" x14ac:dyDescent="0.25">
      <c r="Q46243" s="8"/>
    </row>
    <row r="46244" spans="17:17" x14ac:dyDescent="0.25">
      <c r="Q46244" s="8"/>
    </row>
    <row r="46245" spans="17:17" x14ac:dyDescent="0.25">
      <c r="Q46245" s="8"/>
    </row>
    <row r="46246" spans="17:17" x14ac:dyDescent="0.25">
      <c r="Q46246" s="8"/>
    </row>
    <row r="46247" spans="17:17" x14ac:dyDescent="0.25">
      <c r="Q46247" s="8"/>
    </row>
    <row r="46248" spans="17:17" x14ac:dyDescent="0.25">
      <c r="Q46248" s="8"/>
    </row>
    <row r="46249" spans="17:17" x14ac:dyDescent="0.25">
      <c r="Q46249" s="8"/>
    </row>
    <row r="46250" spans="17:17" x14ac:dyDescent="0.25">
      <c r="Q46250" s="8"/>
    </row>
    <row r="46251" spans="17:17" x14ac:dyDescent="0.25">
      <c r="Q46251" s="8"/>
    </row>
    <row r="46252" spans="17:17" x14ac:dyDescent="0.25">
      <c r="Q46252" s="8"/>
    </row>
    <row r="46253" spans="17:17" x14ac:dyDescent="0.25">
      <c r="Q46253" s="8"/>
    </row>
    <row r="46254" spans="17:17" x14ac:dyDescent="0.25">
      <c r="Q46254" s="8"/>
    </row>
    <row r="46255" spans="17:17" x14ac:dyDescent="0.25">
      <c r="Q46255" s="8"/>
    </row>
    <row r="46256" spans="17:17" x14ac:dyDescent="0.25">
      <c r="Q46256" s="8"/>
    </row>
    <row r="46257" spans="17:17" x14ac:dyDescent="0.25">
      <c r="Q46257" s="8"/>
    </row>
    <row r="46258" spans="17:17" x14ac:dyDescent="0.25">
      <c r="Q46258" s="8"/>
    </row>
    <row r="46259" spans="17:17" x14ac:dyDescent="0.25">
      <c r="Q46259" s="8"/>
    </row>
    <row r="46260" spans="17:17" x14ac:dyDescent="0.25">
      <c r="Q46260" s="8"/>
    </row>
    <row r="46261" spans="17:17" x14ac:dyDescent="0.25">
      <c r="Q46261" s="8"/>
    </row>
    <row r="46262" spans="17:17" x14ac:dyDescent="0.25">
      <c r="Q46262" s="8"/>
    </row>
    <row r="46263" spans="17:17" x14ac:dyDescent="0.25">
      <c r="Q46263" s="8"/>
    </row>
    <row r="46264" spans="17:17" x14ac:dyDescent="0.25">
      <c r="Q46264" s="8"/>
    </row>
    <row r="46265" spans="17:17" x14ac:dyDescent="0.25">
      <c r="Q46265" s="8"/>
    </row>
    <row r="46266" spans="17:17" x14ac:dyDescent="0.25">
      <c r="Q46266" s="8"/>
    </row>
    <row r="46267" spans="17:17" x14ac:dyDescent="0.25">
      <c r="Q46267" s="8"/>
    </row>
    <row r="46268" spans="17:17" x14ac:dyDescent="0.25">
      <c r="Q46268" s="8"/>
    </row>
    <row r="46269" spans="17:17" x14ac:dyDescent="0.25">
      <c r="Q46269" s="8"/>
    </row>
    <row r="46270" spans="17:17" x14ac:dyDescent="0.25">
      <c r="Q46270" s="8"/>
    </row>
    <row r="46271" spans="17:17" x14ac:dyDescent="0.25">
      <c r="Q46271" s="8"/>
    </row>
    <row r="46272" spans="17:17" x14ac:dyDescent="0.25">
      <c r="Q46272" s="8"/>
    </row>
    <row r="46273" spans="17:17" x14ac:dyDescent="0.25">
      <c r="Q46273" s="8"/>
    </row>
    <row r="46274" spans="17:17" x14ac:dyDescent="0.25">
      <c r="Q46274" s="8"/>
    </row>
    <row r="46275" spans="17:17" x14ac:dyDescent="0.25">
      <c r="Q46275" s="8"/>
    </row>
    <row r="46276" spans="17:17" x14ac:dyDescent="0.25">
      <c r="Q46276" s="8"/>
    </row>
    <row r="46277" spans="17:17" x14ac:dyDescent="0.25">
      <c r="Q46277" s="8"/>
    </row>
    <row r="46278" spans="17:17" x14ac:dyDescent="0.25">
      <c r="Q46278" s="8"/>
    </row>
    <row r="46279" spans="17:17" x14ac:dyDescent="0.25">
      <c r="Q46279" s="8"/>
    </row>
    <row r="46280" spans="17:17" x14ac:dyDescent="0.25">
      <c r="Q46280" s="8"/>
    </row>
    <row r="46281" spans="17:17" x14ac:dyDescent="0.25">
      <c r="Q46281" s="8"/>
    </row>
    <row r="46282" spans="17:17" x14ac:dyDescent="0.25">
      <c r="Q46282" s="8"/>
    </row>
    <row r="46283" spans="17:17" x14ac:dyDescent="0.25">
      <c r="Q46283" s="8"/>
    </row>
    <row r="46284" spans="17:17" x14ac:dyDescent="0.25">
      <c r="Q46284" s="8"/>
    </row>
    <row r="46285" spans="17:17" x14ac:dyDescent="0.25">
      <c r="Q46285" s="8"/>
    </row>
    <row r="46286" spans="17:17" x14ac:dyDescent="0.25">
      <c r="Q46286" s="8"/>
    </row>
    <row r="46287" spans="17:17" x14ac:dyDescent="0.25">
      <c r="Q46287" s="8"/>
    </row>
    <row r="46288" spans="17:17" x14ac:dyDescent="0.25">
      <c r="Q46288" s="8"/>
    </row>
    <row r="46289" spans="17:17" x14ac:dyDescent="0.25">
      <c r="Q46289" s="8"/>
    </row>
    <row r="46290" spans="17:17" x14ac:dyDescent="0.25">
      <c r="Q46290" s="8"/>
    </row>
    <row r="46291" spans="17:17" x14ac:dyDescent="0.25">
      <c r="Q46291" s="8"/>
    </row>
    <row r="46292" spans="17:17" x14ac:dyDescent="0.25">
      <c r="Q46292" s="8"/>
    </row>
    <row r="46293" spans="17:17" x14ac:dyDescent="0.25">
      <c r="Q46293" s="8"/>
    </row>
    <row r="46294" spans="17:17" x14ac:dyDescent="0.25">
      <c r="Q46294" s="8"/>
    </row>
    <row r="46295" spans="17:17" x14ac:dyDescent="0.25">
      <c r="Q46295" s="8"/>
    </row>
    <row r="46296" spans="17:17" x14ac:dyDescent="0.25">
      <c r="Q46296" s="8"/>
    </row>
    <row r="46297" spans="17:17" x14ac:dyDescent="0.25">
      <c r="Q46297" s="8"/>
    </row>
    <row r="46298" spans="17:17" x14ac:dyDescent="0.25">
      <c r="Q46298" s="8"/>
    </row>
    <row r="46299" spans="17:17" x14ac:dyDescent="0.25">
      <c r="Q46299" s="8"/>
    </row>
    <row r="46300" spans="17:17" x14ac:dyDescent="0.25">
      <c r="Q46300" s="8"/>
    </row>
    <row r="46301" spans="17:17" x14ac:dyDescent="0.25">
      <c r="Q46301" s="8"/>
    </row>
    <row r="46302" spans="17:17" x14ac:dyDescent="0.25">
      <c r="Q46302" s="8"/>
    </row>
    <row r="46303" spans="17:17" x14ac:dyDescent="0.25">
      <c r="Q46303" s="8"/>
    </row>
    <row r="46304" spans="17:17" x14ac:dyDescent="0.25">
      <c r="Q46304" s="8"/>
    </row>
    <row r="46305" spans="17:17" x14ac:dyDescent="0.25">
      <c r="Q46305" s="8"/>
    </row>
    <row r="46306" spans="17:17" x14ac:dyDescent="0.25">
      <c r="Q46306" s="8"/>
    </row>
    <row r="46307" spans="17:17" x14ac:dyDescent="0.25">
      <c r="Q46307" s="8"/>
    </row>
    <row r="46308" spans="17:17" x14ac:dyDescent="0.25">
      <c r="Q46308" s="8"/>
    </row>
    <row r="46309" spans="17:17" x14ac:dyDescent="0.25">
      <c r="Q46309" s="8"/>
    </row>
    <row r="46310" spans="17:17" x14ac:dyDescent="0.25">
      <c r="Q46310" s="8"/>
    </row>
    <row r="46311" spans="17:17" x14ac:dyDescent="0.25">
      <c r="Q46311" s="8"/>
    </row>
    <row r="46312" spans="17:17" x14ac:dyDescent="0.25">
      <c r="Q46312" s="8"/>
    </row>
    <row r="46313" spans="17:17" x14ac:dyDescent="0.25">
      <c r="Q46313" s="8"/>
    </row>
    <row r="46314" spans="17:17" x14ac:dyDescent="0.25">
      <c r="Q46314" s="8"/>
    </row>
    <row r="46315" spans="17:17" x14ac:dyDescent="0.25">
      <c r="Q46315" s="8"/>
    </row>
    <row r="46316" spans="17:17" x14ac:dyDescent="0.25">
      <c r="Q46316" s="8"/>
    </row>
    <row r="46317" spans="17:17" x14ac:dyDescent="0.25">
      <c r="Q46317" s="8"/>
    </row>
    <row r="46318" spans="17:17" x14ac:dyDescent="0.25">
      <c r="Q46318" s="8"/>
    </row>
    <row r="46319" spans="17:17" x14ac:dyDescent="0.25">
      <c r="Q46319" s="8"/>
    </row>
    <row r="46320" spans="17:17" x14ac:dyDescent="0.25">
      <c r="Q46320" s="8"/>
    </row>
    <row r="46321" spans="17:17" x14ac:dyDescent="0.25">
      <c r="Q46321" s="8"/>
    </row>
    <row r="46322" spans="17:17" x14ac:dyDescent="0.25">
      <c r="Q46322" s="8"/>
    </row>
    <row r="46323" spans="17:17" x14ac:dyDescent="0.25">
      <c r="Q46323" s="8"/>
    </row>
    <row r="46324" spans="17:17" x14ac:dyDescent="0.25">
      <c r="Q46324" s="8"/>
    </row>
    <row r="46325" spans="17:17" x14ac:dyDescent="0.25">
      <c r="Q46325" s="8"/>
    </row>
    <row r="46326" spans="17:17" x14ac:dyDescent="0.25">
      <c r="Q46326" s="8"/>
    </row>
    <row r="46327" spans="17:17" x14ac:dyDescent="0.25">
      <c r="Q46327" s="8"/>
    </row>
    <row r="46328" spans="17:17" x14ac:dyDescent="0.25">
      <c r="Q46328" s="8"/>
    </row>
    <row r="46329" spans="17:17" x14ac:dyDescent="0.25">
      <c r="Q46329" s="8"/>
    </row>
    <row r="46330" spans="17:17" x14ac:dyDescent="0.25">
      <c r="Q46330" s="8"/>
    </row>
    <row r="46331" spans="17:17" x14ac:dyDescent="0.25">
      <c r="Q46331" s="8"/>
    </row>
    <row r="46332" spans="17:17" x14ac:dyDescent="0.25">
      <c r="Q46332" s="8"/>
    </row>
    <row r="46333" spans="17:17" x14ac:dyDescent="0.25">
      <c r="Q46333" s="8"/>
    </row>
    <row r="46334" spans="17:17" x14ac:dyDescent="0.25">
      <c r="Q46334" s="8"/>
    </row>
    <row r="46335" spans="17:17" x14ac:dyDescent="0.25">
      <c r="Q46335" s="8"/>
    </row>
    <row r="46336" spans="17:17" x14ac:dyDescent="0.25">
      <c r="Q46336" s="8"/>
    </row>
    <row r="46337" spans="17:17" x14ac:dyDescent="0.25">
      <c r="Q46337" s="8"/>
    </row>
    <row r="46338" spans="17:17" x14ac:dyDescent="0.25">
      <c r="Q46338" s="8"/>
    </row>
    <row r="46339" spans="17:17" x14ac:dyDescent="0.25">
      <c r="Q46339" s="8"/>
    </row>
    <row r="46340" spans="17:17" x14ac:dyDescent="0.25">
      <c r="Q46340" s="8"/>
    </row>
    <row r="46341" spans="17:17" x14ac:dyDescent="0.25">
      <c r="Q46341" s="8"/>
    </row>
    <row r="46342" spans="17:17" x14ac:dyDescent="0.25">
      <c r="Q46342" s="8"/>
    </row>
    <row r="46343" spans="17:17" x14ac:dyDescent="0.25">
      <c r="Q46343" s="8"/>
    </row>
    <row r="46344" spans="17:17" x14ac:dyDescent="0.25">
      <c r="Q46344" s="8"/>
    </row>
    <row r="46345" spans="17:17" x14ac:dyDescent="0.25">
      <c r="Q46345" s="8"/>
    </row>
    <row r="46346" spans="17:17" x14ac:dyDescent="0.25">
      <c r="Q46346" s="8"/>
    </row>
    <row r="46347" spans="17:17" x14ac:dyDescent="0.25">
      <c r="Q46347" s="8"/>
    </row>
    <row r="46348" spans="17:17" x14ac:dyDescent="0.25">
      <c r="Q46348" s="8"/>
    </row>
    <row r="46349" spans="17:17" x14ac:dyDescent="0.25">
      <c r="Q46349" s="8"/>
    </row>
    <row r="46350" spans="17:17" x14ac:dyDescent="0.25">
      <c r="Q46350" s="8"/>
    </row>
    <row r="46351" spans="17:17" x14ac:dyDescent="0.25">
      <c r="Q46351" s="8"/>
    </row>
    <row r="46352" spans="17:17" x14ac:dyDescent="0.25">
      <c r="Q46352" s="8"/>
    </row>
    <row r="46353" spans="17:17" x14ac:dyDescent="0.25">
      <c r="Q46353" s="8"/>
    </row>
    <row r="46354" spans="17:17" x14ac:dyDescent="0.25">
      <c r="Q46354" s="8"/>
    </row>
    <row r="46355" spans="17:17" x14ac:dyDescent="0.25">
      <c r="Q46355" s="8"/>
    </row>
    <row r="46356" spans="17:17" x14ac:dyDescent="0.25">
      <c r="Q46356" s="8"/>
    </row>
    <row r="46357" spans="17:17" x14ac:dyDescent="0.25">
      <c r="Q46357" s="8"/>
    </row>
    <row r="46358" spans="17:17" x14ac:dyDescent="0.25">
      <c r="Q46358" s="8"/>
    </row>
    <row r="46359" spans="17:17" x14ac:dyDescent="0.25">
      <c r="Q46359" s="8"/>
    </row>
    <row r="46360" spans="17:17" x14ac:dyDescent="0.25">
      <c r="Q46360" s="8"/>
    </row>
    <row r="46361" spans="17:17" x14ac:dyDescent="0.25">
      <c r="Q46361" s="8"/>
    </row>
    <row r="46362" spans="17:17" x14ac:dyDescent="0.25">
      <c r="Q46362" s="8"/>
    </row>
    <row r="46363" spans="17:17" x14ac:dyDescent="0.25">
      <c r="Q46363" s="8"/>
    </row>
    <row r="46364" spans="17:17" x14ac:dyDescent="0.25">
      <c r="Q46364" s="8"/>
    </row>
    <row r="46365" spans="17:17" x14ac:dyDescent="0.25">
      <c r="Q46365" s="8"/>
    </row>
    <row r="46366" spans="17:17" x14ac:dyDescent="0.25">
      <c r="Q46366" s="8"/>
    </row>
    <row r="46367" spans="17:17" x14ac:dyDescent="0.25">
      <c r="Q46367" s="8"/>
    </row>
    <row r="46368" spans="17:17" x14ac:dyDescent="0.25">
      <c r="Q46368" s="8"/>
    </row>
    <row r="46369" spans="17:17" x14ac:dyDescent="0.25">
      <c r="Q46369" s="8"/>
    </row>
    <row r="46370" spans="17:17" x14ac:dyDescent="0.25">
      <c r="Q46370" s="8"/>
    </row>
    <row r="46371" spans="17:17" x14ac:dyDescent="0.25">
      <c r="Q46371" s="8"/>
    </row>
    <row r="46372" spans="17:17" x14ac:dyDescent="0.25">
      <c r="Q46372" s="8"/>
    </row>
    <row r="46373" spans="17:17" x14ac:dyDescent="0.25">
      <c r="Q46373" s="8"/>
    </row>
    <row r="46374" spans="17:17" x14ac:dyDescent="0.25">
      <c r="Q46374" s="8"/>
    </row>
    <row r="46375" spans="17:17" x14ac:dyDescent="0.25">
      <c r="Q46375" s="8"/>
    </row>
    <row r="46376" spans="17:17" x14ac:dyDescent="0.25">
      <c r="Q46376" s="8"/>
    </row>
    <row r="46377" spans="17:17" x14ac:dyDescent="0.25">
      <c r="Q46377" s="8"/>
    </row>
    <row r="46378" spans="17:17" x14ac:dyDescent="0.25">
      <c r="Q46378" s="8"/>
    </row>
    <row r="46379" spans="17:17" x14ac:dyDescent="0.25">
      <c r="Q46379" s="8"/>
    </row>
    <row r="46380" spans="17:17" x14ac:dyDescent="0.25">
      <c r="Q46380" s="8"/>
    </row>
    <row r="46381" spans="17:17" x14ac:dyDescent="0.25">
      <c r="Q46381" s="8"/>
    </row>
    <row r="46382" spans="17:17" x14ac:dyDescent="0.25">
      <c r="Q46382" s="8"/>
    </row>
    <row r="46383" spans="17:17" x14ac:dyDescent="0.25">
      <c r="Q46383" s="8"/>
    </row>
    <row r="46384" spans="17:17" x14ac:dyDescent="0.25">
      <c r="Q46384" s="8"/>
    </row>
    <row r="46385" spans="17:17" x14ac:dyDescent="0.25">
      <c r="Q46385" s="8"/>
    </row>
    <row r="46386" spans="17:17" x14ac:dyDescent="0.25">
      <c r="Q46386" s="8"/>
    </row>
    <row r="46387" spans="17:17" x14ac:dyDescent="0.25">
      <c r="Q46387" s="8"/>
    </row>
    <row r="46388" spans="17:17" x14ac:dyDescent="0.25">
      <c r="Q46388" s="8"/>
    </row>
    <row r="46389" spans="17:17" x14ac:dyDescent="0.25">
      <c r="Q46389" s="8"/>
    </row>
    <row r="46390" spans="17:17" x14ac:dyDescent="0.25">
      <c r="Q46390" s="8"/>
    </row>
    <row r="46391" spans="17:17" x14ac:dyDescent="0.25">
      <c r="Q46391" s="8"/>
    </row>
    <row r="46392" spans="17:17" x14ac:dyDescent="0.25">
      <c r="Q46392" s="8"/>
    </row>
    <row r="46393" spans="17:17" x14ac:dyDescent="0.25">
      <c r="Q46393" s="8"/>
    </row>
    <row r="46394" spans="17:17" x14ac:dyDescent="0.25">
      <c r="Q46394" s="8"/>
    </row>
    <row r="46395" spans="17:17" x14ac:dyDescent="0.25">
      <c r="Q46395" s="8"/>
    </row>
    <row r="46396" spans="17:17" x14ac:dyDescent="0.25">
      <c r="Q46396" s="8"/>
    </row>
    <row r="46397" spans="17:17" x14ac:dyDescent="0.25">
      <c r="Q46397" s="8"/>
    </row>
    <row r="46398" spans="17:17" x14ac:dyDescent="0.25">
      <c r="Q46398" s="8"/>
    </row>
    <row r="46399" spans="17:17" x14ac:dyDescent="0.25">
      <c r="Q46399" s="8"/>
    </row>
    <row r="46400" spans="17:17" x14ac:dyDescent="0.25">
      <c r="Q46400" s="8"/>
    </row>
    <row r="46401" spans="17:17" x14ac:dyDescent="0.25">
      <c r="Q46401" s="8"/>
    </row>
    <row r="46402" spans="17:17" x14ac:dyDescent="0.25">
      <c r="Q46402" s="8"/>
    </row>
    <row r="46403" spans="17:17" x14ac:dyDescent="0.25">
      <c r="Q46403" s="8"/>
    </row>
    <row r="46404" spans="17:17" x14ac:dyDescent="0.25">
      <c r="Q46404" s="8"/>
    </row>
    <row r="46405" spans="17:17" x14ac:dyDescent="0.25">
      <c r="Q46405" s="8"/>
    </row>
    <row r="46406" spans="17:17" x14ac:dyDescent="0.25">
      <c r="Q46406" s="8"/>
    </row>
    <row r="46407" spans="17:17" x14ac:dyDescent="0.25">
      <c r="Q46407" s="8"/>
    </row>
    <row r="46408" spans="17:17" x14ac:dyDescent="0.25">
      <c r="Q46408" s="8"/>
    </row>
    <row r="46409" spans="17:17" x14ac:dyDescent="0.25">
      <c r="Q46409" s="8"/>
    </row>
    <row r="46410" spans="17:17" x14ac:dyDescent="0.25">
      <c r="Q46410" s="8"/>
    </row>
    <row r="46411" spans="17:17" x14ac:dyDescent="0.25">
      <c r="Q46411" s="8"/>
    </row>
    <row r="46412" spans="17:17" x14ac:dyDescent="0.25">
      <c r="Q46412" s="8"/>
    </row>
    <row r="46413" spans="17:17" x14ac:dyDescent="0.25">
      <c r="Q46413" s="8"/>
    </row>
    <row r="46414" spans="17:17" x14ac:dyDescent="0.25">
      <c r="Q46414" s="8"/>
    </row>
    <row r="46415" spans="17:17" x14ac:dyDescent="0.25">
      <c r="Q46415" s="8"/>
    </row>
    <row r="46416" spans="17:17" x14ac:dyDescent="0.25">
      <c r="Q46416" s="8"/>
    </row>
    <row r="46417" spans="17:17" x14ac:dyDescent="0.25">
      <c r="Q46417" s="8"/>
    </row>
    <row r="46418" spans="17:17" x14ac:dyDescent="0.25">
      <c r="Q46418" s="8"/>
    </row>
    <row r="46419" spans="17:17" x14ac:dyDescent="0.25">
      <c r="Q46419" s="8"/>
    </row>
    <row r="46420" spans="17:17" x14ac:dyDescent="0.25">
      <c r="Q46420" s="8"/>
    </row>
    <row r="46421" spans="17:17" x14ac:dyDescent="0.25">
      <c r="Q46421" s="8"/>
    </row>
    <row r="46422" spans="17:17" x14ac:dyDescent="0.25">
      <c r="Q46422" s="8"/>
    </row>
    <row r="46423" spans="17:17" x14ac:dyDescent="0.25">
      <c r="Q46423" s="8"/>
    </row>
    <row r="46424" spans="17:17" x14ac:dyDescent="0.25">
      <c r="Q46424" s="8"/>
    </row>
    <row r="46425" spans="17:17" x14ac:dyDescent="0.25">
      <c r="Q46425" s="8"/>
    </row>
    <row r="46426" spans="17:17" x14ac:dyDescent="0.25">
      <c r="Q46426" s="8"/>
    </row>
    <row r="46427" spans="17:17" x14ac:dyDescent="0.25">
      <c r="Q46427" s="8"/>
    </row>
    <row r="46428" spans="17:17" x14ac:dyDescent="0.25">
      <c r="Q46428" s="8"/>
    </row>
    <row r="46429" spans="17:17" x14ac:dyDescent="0.25">
      <c r="Q46429" s="8"/>
    </row>
    <row r="46430" spans="17:17" x14ac:dyDescent="0.25">
      <c r="Q46430" s="8"/>
    </row>
    <row r="46431" spans="17:17" x14ac:dyDescent="0.25">
      <c r="Q46431" s="8"/>
    </row>
    <row r="46432" spans="17:17" x14ac:dyDescent="0.25">
      <c r="Q46432" s="8"/>
    </row>
    <row r="46433" spans="17:17" x14ac:dyDescent="0.25">
      <c r="Q46433" s="8"/>
    </row>
    <row r="46434" spans="17:17" x14ac:dyDescent="0.25">
      <c r="Q46434" s="8"/>
    </row>
    <row r="46435" spans="17:17" x14ac:dyDescent="0.25">
      <c r="Q46435" s="8"/>
    </row>
    <row r="46436" spans="17:17" x14ac:dyDescent="0.25">
      <c r="Q46436" s="8"/>
    </row>
    <row r="46437" spans="17:17" x14ac:dyDescent="0.25">
      <c r="Q46437" s="8"/>
    </row>
    <row r="46438" spans="17:17" x14ac:dyDescent="0.25">
      <c r="Q46438" s="8"/>
    </row>
    <row r="46439" spans="17:17" x14ac:dyDescent="0.25">
      <c r="Q46439" s="8"/>
    </row>
    <row r="46440" spans="17:17" x14ac:dyDescent="0.25">
      <c r="Q46440" s="8"/>
    </row>
    <row r="46441" spans="17:17" x14ac:dyDescent="0.25">
      <c r="Q46441" s="8"/>
    </row>
    <row r="46442" spans="17:17" x14ac:dyDescent="0.25">
      <c r="Q46442" s="8"/>
    </row>
    <row r="46443" spans="17:17" x14ac:dyDescent="0.25">
      <c r="Q46443" s="8"/>
    </row>
    <row r="46444" spans="17:17" x14ac:dyDescent="0.25">
      <c r="Q46444" s="8"/>
    </row>
    <row r="46445" spans="17:17" x14ac:dyDescent="0.25">
      <c r="Q46445" s="8"/>
    </row>
    <row r="46446" spans="17:17" x14ac:dyDescent="0.25">
      <c r="Q46446" s="8"/>
    </row>
    <row r="46447" spans="17:17" x14ac:dyDescent="0.25">
      <c r="Q46447" s="8"/>
    </row>
    <row r="46448" spans="17:17" x14ac:dyDescent="0.25">
      <c r="Q46448" s="8"/>
    </row>
    <row r="46449" spans="17:17" x14ac:dyDescent="0.25">
      <c r="Q46449" s="8"/>
    </row>
    <row r="46450" spans="17:17" x14ac:dyDescent="0.25">
      <c r="Q46450" s="8"/>
    </row>
    <row r="46451" spans="17:17" x14ac:dyDescent="0.25">
      <c r="Q46451" s="8"/>
    </row>
    <row r="46452" spans="17:17" x14ac:dyDescent="0.25">
      <c r="Q46452" s="8"/>
    </row>
    <row r="46453" spans="17:17" x14ac:dyDescent="0.25">
      <c r="Q46453" s="8"/>
    </row>
    <row r="46454" spans="17:17" x14ac:dyDescent="0.25">
      <c r="Q46454" s="8"/>
    </row>
    <row r="46455" spans="17:17" x14ac:dyDescent="0.25">
      <c r="Q46455" s="8"/>
    </row>
    <row r="46456" spans="17:17" x14ac:dyDescent="0.25">
      <c r="Q46456" s="8"/>
    </row>
    <row r="46457" spans="17:17" x14ac:dyDescent="0.25">
      <c r="Q46457" s="8"/>
    </row>
    <row r="46458" spans="17:17" x14ac:dyDescent="0.25">
      <c r="Q46458" s="8"/>
    </row>
    <row r="46459" spans="17:17" x14ac:dyDescent="0.25">
      <c r="Q46459" s="8"/>
    </row>
    <row r="46460" spans="17:17" x14ac:dyDescent="0.25">
      <c r="Q46460" s="8"/>
    </row>
    <row r="46461" spans="17:17" x14ac:dyDescent="0.25">
      <c r="Q46461" s="8"/>
    </row>
    <row r="46462" spans="17:17" x14ac:dyDescent="0.25">
      <c r="Q46462" s="8"/>
    </row>
    <row r="46463" spans="17:17" x14ac:dyDescent="0.25">
      <c r="Q46463" s="8"/>
    </row>
    <row r="46464" spans="17:17" x14ac:dyDescent="0.25">
      <c r="Q46464" s="8"/>
    </row>
    <row r="46465" spans="17:17" x14ac:dyDescent="0.25">
      <c r="Q46465" s="8"/>
    </row>
    <row r="46466" spans="17:17" x14ac:dyDescent="0.25">
      <c r="Q46466" s="8"/>
    </row>
    <row r="46467" spans="17:17" x14ac:dyDescent="0.25">
      <c r="Q46467" s="8"/>
    </row>
    <row r="46468" spans="17:17" x14ac:dyDescent="0.25">
      <c r="Q46468" s="8"/>
    </row>
    <row r="46469" spans="17:17" x14ac:dyDescent="0.25">
      <c r="Q46469" s="8"/>
    </row>
    <row r="46470" spans="17:17" x14ac:dyDescent="0.25">
      <c r="Q46470" s="8"/>
    </row>
    <row r="46471" spans="17:17" x14ac:dyDescent="0.25">
      <c r="Q46471" s="8"/>
    </row>
    <row r="46472" spans="17:17" x14ac:dyDescent="0.25">
      <c r="Q46472" s="8"/>
    </row>
    <row r="46473" spans="17:17" x14ac:dyDescent="0.25">
      <c r="Q46473" s="8"/>
    </row>
    <row r="46474" spans="17:17" x14ac:dyDescent="0.25">
      <c r="Q46474" s="8"/>
    </row>
    <row r="46475" spans="17:17" x14ac:dyDescent="0.25">
      <c r="Q46475" s="8"/>
    </row>
    <row r="46476" spans="17:17" x14ac:dyDescent="0.25">
      <c r="Q46476" s="8"/>
    </row>
    <row r="46477" spans="17:17" x14ac:dyDescent="0.25">
      <c r="Q46477" s="8"/>
    </row>
    <row r="46478" spans="17:17" x14ac:dyDescent="0.25">
      <c r="Q46478" s="8"/>
    </row>
    <row r="46479" spans="17:17" x14ac:dyDescent="0.25">
      <c r="Q46479" s="8"/>
    </row>
    <row r="46480" spans="17:17" x14ac:dyDescent="0.25">
      <c r="Q46480" s="8"/>
    </row>
    <row r="46481" spans="17:17" x14ac:dyDescent="0.25">
      <c r="Q46481" s="8"/>
    </row>
    <row r="46482" spans="17:17" x14ac:dyDescent="0.25">
      <c r="Q46482" s="8"/>
    </row>
    <row r="46483" spans="17:17" x14ac:dyDescent="0.25">
      <c r="Q46483" s="8"/>
    </row>
    <row r="46484" spans="17:17" x14ac:dyDescent="0.25">
      <c r="Q46484" s="8"/>
    </row>
    <row r="46485" spans="17:17" x14ac:dyDescent="0.25">
      <c r="Q46485" s="8"/>
    </row>
    <row r="46486" spans="17:17" x14ac:dyDescent="0.25">
      <c r="Q46486" s="8"/>
    </row>
    <row r="46487" spans="17:17" x14ac:dyDescent="0.25">
      <c r="Q46487" s="8"/>
    </row>
    <row r="46488" spans="17:17" x14ac:dyDescent="0.25">
      <c r="Q46488" s="8"/>
    </row>
    <row r="46489" spans="17:17" x14ac:dyDescent="0.25">
      <c r="Q46489" s="8"/>
    </row>
    <row r="46490" spans="17:17" x14ac:dyDescent="0.25">
      <c r="Q46490" s="8"/>
    </row>
    <row r="46491" spans="17:17" x14ac:dyDescent="0.25">
      <c r="Q46491" s="8"/>
    </row>
    <row r="46492" spans="17:17" x14ac:dyDescent="0.25">
      <c r="Q46492" s="8"/>
    </row>
    <row r="46493" spans="17:17" x14ac:dyDescent="0.25">
      <c r="Q46493" s="8"/>
    </row>
    <row r="46494" spans="17:17" x14ac:dyDescent="0.25">
      <c r="Q46494" s="8"/>
    </row>
    <row r="46495" spans="17:17" x14ac:dyDescent="0.25">
      <c r="Q46495" s="8"/>
    </row>
    <row r="46496" spans="17:17" x14ac:dyDescent="0.25">
      <c r="Q46496" s="8"/>
    </row>
    <row r="46497" spans="17:17" x14ac:dyDescent="0.25">
      <c r="Q46497" s="8"/>
    </row>
    <row r="46498" spans="17:17" x14ac:dyDescent="0.25">
      <c r="Q46498" s="8"/>
    </row>
    <row r="46499" spans="17:17" x14ac:dyDescent="0.25">
      <c r="Q46499" s="8"/>
    </row>
    <row r="46500" spans="17:17" x14ac:dyDescent="0.25">
      <c r="Q46500" s="8"/>
    </row>
    <row r="46501" spans="17:17" x14ac:dyDescent="0.25">
      <c r="Q46501" s="8"/>
    </row>
    <row r="46502" spans="17:17" x14ac:dyDescent="0.25">
      <c r="Q46502" s="8"/>
    </row>
    <row r="46503" spans="17:17" x14ac:dyDescent="0.25">
      <c r="Q46503" s="8"/>
    </row>
    <row r="46504" spans="17:17" x14ac:dyDescent="0.25">
      <c r="Q46504" s="8"/>
    </row>
    <row r="46505" spans="17:17" x14ac:dyDescent="0.25">
      <c r="Q46505" s="8"/>
    </row>
    <row r="46506" spans="17:17" x14ac:dyDescent="0.25">
      <c r="Q46506" s="8"/>
    </row>
    <row r="46507" spans="17:17" x14ac:dyDescent="0.25">
      <c r="Q46507" s="8"/>
    </row>
    <row r="46508" spans="17:17" x14ac:dyDescent="0.25">
      <c r="Q46508" s="8"/>
    </row>
    <row r="46509" spans="17:17" x14ac:dyDescent="0.25">
      <c r="Q46509" s="8"/>
    </row>
    <row r="46510" spans="17:17" x14ac:dyDescent="0.25">
      <c r="Q46510" s="8"/>
    </row>
    <row r="46511" spans="17:17" x14ac:dyDescent="0.25">
      <c r="Q46511" s="8"/>
    </row>
    <row r="46512" spans="17:17" x14ac:dyDescent="0.25">
      <c r="Q46512" s="8"/>
    </row>
    <row r="46513" spans="17:17" x14ac:dyDescent="0.25">
      <c r="Q46513" s="8"/>
    </row>
    <row r="46514" spans="17:17" x14ac:dyDescent="0.25">
      <c r="Q46514" s="8"/>
    </row>
    <row r="46515" spans="17:17" x14ac:dyDescent="0.25">
      <c r="Q46515" s="8"/>
    </row>
    <row r="46516" spans="17:17" x14ac:dyDescent="0.25">
      <c r="Q46516" s="8"/>
    </row>
    <row r="46517" spans="17:17" x14ac:dyDescent="0.25">
      <c r="Q46517" s="8"/>
    </row>
    <row r="46518" spans="17:17" x14ac:dyDescent="0.25">
      <c r="Q46518" s="8"/>
    </row>
    <row r="46519" spans="17:17" x14ac:dyDescent="0.25">
      <c r="Q46519" s="8"/>
    </row>
    <row r="46520" spans="17:17" x14ac:dyDescent="0.25">
      <c r="Q46520" s="8"/>
    </row>
    <row r="46521" spans="17:17" x14ac:dyDescent="0.25">
      <c r="Q46521" s="8"/>
    </row>
    <row r="46522" spans="17:17" x14ac:dyDescent="0.25">
      <c r="Q46522" s="8"/>
    </row>
    <row r="46523" spans="17:17" x14ac:dyDescent="0.25">
      <c r="Q46523" s="8"/>
    </row>
    <row r="46524" spans="17:17" x14ac:dyDescent="0.25">
      <c r="Q46524" s="8"/>
    </row>
    <row r="46525" spans="17:17" x14ac:dyDescent="0.25">
      <c r="Q46525" s="8"/>
    </row>
    <row r="46526" spans="17:17" x14ac:dyDescent="0.25">
      <c r="Q46526" s="8"/>
    </row>
    <row r="46527" spans="17:17" x14ac:dyDescent="0.25">
      <c r="Q46527" s="8"/>
    </row>
    <row r="46528" spans="17:17" x14ac:dyDescent="0.25">
      <c r="Q46528" s="8"/>
    </row>
    <row r="46529" spans="17:17" x14ac:dyDescent="0.25">
      <c r="Q46529" s="8"/>
    </row>
    <row r="46530" spans="17:17" x14ac:dyDescent="0.25">
      <c r="Q46530" s="8"/>
    </row>
    <row r="46531" spans="17:17" x14ac:dyDescent="0.25">
      <c r="Q46531" s="8"/>
    </row>
    <row r="46532" spans="17:17" x14ac:dyDescent="0.25">
      <c r="Q46532" s="8"/>
    </row>
    <row r="46533" spans="17:17" x14ac:dyDescent="0.25">
      <c r="Q46533" s="8"/>
    </row>
    <row r="46534" spans="17:17" x14ac:dyDescent="0.25">
      <c r="Q46534" s="8"/>
    </row>
    <row r="46535" spans="17:17" x14ac:dyDescent="0.25">
      <c r="Q46535" s="8"/>
    </row>
    <row r="46536" spans="17:17" x14ac:dyDescent="0.25">
      <c r="Q46536" s="8"/>
    </row>
    <row r="46537" spans="17:17" x14ac:dyDescent="0.25">
      <c r="Q46537" s="8"/>
    </row>
    <row r="46538" spans="17:17" x14ac:dyDescent="0.25">
      <c r="Q46538" s="8"/>
    </row>
    <row r="46539" spans="17:17" x14ac:dyDescent="0.25">
      <c r="Q46539" s="8"/>
    </row>
    <row r="46540" spans="17:17" x14ac:dyDescent="0.25">
      <c r="Q46540" s="8"/>
    </row>
    <row r="46541" spans="17:17" x14ac:dyDescent="0.25">
      <c r="Q46541" s="8"/>
    </row>
    <row r="46542" spans="17:17" x14ac:dyDescent="0.25">
      <c r="Q46542" s="8"/>
    </row>
    <row r="46543" spans="17:17" x14ac:dyDescent="0.25">
      <c r="Q46543" s="8"/>
    </row>
    <row r="46544" spans="17:17" x14ac:dyDescent="0.25">
      <c r="Q46544" s="8"/>
    </row>
    <row r="46545" spans="17:17" x14ac:dyDescent="0.25">
      <c r="Q46545" s="8"/>
    </row>
    <row r="46546" spans="17:17" x14ac:dyDescent="0.25">
      <c r="Q46546" s="8"/>
    </row>
    <row r="46547" spans="17:17" x14ac:dyDescent="0.25">
      <c r="Q46547" s="8"/>
    </row>
    <row r="46548" spans="17:17" x14ac:dyDescent="0.25">
      <c r="Q46548" s="8"/>
    </row>
    <row r="46549" spans="17:17" x14ac:dyDescent="0.25">
      <c r="Q46549" s="8"/>
    </row>
    <row r="46550" spans="17:17" x14ac:dyDescent="0.25">
      <c r="Q46550" s="8"/>
    </row>
    <row r="46551" spans="17:17" x14ac:dyDescent="0.25">
      <c r="Q46551" s="8"/>
    </row>
    <row r="46552" spans="17:17" x14ac:dyDescent="0.25">
      <c r="Q46552" s="8"/>
    </row>
    <row r="46553" spans="17:17" x14ac:dyDescent="0.25">
      <c r="Q46553" s="8"/>
    </row>
    <row r="46554" spans="17:17" x14ac:dyDescent="0.25">
      <c r="Q46554" s="8"/>
    </row>
    <row r="46555" spans="17:17" x14ac:dyDescent="0.25">
      <c r="Q46555" s="8"/>
    </row>
    <row r="46556" spans="17:17" x14ac:dyDescent="0.25">
      <c r="Q46556" s="8"/>
    </row>
    <row r="46557" spans="17:17" x14ac:dyDescent="0.25">
      <c r="Q46557" s="8"/>
    </row>
    <row r="46558" spans="17:17" x14ac:dyDescent="0.25">
      <c r="Q46558" s="8"/>
    </row>
    <row r="46559" spans="17:17" x14ac:dyDescent="0.25">
      <c r="Q46559" s="8"/>
    </row>
    <row r="46560" spans="17:17" x14ac:dyDescent="0.25">
      <c r="Q46560" s="8"/>
    </row>
    <row r="46561" spans="17:17" x14ac:dyDescent="0.25">
      <c r="Q46561" s="8"/>
    </row>
    <row r="46562" spans="17:17" x14ac:dyDescent="0.25">
      <c r="Q46562" s="8"/>
    </row>
    <row r="46563" spans="17:17" x14ac:dyDescent="0.25">
      <c r="Q46563" s="8"/>
    </row>
    <row r="46564" spans="17:17" x14ac:dyDescent="0.25">
      <c r="Q46564" s="8"/>
    </row>
    <row r="46565" spans="17:17" x14ac:dyDescent="0.25">
      <c r="Q46565" s="8"/>
    </row>
    <row r="46566" spans="17:17" x14ac:dyDescent="0.25">
      <c r="Q46566" s="8"/>
    </row>
    <row r="46567" spans="17:17" x14ac:dyDescent="0.25">
      <c r="Q46567" s="8"/>
    </row>
    <row r="46568" spans="17:17" x14ac:dyDescent="0.25">
      <c r="Q46568" s="8"/>
    </row>
    <row r="46569" spans="17:17" x14ac:dyDescent="0.25">
      <c r="Q46569" s="8"/>
    </row>
    <row r="46570" spans="17:17" x14ac:dyDescent="0.25">
      <c r="Q46570" s="8"/>
    </row>
    <row r="46571" spans="17:17" x14ac:dyDescent="0.25">
      <c r="Q46571" s="8"/>
    </row>
    <row r="46572" spans="17:17" x14ac:dyDescent="0.25">
      <c r="Q46572" s="8"/>
    </row>
    <row r="46573" spans="17:17" x14ac:dyDescent="0.25">
      <c r="Q46573" s="8"/>
    </row>
    <row r="46574" spans="17:17" x14ac:dyDescent="0.25">
      <c r="Q46574" s="8"/>
    </row>
    <row r="46575" spans="17:17" x14ac:dyDescent="0.25">
      <c r="Q46575" s="8"/>
    </row>
    <row r="46576" spans="17:17" x14ac:dyDescent="0.25">
      <c r="Q46576" s="8"/>
    </row>
    <row r="46577" spans="17:17" x14ac:dyDescent="0.25">
      <c r="Q46577" s="8"/>
    </row>
    <row r="46578" spans="17:17" x14ac:dyDescent="0.25">
      <c r="Q46578" s="8"/>
    </row>
    <row r="46579" spans="17:17" x14ac:dyDescent="0.25">
      <c r="Q46579" s="8"/>
    </row>
    <row r="46580" spans="17:17" x14ac:dyDescent="0.25">
      <c r="Q46580" s="8"/>
    </row>
    <row r="46581" spans="17:17" x14ac:dyDescent="0.25">
      <c r="Q46581" s="8"/>
    </row>
    <row r="46582" spans="17:17" x14ac:dyDescent="0.25">
      <c r="Q46582" s="8"/>
    </row>
    <row r="46583" spans="17:17" x14ac:dyDescent="0.25">
      <c r="Q46583" s="8"/>
    </row>
    <row r="46584" spans="17:17" x14ac:dyDescent="0.25">
      <c r="Q46584" s="8"/>
    </row>
    <row r="46585" spans="17:17" x14ac:dyDescent="0.25">
      <c r="Q46585" s="8"/>
    </row>
    <row r="46586" spans="17:17" x14ac:dyDescent="0.25">
      <c r="Q46586" s="8"/>
    </row>
    <row r="46587" spans="17:17" x14ac:dyDescent="0.25">
      <c r="Q46587" s="8"/>
    </row>
    <row r="46588" spans="17:17" x14ac:dyDescent="0.25">
      <c r="Q46588" s="8"/>
    </row>
    <row r="46589" spans="17:17" x14ac:dyDescent="0.25">
      <c r="Q46589" s="8"/>
    </row>
    <row r="46590" spans="17:17" x14ac:dyDescent="0.25">
      <c r="Q46590" s="8"/>
    </row>
    <row r="46591" spans="17:17" x14ac:dyDescent="0.25">
      <c r="Q46591" s="8"/>
    </row>
    <row r="46592" spans="17:17" x14ac:dyDescent="0.25">
      <c r="Q46592" s="8"/>
    </row>
    <row r="46593" spans="17:17" x14ac:dyDescent="0.25">
      <c r="Q46593" s="8"/>
    </row>
    <row r="46594" spans="17:17" x14ac:dyDescent="0.25">
      <c r="Q46594" s="8"/>
    </row>
    <row r="46595" spans="17:17" x14ac:dyDescent="0.25">
      <c r="Q46595" s="8"/>
    </row>
    <row r="46596" spans="17:17" x14ac:dyDescent="0.25">
      <c r="Q46596" s="8"/>
    </row>
    <row r="46597" spans="17:17" x14ac:dyDescent="0.25">
      <c r="Q46597" s="8"/>
    </row>
    <row r="46598" spans="17:17" x14ac:dyDescent="0.25">
      <c r="Q46598" s="8"/>
    </row>
    <row r="46599" spans="17:17" x14ac:dyDescent="0.25">
      <c r="Q46599" s="8"/>
    </row>
    <row r="46600" spans="17:17" x14ac:dyDescent="0.25">
      <c r="Q46600" s="8"/>
    </row>
    <row r="46601" spans="17:17" x14ac:dyDescent="0.25">
      <c r="Q46601" s="8"/>
    </row>
    <row r="46602" spans="17:17" x14ac:dyDescent="0.25">
      <c r="Q46602" s="8"/>
    </row>
    <row r="46603" spans="17:17" x14ac:dyDescent="0.25">
      <c r="Q46603" s="8"/>
    </row>
    <row r="46604" spans="17:17" x14ac:dyDescent="0.25">
      <c r="Q46604" s="8"/>
    </row>
    <row r="46605" spans="17:17" x14ac:dyDescent="0.25">
      <c r="Q46605" s="8"/>
    </row>
    <row r="46606" spans="17:17" x14ac:dyDescent="0.25">
      <c r="Q46606" s="8"/>
    </row>
    <row r="46607" spans="17:17" x14ac:dyDescent="0.25">
      <c r="Q46607" s="8"/>
    </row>
    <row r="46608" spans="17:17" x14ac:dyDescent="0.25">
      <c r="Q46608" s="8"/>
    </row>
    <row r="46609" spans="17:17" x14ac:dyDescent="0.25">
      <c r="Q46609" s="8"/>
    </row>
    <row r="46610" spans="17:17" x14ac:dyDescent="0.25">
      <c r="Q46610" s="8"/>
    </row>
    <row r="46611" spans="17:17" x14ac:dyDescent="0.25">
      <c r="Q46611" s="8"/>
    </row>
    <row r="46612" spans="17:17" x14ac:dyDescent="0.25">
      <c r="Q46612" s="8"/>
    </row>
    <row r="46613" spans="17:17" x14ac:dyDescent="0.25">
      <c r="Q46613" s="8"/>
    </row>
    <row r="46614" spans="17:17" x14ac:dyDescent="0.25">
      <c r="Q46614" s="8"/>
    </row>
    <row r="46615" spans="17:17" x14ac:dyDescent="0.25">
      <c r="Q46615" s="8"/>
    </row>
    <row r="46616" spans="17:17" x14ac:dyDescent="0.25">
      <c r="Q46616" s="8"/>
    </row>
    <row r="46617" spans="17:17" x14ac:dyDescent="0.25">
      <c r="Q46617" s="8"/>
    </row>
    <row r="46618" spans="17:17" x14ac:dyDescent="0.25">
      <c r="Q46618" s="8"/>
    </row>
    <row r="46619" spans="17:17" x14ac:dyDescent="0.25">
      <c r="Q46619" s="8"/>
    </row>
    <row r="46620" spans="17:17" x14ac:dyDescent="0.25">
      <c r="Q46620" s="8"/>
    </row>
    <row r="46621" spans="17:17" x14ac:dyDescent="0.25">
      <c r="Q46621" s="8"/>
    </row>
    <row r="46622" spans="17:17" x14ac:dyDescent="0.25">
      <c r="Q46622" s="8"/>
    </row>
    <row r="46623" spans="17:17" x14ac:dyDescent="0.25">
      <c r="Q46623" s="8"/>
    </row>
    <row r="46624" spans="17:17" x14ac:dyDescent="0.25">
      <c r="Q46624" s="8"/>
    </row>
    <row r="46625" spans="17:17" x14ac:dyDescent="0.25">
      <c r="Q46625" s="8"/>
    </row>
    <row r="46626" spans="17:17" x14ac:dyDescent="0.25">
      <c r="Q46626" s="8"/>
    </row>
    <row r="46627" spans="17:17" x14ac:dyDescent="0.25">
      <c r="Q46627" s="8"/>
    </row>
    <row r="46628" spans="17:17" x14ac:dyDescent="0.25">
      <c r="Q46628" s="8"/>
    </row>
    <row r="46629" spans="17:17" x14ac:dyDescent="0.25">
      <c r="Q46629" s="8"/>
    </row>
    <row r="46630" spans="17:17" x14ac:dyDescent="0.25">
      <c r="Q46630" s="8"/>
    </row>
    <row r="46631" spans="17:17" x14ac:dyDescent="0.25">
      <c r="Q46631" s="8"/>
    </row>
    <row r="46632" spans="17:17" x14ac:dyDescent="0.25">
      <c r="Q46632" s="8"/>
    </row>
    <row r="46633" spans="17:17" x14ac:dyDescent="0.25">
      <c r="Q46633" s="8"/>
    </row>
    <row r="46634" spans="17:17" x14ac:dyDescent="0.25">
      <c r="Q46634" s="8"/>
    </row>
    <row r="46635" spans="17:17" x14ac:dyDescent="0.25">
      <c r="Q46635" s="8"/>
    </row>
    <row r="46636" spans="17:17" x14ac:dyDescent="0.25">
      <c r="Q46636" s="8"/>
    </row>
    <row r="46637" spans="17:17" x14ac:dyDescent="0.25">
      <c r="Q46637" s="8"/>
    </row>
    <row r="46638" spans="17:17" x14ac:dyDescent="0.25">
      <c r="Q46638" s="8"/>
    </row>
    <row r="46639" spans="17:17" x14ac:dyDescent="0.25">
      <c r="Q46639" s="8"/>
    </row>
    <row r="46640" spans="17:17" x14ac:dyDescent="0.25">
      <c r="Q46640" s="8"/>
    </row>
    <row r="46641" spans="17:17" x14ac:dyDescent="0.25">
      <c r="Q46641" s="8"/>
    </row>
    <row r="46642" spans="17:17" x14ac:dyDescent="0.25">
      <c r="Q46642" s="8"/>
    </row>
    <row r="46643" spans="17:17" x14ac:dyDescent="0.25">
      <c r="Q46643" s="8"/>
    </row>
    <row r="46644" spans="17:17" x14ac:dyDescent="0.25">
      <c r="Q46644" s="8"/>
    </row>
    <row r="46645" spans="17:17" x14ac:dyDescent="0.25">
      <c r="Q46645" s="8"/>
    </row>
    <row r="46646" spans="17:17" x14ac:dyDescent="0.25">
      <c r="Q46646" s="8"/>
    </row>
    <row r="46647" spans="17:17" x14ac:dyDescent="0.25">
      <c r="Q46647" s="8"/>
    </row>
    <row r="46648" spans="17:17" x14ac:dyDescent="0.25">
      <c r="Q46648" s="8"/>
    </row>
    <row r="46649" spans="17:17" x14ac:dyDescent="0.25">
      <c r="Q46649" s="8"/>
    </row>
    <row r="46650" spans="17:17" x14ac:dyDescent="0.25">
      <c r="Q46650" s="8"/>
    </row>
    <row r="46651" spans="17:17" x14ac:dyDescent="0.25">
      <c r="Q46651" s="8"/>
    </row>
    <row r="46652" spans="17:17" x14ac:dyDescent="0.25">
      <c r="Q46652" s="8"/>
    </row>
    <row r="46653" spans="17:17" x14ac:dyDescent="0.25">
      <c r="Q46653" s="8"/>
    </row>
    <row r="46654" spans="17:17" x14ac:dyDescent="0.25">
      <c r="Q46654" s="8"/>
    </row>
    <row r="46655" spans="17:17" x14ac:dyDescent="0.25">
      <c r="Q46655" s="8"/>
    </row>
    <row r="46656" spans="17:17" x14ac:dyDescent="0.25">
      <c r="Q46656" s="8"/>
    </row>
    <row r="46657" spans="17:17" x14ac:dyDescent="0.25">
      <c r="Q46657" s="8"/>
    </row>
    <row r="46658" spans="17:17" x14ac:dyDescent="0.25">
      <c r="Q46658" s="8"/>
    </row>
    <row r="46659" spans="17:17" x14ac:dyDescent="0.25">
      <c r="Q46659" s="8"/>
    </row>
    <row r="46660" spans="17:17" x14ac:dyDescent="0.25">
      <c r="Q46660" s="8"/>
    </row>
    <row r="46661" spans="17:17" x14ac:dyDescent="0.25">
      <c r="Q46661" s="8"/>
    </row>
    <row r="46662" spans="17:17" x14ac:dyDescent="0.25">
      <c r="Q46662" s="8"/>
    </row>
    <row r="46663" spans="17:17" x14ac:dyDescent="0.25">
      <c r="Q46663" s="8"/>
    </row>
    <row r="46664" spans="17:17" x14ac:dyDescent="0.25">
      <c r="Q46664" s="8"/>
    </row>
    <row r="46665" spans="17:17" x14ac:dyDescent="0.25">
      <c r="Q46665" s="8"/>
    </row>
    <row r="46666" spans="17:17" x14ac:dyDescent="0.25">
      <c r="Q46666" s="8"/>
    </row>
    <row r="46667" spans="17:17" x14ac:dyDescent="0.25">
      <c r="Q46667" s="8"/>
    </row>
    <row r="46668" spans="17:17" x14ac:dyDescent="0.25">
      <c r="Q46668" s="8"/>
    </row>
    <row r="46669" spans="17:17" x14ac:dyDescent="0.25">
      <c r="Q46669" s="8"/>
    </row>
    <row r="46670" spans="17:17" x14ac:dyDescent="0.25">
      <c r="Q46670" s="8"/>
    </row>
    <row r="46671" spans="17:17" x14ac:dyDescent="0.25">
      <c r="Q46671" s="8"/>
    </row>
    <row r="46672" spans="17:17" x14ac:dyDescent="0.25">
      <c r="Q46672" s="8"/>
    </row>
    <row r="46673" spans="17:17" x14ac:dyDescent="0.25">
      <c r="Q46673" s="8"/>
    </row>
    <row r="46674" spans="17:17" x14ac:dyDescent="0.25">
      <c r="Q46674" s="8"/>
    </row>
    <row r="46675" spans="17:17" x14ac:dyDescent="0.25">
      <c r="Q46675" s="8"/>
    </row>
    <row r="46676" spans="17:17" x14ac:dyDescent="0.25">
      <c r="Q46676" s="8"/>
    </row>
    <row r="46677" spans="17:17" x14ac:dyDescent="0.25">
      <c r="Q46677" s="8"/>
    </row>
    <row r="46678" spans="17:17" x14ac:dyDescent="0.25">
      <c r="Q46678" s="8"/>
    </row>
    <row r="46679" spans="17:17" x14ac:dyDescent="0.25">
      <c r="Q46679" s="8"/>
    </row>
    <row r="46680" spans="17:17" x14ac:dyDescent="0.25">
      <c r="Q46680" s="8"/>
    </row>
    <row r="46681" spans="17:17" x14ac:dyDescent="0.25">
      <c r="Q46681" s="8"/>
    </row>
    <row r="46682" spans="17:17" x14ac:dyDescent="0.25">
      <c r="Q46682" s="8"/>
    </row>
    <row r="46683" spans="17:17" x14ac:dyDescent="0.25">
      <c r="Q46683" s="8"/>
    </row>
    <row r="46684" spans="17:17" x14ac:dyDescent="0.25">
      <c r="Q46684" s="8"/>
    </row>
    <row r="46685" spans="17:17" x14ac:dyDescent="0.25">
      <c r="Q46685" s="8"/>
    </row>
    <row r="46686" spans="17:17" x14ac:dyDescent="0.25">
      <c r="Q46686" s="8"/>
    </row>
    <row r="46687" spans="17:17" x14ac:dyDescent="0.25">
      <c r="Q46687" s="8"/>
    </row>
    <row r="46688" spans="17:17" x14ac:dyDescent="0.25">
      <c r="Q46688" s="8"/>
    </row>
    <row r="46689" spans="17:17" x14ac:dyDescent="0.25">
      <c r="Q46689" s="8"/>
    </row>
    <row r="46690" spans="17:17" x14ac:dyDescent="0.25">
      <c r="Q46690" s="8"/>
    </row>
    <row r="46691" spans="17:17" x14ac:dyDescent="0.25">
      <c r="Q46691" s="8"/>
    </row>
    <row r="46692" spans="17:17" x14ac:dyDescent="0.25">
      <c r="Q46692" s="8"/>
    </row>
    <row r="46693" spans="17:17" x14ac:dyDescent="0.25">
      <c r="Q46693" s="8"/>
    </row>
    <row r="46694" spans="17:17" x14ac:dyDescent="0.25">
      <c r="Q46694" s="8"/>
    </row>
    <row r="46695" spans="17:17" x14ac:dyDescent="0.25">
      <c r="Q46695" s="8"/>
    </row>
    <row r="46696" spans="17:17" x14ac:dyDescent="0.25">
      <c r="Q46696" s="8"/>
    </row>
    <row r="46697" spans="17:17" x14ac:dyDescent="0.25">
      <c r="Q46697" s="8"/>
    </row>
    <row r="46698" spans="17:17" x14ac:dyDescent="0.25">
      <c r="Q46698" s="8"/>
    </row>
    <row r="46699" spans="17:17" x14ac:dyDescent="0.25">
      <c r="Q46699" s="8"/>
    </row>
    <row r="46700" spans="17:17" x14ac:dyDescent="0.25">
      <c r="Q46700" s="8"/>
    </row>
    <row r="46701" spans="17:17" x14ac:dyDescent="0.25">
      <c r="Q46701" s="8"/>
    </row>
    <row r="46702" spans="17:17" x14ac:dyDescent="0.25">
      <c r="Q46702" s="8"/>
    </row>
    <row r="46703" spans="17:17" x14ac:dyDescent="0.25">
      <c r="Q46703" s="8"/>
    </row>
    <row r="46704" spans="17:17" x14ac:dyDescent="0.25">
      <c r="Q46704" s="8"/>
    </row>
    <row r="46705" spans="17:17" x14ac:dyDescent="0.25">
      <c r="Q46705" s="8"/>
    </row>
    <row r="46706" spans="17:17" x14ac:dyDescent="0.25">
      <c r="Q46706" s="8"/>
    </row>
    <row r="46707" spans="17:17" x14ac:dyDescent="0.25">
      <c r="Q46707" s="8"/>
    </row>
    <row r="46708" spans="17:17" x14ac:dyDescent="0.25">
      <c r="Q46708" s="8"/>
    </row>
    <row r="46709" spans="17:17" x14ac:dyDescent="0.25">
      <c r="Q46709" s="8"/>
    </row>
    <row r="46710" spans="17:17" x14ac:dyDescent="0.25">
      <c r="Q46710" s="8"/>
    </row>
    <row r="46711" spans="17:17" x14ac:dyDescent="0.25">
      <c r="Q46711" s="8"/>
    </row>
    <row r="46712" spans="17:17" x14ac:dyDescent="0.25">
      <c r="Q46712" s="8"/>
    </row>
    <row r="46713" spans="17:17" x14ac:dyDescent="0.25">
      <c r="Q46713" s="8"/>
    </row>
    <row r="46714" spans="17:17" x14ac:dyDescent="0.25">
      <c r="Q46714" s="8"/>
    </row>
    <row r="46715" spans="17:17" x14ac:dyDescent="0.25">
      <c r="Q46715" s="8"/>
    </row>
    <row r="46716" spans="17:17" x14ac:dyDescent="0.25">
      <c r="Q46716" s="8"/>
    </row>
    <row r="46717" spans="17:17" x14ac:dyDescent="0.25">
      <c r="Q46717" s="8"/>
    </row>
    <row r="46718" spans="17:17" x14ac:dyDescent="0.25">
      <c r="Q46718" s="8"/>
    </row>
    <row r="46719" spans="17:17" x14ac:dyDescent="0.25">
      <c r="Q46719" s="8"/>
    </row>
    <row r="46720" spans="17:17" x14ac:dyDescent="0.25">
      <c r="Q46720" s="8"/>
    </row>
    <row r="46721" spans="17:17" x14ac:dyDescent="0.25">
      <c r="Q46721" s="8"/>
    </row>
    <row r="46722" spans="17:17" x14ac:dyDescent="0.25">
      <c r="Q46722" s="8"/>
    </row>
    <row r="46723" spans="17:17" x14ac:dyDescent="0.25">
      <c r="Q46723" s="8"/>
    </row>
    <row r="46724" spans="17:17" x14ac:dyDescent="0.25">
      <c r="Q46724" s="8"/>
    </row>
    <row r="46725" spans="17:17" x14ac:dyDescent="0.25">
      <c r="Q46725" s="8"/>
    </row>
    <row r="46726" spans="17:17" x14ac:dyDescent="0.25">
      <c r="Q46726" s="8"/>
    </row>
    <row r="46727" spans="17:17" x14ac:dyDescent="0.25">
      <c r="Q46727" s="8"/>
    </row>
    <row r="46728" spans="17:17" x14ac:dyDescent="0.25">
      <c r="Q46728" s="8"/>
    </row>
    <row r="46729" spans="17:17" x14ac:dyDescent="0.25">
      <c r="Q46729" s="8"/>
    </row>
    <row r="46730" spans="17:17" x14ac:dyDescent="0.25">
      <c r="Q46730" s="8"/>
    </row>
    <row r="46731" spans="17:17" x14ac:dyDescent="0.25">
      <c r="Q46731" s="8"/>
    </row>
    <row r="46732" spans="17:17" x14ac:dyDescent="0.25">
      <c r="Q46732" s="8"/>
    </row>
    <row r="46733" spans="17:17" x14ac:dyDescent="0.25">
      <c r="Q46733" s="8"/>
    </row>
    <row r="46734" spans="17:17" x14ac:dyDescent="0.25">
      <c r="Q46734" s="8"/>
    </row>
    <row r="46735" spans="17:17" x14ac:dyDescent="0.25">
      <c r="Q46735" s="8"/>
    </row>
    <row r="46736" spans="17:17" x14ac:dyDescent="0.25">
      <c r="Q46736" s="8"/>
    </row>
    <row r="46737" spans="17:17" x14ac:dyDescent="0.25">
      <c r="Q46737" s="8"/>
    </row>
    <row r="46738" spans="17:17" x14ac:dyDescent="0.25">
      <c r="Q46738" s="8"/>
    </row>
    <row r="46739" spans="17:17" x14ac:dyDescent="0.25">
      <c r="Q46739" s="8"/>
    </row>
    <row r="46740" spans="17:17" x14ac:dyDescent="0.25">
      <c r="Q46740" s="8"/>
    </row>
    <row r="46741" spans="17:17" x14ac:dyDescent="0.25">
      <c r="Q46741" s="8"/>
    </row>
    <row r="46742" spans="17:17" x14ac:dyDescent="0.25">
      <c r="Q46742" s="8"/>
    </row>
    <row r="46743" spans="17:17" x14ac:dyDescent="0.25">
      <c r="Q46743" s="8"/>
    </row>
    <row r="46744" spans="17:17" x14ac:dyDescent="0.25">
      <c r="Q46744" s="8"/>
    </row>
    <row r="46745" spans="17:17" x14ac:dyDescent="0.25">
      <c r="Q46745" s="8"/>
    </row>
    <row r="46746" spans="17:17" x14ac:dyDescent="0.25">
      <c r="Q46746" s="8"/>
    </row>
    <row r="46747" spans="17:17" x14ac:dyDescent="0.25">
      <c r="Q46747" s="8"/>
    </row>
    <row r="46748" spans="17:17" x14ac:dyDescent="0.25">
      <c r="Q46748" s="8"/>
    </row>
    <row r="46749" spans="17:17" x14ac:dyDescent="0.25">
      <c r="Q46749" s="8"/>
    </row>
    <row r="46750" spans="17:17" x14ac:dyDescent="0.25">
      <c r="Q46750" s="8"/>
    </row>
    <row r="46751" spans="17:17" x14ac:dyDescent="0.25">
      <c r="Q46751" s="8"/>
    </row>
    <row r="46752" spans="17:17" x14ac:dyDescent="0.25">
      <c r="Q46752" s="8"/>
    </row>
    <row r="46753" spans="17:17" x14ac:dyDescent="0.25">
      <c r="Q46753" s="8"/>
    </row>
    <row r="46754" spans="17:17" x14ac:dyDescent="0.25">
      <c r="Q46754" s="8"/>
    </row>
    <row r="46755" spans="17:17" x14ac:dyDescent="0.25">
      <c r="Q46755" s="8"/>
    </row>
    <row r="46756" spans="17:17" x14ac:dyDescent="0.25">
      <c r="Q46756" s="8"/>
    </row>
    <row r="46757" spans="17:17" x14ac:dyDescent="0.25">
      <c r="Q46757" s="8"/>
    </row>
    <row r="46758" spans="17:17" x14ac:dyDescent="0.25">
      <c r="Q46758" s="8"/>
    </row>
    <row r="46759" spans="17:17" x14ac:dyDescent="0.25">
      <c r="Q46759" s="8"/>
    </row>
    <row r="46760" spans="17:17" x14ac:dyDescent="0.25">
      <c r="Q46760" s="8"/>
    </row>
    <row r="46761" spans="17:17" x14ac:dyDescent="0.25">
      <c r="Q46761" s="8"/>
    </row>
    <row r="46762" spans="17:17" x14ac:dyDescent="0.25">
      <c r="Q46762" s="8"/>
    </row>
    <row r="46763" spans="17:17" x14ac:dyDescent="0.25">
      <c r="Q46763" s="8"/>
    </row>
    <row r="46764" spans="17:17" x14ac:dyDescent="0.25">
      <c r="Q46764" s="8"/>
    </row>
    <row r="46765" spans="17:17" x14ac:dyDescent="0.25">
      <c r="Q46765" s="8"/>
    </row>
    <row r="46766" spans="17:17" x14ac:dyDescent="0.25">
      <c r="Q46766" s="8"/>
    </row>
    <row r="46767" spans="17:17" x14ac:dyDescent="0.25">
      <c r="Q46767" s="8"/>
    </row>
    <row r="46768" spans="17:17" x14ac:dyDescent="0.25">
      <c r="Q46768" s="8"/>
    </row>
    <row r="46769" spans="17:17" x14ac:dyDescent="0.25">
      <c r="Q46769" s="8"/>
    </row>
    <row r="46770" spans="17:17" x14ac:dyDescent="0.25">
      <c r="Q46770" s="8"/>
    </row>
    <row r="46771" spans="17:17" x14ac:dyDescent="0.25">
      <c r="Q46771" s="8"/>
    </row>
    <row r="46772" spans="17:17" x14ac:dyDescent="0.25">
      <c r="Q46772" s="8"/>
    </row>
    <row r="46773" spans="17:17" x14ac:dyDescent="0.25">
      <c r="Q46773" s="8"/>
    </row>
    <row r="46774" spans="17:17" x14ac:dyDescent="0.25">
      <c r="Q46774" s="8"/>
    </row>
    <row r="46775" spans="17:17" x14ac:dyDescent="0.25">
      <c r="Q46775" s="8"/>
    </row>
    <row r="46776" spans="17:17" x14ac:dyDescent="0.25">
      <c r="Q46776" s="8"/>
    </row>
    <row r="46777" spans="17:17" x14ac:dyDescent="0.25">
      <c r="Q46777" s="8"/>
    </row>
    <row r="46778" spans="17:17" x14ac:dyDescent="0.25">
      <c r="Q46778" s="8"/>
    </row>
    <row r="46779" spans="17:17" x14ac:dyDescent="0.25">
      <c r="Q46779" s="8"/>
    </row>
    <row r="46780" spans="17:17" x14ac:dyDescent="0.25">
      <c r="Q46780" s="8"/>
    </row>
    <row r="46781" spans="17:17" x14ac:dyDescent="0.25">
      <c r="Q46781" s="8"/>
    </row>
    <row r="46782" spans="17:17" x14ac:dyDescent="0.25">
      <c r="Q46782" s="8"/>
    </row>
    <row r="46783" spans="17:17" x14ac:dyDescent="0.25">
      <c r="Q46783" s="8"/>
    </row>
    <row r="46784" spans="17:17" x14ac:dyDescent="0.25">
      <c r="Q46784" s="8"/>
    </row>
    <row r="46785" spans="17:17" x14ac:dyDescent="0.25">
      <c r="Q46785" s="8"/>
    </row>
    <row r="46786" spans="17:17" x14ac:dyDescent="0.25">
      <c r="Q46786" s="8"/>
    </row>
    <row r="46787" spans="17:17" x14ac:dyDescent="0.25">
      <c r="Q46787" s="8"/>
    </row>
    <row r="46788" spans="17:17" x14ac:dyDescent="0.25">
      <c r="Q46788" s="8"/>
    </row>
    <row r="46789" spans="17:17" x14ac:dyDescent="0.25">
      <c r="Q46789" s="8"/>
    </row>
    <row r="46790" spans="17:17" x14ac:dyDescent="0.25">
      <c r="Q46790" s="8"/>
    </row>
    <row r="46791" spans="17:17" x14ac:dyDescent="0.25">
      <c r="Q46791" s="8"/>
    </row>
    <row r="46792" spans="17:17" x14ac:dyDescent="0.25">
      <c r="Q46792" s="8"/>
    </row>
    <row r="46793" spans="17:17" x14ac:dyDescent="0.25">
      <c r="Q46793" s="8"/>
    </row>
    <row r="46794" spans="17:17" x14ac:dyDescent="0.25">
      <c r="Q46794" s="8"/>
    </row>
    <row r="46795" spans="17:17" x14ac:dyDescent="0.25">
      <c r="Q46795" s="8"/>
    </row>
    <row r="46796" spans="17:17" x14ac:dyDescent="0.25">
      <c r="Q46796" s="8"/>
    </row>
    <row r="46797" spans="17:17" x14ac:dyDescent="0.25">
      <c r="Q46797" s="8"/>
    </row>
    <row r="46798" spans="17:17" x14ac:dyDescent="0.25">
      <c r="Q46798" s="8"/>
    </row>
    <row r="46799" spans="17:17" x14ac:dyDescent="0.25">
      <c r="Q46799" s="8"/>
    </row>
    <row r="46800" spans="17:17" x14ac:dyDescent="0.25">
      <c r="Q46800" s="8"/>
    </row>
    <row r="46801" spans="17:17" x14ac:dyDescent="0.25">
      <c r="Q46801" s="8"/>
    </row>
    <row r="46802" spans="17:17" x14ac:dyDescent="0.25">
      <c r="Q46802" s="8"/>
    </row>
    <row r="46803" spans="17:17" x14ac:dyDescent="0.25">
      <c r="Q46803" s="8"/>
    </row>
    <row r="46804" spans="17:17" x14ac:dyDescent="0.25">
      <c r="Q46804" s="8"/>
    </row>
    <row r="46805" spans="17:17" x14ac:dyDescent="0.25">
      <c r="Q46805" s="8"/>
    </row>
    <row r="46806" spans="17:17" x14ac:dyDescent="0.25">
      <c r="Q46806" s="8"/>
    </row>
    <row r="46807" spans="17:17" x14ac:dyDescent="0.25">
      <c r="Q46807" s="8"/>
    </row>
    <row r="46808" spans="17:17" x14ac:dyDescent="0.25">
      <c r="Q46808" s="8"/>
    </row>
    <row r="46809" spans="17:17" x14ac:dyDescent="0.25">
      <c r="Q46809" s="8"/>
    </row>
    <row r="46810" spans="17:17" x14ac:dyDescent="0.25">
      <c r="Q46810" s="8"/>
    </row>
    <row r="46811" spans="17:17" x14ac:dyDescent="0.25">
      <c r="Q46811" s="8"/>
    </row>
    <row r="46812" spans="17:17" x14ac:dyDescent="0.25">
      <c r="Q46812" s="8"/>
    </row>
    <row r="46813" spans="17:17" x14ac:dyDescent="0.25">
      <c r="Q46813" s="8"/>
    </row>
    <row r="46814" spans="17:17" x14ac:dyDescent="0.25">
      <c r="Q46814" s="8"/>
    </row>
    <row r="46815" spans="17:17" x14ac:dyDescent="0.25">
      <c r="Q46815" s="8"/>
    </row>
    <row r="46816" spans="17:17" x14ac:dyDescent="0.25">
      <c r="Q46816" s="8"/>
    </row>
    <row r="46817" spans="17:17" x14ac:dyDescent="0.25">
      <c r="Q46817" s="8"/>
    </row>
    <row r="46818" spans="17:17" x14ac:dyDescent="0.25">
      <c r="Q46818" s="8"/>
    </row>
    <row r="46819" spans="17:17" x14ac:dyDescent="0.25">
      <c r="Q46819" s="8"/>
    </row>
    <row r="46820" spans="17:17" x14ac:dyDescent="0.25">
      <c r="Q46820" s="8"/>
    </row>
    <row r="46821" spans="17:17" x14ac:dyDescent="0.25">
      <c r="Q46821" s="8"/>
    </row>
    <row r="46822" spans="17:17" x14ac:dyDescent="0.25">
      <c r="Q46822" s="8"/>
    </row>
    <row r="46823" spans="17:17" x14ac:dyDescent="0.25">
      <c r="Q46823" s="8"/>
    </row>
    <row r="46824" spans="17:17" x14ac:dyDescent="0.25">
      <c r="Q46824" s="8"/>
    </row>
    <row r="46825" spans="17:17" x14ac:dyDescent="0.25">
      <c r="Q46825" s="8"/>
    </row>
    <row r="46826" spans="17:17" x14ac:dyDescent="0.25">
      <c r="Q46826" s="8"/>
    </row>
    <row r="46827" spans="17:17" x14ac:dyDescent="0.25">
      <c r="Q46827" s="8"/>
    </row>
    <row r="46828" spans="17:17" x14ac:dyDescent="0.25">
      <c r="Q46828" s="8"/>
    </row>
    <row r="46829" spans="17:17" x14ac:dyDescent="0.25">
      <c r="Q46829" s="8"/>
    </row>
    <row r="46830" spans="17:17" x14ac:dyDescent="0.25">
      <c r="Q46830" s="8"/>
    </row>
    <row r="46831" spans="17:17" x14ac:dyDescent="0.25">
      <c r="Q46831" s="8"/>
    </row>
    <row r="46832" spans="17:17" x14ac:dyDescent="0.25">
      <c r="Q46832" s="8"/>
    </row>
    <row r="46833" spans="17:17" x14ac:dyDescent="0.25">
      <c r="Q46833" s="8"/>
    </row>
    <row r="46834" spans="17:17" x14ac:dyDescent="0.25">
      <c r="Q46834" s="8"/>
    </row>
    <row r="46835" spans="17:17" x14ac:dyDescent="0.25">
      <c r="Q46835" s="8"/>
    </row>
    <row r="46836" spans="17:17" x14ac:dyDescent="0.25">
      <c r="Q46836" s="8"/>
    </row>
    <row r="46837" spans="17:17" x14ac:dyDescent="0.25">
      <c r="Q46837" s="8"/>
    </row>
    <row r="46838" spans="17:17" x14ac:dyDescent="0.25">
      <c r="Q46838" s="8"/>
    </row>
    <row r="46839" spans="17:17" x14ac:dyDescent="0.25">
      <c r="Q46839" s="8"/>
    </row>
    <row r="46840" spans="17:17" x14ac:dyDescent="0.25">
      <c r="Q46840" s="8"/>
    </row>
    <row r="46841" spans="17:17" x14ac:dyDescent="0.25">
      <c r="Q46841" s="8"/>
    </row>
    <row r="46842" spans="17:17" x14ac:dyDescent="0.25">
      <c r="Q46842" s="8"/>
    </row>
    <row r="46843" spans="17:17" x14ac:dyDescent="0.25">
      <c r="Q46843" s="8"/>
    </row>
    <row r="46844" spans="17:17" x14ac:dyDescent="0.25">
      <c r="Q46844" s="8"/>
    </row>
    <row r="46845" spans="17:17" x14ac:dyDescent="0.25">
      <c r="Q46845" s="8"/>
    </row>
    <row r="46846" spans="17:17" x14ac:dyDescent="0.25">
      <c r="Q46846" s="8"/>
    </row>
    <row r="46847" spans="17:17" x14ac:dyDescent="0.25">
      <c r="Q46847" s="8"/>
    </row>
    <row r="46848" spans="17:17" x14ac:dyDescent="0.25">
      <c r="Q46848" s="8"/>
    </row>
    <row r="46849" spans="17:17" x14ac:dyDescent="0.25">
      <c r="Q46849" s="8"/>
    </row>
    <row r="46850" spans="17:17" x14ac:dyDescent="0.25">
      <c r="Q46850" s="8"/>
    </row>
    <row r="46851" spans="17:17" x14ac:dyDescent="0.25">
      <c r="Q46851" s="8"/>
    </row>
    <row r="46852" spans="17:17" x14ac:dyDescent="0.25">
      <c r="Q46852" s="8"/>
    </row>
    <row r="46853" spans="17:17" x14ac:dyDescent="0.25">
      <c r="Q46853" s="8"/>
    </row>
    <row r="46854" spans="17:17" x14ac:dyDescent="0.25">
      <c r="Q46854" s="8"/>
    </row>
    <row r="46855" spans="17:17" x14ac:dyDescent="0.25">
      <c r="Q46855" s="8"/>
    </row>
    <row r="46856" spans="17:17" x14ac:dyDescent="0.25">
      <c r="Q46856" s="8"/>
    </row>
    <row r="46857" spans="17:17" x14ac:dyDescent="0.25">
      <c r="Q46857" s="8"/>
    </row>
    <row r="46858" spans="17:17" x14ac:dyDescent="0.25">
      <c r="Q46858" s="8"/>
    </row>
    <row r="46859" spans="17:17" x14ac:dyDescent="0.25">
      <c r="Q46859" s="8"/>
    </row>
    <row r="46860" spans="17:17" x14ac:dyDescent="0.25">
      <c r="Q46860" s="8"/>
    </row>
    <row r="46861" spans="17:17" x14ac:dyDescent="0.25">
      <c r="Q46861" s="8"/>
    </row>
    <row r="46862" spans="17:17" x14ac:dyDescent="0.25">
      <c r="Q46862" s="8"/>
    </row>
    <row r="46863" spans="17:17" x14ac:dyDescent="0.25">
      <c r="Q46863" s="8"/>
    </row>
    <row r="46864" spans="17:17" x14ac:dyDescent="0.25">
      <c r="Q46864" s="8"/>
    </row>
    <row r="46865" spans="17:17" x14ac:dyDescent="0.25">
      <c r="Q46865" s="8"/>
    </row>
    <row r="46866" spans="17:17" x14ac:dyDescent="0.25">
      <c r="Q46866" s="8"/>
    </row>
    <row r="46867" spans="17:17" x14ac:dyDescent="0.25">
      <c r="Q46867" s="8"/>
    </row>
    <row r="46868" spans="17:17" x14ac:dyDescent="0.25">
      <c r="Q46868" s="8"/>
    </row>
    <row r="46869" spans="17:17" x14ac:dyDescent="0.25">
      <c r="Q46869" s="8"/>
    </row>
    <row r="46870" spans="17:17" x14ac:dyDescent="0.25">
      <c r="Q46870" s="8"/>
    </row>
    <row r="46871" spans="17:17" x14ac:dyDescent="0.25">
      <c r="Q46871" s="8"/>
    </row>
    <row r="46872" spans="17:17" x14ac:dyDescent="0.25">
      <c r="Q46872" s="8"/>
    </row>
    <row r="46873" spans="17:17" x14ac:dyDescent="0.25">
      <c r="Q46873" s="8"/>
    </row>
    <row r="46874" spans="17:17" x14ac:dyDescent="0.25">
      <c r="Q46874" s="8"/>
    </row>
    <row r="46875" spans="17:17" x14ac:dyDescent="0.25">
      <c r="Q46875" s="8"/>
    </row>
    <row r="46876" spans="17:17" x14ac:dyDescent="0.25">
      <c r="Q46876" s="8"/>
    </row>
    <row r="46877" spans="17:17" x14ac:dyDescent="0.25">
      <c r="Q46877" s="8"/>
    </row>
    <row r="46878" spans="17:17" x14ac:dyDescent="0.25">
      <c r="Q46878" s="8"/>
    </row>
    <row r="46879" spans="17:17" x14ac:dyDescent="0.25">
      <c r="Q46879" s="8"/>
    </row>
    <row r="46880" spans="17:17" x14ac:dyDescent="0.25">
      <c r="Q46880" s="8"/>
    </row>
    <row r="46881" spans="17:17" x14ac:dyDescent="0.25">
      <c r="Q46881" s="8"/>
    </row>
    <row r="46882" spans="17:17" x14ac:dyDescent="0.25">
      <c r="Q46882" s="8"/>
    </row>
    <row r="46883" spans="17:17" x14ac:dyDescent="0.25">
      <c r="Q46883" s="8"/>
    </row>
    <row r="46884" spans="17:17" x14ac:dyDescent="0.25">
      <c r="Q46884" s="8"/>
    </row>
    <row r="46885" spans="17:17" x14ac:dyDescent="0.25">
      <c r="Q46885" s="8"/>
    </row>
    <row r="46886" spans="17:17" x14ac:dyDescent="0.25">
      <c r="Q46886" s="8"/>
    </row>
    <row r="46887" spans="17:17" x14ac:dyDescent="0.25">
      <c r="Q46887" s="8"/>
    </row>
    <row r="46888" spans="17:17" x14ac:dyDescent="0.25">
      <c r="Q46888" s="8"/>
    </row>
    <row r="46889" spans="17:17" x14ac:dyDescent="0.25">
      <c r="Q46889" s="8"/>
    </row>
    <row r="46890" spans="17:17" x14ac:dyDescent="0.25">
      <c r="Q46890" s="8"/>
    </row>
    <row r="46891" spans="17:17" x14ac:dyDescent="0.25">
      <c r="Q46891" s="8"/>
    </row>
    <row r="46892" spans="17:17" x14ac:dyDescent="0.25">
      <c r="Q46892" s="8"/>
    </row>
    <row r="46893" spans="17:17" x14ac:dyDescent="0.25">
      <c r="Q46893" s="8"/>
    </row>
    <row r="46894" spans="17:17" x14ac:dyDescent="0.25">
      <c r="Q46894" s="8"/>
    </row>
    <row r="46895" spans="17:17" x14ac:dyDescent="0.25">
      <c r="Q46895" s="8"/>
    </row>
    <row r="46896" spans="17:17" x14ac:dyDescent="0.25">
      <c r="Q46896" s="8"/>
    </row>
    <row r="46897" spans="17:17" x14ac:dyDescent="0.25">
      <c r="Q46897" s="8"/>
    </row>
    <row r="46898" spans="17:17" x14ac:dyDescent="0.25">
      <c r="Q46898" s="8"/>
    </row>
    <row r="46899" spans="17:17" x14ac:dyDescent="0.25">
      <c r="Q46899" s="8"/>
    </row>
    <row r="46900" spans="17:17" x14ac:dyDescent="0.25">
      <c r="Q46900" s="8"/>
    </row>
    <row r="46901" spans="17:17" x14ac:dyDescent="0.25">
      <c r="Q46901" s="8"/>
    </row>
    <row r="46902" spans="17:17" x14ac:dyDescent="0.25">
      <c r="Q46902" s="8"/>
    </row>
    <row r="46903" spans="17:17" x14ac:dyDescent="0.25">
      <c r="Q46903" s="8"/>
    </row>
    <row r="46904" spans="17:17" x14ac:dyDescent="0.25">
      <c r="Q46904" s="8"/>
    </row>
    <row r="46905" spans="17:17" x14ac:dyDescent="0.25">
      <c r="Q46905" s="8"/>
    </row>
    <row r="46906" spans="17:17" x14ac:dyDescent="0.25">
      <c r="Q46906" s="8"/>
    </row>
    <row r="46907" spans="17:17" x14ac:dyDescent="0.25">
      <c r="Q46907" s="8"/>
    </row>
    <row r="46908" spans="17:17" x14ac:dyDescent="0.25">
      <c r="Q46908" s="8"/>
    </row>
    <row r="46909" spans="17:17" x14ac:dyDescent="0.25">
      <c r="Q46909" s="8"/>
    </row>
    <row r="46910" spans="17:17" x14ac:dyDescent="0.25">
      <c r="Q46910" s="8"/>
    </row>
    <row r="46911" spans="17:17" x14ac:dyDescent="0.25">
      <c r="Q46911" s="8"/>
    </row>
    <row r="46912" spans="17:17" x14ac:dyDescent="0.25">
      <c r="Q46912" s="8"/>
    </row>
    <row r="46913" spans="17:17" x14ac:dyDescent="0.25">
      <c r="Q46913" s="8"/>
    </row>
    <row r="46914" spans="17:17" x14ac:dyDescent="0.25">
      <c r="Q46914" s="8"/>
    </row>
    <row r="46915" spans="17:17" x14ac:dyDescent="0.25">
      <c r="Q46915" s="8"/>
    </row>
    <row r="46916" spans="17:17" x14ac:dyDescent="0.25">
      <c r="Q46916" s="8"/>
    </row>
    <row r="46917" spans="17:17" x14ac:dyDescent="0.25">
      <c r="Q46917" s="8"/>
    </row>
    <row r="46918" spans="17:17" x14ac:dyDescent="0.25">
      <c r="Q46918" s="8"/>
    </row>
    <row r="46919" spans="17:17" x14ac:dyDescent="0.25">
      <c r="Q46919" s="8"/>
    </row>
    <row r="46920" spans="17:17" x14ac:dyDescent="0.25">
      <c r="Q46920" s="8"/>
    </row>
    <row r="46921" spans="17:17" x14ac:dyDescent="0.25">
      <c r="Q46921" s="8"/>
    </row>
    <row r="46922" spans="17:17" x14ac:dyDescent="0.25">
      <c r="Q46922" s="8"/>
    </row>
    <row r="46923" spans="17:17" x14ac:dyDescent="0.25">
      <c r="Q46923" s="8"/>
    </row>
    <row r="46924" spans="17:17" x14ac:dyDescent="0.25">
      <c r="Q46924" s="8"/>
    </row>
    <row r="46925" spans="17:17" x14ac:dyDescent="0.25">
      <c r="Q46925" s="8"/>
    </row>
    <row r="46926" spans="17:17" x14ac:dyDescent="0.25">
      <c r="Q46926" s="8"/>
    </row>
    <row r="46927" spans="17:17" x14ac:dyDescent="0.25">
      <c r="Q46927" s="8"/>
    </row>
    <row r="46928" spans="17:17" x14ac:dyDescent="0.25">
      <c r="Q46928" s="8"/>
    </row>
    <row r="46929" spans="17:17" x14ac:dyDescent="0.25">
      <c r="Q46929" s="8"/>
    </row>
    <row r="46930" spans="17:17" x14ac:dyDescent="0.25">
      <c r="Q46930" s="8"/>
    </row>
    <row r="46931" spans="17:17" x14ac:dyDescent="0.25">
      <c r="Q46931" s="8"/>
    </row>
    <row r="46932" spans="17:17" x14ac:dyDescent="0.25">
      <c r="Q46932" s="8"/>
    </row>
    <row r="46933" spans="17:17" x14ac:dyDescent="0.25">
      <c r="Q46933" s="8"/>
    </row>
    <row r="46934" spans="17:17" x14ac:dyDescent="0.25">
      <c r="Q46934" s="8"/>
    </row>
    <row r="46935" spans="17:17" x14ac:dyDescent="0.25">
      <c r="Q46935" s="8"/>
    </row>
    <row r="46936" spans="17:17" x14ac:dyDescent="0.25">
      <c r="Q46936" s="8"/>
    </row>
    <row r="46937" spans="17:17" x14ac:dyDescent="0.25">
      <c r="Q46937" s="8"/>
    </row>
    <row r="46938" spans="17:17" x14ac:dyDescent="0.25">
      <c r="Q46938" s="8"/>
    </row>
    <row r="46939" spans="17:17" x14ac:dyDescent="0.25">
      <c r="Q46939" s="8"/>
    </row>
    <row r="46940" spans="17:17" x14ac:dyDescent="0.25">
      <c r="Q46940" s="8"/>
    </row>
    <row r="46941" spans="17:17" x14ac:dyDescent="0.25">
      <c r="Q46941" s="8"/>
    </row>
    <row r="46942" spans="17:17" x14ac:dyDescent="0.25">
      <c r="Q46942" s="8"/>
    </row>
    <row r="46943" spans="17:17" x14ac:dyDescent="0.25">
      <c r="Q46943" s="8"/>
    </row>
    <row r="46944" spans="17:17" x14ac:dyDescent="0.25">
      <c r="Q46944" s="8"/>
    </row>
    <row r="46945" spans="17:17" x14ac:dyDescent="0.25">
      <c r="Q46945" s="8"/>
    </row>
    <row r="46946" spans="17:17" x14ac:dyDescent="0.25">
      <c r="Q46946" s="8"/>
    </row>
    <row r="46947" spans="17:17" x14ac:dyDescent="0.25">
      <c r="Q46947" s="8"/>
    </row>
    <row r="46948" spans="17:17" x14ac:dyDescent="0.25">
      <c r="Q46948" s="8"/>
    </row>
    <row r="46949" spans="17:17" x14ac:dyDescent="0.25">
      <c r="Q46949" s="8"/>
    </row>
    <row r="46950" spans="17:17" x14ac:dyDescent="0.25">
      <c r="Q46950" s="8"/>
    </row>
    <row r="46951" spans="17:17" x14ac:dyDescent="0.25">
      <c r="Q46951" s="8"/>
    </row>
    <row r="46952" spans="17:17" x14ac:dyDescent="0.25">
      <c r="Q46952" s="8"/>
    </row>
    <row r="46953" spans="17:17" x14ac:dyDescent="0.25">
      <c r="Q46953" s="8"/>
    </row>
    <row r="46954" spans="17:17" x14ac:dyDescent="0.25">
      <c r="Q46954" s="8"/>
    </row>
    <row r="46955" spans="17:17" x14ac:dyDescent="0.25">
      <c r="Q46955" s="8"/>
    </row>
    <row r="46956" spans="17:17" x14ac:dyDescent="0.25">
      <c r="Q46956" s="8"/>
    </row>
    <row r="46957" spans="17:17" x14ac:dyDescent="0.25">
      <c r="Q46957" s="8"/>
    </row>
    <row r="46958" spans="17:17" x14ac:dyDescent="0.25">
      <c r="Q46958" s="8"/>
    </row>
    <row r="46959" spans="17:17" x14ac:dyDescent="0.25">
      <c r="Q46959" s="8"/>
    </row>
    <row r="46960" spans="17:17" x14ac:dyDescent="0.25">
      <c r="Q46960" s="8"/>
    </row>
    <row r="46961" spans="17:17" x14ac:dyDescent="0.25">
      <c r="Q46961" s="8"/>
    </row>
    <row r="46962" spans="17:17" x14ac:dyDescent="0.25">
      <c r="Q46962" s="8"/>
    </row>
    <row r="46963" spans="17:17" x14ac:dyDescent="0.25">
      <c r="Q46963" s="8"/>
    </row>
    <row r="46964" spans="17:17" x14ac:dyDescent="0.25">
      <c r="Q46964" s="8"/>
    </row>
    <row r="46965" spans="17:17" x14ac:dyDescent="0.25">
      <c r="Q46965" s="8"/>
    </row>
    <row r="46966" spans="17:17" x14ac:dyDescent="0.25">
      <c r="Q46966" s="8"/>
    </row>
    <row r="46967" spans="17:17" x14ac:dyDescent="0.25">
      <c r="Q46967" s="8"/>
    </row>
    <row r="46968" spans="17:17" x14ac:dyDescent="0.25">
      <c r="Q46968" s="8"/>
    </row>
    <row r="46969" spans="17:17" x14ac:dyDescent="0.25">
      <c r="Q46969" s="8"/>
    </row>
    <row r="46970" spans="17:17" x14ac:dyDescent="0.25">
      <c r="Q46970" s="8"/>
    </row>
    <row r="46971" spans="17:17" x14ac:dyDescent="0.25">
      <c r="Q46971" s="8"/>
    </row>
    <row r="46972" spans="17:17" x14ac:dyDescent="0.25">
      <c r="Q46972" s="8"/>
    </row>
    <row r="46973" spans="17:17" x14ac:dyDescent="0.25">
      <c r="Q46973" s="8"/>
    </row>
    <row r="46974" spans="17:17" x14ac:dyDescent="0.25">
      <c r="Q46974" s="8"/>
    </row>
    <row r="46975" spans="17:17" x14ac:dyDescent="0.25">
      <c r="Q46975" s="8"/>
    </row>
    <row r="46976" spans="17:17" x14ac:dyDescent="0.25">
      <c r="Q46976" s="8"/>
    </row>
    <row r="46977" spans="17:17" x14ac:dyDescent="0.25">
      <c r="Q46977" s="8"/>
    </row>
    <row r="46978" spans="17:17" x14ac:dyDescent="0.25">
      <c r="Q46978" s="8"/>
    </row>
    <row r="46979" spans="17:17" x14ac:dyDescent="0.25">
      <c r="Q46979" s="8"/>
    </row>
    <row r="46980" spans="17:17" x14ac:dyDescent="0.25">
      <c r="Q46980" s="8"/>
    </row>
    <row r="46981" spans="17:17" x14ac:dyDescent="0.25">
      <c r="Q46981" s="8"/>
    </row>
    <row r="46982" spans="17:17" x14ac:dyDescent="0.25">
      <c r="Q46982" s="8"/>
    </row>
    <row r="46983" spans="17:17" x14ac:dyDescent="0.25">
      <c r="Q46983" s="8"/>
    </row>
    <row r="46984" spans="17:17" x14ac:dyDescent="0.25">
      <c r="Q46984" s="8"/>
    </row>
    <row r="46985" spans="17:17" x14ac:dyDescent="0.25">
      <c r="Q46985" s="8"/>
    </row>
    <row r="46986" spans="17:17" x14ac:dyDescent="0.25">
      <c r="Q46986" s="8"/>
    </row>
    <row r="46987" spans="17:17" x14ac:dyDescent="0.25">
      <c r="Q46987" s="8"/>
    </row>
    <row r="46988" spans="17:17" x14ac:dyDescent="0.25">
      <c r="Q46988" s="8"/>
    </row>
    <row r="46989" spans="17:17" x14ac:dyDescent="0.25">
      <c r="Q46989" s="8"/>
    </row>
    <row r="46990" spans="17:17" x14ac:dyDescent="0.25">
      <c r="Q46990" s="8"/>
    </row>
    <row r="46991" spans="17:17" x14ac:dyDescent="0.25">
      <c r="Q46991" s="8"/>
    </row>
    <row r="46992" spans="17:17" x14ac:dyDescent="0.25">
      <c r="Q46992" s="8"/>
    </row>
    <row r="46993" spans="17:17" x14ac:dyDescent="0.25">
      <c r="Q46993" s="8"/>
    </row>
    <row r="46994" spans="17:17" x14ac:dyDescent="0.25">
      <c r="Q46994" s="8"/>
    </row>
    <row r="46995" spans="17:17" x14ac:dyDescent="0.25">
      <c r="Q46995" s="8"/>
    </row>
    <row r="46996" spans="17:17" x14ac:dyDescent="0.25">
      <c r="Q46996" s="8"/>
    </row>
    <row r="46997" spans="17:17" x14ac:dyDescent="0.25">
      <c r="Q46997" s="8"/>
    </row>
    <row r="46998" spans="17:17" x14ac:dyDescent="0.25">
      <c r="Q46998" s="8"/>
    </row>
    <row r="46999" spans="17:17" x14ac:dyDescent="0.25">
      <c r="Q46999" s="8"/>
    </row>
    <row r="47000" spans="17:17" x14ac:dyDescent="0.25">
      <c r="Q47000" s="8"/>
    </row>
    <row r="47001" spans="17:17" x14ac:dyDescent="0.25">
      <c r="Q47001" s="8"/>
    </row>
    <row r="47002" spans="17:17" x14ac:dyDescent="0.25">
      <c r="Q47002" s="8"/>
    </row>
    <row r="47003" spans="17:17" x14ac:dyDescent="0.25">
      <c r="Q47003" s="8"/>
    </row>
    <row r="47004" spans="17:17" x14ac:dyDescent="0.25">
      <c r="Q47004" s="8"/>
    </row>
    <row r="47005" spans="17:17" x14ac:dyDescent="0.25">
      <c r="Q47005" s="8"/>
    </row>
    <row r="47006" spans="17:17" x14ac:dyDescent="0.25">
      <c r="Q47006" s="8"/>
    </row>
    <row r="47007" spans="17:17" x14ac:dyDescent="0.25">
      <c r="Q47007" s="8"/>
    </row>
    <row r="47008" spans="17:17" x14ac:dyDescent="0.25">
      <c r="Q47008" s="8"/>
    </row>
    <row r="47009" spans="17:17" x14ac:dyDescent="0.25">
      <c r="Q47009" s="8"/>
    </row>
    <row r="47010" spans="17:17" x14ac:dyDescent="0.25">
      <c r="Q47010" s="8"/>
    </row>
    <row r="47011" spans="17:17" x14ac:dyDescent="0.25">
      <c r="Q47011" s="8"/>
    </row>
    <row r="47012" spans="17:17" x14ac:dyDescent="0.25">
      <c r="Q47012" s="8"/>
    </row>
    <row r="47013" spans="17:17" x14ac:dyDescent="0.25">
      <c r="Q47013" s="8"/>
    </row>
    <row r="47014" spans="17:17" x14ac:dyDescent="0.25">
      <c r="Q47014" s="8"/>
    </row>
    <row r="47015" spans="17:17" x14ac:dyDescent="0.25">
      <c r="Q47015" s="8"/>
    </row>
    <row r="47016" spans="17:17" x14ac:dyDescent="0.25">
      <c r="Q47016" s="8"/>
    </row>
    <row r="47017" spans="17:17" x14ac:dyDescent="0.25">
      <c r="Q47017" s="8"/>
    </row>
    <row r="47018" spans="17:17" x14ac:dyDescent="0.25">
      <c r="Q47018" s="8"/>
    </row>
    <row r="47019" spans="17:17" x14ac:dyDescent="0.25">
      <c r="Q47019" s="8"/>
    </row>
    <row r="47020" spans="17:17" x14ac:dyDescent="0.25">
      <c r="Q47020" s="8"/>
    </row>
    <row r="47021" spans="17:17" x14ac:dyDescent="0.25">
      <c r="Q47021" s="8"/>
    </row>
    <row r="47022" spans="17:17" x14ac:dyDescent="0.25">
      <c r="Q47022" s="8"/>
    </row>
    <row r="47023" spans="17:17" x14ac:dyDescent="0.25">
      <c r="Q47023" s="8"/>
    </row>
    <row r="47024" spans="17:17" x14ac:dyDescent="0.25">
      <c r="Q47024" s="8"/>
    </row>
    <row r="47025" spans="17:17" x14ac:dyDescent="0.25">
      <c r="Q47025" s="8"/>
    </row>
    <row r="47026" spans="17:17" x14ac:dyDescent="0.25">
      <c r="Q47026" s="8"/>
    </row>
    <row r="47027" spans="17:17" x14ac:dyDescent="0.25">
      <c r="Q47027" s="8"/>
    </row>
    <row r="47028" spans="17:17" x14ac:dyDescent="0.25">
      <c r="Q47028" s="8"/>
    </row>
    <row r="47029" spans="17:17" x14ac:dyDescent="0.25">
      <c r="Q47029" s="8"/>
    </row>
    <row r="47030" spans="17:17" x14ac:dyDescent="0.25">
      <c r="Q47030" s="8"/>
    </row>
    <row r="47031" spans="17:17" x14ac:dyDescent="0.25">
      <c r="Q47031" s="8"/>
    </row>
    <row r="47032" spans="17:17" x14ac:dyDescent="0.25">
      <c r="Q47032" s="8"/>
    </row>
    <row r="47033" spans="17:17" x14ac:dyDescent="0.25">
      <c r="Q47033" s="8"/>
    </row>
    <row r="47034" spans="17:17" x14ac:dyDescent="0.25">
      <c r="Q47034" s="8"/>
    </row>
    <row r="47035" spans="17:17" x14ac:dyDescent="0.25">
      <c r="Q47035" s="8"/>
    </row>
    <row r="47036" spans="17:17" x14ac:dyDescent="0.25">
      <c r="Q47036" s="8"/>
    </row>
    <row r="47037" spans="17:17" x14ac:dyDescent="0.25">
      <c r="Q47037" s="8"/>
    </row>
    <row r="47038" spans="17:17" x14ac:dyDescent="0.25">
      <c r="Q47038" s="8"/>
    </row>
    <row r="47039" spans="17:17" x14ac:dyDescent="0.25">
      <c r="Q47039" s="8"/>
    </row>
    <row r="47040" spans="17:17" x14ac:dyDescent="0.25">
      <c r="Q47040" s="8"/>
    </row>
    <row r="47041" spans="17:17" x14ac:dyDescent="0.25">
      <c r="Q47041" s="8"/>
    </row>
    <row r="47042" spans="17:17" x14ac:dyDescent="0.25">
      <c r="Q47042" s="8"/>
    </row>
    <row r="47043" spans="17:17" x14ac:dyDescent="0.25">
      <c r="Q47043" s="8"/>
    </row>
    <row r="47044" spans="17:17" x14ac:dyDescent="0.25">
      <c r="Q47044" s="8"/>
    </row>
    <row r="47045" spans="17:17" x14ac:dyDescent="0.25">
      <c r="Q47045" s="8"/>
    </row>
    <row r="47046" spans="17:17" x14ac:dyDescent="0.25">
      <c r="Q47046" s="8"/>
    </row>
    <row r="47047" spans="17:17" x14ac:dyDescent="0.25">
      <c r="Q47047" s="8"/>
    </row>
    <row r="47048" spans="17:17" x14ac:dyDescent="0.25">
      <c r="Q47048" s="8"/>
    </row>
    <row r="47049" spans="17:17" x14ac:dyDescent="0.25">
      <c r="Q47049" s="8"/>
    </row>
    <row r="47050" spans="17:17" x14ac:dyDescent="0.25">
      <c r="Q47050" s="8"/>
    </row>
    <row r="47051" spans="17:17" x14ac:dyDescent="0.25">
      <c r="Q47051" s="8"/>
    </row>
    <row r="47052" spans="17:17" x14ac:dyDescent="0.25">
      <c r="Q47052" s="8"/>
    </row>
    <row r="47053" spans="17:17" x14ac:dyDescent="0.25">
      <c r="Q47053" s="8"/>
    </row>
    <row r="47054" spans="17:17" x14ac:dyDescent="0.25">
      <c r="Q47054" s="8"/>
    </row>
    <row r="47055" spans="17:17" x14ac:dyDescent="0.25">
      <c r="Q47055" s="8"/>
    </row>
    <row r="47056" spans="17:17" x14ac:dyDescent="0.25">
      <c r="Q47056" s="8"/>
    </row>
    <row r="47057" spans="17:17" x14ac:dyDescent="0.25">
      <c r="Q47057" s="8"/>
    </row>
    <row r="47058" spans="17:17" x14ac:dyDescent="0.25">
      <c r="Q47058" s="8"/>
    </row>
    <row r="47059" spans="17:17" x14ac:dyDescent="0.25">
      <c r="Q47059" s="8"/>
    </row>
    <row r="47060" spans="17:17" x14ac:dyDescent="0.25">
      <c r="Q47060" s="8"/>
    </row>
    <row r="47061" spans="17:17" x14ac:dyDescent="0.25">
      <c r="Q47061" s="8"/>
    </row>
    <row r="47062" spans="17:17" x14ac:dyDescent="0.25">
      <c r="Q47062" s="8"/>
    </row>
    <row r="47063" spans="17:17" x14ac:dyDescent="0.25">
      <c r="Q47063" s="8"/>
    </row>
    <row r="47064" spans="17:17" x14ac:dyDescent="0.25">
      <c r="Q47064" s="8"/>
    </row>
    <row r="47065" spans="17:17" x14ac:dyDescent="0.25">
      <c r="Q47065" s="8"/>
    </row>
    <row r="47066" spans="17:17" x14ac:dyDescent="0.25">
      <c r="Q47066" s="8"/>
    </row>
    <row r="47067" spans="17:17" x14ac:dyDescent="0.25">
      <c r="Q47067" s="8"/>
    </row>
    <row r="47068" spans="17:17" x14ac:dyDescent="0.25">
      <c r="Q47068" s="8"/>
    </row>
    <row r="47069" spans="17:17" x14ac:dyDescent="0.25">
      <c r="Q47069" s="8"/>
    </row>
    <row r="47070" spans="17:17" x14ac:dyDescent="0.25">
      <c r="Q47070" s="8"/>
    </row>
    <row r="47071" spans="17:17" x14ac:dyDescent="0.25">
      <c r="Q47071" s="8"/>
    </row>
    <row r="47072" spans="17:17" x14ac:dyDescent="0.25">
      <c r="Q47072" s="8"/>
    </row>
    <row r="47073" spans="17:17" x14ac:dyDescent="0.25">
      <c r="Q47073" s="8"/>
    </row>
    <row r="47074" spans="17:17" x14ac:dyDescent="0.25">
      <c r="Q47074" s="8"/>
    </row>
    <row r="47075" spans="17:17" x14ac:dyDescent="0.25">
      <c r="Q47075" s="8"/>
    </row>
    <row r="47076" spans="17:17" x14ac:dyDescent="0.25">
      <c r="Q47076" s="8"/>
    </row>
    <row r="47077" spans="17:17" x14ac:dyDescent="0.25">
      <c r="Q47077" s="8"/>
    </row>
    <row r="47078" spans="17:17" x14ac:dyDescent="0.25">
      <c r="Q47078" s="8"/>
    </row>
    <row r="47079" spans="17:17" x14ac:dyDescent="0.25">
      <c r="Q47079" s="8"/>
    </row>
    <row r="47080" spans="17:17" x14ac:dyDescent="0.25">
      <c r="Q47080" s="8"/>
    </row>
    <row r="47081" spans="17:17" x14ac:dyDescent="0.25">
      <c r="Q47081" s="8"/>
    </row>
    <row r="47082" spans="17:17" x14ac:dyDescent="0.25">
      <c r="Q47082" s="8"/>
    </row>
    <row r="47083" spans="17:17" x14ac:dyDescent="0.25">
      <c r="Q47083" s="8"/>
    </row>
    <row r="47084" spans="17:17" x14ac:dyDescent="0.25">
      <c r="Q47084" s="8"/>
    </row>
    <row r="47085" spans="17:17" x14ac:dyDescent="0.25">
      <c r="Q47085" s="8"/>
    </row>
    <row r="47086" spans="17:17" x14ac:dyDescent="0.25">
      <c r="Q47086" s="8"/>
    </row>
    <row r="47087" spans="17:17" x14ac:dyDescent="0.25">
      <c r="Q47087" s="8"/>
    </row>
    <row r="47088" spans="17:17" x14ac:dyDescent="0.25">
      <c r="Q47088" s="8"/>
    </row>
    <row r="47089" spans="17:17" x14ac:dyDescent="0.25">
      <c r="Q47089" s="8"/>
    </row>
    <row r="47090" spans="17:17" x14ac:dyDescent="0.25">
      <c r="Q47090" s="8"/>
    </row>
    <row r="47091" spans="17:17" x14ac:dyDescent="0.25">
      <c r="Q47091" s="8"/>
    </row>
    <row r="47092" spans="17:17" x14ac:dyDescent="0.25">
      <c r="Q47092" s="8"/>
    </row>
    <row r="47093" spans="17:17" x14ac:dyDescent="0.25">
      <c r="Q47093" s="8"/>
    </row>
    <row r="47094" spans="17:17" x14ac:dyDescent="0.25">
      <c r="Q47094" s="8"/>
    </row>
    <row r="47095" spans="17:17" x14ac:dyDescent="0.25">
      <c r="Q47095" s="8"/>
    </row>
    <row r="47096" spans="17:17" x14ac:dyDescent="0.25">
      <c r="Q47096" s="8"/>
    </row>
    <row r="47097" spans="17:17" x14ac:dyDescent="0.25">
      <c r="Q47097" s="8"/>
    </row>
    <row r="47098" spans="17:17" x14ac:dyDescent="0.25">
      <c r="Q47098" s="8"/>
    </row>
    <row r="47099" spans="17:17" x14ac:dyDescent="0.25">
      <c r="Q47099" s="8"/>
    </row>
    <row r="47100" spans="17:17" x14ac:dyDescent="0.25">
      <c r="Q47100" s="8"/>
    </row>
    <row r="47101" spans="17:17" x14ac:dyDescent="0.25">
      <c r="Q47101" s="8"/>
    </row>
    <row r="47102" spans="17:17" x14ac:dyDescent="0.25">
      <c r="Q47102" s="8"/>
    </row>
    <row r="47103" spans="17:17" x14ac:dyDescent="0.25">
      <c r="Q47103" s="8"/>
    </row>
    <row r="47104" spans="17:17" x14ac:dyDescent="0.25">
      <c r="Q47104" s="8"/>
    </row>
    <row r="47105" spans="17:17" x14ac:dyDescent="0.25">
      <c r="Q47105" s="8"/>
    </row>
    <row r="47106" spans="17:17" x14ac:dyDescent="0.25">
      <c r="Q47106" s="8"/>
    </row>
    <row r="47107" spans="17:17" x14ac:dyDescent="0.25">
      <c r="Q47107" s="8"/>
    </row>
    <row r="47108" spans="17:17" x14ac:dyDescent="0.25">
      <c r="Q47108" s="8"/>
    </row>
    <row r="47109" spans="17:17" x14ac:dyDescent="0.25">
      <c r="Q47109" s="8"/>
    </row>
    <row r="47110" spans="17:17" x14ac:dyDescent="0.25">
      <c r="Q47110" s="8"/>
    </row>
    <row r="47111" spans="17:17" x14ac:dyDescent="0.25">
      <c r="Q47111" s="8"/>
    </row>
    <row r="47112" spans="17:17" x14ac:dyDescent="0.25">
      <c r="Q47112" s="8"/>
    </row>
    <row r="47113" spans="17:17" x14ac:dyDescent="0.25">
      <c r="Q47113" s="8"/>
    </row>
    <row r="47114" spans="17:17" x14ac:dyDescent="0.25">
      <c r="Q47114" s="8"/>
    </row>
    <row r="47115" spans="17:17" x14ac:dyDescent="0.25">
      <c r="Q47115" s="8"/>
    </row>
    <row r="47116" spans="17:17" x14ac:dyDescent="0.25">
      <c r="Q47116" s="8"/>
    </row>
    <row r="47117" spans="17:17" x14ac:dyDescent="0.25">
      <c r="Q47117" s="8"/>
    </row>
    <row r="47118" spans="17:17" x14ac:dyDescent="0.25">
      <c r="Q47118" s="8"/>
    </row>
    <row r="47119" spans="17:17" x14ac:dyDescent="0.25">
      <c r="Q47119" s="8"/>
    </row>
    <row r="47120" spans="17:17" x14ac:dyDescent="0.25">
      <c r="Q47120" s="8"/>
    </row>
    <row r="47121" spans="17:17" x14ac:dyDescent="0.25">
      <c r="Q47121" s="8"/>
    </row>
    <row r="47122" spans="17:17" x14ac:dyDescent="0.25">
      <c r="Q47122" s="8"/>
    </row>
    <row r="47123" spans="17:17" x14ac:dyDescent="0.25">
      <c r="Q47123" s="8"/>
    </row>
    <row r="47124" spans="17:17" x14ac:dyDescent="0.25">
      <c r="Q47124" s="8"/>
    </row>
    <row r="47125" spans="17:17" x14ac:dyDescent="0.25">
      <c r="Q47125" s="8"/>
    </row>
    <row r="47126" spans="17:17" x14ac:dyDescent="0.25">
      <c r="Q47126" s="8"/>
    </row>
    <row r="47127" spans="17:17" x14ac:dyDescent="0.25">
      <c r="Q47127" s="8"/>
    </row>
    <row r="47128" spans="17:17" x14ac:dyDescent="0.25">
      <c r="Q47128" s="8"/>
    </row>
    <row r="47129" spans="17:17" x14ac:dyDescent="0.25">
      <c r="Q47129" s="8"/>
    </row>
    <row r="47130" spans="17:17" x14ac:dyDescent="0.25">
      <c r="Q47130" s="8"/>
    </row>
    <row r="47131" spans="17:17" x14ac:dyDescent="0.25">
      <c r="Q47131" s="8"/>
    </row>
    <row r="47132" spans="17:17" x14ac:dyDescent="0.25">
      <c r="Q47132" s="8"/>
    </row>
    <row r="47133" spans="17:17" x14ac:dyDescent="0.25">
      <c r="Q47133" s="8"/>
    </row>
    <row r="47134" spans="17:17" x14ac:dyDescent="0.25">
      <c r="Q47134" s="8"/>
    </row>
    <row r="47135" spans="17:17" x14ac:dyDescent="0.25">
      <c r="Q47135" s="8"/>
    </row>
    <row r="47136" spans="17:17" x14ac:dyDescent="0.25">
      <c r="Q47136" s="8"/>
    </row>
    <row r="47137" spans="17:17" x14ac:dyDescent="0.25">
      <c r="Q47137" s="8"/>
    </row>
    <row r="47138" spans="17:17" x14ac:dyDescent="0.25">
      <c r="Q47138" s="8"/>
    </row>
    <row r="47139" spans="17:17" x14ac:dyDescent="0.25">
      <c r="Q47139" s="8"/>
    </row>
    <row r="47140" spans="17:17" x14ac:dyDescent="0.25">
      <c r="Q47140" s="8"/>
    </row>
    <row r="47141" spans="17:17" x14ac:dyDescent="0.25">
      <c r="Q47141" s="8"/>
    </row>
    <row r="47142" spans="17:17" x14ac:dyDescent="0.25">
      <c r="Q47142" s="8"/>
    </row>
    <row r="47143" spans="17:17" x14ac:dyDescent="0.25">
      <c r="Q47143" s="8"/>
    </row>
    <row r="47144" spans="17:17" x14ac:dyDescent="0.25">
      <c r="Q47144" s="8"/>
    </row>
    <row r="47145" spans="17:17" x14ac:dyDescent="0.25">
      <c r="Q47145" s="8"/>
    </row>
    <row r="47146" spans="17:17" x14ac:dyDescent="0.25">
      <c r="Q47146" s="8"/>
    </row>
    <row r="47147" spans="17:17" x14ac:dyDescent="0.25">
      <c r="Q47147" s="8"/>
    </row>
    <row r="47148" spans="17:17" x14ac:dyDescent="0.25">
      <c r="Q47148" s="8"/>
    </row>
    <row r="47149" spans="17:17" x14ac:dyDescent="0.25">
      <c r="Q47149" s="8"/>
    </row>
    <row r="47150" spans="17:17" x14ac:dyDescent="0.25">
      <c r="Q47150" s="8"/>
    </row>
    <row r="47151" spans="17:17" x14ac:dyDescent="0.25">
      <c r="Q47151" s="8"/>
    </row>
    <row r="47152" spans="17:17" x14ac:dyDescent="0.25">
      <c r="Q47152" s="8"/>
    </row>
    <row r="47153" spans="17:17" x14ac:dyDescent="0.25">
      <c r="Q47153" s="8"/>
    </row>
    <row r="47154" spans="17:17" x14ac:dyDescent="0.25">
      <c r="Q47154" s="8"/>
    </row>
    <row r="47155" spans="17:17" x14ac:dyDescent="0.25">
      <c r="Q47155" s="8"/>
    </row>
    <row r="47156" spans="17:17" x14ac:dyDescent="0.25">
      <c r="Q47156" s="8"/>
    </row>
    <row r="47157" spans="17:17" x14ac:dyDescent="0.25">
      <c r="Q47157" s="8"/>
    </row>
    <row r="47158" spans="17:17" x14ac:dyDescent="0.25">
      <c r="Q47158" s="8"/>
    </row>
    <row r="47159" spans="17:17" x14ac:dyDescent="0.25">
      <c r="Q47159" s="8"/>
    </row>
    <row r="47160" spans="17:17" x14ac:dyDescent="0.25">
      <c r="Q47160" s="8"/>
    </row>
    <row r="47161" spans="17:17" x14ac:dyDescent="0.25">
      <c r="Q47161" s="8"/>
    </row>
    <row r="47162" spans="17:17" x14ac:dyDescent="0.25">
      <c r="Q47162" s="8"/>
    </row>
    <row r="47163" spans="17:17" x14ac:dyDescent="0.25">
      <c r="Q47163" s="8"/>
    </row>
    <row r="47164" spans="17:17" x14ac:dyDescent="0.25">
      <c r="Q47164" s="8"/>
    </row>
    <row r="47165" spans="17:17" x14ac:dyDescent="0.25">
      <c r="Q47165" s="8"/>
    </row>
    <row r="47166" spans="17:17" x14ac:dyDescent="0.25">
      <c r="Q47166" s="8"/>
    </row>
    <row r="47167" spans="17:17" x14ac:dyDescent="0.25">
      <c r="Q47167" s="8"/>
    </row>
    <row r="47168" spans="17:17" x14ac:dyDescent="0.25">
      <c r="Q47168" s="8"/>
    </row>
    <row r="47169" spans="17:17" x14ac:dyDescent="0.25">
      <c r="Q47169" s="8"/>
    </row>
    <row r="47170" spans="17:17" x14ac:dyDescent="0.25">
      <c r="Q47170" s="8"/>
    </row>
    <row r="47171" spans="17:17" x14ac:dyDescent="0.25">
      <c r="Q47171" s="8"/>
    </row>
    <row r="47172" spans="17:17" x14ac:dyDescent="0.25">
      <c r="Q47172" s="8"/>
    </row>
    <row r="47173" spans="17:17" x14ac:dyDescent="0.25">
      <c r="Q47173" s="8"/>
    </row>
    <row r="47174" spans="17:17" x14ac:dyDescent="0.25">
      <c r="Q47174" s="8"/>
    </row>
    <row r="47175" spans="17:17" x14ac:dyDescent="0.25">
      <c r="Q47175" s="8"/>
    </row>
    <row r="47176" spans="17:17" x14ac:dyDescent="0.25">
      <c r="Q47176" s="8"/>
    </row>
    <row r="47177" spans="17:17" x14ac:dyDescent="0.25">
      <c r="Q47177" s="8"/>
    </row>
    <row r="47178" spans="17:17" x14ac:dyDescent="0.25">
      <c r="Q47178" s="8"/>
    </row>
    <row r="47179" spans="17:17" x14ac:dyDescent="0.25">
      <c r="Q47179" s="8"/>
    </row>
    <row r="47180" spans="17:17" x14ac:dyDescent="0.25">
      <c r="Q47180" s="8"/>
    </row>
    <row r="47181" spans="17:17" x14ac:dyDescent="0.25">
      <c r="Q47181" s="8"/>
    </row>
    <row r="47182" spans="17:17" x14ac:dyDescent="0.25">
      <c r="Q47182" s="8"/>
    </row>
    <row r="47183" spans="17:17" x14ac:dyDescent="0.25">
      <c r="Q47183" s="8"/>
    </row>
    <row r="47184" spans="17:17" x14ac:dyDescent="0.25">
      <c r="Q47184" s="8"/>
    </row>
    <row r="47185" spans="17:17" x14ac:dyDescent="0.25">
      <c r="Q47185" s="8"/>
    </row>
    <row r="47186" spans="17:17" x14ac:dyDescent="0.25">
      <c r="Q47186" s="8"/>
    </row>
    <row r="47187" spans="17:17" x14ac:dyDescent="0.25">
      <c r="Q47187" s="8"/>
    </row>
    <row r="47188" spans="17:17" x14ac:dyDescent="0.25">
      <c r="Q47188" s="8"/>
    </row>
    <row r="47189" spans="17:17" x14ac:dyDescent="0.25">
      <c r="Q47189" s="8"/>
    </row>
    <row r="47190" spans="17:17" x14ac:dyDescent="0.25">
      <c r="Q47190" s="8"/>
    </row>
    <row r="47191" spans="17:17" x14ac:dyDescent="0.25">
      <c r="Q47191" s="8"/>
    </row>
    <row r="47192" spans="17:17" x14ac:dyDescent="0.25">
      <c r="Q47192" s="8"/>
    </row>
    <row r="47193" spans="17:17" x14ac:dyDescent="0.25">
      <c r="Q47193" s="8"/>
    </row>
    <row r="47194" spans="17:17" x14ac:dyDescent="0.25">
      <c r="Q47194" s="8"/>
    </row>
    <row r="47195" spans="17:17" x14ac:dyDescent="0.25">
      <c r="Q47195" s="8"/>
    </row>
    <row r="47196" spans="17:17" x14ac:dyDescent="0.25">
      <c r="Q47196" s="8"/>
    </row>
    <row r="47197" spans="17:17" x14ac:dyDescent="0.25">
      <c r="Q47197" s="8"/>
    </row>
    <row r="47198" spans="17:17" x14ac:dyDescent="0.25">
      <c r="Q47198" s="8"/>
    </row>
    <row r="47199" spans="17:17" x14ac:dyDescent="0.25">
      <c r="Q47199" s="8"/>
    </row>
    <row r="47200" spans="17:17" x14ac:dyDescent="0.25">
      <c r="Q47200" s="8"/>
    </row>
    <row r="47201" spans="17:17" x14ac:dyDescent="0.25">
      <c r="Q47201" s="8"/>
    </row>
    <row r="47202" spans="17:17" x14ac:dyDescent="0.25">
      <c r="Q47202" s="8"/>
    </row>
    <row r="47203" spans="17:17" x14ac:dyDescent="0.25">
      <c r="Q47203" s="8"/>
    </row>
    <row r="47204" spans="17:17" x14ac:dyDescent="0.25">
      <c r="Q47204" s="8"/>
    </row>
    <row r="47205" spans="17:17" x14ac:dyDescent="0.25">
      <c r="Q47205" s="8"/>
    </row>
    <row r="47206" spans="17:17" x14ac:dyDescent="0.25">
      <c r="Q47206" s="8"/>
    </row>
    <row r="47207" spans="17:17" x14ac:dyDescent="0.25">
      <c r="Q47207" s="8"/>
    </row>
    <row r="47208" spans="17:17" x14ac:dyDescent="0.25">
      <c r="Q47208" s="8"/>
    </row>
    <row r="47209" spans="17:17" x14ac:dyDescent="0.25">
      <c r="Q47209" s="8"/>
    </row>
    <row r="47210" spans="17:17" x14ac:dyDescent="0.25">
      <c r="Q47210" s="8"/>
    </row>
    <row r="47211" spans="17:17" x14ac:dyDescent="0.25">
      <c r="Q47211" s="8"/>
    </row>
    <row r="47212" spans="17:17" x14ac:dyDescent="0.25">
      <c r="Q47212" s="8"/>
    </row>
    <row r="47213" spans="17:17" x14ac:dyDescent="0.25">
      <c r="Q47213" s="8"/>
    </row>
    <row r="47214" spans="17:17" x14ac:dyDescent="0.25">
      <c r="Q47214" s="8"/>
    </row>
    <row r="47215" spans="17:17" x14ac:dyDescent="0.25">
      <c r="Q47215" s="8"/>
    </row>
    <row r="47216" spans="17:17" x14ac:dyDescent="0.25">
      <c r="Q47216" s="8"/>
    </row>
    <row r="47217" spans="17:17" x14ac:dyDescent="0.25">
      <c r="Q47217" s="8"/>
    </row>
    <row r="47218" spans="17:17" x14ac:dyDescent="0.25">
      <c r="Q47218" s="8"/>
    </row>
    <row r="47219" spans="17:17" x14ac:dyDescent="0.25">
      <c r="Q47219" s="8"/>
    </row>
    <row r="47220" spans="17:17" x14ac:dyDescent="0.25">
      <c r="Q47220" s="8"/>
    </row>
    <row r="47221" spans="17:17" x14ac:dyDescent="0.25">
      <c r="Q47221" s="8"/>
    </row>
    <row r="47222" spans="17:17" x14ac:dyDescent="0.25">
      <c r="Q47222" s="8"/>
    </row>
    <row r="47223" spans="17:17" x14ac:dyDescent="0.25">
      <c r="Q47223" s="8"/>
    </row>
    <row r="47224" spans="17:17" x14ac:dyDescent="0.25">
      <c r="Q47224" s="8"/>
    </row>
    <row r="47225" spans="17:17" x14ac:dyDescent="0.25">
      <c r="Q47225" s="8"/>
    </row>
    <row r="47226" spans="17:17" x14ac:dyDescent="0.25">
      <c r="Q47226" s="8"/>
    </row>
    <row r="47227" spans="17:17" x14ac:dyDescent="0.25">
      <c r="Q47227" s="8"/>
    </row>
    <row r="47228" spans="17:17" x14ac:dyDescent="0.25">
      <c r="Q47228" s="8"/>
    </row>
    <row r="47229" spans="17:17" x14ac:dyDescent="0.25">
      <c r="Q47229" s="8"/>
    </row>
    <row r="47230" spans="17:17" x14ac:dyDescent="0.25">
      <c r="Q47230" s="8"/>
    </row>
    <row r="47231" spans="17:17" x14ac:dyDescent="0.25">
      <c r="Q47231" s="8"/>
    </row>
    <row r="47232" spans="17:17" x14ac:dyDescent="0.25">
      <c r="Q47232" s="8"/>
    </row>
    <row r="47233" spans="17:17" x14ac:dyDescent="0.25">
      <c r="Q47233" s="8"/>
    </row>
    <row r="47234" spans="17:17" x14ac:dyDescent="0.25">
      <c r="Q47234" s="8"/>
    </row>
    <row r="47235" spans="17:17" x14ac:dyDescent="0.25">
      <c r="Q47235" s="8"/>
    </row>
    <row r="47236" spans="17:17" x14ac:dyDescent="0.25">
      <c r="Q47236" s="8"/>
    </row>
    <row r="47237" spans="17:17" x14ac:dyDescent="0.25">
      <c r="Q47237" s="8"/>
    </row>
    <row r="47238" spans="17:17" x14ac:dyDescent="0.25">
      <c r="Q47238" s="8"/>
    </row>
    <row r="47239" spans="17:17" x14ac:dyDescent="0.25">
      <c r="Q47239" s="8"/>
    </row>
    <row r="47240" spans="17:17" x14ac:dyDescent="0.25">
      <c r="Q47240" s="8"/>
    </row>
    <row r="47241" spans="17:17" x14ac:dyDescent="0.25">
      <c r="Q47241" s="8"/>
    </row>
    <row r="47242" spans="17:17" x14ac:dyDescent="0.25">
      <c r="Q47242" s="8"/>
    </row>
    <row r="47243" spans="17:17" x14ac:dyDescent="0.25">
      <c r="Q47243" s="8"/>
    </row>
    <row r="47244" spans="17:17" x14ac:dyDescent="0.25">
      <c r="Q47244" s="8"/>
    </row>
    <row r="47245" spans="17:17" x14ac:dyDescent="0.25">
      <c r="Q47245" s="8"/>
    </row>
    <row r="47246" spans="17:17" x14ac:dyDescent="0.25">
      <c r="Q47246" s="8"/>
    </row>
    <row r="47247" spans="17:17" x14ac:dyDescent="0.25">
      <c r="Q47247" s="8"/>
    </row>
    <row r="47248" spans="17:17" x14ac:dyDescent="0.25">
      <c r="Q47248" s="8"/>
    </row>
    <row r="47249" spans="17:17" x14ac:dyDescent="0.25">
      <c r="Q47249" s="8"/>
    </row>
    <row r="47250" spans="17:17" x14ac:dyDescent="0.25">
      <c r="Q47250" s="8"/>
    </row>
    <row r="47251" spans="17:17" x14ac:dyDescent="0.25">
      <c r="Q47251" s="8"/>
    </row>
    <row r="47252" spans="17:17" x14ac:dyDescent="0.25">
      <c r="Q47252" s="8"/>
    </row>
    <row r="47253" spans="17:17" x14ac:dyDescent="0.25">
      <c r="Q47253" s="8"/>
    </row>
    <row r="47254" spans="17:17" x14ac:dyDescent="0.25">
      <c r="Q47254" s="8"/>
    </row>
    <row r="47255" spans="17:17" x14ac:dyDescent="0.25">
      <c r="Q47255" s="8"/>
    </row>
    <row r="47256" spans="17:17" x14ac:dyDescent="0.25">
      <c r="Q47256" s="8"/>
    </row>
    <row r="47257" spans="17:17" x14ac:dyDescent="0.25">
      <c r="Q47257" s="8"/>
    </row>
    <row r="47258" spans="17:17" x14ac:dyDescent="0.25">
      <c r="Q47258" s="8"/>
    </row>
    <row r="47259" spans="17:17" x14ac:dyDescent="0.25">
      <c r="Q47259" s="8"/>
    </row>
    <row r="47260" spans="17:17" x14ac:dyDescent="0.25">
      <c r="Q47260" s="8"/>
    </row>
    <row r="47261" spans="17:17" x14ac:dyDescent="0.25">
      <c r="Q47261" s="8"/>
    </row>
    <row r="47262" spans="17:17" x14ac:dyDescent="0.25">
      <c r="Q47262" s="8"/>
    </row>
    <row r="47263" spans="17:17" x14ac:dyDescent="0.25">
      <c r="Q47263" s="8"/>
    </row>
    <row r="47264" spans="17:17" x14ac:dyDescent="0.25">
      <c r="Q47264" s="8"/>
    </row>
    <row r="47265" spans="17:17" x14ac:dyDescent="0.25">
      <c r="Q47265" s="8"/>
    </row>
    <row r="47266" spans="17:17" x14ac:dyDescent="0.25">
      <c r="Q47266" s="8"/>
    </row>
    <row r="47267" spans="17:17" x14ac:dyDescent="0.25">
      <c r="Q47267" s="8"/>
    </row>
    <row r="47268" spans="17:17" x14ac:dyDescent="0.25">
      <c r="Q47268" s="8"/>
    </row>
    <row r="47269" spans="17:17" x14ac:dyDescent="0.25">
      <c r="Q47269" s="8"/>
    </row>
    <row r="47270" spans="17:17" x14ac:dyDescent="0.25">
      <c r="Q47270" s="8"/>
    </row>
    <row r="47271" spans="17:17" x14ac:dyDescent="0.25">
      <c r="Q47271" s="8"/>
    </row>
    <row r="47272" spans="17:17" x14ac:dyDescent="0.25">
      <c r="Q47272" s="8"/>
    </row>
    <row r="47273" spans="17:17" x14ac:dyDescent="0.25">
      <c r="Q47273" s="8"/>
    </row>
    <row r="47274" spans="17:17" x14ac:dyDescent="0.25">
      <c r="Q47274" s="8"/>
    </row>
    <row r="47275" spans="17:17" x14ac:dyDescent="0.25">
      <c r="Q47275" s="8"/>
    </row>
    <row r="47276" spans="17:17" x14ac:dyDescent="0.25">
      <c r="Q47276" s="8"/>
    </row>
    <row r="47277" spans="17:17" x14ac:dyDescent="0.25">
      <c r="Q47277" s="8"/>
    </row>
    <row r="47278" spans="17:17" x14ac:dyDescent="0.25">
      <c r="Q47278" s="8"/>
    </row>
    <row r="47279" spans="17:17" x14ac:dyDescent="0.25">
      <c r="Q47279" s="8"/>
    </row>
    <row r="47280" spans="17:17" x14ac:dyDescent="0.25">
      <c r="Q47280" s="8"/>
    </row>
    <row r="47281" spans="17:17" x14ac:dyDescent="0.25">
      <c r="Q47281" s="8"/>
    </row>
    <row r="47282" spans="17:17" x14ac:dyDescent="0.25">
      <c r="Q47282" s="8"/>
    </row>
    <row r="47283" spans="17:17" x14ac:dyDescent="0.25">
      <c r="Q47283" s="8"/>
    </row>
    <row r="47284" spans="17:17" x14ac:dyDescent="0.25">
      <c r="Q47284" s="8"/>
    </row>
    <row r="47285" spans="17:17" x14ac:dyDescent="0.25">
      <c r="Q47285" s="8"/>
    </row>
    <row r="47286" spans="17:17" x14ac:dyDescent="0.25">
      <c r="Q47286" s="8"/>
    </row>
    <row r="47287" spans="17:17" x14ac:dyDescent="0.25">
      <c r="Q47287" s="8"/>
    </row>
    <row r="47288" spans="17:17" x14ac:dyDescent="0.25">
      <c r="Q47288" s="8"/>
    </row>
    <row r="47289" spans="17:17" x14ac:dyDescent="0.25">
      <c r="Q47289" s="8"/>
    </row>
    <row r="47290" spans="17:17" x14ac:dyDescent="0.25">
      <c r="Q47290" s="8"/>
    </row>
    <row r="47291" spans="17:17" x14ac:dyDescent="0.25">
      <c r="Q47291" s="8"/>
    </row>
    <row r="47292" spans="17:17" x14ac:dyDescent="0.25">
      <c r="Q47292" s="8"/>
    </row>
    <row r="47293" spans="17:17" x14ac:dyDescent="0.25">
      <c r="Q47293" s="8"/>
    </row>
    <row r="47294" spans="17:17" x14ac:dyDescent="0.25">
      <c r="Q47294" s="8"/>
    </row>
    <row r="47295" spans="17:17" x14ac:dyDescent="0.25">
      <c r="Q47295" s="8"/>
    </row>
    <row r="47296" spans="17:17" x14ac:dyDescent="0.25">
      <c r="Q47296" s="8"/>
    </row>
    <row r="47297" spans="17:17" x14ac:dyDescent="0.25">
      <c r="Q47297" s="8"/>
    </row>
    <row r="47298" spans="17:17" x14ac:dyDescent="0.25">
      <c r="Q47298" s="8"/>
    </row>
    <row r="47299" spans="17:17" x14ac:dyDescent="0.25">
      <c r="Q47299" s="8"/>
    </row>
    <row r="47300" spans="17:17" x14ac:dyDescent="0.25">
      <c r="Q47300" s="8"/>
    </row>
    <row r="47301" spans="17:17" x14ac:dyDescent="0.25">
      <c r="Q47301" s="8"/>
    </row>
    <row r="47302" spans="17:17" x14ac:dyDescent="0.25">
      <c r="Q47302" s="8"/>
    </row>
    <row r="47303" spans="17:17" x14ac:dyDescent="0.25">
      <c r="Q47303" s="8"/>
    </row>
    <row r="47304" spans="17:17" x14ac:dyDescent="0.25">
      <c r="Q47304" s="8"/>
    </row>
    <row r="47305" spans="17:17" x14ac:dyDescent="0.25">
      <c r="Q47305" s="8"/>
    </row>
    <row r="47306" spans="17:17" x14ac:dyDescent="0.25">
      <c r="Q47306" s="8"/>
    </row>
    <row r="47307" spans="17:17" x14ac:dyDescent="0.25">
      <c r="Q47307" s="8"/>
    </row>
    <row r="47308" spans="17:17" x14ac:dyDescent="0.25">
      <c r="Q47308" s="8"/>
    </row>
    <row r="47309" spans="17:17" x14ac:dyDescent="0.25">
      <c r="Q47309" s="8"/>
    </row>
    <row r="47310" spans="17:17" x14ac:dyDescent="0.25">
      <c r="Q47310" s="8"/>
    </row>
    <row r="47311" spans="17:17" x14ac:dyDescent="0.25">
      <c r="Q47311" s="8"/>
    </row>
    <row r="47312" spans="17:17" x14ac:dyDescent="0.25">
      <c r="Q47312" s="8"/>
    </row>
    <row r="47313" spans="17:17" x14ac:dyDescent="0.25">
      <c r="Q47313" s="8"/>
    </row>
    <row r="47314" spans="17:17" x14ac:dyDescent="0.25">
      <c r="Q47314" s="8"/>
    </row>
    <row r="47315" spans="17:17" x14ac:dyDescent="0.25">
      <c r="Q47315" s="8"/>
    </row>
    <row r="47316" spans="17:17" x14ac:dyDescent="0.25">
      <c r="Q47316" s="8"/>
    </row>
    <row r="47317" spans="17:17" x14ac:dyDescent="0.25">
      <c r="Q47317" s="8"/>
    </row>
    <row r="47318" spans="17:17" x14ac:dyDescent="0.25">
      <c r="Q47318" s="8"/>
    </row>
    <row r="47319" spans="17:17" x14ac:dyDescent="0.25">
      <c r="Q47319" s="8"/>
    </row>
    <row r="47320" spans="17:17" x14ac:dyDescent="0.25">
      <c r="Q47320" s="8"/>
    </row>
    <row r="47321" spans="17:17" x14ac:dyDescent="0.25">
      <c r="Q47321" s="8"/>
    </row>
    <row r="47322" spans="17:17" x14ac:dyDescent="0.25">
      <c r="Q47322" s="8"/>
    </row>
    <row r="47323" spans="17:17" x14ac:dyDescent="0.25">
      <c r="Q47323" s="8"/>
    </row>
    <row r="47324" spans="17:17" x14ac:dyDescent="0.25">
      <c r="Q47324" s="8"/>
    </row>
    <row r="47325" spans="17:17" x14ac:dyDescent="0.25">
      <c r="Q47325" s="8"/>
    </row>
    <row r="47326" spans="17:17" x14ac:dyDescent="0.25">
      <c r="Q47326" s="8"/>
    </row>
    <row r="47327" spans="17:17" x14ac:dyDescent="0.25">
      <c r="Q47327" s="8"/>
    </row>
    <row r="47328" spans="17:17" x14ac:dyDescent="0.25">
      <c r="Q47328" s="8"/>
    </row>
    <row r="47329" spans="17:17" x14ac:dyDescent="0.25">
      <c r="Q47329" s="8"/>
    </row>
    <row r="47330" spans="17:17" x14ac:dyDescent="0.25">
      <c r="Q47330" s="8"/>
    </row>
    <row r="47331" spans="17:17" x14ac:dyDescent="0.25">
      <c r="Q47331" s="8"/>
    </row>
    <row r="47332" spans="17:17" x14ac:dyDescent="0.25">
      <c r="Q47332" s="8"/>
    </row>
    <row r="47333" spans="17:17" x14ac:dyDescent="0.25">
      <c r="Q47333" s="8"/>
    </row>
    <row r="47334" spans="17:17" x14ac:dyDescent="0.25">
      <c r="Q47334" s="8"/>
    </row>
    <row r="47335" spans="17:17" x14ac:dyDescent="0.25">
      <c r="Q47335" s="8"/>
    </row>
    <row r="47336" spans="17:17" x14ac:dyDescent="0.25">
      <c r="Q47336" s="8"/>
    </row>
    <row r="47337" spans="17:17" x14ac:dyDescent="0.25">
      <c r="Q47337" s="8"/>
    </row>
    <row r="47338" spans="17:17" x14ac:dyDescent="0.25">
      <c r="Q47338" s="8"/>
    </row>
    <row r="47339" spans="17:17" x14ac:dyDescent="0.25">
      <c r="Q47339" s="8"/>
    </row>
    <row r="47340" spans="17:17" x14ac:dyDescent="0.25">
      <c r="Q47340" s="8"/>
    </row>
    <row r="47341" spans="17:17" x14ac:dyDescent="0.25">
      <c r="Q47341" s="8"/>
    </row>
    <row r="47342" spans="17:17" x14ac:dyDescent="0.25">
      <c r="Q47342" s="8"/>
    </row>
    <row r="47343" spans="17:17" x14ac:dyDescent="0.25">
      <c r="Q47343" s="8"/>
    </row>
    <row r="47344" spans="17:17" x14ac:dyDescent="0.25">
      <c r="Q47344" s="8"/>
    </row>
    <row r="47345" spans="17:17" x14ac:dyDescent="0.25">
      <c r="Q47345" s="8"/>
    </row>
    <row r="47346" spans="17:17" x14ac:dyDescent="0.25">
      <c r="Q47346" s="8"/>
    </row>
    <row r="47347" spans="17:17" x14ac:dyDescent="0.25">
      <c r="Q47347" s="8"/>
    </row>
    <row r="47348" spans="17:17" x14ac:dyDescent="0.25">
      <c r="Q47348" s="8"/>
    </row>
    <row r="47349" spans="17:17" x14ac:dyDescent="0.25">
      <c r="Q47349" s="8"/>
    </row>
    <row r="47350" spans="17:17" x14ac:dyDescent="0.25">
      <c r="Q47350" s="8"/>
    </row>
    <row r="47351" spans="17:17" x14ac:dyDescent="0.25">
      <c r="Q47351" s="8"/>
    </row>
    <row r="47352" spans="17:17" x14ac:dyDescent="0.25">
      <c r="Q47352" s="8"/>
    </row>
    <row r="47353" spans="17:17" x14ac:dyDescent="0.25">
      <c r="Q47353" s="8"/>
    </row>
    <row r="47354" spans="17:17" x14ac:dyDescent="0.25">
      <c r="Q47354" s="8"/>
    </row>
    <row r="47355" spans="17:17" x14ac:dyDescent="0.25">
      <c r="Q47355" s="8"/>
    </row>
    <row r="47356" spans="17:17" x14ac:dyDescent="0.25">
      <c r="Q47356" s="8"/>
    </row>
    <row r="47357" spans="17:17" x14ac:dyDescent="0.25">
      <c r="Q47357" s="8"/>
    </row>
    <row r="47358" spans="17:17" x14ac:dyDescent="0.25">
      <c r="Q47358" s="8"/>
    </row>
    <row r="47359" spans="17:17" x14ac:dyDescent="0.25">
      <c r="Q47359" s="8"/>
    </row>
    <row r="47360" spans="17:17" x14ac:dyDescent="0.25">
      <c r="Q47360" s="8"/>
    </row>
    <row r="47361" spans="17:17" x14ac:dyDescent="0.25">
      <c r="Q47361" s="8"/>
    </row>
    <row r="47362" spans="17:17" x14ac:dyDescent="0.25">
      <c r="Q47362" s="8"/>
    </row>
    <row r="47363" spans="17:17" x14ac:dyDescent="0.25">
      <c r="Q47363" s="8"/>
    </row>
    <row r="47364" spans="17:17" x14ac:dyDescent="0.25">
      <c r="Q47364" s="8"/>
    </row>
    <row r="47365" spans="17:17" x14ac:dyDescent="0.25">
      <c r="Q47365" s="8"/>
    </row>
    <row r="47366" spans="17:17" x14ac:dyDescent="0.25">
      <c r="Q47366" s="8"/>
    </row>
    <row r="47367" spans="17:17" x14ac:dyDescent="0.25">
      <c r="Q47367" s="8"/>
    </row>
    <row r="47368" spans="17:17" x14ac:dyDescent="0.25">
      <c r="Q47368" s="8"/>
    </row>
    <row r="47369" spans="17:17" x14ac:dyDescent="0.25">
      <c r="Q47369" s="8"/>
    </row>
    <row r="47370" spans="17:17" x14ac:dyDescent="0.25">
      <c r="Q47370" s="8"/>
    </row>
    <row r="47371" spans="17:17" x14ac:dyDescent="0.25">
      <c r="Q47371" s="8"/>
    </row>
    <row r="47372" spans="17:17" x14ac:dyDescent="0.25">
      <c r="Q47372" s="8"/>
    </row>
    <row r="47373" spans="17:17" x14ac:dyDescent="0.25">
      <c r="Q47373" s="8"/>
    </row>
    <row r="47374" spans="17:17" x14ac:dyDescent="0.25">
      <c r="Q47374" s="8"/>
    </row>
    <row r="47375" spans="17:17" x14ac:dyDescent="0.25">
      <c r="Q47375" s="8"/>
    </row>
    <row r="47376" spans="17:17" x14ac:dyDescent="0.25">
      <c r="Q47376" s="8"/>
    </row>
    <row r="47377" spans="17:17" x14ac:dyDescent="0.25">
      <c r="Q47377" s="8"/>
    </row>
    <row r="47378" spans="17:17" x14ac:dyDescent="0.25">
      <c r="Q47378" s="8"/>
    </row>
    <row r="47379" spans="17:17" x14ac:dyDescent="0.25">
      <c r="Q47379" s="8"/>
    </row>
    <row r="47380" spans="17:17" x14ac:dyDescent="0.25">
      <c r="Q47380" s="8"/>
    </row>
    <row r="47381" spans="17:17" x14ac:dyDescent="0.25">
      <c r="Q47381" s="8"/>
    </row>
    <row r="47382" spans="17:17" x14ac:dyDescent="0.25">
      <c r="Q47382" s="8"/>
    </row>
    <row r="47383" spans="17:17" x14ac:dyDescent="0.25">
      <c r="Q47383" s="8"/>
    </row>
    <row r="47384" spans="17:17" x14ac:dyDescent="0.25">
      <c r="Q47384" s="8"/>
    </row>
    <row r="47385" spans="17:17" x14ac:dyDescent="0.25">
      <c r="Q47385" s="8"/>
    </row>
    <row r="47386" spans="17:17" x14ac:dyDescent="0.25">
      <c r="Q47386" s="8"/>
    </row>
    <row r="47387" spans="17:17" x14ac:dyDescent="0.25">
      <c r="Q47387" s="8"/>
    </row>
    <row r="47388" spans="17:17" x14ac:dyDescent="0.25">
      <c r="Q47388" s="8"/>
    </row>
    <row r="47389" spans="17:17" x14ac:dyDescent="0.25">
      <c r="Q47389" s="8"/>
    </row>
    <row r="47390" spans="17:17" x14ac:dyDescent="0.25">
      <c r="Q47390" s="8"/>
    </row>
    <row r="47391" spans="17:17" x14ac:dyDescent="0.25">
      <c r="Q47391" s="8"/>
    </row>
    <row r="47392" spans="17:17" x14ac:dyDescent="0.25">
      <c r="Q47392" s="8"/>
    </row>
    <row r="47393" spans="17:17" x14ac:dyDescent="0.25">
      <c r="Q47393" s="8"/>
    </row>
    <row r="47394" spans="17:17" x14ac:dyDescent="0.25">
      <c r="Q47394" s="8"/>
    </row>
    <row r="47395" spans="17:17" x14ac:dyDescent="0.25">
      <c r="Q47395" s="8"/>
    </row>
    <row r="47396" spans="17:17" x14ac:dyDescent="0.25">
      <c r="Q47396" s="8"/>
    </row>
    <row r="47397" spans="17:17" x14ac:dyDescent="0.25">
      <c r="Q47397" s="8"/>
    </row>
    <row r="47398" spans="17:17" x14ac:dyDescent="0.25">
      <c r="Q47398" s="8"/>
    </row>
    <row r="47399" spans="17:17" x14ac:dyDescent="0.25">
      <c r="Q47399" s="8"/>
    </row>
    <row r="47400" spans="17:17" x14ac:dyDescent="0.25">
      <c r="Q47400" s="8"/>
    </row>
    <row r="47401" spans="17:17" x14ac:dyDescent="0.25">
      <c r="Q47401" s="8"/>
    </row>
    <row r="47402" spans="17:17" x14ac:dyDescent="0.25">
      <c r="Q47402" s="8"/>
    </row>
    <row r="47403" spans="17:17" x14ac:dyDescent="0.25">
      <c r="Q47403" s="8"/>
    </row>
    <row r="47404" spans="17:17" x14ac:dyDescent="0.25">
      <c r="Q47404" s="8"/>
    </row>
    <row r="47405" spans="17:17" x14ac:dyDescent="0.25">
      <c r="Q47405" s="8"/>
    </row>
    <row r="47406" spans="17:17" x14ac:dyDescent="0.25">
      <c r="Q47406" s="8"/>
    </row>
    <row r="47407" spans="17:17" x14ac:dyDescent="0.25">
      <c r="Q47407" s="8"/>
    </row>
    <row r="47408" spans="17:17" x14ac:dyDescent="0.25">
      <c r="Q47408" s="8"/>
    </row>
    <row r="47409" spans="17:17" x14ac:dyDescent="0.25">
      <c r="Q47409" s="8"/>
    </row>
    <row r="47410" spans="17:17" x14ac:dyDescent="0.25">
      <c r="Q47410" s="8"/>
    </row>
    <row r="47411" spans="17:17" x14ac:dyDescent="0.25">
      <c r="Q47411" s="8"/>
    </row>
    <row r="47412" spans="17:17" x14ac:dyDescent="0.25">
      <c r="Q47412" s="8"/>
    </row>
    <row r="47413" spans="17:17" x14ac:dyDescent="0.25">
      <c r="Q47413" s="8"/>
    </row>
    <row r="47414" spans="17:17" x14ac:dyDescent="0.25">
      <c r="Q47414" s="8"/>
    </row>
    <row r="47415" spans="17:17" x14ac:dyDescent="0.25">
      <c r="Q47415" s="8"/>
    </row>
    <row r="47416" spans="17:17" x14ac:dyDescent="0.25">
      <c r="Q47416" s="8"/>
    </row>
    <row r="47417" spans="17:17" x14ac:dyDescent="0.25">
      <c r="Q47417" s="8"/>
    </row>
    <row r="47418" spans="17:17" x14ac:dyDescent="0.25">
      <c r="Q47418" s="8"/>
    </row>
    <row r="47419" spans="17:17" x14ac:dyDescent="0.25">
      <c r="Q47419" s="8"/>
    </row>
    <row r="47420" spans="17:17" x14ac:dyDescent="0.25">
      <c r="Q47420" s="8"/>
    </row>
    <row r="47421" spans="17:17" x14ac:dyDescent="0.25">
      <c r="Q47421" s="8"/>
    </row>
    <row r="47422" spans="17:17" x14ac:dyDescent="0.25">
      <c r="Q47422" s="8"/>
    </row>
    <row r="47423" spans="17:17" x14ac:dyDescent="0.25">
      <c r="Q47423" s="8"/>
    </row>
    <row r="47424" spans="17:17" x14ac:dyDescent="0.25">
      <c r="Q47424" s="8"/>
    </row>
    <row r="47425" spans="17:17" x14ac:dyDescent="0.25">
      <c r="Q47425" s="8"/>
    </row>
    <row r="47426" spans="17:17" x14ac:dyDescent="0.25">
      <c r="Q47426" s="8"/>
    </row>
    <row r="47427" spans="17:17" x14ac:dyDescent="0.25">
      <c r="Q47427" s="8"/>
    </row>
    <row r="47428" spans="17:17" x14ac:dyDescent="0.25">
      <c r="Q47428" s="8"/>
    </row>
    <row r="47429" spans="17:17" x14ac:dyDescent="0.25">
      <c r="Q47429" s="8"/>
    </row>
    <row r="47430" spans="17:17" x14ac:dyDescent="0.25">
      <c r="Q47430" s="8"/>
    </row>
    <row r="47431" spans="17:17" x14ac:dyDescent="0.25">
      <c r="Q47431" s="8"/>
    </row>
    <row r="47432" spans="17:17" x14ac:dyDescent="0.25">
      <c r="Q47432" s="8"/>
    </row>
    <row r="47433" spans="17:17" x14ac:dyDescent="0.25">
      <c r="Q47433" s="8"/>
    </row>
    <row r="47434" spans="17:17" x14ac:dyDescent="0.25">
      <c r="Q47434" s="8"/>
    </row>
    <row r="47435" spans="17:17" x14ac:dyDescent="0.25">
      <c r="Q47435" s="8"/>
    </row>
    <row r="47436" spans="17:17" x14ac:dyDescent="0.25">
      <c r="Q47436" s="8"/>
    </row>
    <row r="47437" spans="17:17" x14ac:dyDescent="0.25">
      <c r="Q47437" s="8"/>
    </row>
    <row r="47438" spans="17:17" x14ac:dyDescent="0.25">
      <c r="Q47438" s="8"/>
    </row>
    <row r="47439" spans="17:17" x14ac:dyDescent="0.25">
      <c r="Q47439" s="8"/>
    </row>
    <row r="47440" spans="17:17" x14ac:dyDescent="0.25">
      <c r="Q47440" s="8"/>
    </row>
    <row r="47441" spans="17:17" x14ac:dyDescent="0.25">
      <c r="Q47441" s="8"/>
    </row>
    <row r="47442" spans="17:17" x14ac:dyDescent="0.25">
      <c r="Q47442" s="8"/>
    </row>
    <row r="47443" spans="17:17" x14ac:dyDescent="0.25">
      <c r="Q47443" s="8"/>
    </row>
    <row r="47444" spans="17:17" x14ac:dyDescent="0.25">
      <c r="Q47444" s="8"/>
    </row>
    <row r="47445" spans="17:17" x14ac:dyDescent="0.25">
      <c r="Q47445" s="8"/>
    </row>
    <row r="47446" spans="17:17" x14ac:dyDescent="0.25">
      <c r="Q47446" s="8"/>
    </row>
    <row r="47447" spans="17:17" x14ac:dyDescent="0.25">
      <c r="Q47447" s="8"/>
    </row>
    <row r="47448" spans="17:17" x14ac:dyDescent="0.25">
      <c r="Q47448" s="8"/>
    </row>
    <row r="47449" spans="17:17" x14ac:dyDescent="0.25">
      <c r="Q47449" s="8"/>
    </row>
    <row r="47450" spans="17:17" x14ac:dyDescent="0.25">
      <c r="Q47450" s="8"/>
    </row>
    <row r="47451" spans="17:17" x14ac:dyDescent="0.25">
      <c r="Q47451" s="8"/>
    </row>
    <row r="47452" spans="17:17" x14ac:dyDescent="0.25">
      <c r="Q47452" s="8"/>
    </row>
    <row r="47453" spans="17:17" x14ac:dyDescent="0.25">
      <c r="Q47453" s="8"/>
    </row>
    <row r="47454" spans="17:17" x14ac:dyDescent="0.25">
      <c r="Q47454" s="8"/>
    </row>
    <row r="47455" spans="17:17" x14ac:dyDescent="0.25">
      <c r="Q47455" s="8"/>
    </row>
    <row r="47456" spans="17:17" x14ac:dyDescent="0.25">
      <c r="Q47456" s="8"/>
    </row>
    <row r="47457" spans="17:17" x14ac:dyDescent="0.25">
      <c r="Q47457" s="8"/>
    </row>
    <row r="47458" spans="17:17" x14ac:dyDescent="0.25">
      <c r="Q47458" s="8"/>
    </row>
    <row r="47459" spans="17:17" x14ac:dyDescent="0.25">
      <c r="Q47459" s="8"/>
    </row>
    <row r="47460" spans="17:17" x14ac:dyDescent="0.25">
      <c r="Q47460" s="8"/>
    </row>
    <row r="47461" spans="17:17" x14ac:dyDescent="0.25">
      <c r="Q47461" s="8"/>
    </row>
    <row r="47462" spans="17:17" x14ac:dyDescent="0.25">
      <c r="Q47462" s="8"/>
    </row>
    <row r="47463" spans="17:17" x14ac:dyDescent="0.25">
      <c r="Q47463" s="8"/>
    </row>
    <row r="47464" spans="17:17" x14ac:dyDescent="0.25">
      <c r="Q47464" s="8"/>
    </row>
    <row r="47465" spans="17:17" x14ac:dyDescent="0.25">
      <c r="Q47465" s="8"/>
    </row>
    <row r="47466" spans="17:17" x14ac:dyDescent="0.25">
      <c r="Q47466" s="8"/>
    </row>
    <row r="47467" spans="17:17" x14ac:dyDescent="0.25">
      <c r="Q47467" s="8"/>
    </row>
    <row r="47468" spans="17:17" x14ac:dyDescent="0.25">
      <c r="Q47468" s="8"/>
    </row>
    <row r="47469" spans="17:17" x14ac:dyDescent="0.25">
      <c r="Q47469" s="8"/>
    </row>
    <row r="47470" spans="17:17" x14ac:dyDescent="0.25">
      <c r="Q47470" s="8"/>
    </row>
    <row r="47471" spans="17:17" x14ac:dyDescent="0.25">
      <c r="Q47471" s="8"/>
    </row>
    <row r="47472" spans="17:17" x14ac:dyDescent="0.25">
      <c r="Q47472" s="8"/>
    </row>
    <row r="47473" spans="17:17" x14ac:dyDescent="0.25">
      <c r="Q47473" s="8"/>
    </row>
    <row r="47474" spans="17:17" x14ac:dyDescent="0.25">
      <c r="Q47474" s="8"/>
    </row>
    <row r="47475" spans="17:17" x14ac:dyDescent="0.25">
      <c r="Q47475" s="8"/>
    </row>
    <row r="47476" spans="17:17" x14ac:dyDescent="0.25">
      <c r="Q47476" s="8"/>
    </row>
    <row r="47477" spans="17:17" x14ac:dyDescent="0.25">
      <c r="Q47477" s="8"/>
    </row>
    <row r="47478" spans="17:17" x14ac:dyDescent="0.25">
      <c r="Q47478" s="8"/>
    </row>
    <row r="47479" spans="17:17" x14ac:dyDescent="0.25">
      <c r="Q47479" s="8"/>
    </row>
    <row r="47480" spans="17:17" x14ac:dyDescent="0.25">
      <c r="Q47480" s="8"/>
    </row>
    <row r="47481" spans="17:17" x14ac:dyDescent="0.25">
      <c r="Q47481" s="8"/>
    </row>
    <row r="47482" spans="17:17" x14ac:dyDescent="0.25">
      <c r="Q47482" s="8"/>
    </row>
    <row r="47483" spans="17:17" x14ac:dyDescent="0.25">
      <c r="Q47483" s="8"/>
    </row>
    <row r="47484" spans="17:17" x14ac:dyDescent="0.25">
      <c r="Q47484" s="8"/>
    </row>
    <row r="47485" spans="17:17" x14ac:dyDescent="0.25">
      <c r="Q47485" s="8"/>
    </row>
    <row r="47486" spans="17:17" x14ac:dyDescent="0.25">
      <c r="Q47486" s="8"/>
    </row>
    <row r="47487" spans="17:17" x14ac:dyDescent="0.25">
      <c r="Q47487" s="8"/>
    </row>
    <row r="47488" spans="17:17" x14ac:dyDescent="0.25">
      <c r="Q47488" s="8"/>
    </row>
    <row r="47489" spans="17:17" x14ac:dyDescent="0.25">
      <c r="Q47489" s="8"/>
    </row>
    <row r="47490" spans="17:17" x14ac:dyDescent="0.25">
      <c r="Q47490" s="8"/>
    </row>
    <row r="47491" spans="17:17" x14ac:dyDescent="0.25">
      <c r="Q47491" s="8"/>
    </row>
    <row r="47492" spans="17:17" x14ac:dyDescent="0.25">
      <c r="Q47492" s="8"/>
    </row>
    <row r="47493" spans="17:17" x14ac:dyDescent="0.25">
      <c r="Q47493" s="8"/>
    </row>
    <row r="47494" spans="17:17" x14ac:dyDescent="0.25">
      <c r="Q47494" s="8"/>
    </row>
    <row r="47495" spans="17:17" x14ac:dyDescent="0.25">
      <c r="Q47495" s="8"/>
    </row>
    <row r="47496" spans="17:17" x14ac:dyDescent="0.25">
      <c r="Q47496" s="8"/>
    </row>
    <row r="47497" spans="17:17" x14ac:dyDescent="0.25">
      <c r="Q47497" s="8"/>
    </row>
    <row r="47498" spans="17:17" x14ac:dyDescent="0.25">
      <c r="Q47498" s="8"/>
    </row>
    <row r="47499" spans="17:17" x14ac:dyDescent="0.25">
      <c r="Q47499" s="8"/>
    </row>
    <row r="47500" spans="17:17" x14ac:dyDescent="0.25">
      <c r="Q47500" s="8"/>
    </row>
    <row r="47501" spans="17:17" x14ac:dyDescent="0.25">
      <c r="Q47501" s="8"/>
    </row>
    <row r="47502" spans="17:17" x14ac:dyDescent="0.25">
      <c r="Q47502" s="8"/>
    </row>
    <row r="47503" spans="17:17" x14ac:dyDescent="0.25">
      <c r="Q47503" s="8"/>
    </row>
    <row r="47504" spans="17:17" x14ac:dyDescent="0.25">
      <c r="Q47504" s="8"/>
    </row>
    <row r="47505" spans="17:17" x14ac:dyDescent="0.25">
      <c r="Q47505" s="8"/>
    </row>
    <row r="47506" spans="17:17" x14ac:dyDescent="0.25">
      <c r="Q47506" s="8"/>
    </row>
    <row r="47507" spans="17:17" x14ac:dyDescent="0.25">
      <c r="Q47507" s="8"/>
    </row>
    <row r="47508" spans="17:17" x14ac:dyDescent="0.25">
      <c r="Q47508" s="8"/>
    </row>
    <row r="47509" spans="17:17" x14ac:dyDescent="0.25">
      <c r="Q47509" s="8"/>
    </row>
    <row r="47510" spans="17:17" x14ac:dyDescent="0.25">
      <c r="Q47510" s="8"/>
    </row>
    <row r="47511" spans="17:17" x14ac:dyDescent="0.25">
      <c r="Q47511" s="8"/>
    </row>
    <row r="47512" spans="17:17" x14ac:dyDescent="0.25">
      <c r="Q47512" s="8"/>
    </row>
    <row r="47513" spans="17:17" x14ac:dyDescent="0.25">
      <c r="Q47513" s="8"/>
    </row>
    <row r="47514" spans="17:17" x14ac:dyDescent="0.25">
      <c r="Q47514" s="8"/>
    </row>
    <row r="47515" spans="17:17" x14ac:dyDescent="0.25">
      <c r="Q47515" s="8"/>
    </row>
    <row r="47516" spans="17:17" x14ac:dyDescent="0.25">
      <c r="Q47516" s="8"/>
    </row>
    <row r="47517" spans="17:17" x14ac:dyDescent="0.25">
      <c r="Q47517" s="8"/>
    </row>
    <row r="47518" spans="17:17" x14ac:dyDescent="0.25">
      <c r="Q47518" s="8"/>
    </row>
    <row r="47519" spans="17:17" x14ac:dyDescent="0.25">
      <c r="Q47519" s="8"/>
    </row>
    <row r="47520" spans="17:17" x14ac:dyDescent="0.25">
      <c r="Q47520" s="8"/>
    </row>
    <row r="47521" spans="17:17" x14ac:dyDescent="0.25">
      <c r="Q47521" s="8"/>
    </row>
    <row r="47522" spans="17:17" x14ac:dyDescent="0.25">
      <c r="Q47522" s="8"/>
    </row>
    <row r="47523" spans="17:17" x14ac:dyDescent="0.25">
      <c r="Q47523" s="8"/>
    </row>
    <row r="47524" spans="17:17" x14ac:dyDescent="0.25">
      <c r="Q47524" s="8"/>
    </row>
    <row r="47525" spans="17:17" x14ac:dyDescent="0.25">
      <c r="Q47525" s="8"/>
    </row>
    <row r="47526" spans="17:17" x14ac:dyDescent="0.25">
      <c r="Q47526" s="8"/>
    </row>
    <row r="47527" spans="17:17" x14ac:dyDescent="0.25">
      <c r="Q47527" s="8"/>
    </row>
    <row r="47528" spans="17:17" x14ac:dyDescent="0.25">
      <c r="Q47528" s="8"/>
    </row>
    <row r="47529" spans="17:17" x14ac:dyDescent="0.25">
      <c r="Q47529" s="8"/>
    </row>
    <row r="47530" spans="17:17" x14ac:dyDescent="0.25">
      <c r="Q47530" s="8"/>
    </row>
    <row r="47531" spans="17:17" x14ac:dyDescent="0.25">
      <c r="Q47531" s="8"/>
    </row>
    <row r="47532" spans="17:17" x14ac:dyDescent="0.25">
      <c r="Q47532" s="8"/>
    </row>
    <row r="47533" spans="17:17" x14ac:dyDescent="0.25">
      <c r="Q47533" s="8"/>
    </row>
    <row r="47534" spans="17:17" x14ac:dyDescent="0.25">
      <c r="Q47534" s="8"/>
    </row>
    <row r="47535" spans="17:17" x14ac:dyDescent="0.25">
      <c r="Q47535" s="8"/>
    </row>
    <row r="47536" spans="17:17" x14ac:dyDescent="0.25">
      <c r="Q47536" s="8"/>
    </row>
    <row r="47537" spans="17:17" x14ac:dyDescent="0.25">
      <c r="Q47537" s="8"/>
    </row>
    <row r="47538" spans="17:17" x14ac:dyDescent="0.25">
      <c r="Q47538" s="8"/>
    </row>
    <row r="47539" spans="17:17" x14ac:dyDescent="0.25">
      <c r="Q47539" s="8"/>
    </row>
    <row r="47540" spans="17:17" x14ac:dyDescent="0.25">
      <c r="Q47540" s="8"/>
    </row>
    <row r="47541" spans="17:17" x14ac:dyDescent="0.25">
      <c r="Q47541" s="8"/>
    </row>
    <row r="47542" spans="17:17" x14ac:dyDescent="0.25">
      <c r="Q47542" s="8"/>
    </row>
    <row r="47543" spans="17:17" x14ac:dyDescent="0.25">
      <c r="Q47543" s="8"/>
    </row>
    <row r="47544" spans="17:17" x14ac:dyDescent="0.25">
      <c r="Q47544" s="8"/>
    </row>
    <row r="47545" spans="17:17" x14ac:dyDescent="0.25">
      <c r="Q47545" s="8"/>
    </row>
    <row r="47546" spans="17:17" x14ac:dyDescent="0.25">
      <c r="Q47546" s="8"/>
    </row>
    <row r="47547" spans="17:17" x14ac:dyDescent="0.25">
      <c r="Q47547" s="8"/>
    </row>
    <row r="47548" spans="17:17" x14ac:dyDescent="0.25">
      <c r="Q47548" s="8"/>
    </row>
    <row r="47549" spans="17:17" x14ac:dyDescent="0.25">
      <c r="Q47549" s="8"/>
    </row>
    <row r="47550" spans="17:17" x14ac:dyDescent="0.25">
      <c r="Q47550" s="8"/>
    </row>
    <row r="47551" spans="17:17" x14ac:dyDescent="0.25">
      <c r="Q47551" s="8"/>
    </row>
    <row r="47552" spans="17:17" x14ac:dyDescent="0.25">
      <c r="Q47552" s="8"/>
    </row>
    <row r="47553" spans="17:17" x14ac:dyDescent="0.25">
      <c r="Q47553" s="8"/>
    </row>
    <row r="47554" spans="17:17" x14ac:dyDescent="0.25">
      <c r="Q47554" s="8"/>
    </row>
    <row r="47555" spans="17:17" x14ac:dyDescent="0.25">
      <c r="Q47555" s="8"/>
    </row>
    <row r="47556" spans="17:17" x14ac:dyDescent="0.25">
      <c r="Q47556" s="8"/>
    </row>
    <row r="47557" spans="17:17" x14ac:dyDescent="0.25">
      <c r="Q47557" s="8"/>
    </row>
    <row r="47558" spans="17:17" x14ac:dyDescent="0.25">
      <c r="Q47558" s="8"/>
    </row>
    <row r="47559" spans="17:17" x14ac:dyDescent="0.25">
      <c r="Q47559" s="8"/>
    </row>
    <row r="47560" spans="17:17" x14ac:dyDescent="0.25">
      <c r="Q47560" s="8"/>
    </row>
    <row r="47561" spans="17:17" x14ac:dyDescent="0.25">
      <c r="Q47561" s="8"/>
    </row>
    <row r="47562" spans="17:17" x14ac:dyDescent="0.25">
      <c r="Q47562" s="8"/>
    </row>
    <row r="47563" spans="17:17" x14ac:dyDescent="0.25">
      <c r="Q47563" s="8"/>
    </row>
    <row r="47564" spans="17:17" x14ac:dyDescent="0.25">
      <c r="Q47564" s="8"/>
    </row>
    <row r="47565" spans="17:17" x14ac:dyDescent="0.25">
      <c r="Q47565" s="8"/>
    </row>
    <row r="47566" spans="17:17" x14ac:dyDescent="0.25">
      <c r="Q47566" s="8"/>
    </row>
    <row r="47567" spans="17:17" x14ac:dyDescent="0.25">
      <c r="Q47567" s="8"/>
    </row>
    <row r="47568" spans="17:17" x14ac:dyDescent="0.25">
      <c r="Q47568" s="8"/>
    </row>
    <row r="47569" spans="17:17" x14ac:dyDescent="0.25">
      <c r="Q47569" s="8"/>
    </row>
    <row r="47570" spans="17:17" x14ac:dyDescent="0.25">
      <c r="Q47570" s="8"/>
    </row>
    <row r="47571" spans="17:17" x14ac:dyDescent="0.25">
      <c r="Q47571" s="8"/>
    </row>
    <row r="47572" spans="17:17" x14ac:dyDescent="0.25">
      <c r="Q47572" s="8"/>
    </row>
    <row r="47573" spans="17:17" x14ac:dyDescent="0.25">
      <c r="Q47573" s="8"/>
    </row>
    <row r="47574" spans="17:17" x14ac:dyDescent="0.25">
      <c r="Q47574" s="8"/>
    </row>
    <row r="47575" spans="17:17" x14ac:dyDescent="0.25">
      <c r="Q47575" s="8"/>
    </row>
    <row r="47576" spans="17:17" x14ac:dyDescent="0.25">
      <c r="Q47576" s="8"/>
    </row>
    <row r="47577" spans="17:17" x14ac:dyDescent="0.25">
      <c r="Q47577" s="8"/>
    </row>
    <row r="47578" spans="17:17" x14ac:dyDescent="0.25">
      <c r="Q47578" s="8"/>
    </row>
    <row r="47579" spans="17:17" x14ac:dyDescent="0.25">
      <c r="Q47579" s="8"/>
    </row>
    <row r="47580" spans="17:17" x14ac:dyDescent="0.25">
      <c r="Q47580" s="8"/>
    </row>
    <row r="47581" spans="17:17" x14ac:dyDescent="0.25">
      <c r="Q47581" s="8"/>
    </row>
    <row r="47582" spans="17:17" x14ac:dyDescent="0.25">
      <c r="Q47582" s="8"/>
    </row>
    <row r="47583" spans="17:17" x14ac:dyDescent="0.25">
      <c r="Q47583" s="8"/>
    </row>
    <row r="47584" spans="17:17" x14ac:dyDescent="0.25">
      <c r="Q47584" s="8"/>
    </row>
    <row r="47585" spans="17:17" x14ac:dyDescent="0.25">
      <c r="Q47585" s="8"/>
    </row>
    <row r="47586" spans="17:17" x14ac:dyDescent="0.25">
      <c r="Q47586" s="8"/>
    </row>
    <row r="47587" spans="17:17" x14ac:dyDescent="0.25">
      <c r="Q47587" s="8"/>
    </row>
    <row r="47588" spans="17:17" x14ac:dyDescent="0.25">
      <c r="Q47588" s="8"/>
    </row>
    <row r="47589" spans="17:17" x14ac:dyDescent="0.25">
      <c r="Q47589" s="8"/>
    </row>
    <row r="47590" spans="17:17" x14ac:dyDescent="0.25">
      <c r="Q47590" s="8"/>
    </row>
    <row r="47591" spans="17:17" x14ac:dyDescent="0.25">
      <c r="Q47591" s="8"/>
    </row>
    <row r="47592" spans="17:17" x14ac:dyDescent="0.25">
      <c r="Q47592" s="8"/>
    </row>
    <row r="47593" spans="17:17" x14ac:dyDescent="0.25">
      <c r="Q47593" s="8"/>
    </row>
    <row r="47594" spans="17:17" x14ac:dyDescent="0.25">
      <c r="Q47594" s="8"/>
    </row>
    <row r="47595" spans="17:17" x14ac:dyDescent="0.25">
      <c r="Q47595" s="8"/>
    </row>
    <row r="47596" spans="17:17" x14ac:dyDescent="0.25">
      <c r="Q47596" s="8"/>
    </row>
    <row r="47597" spans="17:17" x14ac:dyDescent="0.25">
      <c r="Q47597" s="8"/>
    </row>
    <row r="47598" spans="17:17" x14ac:dyDescent="0.25">
      <c r="Q47598" s="8"/>
    </row>
    <row r="47599" spans="17:17" x14ac:dyDescent="0.25">
      <c r="Q47599" s="8"/>
    </row>
    <row r="47600" spans="17:17" x14ac:dyDescent="0.25">
      <c r="Q47600" s="8"/>
    </row>
    <row r="47601" spans="17:17" x14ac:dyDescent="0.25">
      <c r="Q47601" s="8"/>
    </row>
    <row r="47602" spans="17:17" x14ac:dyDescent="0.25">
      <c r="Q47602" s="8"/>
    </row>
    <row r="47603" spans="17:17" x14ac:dyDescent="0.25">
      <c r="Q47603" s="8"/>
    </row>
    <row r="47604" spans="17:17" x14ac:dyDescent="0.25">
      <c r="Q47604" s="8"/>
    </row>
    <row r="47605" spans="17:17" x14ac:dyDescent="0.25">
      <c r="Q47605" s="8"/>
    </row>
    <row r="47606" spans="17:17" x14ac:dyDescent="0.25">
      <c r="Q47606" s="8"/>
    </row>
    <row r="47607" spans="17:17" x14ac:dyDescent="0.25">
      <c r="Q47607" s="8"/>
    </row>
    <row r="47608" spans="17:17" x14ac:dyDescent="0.25">
      <c r="Q47608" s="8"/>
    </row>
    <row r="47609" spans="17:17" x14ac:dyDescent="0.25">
      <c r="Q47609" s="8"/>
    </row>
    <row r="47610" spans="17:17" x14ac:dyDescent="0.25">
      <c r="Q47610" s="8"/>
    </row>
    <row r="47611" spans="17:17" x14ac:dyDescent="0.25">
      <c r="Q47611" s="8"/>
    </row>
    <row r="47612" spans="17:17" x14ac:dyDescent="0.25">
      <c r="Q47612" s="8"/>
    </row>
    <row r="47613" spans="17:17" x14ac:dyDescent="0.25">
      <c r="Q47613" s="8"/>
    </row>
    <row r="47614" spans="17:17" x14ac:dyDescent="0.25">
      <c r="Q47614" s="8"/>
    </row>
    <row r="47615" spans="17:17" x14ac:dyDescent="0.25">
      <c r="Q47615" s="8"/>
    </row>
    <row r="47616" spans="17:17" x14ac:dyDescent="0.25">
      <c r="Q47616" s="8"/>
    </row>
    <row r="47617" spans="17:17" x14ac:dyDescent="0.25">
      <c r="Q47617" s="8"/>
    </row>
    <row r="47618" spans="17:17" x14ac:dyDescent="0.25">
      <c r="Q47618" s="8"/>
    </row>
    <row r="47619" spans="17:17" x14ac:dyDescent="0.25">
      <c r="Q47619" s="8"/>
    </row>
    <row r="47620" spans="17:17" x14ac:dyDescent="0.25">
      <c r="Q47620" s="8"/>
    </row>
    <row r="47621" spans="17:17" x14ac:dyDescent="0.25">
      <c r="Q47621" s="8"/>
    </row>
    <row r="47622" spans="17:17" x14ac:dyDescent="0.25">
      <c r="Q47622" s="8"/>
    </row>
    <row r="47623" spans="17:17" x14ac:dyDescent="0.25">
      <c r="Q47623" s="8"/>
    </row>
    <row r="47624" spans="17:17" x14ac:dyDescent="0.25">
      <c r="Q47624" s="8"/>
    </row>
    <row r="47625" spans="17:17" x14ac:dyDescent="0.25">
      <c r="Q47625" s="8"/>
    </row>
    <row r="47626" spans="17:17" x14ac:dyDescent="0.25">
      <c r="Q47626" s="8"/>
    </row>
    <row r="47627" spans="17:17" x14ac:dyDescent="0.25">
      <c r="Q47627" s="8"/>
    </row>
    <row r="47628" spans="17:17" x14ac:dyDescent="0.25">
      <c r="Q47628" s="8"/>
    </row>
    <row r="47629" spans="17:17" x14ac:dyDescent="0.25">
      <c r="Q47629" s="8"/>
    </row>
    <row r="47630" spans="17:17" x14ac:dyDescent="0.25">
      <c r="Q47630" s="8"/>
    </row>
    <row r="47631" spans="17:17" x14ac:dyDescent="0.25">
      <c r="Q47631" s="8"/>
    </row>
    <row r="47632" spans="17:17" x14ac:dyDescent="0.25">
      <c r="Q47632" s="8"/>
    </row>
    <row r="47633" spans="17:17" x14ac:dyDescent="0.25">
      <c r="Q47633" s="8"/>
    </row>
    <row r="47634" spans="17:17" x14ac:dyDescent="0.25">
      <c r="Q47634" s="8"/>
    </row>
    <row r="47635" spans="17:17" x14ac:dyDescent="0.25">
      <c r="Q47635" s="8"/>
    </row>
    <row r="47636" spans="17:17" x14ac:dyDescent="0.25">
      <c r="Q47636" s="8"/>
    </row>
    <row r="47637" spans="17:17" x14ac:dyDescent="0.25">
      <c r="Q47637" s="8"/>
    </row>
    <row r="47638" spans="17:17" x14ac:dyDescent="0.25">
      <c r="Q47638" s="8"/>
    </row>
    <row r="47639" spans="17:17" x14ac:dyDescent="0.25">
      <c r="Q47639" s="8"/>
    </row>
    <row r="47640" spans="17:17" x14ac:dyDescent="0.25">
      <c r="Q47640" s="8"/>
    </row>
    <row r="47641" spans="17:17" x14ac:dyDescent="0.25">
      <c r="Q47641" s="8"/>
    </row>
    <row r="47642" spans="17:17" x14ac:dyDescent="0.25">
      <c r="Q47642" s="8"/>
    </row>
    <row r="47643" spans="17:17" x14ac:dyDescent="0.25">
      <c r="Q47643" s="8"/>
    </row>
    <row r="47644" spans="17:17" x14ac:dyDescent="0.25">
      <c r="Q47644" s="8"/>
    </row>
    <row r="47645" spans="17:17" x14ac:dyDescent="0.25">
      <c r="Q47645" s="8"/>
    </row>
    <row r="47646" spans="17:17" x14ac:dyDescent="0.25">
      <c r="Q47646" s="8"/>
    </row>
    <row r="47647" spans="17:17" x14ac:dyDescent="0.25">
      <c r="Q47647" s="8"/>
    </row>
    <row r="47648" spans="17:17" x14ac:dyDescent="0.25">
      <c r="Q47648" s="8"/>
    </row>
    <row r="47649" spans="17:17" x14ac:dyDescent="0.25">
      <c r="Q47649" s="8"/>
    </row>
    <row r="47650" spans="17:17" x14ac:dyDescent="0.25">
      <c r="Q47650" s="8"/>
    </row>
    <row r="47651" spans="17:17" x14ac:dyDescent="0.25">
      <c r="Q47651" s="8"/>
    </row>
    <row r="47652" spans="17:17" x14ac:dyDescent="0.25">
      <c r="Q47652" s="8"/>
    </row>
    <row r="47653" spans="17:17" x14ac:dyDescent="0.25">
      <c r="Q47653" s="8"/>
    </row>
    <row r="47654" spans="17:17" x14ac:dyDescent="0.25">
      <c r="Q47654" s="8"/>
    </row>
    <row r="47655" spans="17:17" x14ac:dyDescent="0.25">
      <c r="Q47655" s="8"/>
    </row>
    <row r="47656" spans="17:17" x14ac:dyDescent="0.25">
      <c r="Q47656" s="8"/>
    </row>
    <row r="47657" spans="17:17" x14ac:dyDescent="0.25">
      <c r="Q47657" s="8"/>
    </row>
    <row r="47658" spans="17:17" x14ac:dyDescent="0.25">
      <c r="Q47658" s="8"/>
    </row>
    <row r="47659" spans="17:17" x14ac:dyDescent="0.25">
      <c r="Q47659" s="8"/>
    </row>
    <row r="47660" spans="17:17" x14ac:dyDescent="0.25">
      <c r="Q47660" s="8"/>
    </row>
    <row r="47661" spans="17:17" x14ac:dyDescent="0.25">
      <c r="Q47661" s="8"/>
    </row>
    <row r="47662" spans="17:17" x14ac:dyDescent="0.25">
      <c r="Q47662" s="8"/>
    </row>
    <row r="47663" spans="17:17" x14ac:dyDescent="0.25">
      <c r="Q47663" s="8"/>
    </row>
    <row r="47664" spans="17:17" x14ac:dyDescent="0.25">
      <c r="Q47664" s="8"/>
    </row>
    <row r="47665" spans="17:17" x14ac:dyDescent="0.25">
      <c r="Q47665" s="8"/>
    </row>
    <row r="47666" spans="17:17" x14ac:dyDescent="0.25">
      <c r="Q47666" s="8"/>
    </row>
    <row r="47667" spans="17:17" x14ac:dyDescent="0.25">
      <c r="Q47667" s="8"/>
    </row>
    <row r="47668" spans="17:17" x14ac:dyDescent="0.25">
      <c r="Q47668" s="8"/>
    </row>
    <row r="47669" spans="17:17" x14ac:dyDescent="0.25">
      <c r="Q47669" s="8"/>
    </row>
    <row r="47670" spans="17:17" x14ac:dyDescent="0.25">
      <c r="Q47670" s="8"/>
    </row>
    <row r="47671" spans="17:17" x14ac:dyDescent="0.25">
      <c r="Q47671" s="8"/>
    </row>
    <row r="47672" spans="17:17" x14ac:dyDescent="0.25">
      <c r="Q47672" s="8"/>
    </row>
    <row r="47673" spans="17:17" x14ac:dyDescent="0.25">
      <c r="Q47673" s="8"/>
    </row>
    <row r="47674" spans="17:17" x14ac:dyDescent="0.25">
      <c r="Q47674" s="8"/>
    </row>
    <row r="47675" spans="17:17" x14ac:dyDescent="0.25">
      <c r="Q47675" s="8"/>
    </row>
    <row r="47676" spans="17:17" x14ac:dyDescent="0.25">
      <c r="Q47676" s="8"/>
    </row>
    <row r="47677" spans="17:17" x14ac:dyDescent="0.25">
      <c r="Q47677" s="8"/>
    </row>
    <row r="47678" spans="17:17" x14ac:dyDescent="0.25">
      <c r="Q47678" s="8"/>
    </row>
    <row r="47679" spans="17:17" x14ac:dyDescent="0.25">
      <c r="Q47679" s="8"/>
    </row>
    <row r="47680" spans="17:17" x14ac:dyDescent="0.25">
      <c r="Q47680" s="8"/>
    </row>
    <row r="47681" spans="17:17" x14ac:dyDescent="0.25">
      <c r="Q47681" s="8"/>
    </row>
    <row r="47682" spans="17:17" x14ac:dyDescent="0.25">
      <c r="Q47682" s="8"/>
    </row>
    <row r="47683" spans="17:17" x14ac:dyDescent="0.25">
      <c r="Q47683" s="8"/>
    </row>
    <row r="47684" spans="17:17" x14ac:dyDescent="0.25">
      <c r="Q47684" s="8"/>
    </row>
    <row r="47685" spans="17:17" x14ac:dyDescent="0.25">
      <c r="Q47685" s="8"/>
    </row>
    <row r="47686" spans="17:17" x14ac:dyDescent="0.25">
      <c r="Q47686" s="8"/>
    </row>
    <row r="47687" spans="17:17" x14ac:dyDescent="0.25">
      <c r="Q47687" s="8"/>
    </row>
    <row r="47688" spans="17:17" x14ac:dyDescent="0.25">
      <c r="Q47688" s="8"/>
    </row>
    <row r="47689" spans="17:17" x14ac:dyDescent="0.25">
      <c r="Q47689" s="8"/>
    </row>
    <row r="47690" spans="17:17" x14ac:dyDescent="0.25">
      <c r="Q47690" s="8"/>
    </row>
    <row r="47691" spans="17:17" x14ac:dyDescent="0.25">
      <c r="Q47691" s="8"/>
    </row>
    <row r="47692" spans="17:17" x14ac:dyDescent="0.25">
      <c r="Q47692" s="8"/>
    </row>
    <row r="47693" spans="17:17" x14ac:dyDescent="0.25">
      <c r="Q47693" s="8"/>
    </row>
    <row r="47694" spans="17:17" x14ac:dyDescent="0.25">
      <c r="Q47694" s="8"/>
    </row>
    <row r="47695" spans="17:17" x14ac:dyDescent="0.25">
      <c r="Q47695" s="8"/>
    </row>
    <row r="47696" spans="17:17" x14ac:dyDescent="0.25">
      <c r="Q47696" s="8"/>
    </row>
    <row r="47697" spans="17:17" x14ac:dyDescent="0.25">
      <c r="Q47697" s="8"/>
    </row>
    <row r="47698" spans="17:17" x14ac:dyDescent="0.25">
      <c r="Q47698" s="8"/>
    </row>
    <row r="47699" spans="17:17" x14ac:dyDescent="0.25">
      <c r="Q47699" s="8"/>
    </row>
    <row r="47700" spans="17:17" x14ac:dyDescent="0.25">
      <c r="Q47700" s="8"/>
    </row>
    <row r="47701" spans="17:17" x14ac:dyDescent="0.25">
      <c r="Q47701" s="8"/>
    </row>
    <row r="47702" spans="17:17" x14ac:dyDescent="0.25">
      <c r="Q47702" s="8"/>
    </row>
    <row r="47703" spans="17:17" x14ac:dyDescent="0.25">
      <c r="Q47703" s="8"/>
    </row>
    <row r="47704" spans="17:17" x14ac:dyDescent="0.25">
      <c r="Q47704" s="8"/>
    </row>
    <row r="47705" spans="17:17" x14ac:dyDescent="0.25">
      <c r="Q47705" s="8"/>
    </row>
    <row r="47706" spans="17:17" x14ac:dyDescent="0.25">
      <c r="Q47706" s="8"/>
    </row>
    <row r="47707" spans="17:17" x14ac:dyDescent="0.25">
      <c r="Q47707" s="8"/>
    </row>
    <row r="47708" spans="17:17" x14ac:dyDescent="0.25">
      <c r="Q47708" s="8"/>
    </row>
    <row r="47709" spans="17:17" x14ac:dyDescent="0.25">
      <c r="Q47709" s="8"/>
    </row>
    <row r="47710" spans="17:17" x14ac:dyDescent="0.25">
      <c r="Q47710" s="8"/>
    </row>
    <row r="47711" spans="17:17" x14ac:dyDescent="0.25">
      <c r="Q47711" s="8"/>
    </row>
    <row r="47712" spans="17:17" x14ac:dyDescent="0.25">
      <c r="Q47712" s="8"/>
    </row>
    <row r="47713" spans="17:17" x14ac:dyDescent="0.25">
      <c r="Q47713" s="8"/>
    </row>
    <row r="47714" spans="17:17" x14ac:dyDescent="0.25">
      <c r="Q47714" s="8"/>
    </row>
    <row r="47715" spans="17:17" x14ac:dyDescent="0.25">
      <c r="Q47715" s="8"/>
    </row>
    <row r="47716" spans="17:17" x14ac:dyDescent="0.25">
      <c r="Q47716" s="8"/>
    </row>
    <row r="47717" spans="17:17" x14ac:dyDescent="0.25">
      <c r="Q47717" s="8"/>
    </row>
    <row r="47718" spans="17:17" x14ac:dyDescent="0.25">
      <c r="Q47718" s="8"/>
    </row>
    <row r="47719" spans="17:17" x14ac:dyDescent="0.25">
      <c r="Q47719" s="8"/>
    </row>
    <row r="47720" spans="17:17" x14ac:dyDescent="0.25">
      <c r="Q47720" s="8"/>
    </row>
    <row r="47721" spans="17:17" x14ac:dyDescent="0.25">
      <c r="Q47721" s="8"/>
    </row>
    <row r="47722" spans="17:17" x14ac:dyDescent="0.25">
      <c r="Q47722" s="8"/>
    </row>
    <row r="47723" spans="17:17" x14ac:dyDescent="0.25">
      <c r="Q47723" s="8"/>
    </row>
    <row r="47724" spans="17:17" x14ac:dyDescent="0.25">
      <c r="Q47724" s="8"/>
    </row>
    <row r="47725" spans="17:17" x14ac:dyDescent="0.25">
      <c r="Q47725" s="8"/>
    </row>
    <row r="47726" spans="17:17" x14ac:dyDescent="0.25">
      <c r="Q47726" s="8"/>
    </row>
    <row r="47727" spans="17:17" x14ac:dyDescent="0.25">
      <c r="Q47727" s="8"/>
    </row>
    <row r="47728" spans="17:17" x14ac:dyDescent="0.25">
      <c r="Q47728" s="8"/>
    </row>
    <row r="47729" spans="17:17" x14ac:dyDescent="0.25">
      <c r="Q47729" s="8"/>
    </row>
    <row r="47730" spans="17:17" x14ac:dyDescent="0.25">
      <c r="Q47730" s="8"/>
    </row>
    <row r="47731" spans="17:17" x14ac:dyDescent="0.25">
      <c r="Q47731" s="8"/>
    </row>
    <row r="47732" spans="17:17" x14ac:dyDescent="0.25">
      <c r="Q47732" s="8"/>
    </row>
    <row r="47733" spans="17:17" x14ac:dyDescent="0.25">
      <c r="Q47733" s="8"/>
    </row>
    <row r="47734" spans="17:17" x14ac:dyDescent="0.25">
      <c r="Q47734" s="8"/>
    </row>
    <row r="47735" spans="17:17" x14ac:dyDescent="0.25">
      <c r="Q47735" s="8"/>
    </row>
    <row r="47736" spans="17:17" x14ac:dyDescent="0.25">
      <c r="Q47736" s="8"/>
    </row>
    <row r="47737" spans="17:17" x14ac:dyDescent="0.25">
      <c r="Q47737" s="8"/>
    </row>
    <row r="47738" spans="17:17" x14ac:dyDescent="0.25">
      <c r="Q47738" s="8"/>
    </row>
    <row r="47739" spans="17:17" x14ac:dyDescent="0.25">
      <c r="Q47739" s="8"/>
    </row>
    <row r="47740" spans="17:17" x14ac:dyDescent="0.25">
      <c r="Q47740" s="8"/>
    </row>
    <row r="47741" spans="17:17" x14ac:dyDescent="0.25">
      <c r="Q47741" s="8"/>
    </row>
    <row r="47742" spans="17:17" x14ac:dyDescent="0.25">
      <c r="Q47742" s="8"/>
    </row>
    <row r="47743" spans="17:17" x14ac:dyDescent="0.25">
      <c r="Q47743" s="8"/>
    </row>
    <row r="47744" spans="17:17" x14ac:dyDescent="0.25">
      <c r="Q47744" s="8"/>
    </row>
    <row r="47745" spans="17:17" x14ac:dyDescent="0.25">
      <c r="Q47745" s="8"/>
    </row>
    <row r="47746" spans="17:17" x14ac:dyDescent="0.25">
      <c r="Q47746" s="8"/>
    </row>
    <row r="47747" spans="17:17" x14ac:dyDescent="0.25">
      <c r="Q47747" s="8"/>
    </row>
    <row r="47748" spans="17:17" x14ac:dyDescent="0.25">
      <c r="Q47748" s="8"/>
    </row>
    <row r="47749" spans="17:17" x14ac:dyDescent="0.25">
      <c r="Q47749" s="8"/>
    </row>
    <row r="47750" spans="17:17" x14ac:dyDescent="0.25">
      <c r="Q47750" s="8"/>
    </row>
    <row r="47751" spans="17:17" x14ac:dyDescent="0.25">
      <c r="Q47751" s="8"/>
    </row>
    <row r="47752" spans="17:17" x14ac:dyDescent="0.25">
      <c r="Q47752" s="8"/>
    </row>
    <row r="47753" spans="17:17" x14ac:dyDescent="0.25">
      <c r="Q47753" s="8"/>
    </row>
    <row r="47754" spans="17:17" x14ac:dyDescent="0.25">
      <c r="Q47754" s="8"/>
    </row>
    <row r="47755" spans="17:17" x14ac:dyDescent="0.25">
      <c r="Q47755" s="8"/>
    </row>
    <row r="47756" spans="17:17" x14ac:dyDescent="0.25">
      <c r="Q47756" s="8"/>
    </row>
    <row r="47757" spans="17:17" x14ac:dyDescent="0.25">
      <c r="Q47757" s="8"/>
    </row>
    <row r="47758" spans="17:17" x14ac:dyDescent="0.25">
      <c r="Q47758" s="8"/>
    </row>
    <row r="47759" spans="17:17" x14ac:dyDescent="0.25">
      <c r="Q47759" s="8"/>
    </row>
    <row r="47760" spans="17:17" x14ac:dyDescent="0.25">
      <c r="Q47760" s="8"/>
    </row>
    <row r="47761" spans="17:17" x14ac:dyDescent="0.25">
      <c r="Q47761" s="8"/>
    </row>
    <row r="47762" spans="17:17" x14ac:dyDescent="0.25">
      <c r="Q47762" s="8"/>
    </row>
    <row r="47763" spans="17:17" x14ac:dyDescent="0.25">
      <c r="Q47763" s="8"/>
    </row>
    <row r="47764" spans="17:17" x14ac:dyDescent="0.25">
      <c r="Q47764" s="8"/>
    </row>
    <row r="47765" spans="17:17" x14ac:dyDescent="0.25">
      <c r="Q47765" s="8"/>
    </row>
    <row r="47766" spans="17:17" x14ac:dyDescent="0.25">
      <c r="Q47766" s="8"/>
    </row>
    <row r="47767" spans="17:17" x14ac:dyDescent="0.25">
      <c r="Q47767" s="8"/>
    </row>
    <row r="47768" spans="17:17" x14ac:dyDescent="0.25">
      <c r="Q47768" s="8"/>
    </row>
    <row r="47769" spans="17:17" x14ac:dyDescent="0.25">
      <c r="Q47769" s="8"/>
    </row>
    <row r="47770" spans="17:17" x14ac:dyDescent="0.25">
      <c r="Q47770" s="8"/>
    </row>
    <row r="47771" spans="17:17" x14ac:dyDescent="0.25">
      <c r="Q47771" s="8"/>
    </row>
    <row r="47772" spans="17:17" x14ac:dyDescent="0.25">
      <c r="Q47772" s="8"/>
    </row>
    <row r="47773" spans="17:17" x14ac:dyDescent="0.25">
      <c r="Q47773" s="8"/>
    </row>
    <row r="47774" spans="17:17" x14ac:dyDescent="0.25">
      <c r="Q47774" s="8"/>
    </row>
    <row r="47775" spans="17:17" x14ac:dyDescent="0.25">
      <c r="Q47775" s="8"/>
    </row>
    <row r="47776" spans="17:17" x14ac:dyDescent="0.25">
      <c r="Q47776" s="8"/>
    </row>
    <row r="47777" spans="17:17" x14ac:dyDescent="0.25">
      <c r="Q47777" s="8"/>
    </row>
    <row r="47778" spans="17:17" x14ac:dyDescent="0.25">
      <c r="Q47778" s="8"/>
    </row>
    <row r="47779" spans="17:17" x14ac:dyDescent="0.25">
      <c r="Q47779" s="8"/>
    </row>
    <row r="47780" spans="17:17" x14ac:dyDescent="0.25">
      <c r="Q47780" s="8"/>
    </row>
    <row r="47781" spans="17:17" x14ac:dyDescent="0.25">
      <c r="Q47781" s="8"/>
    </row>
    <row r="47782" spans="17:17" x14ac:dyDescent="0.25">
      <c r="Q47782" s="8"/>
    </row>
    <row r="47783" spans="17:17" x14ac:dyDescent="0.25">
      <c r="Q47783" s="8"/>
    </row>
    <row r="47784" spans="17:17" x14ac:dyDescent="0.25">
      <c r="Q47784" s="8"/>
    </row>
    <row r="47785" spans="17:17" x14ac:dyDescent="0.25">
      <c r="Q47785" s="8"/>
    </row>
    <row r="47786" spans="17:17" x14ac:dyDescent="0.25">
      <c r="Q47786" s="8"/>
    </row>
    <row r="47787" spans="17:17" x14ac:dyDescent="0.25">
      <c r="Q47787" s="8"/>
    </row>
    <row r="47788" spans="17:17" x14ac:dyDescent="0.25">
      <c r="Q47788" s="8"/>
    </row>
    <row r="47789" spans="17:17" x14ac:dyDescent="0.25">
      <c r="Q47789" s="8"/>
    </row>
    <row r="47790" spans="17:17" x14ac:dyDescent="0.25">
      <c r="Q47790" s="8"/>
    </row>
    <row r="47791" spans="17:17" x14ac:dyDescent="0.25">
      <c r="Q47791" s="8"/>
    </row>
    <row r="47792" spans="17:17" x14ac:dyDescent="0.25">
      <c r="Q47792" s="8"/>
    </row>
    <row r="47793" spans="17:17" x14ac:dyDescent="0.25">
      <c r="Q47793" s="8"/>
    </row>
    <row r="47794" spans="17:17" x14ac:dyDescent="0.25">
      <c r="Q47794" s="8"/>
    </row>
    <row r="47795" spans="17:17" x14ac:dyDescent="0.25">
      <c r="Q47795" s="8"/>
    </row>
    <row r="47796" spans="17:17" x14ac:dyDescent="0.25">
      <c r="Q47796" s="8"/>
    </row>
    <row r="47797" spans="17:17" x14ac:dyDescent="0.25">
      <c r="Q47797" s="8"/>
    </row>
    <row r="47798" spans="17:17" x14ac:dyDescent="0.25">
      <c r="Q47798" s="8"/>
    </row>
    <row r="47799" spans="17:17" x14ac:dyDescent="0.25">
      <c r="Q47799" s="8"/>
    </row>
    <row r="47800" spans="17:17" x14ac:dyDescent="0.25">
      <c r="Q47800" s="8"/>
    </row>
    <row r="47801" spans="17:17" x14ac:dyDescent="0.25">
      <c r="Q47801" s="8"/>
    </row>
    <row r="47802" spans="17:17" x14ac:dyDescent="0.25">
      <c r="Q47802" s="8"/>
    </row>
    <row r="47803" spans="17:17" x14ac:dyDescent="0.25">
      <c r="Q47803" s="8"/>
    </row>
    <row r="47804" spans="17:17" x14ac:dyDescent="0.25">
      <c r="Q47804" s="8"/>
    </row>
    <row r="47805" spans="17:17" x14ac:dyDescent="0.25">
      <c r="Q47805" s="8"/>
    </row>
    <row r="47806" spans="17:17" x14ac:dyDescent="0.25">
      <c r="Q47806" s="8"/>
    </row>
    <row r="47807" spans="17:17" x14ac:dyDescent="0.25">
      <c r="Q47807" s="8"/>
    </row>
    <row r="47808" spans="17:17" x14ac:dyDescent="0.25">
      <c r="Q47808" s="8"/>
    </row>
    <row r="47809" spans="17:17" x14ac:dyDescent="0.25">
      <c r="Q47809" s="8"/>
    </row>
    <row r="47810" spans="17:17" x14ac:dyDescent="0.25">
      <c r="Q47810" s="8"/>
    </row>
    <row r="47811" spans="17:17" x14ac:dyDescent="0.25">
      <c r="Q47811" s="8"/>
    </row>
    <row r="47812" spans="17:17" x14ac:dyDescent="0.25">
      <c r="Q47812" s="8"/>
    </row>
    <row r="47813" spans="17:17" x14ac:dyDescent="0.25">
      <c r="Q47813" s="8"/>
    </row>
    <row r="47814" spans="17:17" x14ac:dyDescent="0.25">
      <c r="Q47814" s="8"/>
    </row>
    <row r="47815" spans="17:17" x14ac:dyDescent="0.25">
      <c r="Q47815" s="8"/>
    </row>
    <row r="47816" spans="17:17" x14ac:dyDescent="0.25">
      <c r="Q47816" s="8"/>
    </row>
    <row r="47817" spans="17:17" x14ac:dyDescent="0.25">
      <c r="Q47817" s="8"/>
    </row>
    <row r="47818" spans="17:17" x14ac:dyDescent="0.25">
      <c r="Q47818" s="8"/>
    </row>
    <row r="47819" spans="17:17" x14ac:dyDescent="0.25">
      <c r="Q47819" s="8"/>
    </row>
    <row r="47820" spans="17:17" x14ac:dyDescent="0.25">
      <c r="Q47820" s="8"/>
    </row>
    <row r="47821" spans="17:17" x14ac:dyDescent="0.25">
      <c r="Q47821" s="8"/>
    </row>
    <row r="47822" spans="17:17" x14ac:dyDescent="0.25">
      <c r="Q47822" s="8"/>
    </row>
    <row r="47823" spans="17:17" x14ac:dyDescent="0.25">
      <c r="Q47823" s="8"/>
    </row>
    <row r="47824" spans="17:17" x14ac:dyDescent="0.25">
      <c r="Q47824" s="8"/>
    </row>
    <row r="47825" spans="17:17" x14ac:dyDescent="0.25">
      <c r="Q47825" s="8"/>
    </row>
    <row r="47826" spans="17:17" x14ac:dyDescent="0.25">
      <c r="Q47826" s="8"/>
    </row>
    <row r="47827" spans="17:17" x14ac:dyDescent="0.25">
      <c r="Q47827" s="8"/>
    </row>
    <row r="47828" spans="17:17" x14ac:dyDescent="0.25">
      <c r="Q47828" s="8"/>
    </row>
    <row r="47829" spans="17:17" x14ac:dyDescent="0.25">
      <c r="Q47829" s="8"/>
    </row>
    <row r="47830" spans="17:17" x14ac:dyDescent="0.25">
      <c r="Q47830" s="8"/>
    </row>
    <row r="47831" spans="17:17" x14ac:dyDescent="0.25">
      <c r="Q47831" s="8"/>
    </row>
    <row r="47832" spans="17:17" x14ac:dyDescent="0.25">
      <c r="Q47832" s="8"/>
    </row>
    <row r="47833" spans="17:17" x14ac:dyDescent="0.25">
      <c r="Q47833" s="8"/>
    </row>
    <row r="47834" spans="17:17" x14ac:dyDescent="0.25">
      <c r="Q47834" s="8"/>
    </row>
    <row r="47835" spans="17:17" x14ac:dyDescent="0.25">
      <c r="Q47835" s="8"/>
    </row>
    <row r="47836" spans="17:17" x14ac:dyDescent="0.25">
      <c r="Q47836" s="8"/>
    </row>
    <row r="47837" spans="17:17" x14ac:dyDescent="0.25">
      <c r="Q47837" s="8"/>
    </row>
    <row r="47838" spans="17:17" x14ac:dyDescent="0.25">
      <c r="Q47838" s="8"/>
    </row>
    <row r="47839" spans="17:17" x14ac:dyDescent="0.25">
      <c r="Q47839" s="8"/>
    </row>
    <row r="47840" spans="17:17" x14ac:dyDescent="0.25">
      <c r="Q47840" s="8"/>
    </row>
    <row r="47841" spans="17:17" x14ac:dyDescent="0.25">
      <c r="Q47841" s="8"/>
    </row>
    <row r="47842" spans="17:17" x14ac:dyDescent="0.25">
      <c r="Q47842" s="8"/>
    </row>
    <row r="47843" spans="17:17" x14ac:dyDescent="0.25">
      <c r="Q47843" s="8"/>
    </row>
    <row r="47844" spans="17:17" x14ac:dyDescent="0.25">
      <c r="Q47844" s="8"/>
    </row>
    <row r="47845" spans="17:17" x14ac:dyDescent="0.25">
      <c r="Q47845" s="8"/>
    </row>
    <row r="47846" spans="17:17" x14ac:dyDescent="0.25">
      <c r="Q47846" s="8"/>
    </row>
    <row r="47847" spans="17:17" x14ac:dyDescent="0.25">
      <c r="Q47847" s="8"/>
    </row>
    <row r="47848" spans="17:17" x14ac:dyDescent="0.25">
      <c r="Q47848" s="8"/>
    </row>
    <row r="47849" spans="17:17" x14ac:dyDescent="0.25">
      <c r="Q47849" s="8"/>
    </row>
    <row r="47850" spans="17:17" x14ac:dyDescent="0.25">
      <c r="Q47850" s="8"/>
    </row>
    <row r="47851" spans="17:17" x14ac:dyDescent="0.25">
      <c r="Q47851" s="8"/>
    </row>
    <row r="47852" spans="17:17" x14ac:dyDescent="0.25">
      <c r="Q47852" s="8"/>
    </row>
    <row r="47853" spans="17:17" x14ac:dyDescent="0.25">
      <c r="Q47853" s="8"/>
    </row>
    <row r="47854" spans="17:17" x14ac:dyDescent="0.25">
      <c r="Q47854" s="8"/>
    </row>
    <row r="47855" spans="17:17" x14ac:dyDescent="0.25">
      <c r="Q47855" s="8"/>
    </row>
    <row r="47856" spans="17:17" x14ac:dyDescent="0.25">
      <c r="Q47856" s="8"/>
    </row>
    <row r="47857" spans="17:17" x14ac:dyDescent="0.25">
      <c r="Q47857" s="8"/>
    </row>
    <row r="47858" spans="17:17" x14ac:dyDescent="0.25">
      <c r="Q47858" s="8"/>
    </row>
    <row r="47859" spans="17:17" x14ac:dyDescent="0.25">
      <c r="Q47859" s="8"/>
    </row>
    <row r="47860" spans="17:17" x14ac:dyDescent="0.25">
      <c r="Q47860" s="8"/>
    </row>
    <row r="47861" spans="17:17" x14ac:dyDescent="0.25">
      <c r="Q47861" s="8"/>
    </row>
    <row r="47862" spans="17:17" x14ac:dyDescent="0.25">
      <c r="Q47862" s="8"/>
    </row>
    <row r="47863" spans="17:17" x14ac:dyDescent="0.25">
      <c r="Q47863" s="8"/>
    </row>
    <row r="47864" spans="17:17" x14ac:dyDescent="0.25">
      <c r="Q47864" s="8"/>
    </row>
    <row r="47865" spans="17:17" x14ac:dyDescent="0.25">
      <c r="Q47865" s="8"/>
    </row>
    <row r="47866" spans="17:17" x14ac:dyDescent="0.25">
      <c r="Q47866" s="8"/>
    </row>
    <row r="47867" spans="17:17" x14ac:dyDescent="0.25">
      <c r="Q47867" s="8"/>
    </row>
    <row r="47868" spans="17:17" x14ac:dyDescent="0.25">
      <c r="Q47868" s="8"/>
    </row>
    <row r="47869" spans="17:17" x14ac:dyDescent="0.25">
      <c r="Q47869" s="8"/>
    </row>
    <row r="47870" spans="17:17" x14ac:dyDescent="0.25">
      <c r="Q47870" s="8"/>
    </row>
    <row r="47871" spans="17:17" x14ac:dyDescent="0.25">
      <c r="Q47871" s="8"/>
    </row>
    <row r="47872" spans="17:17" x14ac:dyDescent="0.25">
      <c r="Q47872" s="8"/>
    </row>
    <row r="47873" spans="17:17" x14ac:dyDescent="0.25">
      <c r="Q47873" s="8"/>
    </row>
    <row r="47874" spans="17:17" x14ac:dyDescent="0.25">
      <c r="Q47874" s="8"/>
    </row>
    <row r="47875" spans="17:17" x14ac:dyDescent="0.25">
      <c r="Q47875" s="8"/>
    </row>
    <row r="47876" spans="17:17" x14ac:dyDescent="0.25">
      <c r="Q47876" s="8"/>
    </row>
    <row r="47877" spans="17:17" x14ac:dyDescent="0.25">
      <c r="Q47877" s="8"/>
    </row>
    <row r="47878" spans="17:17" x14ac:dyDescent="0.25">
      <c r="Q47878" s="8"/>
    </row>
    <row r="47879" spans="17:17" x14ac:dyDescent="0.25">
      <c r="Q47879" s="8"/>
    </row>
    <row r="47880" spans="17:17" x14ac:dyDescent="0.25">
      <c r="Q47880" s="8"/>
    </row>
    <row r="47881" spans="17:17" x14ac:dyDescent="0.25">
      <c r="Q47881" s="8"/>
    </row>
    <row r="47882" spans="17:17" x14ac:dyDescent="0.25">
      <c r="Q47882" s="8"/>
    </row>
    <row r="47883" spans="17:17" x14ac:dyDescent="0.25">
      <c r="Q47883" s="8"/>
    </row>
    <row r="47884" spans="17:17" x14ac:dyDescent="0.25">
      <c r="Q47884" s="8"/>
    </row>
    <row r="47885" spans="17:17" x14ac:dyDescent="0.25">
      <c r="Q47885" s="8"/>
    </row>
    <row r="47886" spans="17:17" x14ac:dyDescent="0.25">
      <c r="Q47886" s="8"/>
    </row>
    <row r="47887" spans="17:17" x14ac:dyDescent="0.25">
      <c r="Q47887" s="8"/>
    </row>
    <row r="47888" spans="17:17" x14ac:dyDescent="0.25">
      <c r="Q47888" s="8"/>
    </row>
    <row r="47889" spans="17:17" x14ac:dyDescent="0.25">
      <c r="Q47889" s="8"/>
    </row>
    <row r="47890" spans="17:17" x14ac:dyDescent="0.25">
      <c r="Q47890" s="8"/>
    </row>
    <row r="47891" spans="17:17" x14ac:dyDescent="0.25">
      <c r="Q47891" s="8"/>
    </row>
    <row r="47892" spans="17:17" x14ac:dyDescent="0.25">
      <c r="Q47892" s="8"/>
    </row>
    <row r="47893" spans="17:17" x14ac:dyDescent="0.25">
      <c r="Q47893" s="8"/>
    </row>
    <row r="47894" spans="17:17" x14ac:dyDescent="0.25">
      <c r="Q47894" s="8"/>
    </row>
    <row r="47895" spans="17:17" x14ac:dyDescent="0.25">
      <c r="Q47895" s="8"/>
    </row>
    <row r="47896" spans="17:17" x14ac:dyDescent="0.25">
      <c r="Q47896" s="8"/>
    </row>
    <row r="47897" spans="17:17" x14ac:dyDescent="0.25">
      <c r="Q47897" s="8"/>
    </row>
    <row r="47898" spans="17:17" x14ac:dyDescent="0.25">
      <c r="Q47898" s="8"/>
    </row>
    <row r="47899" spans="17:17" x14ac:dyDescent="0.25">
      <c r="Q47899" s="8"/>
    </row>
    <row r="47900" spans="17:17" x14ac:dyDescent="0.25">
      <c r="Q47900" s="8"/>
    </row>
    <row r="47901" spans="17:17" x14ac:dyDescent="0.25">
      <c r="Q47901" s="8"/>
    </row>
    <row r="47902" spans="17:17" x14ac:dyDescent="0.25">
      <c r="Q47902" s="8"/>
    </row>
    <row r="47903" spans="17:17" x14ac:dyDescent="0.25">
      <c r="Q47903" s="8"/>
    </row>
    <row r="47904" spans="17:17" x14ac:dyDescent="0.25">
      <c r="Q47904" s="8"/>
    </row>
    <row r="47905" spans="17:17" x14ac:dyDescent="0.25">
      <c r="Q47905" s="8"/>
    </row>
    <row r="47906" spans="17:17" x14ac:dyDescent="0.25">
      <c r="Q47906" s="8"/>
    </row>
    <row r="47907" spans="17:17" x14ac:dyDescent="0.25">
      <c r="Q47907" s="8"/>
    </row>
    <row r="47908" spans="17:17" x14ac:dyDescent="0.25">
      <c r="Q47908" s="8"/>
    </row>
    <row r="47909" spans="17:17" x14ac:dyDescent="0.25">
      <c r="Q47909" s="8"/>
    </row>
    <row r="47910" spans="17:17" x14ac:dyDescent="0.25">
      <c r="Q47910" s="8"/>
    </row>
    <row r="47911" spans="17:17" x14ac:dyDescent="0.25">
      <c r="Q47911" s="8"/>
    </row>
    <row r="47912" spans="17:17" x14ac:dyDescent="0.25">
      <c r="Q47912" s="8"/>
    </row>
    <row r="47913" spans="17:17" x14ac:dyDescent="0.25">
      <c r="Q47913" s="8"/>
    </row>
    <row r="47914" spans="17:17" x14ac:dyDescent="0.25">
      <c r="Q47914" s="8"/>
    </row>
    <row r="47915" spans="17:17" x14ac:dyDescent="0.25">
      <c r="Q47915" s="8"/>
    </row>
    <row r="47916" spans="17:17" x14ac:dyDescent="0.25">
      <c r="Q47916" s="8"/>
    </row>
    <row r="47917" spans="17:17" x14ac:dyDescent="0.25">
      <c r="Q47917" s="8"/>
    </row>
    <row r="47918" spans="17:17" x14ac:dyDescent="0.25">
      <c r="Q47918" s="8"/>
    </row>
    <row r="47919" spans="17:17" x14ac:dyDescent="0.25">
      <c r="Q47919" s="8"/>
    </row>
    <row r="47920" spans="17:17" x14ac:dyDescent="0.25">
      <c r="Q47920" s="8"/>
    </row>
    <row r="47921" spans="17:17" x14ac:dyDescent="0.25">
      <c r="Q47921" s="8"/>
    </row>
    <row r="47922" spans="17:17" x14ac:dyDescent="0.25">
      <c r="Q47922" s="8"/>
    </row>
    <row r="47923" spans="17:17" x14ac:dyDescent="0.25">
      <c r="Q47923" s="8"/>
    </row>
    <row r="47924" spans="17:17" x14ac:dyDescent="0.25">
      <c r="Q47924" s="8"/>
    </row>
    <row r="47925" spans="17:17" x14ac:dyDescent="0.25">
      <c r="Q47925" s="8"/>
    </row>
    <row r="47926" spans="17:17" x14ac:dyDescent="0.25">
      <c r="Q47926" s="8"/>
    </row>
    <row r="47927" spans="17:17" x14ac:dyDescent="0.25">
      <c r="Q47927" s="8"/>
    </row>
    <row r="47928" spans="17:17" x14ac:dyDescent="0.25">
      <c r="Q47928" s="8"/>
    </row>
    <row r="47929" spans="17:17" x14ac:dyDescent="0.25">
      <c r="Q47929" s="8"/>
    </row>
    <row r="47930" spans="17:17" x14ac:dyDescent="0.25">
      <c r="Q47930" s="8"/>
    </row>
    <row r="47931" spans="17:17" x14ac:dyDescent="0.25">
      <c r="Q47931" s="8"/>
    </row>
    <row r="47932" spans="17:17" x14ac:dyDescent="0.25">
      <c r="Q47932" s="8"/>
    </row>
    <row r="47933" spans="17:17" x14ac:dyDescent="0.25">
      <c r="Q47933" s="8"/>
    </row>
    <row r="47934" spans="17:17" x14ac:dyDescent="0.25">
      <c r="Q47934" s="8"/>
    </row>
    <row r="47935" spans="17:17" x14ac:dyDescent="0.25">
      <c r="Q47935" s="8"/>
    </row>
    <row r="47936" spans="17:17" x14ac:dyDescent="0.25">
      <c r="Q47936" s="8"/>
    </row>
    <row r="47937" spans="17:17" x14ac:dyDescent="0.25">
      <c r="Q47937" s="8"/>
    </row>
    <row r="47938" spans="17:17" x14ac:dyDescent="0.25">
      <c r="Q47938" s="8"/>
    </row>
    <row r="47939" spans="17:17" x14ac:dyDescent="0.25">
      <c r="Q47939" s="8"/>
    </row>
    <row r="47940" spans="17:17" x14ac:dyDescent="0.25">
      <c r="Q47940" s="8"/>
    </row>
    <row r="47941" spans="17:17" x14ac:dyDescent="0.25">
      <c r="Q47941" s="8"/>
    </row>
    <row r="47942" spans="17:17" x14ac:dyDescent="0.25">
      <c r="Q47942" s="8"/>
    </row>
    <row r="47943" spans="17:17" x14ac:dyDescent="0.25">
      <c r="Q47943" s="8"/>
    </row>
    <row r="47944" spans="17:17" x14ac:dyDescent="0.25">
      <c r="Q47944" s="8"/>
    </row>
    <row r="47945" spans="17:17" x14ac:dyDescent="0.25">
      <c r="Q47945" s="8"/>
    </row>
    <row r="47946" spans="17:17" x14ac:dyDescent="0.25">
      <c r="Q47946" s="8"/>
    </row>
    <row r="47947" spans="17:17" x14ac:dyDescent="0.25">
      <c r="Q47947" s="8"/>
    </row>
    <row r="47948" spans="17:17" x14ac:dyDescent="0.25">
      <c r="Q47948" s="8"/>
    </row>
    <row r="47949" spans="17:17" x14ac:dyDescent="0.25">
      <c r="Q47949" s="8"/>
    </row>
    <row r="47950" spans="17:17" x14ac:dyDescent="0.25">
      <c r="Q47950" s="8"/>
    </row>
    <row r="47951" spans="17:17" x14ac:dyDescent="0.25">
      <c r="Q47951" s="8"/>
    </row>
    <row r="47952" spans="17:17" x14ac:dyDescent="0.25">
      <c r="Q47952" s="8"/>
    </row>
    <row r="47953" spans="17:17" x14ac:dyDescent="0.25">
      <c r="Q47953" s="8"/>
    </row>
    <row r="47954" spans="17:17" x14ac:dyDescent="0.25">
      <c r="Q47954" s="8"/>
    </row>
    <row r="47955" spans="17:17" x14ac:dyDescent="0.25">
      <c r="Q47955" s="8"/>
    </row>
    <row r="47956" spans="17:17" x14ac:dyDescent="0.25">
      <c r="Q47956" s="8"/>
    </row>
    <row r="47957" spans="17:17" x14ac:dyDescent="0.25">
      <c r="Q47957" s="8"/>
    </row>
    <row r="47958" spans="17:17" x14ac:dyDescent="0.25">
      <c r="Q47958" s="8"/>
    </row>
    <row r="47959" spans="17:17" x14ac:dyDescent="0.25">
      <c r="Q47959" s="8"/>
    </row>
    <row r="47960" spans="17:17" x14ac:dyDescent="0.25">
      <c r="Q47960" s="8"/>
    </row>
    <row r="47961" spans="17:17" x14ac:dyDescent="0.25">
      <c r="Q47961" s="8"/>
    </row>
    <row r="47962" spans="17:17" x14ac:dyDescent="0.25">
      <c r="Q47962" s="8"/>
    </row>
    <row r="47963" spans="17:17" x14ac:dyDescent="0.25">
      <c r="Q47963" s="8"/>
    </row>
    <row r="47964" spans="17:17" x14ac:dyDescent="0.25">
      <c r="Q47964" s="8"/>
    </row>
    <row r="47965" spans="17:17" x14ac:dyDescent="0.25">
      <c r="Q47965" s="8"/>
    </row>
    <row r="47966" spans="17:17" x14ac:dyDescent="0.25">
      <c r="Q47966" s="8"/>
    </row>
    <row r="47967" spans="17:17" x14ac:dyDescent="0.25">
      <c r="Q47967" s="8"/>
    </row>
    <row r="47968" spans="17:17" x14ac:dyDescent="0.25">
      <c r="Q47968" s="8"/>
    </row>
    <row r="47969" spans="17:17" x14ac:dyDescent="0.25">
      <c r="Q47969" s="8"/>
    </row>
    <row r="47970" spans="17:17" x14ac:dyDescent="0.25">
      <c r="Q47970" s="8"/>
    </row>
    <row r="47971" spans="17:17" x14ac:dyDescent="0.25">
      <c r="Q47971" s="8"/>
    </row>
    <row r="47972" spans="17:17" x14ac:dyDescent="0.25">
      <c r="Q47972" s="8"/>
    </row>
    <row r="47973" spans="17:17" x14ac:dyDescent="0.25">
      <c r="Q47973" s="8"/>
    </row>
    <row r="47974" spans="17:17" x14ac:dyDescent="0.25">
      <c r="Q47974" s="8"/>
    </row>
    <row r="47975" spans="17:17" x14ac:dyDescent="0.25">
      <c r="Q47975" s="8"/>
    </row>
    <row r="47976" spans="17:17" x14ac:dyDescent="0.25">
      <c r="Q47976" s="8"/>
    </row>
    <row r="47977" spans="17:17" x14ac:dyDescent="0.25">
      <c r="Q47977" s="8"/>
    </row>
    <row r="47978" spans="17:17" x14ac:dyDescent="0.25">
      <c r="Q47978" s="8"/>
    </row>
    <row r="47979" spans="17:17" x14ac:dyDescent="0.25">
      <c r="Q47979" s="8"/>
    </row>
    <row r="47980" spans="17:17" x14ac:dyDescent="0.25">
      <c r="Q47980" s="8"/>
    </row>
    <row r="47981" spans="17:17" x14ac:dyDescent="0.25">
      <c r="Q47981" s="8"/>
    </row>
    <row r="47982" spans="17:17" x14ac:dyDescent="0.25">
      <c r="Q47982" s="8"/>
    </row>
    <row r="47983" spans="17:17" x14ac:dyDescent="0.25">
      <c r="Q47983" s="8"/>
    </row>
    <row r="47984" spans="17:17" x14ac:dyDescent="0.25">
      <c r="Q47984" s="8"/>
    </row>
    <row r="47985" spans="17:17" x14ac:dyDescent="0.25">
      <c r="Q47985" s="8"/>
    </row>
    <row r="47986" spans="17:17" x14ac:dyDescent="0.25">
      <c r="Q47986" s="8"/>
    </row>
    <row r="47987" spans="17:17" x14ac:dyDescent="0.25">
      <c r="Q47987" s="8"/>
    </row>
    <row r="47988" spans="17:17" x14ac:dyDescent="0.25">
      <c r="Q47988" s="8"/>
    </row>
    <row r="47989" spans="17:17" x14ac:dyDescent="0.25">
      <c r="Q47989" s="8"/>
    </row>
    <row r="47990" spans="17:17" x14ac:dyDescent="0.25">
      <c r="Q47990" s="8"/>
    </row>
    <row r="47991" spans="17:17" x14ac:dyDescent="0.25">
      <c r="Q47991" s="8"/>
    </row>
    <row r="47992" spans="17:17" x14ac:dyDescent="0.25">
      <c r="Q47992" s="8"/>
    </row>
    <row r="47993" spans="17:17" x14ac:dyDescent="0.25">
      <c r="Q47993" s="8"/>
    </row>
    <row r="47994" spans="17:17" x14ac:dyDescent="0.25">
      <c r="Q47994" s="8"/>
    </row>
    <row r="47995" spans="17:17" x14ac:dyDescent="0.25">
      <c r="Q47995" s="8"/>
    </row>
    <row r="47996" spans="17:17" x14ac:dyDescent="0.25">
      <c r="Q47996" s="8"/>
    </row>
    <row r="47997" spans="17:17" x14ac:dyDescent="0.25">
      <c r="Q47997" s="8"/>
    </row>
    <row r="47998" spans="17:17" x14ac:dyDescent="0.25">
      <c r="Q47998" s="8"/>
    </row>
    <row r="47999" spans="17:17" x14ac:dyDescent="0.25">
      <c r="Q47999" s="8"/>
    </row>
    <row r="48000" spans="17:17" x14ac:dyDescent="0.25">
      <c r="Q48000" s="8"/>
    </row>
    <row r="48001" spans="17:17" x14ac:dyDescent="0.25">
      <c r="Q48001" s="8"/>
    </row>
    <row r="48002" spans="17:17" x14ac:dyDescent="0.25">
      <c r="Q48002" s="8"/>
    </row>
    <row r="48003" spans="17:17" x14ac:dyDescent="0.25">
      <c r="Q48003" s="8"/>
    </row>
    <row r="48004" spans="17:17" x14ac:dyDescent="0.25">
      <c r="Q48004" s="8"/>
    </row>
    <row r="48005" spans="17:17" x14ac:dyDescent="0.25">
      <c r="Q48005" s="8"/>
    </row>
    <row r="48006" spans="17:17" x14ac:dyDescent="0.25">
      <c r="Q48006" s="8"/>
    </row>
    <row r="48007" spans="17:17" x14ac:dyDescent="0.25">
      <c r="Q48007" s="8"/>
    </row>
    <row r="48008" spans="17:17" x14ac:dyDescent="0.25">
      <c r="Q48008" s="8"/>
    </row>
    <row r="48009" spans="17:17" x14ac:dyDescent="0.25">
      <c r="Q48009" s="8"/>
    </row>
    <row r="48010" spans="17:17" x14ac:dyDescent="0.25">
      <c r="Q48010" s="8"/>
    </row>
    <row r="48011" spans="17:17" x14ac:dyDescent="0.25">
      <c r="Q48011" s="8"/>
    </row>
    <row r="48012" spans="17:17" x14ac:dyDescent="0.25">
      <c r="Q48012" s="8"/>
    </row>
    <row r="48013" spans="17:17" x14ac:dyDescent="0.25">
      <c r="Q48013" s="8"/>
    </row>
    <row r="48014" spans="17:17" x14ac:dyDescent="0.25">
      <c r="Q48014" s="8"/>
    </row>
    <row r="48015" spans="17:17" x14ac:dyDescent="0.25">
      <c r="Q48015" s="8"/>
    </row>
    <row r="48016" spans="17:17" x14ac:dyDescent="0.25">
      <c r="Q48016" s="8"/>
    </row>
    <row r="48017" spans="17:17" x14ac:dyDescent="0.25">
      <c r="Q48017" s="8"/>
    </row>
    <row r="48018" spans="17:17" x14ac:dyDescent="0.25">
      <c r="Q48018" s="8"/>
    </row>
    <row r="48019" spans="17:17" x14ac:dyDescent="0.25">
      <c r="Q48019" s="8"/>
    </row>
    <row r="48020" spans="17:17" x14ac:dyDescent="0.25">
      <c r="Q48020" s="8"/>
    </row>
    <row r="48021" spans="17:17" x14ac:dyDescent="0.25">
      <c r="Q48021" s="8"/>
    </row>
    <row r="48022" spans="17:17" x14ac:dyDescent="0.25">
      <c r="Q48022" s="8"/>
    </row>
    <row r="48023" spans="17:17" x14ac:dyDescent="0.25">
      <c r="Q48023" s="8"/>
    </row>
    <row r="48024" spans="17:17" x14ac:dyDescent="0.25">
      <c r="Q48024" s="8"/>
    </row>
    <row r="48025" spans="17:17" x14ac:dyDescent="0.25">
      <c r="Q48025" s="8"/>
    </row>
    <row r="48026" spans="17:17" x14ac:dyDescent="0.25">
      <c r="Q48026" s="8"/>
    </row>
    <row r="48027" spans="17:17" x14ac:dyDescent="0.25">
      <c r="Q48027" s="8"/>
    </row>
    <row r="48028" spans="17:17" x14ac:dyDescent="0.25">
      <c r="Q48028" s="8"/>
    </row>
    <row r="48029" spans="17:17" x14ac:dyDescent="0.25">
      <c r="Q48029" s="8"/>
    </row>
    <row r="48030" spans="17:17" x14ac:dyDescent="0.25">
      <c r="Q48030" s="8"/>
    </row>
    <row r="48031" spans="17:17" x14ac:dyDescent="0.25">
      <c r="Q48031" s="8"/>
    </row>
    <row r="48032" spans="17:17" x14ac:dyDescent="0.25">
      <c r="Q48032" s="8"/>
    </row>
    <row r="48033" spans="17:17" x14ac:dyDescent="0.25">
      <c r="Q48033" s="8"/>
    </row>
    <row r="48034" spans="17:17" x14ac:dyDescent="0.25">
      <c r="Q48034" s="8"/>
    </row>
    <row r="48035" spans="17:17" x14ac:dyDescent="0.25">
      <c r="Q48035" s="8"/>
    </row>
    <row r="48036" spans="17:17" x14ac:dyDescent="0.25">
      <c r="Q48036" s="8"/>
    </row>
    <row r="48037" spans="17:17" x14ac:dyDescent="0.25">
      <c r="Q48037" s="8"/>
    </row>
    <row r="48038" spans="17:17" x14ac:dyDescent="0.25">
      <c r="Q48038" s="8"/>
    </row>
    <row r="48039" spans="17:17" x14ac:dyDescent="0.25">
      <c r="Q48039" s="8"/>
    </row>
    <row r="48040" spans="17:17" x14ac:dyDescent="0.25">
      <c r="Q48040" s="8"/>
    </row>
    <row r="48041" spans="17:17" x14ac:dyDescent="0.25">
      <c r="Q48041" s="8"/>
    </row>
    <row r="48042" spans="17:17" x14ac:dyDescent="0.25">
      <c r="Q48042" s="8"/>
    </row>
    <row r="48043" spans="17:17" x14ac:dyDescent="0.25">
      <c r="Q48043" s="8"/>
    </row>
    <row r="48044" spans="17:17" x14ac:dyDescent="0.25">
      <c r="Q48044" s="8"/>
    </row>
    <row r="48045" spans="17:17" x14ac:dyDescent="0.25">
      <c r="Q48045" s="8"/>
    </row>
    <row r="48046" spans="17:17" x14ac:dyDescent="0.25">
      <c r="Q48046" s="8"/>
    </row>
    <row r="48047" spans="17:17" x14ac:dyDescent="0.25">
      <c r="Q48047" s="8"/>
    </row>
    <row r="48048" spans="17:17" x14ac:dyDescent="0.25">
      <c r="Q48048" s="8"/>
    </row>
    <row r="48049" spans="17:17" x14ac:dyDescent="0.25">
      <c r="Q48049" s="8"/>
    </row>
    <row r="48050" spans="17:17" x14ac:dyDescent="0.25">
      <c r="Q48050" s="8"/>
    </row>
    <row r="48051" spans="17:17" x14ac:dyDescent="0.25">
      <c r="Q48051" s="8"/>
    </row>
    <row r="48052" spans="17:17" x14ac:dyDescent="0.25">
      <c r="Q48052" s="8"/>
    </row>
    <row r="48053" spans="17:17" x14ac:dyDescent="0.25">
      <c r="Q48053" s="8"/>
    </row>
    <row r="48054" spans="17:17" x14ac:dyDescent="0.25">
      <c r="Q48054" s="8"/>
    </row>
    <row r="48055" spans="17:17" x14ac:dyDescent="0.25">
      <c r="Q48055" s="8"/>
    </row>
    <row r="48056" spans="17:17" x14ac:dyDescent="0.25">
      <c r="Q48056" s="8"/>
    </row>
    <row r="48057" spans="17:17" x14ac:dyDescent="0.25">
      <c r="Q48057" s="8"/>
    </row>
    <row r="48058" spans="17:17" x14ac:dyDescent="0.25">
      <c r="Q48058" s="8"/>
    </row>
    <row r="48059" spans="17:17" x14ac:dyDescent="0.25">
      <c r="Q48059" s="8"/>
    </row>
    <row r="48060" spans="17:17" x14ac:dyDescent="0.25">
      <c r="Q48060" s="8"/>
    </row>
    <row r="48061" spans="17:17" x14ac:dyDescent="0.25">
      <c r="Q48061" s="8"/>
    </row>
    <row r="48062" spans="17:17" x14ac:dyDescent="0.25">
      <c r="Q48062" s="8"/>
    </row>
    <row r="48063" spans="17:17" x14ac:dyDescent="0.25">
      <c r="Q48063" s="8"/>
    </row>
    <row r="48064" spans="17:17" x14ac:dyDescent="0.25">
      <c r="Q48064" s="8"/>
    </row>
    <row r="48065" spans="17:17" x14ac:dyDescent="0.25">
      <c r="Q48065" s="8"/>
    </row>
    <row r="48066" spans="17:17" x14ac:dyDescent="0.25">
      <c r="Q48066" s="8"/>
    </row>
    <row r="48067" spans="17:17" x14ac:dyDescent="0.25">
      <c r="Q48067" s="8"/>
    </row>
    <row r="48068" spans="17:17" x14ac:dyDescent="0.25">
      <c r="Q48068" s="8"/>
    </row>
    <row r="48069" spans="17:17" x14ac:dyDescent="0.25">
      <c r="Q48069" s="8"/>
    </row>
    <row r="48070" spans="17:17" x14ac:dyDescent="0.25">
      <c r="Q48070" s="8"/>
    </row>
    <row r="48071" spans="17:17" x14ac:dyDescent="0.25">
      <c r="Q48071" s="8"/>
    </row>
    <row r="48072" spans="17:17" x14ac:dyDescent="0.25">
      <c r="Q48072" s="8"/>
    </row>
    <row r="48073" spans="17:17" x14ac:dyDescent="0.25">
      <c r="Q48073" s="8"/>
    </row>
    <row r="48074" spans="17:17" x14ac:dyDescent="0.25">
      <c r="Q48074" s="8"/>
    </row>
    <row r="48075" spans="17:17" x14ac:dyDescent="0.25">
      <c r="Q48075" s="8"/>
    </row>
    <row r="48076" spans="17:17" x14ac:dyDescent="0.25">
      <c r="Q48076" s="8"/>
    </row>
    <row r="48077" spans="17:17" x14ac:dyDescent="0.25">
      <c r="Q48077" s="8"/>
    </row>
    <row r="48078" spans="17:17" x14ac:dyDescent="0.25">
      <c r="Q48078" s="8"/>
    </row>
    <row r="48079" spans="17:17" x14ac:dyDescent="0.25">
      <c r="Q48079" s="8"/>
    </row>
    <row r="48080" spans="17:17" x14ac:dyDescent="0.25">
      <c r="Q48080" s="8"/>
    </row>
    <row r="48081" spans="17:17" x14ac:dyDescent="0.25">
      <c r="Q48081" s="8"/>
    </row>
    <row r="48082" spans="17:17" x14ac:dyDescent="0.25">
      <c r="Q48082" s="8"/>
    </row>
    <row r="48083" spans="17:17" x14ac:dyDescent="0.25">
      <c r="Q48083" s="8"/>
    </row>
    <row r="48084" spans="17:17" x14ac:dyDescent="0.25">
      <c r="Q48084" s="8"/>
    </row>
    <row r="48085" spans="17:17" x14ac:dyDescent="0.25">
      <c r="Q48085" s="8"/>
    </row>
    <row r="48086" spans="17:17" x14ac:dyDescent="0.25">
      <c r="Q48086" s="8"/>
    </row>
    <row r="48087" spans="17:17" x14ac:dyDescent="0.25">
      <c r="Q48087" s="8"/>
    </row>
    <row r="48088" spans="17:17" x14ac:dyDescent="0.25">
      <c r="Q48088" s="8"/>
    </row>
    <row r="48089" spans="17:17" x14ac:dyDescent="0.25">
      <c r="Q48089" s="8"/>
    </row>
    <row r="48090" spans="17:17" x14ac:dyDescent="0.25">
      <c r="Q48090" s="8"/>
    </row>
    <row r="48091" spans="17:17" x14ac:dyDescent="0.25">
      <c r="Q48091" s="8"/>
    </row>
    <row r="48092" spans="17:17" x14ac:dyDescent="0.25">
      <c r="Q48092" s="8"/>
    </row>
    <row r="48093" spans="17:17" x14ac:dyDescent="0.25">
      <c r="Q48093" s="8"/>
    </row>
    <row r="48094" spans="17:17" x14ac:dyDescent="0.25">
      <c r="Q48094" s="8"/>
    </row>
    <row r="48095" spans="17:17" x14ac:dyDescent="0.25">
      <c r="Q48095" s="8"/>
    </row>
    <row r="48096" spans="17:17" x14ac:dyDescent="0.25">
      <c r="Q48096" s="8"/>
    </row>
    <row r="48097" spans="17:17" x14ac:dyDescent="0.25">
      <c r="Q48097" s="8"/>
    </row>
    <row r="48098" spans="17:17" x14ac:dyDescent="0.25">
      <c r="Q48098" s="8"/>
    </row>
    <row r="48099" spans="17:17" x14ac:dyDescent="0.25">
      <c r="Q48099" s="8"/>
    </row>
    <row r="48100" spans="17:17" x14ac:dyDescent="0.25">
      <c r="Q48100" s="8"/>
    </row>
    <row r="48101" spans="17:17" x14ac:dyDescent="0.25">
      <c r="Q48101" s="8"/>
    </row>
    <row r="48102" spans="17:17" x14ac:dyDescent="0.25">
      <c r="Q48102" s="8"/>
    </row>
    <row r="48103" spans="17:17" x14ac:dyDescent="0.25">
      <c r="Q48103" s="8"/>
    </row>
    <row r="48104" spans="17:17" x14ac:dyDescent="0.25">
      <c r="Q48104" s="8"/>
    </row>
    <row r="48105" spans="17:17" x14ac:dyDescent="0.25">
      <c r="Q48105" s="8"/>
    </row>
    <row r="48106" spans="17:17" x14ac:dyDescent="0.25">
      <c r="Q48106" s="8"/>
    </row>
    <row r="48107" spans="17:17" x14ac:dyDescent="0.25">
      <c r="Q48107" s="8"/>
    </row>
    <row r="48108" spans="17:17" x14ac:dyDescent="0.25">
      <c r="Q48108" s="8"/>
    </row>
    <row r="48109" spans="17:17" x14ac:dyDescent="0.25">
      <c r="Q48109" s="8"/>
    </row>
    <row r="48110" spans="17:17" x14ac:dyDescent="0.25">
      <c r="Q48110" s="8"/>
    </row>
    <row r="48111" spans="17:17" x14ac:dyDescent="0.25">
      <c r="Q48111" s="8"/>
    </row>
    <row r="48112" spans="17:17" x14ac:dyDescent="0.25">
      <c r="Q48112" s="8"/>
    </row>
    <row r="48113" spans="17:17" x14ac:dyDescent="0.25">
      <c r="Q48113" s="8"/>
    </row>
    <row r="48114" spans="17:17" x14ac:dyDescent="0.25">
      <c r="Q48114" s="8"/>
    </row>
    <row r="48115" spans="17:17" x14ac:dyDescent="0.25">
      <c r="Q48115" s="8"/>
    </row>
    <row r="48116" spans="17:17" x14ac:dyDescent="0.25">
      <c r="Q48116" s="8"/>
    </row>
    <row r="48117" spans="17:17" x14ac:dyDescent="0.25">
      <c r="Q48117" s="8"/>
    </row>
    <row r="48118" spans="17:17" x14ac:dyDescent="0.25">
      <c r="Q48118" s="8"/>
    </row>
    <row r="48119" spans="17:17" x14ac:dyDescent="0.25">
      <c r="Q48119" s="8"/>
    </row>
    <row r="48120" spans="17:17" x14ac:dyDescent="0.25">
      <c r="Q48120" s="8"/>
    </row>
    <row r="48121" spans="17:17" x14ac:dyDescent="0.25">
      <c r="Q48121" s="8"/>
    </row>
    <row r="48122" spans="17:17" x14ac:dyDescent="0.25">
      <c r="Q48122" s="8"/>
    </row>
    <row r="48123" spans="17:17" x14ac:dyDescent="0.25">
      <c r="Q48123" s="8"/>
    </row>
    <row r="48124" spans="17:17" x14ac:dyDescent="0.25">
      <c r="Q48124" s="8"/>
    </row>
    <row r="48125" spans="17:17" x14ac:dyDescent="0.25">
      <c r="Q48125" s="8"/>
    </row>
    <row r="48126" spans="17:17" x14ac:dyDescent="0.25">
      <c r="Q48126" s="8"/>
    </row>
    <row r="48127" spans="17:17" x14ac:dyDescent="0.25">
      <c r="Q48127" s="8"/>
    </row>
    <row r="48128" spans="17:17" x14ac:dyDescent="0.25">
      <c r="Q48128" s="8"/>
    </row>
    <row r="48129" spans="17:17" x14ac:dyDescent="0.25">
      <c r="Q48129" s="8"/>
    </row>
    <row r="48130" spans="17:17" x14ac:dyDescent="0.25">
      <c r="Q48130" s="8"/>
    </row>
    <row r="48131" spans="17:17" x14ac:dyDescent="0.25">
      <c r="Q48131" s="8"/>
    </row>
    <row r="48132" spans="17:17" x14ac:dyDescent="0.25">
      <c r="Q48132" s="8"/>
    </row>
    <row r="48133" spans="17:17" x14ac:dyDescent="0.25">
      <c r="Q48133" s="8"/>
    </row>
    <row r="48134" spans="17:17" x14ac:dyDescent="0.25">
      <c r="Q48134" s="8"/>
    </row>
    <row r="48135" spans="17:17" x14ac:dyDescent="0.25">
      <c r="Q48135" s="8"/>
    </row>
    <row r="48136" spans="17:17" x14ac:dyDescent="0.25">
      <c r="Q48136" s="8"/>
    </row>
    <row r="48137" spans="17:17" x14ac:dyDescent="0.25">
      <c r="Q48137" s="8"/>
    </row>
    <row r="48138" spans="17:17" x14ac:dyDescent="0.25">
      <c r="Q48138" s="8"/>
    </row>
    <row r="48139" spans="17:17" x14ac:dyDescent="0.25">
      <c r="Q48139" s="8"/>
    </row>
    <row r="48140" spans="17:17" x14ac:dyDescent="0.25">
      <c r="Q48140" s="8"/>
    </row>
    <row r="48141" spans="17:17" x14ac:dyDescent="0.25">
      <c r="Q48141" s="8"/>
    </row>
    <row r="48142" spans="17:17" x14ac:dyDescent="0.25">
      <c r="Q48142" s="8"/>
    </row>
    <row r="48143" spans="17:17" x14ac:dyDescent="0.25">
      <c r="Q48143" s="8"/>
    </row>
    <row r="48144" spans="17:17" x14ac:dyDescent="0.25">
      <c r="Q48144" s="8"/>
    </row>
    <row r="48145" spans="17:17" x14ac:dyDescent="0.25">
      <c r="Q48145" s="8"/>
    </row>
    <row r="48146" spans="17:17" x14ac:dyDescent="0.25">
      <c r="Q48146" s="8"/>
    </row>
    <row r="48147" spans="17:17" x14ac:dyDescent="0.25">
      <c r="Q48147" s="8"/>
    </row>
    <row r="48148" spans="17:17" x14ac:dyDescent="0.25">
      <c r="Q48148" s="8"/>
    </row>
    <row r="48149" spans="17:17" x14ac:dyDescent="0.25">
      <c r="Q48149" s="8"/>
    </row>
    <row r="48150" spans="17:17" x14ac:dyDescent="0.25">
      <c r="Q48150" s="8"/>
    </row>
    <row r="48151" spans="17:17" x14ac:dyDescent="0.25">
      <c r="Q48151" s="8"/>
    </row>
    <row r="48152" spans="17:17" x14ac:dyDescent="0.25">
      <c r="Q48152" s="8"/>
    </row>
    <row r="48153" spans="17:17" x14ac:dyDescent="0.25">
      <c r="Q48153" s="8"/>
    </row>
    <row r="48154" spans="17:17" x14ac:dyDescent="0.25">
      <c r="Q48154" s="8"/>
    </row>
    <row r="48155" spans="17:17" x14ac:dyDescent="0.25">
      <c r="Q48155" s="8"/>
    </row>
    <row r="48156" spans="17:17" x14ac:dyDescent="0.25">
      <c r="Q48156" s="8"/>
    </row>
    <row r="48157" spans="17:17" x14ac:dyDescent="0.25">
      <c r="Q48157" s="8"/>
    </row>
    <row r="48158" spans="17:17" x14ac:dyDescent="0.25">
      <c r="Q48158" s="8"/>
    </row>
    <row r="48159" spans="17:17" x14ac:dyDescent="0.25">
      <c r="Q48159" s="8"/>
    </row>
    <row r="48160" spans="17:17" x14ac:dyDescent="0.25">
      <c r="Q48160" s="8"/>
    </row>
    <row r="48161" spans="17:17" x14ac:dyDescent="0.25">
      <c r="Q48161" s="8"/>
    </row>
    <row r="48162" spans="17:17" x14ac:dyDescent="0.25">
      <c r="Q48162" s="8"/>
    </row>
    <row r="48163" spans="17:17" x14ac:dyDescent="0.25">
      <c r="Q48163" s="8"/>
    </row>
    <row r="48164" spans="17:17" x14ac:dyDescent="0.25">
      <c r="Q48164" s="8"/>
    </row>
    <row r="48165" spans="17:17" x14ac:dyDescent="0.25">
      <c r="Q48165" s="8"/>
    </row>
    <row r="48166" spans="17:17" x14ac:dyDescent="0.25">
      <c r="Q48166" s="8"/>
    </row>
    <row r="48167" spans="17:17" x14ac:dyDescent="0.25">
      <c r="Q48167" s="8"/>
    </row>
    <row r="48168" spans="17:17" x14ac:dyDescent="0.25">
      <c r="Q48168" s="8"/>
    </row>
    <row r="48169" spans="17:17" x14ac:dyDescent="0.25">
      <c r="Q48169" s="8"/>
    </row>
    <row r="48170" spans="17:17" x14ac:dyDescent="0.25">
      <c r="Q48170" s="8"/>
    </row>
    <row r="48171" spans="17:17" x14ac:dyDescent="0.25">
      <c r="Q48171" s="8"/>
    </row>
    <row r="48172" spans="17:17" x14ac:dyDescent="0.25">
      <c r="Q48172" s="8"/>
    </row>
    <row r="48173" spans="17:17" x14ac:dyDescent="0.25">
      <c r="Q48173" s="8"/>
    </row>
    <row r="48174" spans="17:17" x14ac:dyDescent="0.25">
      <c r="Q48174" s="8"/>
    </row>
    <row r="48175" spans="17:17" x14ac:dyDescent="0.25">
      <c r="Q48175" s="8"/>
    </row>
    <row r="48176" spans="17:17" x14ac:dyDescent="0.25">
      <c r="Q48176" s="8"/>
    </row>
    <row r="48177" spans="17:17" x14ac:dyDescent="0.25">
      <c r="Q48177" s="8"/>
    </row>
    <row r="48178" spans="17:17" x14ac:dyDescent="0.25">
      <c r="Q48178" s="8"/>
    </row>
    <row r="48179" spans="17:17" x14ac:dyDescent="0.25">
      <c r="Q48179" s="8"/>
    </row>
    <row r="48180" spans="17:17" x14ac:dyDescent="0.25">
      <c r="Q48180" s="8"/>
    </row>
    <row r="48181" spans="17:17" x14ac:dyDescent="0.25">
      <c r="Q48181" s="8"/>
    </row>
    <row r="48182" spans="17:17" x14ac:dyDescent="0.25">
      <c r="Q48182" s="8"/>
    </row>
    <row r="48183" spans="17:17" x14ac:dyDescent="0.25">
      <c r="Q48183" s="8"/>
    </row>
    <row r="48184" spans="17:17" x14ac:dyDescent="0.25">
      <c r="Q48184" s="8"/>
    </row>
    <row r="48185" spans="17:17" x14ac:dyDescent="0.25">
      <c r="Q48185" s="8"/>
    </row>
    <row r="48186" spans="17:17" x14ac:dyDescent="0.25">
      <c r="Q48186" s="8"/>
    </row>
    <row r="48187" spans="17:17" x14ac:dyDescent="0.25">
      <c r="Q48187" s="8"/>
    </row>
    <row r="48188" spans="17:17" x14ac:dyDescent="0.25">
      <c r="Q48188" s="8"/>
    </row>
    <row r="48189" spans="17:17" x14ac:dyDescent="0.25">
      <c r="Q48189" s="8"/>
    </row>
    <row r="48190" spans="17:17" x14ac:dyDescent="0.25">
      <c r="Q48190" s="8"/>
    </row>
    <row r="48191" spans="17:17" x14ac:dyDescent="0.25">
      <c r="Q48191" s="8"/>
    </row>
    <row r="48192" spans="17:17" x14ac:dyDescent="0.25">
      <c r="Q48192" s="8"/>
    </row>
    <row r="48193" spans="17:17" x14ac:dyDescent="0.25">
      <c r="Q48193" s="8"/>
    </row>
    <row r="48194" spans="17:17" x14ac:dyDescent="0.25">
      <c r="Q48194" s="8"/>
    </row>
    <row r="48195" spans="17:17" x14ac:dyDescent="0.25">
      <c r="Q48195" s="8"/>
    </row>
    <row r="48196" spans="17:17" x14ac:dyDescent="0.25">
      <c r="Q48196" s="8"/>
    </row>
    <row r="48197" spans="17:17" x14ac:dyDescent="0.25">
      <c r="Q48197" s="8"/>
    </row>
    <row r="48198" spans="17:17" x14ac:dyDescent="0.25">
      <c r="Q48198" s="8"/>
    </row>
    <row r="48199" spans="17:17" x14ac:dyDescent="0.25">
      <c r="Q48199" s="8"/>
    </row>
    <row r="48200" spans="17:17" x14ac:dyDescent="0.25">
      <c r="Q48200" s="8"/>
    </row>
    <row r="48201" spans="17:17" x14ac:dyDescent="0.25">
      <c r="Q48201" s="8"/>
    </row>
    <row r="48202" spans="17:17" x14ac:dyDescent="0.25">
      <c r="Q48202" s="8"/>
    </row>
    <row r="48203" spans="17:17" x14ac:dyDescent="0.25">
      <c r="Q48203" s="8"/>
    </row>
    <row r="48204" spans="17:17" x14ac:dyDescent="0.25">
      <c r="Q48204" s="8"/>
    </row>
    <row r="48205" spans="17:17" x14ac:dyDescent="0.25">
      <c r="Q48205" s="8"/>
    </row>
    <row r="48206" spans="17:17" x14ac:dyDescent="0.25">
      <c r="Q48206" s="8"/>
    </row>
    <row r="48207" spans="17:17" x14ac:dyDescent="0.25">
      <c r="Q48207" s="8"/>
    </row>
    <row r="48208" spans="17:17" x14ac:dyDescent="0.25">
      <c r="Q48208" s="8"/>
    </row>
    <row r="48209" spans="17:17" x14ac:dyDescent="0.25">
      <c r="Q48209" s="8"/>
    </row>
    <row r="48210" spans="17:17" x14ac:dyDescent="0.25">
      <c r="Q48210" s="8"/>
    </row>
    <row r="48211" spans="17:17" x14ac:dyDescent="0.25">
      <c r="Q48211" s="8"/>
    </row>
    <row r="48212" spans="17:17" x14ac:dyDescent="0.25">
      <c r="Q48212" s="8"/>
    </row>
    <row r="48213" spans="17:17" x14ac:dyDescent="0.25">
      <c r="Q48213" s="8"/>
    </row>
    <row r="48214" spans="17:17" x14ac:dyDescent="0.25">
      <c r="Q48214" s="8"/>
    </row>
    <row r="48215" spans="17:17" x14ac:dyDescent="0.25">
      <c r="Q48215" s="8"/>
    </row>
    <row r="48216" spans="17:17" x14ac:dyDescent="0.25">
      <c r="Q48216" s="8"/>
    </row>
    <row r="48217" spans="17:17" x14ac:dyDescent="0.25">
      <c r="Q48217" s="8"/>
    </row>
    <row r="48218" spans="17:17" x14ac:dyDescent="0.25">
      <c r="Q48218" s="8"/>
    </row>
    <row r="48219" spans="17:17" x14ac:dyDescent="0.25">
      <c r="Q48219" s="8"/>
    </row>
    <row r="48220" spans="17:17" x14ac:dyDescent="0.25">
      <c r="Q48220" s="8"/>
    </row>
    <row r="48221" spans="17:17" x14ac:dyDescent="0.25">
      <c r="Q48221" s="8"/>
    </row>
    <row r="48222" spans="17:17" x14ac:dyDescent="0.25">
      <c r="Q48222" s="8"/>
    </row>
    <row r="48223" spans="17:17" x14ac:dyDescent="0.25">
      <c r="Q48223" s="8"/>
    </row>
    <row r="48224" spans="17:17" x14ac:dyDescent="0.25">
      <c r="Q48224" s="8"/>
    </row>
    <row r="48225" spans="17:17" x14ac:dyDescent="0.25">
      <c r="Q48225" s="8"/>
    </row>
    <row r="48226" spans="17:17" x14ac:dyDescent="0.25">
      <c r="Q48226" s="8"/>
    </row>
    <row r="48227" spans="17:17" x14ac:dyDescent="0.25">
      <c r="Q48227" s="8"/>
    </row>
    <row r="48228" spans="17:17" x14ac:dyDescent="0.25">
      <c r="Q48228" s="8"/>
    </row>
    <row r="48229" spans="17:17" x14ac:dyDescent="0.25">
      <c r="Q48229" s="8"/>
    </row>
    <row r="48230" spans="17:17" x14ac:dyDescent="0.25">
      <c r="Q48230" s="8"/>
    </row>
    <row r="48231" spans="17:17" x14ac:dyDescent="0.25">
      <c r="Q48231" s="8"/>
    </row>
    <row r="48232" spans="17:17" x14ac:dyDescent="0.25">
      <c r="Q48232" s="8"/>
    </row>
    <row r="48233" spans="17:17" x14ac:dyDescent="0.25">
      <c r="Q48233" s="8"/>
    </row>
    <row r="48234" spans="17:17" x14ac:dyDescent="0.25">
      <c r="Q48234" s="8"/>
    </row>
    <row r="48235" spans="17:17" x14ac:dyDescent="0.25">
      <c r="Q48235" s="8"/>
    </row>
    <row r="48236" spans="17:17" x14ac:dyDescent="0.25">
      <c r="Q48236" s="8"/>
    </row>
    <row r="48237" spans="17:17" x14ac:dyDescent="0.25">
      <c r="Q48237" s="8"/>
    </row>
    <row r="48238" spans="17:17" x14ac:dyDescent="0.25">
      <c r="Q48238" s="8"/>
    </row>
    <row r="48239" spans="17:17" x14ac:dyDescent="0.25">
      <c r="Q48239" s="8"/>
    </row>
    <row r="48240" spans="17:17" x14ac:dyDescent="0.25">
      <c r="Q48240" s="8"/>
    </row>
    <row r="48241" spans="17:17" x14ac:dyDescent="0.25">
      <c r="Q48241" s="8"/>
    </row>
    <row r="48242" spans="17:17" x14ac:dyDescent="0.25">
      <c r="Q48242" s="8"/>
    </row>
    <row r="48243" spans="17:17" x14ac:dyDescent="0.25">
      <c r="Q48243" s="8"/>
    </row>
    <row r="48244" spans="17:17" x14ac:dyDescent="0.25">
      <c r="Q48244" s="8"/>
    </row>
    <row r="48245" spans="17:17" x14ac:dyDescent="0.25">
      <c r="Q48245" s="8"/>
    </row>
    <row r="48246" spans="17:17" x14ac:dyDescent="0.25">
      <c r="Q48246" s="8"/>
    </row>
    <row r="48247" spans="17:17" x14ac:dyDescent="0.25">
      <c r="Q48247" s="8"/>
    </row>
    <row r="48248" spans="17:17" x14ac:dyDescent="0.25">
      <c r="Q48248" s="8"/>
    </row>
    <row r="48249" spans="17:17" x14ac:dyDescent="0.25">
      <c r="Q48249" s="8"/>
    </row>
    <row r="48250" spans="17:17" x14ac:dyDescent="0.25">
      <c r="Q48250" s="8"/>
    </row>
    <row r="48251" spans="17:17" x14ac:dyDescent="0.25">
      <c r="Q48251" s="8"/>
    </row>
    <row r="48252" spans="17:17" x14ac:dyDescent="0.25">
      <c r="Q48252" s="8"/>
    </row>
    <row r="48253" spans="17:17" x14ac:dyDescent="0.25">
      <c r="Q48253" s="8"/>
    </row>
    <row r="48254" spans="17:17" x14ac:dyDescent="0.25">
      <c r="Q48254" s="8"/>
    </row>
    <row r="48255" spans="17:17" x14ac:dyDescent="0.25">
      <c r="Q48255" s="8"/>
    </row>
    <row r="48256" spans="17:17" x14ac:dyDescent="0.25">
      <c r="Q48256" s="8"/>
    </row>
    <row r="48257" spans="17:17" x14ac:dyDescent="0.25">
      <c r="Q48257" s="8"/>
    </row>
    <row r="48258" spans="17:17" x14ac:dyDescent="0.25">
      <c r="Q48258" s="8"/>
    </row>
    <row r="48259" spans="17:17" x14ac:dyDescent="0.25">
      <c r="Q48259" s="8"/>
    </row>
    <row r="48260" spans="17:17" x14ac:dyDescent="0.25">
      <c r="Q48260" s="8"/>
    </row>
    <row r="48261" spans="17:17" x14ac:dyDescent="0.25">
      <c r="Q48261" s="8"/>
    </row>
    <row r="48262" spans="17:17" x14ac:dyDescent="0.25">
      <c r="Q48262" s="8"/>
    </row>
    <row r="48263" spans="17:17" x14ac:dyDescent="0.25">
      <c r="Q48263" s="8"/>
    </row>
    <row r="48264" spans="17:17" x14ac:dyDescent="0.25">
      <c r="Q48264" s="8"/>
    </row>
    <row r="48265" spans="17:17" x14ac:dyDescent="0.25">
      <c r="Q48265" s="8"/>
    </row>
    <row r="48266" spans="17:17" x14ac:dyDescent="0.25">
      <c r="Q48266" s="8"/>
    </row>
    <row r="48267" spans="17:17" x14ac:dyDescent="0.25">
      <c r="Q48267" s="8"/>
    </row>
    <row r="48268" spans="17:17" x14ac:dyDescent="0.25">
      <c r="Q48268" s="8"/>
    </row>
    <row r="48269" spans="17:17" x14ac:dyDescent="0.25">
      <c r="Q48269" s="8"/>
    </row>
    <row r="48270" spans="17:17" x14ac:dyDescent="0.25">
      <c r="Q48270" s="8"/>
    </row>
    <row r="48271" spans="17:17" x14ac:dyDescent="0.25">
      <c r="Q48271" s="8"/>
    </row>
    <row r="48272" spans="17:17" x14ac:dyDescent="0.25">
      <c r="Q48272" s="8"/>
    </row>
    <row r="48273" spans="17:17" x14ac:dyDescent="0.25">
      <c r="Q48273" s="8"/>
    </row>
    <row r="48274" spans="17:17" x14ac:dyDescent="0.25">
      <c r="Q48274" s="8"/>
    </row>
    <row r="48275" spans="17:17" x14ac:dyDescent="0.25">
      <c r="Q48275" s="8"/>
    </row>
    <row r="48276" spans="17:17" x14ac:dyDescent="0.25">
      <c r="Q48276" s="8"/>
    </row>
    <row r="48277" spans="17:17" x14ac:dyDescent="0.25">
      <c r="Q48277" s="8"/>
    </row>
    <row r="48278" spans="17:17" x14ac:dyDescent="0.25">
      <c r="Q48278" s="8"/>
    </row>
    <row r="48279" spans="17:17" x14ac:dyDescent="0.25">
      <c r="Q48279" s="8"/>
    </row>
    <row r="48280" spans="17:17" x14ac:dyDescent="0.25">
      <c r="Q48280" s="8"/>
    </row>
    <row r="48281" spans="17:17" x14ac:dyDescent="0.25">
      <c r="Q48281" s="8"/>
    </row>
    <row r="48282" spans="17:17" x14ac:dyDescent="0.25">
      <c r="Q48282" s="8"/>
    </row>
    <row r="48283" spans="17:17" x14ac:dyDescent="0.25">
      <c r="Q48283" s="8"/>
    </row>
    <row r="48284" spans="17:17" x14ac:dyDescent="0.25">
      <c r="Q48284" s="8"/>
    </row>
    <row r="48285" spans="17:17" x14ac:dyDescent="0.25">
      <c r="Q48285" s="8"/>
    </row>
    <row r="48286" spans="17:17" x14ac:dyDescent="0.25">
      <c r="Q48286" s="8"/>
    </row>
    <row r="48287" spans="17:17" x14ac:dyDescent="0.25">
      <c r="Q48287" s="8"/>
    </row>
    <row r="48288" spans="17:17" x14ac:dyDescent="0.25">
      <c r="Q48288" s="8"/>
    </row>
    <row r="48289" spans="17:17" x14ac:dyDescent="0.25">
      <c r="Q48289" s="8"/>
    </row>
    <row r="48290" spans="17:17" x14ac:dyDescent="0.25">
      <c r="Q48290" s="8"/>
    </row>
    <row r="48291" spans="17:17" x14ac:dyDescent="0.25">
      <c r="Q48291" s="8"/>
    </row>
    <row r="48292" spans="17:17" x14ac:dyDescent="0.25">
      <c r="Q48292" s="8"/>
    </row>
    <row r="48293" spans="17:17" x14ac:dyDescent="0.25">
      <c r="Q48293" s="8"/>
    </row>
    <row r="48294" spans="17:17" x14ac:dyDescent="0.25">
      <c r="Q48294" s="8"/>
    </row>
    <row r="48295" spans="17:17" x14ac:dyDescent="0.25">
      <c r="Q48295" s="8"/>
    </row>
    <row r="48296" spans="17:17" x14ac:dyDescent="0.25">
      <c r="Q48296" s="8"/>
    </row>
    <row r="48297" spans="17:17" x14ac:dyDescent="0.25">
      <c r="Q48297" s="8"/>
    </row>
    <row r="48298" spans="17:17" x14ac:dyDescent="0.25">
      <c r="Q48298" s="8"/>
    </row>
    <row r="48299" spans="17:17" x14ac:dyDescent="0.25">
      <c r="Q48299" s="8"/>
    </row>
    <row r="48300" spans="17:17" x14ac:dyDescent="0.25">
      <c r="Q48300" s="8"/>
    </row>
    <row r="48301" spans="17:17" x14ac:dyDescent="0.25">
      <c r="Q48301" s="8"/>
    </row>
    <row r="48302" spans="17:17" x14ac:dyDescent="0.25">
      <c r="Q48302" s="8"/>
    </row>
    <row r="48303" spans="17:17" x14ac:dyDescent="0.25">
      <c r="Q48303" s="8"/>
    </row>
    <row r="48304" spans="17:17" x14ac:dyDescent="0.25">
      <c r="Q48304" s="8"/>
    </row>
    <row r="48305" spans="17:17" x14ac:dyDescent="0.25">
      <c r="Q48305" s="8"/>
    </row>
    <row r="48306" spans="17:17" x14ac:dyDescent="0.25">
      <c r="Q48306" s="8"/>
    </row>
    <row r="48307" spans="17:17" x14ac:dyDescent="0.25">
      <c r="Q48307" s="8"/>
    </row>
    <row r="48308" spans="17:17" x14ac:dyDescent="0.25">
      <c r="Q48308" s="8"/>
    </row>
    <row r="48309" spans="17:17" x14ac:dyDescent="0.25">
      <c r="Q48309" s="8"/>
    </row>
    <row r="48310" spans="17:17" x14ac:dyDescent="0.25">
      <c r="Q48310" s="8"/>
    </row>
    <row r="48311" spans="17:17" x14ac:dyDescent="0.25">
      <c r="Q48311" s="8"/>
    </row>
    <row r="48312" spans="17:17" x14ac:dyDescent="0.25">
      <c r="Q48312" s="8"/>
    </row>
    <row r="48313" spans="17:17" x14ac:dyDescent="0.25">
      <c r="Q48313" s="8"/>
    </row>
    <row r="48314" spans="17:17" x14ac:dyDescent="0.25">
      <c r="Q48314" s="8"/>
    </row>
    <row r="48315" spans="17:17" x14ac:dyDescent="0.25">
      <c r="Q48315" s="8"/>
    </row>
    <row r="48316" spans="17:17" x14ac:dyDescent="0.25">
      <c r="Q48316" s="8"/>
    </row>
    <row r="48317" spans="17:17" x14ac:dyDescent="0.25">
      <c r="Q48317" s="8"/>
    </row>
    <row r="48318" spans="17:17" x14ac:dyDescent="0.25">
      <c r="Q48318" s="8"/>
    </row>
    <row r="48319" spans="17:17" x14ac:dyDescent="0.25">
      <c r="Q48319" s="8"/>
    </row>
    <row r="48320" spans="17:17" x14ac:dyDescent="0.25">
      <c r="Q48320" s="8"/>
    </row>
    <row r="48321" spans="17:17" x14ac:dyDescent="0.25">
      <c r="Q48321" s="8"/>
    </row>
    <row r="48322" spans="17:17" x14ac:dyDescent="0.25">
      <c r="Q48322" s="8"/>
    </row>
    <row r="48323" spans="17:17" x14ac:dyDescent="0.25">
      <c r="Q48323" s="8"/>
    </row>
    <row r="48324" spans="17:17" x14ac:dyDescent="0.25">
      <c r="Q48324" s="8"/>
    </row>
    <row r="48325" spans="17:17" x14ac:dyDescent="0.25">
      <c r="Q48325" s="8"/>
    </row>
    <row r="48326" spans="17:17" x14ac:dyDescent="0.25">
      <c r="Q48326" s="8"/>
    </row>
    <row r="48327" spans="17:17" x14ac:dyDescent="0.25">
      <c r="Q48327" s="8"/>
    </row>
    <row r="48328" spans="17:17" x14ac:dyDescent="0.25">
      <c r="Q48328" s="8"/>
    </row>
    <row r="48329" spans="17:17" x14ac:dyDescent="0.25">
      <c r="Q48329" s="8"/>
    </row>
    <row r="48330" spans="17:17" x14ac:dyDescent="0.25">
      <c r="Q48330" s="8"/>
    </row>
    <row r="48331" spans="17:17" x14ac:dyDescent="0.25">
      <c r="Q48331" s="8"/>
    </row>
    <row r="48332" spans="17:17" x14ac:dyDescent="0.25">
      <c r="Q48332" s="8"/>
    </row>
    <row r="48333" spans="17:17" x14ac:dyDescent="0.25">
      <c r="Q48333" s="8"/>
    </row>
    <row r="48334" spans="17:17" x14ac:dyDescent="0.25">
      <c r="Q48334" s="8"/>
    </row>
    <row r="48335" spans="17:17" x14ac:dyDescent="0.25">
      <c r="Q48335" s="8"/>
    </row>
    <row r="48336" spans="17:17" x14ac:dyDescent="0.25">
      <c r="Q48336" s="8"/>
    </row>
    <row r="48337" spans="17:17" x14ac:dyDescent="0.25">
      <c r="Q48337" s="8"/>
    </row>
    <row r="48338" spans="17:17" x14ac:dyDescent="0.25">
      <c r="Q48338" s="8"/>
    </row>
    <row r="48339" spans="17:17" x14ac:dyDescent="0.25">
      <c r="Q48339" s="8"/>
    </row>
    <row r="48340" spans="17:17" x14ac:dyDescent="0.25">
      <c r="Q48340" s="8"/>
    </row>
    <row r="48341" spans="17:17" x14ac:dyDescent="0.25">
      <c r="Q48341" s="8"/>
    </row>
    <row r="48342" spans="17:17" x14ac:dyDescent="0.25">
      <c r="Q48342" s="8"/>
    </row>
    <row r="48343" spans="17:17" x14ac:dyDescent="0.25">
      <c r="Q48343" s="8"/>
    </row>
    <row r="48344" spans="17:17" x14ac:dyDescent="0.25">
      <c r="Q48344" s="8"/>
    </row>
    <row r="48345" spans="17:17" x14ac:dyDescent="0.25">
      <c r="Q48345" s="8"/>
    </row>
    <row r="48346" spans="17:17" x14ac:dyDescent="0.25">
      <c r="Q48346" s="8"/>
    </row>
    <row r="48347" spans="17:17" x14ac:dyDescent="0.25">
      <c r="Q48347" s="8"/>
    </row>
    <row r="48348" spans="17:17" x14ac:dyDescent="0.25">
      <c r="Q48348" s="8"/>
    </row>
    <row r="48349" spans="17:17" x14ac:dyDescent="0.25">
      <c r="Q48349" s="8"/>
    </row>
    <row r="48350" spans="17:17" x14ac:dyDescent="0.25">
      <c r="Q48350" s="8"/>
    </row>
    <row r="48351" spans="17:17" x14ac:dyDescent="0.25">
      <c r="Q48351" s="8"/>
    </row>
    <row r="48352" spans="17:17" x14ac:dyDescent="0.25">
      <c r="Q48352" s="8"/>
    </row>
    <row r="48353" spans="17:17" x14ac:dyDescent="0.25">
      <c r="Q48353" s="8"/>
    </row>
    <row r="48354" spans="17:17" x14ac:dyDescent="0.25">
      <c r="Q48354" s="8"/>
    </row>
    <row r="48355" spans="17:17" x14ac:dyDescent="0.25">
      <c r="Q48355" s="8"/>
    </row>
    <row r="48356" spans="17:17" x14ac:dyDescent="0.25">
      <c r="Q48356" s="8"/>
    </row>
    <row r="48357" spans="17:17" x14ac:dyDescent="0.25">
      <c r="Q48357" s="8"/>
    </row>
    <row r="48358" spans="17:17" x14ac:dyDescent="0.25">
      <c r="Q48358" s="8"/>
    </row>
    <row r="48359" spans="17:17" x14ac:dyDescent="0.25">
      <c r="Q48359" s="8"/>
    </row>
    <row r="48360" spans="17:17" x14ac:dyDescent="0.25">
      <c r="Q48360" s="8"/>
    </row>
    <row r="48361" spans="17:17" x14ac:dyDescent="0.25">
      <c r="Q48361" s="8"/>
    </row>
    <row r="48362" spans="17:17" x14ac:dyDescent="0.25">
      <c r="Q48362" s="8"/>
    </row>
    <row r="48363" spans="17:17" x14ac:dyDescent="0.25">
      <c r="Q48363" s="8"/>
    </row>
    <row r="48364" spans="17:17" x14ac:dyDescent="0.25">
      <c r="Q48364" s="8"/>
    </row>
    <row r="48365" spans="17:17" x14ac:dyDescent="0.25">
      <c r="Q48365" s="8"/>
    </row>
    <row r="48366" spans="17:17" x14ac:dyDescent="0.25">
      <c r="Q48366" s="8"/>
    </row>
    <row r="48367" spans="17:17" x14ac:dyDescent="0.25">
      <c r="Q48367" s="8"/>
    </row>
    <row r="48368" spans="17:17" x14ac:dyDescent="0.25">
      <c r="Q48368" s="8"/>
    </row>
    <row r="48369" spans="17:17" x14ac:dyDescent="0.25">
      <c r="Q48369" s="8"/>
    </row>
    <row r="48370" spans="17:17" x14ac:dyDescent="0.25">
      <c r="Q48370" s="8"/>
    </row>
    <row r="48371" spans="17:17" x14ac:dyDescent="0.25">
      <c r="Q48371" s="8"/>
    </row>
    <row r="48372" spans="17:17" x14ac:dyDescent="0.25">
      <c r="Q48372" s="8"/>
    </row>
    <row r="48373" spans="17:17" x14ac:dyDescent="0.25">
      <c r="Q48373" s="8"/>
    </row>
    <row r="48374" spans="17:17" x14ac:dyDescent="0.25">
      <c r="Q48374" s="8"/>
    </row>
    <row r="48375" spans="17:17" x14ac:dyDescent="0.25">
      <c r="Q48375" s="8"/>
    </row>
    <row r="48376" spans="17:17" x14ac:dyDescent="0.25">
      <c r="Q48376" s="8"/>
    </row>
    <row r="48377" spans="17:17" x14ac:dyDescent="0.25">
      <c r="Q48377" s="8"/>
    </row>
    <row r="48378" spans="17:17" x14ac:dyDescent="0.25">
      <c r="Q48378" s="8"/>
    </row>
    <row r="48379" spans="17:17" x14ac:dyDescent="0.25">
      <c r="Q48379" s="8"/>
    </row>
    <row r="48380" spans="17:17" x14ac:dyDescent="0.25">
      <c r="Q48380" s="8"/>
    </row>
    <row r="48381" spans="17:17" x14ac:dyDescent="0.25">
      <c r="Q48381" s="8"/>
    </row>
    <row r="48382" spans="17:17" x14ac:dyDescent="0.25">
      <c r="Q48382" s="8"/>
    </row>
    <row r="48383" spans="17:17" x14ac:dyDescent="0.25">
      <c r="Q48383" s="8"/>
    </row>
    <row r="48384" spans="17:17" x14ac:dyDescent="0.25">
      <c r="Q48384" s="8"/>
    </row>
    <row r="48385" spans="17:17" x14ac:dyDescent="0.25">
      <c r="Q48385" s="8"/>
    </row>
    <row r="48386" spans="17:17" x14ac:dyDescent="0.25">
      <c r="Q48386" s="8"/>
    </row>
    <row r="48387" spans="17:17" x14ac:dyDescent="0.25">
      <c r="Q48387" s="8"/>
    </row>
    <row r="48388" spans="17:17" x14ac:dyDescent="0.25">
      <c r="Q48388" s="8"/>
    </row>
    <row r="48389" spans="17:17" x14ac:dyDescent="0.25">
      <c r="Q48389" s="8"/>
    </row>
    <row r="48390" spans="17:17" x14ac:dyDescent="0.25">
      <c r="Q48390" s="8"/>
    </row>
    <row r="48391" spans="17:17" x14ac:dyDescent="0.25">
      <c r="Q48391" s="8"/>
    </row>
    <row r="48392" spans="17:17" x14ac:dyDescent="0.25">
      <c r="Q48392" s="8"/>
    </row>
    <row r="48393" spans="17:17" x14ac:dyDescent="0.25">
      <c r="Q48393" s="8"/>
    </row>
    <row r="48394" spans="17:17" x14ac:dyDescent="0.25">
      <c r="Q48394" s="8"/>
    </row>
    <row r="48395" spans="17:17" x14ac:dyDescent="0.25">
      <c r="Q48395" s="8"/>
    </row>
    <row r="48396" spans="17:17" x14ac:dyDescent="0.25">
      <c r="Q48396" s="8"/>
    </row>
    <row r="48397" spans="17:17" x14ac:dyDescent="0.25">
      <c r="Q48397" s="8"/>
    </row>
    <row r="48398" spans="17:17" x14ac:dyDescent="0.25">
      <c r="Q48398" s="8"/>
    </row>
    <row r="48399" spans="17:17" x14ac:dyDescent="0.25">
      <c r="Q48399" s="8"/>
    </row>
    <row r="48400" spans="17:17" x14ac:dyDescent="0.25">
      <c r="Q48400" s="8"/>
    </row>
    <row r="48401" spans="17:17" x14ac:dyDescent="0.25">
      <c r="Q48401" s="8"/>
    </row>
    <row r="48402" spans="17:17" x14ac:dyDescent="0.25">
      <c r="Q48402" s="8"/>
    </row>
    <row r="48403" spans="17:17" x14ac:dyDescent="0.25">
      <c r="Q48403" s="8"/>
    </row>
    <row r="48404" spans="17:17" x14ac:dyDescent="0.25">
      <c r="Q48404" s="8"/>
    </row>
    <row r="48405" spans="17:17" x14ac:dyDescent="0.25">
      <c r="Q48405" s="8"/>
    </row>
    <row r="48406" spans="17:17" x14ac:dyDescent="0.25">
      <c r="Q48406" s="8"/>
    </row>
    <row r="48407" spans="17:17" x14ac:dyDescent="0.25">
      <c r="Q48407" s="8"/>
    </row>
    <row r="48408" spans="17:17" x14ac:dyDescent="0.25">
      <c r="Q48408" s="8"/>
    </row>
    <row r="48409" spans="17:17" x14ac:dyDescent="0.25">
      <c r="Q48409" s="8"/>
    </row>
    <row r="48410" spans="17:17" x14ac:dyDescent="0.25">
      <c r="Q48410" s="8"/>
    </row>
    <row r="48411" spans="17:17" x14ac:dyDescent="0.25">
      <c r="Q48411" s="8"/>
    </row>
    <row r="48412" spans="17:17" x14ac:dyDescent="0.25">
      <c r="Q48412" s="8"/>
    </row>
    <row r="48413" spans="17:17" x14ac:dyDescent="0.25">
      <c r="Q48413" s="8"/>
    </row>
    <row r="48414" spans="17:17" x14ac:dyDescent="0.25">
      <c r="Q48414" s="8"/>
    </row>
    <row r="48415" spans="17:17" x14ac:dyDescent="0.25">
      <c r="Q48415" s="8"/>
    </row>
    <row r="48416" spans="17:17" x14ac:dyDescent="0.25">
      <c r="Q48416" s="8"/>
    </row>
    <row r="48417" spans="17:17" x14ac:dyDescent="0.25">
      <c r="Q48417" s="8"/>
    </row>
    <row r="48418" spans="17:17" x14ac:dyDescent="0.25">
      <c r="Q48418" s="8"/>
    </row>
    <row r="48419" spans="17:17" x14ac:dyDescent="0.25">
      <c r="Q48419" s="8"/>
    </row>
    <row r="48420" spans="17:17" x14ac:dyDescent="0.25">
      <c r="Q48420" s="8"/>
    </row>
    <row r="48421" spans="17:17" x14ac:dyDescent="0.25">
      <c r="Q48421" s="8"/>
    </row>
    <row r="48422" spans="17:17" x14ac:dyDescent="0.25">
      <c r="Q48422" s="8"/>
    </row>
    <row r="48423" spans="17:17" x14ac:dyDescent="0.25">
      <c r="Q48423" s="8"/>
    </row>
    <row r="48424" spans="17:17" x14ac:dyDescent="0.25">
      <c r="Q48424" s="8"/>
    </row>
    <row r="48425" spans="17:17" x14ac:dyDescent="0.25">
      <c r="Q48425" s="8"/>
    </row>
    <row r="48426" spans="17:17" x14ac:dyDescent="0.25">
      <c r="Q48426" s="8"/>
    </row>
    <row r="48427" spans="17:17" x14ac:dyDescent="0.25">
      <c r="Q48427" s="8"/>
    </row>
    <row r="48428" spans="17:17" x14ac:dyDescent="0.25">
      <c r="Q48428" s="8"/>
    </row>
    <row r="48429" spans="17:17" x14ac:dyDescent="0.25">
      <c r="Q48429" s="8"/>
    </row>
    <row r="48430" spans="17:17" x14ac:dyDescent="0.25">
      <c r="Q48430" s="8"/>
    </row>
    <row r="48431" spans="17:17" x14ac:dyDescent="0.25">
      <c r="Q48431" s="8"/>
    </row>
    <row r="48432" spans="17:17" x14ac:dyDescent="0.25">
      <c r="Q48432" s="8"/>
    </row>
    <row r="48433" spans="17:17" x14ac:dyDescent="0.25">
      <c r="Q48433" s="8"/>
    </row>
    <row r="48434" spans="17:17" x14ac:dyDescent="0.25">
      <c r="Q48434" s="8"/>
    </row>
    <row r="48435" spans="17:17" x14ac:dyDescent="0.25">
      <c r="Q48435" s="8"/>
    </row>
    <row r="48436" spans="17:17" x14ac:dyDescent="0.25">
      <c r="Q48436" s="8"/>
    </row>
    <row r="48437" spans="17:17" x14ac:dyDescent="0.25">
      <c r="Q48437" s="8"/>
    </row>
    <row r="48438" spans="17:17" x14ac:dyDescent="0.25">
      <c r="Q48438" s="8"/>
    </row>
    <row r="48439" spans="17:17" x14ac:dyDescent="0.25">
      <c r="Q48439" s="8"/>
    </row>
    <row r="48440" spans="17:17" x14ac:dyDescent="0.25">
      <c r="Q48440" s="8"/>
    </row>
    <row r="48441" spans="17:17" x14ac:dyDescent="0.25">
      <c r="Q48441" s="8"/>
    </row>
    <row r="48442" spans="17:17" x14ac:dyDescent="0.25">
      <c r="Q48442" s="8"/>
    </row>
    <row r="48443" spans="17:17" x14ac:dyDescent="0.25">
      <c r="Q48443" s="8"/>
    </row>
    <row r="48444" spans="17:17" x14ac:dyDescent="0.25">
      <c r="Q48444" s="8"/>
    </row>
    <row r="48445" spans="17:17" x14ac:dyDescent="0.25">
      <c r="Q48445" s="8"/>
    </row>
    <row r="48446" spans="17:17" x14ac:dyDescent="0.25">
      <c r="Q48446" s="8"/>
    </row>
    <row r="48447" spans="17:17" x14ac:dyDescent="0.25">
      <c r="Q48447" s="8"/>
    </row>
    <row r="48448" spans="17:17" x14ac:dyDescent="0.25">
      <c r="Q48448" s="8"/>
    </row>
    <row r="48449" spans="17:17" x14ac:dyDescent="0.25">
      <c r="Q48449" s="8"/>
    </row>
    <row r="48450" spans="17:17" x14ac:dyDescent="0.25">
      <c r="Q48450" s="8"/>
    </row>
    <row r="48451" spans="17:17" x14ac:dyDescent="0.25">
      <c r="Q48451" s="8"/>
    </row>
    <row r="48452" spans="17:17" x14ac:dyDescent="0.25">
      <c r="Q48452" s="8"/>
    </row>
    <row r="48453" spans="17:17" x14ac:dyDescent="0.25">
      <c r="Q48453" s="8"/>
    </row>
    <row r="48454" spans="17:17" x14ac:dyDescent="0.25">
      <c r="Q48454" s="8"/>
    </row>
    <row r="48455" spans="17:17" x14ac:dyDescent="0.25">
      <c r="Q48455" s="8"/>
    </row>
    <row r="48456" spans="17:17" x14ac:dyDescent="0.25">
      <c r="Q48456" s="8"/>
    </row>
    <row r="48457" spans="17:17" x14ac:dyDescent="0.25">
      <c r="Q48457" s="8"/>
    </row>
    <row r="48458" spans="17:17" x14ac:dyDescent="0.25">
      <c r="Q48458" s="8"/>
    </row>
    <row r="48459" spans="17:17" x14ac:dyDescent="0.25">
      <c r="Q48459" s="8"/>
    </row>
    <row r="48460" spans="17:17" x14ac:dyDescent="0.25">
      <c r="Q48460" s="8"/>
    </row>
    <row r="48461" spans="17:17" x14ac:dyDescent="0.25">
      <c r="Q48461" s="8"/>
    </row>
    <row r="48462" spans="17:17" x14ac:dyDescent="0.25">
      <c r="Q48462" s="8"/>
    </row>
    <row r="48463" spans="17:17" x14ac:dyDescent="0.25">
      <c r="Q48463" s="8"/>
    </row>
    <row r="48464" spans="17:17" x14ac:dyDescent="0.25">
      <c r="Q48464" s="8"/>
    </row>
    <row r="48465" spans="17:17" x14ac:dyDescent="0.25">
      <c r="Q48465" s="8"/>
    </row>
    <row r="48466" spans="17:17" x14ac:dyDescent="0.25">
      <c r="Q48466" s="8"/>
    </row>
    <row r="48467" spans="17:17" x14ac:dyDescent="0.25">
      <c r="Q48467" s="8"/>
    </row>
    <row r="48468" spans="17:17" x14ac:dyDescent="0.25">
      <c r="Q48468" s="8"/>
    </row>
    <row r="48469" spans="17:17" x14ac:dyDescent="0.25">
      <c r="Q48469" s="8"/>
    </row>
    <row r="48470" spans="17:17" x14ac:dyDescent="0.25">
      <c r="Q48470" s="8"/>
    </row>
    <row r="48471" spans="17:17" x14ac:dyDescent="0.25">
      <c r="Q48471" s="8"/>
    </row>
    <row r="48472" spans="17:17" x14ac:dyDescent="0.25">
      <c r="Q48472" s="8"/>
    </row>
    <row r="48473" spans="17:17" x14ac:dyDescent="0.25">
      <c r="Q48473" s="8"/>
    </row>
    <row r="48474" spans="17:17" x14ac:dyDescent="0.25">
      <c r="Q48474" s="8"/>
    </row>
    <row r="48475" spans="17:17" x14ac:dyDescent="0.25">
      <c r="Q48475" s="8"/>
    </row>
    <row r="48476" spans="17:17" x14ac:dyDescent="0.25">
      <c r="Q48476" s="8"/>
    </row>
    <row r="48477" spans="17:17" x14ac:dyDescent="0.25">
      <c r="Q48477" s="8"/>
    </row>
    <row r="48478" spans="17:17" x14ac:dyDescent="0.25">
      <c r="Q48478" s="8"/>
    </row>
    <row r="48479" spans="17:17" x14ac:dyDescent="0.25">
      <c r="Q48479" s="8"/>
    </row>
    <row r="48480" spans="17:17" x14ac:dyDescent="0.25">
      <c r="Q48480" s="8"/>
    </row>
    <row r="48481" spans="17:17" x14ac:dyDescent="0.25">
      <c r="Q48481" s="8"/>
    </row>
    <row r="48482" spans="17:17" x14ac:dyDescent="0.25">
      <c r="Q48482" s="8"/>
    </row>
    <row r="48483" spans="17:17" x14ac:dyDescent="0.25">
      <c r="Q48483" s="8"/>
    </row>
    <row r="48484" spans="17:17" x14ac:dyDescent="0.25">
      <c r="Q48484" s="8"/>
    </row>
    <row r="48485" spans="17:17" x14ac:dyDescent="0.25">
      <c r="Q48485" s="8"/>
    </row>
    <row r="48486" spans="17:17" x14ac:dyDescent="0.25">
      <c r="Q48486" s="8"/>
    </row>
    <row r="48487" spans="17:17" x14ac:dyDescent="0.25">
      <c r="Q48487" s="8"/>
    </row>
    <row r="48488" spans="17:17" x14ac:dyDescent="0.25">
      <c r="Q48488" s="8"/>
    </row>
    <row r="48489" spans="17:17" x14ac:dyDescent="0.25">
      <c r="Q48489" s="8"/>
    </row>
    <row r="48490" spans="17:17" x14ac:dyDescent="0.25">
      <c r="Q48490" s="8"/>
    </row>
    <row r="48491" spans="17:17" x14ac:dyDescent="0.25">
      <c r="Q48491" s="8"/>
    </row>
    <row r="48492" spans="17:17" x14ac:dyDescent="0.25">
      <c r="Q48492" s="8"/>
    </row>
    <row r="48493" spans="17:17" x14ac:dyDescent="0.25">
      <c r="Q48493" s="8"/>
    </row>
    <row r="48494" spans="17:17" x14ac:dyDescent="0.25">
      <c r="Q48494" s="8"/>
    </row>
    <row r="48495" spans="17:17" x14ac:dyDescent="0.25">
      <c r="Q48495" s="8"/>
    </row>
    <row r="48496" spans="17:17" x14ac:dyDescent="0.25">
      <c r="Q48496" s="8"/>
    </row>
    <row r="48497" spans="17:17" x14ac:dyDescent="0.25">
      <c r="Q48497" s="8"/>
    </row>
    <row r="48498" spans="17:17" x14ac:dyDescent="0.25">
      <c r="Q48498" s="8"/>
    </row>
    <row r="48499" spans="17:17" x14ac:dyDescent="0.25">
      <c r="Q48499" s="8"/>
    </row>
    <row r="48500" spans="17:17" x14ac:dyDescent="0.25">
      <c r="Q48500" s="8"/>
    </row>
    <row r="48501" spans="17:17" x14ac:dyDescent="0.25">
      <c r="Q48501" s="8"/>
    </row>
    <row r="48502" spans="17:17" x14ac:dyDescent="0.25">
      <c r="Q48502" s="8"/>
    </row>
    <row r="48503" spans="17:17" x14ac:dyDescent="0.25">
      <c r="Q48503" s="8"/>
    </row>
    <row r="48504" spans="17:17" x14ac:dyDescent="0.25">
      <c r="Q48504" s="8"/>
    </row>
    <row r="48505" spans="17:17" x14ac:dyDescent="0.25">
      <c r="Q48505" s="8"/>
    </row>
    <row r="48506" spans="17:17" x14ac:dyDescent="0.25">
      <c r="Q48506" s="8"/>
    </row>
    <row r="48507" spans="17:17" x14ac:dyDescent="0.25">
      <c r="Q48507" s="8"/>
    </row>
    <row r="48508" spans="17:17" x14ac:dyDescent="0.25">
      <c r="Q48508" s="8"/>
    </row>
    <row r="48509" spans="17:17" x14ac:dyDescent="0.25">
      <c r="Q48509" s="8"/>
    </row>
    <row r="48510" spans="17:17" x14ac:dyDescent="0.25">
      <c r="Q48510" s="8"/>
    </row>
    <row r="48511" spans="17:17" x14ac:dyDescent="0.25">
      <c r="Q48511" s="8"/>
    </row>
    <row r="48512" spans="17:17" x14ac:dyDescent="0.25">
      <c r="Q48512" s="8"/>
    </row>
    <row r="48513" spans="17:17" x14ac:dyDescent="0.25">
      <c r="Q48513" s="8"/>
    </row>
    <row r="48514" spans="17:17" x14ac:dyDescent="0.25">
      <c r="Q48514" s="8"/>
    </row>
    <row r="48515" spans="17:17" x14ac:dyDescent="0.25">
      <c r="Q48515" s="8"/>
    </row>
    <row r="48516" spans="17:17" x14ac:dyDescent="0.25">
      <c r="Q48516" s="8"/>
    </row>
    <row r="48517" spans="17:17" x14ac:dyDescent="0.25">
      <c r="Q48517" s="8"/>
    </row>
    <row r="48518" spans="17:17" x14ac:dyDescent="0.25">
      <c r="Q48518" s="8"/>
    </row>
    <row r="48519" spans="17:17" x14ac:dyDescent="0.25">
      <c r="Q48519" s="8"/>
    </row>
    <row r="48520" spans="17:17" x14ac:dyDescent="0.25">
      <c r="Q48520" s="8"/>
    </row>
    <row r="48521" spans="17:17" x14ac:dyDescent="0.25">
      <c r="Q48521" s="8"/>
    </row>
    <row r="48522" spans="17:17" x14ac:dyDescent="0.25">
      <c r="Q48522" s="8"/>
    </row>
    <row r="48523" spans="17:17" x14ac:dyDescent="0.25">
      <c r="Q48523" s="8"/>
    </row>
    <row r="48524" spans="17:17" x14ac:dyDescent="0.25">
      <c r="Q48524" s="8"/>
    </row>
    <row r="48525" spans="17:17" x14ac:dyDescent="0.25">
      <c r="Q48525" s="8"/>
    </row>
    <row r="48526" spans="17:17" x14ac:dyDescent="0.25">
      <c r="Q48526" s="8"/>
    </row>
    <row r="48527" spans="17:17" x14ac:dyDescent="0.25">
      <c r="Q48527" s="8"/>
    </row>
    <row r="48528" spans="17:17" x14ac:dyDescent="0.25">
      <c r="Q48528" s="8"/>
    </row>
    <row r="48529" spans="17:17" x14ac:dyDescent="0.25">
      <c r="Q48529" s="8"/>
    </row>
    <row r="48530" spans="17:17" x14ac:dyDescent="0.25">
      <c r="Q48530" s="8"/>
    </row>
    <row r="48531" spans="17:17" x14ac:dyDescent="0.25">
      <c r="Q48531" s="8"/>
    </row>
    <row r="48532" spans="17:17" x14ac:dyDescent="0.25">
      <c r="Q48532" s="8"/>
    </row>
    <row r="48533" spans="17:17" x14ac:dyDescent="0.25">
      <c r="Q48533" s="8"/>
    </row>
    <row r="48534" spans="17:17" x14ac:dyDescent="0.25">
      <c r="Q48534" s="8"/>
    </row>
    <row r="48535" spans="17:17" x14ac:dyDescent="0.25">
      <c r="Q48535" s="8"/>
    </row>
    <row r="48536" spans="17:17" x14ac:dyDescent="0.25">
      <c r="Q48536" s="8"/>
    </row>
    <row r="48537" spans="17:17" x14ac:dyDescent="0.25">
      <c r="Q48537" s="8"/>
    </row>
    <row r="48538" spans="17:17" x14ac:dyDescent="0.25">
      <c r="Q48538" s="8"/>
    </row>
    <row r="48539" spans="17:17" x14ac:dyDescent="0.25">
      <c r="Q48539" s="8"/>
    </row>
    <row r="48540" spans="17:17" x14ac:dyDescent="0.25">
      <c r="Q48540" s="8"/>
    </row>
    <row r="48541" spans="17:17" x14ac:dyDescent="0.25">
      <c r="Q48541" s="8"/>
    </row>
    <row r="48542" spans="17:17" x14ac:dyDescent="0.25">
      <c r="Q48542" s="8"/>
    </row>
    <row r="48543" spans="17:17" x14ac:dyDescent="0.25">
      <c r="Q48543" s="8"/>
    </row>
    <row r="48544" spans="17:17" x14ac:dyDescent="0.25">
      <c r="Q48544" s="8"/>
    </row>
    <row r="48545" spans="17:17" x14ac:dyDescent="0.25">
      <c r="Q48545" s="8"/>
    </row>
    <row r="48546" spans="17:17" x14ac:dyDescent="0.25">
      <c r="Q48546" s="8"/>
    </row>
    <row r="48547" spans="17:17" x14ac:dyDescent="0.25">
      <c r="Q48547" s="8"/>
    </row>
    <row r="48548" spans="17:17" x14ac:dyDescent="0.25">
      <c r="Q48548" s="8"/>
    </row>
    <row r="48549" spans="17:17" x14ac:dyDescent="0.25">
      <c r="Q48549" s="8"/>
    </row>
    <row r="48550" spans="17:17" x14ac:dyDescent="0.25">
      <c r="Q48550" s="8"/>
    </row>
    <row r="48551" spans="17:17" x14ac:dyDescent="0.25">
      <c r="Q48551" s="8"/>
    </row>
    <row r="48552" spans="17:17" x14ac:dyDescent="0.25">
      <c r="Q48552" s="8"/>
    </row>
    <row r="48553" spans="17:17" x14ac:dyDescent="0.25">
      <c r="Q48553" s="8"/>
    </row>
    <row r="48554" spans="17:17" x14ac:dyDescent="0.25">
      <c r="Q48554" s="8"/>
    </row>
    <row r="48555" spans="17:17" x14ac:dyDescent="0.25">
      <c r="Q48555" s="8"/>
    </row>
    <row r="48556" spans="17:17" x14ac:dyDescent="0.25">
      <c r="Q48556" s="8"/>
    </row>
    <row r="48557" spans="17:17" x14ac:dyDescent="0.25">
      <c r="Q48557" s="8"/>
    </row>
    <row r="48558" spans="17:17" x14ac:dyDescent="0.25">
      <c r="Q48558" s="8"/>
    </row>
    <row r="48559" spans="17:17" x14ac:dyDescent="0.25">
      <c r="Q48559" s="8"/>
    </row>
    <row r="48560" spans="17:17" x14ac:dyDescent="0.25">
      <c r="Q48560" s="8"/>
    </row>
    <row r="48561" spans="17:17" x14ac:dyDescent="0.25">
      <c r="Q48561" s="8"/>
    </row>
    <row r="48562" spans="17:17" x14ac:dyDescent="0.25">
      <c r="Q48562" s="8"/>
    </row>
    <row r="48563" spans="17:17" x14ac:dyDescent="0.25">
      <c r="Q48563" s="8"/>
    </row>
    <row r="48564" spans="17:17" x14ac:dyDescent="0.25">
      <c r="Q48564" s="8"/>
    </row>
    <row r="48565" spans="17:17" x14ac:dyDescent="0.25">
      <c r="Q48565" s="8"/>
    </row>
    <row r="48566" spans="17:17" x14ac:dyDescent="0.25">
      <c r="Q48566" s="8"/>
    </row>
    <row r="48567" spans="17:17" x14ac:dyDescent="0.25">
      <c r="Q48567" s="8"/>
    </row>
    <row r="48568" spans="17:17" x14ac:dyDescent="0.25">
      <c r="Q48568" s="8"/>
    </row>
    <row r="48569" spans="17:17" x14ac:dyDescent="0.25">
      <c r="Q48569" s="8"/>
    </row>
    <row r="48570" spans="17:17" x14ac:dyDescent="0.25">
      <c r="Q48570" s="8"/>
    </row>
    <row r="48571" spans="17:17" x14ac:dyDescent="0.25">
      <c r="Q48571" s="8"/>
    </row>
    <row r="48572" spans="17:17" x14ac:dyDescent="0.25">
      <c r="Q48572" s="8"/>
    </row>
    <row r="48573" spans="17:17" x14ac:dyDescent="0.25">
      <c r="Q48573" s="8"/>
    </row>
    <row r="48574" spans="17:17" x14ac:dyDescent="0.25">
      <c r="Q48574" s="8"/>
    </row>
    <row r="48575" spans="17:17" x14ac:dyDescent="0.25">
      <c r="Q48575" s="8"/>
    </row>
    <row r="48576" spans="17:17" x14ac:dyDescent="0.25">
      <c r="Q48576" s="8"/>
    </row>
    <row r="48577" spans="17:17" x14ac:dyDescent="0.25">
      <c r="Q48577" s="8"/>
    </row>
    <row r="48578" spans="17:17" x14ac:dyDescent="0.25">
      <c r="Q48578" s="8"/>
    </row>
    <row r="48579" spans="17:17" x14ac:dyDescent="0.25">
      <c r="Q48579" s="8"/>
    </row>
    <row r="48580" spans="17:17" x14ac:dyDescent="0.25">
      <c r="Q48580" s="8"/>
    </row>
    <row r="48581" spans="17:17" x14ac:dyDescent="0.25">
      <c r="Q48581" s="8"/>
    </row>
    <row r="48582" spans="17:17" x14ac:dyDescent="0.25">
      <c r="Q48582" s="8"/>
    </row>
    <row r="48583" spans="17:17" x14ac:dyDescent="0.25">
      <c r="Q48583" s="8"/>
    </row>
    <row r="48584" spans="17:17" x14ac:dyDescent="0.25">
      <c r="Q48584" s="8"/>
    </row>
    <row r="48585" spans="17:17" x14ac:dyDescent="0.25">
      <c r="Q48585" s="8"/>
    </row>
    <row r="48586" spans="17:17" x14ac:dyDescent="0.25">
      <c r="Q48586" s="8"/>
    </row>
    <row r="48587" spans="17:17" x14ac:dyDescent="0.25">
      <c r="Q48587" s="8"/>
    </row>
    <row r="48588" spans="17:17" x14ac:dyDescent="0.25">
      <c r="Q48588" s="8"/>
    </row>
    <row r="48589" spans="17:17" x14ac:dyDescent="0.25">
      <c r="Q48589" s="8"/>
    </row>
    <row r="48590" spans="17:17" x14ac:dyDescent="0.25">
      <c r="Q48590" s="8"/>
    </row>
    <row r="48591" spans="17:17" x14ac:dyDescent="0.25">
      <c r="Q48591" s="8"/>
    </row>
    <row r="48592" spans="17:17" x14ac:dyDescent="0.25">
      <c r="Q48592" s="8"/>
    </row>
    <row r="48593" spans="17:17" x14ac:dyDescent="0.25">
      <c r="Q48593" s="8"/>
    </row>
    <row r="48594" spans="17:17" x14ac:dyDescent="0.25">
      <c r="Q48594" s="8"/>
    </row>
    <row r="48595" spans="17:17" x14ac:dyDescent="0.25">
      <c r="Q48595" s="8"/>
    </row>
    <row r="48596" spans="17:17" x14ac:dyDescent="0.25">
      <c r="Q48596" s="8"/>
    </row>
    <row r="48597" spans="17:17" x14ac:dyDescent="0.25">
      <c r="Q48597" s="8"/>
    </row>
    <row r="48598" spans="17:17" x14ac:dyDescent="0.25">
      <c r="Q48598" s="8"/>
    </row>
    <row r="48599" spans="17:17" x14ac:dyDescent="0.25">
      <c r="Q48599" s="8"/>
    </row>
    <row r="48600" spans="17:17" x14ac:dyDescent="0.25">
      <c r="Q48600" s="8"/>
    </row>
    <row r="48601" spans="17:17" x14ac:dyDescent="0.25">
      <c r="Q48601" s="8"/>
    </row>
    <row r="48602" spans="17:17" x14ac:dyDescent="0.25">
      <c r="Q48602" s="8"/>
    </row>
    <row r="48603" spans="17:17" x14ac:dyDescent="0.25">
      <c r="Q48603" s="8"/>
    </row>
    <row r="48604" spans="17:17" x14ac:dyDescent="0.25">
      <c r="Q48604" s="8"/>
    </row>
    <row r="48605" spans="17:17" x14ac:dyDescent="0.25">
      <c r="Q48605" s="8"/>
    </row>
    <row r="48606" spans="17:17" x14ac:dyDescent="0.25">
      <c r="Q48606" s="8"/>
    </row>
    <row r="48607" spans="17:17" x14ac:dyDescent="0.25">
      <c r="Q48607" s="8"/>
    </row>
    <row r="48608" spans="17:17" x14ac:dyDescent="0.25">
      <c r="Q48608" s="8"/>
    </row>
    <row r="48609" spans="17:17" x14ac:dyDescent="0.25">
      <c r="Q48609" s="8"/>
    </row>
    <row r="48610" spans="17:17" x14ac:dyDescent="0.25">
      <c r="Q48610" s="8"/>
    </row>
    <row r="48611" spans="17:17" x14ac:dyDescent="0.25">
      <c r="Q48611" s="8"/>
    </row>
    <row r="48612" spans="17:17" x14ac:dyDescent="0.25">
      <c r="Q48612" s="8"/>
    </row>
    <row r="48613" spans="17:17" x14ac:dyDescent="0.25">
      <c r="Q48613" s="8"/>
    </row>
    <row r="48614" spans="17:17" x14ac:dyDescent="0.25">
      <c r="Q48614" s="8"/>
    </row>
    <row r="48615" spans="17:17" x14ac:dyDescent="0.25">
      <c r="Q48615" s="8"/>
    </row>
    <row r="48616" spans="17:17" x14ac:dyDescent="0.25">
      <c r="Q48616" s="8"/>
    </row>
    <row r="48617" spans="17:17" x14ac:dyDescent="0.25">
      <c r="Q48617" s="8"/>
    </row>
    <row r="48618" spans="17:17" x14ac:dyDescent="0.25">
      <c r="Q48618" s="8"/>
    </row>
    <row r="48619" spans="17:17" x14ac:dyDescent="0.25">
      <c r="Q48619" s="8"/>
    </row>
    <row r="48620" spans="17:17" x14ac:dyDescent="0.25">
      <c r="Q48620" s="8"/>
    </row>
    <row r="48621" spans="17:17" x14ac:dyDescent="0.25">
      <c r="Q48621" s="8"/>
    </row>
    <row r="48622" spans="17:17" x14ac:dyDescent="0.25">
      <c r="Q48622" s="8"/>
    </row>
    <row r="48623" spans="17:17" x14ac:dyDescent="0.25">
      <c r="Q48623" s="8"/>
    </row>
    <row r="48624" spans="17:17" x14ac:dyDescent="0.25">
      <c r="Q48624" s="8"/>
    </row>
    <row r="48625" spans="17:17" x14ac:dyDescent="0.25">
      <c r="Q48625" s="8"/>
    </row>
    <row r="48626" spans="17:17" x14ac:dyDescent="0.25">
      <c r="Q48626" s="8"/>
    </row>
    <row r="48627" spans="17:17" x14ac:dyDescent="0.25">
      <c r="Q48627" s="8"/>
    </row>
    <row r="48628" spans="17:17" x14ac:dyDescent="0.25">
      <c r="Q48628" s="8"/>
    </row>
    <row r="48629" spans="17:17" x14ac:dyDescent="0.25">
      <c r="Q48629" s="8"/>
    </row>
    <row r="48630" spans="17:17" x14ac:dyDescent="0.25">
      <c r="Q48630" s="8"/>
    </row>
    <row r="48631" spans="17:17" x14ac:dyDescent="0.25">
      <c r="Q48631" s="8"/>
    </row>
    <row r="48632" spans="17:17" x14ac:dyDescent="0.25">
      <c r="Q48632" s="8"/>
    </row>
    <row r="48633" spans="17:17" x14ac:dyDescent="0.25">
      <c r="Q48633" s="8"/>
    </row>
    <row r="48634" spans="17:17" x14ac:dyDescent="0.25">
      <c r="Q48634" s="8"/>
    </row>
    <row r="48635" spans="17:17" x14ac:dyDescent="0.25">
      <c r="Q48635" s="8"/>
    </row>
    <row r="48636" spans="17:17" x14ac:dyDescent="0.25">
      <c r="Q48636" s="8"/>
    </row>
    <row r="48637" spans="17:17" x14ac:dyDescent="0.25">
      <c r="Q48637" s="8"/>
    </row>
    <row r="48638" spans="17:17" x14ac:dyDescent="0.25">
      <c r="Q48638" s="8"/>
    </row>
    <row r="48639" spans="17:17" x14ac:dyDescent="0.25">
      <c r="Q48639" s="8"/>
    </row>
    <row r="48640" spans="17:17" x14ac:dyDescent="0.25">
      <c r="Q48640" s="8"/>
    </row>
    <row r="48641" spans="17:17" x14ac:dyDescent="0.25">
      <c r="Q48641" s="8"/>
    </row>
    <row r="48642" spans="17:17" x14ac:dyDescent="0.25">
      <c r="Q48642" s="8"/>
    </row>
    <row r="48643" spans="17:17" x14ac:dyDescent="0.25">
      <c r="Q48643" s="8"/>
    </row>
    <row r="48644" spans="17:17" x14ac:dyDescent="0.25">
      <c r="Q48644" s="8"/>
    </row>
    <row r="48645" spans="17:17" x14ac:dyDescent="0.25">
      <c r="Q48645" s="8"/>
    </row>
    <row r="48646" spans="17:17" x14ac:dyDescent="0.25">
      <c r="Q48646" s="8"/>
    </row>
    <row r="48647" spans="17:17" x14ac:dyDescent="0.25">
      <c r="Q48647" s="8"/>
    </row>
    <row r="48648" spans="17:17" x14ac:dyDescent="0.25">
      <c r="Q48648" s="8"/>
    </row>
    <row r="48649" spans="17:17" x14ac:dyDescent="0.25">
      <c r="Q48649" s="8"/>
    </row>
    <row r="48650" spans="17:17" x14ac:dyDescent="0.25">
      <c r="Q48650" s="8"/>
    </row>
    <row r="48651" spans="17:17" x14ac:dyDescent="0.25">
      <c r="Q48651" s="8"/>
    </row>
    <row r="48652" spans="17:17" x14ac:dyDescent="0.25">
      <c r="Q48652" s="8"/>
    </row>
    <row r="48653" spans="17:17" x14ac:dyDescent="0.25">
      <c r="Q48653" s="8"/>
    </row>
    <row r="48654" spans="17:17" x14ac:dyDescent="0.25">
      <c r="Q48654" s="8"/>
    </row>
    <row r="48655" spans="17:17" x14ac:dyDescent="0.25">
      <c r="Q48655" s="8"/>
    </row>
    <row r="48656" spans="17:17" x14ac:dyDescent="0.25">
      <c r="Q48656" s="8"/>
    </row>
    <row r="48657" spans="17:17" x14ac:dyDescent="0.25">
      <c r="Q48657" s="8"/>
    </row>
    <row r="48658" spans="17:17" x14ac:dyDescent="0.25">
      <c r="Q48658" s="8"/>
    </row>
    <row r="48659" spans="17:17" x14ac:dyDescent="0.25">
      <c r="Q48659" s="8"/>
    </row>
    <row r="48660" spans="17:17" x14ac:dyDescent="0.25">
      <c r="Q48660" s="8"/>
    </row>
    <row r="48661" spans="17:17" x14ac:dyDescent="0.25">
      <c r="Q48661" s="8"/>
    </row>
    <row r="48662" spans="17:17" x14ac:dyDescent="0.25">
      <c r="Q48662" s="8"/>
    </row>
    <row r="48663" spans="17:17" x14ac:dyDescent="0.25">
      <c r="Q48663" s="8"/>
    </row>
    <row r="48664" spans="17:17" x14ac:dyDescent="0.25">
      <c r="Q48664" s="8"/>
    </row>
    <row r="48665" spans="17:17" x14ac:dyDescent="0.25">
      <c r="Q48665" s="8"/>
    </row>
    <row r="48666" spans="17:17" x14ac:dyDescent="0.25">
      <c r="Q48666" s="8"/>
    </row>
    <row r="48667" spans="17:17" x14ac:dyDescent="0.25">
      <c r="Q48667" s="8"/>
    </row>
    <row r="48668" spans="17:17" x14ac:dyDescent="0.25">
      <c r="Q48668" s="8"/>
    </row>
    <row r="48669" spans="17:17" x14ac:dyDescent="0.25">
      <c r="Q48669" s="8"/>
    </row>
    <row r="48670" spans="17:17" x14ac:dyDescent="0.25">
      <c r="Q48670" s="8"/>
    </row>
    <row r="48671" spans="17:17" x14ac:dyDescent="0.25">
      <c r="Q48671" s="8"/>
    </row>
    <row r="48672" spans="17:17" x14ac:dyDescent="0.25">
      <c r="Q48672" s="8"/>
    </row>
    <row r="48673" spans="17:17" x14ac:dyDescent="0.25">
      <c r="Q48673" s="8"/>
    </row>
    <row r="48674" spans="17:17" x14ac:dyDescent="0.25">
      <c r="Q48674" s="8"/>
    </row>
    <row r="48675" spans="17:17" x14ac:dyDescent="0.25">
      <c r="Q48675" s="8"/>
    </row>
    <row r="48676" spans="17:17" x14ac:dyDescent="0.25">
      <c r="Q48676" s="8"/>
    </row>
    <row r="48677" spans="17:17" x14ac:dyDescent="0.25">
      <c r="Q48677" s="8"/>
    </row>
    <row r="48678" spans="17:17" x14ac:dyDescent="0.25">
      <c r="Q48678" s="8"/>
    </row>
    <row r="48679" spans="17:17" x14ac:dyDescent="0.25">
      <c r="Q48679" s="8"/>
    </row>
    <row r="48680" spans="17:17" x14ac:dyDescent="0.25">
      <c r="Q48680" s="8"/>
    </row>
    <row r="48681" spans="17:17" x14ac:dyDescent="0.25">
      <c r="Q48681" s="8"/>
    </row>
    <row r="48682" spans="17:17" x14ac:dyDescent="0.25">
      <c r="Q48682" s="8"/>
    </row>
    <row r="48683" spans="17:17" x14ac:dyDescent="0.25">
      <c r="Q48683" s="8"/>
    </row>
    <row r="48684" spans="17:17" x14ac:dyDescent="0.25">
      <c r="Q48684" s="8"/>
    </row>
    <row r="48685" spans="17:17" x14ac:dyDescent="0.25">
      <c r="Q48685" s="8"/>
    </row>
    <row r="48686" spans="17:17" x14ac:dyDescent="0.25">
      <c r="Q48686" s="8"/>
    </row>
    <row r="48687" spans="17:17" x14ac:dyDescent="0.25">
      <c r="Q48687" s="8"/>
    </row>
    <row r="48688" spans="17:17" x14ac:dyDescent="0.25">
      <c r="Q48688" s="8"/>
    </row>
    <row r="48689" spans="17:17" x14ac:dyDescent="0.25">
      <c r="Q48689" s="8"/>
    </row>
    <row r="48690" spans="17:17" x14ac:dyDescent="0.25">
      <c r="Q48690" s="8"/>
    </row>
    <row r="48691" spans="17:17" x14ac:dyDescent="0.25">
      <c r="Q48691" s="8"/>
    </row>
    <row r="48692" spans="17:17" x14ac:dyDescent="0.25">
      <c r="Q48692" s="8"/>
    </row>
    <row r="48693" spans="17:17" x14ac:dyDescent="0.25">
      <c r="Q48693" s="8"/>
    </row>
    <row r="48694" spans="17:17" x14ac:dyDescent="0.25">
      <c r="Q48694" s="8"/>
    </row>
    <row r="48695" spans="17:17" x14ac:dyDescent="0.25">
      <c r="Q48695" s="8"/>
    </row>
    <row r="48696" spans="17:17" x14ac:dyDescent="0.25">
      <c r="Q48696" s="8"/>
    </row>
    <row r="48697" spans="17:17" x14ac:dyDescent="0.25">
      <c r="Q48697" s="8"/>
    </row>
    <row r="48698" spans="17:17" x14ac:dyDescent="0.25">
      <c r="Q48698" s="8"/>
    </row>
    <row r="48699" spans="17:17" x14ac:dyDescent="0.25">
      <c r="Q48699" s="8"/>
    </row>
    <row r="48700" spans="17:17" x14ac:dyDescent="0.25">
      <c r="Q48700" s="8"/>
    </row>
    <row r="48701" spans="17:17" x14ac:dyDescent="0.25">
      <c r="Q48701" s="8"/>
    </row>
    <row r="48702" spans="17:17" x14ac:dyDescent="0.25">
      <c r="Q48702" s="8"/>
    </row>
    <row r="48703" spans="17:17" x14ac:dyDescent="0.25">
      <c r="Q48703" s="8"/>
    </row>
    <row r="48704" spans="17:17" x14ac:dyDescent="0.25">
      <c r="Q48704" s="8"/>
    </row>
    <row r="48705" spans="17:17" x14ac:dyDescent="0.25">
      <c r="Q48705" s="8"/>
    </row>
    <row r="48706" spans="17:17" x14ac:dyDescent="0.25">
      <c r="Q48706" s="8"/>
    </row>
    <row r="48707" spans="17:17" x14ac:dyDescent="0.25">
      <c r="Q48707" s="8"/>
    </row>
    <row r="48708" spans="17:17" x14ac:dyDescent="0.25">
      <c r="Q48708" s="8"/>
    </row>
    <row r="48709" spans="17:17" x14ac:dyDescent="0.25">
      <c r="Q48709" s="8"/>
    </row>
    <row r="48710" spans="17:17" x14ac:dyDescent="0.25">
      <c r="Q48710" s="8"/>
    </row>
    <row r="48711" spans="17:17" x14ac:dyDescent="0.25">
      <c r="Q48711" s="8"/>
    </row>
    <row r="48712" spans="17:17" x14ac:dyDescent="0.25">
      <c r="Q48712" s="8"/>
    </row>
    <row r="48713" spans="17:17" x14ac:dyDescent="0.25">
      <c r="Q48713" s="8"/>
    </row>
    <row r="48714" spans="17:17" x14ac:dyDescent="0.25">
      <c r="Q48714" s="8"/>
    </row>
    <row r="48715" spans="17:17" x14ac:dyDescent="0.25">
      <c r="Q48715" s="8"/>
    </row>
    <row r="48716" spans="17:17" x14ac:dyDescent="0.25">
      <c r="Q48716" s="8"/>
    </row>
    <row r="48717" spans="17:17" x14ac:dyDescent="0.25">
      <c r="Q48717" s="8"/>
    </row>
    <row r="48718" spans="17:17" x14ac:dyDescent="0.25">
      <c r="Q48718" s="8"/>
    </row>
    <row r="48719" spans="17:17" x14ac:dyDescent="0.25">
      <c r="Q48719" s="8"/>
    </row>
    <row r="48720" spans="17:17" x14ac:dyDescent="0.25">
      <c r="Q48720" s="8"/>
    </row>
    <row r="48721" spans="17:17" x14ac:dyDescent="0.25">
      <c r="Q48721" s="8"/>
    </row>
    <row r="48722" spans="17:17" x14ac:dyDescent="0.25">
      <c r="Q48722" s="8"/>
    </row>
    <row r="48723" spans="17:17" x14ac:dyDescent="0.25">
      <c r="Q48723" s="8"/>
    </row>
    <row r="48724" spans="17:17" x14ac:dyDescent="0.25">
      <c r="Q48724" s="8"/>
    </row>
    <row r="48725" spans="17:17" x14ac:dyDescent="0.25">
      <c r="Q48725" s="8"/>
    </row>
    <row r="48726" spans="17:17" x14ac:dyDescent="0.25">
      <c r="Q48726" s="8"/>
    </row>
    <row r="48727" spans="17:17" x14ac:dyDescent="0.25">
      <c r="Q48727" s="8"/>
    </row>
    <row r="48728" spans="17:17" x14ac:dyDescent="0.25">
      <c r="Q48728" s="8"/>
    </row>
    <row r="48729" spans="17:17" x14ac:dyDescent="0.25">
      <c r="Q48729" s="8"/>
    </row>
    <row r="48730" spans="17:17" x14ac:dyDescent="0.25">
      <c r="Q48730" s="8"/>
    </row>
    <row r="48731" spans="17:17" x14ac:dyDescent="0.25">
      <c r="Q48731" s="8"/>
    </row>
    <row r="48732" spans="17:17" x14ac:dyDescent="0.25">
      <c r="Q48732" s="8"/>
    </row>
    <row r="48733" spans="17:17" x14ac:dyDescent="0.25">
      <c r="Q48733" s="8"/>
    </row>
    <row r="48734" spans="17:17" x14ac:dyDescent="0.25">
      <c r="Q48734" s="8"/>
    </row>
    <row r="48735" spans="17:17" x14ac:dyDescent="0.25">
      <c r="Q48735" s="8"/>
    </row>
    <row r="48736" spans="17:17" x14ac:dyDescent="0.25">
      <c r="Q48736" s="8"/>
    </row>
    <row r="48737" spans="17:17" x14ac:dyDescent="0.25">
      <c r="Q48737" s="8"/>
    </row>
    <row r="48738" spans="17:17" x14ac:dyDescent="0.25">
      <c r="Q48738" s="8"/>
    </row>
    <row r="48739" spans="17:17" x14ac:dyDescent="0.25">
      <c r="Q48739" s="8"/>
    </row>
    <row r="48740" spans="17:17" x14ac:dyDescent="0.25">
      <c r="Q48740" s="8"/>
    </row>
    <row r="48741" spans="17:17" x14ac:dyDescent="0.25">
      <c r="Q48741" s="8"/>
    </row>
    <row r="48742" spans="17:17" x14ac:dyDescent="0.25">
      <c r="Q48742" s="8"/>
    </row>
    <row r="48743" spans="17:17" x14ac:dyDescent="0.25">
      <c r="Q48743" s="8"/>
    </row>
    <row r="48744" spans="17:17" x14ac:dyDescent="0.25">
      <c r="Q48744" s="8"/>
    </row>
    <row r="48745" spans="17:17" x14ac:dyDescent="0.25">
      <c r="Q48745" s="8"/>
    </row>
    <row r="48746" spans="17:17" x14ac:dyDescent="0.25">
      <c r="Q48746" s="8"/>
    </row>
    <row r="48747" spans="17:17" x14ac:dyDescent="0.25">
      <c r="Q48747" s="8"/>
    </row>
    <row r="48748" spans="17:17" x14ac:dyDescent="0.25">
      <c r="Q48748" s="8"/>
    </row>
    <row r="48749" spans="17:17" x14ac:dyDescent="0.25">
      <c r="Q48749" s="8"/>
    </row>
    <row r="48750" spans="17:17" x14ac:dyDescent="0.25">
      <c r="Q48750" s="8"/>
    </row>
    <row r="48751" spans="17:17" x14ac:dyDescent="0.25">
      <c r="Q48751" s="8"/>
    </row>
    <row r="48752" spans="17:17" x14ac:dyDescent="0.25">
      <c r="Q48752" s="8"/>
    </row>
    <row r="48753" spans="17:17" x14ac:dyDescent="0.25">
      <c r="Q48753" s="8"/>
    </row>
    <row r="48754" spans="17:17" x14ac:dyDescent="0.25">
      <c r="Q48754" s="8"/>
    </row>
    <row r="48755" spans="17:17" x14ac:dyDescent="0.25">
      <c r="Q48755" s="8"/>
    </row>
    <row r="48756" spans="17:17" x14ac:dyDescent="0.25">
      <c r="Q48756" s="8"/>
    </row>
    <row r="48757" spans="17:17" x14ac:dyDescent="0.25">
      <c r="Q48757" s="8"/>
    </row>
    <row r="48758" spans="17:17" x14ac:dyDescent="0.25">
      <c r="Q48758" s="8"/>
    </row>
    <row r="48759" spans="17:17" x14ac:dyDescent="0.25">
      <c r="Q48759" s="8"/>
    </row>
    <row r="48760" spans="17:17" x14ac:dyDescent="0.25">
      <c r="Q48760" s="8"/>
    </row>
    <row r="48761" spans="17:17" x14ac:dyDescent="0.25">
      <c r="Q48761" s="8"/>
    </row>
    <row r="48762" spans="17:17" x14ac:dyDescent="0.25">
      <c r="Q48762" s="8"/>
    </row>
    <row r="48763" spans="17:17" x14ac:dyDescent="0.25">
      <c r="Q48763" s="8"/>
    </row>
    <row r="48764" spans="17:17" x14ac:dyDescent="0.25">
      <c r="Q48764" s="8"/>
    </row>
    <row r="48765" spans="17:17" x14ac:dyDescent="0.25">
      <c r="Q48765" s="8"/>
    </row>
    <row r="48766" spans="17:17" x14ac:dyDescent="0.25">
      <c r="Q48766" s="8"/>
    </row>
    <row r="48767" spans="17:17" x14ac:dyDescent="0.25">
      <c r="Q48767" s="8"/>
    </row>
    <row r="48768" spans="17:17" x14ac:dyDescent="0.25">
      <c r="Q48768" s="8"/>
    </row>
    <row r="48769" spans="17:17" x14ac:dyDescent="0.25">
      <c r="Q48769" s="8"/>
    </row>
    <row r="48770" spans="17:17" x14ac:dyDescent="0.25">
      <c r="Q48770" s="8"/>
    </row>
    <row r="48771" spans="17:17" x14ac:dyDescent="0.25">
      <c r="Q48771" s="8"/>
    </row>
    <row r="48772" spans="17:17" x14ac:dyDescent="0.25">
      <c r="Q48772" s="8"/>
    </row>
    <row r="48773" spans="17:17" x14ac:dyDescent="0.25">
      <c r="Q48773" s="8"/>
    </row>
    <row r="48774" spans="17:17" x14ac:dyDescent="0.25">
      <c r="Q48774" s="8"/>
    </row>
    <row r="48775" spans="17:17" x14ac:dyDescent="0.25">
      <c r="Q48775" s="8"/>
    </row>
    <row r="48776" spans="17:17" x14ac:dyDescent="0.25">
      <c r="Q48776" s="8"/>
    </row>
    <row r="48777" spans="17:17" x14ac:dyDescent="0.25">
      <c r="Q48777" s="8"/>
    </row>
    <row r="48778" spans="17:17" x14ac:dyDescent="0.25">
      <c r="Q48778" s="8"/>
    </row>
    <row r="48779" spans="17:17" x14ac:dyDescent="0.25">
      <c r="Q48779" s="8"/>
    </row>
    <row r="48780" spans="17:17" x14ac:dyDescent="0.25">
      <c r="Q48780" s="8"/>
    </row>
    <row r="48781" spans="17:17" x14ac:dyDescent="0.25">
      <c r="Q48781" s="8"/>
    </row>
    <row r="48782" spans="17:17" x14ac:dyDescent="0.25">
      <c r="Q48782" s="8"/>
    </row>
    <row r="48783" spans="17:17" x14ac:dyDescent="0.25">
      <c r="Q48783" s="8"/>
    </row>
    <row r="48784" spans="17:17" x14ac:dyDescent="0.25">
      <c r="Q48784" s="8"/>
    </row>
    <row r="48785" spans="17:17" x14ac:dyDescent="0.25">
      <c r="Q48785" s="8"/>
    </row>
    <row r="48786" spans="17:17" x14ac:dyDescent="0.25">
      <c r="Q48786" s="8"/>
    </row>
    <row r="48787" spans="17:17" x14ac:dyDescent="0.25">
      <c r="Q48787" s="8"/>
    </row>
    <row r="48788" spans="17:17" x14ac:dyDescent="0.25">
      <c r="Q48788" s="8"/>
    </row>
    <row r="48789" spans="17:17" x14ac:dyDescent="0.25">
      <c r="Q48789" s="8"/>
    </row>
    <row r="48790" spans="17:17" x14ac:dyDescent="0.25">
      <c r="Q48790" s="8"/>
    </row>
    <row r="48791" spans="17:17" x14ac:dyDescent="0.25">
      <c r="Q48791" s="8"/>
    </row>
    <row r="48792" spans="17:17" x14ac:dyDescent="0.25">
      <c r="Q48792" s="8"/>
    </row>
    <row r="48793" spans="17:17" x14ac:dyDescent="0.25">
      <c r="Q48793" s="8"/>
    </row>
    <row r="48794" spans="17:17" x14ac:dyDescent="0.25">
      <c r="Q48794" s="8"/>
    </row>
    <row r="48795" spans="17:17" x14ac:dyDescent="0.25">
      <c r="Q48795" s="8"/>
    </row>
    <row r="48796" spans="17:17" x14ac:dyDescent="0.25">
      <c r="Q48796" s="8"/>
    </row>
    <row r="48797" spans="17:17" x14ac:dyDescent="0.25">
      <c r="Q48797" s="8"/>
    </row>
    <row r="48798" spans="17:17" x14ac:dyDescent="0.25">
      <c r="Q48798" s="8"/>
    </row>
    <row r="48799" spans="17:17" x14ac:dyDescent="0.25">
      <c r="Q48799" s="8"/>
    </row>
    <row r="48800" spans="17:17" x14ac:dyDescent="0.25">
      <c r="Q48800" s="8"/>
    </row>
    <row r="48801" spans="17:17" x14ac:dyDescent="0.25">
      <c r="Q48801" s="8"/>
    </row>
    <row r="48802" spans="17:17" x14ac:dyDescent="0.25">
      <c r="Q48802" s="8"/>
    </row>
    <row r="48803" spans="17:17" x14ac:dyDescent="0.25">
      <c r="Q48803" s="8"/>
    </row>
    <row r="48804" spans="17:17" x14ac:dyDescent="0.25">
      <c r="Q48804" s="8"/>
    </row>
    <row r="48805" spans="17:17" x14ac:dyDescent="0.25">
      <c r="Q48805" s="8"/>
    </row>
    <row r="48806" spans="17:17" x14ac:dyDescent="0.25">
      <c r="Q48806" s="8"/>
    </row>
    <row r="48807" spans="17:17" x14ac:dyDescent="0.25">
      <c r="Q48807" s="8"/>
    </row>
    <row r="48808" spans="17:17" x14ac:dyDescent="0.25">
      <c r="Q48808" s="8"/>
    </row>
    <row r="48809" spans="17:17" x14ac:dyDescent="0.25">
      <c r="Q48809" s="8"/>
    </row>
    <row r="48810" spans="17:17" x14ac:dyDescent="0.25">
      <c r="Q48810" s="8"/>
    </row>
    <row r="48811" spans="17:17" x14ac:dyDescent="0.25">
      <c r="Q48811" s="8"/>
    </row>
    <row r="48812" spans="17:17" x14ac:dyDescent="0.25">
      <c r="Q48812" s="8"/>
    </row>
    <row r="48813" spans="17:17" x14ac:dyDescent="0.25">
      <c r="Q48813" s="8"/>
    </row>
    <row r="48814" spans="17:17" x14ac:dyDescent="0.25">
      <c r="Q48814" s="8"/>
    </row>
    <row r="48815" spans="17:17" x14ac:dyDescent="0.25">
      <c r="Q48815" s="8"/>
    </row>
    <row r="48816" spans="17:17" x14ac:dyDescent="0.25">
      <c r="Q48816" s="8"/>
    </row>
    <row r="48817" spans="17:17" x14ac:dyDescent="0.25">
      <c r="Q48817" s="8"/>
    </row>
    <row r="48818" spans="17:17" x14ac:dyDescent="0.25">
      <c r="Q48818" s="8"/>
    </row>
    <row r="48819" spans="17:17" x14ac:dyDescent="0.25">
      <c r="Q48819" s="8"/>
    </row>
    <row r="48820" spans="17:17" x14ac:dyDescent="0.25">
      <c r="Q48820" s="8"/>
    </row>
    <row r="48821" spans="17:17" x14ac:dyDescent="0.25">
      <c r="Q48821" s="8"/>
    </row>
    <row r="48822" spans="17:17" x14ac:dyDescent="0.25">
      <c r="Q48822" s="8"/>
    </row>
    <row r="48823" spans="17:17" x14ac:dyDescent="0.25">
      <c r="Q48823" s="8"/>
    </row>
    <row r="48824" spans="17:17" x14ac:dyDescent="0.25">
      <c r="Q48824" s="8"/>
    </row>
    <row r="48825" spans="17:17" x14ac:dyDescent="0.25">
      <c r="Q48825" s="8"/>
    </row>
    <row r="48826" spans="17:17" x14ac:dyDescent="0.25">
      <c r="Q48826" s="8"/>
    </row>
    <row r="48827" spans="17:17" x14ac:dyDescent="0.25">
      <c r="Q48827" s="8"/>
    </row>
    <row r="48828" spans="17:17" x14ac:dyDescent="0.25">
      <c r="Q48828" s="8"/>
    </row>
    <row r="48829" spans="17:17" x14ac:dyDescent="0.25">
      <c r="Q48829" s="8"/>
    </row>
    <row r="48830" spans="17:17" x14ac:dyDescent="0.25">
      <c r="Q48830" s="8"/>
    </row>
    <row r="48831" spans="17:17" x14ac:dyDescent="0.25">
      <c r="Q48831" s="8"/>
    </row>
    <row r="48832" spans="17:17" x14ac:dyDescent="0.25">
      <c r="Q48832" s="8"/>
    </row>
    <row r="48833" spans="17:17" x14ac:dyDescent="0.25">
      <c r="Q48833" s="8"/>
    </row>
    <row r="48834" spans="17:17" x14ac:dyDescent="0.25">
      <c r="Q48834" s="8"/>
    </row>
    <row r="48835" spans="17:17" x14ac:dyDescent="0.25">
      <c r="Q48835" s="8"/>
    </row>
    <row r="48836" spans="17:17" x14ac:dyDescent="0.25">
      <c r="Q48836" s="8"/>
    </row>
    <row r="48837" spans="17:17" x14ac:dyDescent="0.25">
      <c r="Q48837" s="8"/>
    </row>
    <row r="48838" spans="17:17" x14ac:dyDescent="0.25">
      <c r="Q48838" s="8"/>
    </row>
    <row r="48839" spans="17:17" x14ac:dyDescent="0.25">
      <c r="Q48839" s="8"/>
    </row>
    <row r="48840" spans="17:17" x14ac:dyDescent="0.25">
      <c r="Q48840" s="8"/>
    </row>
    <row r="48841" spans="17:17" x14ac:dyDescent="0.25">
      <c r="Q48841" s="8"/>
    </row>
    <row r="48842" spans="17:17" x14ac:dyDescent="0.25">
      <c r="Q48842" s="8"/>
    </row>
    <row r="48843" spans="17:17" x14ac:dyDescent="0.25">
      <c r="Q48843" s="8"/>
    </row>
    <row r="48844" spans="17:17" x14ac:dyDescent="0.25">
      <c r="Q48844" s="8"/>
    </row>
    <row r="48845" spans="17:17" x14ac:dyDescent="0.25">
      <c r="Q48845" s="8"/>
    </row>
    <row r="48846" spans="17:17" x14ac:dyDescent="0.25">
      <c r="Q48846" s="8"/>
    </row>
    <row r="48847" spans="17:17" x14ac:dyDescent="0.25">
      <c r="Q48847" s="8"/>
    </row>
    <row r="48848" spans="17:17" x14ac:dyDescent="0.25">
      <c r="Q48848" s="8"/>
    </row>
    <row r="48849" spans="17:17" x14ac:dyDescent="0.25">
      <c r="Q48849" s="8"/>
    </row>
    <row r="48850" spans="17:17" x14ac:dyDescent="0.25">
      <c r="Q48850" s="8"/>
    </row>
    <row r="48851" spans="17:17" x14ac:dyDescent="0.25">
      <c r="Q48851" s="8"/>
    </row>
    <row r="48852" spans="17:17" x14ac:dyDescent="0.25">
      <c r="Q48852" s="8"/>
    </row>
    <row r="48853" spans="17:17" x14ac:dyDescent="0.25">
      <c r="Q48853" s="8"/>
    </row>
    <row r="48854" spans="17:17" x14ac:dyDescent="0.25">
      <c r="Q48854" s="8"/>
    </row>
    <row r="48855" spans="17:17" x14ac:dyDescent="0.25">
      <c r="Q48855" s="8"/>
    </row>
    <row r="48856" spans="17:17" x14ac:dyDescent="0.25">
      <c r="Q48856" s="8"/>
    </row>
    <row r="48857" spans="17:17" x14ac:dyDescent="0.25">
      <c r="Q48857" s="8"/>
    </row>
    <row r="48858" spans="17:17" x14ac:dyDescent="0.25">
      <c r="Q48858" s="8"/>
    </row>
    <row r="48859" spans="17:17" x14ac:dyDescent="0.25">
      <c r="Q48859" s="8"/>
    </row>
    <row r="48860" spans="17:17" x14ac:dyDescent="0.25">
      <c r="Q48860" s="8"/>
    </row>
    <row r="48861" spans="17:17" x14ac:dyDescent="0.25">
      <c r="Q48861" s="8"/>
    </row>
    <row r="48862" spans="17:17" x14ac:dyDescent="0.25">
      <c r="Q48862" s="8"/>
    </row>
    <row r="48863" spans="17:17" x14ac:dyDescent="0.25">
      <c r="Q48863" s="8"/>
    </row>
    <row r="48864" spans="17:17" x14ac:dyDescent="0.25">
      <c r="Q48864" s="8"/>
    </row>
    <row r="48865" spans="17:17" x14ac:dyDescent="0.25">
      <c r="Q48865" s="8"/>
    </row>
    <row r="48866" spans="17:17" x14ac:dyDescent="0.25">
      <c r="Q48866" s="8"/>
    </row>
    <row r="48867" spans="17:17" x14ac:dyDescent="0.25">
      <c r="Q48867" s="8"/>
    </row>
    <row r="48868" spans="17:17" x14ac:dyDescent="0.25">
      <c r="Q48868" s="8"/>
    </row>
    <row r="48869" spans="17:17" x14ac:dyDescent="0.25">
      <c r="Q48869" s="8"/>
    </row>
    <row r="48870" spans="17:17" x14ac:dyDescent="0.25">
      <c r="Q48870" s="8"/>
    </row>
    <row r="48871" spans="17:17" x14ac:dyDescent="0.25">
      <c r="Q48871" s="8"/>
    </row>
    <row r="48872" spans="17:17" x14ac:dyDescent="0.25">
      <c r="Q48872" s="8"/>
    </row>
    <row r="48873" spans="17:17" x14ac:dyDescent="0.25">
      <c r="Q48873" s="8"/>
    </row>
    <row r="48874" spans="17:17" x14ac:dyDescent="0.25">
      <c r="Q48874" s="8"/>
    </row>
    <row r="48875" spans="17:17" x14ac:dyDescent="0.25">
      <c r="Q48875" s="8"/>
    </row>
    <row r="48876" spans="17:17" x14ac:dyDescent="0.25">
      <c r="Q48876" s="8"/>
    </row>
    <row r="48877" spans="17:17" x14ac:dyDescent="0.25">
      <c r="Q48877" s="8"/>
    </row>
    <row r="48878" spans="17:17" x14ac:dyDescent="0.25">
      <c r="Q48878" s="8"/>
    </row>
    <row r="48879" spans="17:17" x14ac:dyDescent="0.25">
      <c r="Q48879" s="8"/>
    </row>
    <row r="48880" spans="17:17" x14ac:dyDescent="0.25">
      <c r="Q48880" s="8"/>
    </row>
    <row r="48881" spans="17:17" x14ac:dyDescent="0.25">
      <c r="Q48881" s="8"/>
    </row>
    <row r="48882" spans="17:17" x14ac:dyDescent="0.25">
      <c r="Q48882" s="8"/>
    </row>
    <row r="48883" spans="17:17" x14ac:dyDescent="0.25">
      <c r="Q48883" s="8"/>
    </row>
    <row r="48884" spans="17:17" x14ac:dyDescent="0.25">
      <c r="Q48884" s="8"/>
    </row>
    <row r="48885" spans="17:17" x14ac:dyDescent="0.25">
      <c r="Q48885" s="8"/>
    </row>
    <row r="48886" spans="17:17" x14ac:dyDescent="0.25">
      <c r="Q48886" s="8"/>
    </row>
    <row r="48887" spans="17:17" x14ac:dyDescent="0.25">
      <c r="Q48887" s="8"/>
    </row>
    <row r="48888" spans="17:17" x14ac:dyDescent="0.25">
      <c r="Q48888" s="8"/>
    </row>
    <row r="48889" spans="17:17" x14ac:dyDescent="0.25">
      <c r="Q48889" s="8"/>
    </row>
    <row r="48890" spans="17:17" x14ac:dyDescent="0.25">
      <c r="Q48890" s="8"/>
    </row>
    <row r="48891" spans="17:17" x14ac:dyDescent="0.25">
      <c r="Q48891" s="8"/>
    </row>
    <row r="48892" spans="17:17" x14ac:dyDescent="0.25">
      <c r="Q48892" s="8"/>
    </row>
    <row r="48893" spans="17:17" x14ac:dyDescent="0.25">
      <c r="Q48893" s="8"/>
    </row>
    <row r="48894" spans="17:17" x14ac:dyDescent="0.25">
      <c r="Q48894" s="8"/>
    </row>
    <row r="48895" spans="17:17" x14ac:dyDescent="0.25">
      <c r="Q48895" s="8"/>
    </row>
    <row r="48896" spans="17:17" x14ac:dyDescent="0.25">
      <c r="Q48896" s="8"/>
    </row>
    <row r="48897" spans="17:17" x14ac:dyDescent="0.25">
      <c r="Q48897" s="8"/>
    </row>
    <row r="48898" spans="17:17" x14ac:dyDescent="0.25">
      <c r="Q48898" s="8"/>
    </row>
    <row r="48899" spans="17:17" x14ac:dyDescent="0.25">
      <c r="Q48899" s="8"/>
    </row>
    <row r="48900" spans="17:17" x14ac:dyDescent="0.25">
      <c r="Q48900" s="8"/>
    </row>
    <row r="48901" spans="17:17" x14ac:dyDescent="0.25">
      <c r="Q48901" s="8"/>
    </row>
    <row r="48902" spans="17:17" x14ac:dyDescent="0.25">
      <c r="Q48902" s="8"/>
    </row>
    <row r="48903" spans="17:17" x14ac:dyDescent="0.25">
      <c r="Q48903" s="8"/>
    </row>
    <row r="48904" spans="17:17" x14ac:dyDescent="0.25">
      <c r="Q48904" s="8"/>
    </row>
    <row r="48905" spans="17:17" x14ac:dyDescent="0.25">
      <c r="Q48905" s="8"/>
    </row>
    <row r="48906" spans="17:17" x14ac:dyDescent="0.25">
      <c r="Q48906" s="8"/>
    </row>
    <row r="48907" spans="17:17" x14ac:dyDescent="0.25">
      <c r="Q48907" s="8"/>
    </row>
    <row r="48908" spans="17:17" x14ac:dyDescent="0.25">
      <c r="Q48908" s="8"/>
    </row>
    <row r="48909" spans="17:17" x14ac:dyDescent="0.25">
      <c r="Q48909" s="8"/>
    </row>
    <row r="48910" spans="17:17" x14ac:dyDescent="0.25">
      <c r="Q48910" s="8"/>
    </row>
    <row r="48911" spans="17:17" x14ac:dyDescent="0.25">
      <c r="Q48911" s="8"/>
    </row>
    <row r="48912" spans="17:17" x14ac:dyDescent="0.25">
      <c r="Q48912" s="8"/>
    </row>
    <row r="48913" spans="17:17" x14ac:dyDescent="0.25">
      <c r="Q48913" s="8"/>
    </row>
    <row r="48914" spans="17:17" x14ac:dyDescent="0.25">
      <c r="Q48914" s="8"/>
    </row>
    <row r="48915" spans="17:17" x14ac:dyDescent="0.25">
      <c r="Q48915" s="8"/>
    </row>
    <row r="48916" spans="17:17" x14ac:dyDescent="0.25">
      <c r="Q48916" s="8"/>
    </row>
    <row r="48917" spans="17:17" x14ac:dyDescent="0.25">
      <c r="Q48917" s="8"/>
    </row>
    <row r="48918" spans="17:17" x14ac:dyDescent="0.25">
      <c r="Q48918" s="8"/>
    </row>
    <row r="48919" spans="17:17" x14ac:dyDescent="0.25">
      <c r="Q48919" s="8"/>
    </row>
    <row r="48920" spans="17:17" x14ac:dyDescent="0.25">
      <c r="Q48920" s="8"/>
    </row>
    <row r="48921" spans="17:17" x14ac:dyDescent="0.25">
      <c r="Q48921" s="8"/>
    </row>
    <row r="48922" spans="17:17" x14ac:dyDescent="0.25">
      <c r="Q48922" s="8"/>
    </row>
    <row r="48923" spans="17:17" x14ac:dyDescent="0.25">
      <c r="Q48923" s="8"/>
    </row>
    <row r="48924" spans="17:17" x14ac:dyDescent="0.25">
      <c r="Q48924" s="8"/>
    </row>
    <row r="48925" spans="17:17" x14ac:dyDescent="0.25">
      <c r="Q48925" s="8"/>
    </row>
    <row r="48926" spans="17:17" x14ac:dyDescent="0.25">
      <c r="Q48926" s="8"/>
    </row>
    <row r="48927" spans="17:17" x14ac:dyDescent="0.25">
      <c r="Q48927" s="8"/>
    </row>
    <row r="48928" spans="17:17" x14ac:dyDescent="0.25">
      <c r="Q48928" s="8"/>
    </row>
    <row r="48929" spans="17:17" x14ac:dyDescent="0.25">
      <c r="Q48929" s="8"/>
    </row>
    <row r="48930" spans="17:17" x14ac:dyDescent="0.25">
      <c r="Q48930" s="8"/>
    </row>
    <row r="48931" spans="17:17" x14ac:dyDescent="0.25">
      <c r="Q48931" s="8"/>
    </row>
    <row r="48932" spans="17:17" x14ac:dyDescent="0.25">
      <c r="Q48932" s="8"/>
    </row>
    <row r="48933" spans="17:17" x14ac:dyDescent="0.25">
      <c r="Q48933" s="8"/>
    </row>
    <row r="48934" spans="17:17" x14ac:dyDescent="0.25">
      <c r="Q48934" s="8"/>
    </row>
    <row r="48935" spans="17:17" x14ac:dyDescent="0.25">
      <c r="Q48935" s="8"/>
    </row>
    <row r="48936" spans="17:17" x14ac:dyDescent="0.25">
      <c r="Q48936" s="8"/>
    </row>
    <row r="48937" spans="17:17" x14ac:dyDescent="0.25">
      <c r="Q48937" s="8"/>
    </row>
    <row r="48938" spans="17:17" x14ac:dyDescent="0.25">
      <c r="Q48938" s="8"/>
    </row>
    <row r="48939" spans="17:17" x14ac:dyDescent="0.25">
      <c r="Q48939" s="8"/>
    </row>
    <row r="48940" spans="17:17" x14ac:dyDescent="0.25">
      <c r="Q48940" s="8"/>
    </row>
    <row r="48941" spans="17:17" x14ac:dyDescent="0.25">
      <c r="Q48941" s="8"/>
    </row>
    <row r="48942" spans="17:17" x14ac:dyDescent="0.25">
      <c r="Q48942" s="8"/>
    </row>
    <row r="48943" spans="17:17" x14ac:dyDescent="0.25">
      <c r="Q48943" s="8"/>
    </row>
    <row r="48944" spans="17:17" x14ac:dyDescent="0.25">
      <c r="Q48944" s="8"/>
    </row>
    <row r="48945" spans="17:17" x14ac:dyDescent="0.25">
      <c r="Q48945" s="8"/>
    </row>
    <row r="48946" spans="17:17" x14ac:dyDescent="0.25">
      <c r="Q48946" s="8"/>
    </row>
    <row r="48947" spans="17:17" x14ac:dyDescent="0.25">
      <c r="Q48947" s="8"/>
    </row>
    <row r="48948" spans="17:17" x14ac:dyDescent="0.25">
      <c r="Q48948" s="8"/>
    </row>
    <row r="48949" spans="17:17" x14ac:dyDescent="0.25">
      <c r="Q48949" s="8"/>
    </row>
    <row r="48950" spans="17:17" x14ac:dyDescent="0.25">
      <c r="Q48950" s="8"/>
    </row>
    <row r="48951" spans="17:17" x14ac:dyDescent="0.25">
      <c r="Q48951" s="8"/>
    </row>
    <row r="48952" spans="17:17" x14ac:dyDescent="0.25">
      <c r="Q48952" s="8"/>
    </row>
    <row r="48953" spans="17:17" x14ac:dyDescent="0.25">
      <c r="Q48953" s="8"/>
    </row>
    <row r="48954" spans="17:17" x14ac:dyDescent="0.25">
      <c r="Q48954" s="8"/>
    </row>
    <row r="48955" spans="17:17" x14ac:dyDescent="0.25">
      <c r="Q48955" s="8"/>
    </row>
    <row r="48956" spans="17:17" x14ac:dyDescent="0.25">
      <c r="Q48956" s="8"/>
    </row>
    <row r="48957" spans="17:17" x14ac:dyDescent="0.25">
      <c r="Q48957" s="8"/>
    </row>
    <row r="48958" spans="17:17" x14ac:dyDescent="0.25">
      <c r="Q48958" s="8"/>
    </row>
    <row r="48959" spans="17:17" x14ac:dyDescent="0.25">
      <c r="Q48959" s="8"/>
    </row>
    <row r="48960" spans="17:17" x14ac:dyDescent="0.25">
      <c r="Q48960" s="8"/>
    </row>
    <row r="48961" spans="17:17" x14ac:dyDescent="0.25">
      <c r="Q48961" s="8"/>
    </row>
    <row r="48962" spans="17:17" x14ac:dyDescent="0.25">
      <c r="Q48962" s="8"/>
    </row>
    <row r="48963" spans="17:17" x14ac:dyDescent="0.25">
      <c r="Q48963" s="8"/>
    </row>
    <row r="48964" spans="17:17" x14ac:dyDescent="0.25">
      <c r="Q48964" s="8"/>
    </row>
    <row r="48965" spans="17:17" x14ac:dyDescent="0.25">
      <c r="Q48965" s="8"/>
    </row>
    <row r="48966" spans="17:17" x14ac:dyDescent="0.25">
      <c r="Q48966" s="8"/>
    </row>
    <row r="48967" spans="17:17" x14ac:dyDescent="0.25">
      <c r="Q48967" s="8"/>
    </row>
    <row r="48968" spans="17:17" x14ac:dyDescent="0.25">
      <c r="Q48968" s="8"/>
    </row>
    <row r="48969" spans="17:17" x14ac:dyDescent="0.25">
      <c r="Q48969" s="8"/>
    </row>
    <row r="48970" spans="17:17" x14ac:dyDescent="0.25">
      <c r="Q48970" s="8"/>
    </row>
    <row r="48971" spans="17:17" x14ac:dyDescent="0.25">
      <c r="Q48971" s="8"/>
    </row>
    <row r="48972" spans="17:17" x14ac:dyDescent="0.25">
      <c r="Q48972" s="8"/>
    </row>
    <row r="48973" spans="17:17" x14ac:dyDescent="0.25">
      <c r="Q48973" s="8"/>
    </row>
    <row r="48974" spans="17:17" x14ac:dyDescent="0.25">
      <c r="Q48974" s="8"/>
    </row>
    <row r="48975" spans="17:17" x14ac:dyDescent="0.25">
      <c r="Q48975" s="8"/>
    </row>
    <row r="48976" spans="17:17" x14ac:dyDescent="0.25">
      <c r="Q48976" s="8"/>
    </row>
    <row r="48977" spans="17:17" x14ac:dyDescent="0.25">
      <c r="Q48977" s="8"/>
    </row>
    <row r="48978" spans="17:17" x14ac:dyDescent="0.25">
      <c r="Q48978" s="8"/>
    </row>
    <row r="48979" spans="17:17" x14ac:dyDescent="0.25">
      <c r="Q48979" s="8"/>
    </row>
    <row r="48980" spans="17:17" x14ac:dyDescent="0.25">
      <c r="Q48980" s="8"/>
    </row>
    <row r="48981" spans="17:17" x14ac:dyDescent="0.25">
      <c r="Q48981" s="8"/>
    </row>
    <row r="48982" spans="17:17" x14ac:dyDescent="0.25">
      <c r="Q48982" s="8"/>
    </row>
    <row r="48983" spans="17:17" x14ac:dyDescent="0.25">
      <c r="Q48983" s="8"/>
    </row>
    <row r="48984" spans="17:17" x14ac:dyDescent="0.25">
      <c r="Q48984" s="8"/>
    </row>
    <row r="48985" spans="17:17" x14ac:dyDescent="0.25">
      <c r="Q48985" s="8"/>
    </row>
    <row r="48986" spans="17:17" x14ac:dyDescent="0.25">
      <c r="Q48986" s="8"/>
    </row>
    <row r="48987" spans="17:17" x14ac:dyDescent="0.25">
      <c r="Q48987" s="8"/>
    </row>
    <row r="48988" spans="17:17" x14ac:dyDescent="0.25">
      <c r="Q48988" s="8"/>
    </row>
    <row r="48989" spans="17:17" x14ac:dyDescent="0.25">
      <c r="Q48989" s="8"/>
    </row>
    <row r="48990" spans="17:17" x14ac:dyDescent="0.25">
      <c r="Q48990" s="8"/>
    </row>
    <row r="48991" spans="17:17" x14ac:dyDescent="0.25">
      <c r="Q48991" s="8"/>
    </row>
    <row r="48992" spans="17:17" x14ac:dyDescent="0.25">
      <c r="Q48992" s="8"/>
    </row>
    <row r="48993" spans="17:17" x14ac:dyDescent="0.25">
      <c r="Q48993" s="8"/>
    </row>
    <row r="48994" spans="17:17" x14ac:dyDescent="0.25">
      <c r="Q48994" s="8"/>
    </row>
    <row r="48995" spans="17:17" x14ac:dyDescent="0.25">
      <c r="Q48995" s="8"/>
    </row>
    <row r="48996" spans="17:17" x14ac:dyDescent="0.25">
      <c r="Q48996" s="8"/>
    </row>
    <row r="48997" spans="17:17" x14ac:dyDescent="0.25">
      <c r="Q48997" s="8"/>
    </row>
    <row r="48998" spans="17:17" x14ac:dyDescent="0.25">
      <c r="Q48998" s="8"/>
    </row>
    <row r="48999" spans="17:17" x14ac:dyDescent="0.25">
      <c r="Q48999" s="8"/>
    </row>
    <row r="49000" spans="17:17" x14ac:dyDescent="0.25">
      <c r="Q49000" s="8"/>
    </row>
    <row r="49001" spans="17:17" x14ac:dyDescent="0.25">
      <c r="Q49001" s="8"/>
    </row>
    <row r="49002" spans="17:17" x14ac:dyDescent="0.25">
      <c r="Q49002" s="8"/>
    </row>
    <row r="49003" spans="17:17" x14ac:dyDescent="0.25">
      <c r="Q49003" s="8"/>
    </row>
    <row r="49004" spans="17:17" x14ac:dyDescent="0.25">
      <c r="Q49004" s="8"/>
    </row>
    <row r="49005" spans="17:17" x14ac:dyDescent="0.25">
      <c r="Q49005" s="8"/>
    </row>
    <row r="49006" spans="17:17" x14ac:dyDescent="0.25">
      <c r="Q49006" s="8"/>
    </row>
    <row r="49007" spans="17:17" x14ac:dyDescent="0.25">
      <c r="Q49007" s="8"/>
    </row>
    <row r="49008" spans="17:17" x14ac:dyDescent="0.25">
      <c r="Q49008" s="8"/>
    </row>
    <row r="49009" spans="17:17" x14ac:dyDescent="0.25">
      <c r="Q49009" s="8"/>
    </row>
    <row r="49010" spans="17:17" x14ac:dyDescent="0.25">
      <c r="Q49010" s="8"/>
    </row>
    <row r="49011" spans="17:17" x14ac:dyDescent="0.25">
      <c r="Q49011" s="8"/>
    </row>
    <row r="49012" spans="17:17" x14ac:dyDescent="0.25">
      <c r="Q49012" s="8"/>
    </row>
    <row r="49013" spans="17:17" x14ac:dyDescent="0.25">
      <c r="Q49013" s="8"/>
    </row>
    <row r="49014" spans="17:17" x14ac:dyDescent="0.25">
      <c r="Q49014" s="8"/>
    </row>
    <row r="49015" spans="17:17" x14ac:dyDescent="0.25">
      <c r="Q49015" s="8"/>
    </row>
    <row r="49016" spans="17:17" x14ac:dyDescent="0.25">
      <c r="Q49016" s="8"/>
    </row>
    <row r="49017" spans="17:17" x14ac:dyDescent="0.25">
      <c r="Q49017" s="8"/>
    </row>
    <row r="49018" spans="17:17" x14ac:dyDescent="0.25">
      <c r="Q49018" s="8"/>
    </row>
    <row r="49019" spans="17:17" x14ac:dyDescent="0.25">
      <c r="Q49019" s="8"/>
    </row>
    <row r="49020" spans="17:17" x14ac:dyDescent="0.25">
      <c r="Q49020" s="8"/>
    </row>
    <row r="49021" spans="17:17" x14ac:dyDescent="0.25">
      <c r="Q49021" s="8"/>
    </row>
    <row r="49022" spans="17:17" x14ac:dyDescent="0.25">
      <c r="Q49022" s="8"/>
    </row>
    <row r="49023" spans="17:17" x14ac:dyDescent="0.25">
      <c r="Q49023" s="8"/>
    </row>
    <row r="49024" spans="17:17" x14ac:dyDescent="0.25">
      <c r="Q49024" s="8"/>
    </row>
    <row r="49025" spans="17:17" x14ac:dyDescent="0.25">
      <c r="Q49025" s="8"/>
    </row>
    <row r="49026" spans="17:17" x14ac:dyDescent="0.25">
      <c r="Q49026" s="8"/>
    </row>
    <row r="49027" spans="17:17" x14ac:dyDescent="0.25">
      <c r="Q49027" s="8"/>
    </row>
    <row r="49028" spans="17:17" x14ac:dyDescent="0.25">
      <c r="Q49028" s="8"/>
    </row>
    <row r="49029" spans="17:17" x14ac:dyDescent="0.25">
      <c r="Q49029" s="8"/>
    </row>
    <row r="49030" spans="17:17" x14ac:dyDescent="0.25">
      <c r="Q49030" s="8"/>
    </row>
    <row r="49031" spans="17:17" x14ac:dyDescent="0.25">
      <c r="Q49031" s="8"/>
    </row>
    <row r="49032" spans="17:17" x14ac:dyDescent="0.25">
      <c r="Q49032" s="8"/>
    </row>
    <row r="49033" spans="17:17" x14ac:dyDescent="0.25">
      <c r="Q49033" s="8"/>
    </row>
    <row r="49034" spans="17:17" x14ac:dyDescent="0.25">
      <c r="Q49034" s="8"/>
    </row>
    <row r="49035" spans="17:17" x14ac:dyDescent="0.25">
      <c r="Q49035" s="8"/>
    </row>
    <row r="49036" spans="17:17" x14ac:dyDescent="0.25">
      <c r="Q49036" s="8"/>
    </row>
    <row r="49037" spans="17:17" x14ac:dyDescent="0.25">
      <c r="Q49037" s="8"/>
    </row>
    <row r="49038" spans="17:17" x14ac:dyDescent="0.25">
      <c r="Q49038" s="8"/>
    </row>
    <row r="49039" spans="17:17" x14ac:dyDescent="0.25">
      <c r="Q49039" s="8"/>
    </row>
    <row r="49040" spans="17:17" x14ac:dyDescent="0.25">
      <c r="Q49040" s="8"/>
    </row>
    <row r="49041" spans="17:17" x14ac:dyDescent="0.25">
      <c r="Q49041" s="8"/>
    </row>
    <row r="49042" spans="17:17" x14ac:dyDescent="0.25">
      <c r="Q49042" s="8"/>
    </row>
    <row r="49043" spans="17:17" x14ac:dyDescent="0.25">
      <c r="Q49043" s="8"/>
    </row>
    <row r="49044" spans="17:17" x14ac:dyDescent="0.25">
      <c r="Q49044" s="8"/>
    </row>
    <row r="49045" spans="17:17" x14ac:dyDescent="0.25">
      <c r="Q49045" s="8"/>
    </row>
    <row r="49046" spans="17:17" x14ac:dyDescent="0.25">
      <c r="Q49046" s="8"/>
    </row>
    <row r="49047" spans="17:17" x14ac:dyDescent="0.25">
      <c r="Q49047" s="8"/>
    </row>
    <row r="49048" spans="17:17" x14ac:dyDescent="0.25">
      <c r="Q49048" s="8"/>
    </row>
    <row r="49049" spans="17:17" x14ac:dyDescent="0.25">
      <c r="Q49049" s="8"/>
    </row>
    <row r="49050" spans="17:17" x14ac:dyDescent="0.25">
      <c r="Q49050" s="8"/>
    </row>
    <row r="49051" spans="17:17" x14ac:dyDescent="0.25">
      <c r="Q49051" s="8"/>
    </row>
    <row r="49052" spans="17:17" x14ac:dyDescent="0.25">
      <c r="Q49052" s="8"/>
    </row>
    <row r="49053" spans="17:17" x14ac:dyDescent="0.25">
      <c r="Q49053" s="8"/>
    </row>
    <row r="49054" spans="17:17" x14ac:dyDescent="0.25">
      <c r="Q49054" s="8"/>
    </row>
    <row r="49055" spans="17:17" x14ac:dyDescent="0.25">
      <c r="Q49055" s="8"/>
    </row>
    <row r="49056" spans="17:17" x14ac:dyDescent="0.25">
      <c r="Q49056" s="8"/>
    </row>
    <row r="49057" spans="17:17" x14ac:dyDescent="0.25">
      <c r="Q49057" s="8"/>
    </row>
    <row r="49058" spans="17:17" x14ac:dyDescent="0.25">
      <c r="Q49058" s="8"/>
    </row>
    <row r="49059" spans="17:17" x14ac:dyDescent="0.25">
      <c r="Q49059" s="8"/>
    </row>
    <row r="49060" spans="17:17" x14ac:dyDescent="0.25">
      <c r="Q49060" s="8"/>
    </row>
    <row r="49061" spans="17:17" x14ac:dyDescent="0.25">
      <c r="Q49061" s="8"/>
    </row>
    <row r="49062" spans="17:17" x14ac:dyDescent="0.25">
      <c r="Q49062" s="8"/>
    </row>
    <row r="49063" spans="17:17" x14ac:dyDescent="0.25">
      <c r="Q49063" s="8"/>
    </row>
    <row r="49064" spans="17:17" x14ac:dyDescent="0.25">
      <c r="Q49064" s="8"/>
    </row>
    <row r="49065" spans="17:17" x14ac:dyDescent="0.25">
      <c r="Q49065" s="8"/>
    </row>
    <row r="49066" spans="17:17" x14ac:dyDescent="0.25">
      <c r="Q49066" s="8"/>
    </row>
    <row r="49067" spans="17:17" x14ac:dyDescent="0.25">
      <c r="Q49067" s="8"/>
    </row>
    <row r="49068" spans="17:17" x14ac:dyDescent="0.25">
      <c r="Q49068" s="8"/>
    </row>
    <row r="49069" spans="17:17" x14ac:dyDescent="0.25">
      <c r="Q49069" s="8"/>
    </row>
    <row r="49070" spans="17:17" x14ac:dyDescent="0.25">
      <c r="Q49070" s="8"/>
    </row>
    <row r="49071" spans="17:17" x14ac:dyDescent="0.25">
      <c r="Q49071" s="8"/>
    </row>
    <row r="49072" spans="17:17" x14ac:dyDescent="0.25">
      <c r="Q49072" s="8"/>
    </row>
    <row r="49073" spans="17:17" x14ac:dyDescent="0.25">
      <c r="Q49073" s="8"/>
    </row>
    <row r="49074" spans="17:17" x14ac:dyDescent="0.25">
      <c r="Q49074" s="8"/>
    </row>
    <row r="49075" spans="17:17" x14ac:dyDescent="0.25">
      <c r="Q49075" s="8"/>
    </row>
    <row r="49076" spans="17:17" x14ac:dyDescent="0.25">
      <c r="Q49076" s="8"/>
    </row>
    <row r="49077" spans="17:17" x14ac:dyDescent="0.25">
      <c r="Q49077" s="8"/>
    </row>
    <row r="49078" spans="17:17" x14ac:dyDescent="0.25">
      <c r="Q49078" s="8"/>
    </row>
    <row r="49079" spans="17:17" x14ac:dyDescent="0.25">
      <c r="Q49079" s="8"/>
    </row>
    <row r="49080" spans="17:17" x14ac:dyDescent="0.25">
      <c r="Q49080" s="8"/>
    </row>
    <row r="49081" spans="17:17" x14ac:dyDescent="0.25">
      <c r="Q49081" s="8"/>
    </row>
    <row r="49082" spans="17:17" x14ac:dyDescent="0.25">
      <c r="Q49082" s="8"/>
    </row>
    <row r="49083" spans="17:17" x14ac:dyDescent="0.25">
      <c r="Q49083" s="8"/>
    </row>
    <row r="49084" spans="17:17" x14ac:dyDescent="0.25">
      <c r="Q49084" s="8"/>
    </row>
    <row r="49085" spans="17:17" x14ac:dyDescent="0.25">
      <c r="Q49085" s="8"/>
    </row>
    <row r="49086" spans="17:17" x14ac:dyDescent="0.25">
      <c r="Q49086" s="8"/>
    </row>
    <row r="49087" spans="17:17" x14ac:dyDescent="0.25">
      <c r="Q49087" s="8"/>
    </row>
    <row r="49088" spans="17:17" x14ac:dyDescent="0.25">
      <c r="Q49088" s="8"/>
    </row>
    <row r="49089" spans="17:17" x14ac:dyDescent="0.25">
      <c r="Q49089" s="8"/>
    </row>
    <row r="49090" spans="17:17" x14ac:dyDescent="0.25">
      <c r="Q49090" s="8"/>
    </row>
    <row r="49091" spans="17:17" x14ac:dyDescent="0.25">
      <c r="Q49091" s="8"/>
    </row>
    <row r="49092" spans="17:17" x14ac:dyDescent="0.25">
      <c r="Q49092" s="8"/>
    </row>
    <row r="49093" spans="17:17" x14ac:dyDescent="0.25">
      <c r="Q49093" s="8"/>
    </row>
    <row r="49094" spans="17:17" x14ac:dyDescent="0.25">
      <c r="Q49094" s="8"/>
    </row>
    <row r="49095" spans="17:17" x14ac:dyDescent="0.25">
      <c r="Q49095" s="8"/>
    </row>
    <row r="49096" spans="17:17" x14ac:dyDescent="0.25">
      <c r="Q49096" s="8"/>
    </row>
    <row r="49097" spans="17:17" x14ac:dyDescent="0.25">
      <c r="Q49097" s="8"/>
    </row>
    <row r="49098" spans="17:17" x14ac:dyDescent="0.25">
      <c r="Q49098" s="8"/>
    </row>
    <row r="49099" spans="17:17" x14ac:dyDescent="0.25">
      <c r="Q49099" s="8"/>
    </row>
    <row r="49100" spans="17:17" x14ac:dyDescent="0.25">
      <c r="Q49100" s="8"/>
    </row>
    <row r="49101" spans="17:17" x14ac:dyDescent="0.25">
      <c r="Q49101" s="8"/>
    </row>
    <row r="49102" spans="17:17" x14ac:dyDescent="0.25">
      <c r="Q49102" s="8"/>
    </row>
    <row r="49103" spans="17:17" x14ac:dyDescent="0.25">
      <c r="Q49103" s="8"/>
    </row>
    <row r="49104" spans="17:17" x14ac:dyDescent="0.25">
      <c r="Q49104" s="8"/>
    </row>
    <row r="49105" spans="17:17" x14ac:dyDescent="0.25">
      <c r="Q49105" s="8"/>
    </row>
    <row r="49106" spans="17:17" x14ac:dyDescent="0.25">
      <c r="Q49106" s="8"/>
    </row>
    <row r="49107" spans="17:17" x14ac:dyDescent="0.25">
      <c r="Q49107" s="8"/>
    </row>
    <row r="49108" spans="17:17" x14ac:dyDescent="0.25">
      <c r="Q49108" s="8"/>
    </row>
    <row r="49109" spans="17:17" x14ac:dyDescent="0.25">
      <c r="Q49109" s="8"/>
    </row>
    <row r="49110" spans="17:17" x14ac:dyDescent="0.25">
      <c r="Q49110" s="8"/>
    </row>
    <row r="49111" spans="17:17" x14ac:dyDescent="0.25">
      <c r="Q49111" s="8"/>
    </row>
    <row r="49112" spans="17:17" x14ac:dyDescent="0.25">
      <c r="Q49112" s="8"/>
    </row>
    <row r="49113" spans="17:17" x14ac:dyDescent="0.25">
      <c r="Q49113" s="8"/>
    </row>
    <row r="49114" spans="17:17" x14ac:dyDescent="0.25">
      <c r="Q49114" s="8"/>
    </row>
    <row r="49115" spans="17:17" x14ac:dyDescent="0.25">
      <c r="Q49115" s="8"/>
    </row>
    <row r="49116" spans="17:17" x14ac:dyDescent="0.25">
      <c r="Q49116" s="8"/>
    </row>
    <row r="49117" spans="17:17" x14ac:dyDescent="0.25">
      <c r="Q49117" s="8"/>
    </row>
    <row r="49118" spans="17:17" x14ac:dyDescent="0.25">
      <c r="Q49118" s="8"/>
    </row>
    <row r="49119" spans="17:17" x14ac:dyDescent="0.25">
      <c r="Q49119" s="8"/>
    </row>
    <row r="49120" spans="17:17" x14ac:dyDescent="0.25">
      <c r="Q49120" s="8"/>
    </row>
    <row r="49121" spans="17:17" x14ac:dyDescent="0.25">
      <c r="Q49121" s="8"/>
    </row>
    <row r="49122" spans="17:17" x14ac:dyDescent="0.25">
      <c r="Q49122" s="8"/>
    </row>
    <row r="49123" spans="17:17" x14ac:dyDescent="0.25">
      <c r="Q49123" s="8"/>
    </row>
    <row r="49124" spans="17:17" x14ac:dyDescent="0.25">
      <c r="Q49124" s="8"/>
    </row>
    <row r="49125" spans="17:17" x14ac:dyDescent="0.25">
      <c r="Q49125" s="8"/>
    </row>
    <row r="49126" spans="17:17" x14ac:dyDescent="0.25">
      <c r="Q49126" s="8"/>
    </row>
    <row r="49127" spans="17:17" x14ac:dyDescent="0.25">
      <c r="Q49127" s="8"/>
    </row>
    <row r="49128" spans="17:17" x14ac:dyDescent="0.25">
      <c r="Q49128" s="8"/>
    </row>
    <row r="49129" spans="17:17" x14ac:dyDescent="0.25">
      <c r="Q49129" s="8"/>
    </row>
    <row r="49130" spans="17:17" x14ac:dyDescent="0.25">
      <c r="Q49130" s="8"/>
    </row>
    <row r="49131" spans="17:17" x14ac:dyDescent="0.25">
      <c r="Q49131" s="8"/>
    </row>
    <row r="49132" spans="17:17" x14ac:dyDescent="0.25">
      <c r="Q49132" s="8"/>
    </row>
    <row r="49133" spans="17:17" x14ac:dyDescent="0.25">
      <c r="Q49133" s="8"/>
    </row>
    <row r="49134" spans="17:17" x14ac:dyDescent="0.25">
      <c r="Q49134" s="8"/>
    </row>
    <row r="49135" spans="17:17" x14ac:dyDescent="0.25">
      <c r="Q49135" s="8"/>
    </row>
    <row r="49136" spans="17:17" x14ac:dyDescent="0.25">
      <c r="Q49136" s="8"/>
    </row>
    <row r="49137" spans="17:17" x14ac:dyDescent="0.25">
      <c r="Q49137" s="8"/>
    </row>
    <row r="49138" spans="17:17" x14ac:dyDescent="0.25">
      <c r="Q49138" s="8"/>
    </row>
    <row r="49139" spans="17:17" x14ac:dyDescent="0.25">
      <c r="Q49139" s="8"/>
    </row>
    <row r="49140" spans="17:17" x14ac:dyDescent="0.25">
      <c r="Q49140" s="8"/>
    </row>
    <row r="49141" spans="17:17" x14ac:dyDescent="0.25">
      <c r="Q49141" s="8"/>
    </row>
    <row r="49142" spans="17:17" x14ac:dyDescent="0.25">
      <c r="Q49142" s="8"/>
    </row>
    <row r="49143" spans="17:17" x14ac:dyDescent="0.25">
      <c r="Q49143" s="8"/>
    </row>
    <row r="49144" spans="17:17" x14ac:dyDescent="0.25">
      <c r="Q49144" s="8"/>
    </row>
    <row r="49145" spans="17:17" x14ac:dyDescent="0.25">
      <c r="Q49145" s="8"/>
    </row>
    <row r="49146" spans="17:17" x14ac:dyDescent="0.25">
      <c r="Q49146" s="8"/>
    </row>
    <row r="49147" spans="17:17" x14ac:dyDescent="0.25">
      <c r="Q49147" s="8"/>
    </row>
    <row r="49148" spans="17:17" x14ac:dyDescent="0.25">
      <c r="Q49148" s="8"/>
    </row>
    <row r="49149" spans="17:17" x14ac:dyDescent="0.25">
      <c r="Q49149" s="8"/>
    </row>
    <row r="49150" spans="17:17" x14ac:dyDescent="0.25">
      <c r="Q49150" s="8"/>
    </row>
    <row r="49151" spans="17:17" x14ac:dyDescent="0.25">
      <c r="Q49151" s="8"/>
    </row>
    <row r="49152" spans="17:17" x14ac:dyDescent="0.25">
      <c r="Q49152" s="8"/>
    </row>
    <row r="49153" spans="17:17" x14ac:dyDescent="0.25">
      <c r="Q49153" s="8"/>
    </row>
    <row r="49154" spans="17:17" x14ac:dyDescent="0.25">
      <c r="Q49154" s="8"/>
    </row>
    <row r="49155" spans="17:17" x14ac:dyDescent="0.25">
      <c r="Q49155" s="8"/>
    </row>
    <row r="49156" spans="17:17" x14ac:dyDescent="0.25">
      <c r="Q49156" s="8"/>
    </row>
    <row r="49157" spans="17:17" x14ac:dyDescent="0.25">
      <c r="Q49157" s="8"/>
    </row>
    <row r="49158" spans="17:17" x14ac:dyDescent="0.25">
      <c r="Q49158" s="8"/>
    </row>
    <row r="49159" spans="17:17" x14ac:dyDescent="0.25">
      <c r="Q49159" s="8"/>
    </row>
    <row r="49160" spans="17:17" x14ac:dyDescent="0.25">
      <c r="Q49160" s="8"/>
    </row>
    <row r="49161" spans="17:17" x14ac:dyDescent="0.25">
      <c r="Q49161" s="8"/>
    </row>
    <row r="49162" spans="17:17" x14ac:dyDescent="0.25">
      <c r="Q49162" s="8"/>
    </row>
    <row r="49163" spans="17:17" x14ac:dyDescent="0.25">
      <c r="Q49163" s="8"/>
    </row>
    <row r="49164" spans="17:17" x14ac:dyDescent="0.25">
      <c r="Q49164" s="8"/>
    </row>
    <row r="49165" spans="17:17" x14ac:dyDescent="0.25">
      <c r="Q49165" s="8"/>
    </row>
    <row r="49166" spans="17:17" x14ac:dyDescent="0.25">
      <c r="Q49166" s="8"/>
    </row>
    <row r="49167" spans="17:17" x14ac:dyDescent="0.25">
      <c r="Q49167" s="8"/>
    </row>
    <row r="49168" spans="17:17" x14ac:dyDescent="0.25">
      <c r="Q49168" s="8"/>
    </row>
    <row r="49169" spans="17:17" x14ac:dyDescent="0.25">
      <c r="Q49169" s="8"/>
    </row>
    <row r="49170" spans="17:17" x14ac:dyDescent="0.25">
      <c r="Q49170" s="8"/>
    </row>
    <row r="49171" spans="17:17" x14ac:dyDescent="0.25">
      <c r="Q49171" s="8"/>
    </row>
    <row r="49172" spans="17:17" x14ac:dyDescent="0.25">
      <c r="Q49172" s="8"/>
    </row>
    <row r="49173" spans="17:17" x14ac:dyDescent="0.25">
      <c r="Q49173" s="8"/>
    </row>
    <row r="49174" spans="17:17" x14ac:dyDescent="0.25">
      <c r="Q49174" s="8"/>
    </row>
    <row r="49175" spans="17:17" x14ac:dyDescent="0.25">
      <c r="Q49175" s="8"/>
    </row>
    <row r="49176" spans="17:17" x14ac:dyDescent="0.25">
      <c r="Q49176" s="8"/>
    </row>
    <row r="49177" spans="17:17" x14ac:dyDescent="0.25">
      <c r="Q49177" s="8"/>
    </row>
    <row r="49178" spans="17:17" x14ac:dyDescent="0.25">
      <c r="Q49178" s="8"/>
    </row>
    <row r="49179" spans="17:17" x14ac:dyDescent="0.25">
      <c r="Q49179" s="8"/>
    </row>
    <row r="49180" spans="17:17" x14ac:dyDescent="0.25">
      <c r="Q49180" s="8"/>
    </row>
    <row r="49181" spans="17:17" x14ac:dyDescent="0.25">
      <c r="Q49181" s="8"/>
    </row>
    <row r="49182" spans="17:17" x14ac:dyDescent="0.25">
      <c r="Q49182" s="8"/>
    </row>
    <row r="49183" spans="17:17" x14ac:dyDescent="0.25">
      <c r="Q49183" s="8"/>
    </row>
    <row r="49184" spans="17:17" x14ac:dyDescent="0.25">
      <c r="Q49184" s="8"/>
    </row>
    <row r="49185" spans="17:17" x14ac:dyDescent="0.25">
      <c r="Q49185" s="8"/>
    </row>
    <row r="49186" spans="17:17" x14ac:dyDescent="0.25">
      <c r="Q49186" s="8"/>
    </row>
    <row r="49187" spans="17:17" x14ac:dyDescent="0.25">
      <c r="Q49187" s="8"/>
    </row>
    <row r="49188" spans="17:17" x14ac:dyDescent="0.25">
      <c r="Q49188" s="8"/>
    </row>
    <row r="49189" spans="17:17" x14ac:dyDescent="0.25">
      <c r="Q49189" s="8"/>
    </row>
    <row r="49190" spans="17:17" x14ac:dyDescent="0.25">
      <c r="Q49190" s="8"/>
    </row>
    <row r="49191" spans="17:17" x14ac:dyDescent="0.25">
      <c r="Q49191" s="8"/>
    </row>
    <row r="49192" spans="17:17" x14ac:dyDescent="0.25">
      <c r="Q49192" s="8"/>
    </row>
    <row r="49193" spans="17:17" x14ac:dyDescent="0.25">
      <c r="Q49193" s="8"/>
    </row>
    <row r="49194" spans="17:17" x14ac:dyDescent="0.25">
      <c r="Q49194" s="8"/>
    </row>
    <row r="49195" spans="17:17" x14ac:dyDescent="0.25">
      <c r="Q49195" s="8"/>
    </row>
    <row r="49196" spans="17:17" x14ac:dyDescent="0.25">
      <c r="Q49196" s="8"/>
    </row>
    <row r="49197" spans="17:17" x14ac:dyDescent="0.25">
      <c r="Q49197" s="8"/>
    </row>
    <row r="49198" spans="17:17" x14ac:dyDescent="0.25">
      <c r="Q49198" s="8"/>
    </row>
    <row r="49199" spans="17:17" x14ac:dyDescent="0.25">
      <c r="Q49199" s="8"/>
    </row>
    <row r="49200" spans="17:17" x14ac:dyDescent="0.25">
      <c r="Q49200" s="8"/>
    </row>
    <row r="49201" spans="17:17" x14ac:dyDescent="0.25">
      <c r="Q49201" s="8"/>
    </row>
    <row r="49202" spans="17:17" x14ac:dyDescent="0.25">
      <c r="Q49202" s="8"/>
    </row>
    <row r="49203" spans="17:17" x14ac:dyDescent="0.25">
      <c r="Q49203" s="8"/>
    </row>
    <row r="49204" spans="17:17" x14ac:dyDescent="0.25">
      <c r="Q49204" s="8"/>
    </row>
    <row r="49205" spans="17:17" x14ac:dyDescent="0.25">
      <c r="Q49205" s="8"/>
    </row>
    <row r="49206" spans="17:17" x14ac:dyDescent="0.25">
      <c r="Q49206" s="8"/>
    </row>
    <row r="49207" spans="17:17" x14ac:dyDescent="0.25">
      <c r="Q49207" s="8"/>
    </row>
    <row r="49208" spans="17:17" x14ac:dyDescent="0.25">
      <c r="Q49208" s="8"/>
    </row>
    <row r="49209" spans="17:17" x14ac:dyDescent="0.25">
      <c r="Q49209" s="8"/>
    </row>
    <row r="49210" spans="17:17" x14ac:dyDescent="0.25">
      <c r="Q49210" s="8"/>
    </row>
    <row r="49211" spans="17:17" x14ac:dyDescent="0.25">
      <c r="Q49211" s="8"/>
    </row>
    <row r="49212" spans="17:17" x14ac:dyDescent="0.25">
      <c r="Q49212" s="8"/>
    </row>
    <row r="49213" spans="17:17" x14ac:dyDescent="0.25">
      <c r="Q49213" s="8"/>
    </row>
    <row r="49214" spans="17:17" x14ac:dyDescent="0.25">
      <c r="Q49214" s="8"/>
    </row>
    <row r="49215" spans="17:17" x14ac:dyDescent="0.25">
      <c r="Q49215" s="8"/>
    </row>
    <row r="49216" spans="17:17" x14ac:dyDescent="0.25">
      <c r="Q49216" s="8"/>
    </row>
    <row r="49217" spans="17:17" x14ac:dyDescent="0.25">
      <c r="Q49217" s="8"/>
    </row>
    <row r="49218" spans="17:17" x14ac:dyDescent="0.25">
      <c r="Q49218" s="8"/>
    </row>
    <row r="49219" spans="17:17" x14ac:dyDescent="0.25">
      <c r="Q49219" s="8"/>
    </row>
    <row r="49220" spans="17:17" x14ac:dyDescent="0.25">
      <c r="Q49220" s="8"/>
    </row>
    <row r="49221" spans="17:17" x14ac:dyDescent="0.25">
      <c r="Q49221" s="8"/>
    </row>
    <row r="49222" spans="17:17" x14ac:dyDescent="0.25">
      <c r="Q49222" s="8"/>
    </row>
    <row r="49223" spans="17:17" x14ac:dyDescent="0.25">
      <c r="Q49223" s="8"/>
    </row>
    <row r="49224" spans="17:17" x14ac:dyDescent="0.25">
      <c r="Q49224" s="8"/>
    </row>
    <row r="49225" spans="17:17" x14ac:dyDescent="0.25">
      <c r="Q49225" s="8"/>
    </row>
    <row r="49226" spans="17:17" x14ac:dyDescent="0.25">
      <c r="Q49226" s="8"/>
    </row>
    <row r="49227" spans="17:17" x14ac:dyDescent="0.25">
      <c r="Q49227" s="8"/>
    </row>
    <row r="49228" spans="17:17" x14ac:dyDescent="0.25">
      <c r="Q49228" s="8"/>
    </row>
    <row r="49229" spans="17:17" x14ac:dyDescent="0.25">
      <c r="Q49229" s="8"/>
    </row>
    <row r="49230" spans="17:17" x14ac:dyDescent="0.25">
      <c r="Q49230" s="8"/>
    </row>
    <row r="49231" spans="17:17" x14ac:dyDescent="0.25">
      <c r="Q49231" s="8"/>
    </row>
    <row r="49232" spans="17:17" x14ac:dyDescent="0.25">
      <c r="Q49232" s="8"/>
    </row>
    <row r="49233" spans="17:17" x14ac:dyDescent="0.25">
      <c r="Q49233" s="8"/>
    </row>
    <row r="49234" spans="17:17" x14ac:dyDescent="0.25">
      <c r="Q49234" s="8"/>
    </row>
    <row r="49235" spans="17:17" x14ac:dyDescent="0.25">
      <c r="Q49235" s="8"/>
    </row>
    <row r="49236" spans="17:17" x14ac:dyDescent="0.25">
      <c r="Q49236" s="8"/>
    </row>
    <row r="49237" spans="17:17" x14ac:dyDescent="0.25">
      <c r="Q49237" s="8"/>
    </row>
    <row r="49238" spans="17:17" x14ac:dyDescent="0.25">
      <c r="Q49238" s="8"/>
    </row>
    <row r="49239" spans="17:17" x14ac:dyDescent="0.25">
      <c r="Q49239" s="8"/>
    </row>
    <row r="49240" spans="17:17" x14ac:dyDescent="0.25">
      <c r="Q49240" s="8"/>
    </row>
    <row r="49241" spans="17:17" x14ac:dyDescent="0.25">
      <c r="Q49241" s="8"/>
    </row>
    <row r="49242" spans="17:17" x14ac:dyDescent="0.25">
      <c r="Q49242" s="8"/>
    </row>
    <row r="49243" spans="17:17" x14ac:dyDescent="0.25">
      <c r="Q49243" s="8"/>
    </row>
    <row r="49244" spans="17:17" x14ac:dyDescent="0.25">
      <c r="Q49244" s="8"/>
    </row>
    <row r="49245" spans="17:17" x14ac:dyDescent="0.25">
      <c r="Q49245" s="8"/>
    </row>
    <row r="49246" spans="17:17" x14ac:dyDescent="0.25">
      <c r="Q49246" s="8"/>
    </row>
    <row r="49247" spans="17:17" x14ac:dyDescent="0.25">
      <c r="Q49247" s="8"/>
    </row>
    <row r="49248" spans="17:17" x14ac:dyDescent="0.25">
      <c r="Q49248" s="8"/>
    </row>
    <row r="49249" spans="17:17" x14ac:dyDescent="0.25">
      <c r="Q49249" s="8"/>
    </row>
    <row r="49250" spans="17:17" x14ac:dyDescent="0.25">
      <c r="Q49250" s="8"/>
    </row>
    <row r="49251" spans="17:17" x14ac:dyDescent="0.25">
      <c r="Q49251" s="8"/>
    </row>
    <row r="49252" spans="17:17" x14ac:dyDescent="0.25">
      <c r="Q49252" s="8"/>
    </row>
    <row r="49253" spans="17:17" x14ac:dyDescent="0.25">
      <c r="Q49253" s="8"/>
    </row>
    <row r="49254" spans="17:17" x14ac:dyDescent="0.25">
      <c r="Q49254" s="8"/>
    </row>
    <row r="49255" spans="17:17" x14ac:dyDescent="0.25">
      <c r="Q49255" s="8"/>
    </row>
    <row r="49256" spans="17:17" x14ac:dyDescent="0.25">
      <c r="Q49256" s="8"/>
    </row>
    <row r="49257" spans="17:17" x14ac:dyDescent="0.25">
      <c r="Q49257" s="8"/>
    </row>
    <row r="49258" spans="17:17" x14ac:dyDescent="0.25">
      <c r="Q49258" s="8"/>
    </row>
    <row r="49259" spans="17:17" x14ac:dyDescent="0.25">
      <c r="Q49259" s="8"/>
    </row>
    <row r="49260" spans="17:17" x14ac:dyDescent="0.25">
      <c r="Q49260" s="8"/>
    </row>
    <row r="49261" spans="17:17" x14ac:dyDescent="0.25">
      <c r="Q49261" s="8"/>
    </row>
    <row r="49262" spans="17:17" x14ac:dyDescent="0.25">
      <c r="Q49262" s="8"/>
    </row>
    <row r="49263" spans="17:17" x14ac:dyDescent="0.25">
      <c r="Q49263" s="8"/>
    </row>
    <row r="49264" spans="17:17" x14ac:dyDescent="0.25">
      <c r="Q49264" s="8"/>
    </row>
    <row r="49265" spans="17:17" x14ac:dyDescent="0.25">
      <c r="Q49265" s="8"/>
    </row>
    <row r="49266" spans="17:17" x14ac:dyDescent="0.25">
      <c r="Q49266" s="8"/>
    </row>
    <row r="49267" spans="17:17" x14ac:dyDescent="0.25">
      <c r="Q49267" s="8"/>
    </row>
    <row r="49268" spans="17:17" x14ac:dyDescent="0.25">
      <c r="Q49268" s="8"/>
    </row>
    <row r="49269" spans="17:17" x14ac:dyDescent="0.25">
      <c r="Q49269" s="8"/>
    </row>
    <row r="49270" spans="17:17" x14ac:dyDescent="0.25">
      <c r="Q49270" s="8"/>
    </row>
    <row r="49271" spans="17:17" x14ac:dyDescent="0.25">
      <c r="Q49271" s="8"/>
    </row>
    <row r="49272" spans="17:17" x14ac:dyDescent="0.25">
      <c r="Q49272" s="8"/>
    </row>
    <row r="49273" spans="17:17" x14ac:dyDescent="0.25">
      <c r="Q49273" s="8"/>
    </row>
    <row r="49274" spans="17:17" x14ac:dyDescent="0.25">
      <c r="Q49274" s="8"/>
    </row>
    <row r="49275" spans="17:17" x14ac:dyDescent="0.25">
      <c r="Q49275" s="8"/>
    </row>
    <row r="49276" spans="17:17" x14ac:dyDescent="0.25">
      <c r="Q49276" s="8"/>
    </row>
    <row r="49277" spans="17:17" x14ac:dyDescent="0.25">
      <c r="Q49277" s="8"/>
    </row>
    <row r="49278" spans="17:17" x14ac:dyDescent="0.25">
      <c r="Q49278" s="8"/>
    </row>
    <row r="49279" spans="17:17" x14ac:dyDescent="0.25">
      <c r="Q49279" s="8"/>
    </row>
    <row r="49280" spans="17:17" x14ac:dyDescent="0.25">
      <c r="Q49280" s="8"/>
    </row>
    <row r="49281" spans="17:17" x14ac:dyDescent="0.25">
      <c r="Q49281" s="8"/>
    </row>
    <row r="49282" spans="17:17" x14ac:dyDescent="0.25">
      <c r="Q49282" s="8"/>
    </row>
    <row r="49283" spans="17:17" x14ac:dyDescent="0.25">
      <c r="Q49283" s="8"/>
    </row>
    <row r="49284" spans="17:17" x14ac:dyDescent="0.25">
      <c r="Q49284" s="8"/>
    </row>
    <row r="49285" spans="17:17" x14ac:dyDescent="0.25">
      <c r="Q49285" s="8"/>
    </row>
    <row r="49286" spans="17:17" x14ac:dyDescent="0.25">
      <c r="Q49286" s="8"/>
    </row>
    <row r="49287" spans="17:17" x14ac:dyDescent="0.25">
      <c r="Q49287" s="8"/>
    </row>
    <row r="49288" spans="17:17" x14ac:dyDescent="0.25">
      <c r="Q49288" s="8"/>
    </row>
    <row r="49289" spans="17:17" x14ac:dyDescent="0.25">
      <c r="Q49289" s="8"/>
    </row>
    <row r="49290" spans="17:17" x14ac:dyDescent="0.25">
      <c r="Q49290" s="8"/>
    </row>
    <row r="49291" spans="17:17" x14ac:dyDescent="0.25">
      <c r="Q49291" s="8"/>
    </row>
    <row r="49292" spans="17:17" x14ac:dyDescent="0.25">
      <c r="Q49292" s="8"/>
    </row>
    <row r="49293" spans="17:17" x14ac:dyDescent="0.25">
      <c r="Q49293" s="8"/>
    </row>
    <row r="49294" spans="17:17" x14ac:dyDescent="0.25">
      <c r="Q49294" s="8"/>
    </row>
    <row r="49295" spans="17:17" x14ac:dyDescent="0.25">
      <c r="Q49295" s="8"/>
    </row>
    <row r="49296" spans="17:17" x14ac:dyDescent="0.25">
      <c r="Q49296" s="8"/>
    </row>
    <row r="49297" spans="17:17" x14ac:dyDescent="0.25">
      <c r="Q49297" s="8"/>
    </row>
    <row r="49298" spans="17:17" x14ac:dyDescent="0.25">
      <c r="Q49298" s="8"/>
    </row>
    <row r="49299" spans="17:17" x14ac:dyDescent="0.25">
      <c r="Q49299" s="8"/>
    </row>
    <row r="49300" spans="17:17" x14ac:dyDescent="0.25">
      <c r="Q49300" s="8"/>
    </row>
    <row r="49301" spans="17:17" x14ac:dyDescent="0.25">
      <c r="Q49301" s="8"/>
    </row>
    <row r="49302" spans="17:17" x14ac:dyDescent="0.25">
      <c r="Q49302" s="8"/>
    </row>
    <row r="49303" spans="17:17" x14ac:dyDescent="0.25">
      <c r="Q49303" s="8"/>
    </row>
    <row r="49304" spans="17:17" x14ac:dyDescent="0.25">
      <c r="Q49304" s="8"/>
    </row>
    <row r="49305" spans="17:17" x14ac:dyDescent="0.25">
      <c r="Q49305" s="8"/>
    </row>
    <row r="49306" spans="17:17" x14ac:dyDescent="0.25">
      <c r="Q49306" s="8"/>
    </row>
    <row r="49307" spans="17:17" x14ac:dyDescent="0.25">
      <c r="Q49307" s="8"/>
    </row>
    <row r="49308" spans="17:17" x14ac:dyDescent="0.25">
      <c r="Q49308" s="8"/>
    </row>
    <row r="49309" spans="17:17" x14ac:dyDescent="0.25">
      <c r="Q49309" s="8"/>
    </row>
    <row r="49310" spans="17:17" x14ac:dyDescent="0.25">
      <c r="Q49310" s="8"/>
    </row>
    <row r="49311" spans="17:17" x14ac:dyDescent="0.25">
      <c r="Q49311" s="8"/>
    </row>
    <row r="49312" spans="17:17" x14ac:dyDescent="0.25">
      <c r="Q49312" s="8"/>
    </row>
    <row r="49313" spans="17:17" x14ac:dyDescent="0.25">
      <c r="Q49313" s="8"/>
    </row>
    <row r="49314" spans="17:17" x14ac:dyDescent="0.25">
      <c r="Q49314" s="8"/>
    </row>
    <row r="49315" spans="17:17" x14ac:dyDescent="0.25">
      <c r="Q49315" s="8"/>
    </row>
    <row r="49316" spans="17:17" x14ac:dyDescent="0.25">
      <c r="Q49316" s="8"/>
    </row>
    <row r="49317" spans="17:17" x14ac:dyDescent="0.25">
      <c r="Q49317" s="8"/>
    </row>
    <row r="49318" spans="17:17" x14ac:dyDescent="0.25">
      <c r="Q49318" s="8"/>
    </row>
    <row r="49319" spans="17:17" x14ac:dyDescent="0.25">
      <c r="Q49319" s="8"/>
    </row>
    <row r="49320" spans="17:17" x14ac:dyDescent="0.25">
      <c r="Q49320" s="8"/>
    </row>
    <row r="49321" spans="17:17" x14ac:dyDescent="0.25">
      <c r="Q49321" s="8"/>
    </row>
    <row r="49322" spans="17:17" x14ac:dyDescent="0.25">
      <c r="Q49322" s="8"/>
    </row>
    <row r="49323" spans="17:17" x14ac:dyDescent="0.25">
      <c r="Q49323" s="8"/>
    </row>
    <row r="49324" spans="17:17" x14ac:dyDescent="0.25">
      <c r="Q49324" s="8"/>
    </row>
    <row r="49325" spans="17:17" x14ac:dyDescent="0.25">
      <c r="Q49325" s="8"/>
    </row>
    <row r="49326" spans="17:17" x14ac:dyDescent="0.25">
      <c r="Q49326" s="8"/>
    </row>
    <row r="49327" spans="17:17" x14ac:dyDescent="0.25">
      <c r="Q49327" s="8"/>
    </row>
    <row r="49328" spans="17:17" x14ac:dyDescent="0.25">
      <c r="Q49328" s="8"/>
    </row>
    <row r="49329" spans="17:17" x14ac:dyDescent="0.25">
      <c r="Q49329" s="8"/>
    </row>
    <row r="49330" spans="17:17" x14ac:dyDescent="0.25">
      <c r="Q49330" s="8"/>
    </row>
    <row r="49331" spans="17:17" x14ac:dyDescent="0.25">
      <c r="Q49331" s="8"/>
    </row>
    <row r="49332" spans="17:17" x14ac:dyDescent="0.25">
      <c r="Q49332" s="8"/>
    </row>
    <row r="49333" spans="17:17" x14ac:dyDescent="0.25">
      <c r="Q49333" s="8"/>
    </row>
    <row r="49334" spans="17:17" x14ac:dyDescent="0.25">
      <c r="Q49334" s="8"/>
    </row>
    <row r="49335" spans="17:17" x14ac:dyDescent="0.25">
      <c r="Q49335" s="8"/>
    </row>
    <row r="49336" spans="17:17" x14ac:dyDescent="0.25">
      <c r="Q49336" s="8"/>
    </row>
    <row r="49337" spans="17:17" x14ac:dyDescent="0.25">
      <c r="Q49337" s="8"/>
    </row>
    <row r="49338" spans="17:17" x14ac:dyDescent="0.25">
      <c r="Q49338" s="8"/>
    </row>
    <row r="49339" spans="17:17" x14ac:dyDescent="0.25">
      <c r="Q49339" s="8"/>
    </row>
    <row r="49340" spans="17:17" x14ac:dyDescent="0.25">
      <c r="Q49340" s="8"/>
    </row>
    <row r="49341" spans="17:17" x14ac:dyDescent="0.25">
      <c r="Q49341" s="8"/>
    </row>
    <row r="49342" spans="17:17" x14ac:dyDescent="0.25">
      <c r="Q49342" s="8"/>
    </row>
    <row r="49343" spans="17:17" x14ac:dyDescent="0.25">
      <c r="Q49343" s="8"/>
    </row>
    <row r="49344" spans="17:17" x14ac:dyDescent="0.25">
      <c r="Q49344" s="8"/>
    </row>
    <row r="49345" spans="17:17" x14ac:dyDescent="0.25">
      <c r="Q49345" s="8"/>
    </row>
    <row r="49346" spans="17:17" x14ac:dyDescent="0.25">
      <c r="Q49346" s="8"/>
    </row>
    <row r="49347" spans="17:17" x14ac:dyDescent="0.25">
      <c r="Q49347" s="8"/>
    </row>
    <row r="49348" spans="17:17" x14ac:dyDescent="0.25">
      <c r="Q49348" s="8"/>
    </row>
    <row r="49349" spans="17:17" x14ac:dyDescent="0.25">
      <c r="Q49349" s="8"/>
    </row>
    <row r="49350" spans="17:17" x14ac:dyDescent="0.25">
      <c r="Q49350" s="8"/>
    </row>
    <row r="49351" spans="17:17" x14ac:dyDescent="0.25">
      <c r="Q49351" s="8"/>
    </row>
    <row r="49352" spans="17:17" x14ac:dyDescent="0.25">
      <c r="Q49352" s="8"/>
    </row>
    <row r="49353" spans="17:17" x14ac:dyDescent="0.25">
      <c r="Q49353" s="8"/>
    </row>
    <row r="49354" spans="17:17" x14ac:dyDescent="0.25">
      <c r="Q49354" s="8"/>
    </row>
    <row r="49355" spans="17:17" x14ac:dyDescent="0.25">
      <c r="Q49355" s="8"/>
    </row>
    <row r="49356" spans="17:17" x14ac:dyDescent="0.25">
      <c r="Q49356" s="8"/>
    </row>
    <row r="49357" spans="17:17" x14ac:dyDescent="0.25">
      <c r="Q49357" s="8"/>
    </row>
    <row r="49358" spans="17:17" x14ac:dyDescent="0.25">
      <c r="Q49358" s="8"/>
    </row>
    <row r="49359" spans="17:17" x14ac:dyDescent="0.25">
      <c r="Q49359" s="8"/>
    </row>
    <row r="49360" spans="17:17" x14ac:dyDescent="0.25">
      <c r="Q49360" s="8"/>
    </row>
    <row r="49361" spans="17:17" x14ac:dyDescent="0.25">
      <c r="Q49361" s="8"/>
    </row>
    <row r="49362" spans="17:17" x14ac:dyDescent="0.25">
      <c r="Q49362" s="8"/>
    </row>
    <row r="49363" spans="17:17" x14ac:dyDescent="0.25">
      <c r="Q49363" s="8"/>
    </row>
    <row r="49364" spans="17:17" x14ac:dyDescent="0.25">
      <c r="Q49364" s="8"/>
    </row>
    <row r="49365" spans="17:17" x14ac:dyDescent="0.25">
      <c r="Q49365" s="8"/>
    </row>
    <row r="49366" spans="17:17" x14ac:dyDescent="0.25">
      <c r="Q49366" s="8"/>
    </row>
    <row r="49367" spans="17:17" x14ac:dyDescent="0.25">
      <c r="Q49367" s="8"/>
    </row>
    <row r="49368" spans="17:17" x14ac:dyDescent="0.25">
      <c r="Q49368" s="8"/>
    </row>
    <row r="49369" spans="17:17" x14ac:dyDescent="0.25">
      <c r="Q49369" s="8"/>
    </row>
    <row r="49370" spans="17:17" x14ac:dyDescent="0.25">
      <c r="Q49370" s="8"/>
    </row>
    <row r="49371" spans="17:17" x14ac:dyDescent="0.25">
      <c r="Q49371" s="8"/>
    </row>
    <row r="49372" spans="17:17" x14ac:dyDescent="0.25">
      <c r="Q49372" s="8"/>
    </row>
    <row r="49373" spans="17:17" x14ac:dyDescent="0.25">
      <c r="Q49373" s="8"/>
    </row>
    <row r="49374" spans="17:17" x14ac:dyDescent="0.25">
      <c r="Q49374" s="8"/>
    </row>
    <row r="49375" spans="17:17" x14ac:dyDescent="0.25">
      <c r="Q49375" s="8"/>
    </row>
    <row r="49376" spans="17:17" x14ac:dyDescent="0.25">
      <c r="Q49376" s="8"/>
    </row>
    <row r="49377" spans="17:17" x14ac:dyDescent="0.25">
      <c r="Q49377" s="8"/>
    </row>
    <row r="49378" spans="17:17" x14ac:dyDescent="0.25">
      <c r="Q49378" s="8"/>
    </row>
    <row r="49379" spans="17:17" x14ac:dyDescent="0.25">
      <c r="Q49379" s="8"/>
    </row>
    <row r="49380" spans="17:17" x14ac:dyDescent="0.25">
      <c r="Q49380" s="8"/>
    </row>
    <row r="49381" spans="17:17" x14ac:dyDescent="0.25">
      <c r="Q49381" s="8"/>
    </row>
    <row r="49382" spans="17:17" x14ac:dyDescent="0.25">
      <c r="Q49382" s="8"/>
    </row>
    <row r="49383" spans="17:17" x14ac:dyDescent="0.25">
      <c r="Q49383" s="8"/>
    </row>
    <row r="49384" spans="17:17" x14ac:dyDescent="0.25">
      <c r="Q49384" s="8"/>
    </row>
    <row r="49385" spans="17:17" x14ac:dyDescent="0.25">
      <c r="Q49385" s="8"/>
    </row>
    <row r="49386" spans="17:17" x14ac:dyDescent="0.25">
      <c r="Q49386" s="8"/>
    </row>
    <row r="49387" spans="17:17" x14ac:dyDescent="0.25">
      <c r="Q49387" s="8"/>
    </row>
    <row r="49388" spans="17:17" x14ac:dyDescent="0.25">
      <c r="Q49388" s="8"/>
    </row>
    <row r="49389" spans="17:17" x14ac:dyDescent="0.25">
      <c r="Q49389" s="8"/>
    </row>
    <row r="49390" spans="17:17" x14ac:dyDescent="0.25">
      <c r="Q49390" s="8"/>
    </row>
    <row r="49391" spans="17:17" x14ac:dyDescent="0.25">
      <c r="Q49391" s="8"/>
    </row>
    <row r="49392" spans="17:17" x14ac:dyDescent="0.25">
      <c r="Q49392" s="8"/>
    </row>
    <row r="49393" spans="17:17" x14ac:dyDescent="0.25">
      <c r="Q49393" s="8"/>
    </row>
    <row r="49394" spans="17:17" x14ac:dyDescent="0.25">
      <c r="Q49394" s="8"/>
    </row>
    <row r="49395" spans="17:17" x14ac:dyDescent="0.25">
      <c r="Q49395" s="8"/>
    </row>
    <row r="49396" spans="17:17" x14ac:dyDescent="0.25">
      <c r="Q49396" s="8"/>
    </row>
    <row r="49397" spans="17:17" x14ac:dyDescent="0.25">
      <c r="Q49397" s="8"/>
    </row>
    <row r="49398" spans="17:17" x14ac:dyDescent="0.25">
      <c r="Q49398" s="8"/>
    </row>
    <row r="49399" spans="17:17" x14ac:dyDescent="0.25">
      <c r="Q49399" s="8"/>
    </row>
    <row r="49400" spans="17:17" x14ac:dyDescent="0.25">
      <c r="Q49400" s="8"/>
    </row>
    <row r="49401" spans="17:17" x14ac:dyDescent="0.25">
      <c r="Q49401" s="8"/>
    </row>
    <row r="49402" spans="17:17" x14ac:dyDescent="0.25">
      <c r="Q49402" s="8"/>
    </row>
    <row r="49403" spans="17:17" x14ac:dyDescent="0.25">
      <c r="Q49403" s="8"/>
    </row>
    <row r="49404" spans="17:17" x14ac:dyDescent="0.25">
      <c r="Q49404" s="8"/>
    </row>
    <row r="49405" spans="17:17" x14ac:dyDescent="0.25">
      <c r="Q49405" s="8"/>
    </row>
    <row r="49406" spans="17:17" x14ac:dyDescent="0.25">
      <c r="Q49406" s="8"/>
    </row>
    <row r="49407" spans="17:17" x14ac:dyDescent="0.25">
      <c r="Q49407" s="8"/>
    </row>
    <row r="49408" spans="17:17" x14ac:dyDescent="0.25">
      <c r="Q49408" s="8"/>
    </row>
    <row r="49409" spans="17:17" x14ac:dyDescent="0.25">
      <c r="Q49409" s="8"/>
    </row>
    <row r="49410" spans="17:17" x14ac:dyDescent="0.25">
      <c r="Q49410" s="8"/>
    </row>
    <row r="49411" spans="17:17" x14ac:dyDescent="0.25">
      <c r="Q49411" s="8"/>
    </row>
    <row r="49412" spans="17:17" x14ac:dyDescent="0.25">
      <c r="Q49412" s="8"/>
    </row>
    <row r="49413" spans="17:17" x14ac:dyDescent="0.25">
      <c r="Q49413" s="8"/>
    </row>
    <row r="49414" spans="17:17" x14ac:dyDescent="0.25">
      <c r="Q49414" s="8"/>
    </row>
    <row r="49415" spans="17:17" x14ac:dyDescent="0.25">
      <c r="Q49415" s="8"/>
    </row>
    <row r="49416" spans="17:17" x14ac:dyDescent="0.25">
      <c r="Q49416" s="8"/>
    </row>
    <row r="49417" spans="17:17" x14ac:dyDescent="0.25">
      <c r="Q49417" s="8"/>
    </row>
    <row r="49418" spans="17:17" x14ac:dyDescent="0.25">
      <c r="Q49418" s="8"/>
    </row>
    <row r="49419" spans="17:17" x14ac:dyDescent="0.25">
      <c r="Q49419" s="8"/>
    </row>
    <row r="49420" spans="17:17" x14ac:dyDescent="0.25">
      <c r="Q49420" s="8"/>
    </row>
    <row r="49421" spans="17:17" x14ac:dyDescent="0.25">
      <c r="Q49421" s="8"/>
    </row>
    <row r="49422" spans="17:17" x14ac:dyDescent="0.25">
      <c r="Q49422" s="8"/>
    </row>
    <row r="49423" spans="17:17" x14ac:dyDescent="0.25">
      <c r="Q49423" s="8"/>
    </row>
    <row r="49424" spans="17:17" x14ac:dyDescent="0.25">
      <c r="Q49424" s="8"/>
    </row>
    <row r="49425" spans="17:17" x14ac:dyDescent="0.25">
      <c r="Q49425" s="8"/>
    </row>
    <row r="49426" spans="17:17" x14ac:dyDescent="0.25">
      <c r="Q49426" s="8"/>
    </row>
    <row r="49427" spans="17:17" x14ac:dyDescent="0.25">
      <c r="Q49427" s="8"/>
    </row>
    <row r="49428" spans="17:17" x14ac:dyDescent="0.25">
      <c r="Q49428" s="8"/>
    </row>
    <row r="49429" spans="17:17" x14ac:dyDescent="0.25">
      <c r="Q49429" s="8"/>
    </row>
    <row r="49430" spans="17:17" x14ac:dyDescent="0.25">
      <c r="Q49430" s="8"/>
    </row>
    <row r="49431" spans="17:17" x14ac:dyDescent="0.25">
      <c r="Q49431" s="8"/>
    </row>
    <row r="49432" spans="17:17" x14ac:dyDescent="0.25">
      <c r="Q49432" s="8"/>
    </row>
    <row r="49433" spans="17:17" x14ac:dyDescent="0.25">
      <c r="Q49433" s="8"/>
    </row>
    <row r="49434" spans="17:17" x14ac:dyDescent="0.25">
      <c r="Q49434" s="8"/>
    </row>
    <row r="49435" spans="17:17" x14ac:dyDescent="0.25">
      <c r="Q49435" s="8"/>
    </row>
    <row r="49436" spans="17:17" x14ac:dyDescent="0.25">
      <c r="Q49436" s="8"/>
    </row>
    <row r="49437" spans="17:17" x14ac:dyDescent="0.25">
      <c r="Q49437" s="8"/>
    </row>
    <row r="49438" spans="17:17" x14ac:dyDescent="0.25">
      <c r="Q49438" s="8"/>
    </row>
    <row r="49439" spans="17:17" x14ac:dyDescent="0.25">
      <c r="Q49439" s="8"/>
    </row>
    <row r="49440" spans="17:17" x14ac:dyDescent="0.25">
      <c r="Q49440" s="8"/>
    </row>
    <row r="49441" spans="17:17" x14ac:dyDescent="0.25">
      <c r="Q49441" s="8"/>
    </row>
    <row r="49442" spans="17:17" x14ac:dyDescent="0.25">
      <c r="Q49442" s="8"/>
    </row>
    <row r="49443" spans="17:17" x14ac:dyDescent="0.25">
      <c r="Q49443" s="8"/>
    </row>
    <row r="49444" spans="17:17" x14ac:dyDescent="0.25">
      <c r="Q49444" s="8"/>
    </row>
    <row r="49445" spans="17:17" x14ac:dyDescent="0.25">
      <c r="Q49445" s="8"/>
    </row>
    <row r="49446" spans="17:17" x14ac:dyDescent="0.25">
      <c r="Q49446" s="8"/>
    </row>
    <row r="49447" spans="17:17" x14ac:dyDescent="0.25">
      <c r="Q49447" s="8"/>
    </row>
    <row r="49448" spans="17:17" x14ac:dyDescent="0.25">
      <c r="Q49448" s="8"/>
    </row>
    <row r="49449" spans="17:17" x14ac:dyDescent="0.25">
      <c r="Q49449" s="8"/>
    </row>
    <row r="49450" spans="17:17" x14ac:dyDescent="0.25">
      <c r="Q49450" s="8"/>
    </row>
    <row r="49451" spans="17:17" x14ac:dyDescent="0.25">
      <c r="Q49451" s="8"/>
    </row>
    <row r="49452" spans="17:17" x14ac:dyDescent="0.25">
      <c r="Q49452" s="8"/>
    </row>
    <row r="49453" spans="17:17" x14ac:dyDescent="0.25">
      <c r="Q49453" s="8"/>
    </row>
    <row r="49454" spans="17:17" x14ac:dyDescent="0.25">
      <c r="Q49454" s="8"/>
    </row>
    <row r="49455" spans="17:17" x14ac:dyDescent="0.25">
      <c r="Q49455" s="8"/>
    </row>
    <row r="49456" spans="17:17" x14ac:dyDescent="0.25">
      <c r="Q49456" s="8"/>
    </row>
    <row r="49457" spans="17:17" x14ac:dyDescent="0.25">
      <c r="Q49457" s="8"/>
    </row>
    <row r="49458" spans="17:17" x14ac:dyDescent="0.25">
      <c r="Q49458" s="8"/>
    </row>
    <row r="49459" spans="17:17" x14ac:dyDescent="0.25">
      <c r="Q49459" s="8"/>
    </row>
    <row r="49460" spans="17:17" x14ac:dyDescent="0.25">
      <c r="Q49460" s="8"/>
    </row>
    <row r="49461" spans="17:17" x14ac:dyDescent="0.25">
      <c r="Q49461" s="8"/>
    </row>
    <row r="49462" spans="17:17" x14ac:dyDescent="0.25">
      <c r="Q49462" s="8"/>
    </row>
    <row r="49463" spans="17:17" x14ac:dyDescent="0.25">
      <c r="Q49463" s="8"/>
    </row>
    <row r="49464" spans="17:17" x14ac:dyDescent="0.25">
      <c r="Q49464" s="8"/>
    </row>
    <row r="49465" spans="17:17" x14ac:dyDescent="0.25">
      <c r="Q49465" s="8"/>
    </row>
    <row r="49466" spans="17:17" x14ac:dyDescent="0.25">
      <c r="Q49466" s="8"/>
    </row>
    <row r="49467" spans="17:17" x14ac:dyDescent="0.25">
      <c r="Q49467" s="8"/>
    </row>
    <row r="49468" spans="17:17" x14ac:dyDescent="0.25">
      <c r="Q49468" s="8"/>
    </row>
    <row r="49469" spans="17:17" x14ac:dyDescent="0.25">
      <c r="Q49469" s="8"/>
    </row>
    <row r="49470" spans="17:17" x14ac:dyDescent="0.25">
      <c r="Q49470" s="8"/>
    </row>
    <row r="49471" spans="17:17" x14ac:dyDescent="0.25">
      <c r="Q49471" s="8"/>
    </row>
    <row r="49472" spans="17:17" x14ac:dyDescent="0.25">
      <c r="Q49472" s="8"/>
    </row>
    <row r="49473" spans="17:17" x14ac:dyDescent="0.25">
      <c r="Q49473" s="8"/>
    </row>
    <row r="49474" spans="17:17" x14ac:dyDescent="0.25">
      <c r="Q49474" s="8"/>
    </row>
    <row r="49475" spans="17:17" x14ac:dyDescent="0.25">
      <c r="Q49475" s="8"/>
    </row>
    <row r="49476" spans="17:17" x14ac:dyDescent="0.25">
      <c r="Q49476" s="8"/>
    </row>
    <row r="49477" spans="17:17" x14ac:dyDescent="0.25">
      <c r="Q49477" s="8"/>
    </row>
    <row r="49478" spans="17:17" x14ac:dyDescent="0.25">
      <c r="Q49478" s="8"/>
    </row>
    <row r="49479" spans="17:17" x14ac:dyDescent="0.25">
      <c r="Q49479" s="8"/>
    </row>
    <row r="49480" spans="17:17" x14ac:dyDescent="0.25">
      <c r="Q49480" s="8"/>
    </row>
    <row r="49481" spans="17:17" x14ac:dyDescent="0.25">
      <c r="Q49481" s="8"/>
    </row>
    <row r="49482" spans="17:17" x14ac:dyDescent="0.25">
      <c r="Q49482" s="8"/>
    </row>
    <row r="49483" spans="17:17" x14ac:dyDescent="0.25">
      <c r="Q49483" s="8"/>
    </row>
    <row r="49484" spans="17:17" x14ac:dyDescent="0.25">
      <c r="Q49484" s="8"/>
    </row>
    <row r="49485" spans="17:17" x14ac:dyDescent="0.25">
      <c r="Q49485" s="8"/>
    </row>
    <row r="49486" spans="17:17" x14ac:dyDescent="0.25">
      <c r="Q49486" s="8"/>
    </row>
    <row r="49487" spans="17:17" x14ac:dyDescent="0.25">
      <c r="Q49487" s="8"/>
    </row>
    <row r="49488" spans="17:17" x14ac:dyDescent="0.25">
      <c r="Q49488" s="8"/>
    </row>
    <row r="49489" spans="17:17" x14ac:dyDescent="0.25">
      <c r="Q49489" s="8"/>
    </row>
    <row r="49490" spans="17:17" x14ac:dyDescent="0.25">
      <c r="Q49490" s="8"/>
    </row>
    <row r="49491" spans="17:17" x14ac:dyDescent="0.25">
      <c r="Q49491" s="8"/>
    </row>
    <row r="49492" spans="17:17" x14ac:dyDescent="0.25">
      <c r="Q49492" s="8"/>
    </row>
    <row r="49493" spans="17:17" x14ac:dyDescent="0.25">
      <c r="Q49493" s="8"/>
    </row>
    <row r="49494" spans="17:17" x14ac:dyDescent="0.25">
      <c r="Q49494" s="8"/>
    </row>
    <row r="49495" spans="17:17" x14ac:dyDescent="0.25">
      <c r="Q49495" s="8"/>
    </row>
    <row r="49496" spans="17:17" x14ac:dyDescent="0.25">
      <c r="Q49496" s="8"/>
    </row>
    <row r="49497" spans="17:17" x14ac:dyDescent="0.25">
      <c r="Q49497" s="8"/>
    </row>
    <row r="49498" spans="17:17" x14ac:dyDescent="0.25">
      <c r="Q49498" s="8"/>
    </row>
    <row r="49499" spans="17:17" x14ac:dyDescent="0.25">
      <c r="Q49499" s="8"/>
    </row>
    <row r="49500" spans="17:17" x14ac:dyDescent="0.25">
      <c r="Q49500" s="8"/>
    </row>
    <row r="49501" spans="17:17" x14ac:dyDescent="0.25">
      <c r="Q49501" s="8"/>
    </row>
    <row r="49502" spans="17:17" x14ac:dyDescent="0.25">
      <c r="Q49502" s="8"/>
    </row>
    <row r="49503" spans="17:17" x14ac:dyDescent="0.25">
      <c r="Q49503" s="8"/>
    </row>
    <row r="49504" spans="17:17" x14ac:dyDescent="0.25">
      <c r="Q49504" s="8"/>
    </row>
    <row r="49505" spans="17:17" x14ac:dyDescent="0.25">
      <c r="Q49505" s="8"/>
    </row>
    <row r="49506" spans="17:17" x14ac:dyDescent="0.25">
      <c r="Q49506" s="8"/>
    </row>
    <row r="49507" spans="17:17" x14ac:dyDescent="0.25">
      <c r="Q49507" s="8"/>
    </row>
    <row r="49508" spans="17:17" x14ac:dyDescent="0.25">
      <c r="Q49508" s="8"/>
    </row>
    <row r="49509" spans="17:17" x14ac:dyDescent="0.25">
      <c r="Q49509" s="8"/>
    </row>
    <row r="49510" spans="17:17" x14ac:dyDescent="0.25">
      <c r="Q49510" s="8"/>
    </row>
    <row r="49511" spans="17:17" x14ac:dyDescent="0.25">
      <c r="Q49511" s="8"/>
    </row>
    <row r="49512" spans="17:17" x14ac:dyDescent="0.25">
      <c r="Q49512" s="8"/>
    </row>
    <row r="49513" spans="17:17" x14ac:dyDescent="0.25">
      <c r="Q49513" s="8"/>
    </row>
    <row r="49514" spans="17:17" x14ac:dyDescent="0.25">
      <c r="Q49514" s="8"/>
    </row>
    <row r="49515" spans="17:17" x14ac:dyDescent="0.25">
      <c r="Q49515" s="8"/>
    </row>
    <row r="49516" spans="17:17" x14ac:dyDescent="0.25">
      <c r="Q49516" s="8"/>
    </row>
    <row r="49517" spans="17:17" x14ac:dyDescent="0.25">
      <c r="Q49517" s="8"/>
    </row>
    <row r="49518" spans="17:17" x14ac:dyDescent="0.25">
      <c r="Q49518" s="8"/>
    </row>
    <row r="49519" spans="17:17" x14ac:dyDescent="0.25">
      <c r="Q49519" s="8"/>
    </row>
    <row r="49520" spans="17:17" x14ac:dyDescent="0.25">
      <c r="Q49520" s="8"/>
    </row>
    <row r="49521" spans="17:17" x14ac:dyDescent="0.25">
      <c r="Q49521" s="8"/>
    </row>
    <row r="49522" spans="17:17" x14ac:dyDescent="0.25">
      <c r="Q49522" s="8"/>
    </row>
    <row r="49523" spans="17:17" x14ac:dyDescent="0.25">
      <c r="Q49523" s="8"/>
    </row>
    <row r="49524" spans="17:17" x14ac:dyDescent="0.25">
      <c r="Q49524" s="8"/>
    </row>
    <row r="49525" spans="17:17" x14ac:dyDescent="0.25">
      <c r="Q49525" s="8"/>
    </row>
    <row r="49526" spans="17:17" x14ac:dyDescent="0.25">
      <c r="Q49526" s="8"/>
    </row>
    <row r="49527" spans="17:17" x14ac:dyDescent="0.25">
      <c r="Q49527" s="8"/>
    </row>
    <row r="49528" spans="17:17" x14ac:dyDescent="0.25">
      <c r="Q49528" s="8"/>
    </row>
    <row r="49529" spans="17:17" x14ac:dyDescent="0.25">
      <c r="Q49529" s="8"/>
    </row>
    <row r="49530" spans="17:17" x14ac:dyDescent="0.25">
      <c r="Q49530" s="8"/>
    </row>
    <row r="49531" spans="17:17" x14ac:dyDescent="0.25">
      <c r="Q49531" s="8"/>
    </row>
    <row r="49532" spans="17:17" x14ac:dyDescent="0.25">
      <c r="Q49532" s="8"/>
    </row>
    <row r="49533" spans="17:17" x14ac:dyDescent="0.25">
      <c r="Q49533" s="8"/>
    </row>
    <row r="49534" spans="17:17" x14ac:dyDescent="0.25">
      <c r="Q49534" s="8"/>
    </row>
    <row r="49535" spans="17:17" x14ac:dyDescent="0.25">
      <c r="Q49535" s="8"/>
    </row>
    <row r="49536" spans="17:17" x14ac:dyDescent="0.25">
      <c r="Q49536" s="8"/>
    </row>
    <row r="49537" spans="17:17" x14ac:dyDescent="0.25">
      <c r="Q49537" s="8"/>
    </row>
    <row r="49538" spans="17:17" x14ac:dyDescent="0.25">
      <c r="Q49538" s="8"/>
    </row>
    <row r="49539" spans="17:17" x14ac:dyDescent="0.25">
      <c r="Q49539" s="8"/>
    </row>
    <row r="49540" spans="17:17" x14ac:dyDescent="0.25">
      <c r="Q49540" s="8"/>
    </row>
    <row r="49541" spans="17:17" x14ac:dyDescent="0.25">
      <c r="Q49541" s="8"/>
    </row>
    <row r="49542" spans="17:17" x14ac:dyDescent="0.25">
      <c r="Q49542" s="8"/>
    </row>
    <row r="49543" spans="17:17" x14ac:dyDescent="0.25">
      <c r="Q49543" s="8"/>
    </row>
    <row r="49544" spans="17:17" x14ac:dyDescent="0.25">
      <c r="Q49544" s="8"/>
    </row>
    <row r="49545" spans="17:17" x14ac:dyDescent="0.25">
      <c r="Q49545" s="8"/>
    </row>
    <row r="49546" spans="17:17" x14ac:dyDescent="0.25">
      <c r="Q49546" s="8"/>
    </row>
    <row r="49547" spans="17:17" x14ac:dyDescent="0.25">
      <c r="Q49547" s="8"/>
    </row>
    <row r="49548" spans="17:17" x14ac:dyDescent="0.25">
      <c r="Q49548" s="8"/>
    </row>
    <row r="49549" spans="17:17" x14ac:dyDescent="0.25">
      <c r="Q49549" s="8"/>
    </row>
    <row r="49550" spans="17:17" x14ac:dyDescent="0.25">
      <c r="Q49550" s="8"/>
    </row>
    <row r="49551" spans="17:17" x14ac:dyDescent="0.25">
      <c r="Q49551" s="8"/>
    </row>
    <row r="49552" spans="17:17" x14ac:dyDescent="0.25">
      <c r="Q49552" s="8"/>
    </row>
    <row r="49553" spans="17:17" x14ac:dyDescent="0.25">
      <c r="Q49553" s="8"/>
    </row>
    <row r="49554" spans="17:17" x14ac:dyDescent="0.25">
      <c r="Q49554" s="8"/>
    </row>
    <row r="49555" spans="17:17" x14ac:dyDescent="0.25">
      <c r="Q49555" s="8"/>
    </row>
    <row r="49556" spans="17:17" x14ac:dyDescent="0.25">
      <c r="Q49556" s="8"/>
    </row>
    <row r="49557" spans="17:17" x14ac:dyDescent="0.25">
      <c r="Q49557" s="8"/>
    </row>
    <row r="49558" spans="17:17" x14ac:dyDescent="0.25">
      <c r="Q49558" s="8"/>
    </row>
    <row r="49559" spans="17:17" x14ac:dyDescent="0.25">
      <c r="Q49559" s="8"/>
    </row>
    <row r="49560" spans="17:17" x14ac:dyDescent="0.25">
      <c r="Q49560" s="8"/>
    </row>
    <row r="49561" spans="17:17" x14ac:dyDescent="0.25">
      <c r="Q49561" s="8"/>
    </row>
    <row r="49562" spans="17:17" x14ac:dyDescent="0.25">
      <c r="Q49562" s="8"/>
    </row>
    <row r="49563" spans="17:17" x14ac:dyDescent="0.25">
      <c r="Q49563" s="8"/>
    </row>
    <row r="49564" spans="17:17" x14ac:dyDescent="0.25">
      <c r="Q49564" s="8"/>
    </row>
    <row r="49565" spans="17:17" x14ac:dyDescent="0.25">
      <c r="Q49565" s="8"/>
    </row>
    <row r="49566" spans="17:17" x14ac:dyDescent="0.25">
      <c r="Q49566" s="8"/>
    </row>
    <row r="49567" spans="17:17" x14ac:dyDescent="0.25">
      <c r="Q49567" s="8"/>
    </row>
    <row r="49568" spans="17:17" x14ac:dyDescent="0.25">
      <c r="Q49568" s="8"/>
    </row>
    <row r="49569" spans="17:17" x14ac:dyDescent="0.25">
      <c r="Q49569" s="8"/>
    </row>
    <row r="49570" spans="17:17" x14ac:dyDescent="0.25">
      <c r="Q49570" s="8"/>
    </row>
    <row r="49571" spans="17:17" x14ac:dyDescent="0.25">
      <c r="Q49571" s="8"/>
    </row>
    <row r="49572" spans="17:17" x14ac:dyDescent="0.25">
      <c r="Q49572" s="8"/>
    </row>
    <row r="49573" spans="17:17" x14ac:dyDescent="0.25">
      <c r="Q49573" s="8"/>
    </row>
    <row r="49574" spans="17:17" x14ac:dyDescent="0.25">
      <c r="Q49574" s="8"/>
    </row>
    <row r="49575" spans="17:17" x14ac:dyDescent="0.25">
      <c r="Q49575" s="8"/>
    </row>
    <row r="49576" spans="17:17" x14ac:dyDescent="0.25">
      <c r="Q49576" s="8"/>
    </row>
    <row r="49577" spans="17:17" x14ac:dyDescent="0.25">
      <c r="Q49577" s="8"/>
    </row>
    <row r="49578" spans="17:17" x14ac:dyDescent="0.25">
      <c r="Q49578" s="8"/>
    </row>
    <row r="49579" spans="17:17" x14ac:dyDescent="0.25">
      <c r="Q49579" s="8"/>
    </row>
    <row r="49580" spans="17:17" x14ac:dyDescent="0.25">
      <c r="Q49580" s="8"/>
    </row>
    <row r="49581" spans="17:17" x14ac:dyDescent="0.25">
      <c r="Q49581" s="8"/>
    </row>
    <row r="49582" spans="17:17" x14ac:dyDescent="0.25">
      <c r="Q49582" s="8"/>
    </row>
    <row r="49583" spans="17:17" x14ac:dyDescent="0.25">
      <c r="Q49583" s="8"/>
    </row>
    <row r="49584" spans="17:17" x14ac:dyDescent="0.25">
      <c r="Q49584" s="8"/>
    </row>
    <row r="49585" spans="17:17" x14ac:dyDescent="0.25">
      <c r="Q49585" s="8"/>
    </row>
    <row r="49586" spans="17:17" x14ac:dyDescent="0.25">
      <c r="Q49586" s="8"/>
    </row>
    <row r="49587" spans="17:17" x14ac:dyDescent="0.25">
      <c r="Q49587" s="8"/>
    </row>
    <row r="49588" spans="17:17" x14ac:dyDescent="0.25">
      <c r="Q49588" s="8"/>
    </row>
    <row r="49589" spans="17:17" x14ac:dyDescent="0.25">
      <c r="Q49589" s="8"/>
    </row>
    <row r="49590" spans="17:17" x14ac:dyDescent="0.25">
      <c r="Q49590" s="8"/>
    </row>
    <row r="49591" spans="17:17" x14ac:dyDescent="0.25">
      <c r="Q49591" s="8"/>
    </row>
    <row r="49592" spans="17:17" x14ac:dyDescent="0.25">
      <c r="Q49592" s="8"/>
    </row>
    <row r="49593" spans="17:17" x14ac:dyDescent="0.25">
      <c r="Q49593" s="8"/>
    </row>
    <row r="49594" spans="17:17" x14ac:dyDescent="0.25">
      <c r="Q49594" s="8"/>
    </row>
    <row r="49595" spans="17:17" x14ac:dyDescent="0.25">
      <c r="Q49595" s="8"/>
    </row>
    <row r="49596" spans="17:17" x14ac:dyDescent="0.25">
      <c r="Q49596" s="8"/>
    </row>
    <row r="49597" spans="17:17" x14ac:dyDescent="0.25">
      <c r="Q49597" s="8"/>
    </row>
    <row r="49598" spans="17:17" x14ac:dyDescent="0.25">
      <c r="Q49598" s="8"/>
    </row>
    <row r="49599" spans="17:17" x14ac:dyDescent="0.25">
      <c r="Q49599" s="8"/>
    </row>
    <row r="49600" spans="17:17" x14ac:dyDescent="0.25">
      <c r="Q49600" s="8"/>
    </row>
    <row r="49601" spans="17:17" x14ac:dyDescent="0.25">
      <c r="Q49601" s="8"/>
    </row>
    <row r="49602" spans="17:17" x14ac:dyDescent="0.25">
      <c r="Q49602" s="8"/>
    </row>
    <row r="49603" spans="17:17" x14ac:dyDescent="0.25">
      <c r="Q49603" s="8"/>
    </row>
    <row r="49604" spans="17:17" x14ac:dyDescent="0.25">
      <c r="Q49604" s="8"/>
    </row>
    <row r="49605" spans="17:17" x14ac:dyDescent="0.25">
      <c r="Q49605" s="8"/>
    </row>
    <row r="49606" spans="17:17" x14ac:dyDescent="0.25">
      <c r="Q49606" s="8"/>
    </row>
    <row r="49607" spans="17:17" x14ac:dyDescent="0.25">
      <c r="Q49607" s="8"/>
    </row>
    <row r="49608" spans="17:17" x14ac:dyDescent="0.25">
      <c r="Q49608" s="8"/>
    </row>
    <row r="49609" spans="17:17" x14ac:dyDescent="0.25">
      <c r="Q49609" s="8"/>
    </row>
    <row r="49610" spans="17:17" x14ac:dyDescent="0.25">
      <c r="Q49610" s="8"/>
    </row>
    <row r="49611" spans="17:17" x14ac:dyDescent="0.25">
      <c r="Q49611" s="8"/>
    </row>
    <row r="49612" spans="17:17" x14ac:dyDescent="0.25">
      <c r="Q49612" s="8"/>
    </row>
    <row r="49613" spans="17:17" x14ac:dyDescent="0.25">
      <c r="Q49613" s="8"/>
    </row>
    <row r="49614" spans="17:17" x14ac:dyDescent="0.25">
      <c r="Q49614" s="8"/>
    </row>
    <row r="49615" spans="17:17" x14ac:dyDescent="0.25">
      <c r="Q49615" s="8"/>
    </row>
    <row r="49616" spans="17:17" x14ac:dyDescent="0.25">
      <c r="Q49616" s="8"/>
    </row>
    <row r="49617" spans="17:17" x14ac:dyDescent="0.25">
      <c r="Q49617" s="8"/>
    </row>
    <row r="49618" spans="17:17" x14ac:dyDescent="0.25">
      <c r="Q49618" s="8"/>
    </row>
    <row r="49619" spans="17:17" x14ac:dyDescent="0.25">
      <c r="Q49619" s="8"/>
    </row>
    <row r="49620" spans="17:17" x14ac:dyDescent="0.25">
      <c r="Q49620" s="8"/>
    </row>
    <row r="49621" spans="17:17" x14ac:dyDescent="0.25">
      <c r="Q49621" s="8"/>
    </row>
    <row r="49622" spans="17:17" x14ac:dyDescent="0.25">
      <c r="Q49622" s="8"/>
    </row>
    <row r="49623" spans="17:17" x14ac:dyDescent="0.25">
      <c r="Q49623" s="8"/>
    </row>
    <row r="49624" spans="17:17" x14ac:dyDescent="0.25">
      <c r="Q49624" s="8"/>
    </row>
    <row r="49625" spans="17:17" x14ac:dyDescent="0.25">
      <c r="Q49625" s="8"/>
    </row>
    <row r="49626" spans="17:17" x14ac:dyDescent="0.25">
      <c r="Q49626" s="8"/>
    </row>
    <row r="49627" spans="17:17" x14ac:dyDescent="0.25">
      <c r="Q49627" s="8"/>
    </row>
    <row r="49628" spans="17:17" x14ac:dyDescent="0.25">
      <c r="Q49628" s="8"/>
    </row>
    <row r="49629" spans="17:17" x14ac:dyDescent="0.25">
      <c r="Q49629" s="8"/>
    </row>
    <row r="49630" spans="17:17" x14ac:dyDescent="0.25">
      <c r="Q49630" s="8"/>
    </row>
    <row r="49631" spans="17:17" x14ac:dyDescent="0.25">
      <c r="Q49631" s="8"/>
    </row>
    <row r="49632" spans="17:17" x14ac:dyDescent="0.25">
      <c r="Q49632" s="8"/>
    </row>
    <row r="49633" spans="17:17" x14ac:dyDescent="0.25">
      <c r="Q49633" s="8"/>
    </row>
    <row r="49634" spans="17:17" x14ac:dyDescent="0.25">
      <c r="Q49634" s="8"/>
    </row>
    <row r="49635" spans="17:17" x14ac:dyDescent="0.25">
      <c r="Q49635" s="8"/>
    </row>
    <row r="49636" spans="17:17" x14ac:dyDescent="0.25">
      <c r="Q49636" s="8"/>
    </row>
    <row r="49637" spans="17:17" x14ac:dyDescent="0.25">
      <c r="Q49637" s="8"/>
    </row>
    <row r="49638" spans="17:17" x14ac:dyDescent="0.25">
      <c r="Q49638" s="8"/>
    </row>
    <row r="49639" spans="17:17" x14ac:dyDescent="0.25">
      <c r="Q49639" s="8"/>
    </row>
    <row r="49640" spans="17:17" x14ac:dyDescent="0.25">
      <c r="Q49640" s="8"/>
    </row>
    <row r="49641" spans="17:17" x14ac:dyDescent="0.25">
      <c r="Q49641" s="8"/>
    </row>
    <row r="49642" spans="17:17" x14ac:dyDescent="0.25">
      <c r="Q49642" s="8"/>
    </row>
    <row r="49643" spans="17:17" x14ac:dyDescent="0.25">
      <c r="Q49643" s="8"/>
    </row>
    <row r="49644" spans="17:17" x14ac:dyDescent="0.25">
      <c r="Q49644" s="8"/>
    </row>
    <row r="49645" spans="17:17" x14ac:dyDescent="0.25">
      <c r="Q49645" s="8"/>
    </row>
    <row r="49646" spans="17:17" x14ac:dyDescent="0.25">
      <c r="Q49646" s="8"/>
    </row>
    <row r="49647" spans="17:17" x14ac:dyDescent="0.25">
      <c r="Q49647" s="8"/>
    </row>
    <row r="49648" spans="17:17" x14ac:dyDescent="0.25">
      <c r="Q49648" s="8"/>
    </row>
    <row r="49649" spans="17:17" x14ac:dyDescent="0.25">
      <c r="Q49649" s="8"/>
    </row>
    <row r="49650" spans="17:17" x14ac:dyDescent="0.25">
      <c r="Q49650" s="8"/>
    </row>
    <row r="49651" spans="17:17" x14ac:dyDescent="0.25">
      <c r="Q49651" s="8"/>
    </row>
    <row r="49652" spans="17:17" x14ac:dyDescent="0.25">
      <c r="Q49652" s="8"/>
    </row>
    <row r="49653" spans="17:17" x14ac:dyDescent="0.25">
      <c r="Q49653" s="8"/>
    </row>
    <row r="49654" spans="17:17" x14ac:dyDescent="0.25">
      <c r="Q49654" s="8"/>
    </row>
    <row r="49655" spans="17:17" x14ac:dyDescent="0.25">
      <c r="Q49655" s="8"/>
    </row>
    <row r="49656" spans="17:17" x14ac:dyDescent="0.25">
      <c r="Q49656" s="8"/>
    </row>
    <row r="49657" spans="17:17" x14ac:dyDescent="0.25">
      <c r="Q49657" s="8"/>
    </row>
    <row r="49658" spans="17:17" x14ac:dyDescent="0.25">
      <c r="Q49658" s="8"/>
    </row>
    <row r="49659" spans="17:17" x14ac:dyDescent="0.25">
      <c r="Q49659" s="8"/>
    </row>
    <row r="49660" spans="17:17" x14ac:dyDescent="0.25">
      <c r="Q49660" s="8"/>
    </row>
    <row r="49661" spans="17:17" x14ac:dyDescent="0.25">
      <c r="Q49661" s="8"/>
    </row>
    <row r="49662" spans="17:17" x14ac:dyDescent="0.25">
      <c r="Q49662" s="8"/>
    </row>
    <row r="49663" spans="17:17" x14ac:dyDescent="0.25">
      <c r="Q49663" s="8"/>
    </row>
    <row r="49664" spans="17:17" x14ac:dyDescent="0.25">
      <c r="Q49664" s="8"/>
    </row>
    <row r="49665" spans="17:17" x14ac:dyDescent="0.25">
      <c r="Q49665" s="8"/>
    </row>
    <row r="49666" spans="17:17" x14ac:dyDescent="0.25">
      <c r="Q49666" s="8"/>
    </row>
    <row r="49667" spans="17:17" x14ac:dyDescent="0.25">
      <c r="Q49667" s="8"/>
    </row>
    <row r="49668" spans="17:17" x14ac:dyDescent="0.25">
      <c r="Q49668" s="8"/>
    </row>
    <row r="49669" spans="17:17" x14ac:dyDescent="0.25">
      <c r="Q49669" s="8"/>
    </row>
    <row r="49670" spans="17:17" x14ac:dyDescent="0.25">
      <c r="Q49670" s="8"/>
    </row>
    <row r="49671" spans="17:17" x14ac:dyDescent="0.25">
      <c r="Q49671" s="8"/>
    </row>
    <row r="49672" spans="17:17" x14ac:dyDescent="0.25">
      <c r="Q49672" s="8"/>
    </row>
    <row r="49673" spans="17:17" x14ac:dyDescent="0.25">
      <c r="Q49673" s="8"/>
    </row>
    <row r="49674" spans="17:17" x14ac:dyDescent="0.25">
      <c r="Q49674" s="8"/>
    </row>
    <row r="49675" spans="17:17" x14ac:dyDescent="0.25">
      <c r="Q49675" s="8"/>
    </row>
    <row r="49676" spans="17:17" x14ac:dyDescent="0.25">
      <c r="Q49676" s="8"/>
    </row>
    <row r="49677" spans="17:17" x14ac:dyDescent="0.25">
      <c r="Q49677" s="8"/>
    </row>
    <row r="49678" spans="17:17" x14ac:dyDescent="0.25">
      <c r="Q49678" s="8"/>
    </row>
    <row r="49679" spans="17:17" x14ac:dyDescent="0.25">
      <c r="Q49679" s="8"/>
    </row>
    <row r="49680" spans="17:17" x14ac:dyDescent="0.25">
      <c r="Q49680" s="8"/>
    </row>
    <row r="49681" spans="17:17" x14ac:dyDescent="0.25">
      <c r="Q49681" s="8"/>
    </row>
    <row r="49682" spans="17:17" x14ac:dyDescent="0.25">
      <c r="Q49682" s="8"/>
    </row>
    <row r="49683" spans="17:17" x14ac:dyDescent="0.25">
      <c r="Q49683" s="8"/>
    </row>
    <row r="49684" spans="17:17" x14ac:dyDescent="0.25">
      <c r="Q49684" s="8"/>
    </row>
    <row r="49685" spans="17:17" x14ac:dyDescent="0.25">
      <c r="Q49685" s="8"/>
    </row>
    <row r="49686" spans="17:17" x14ac:dyDescent="0.25">
      <c r="Q49686" s="8"/>
    </row>
    <row r="49687" spans="17:17" x14ac:dyDescent="0.25">
      <c r="Q49687" s="8"/>
    </row>
    <row r="49688" spans="17:17" x14ac:dyDescent="0.25">
      <c r="Q49688" s="8"/>
    </row>
    <row r="49689" spans="17:17" x14ac:dyDescent="0.25">
      <c r="Q49689" s="8"/>
    </row>
    <row r="49690" spans="17:17" x14ac:dyDescent="0.25">
      <c r="Q49690" s="8"/>
    </row>
    <row r="49691" spans="17:17" x14ac:dyDescent="0.25">
      <c r="Q49691" s="8"/>
    </row>
    <row r="49692" spans="17:17" x14ac:dyDescent="0.25">
      <c r="Q49692" s="8"/>
    </row>
    <row r="49693" spans="17:17" x14ac:dyDescent="0.25">
      <c r="Q49693" s="8"/>
    </row>
    <row r="49694" spans="17:17" x14ac:dyDescent="0.25">
      <c r="Q49694" s="8"/>
    </row>
    <row r="49695" spans="17:17" x14ac:dyDescent="0.25">
      <c r="Q49695" s="8"/>
    </row>
    <row r="49696" spans="17:17" x14ac:dyDescent="0.25">
      <c r="Q49696" s="8"/>
    </row>
    <row r="49697" spans="17:17" x14ac:dyDescent="0.25">
      <c r="Q49697" s="8"/>
    </row>
    <row r="49698" spans="17:17" x14ac:dyDescent="0.25">
      <c r="Q49698" s="8"/>
    </row>
    <row r="49699" spans="17:17" x14ac:dyDescent="0.25">
      <c r="Q49699" s="8"/>
    </row>
    <row r="49700" spans="17:17" x14ac:dyDescent="0.25">
      <c r="Q49700" s="8"/>
    </row>
    <row r="49701" spans="17:17" x14ac:dyDescent="0.25">
      <c r="Q49701" s="8"/>
    </row>
    <row r="49702" spans="17:17" x14ac:dyDescent="0.25">
      <c r="Q49702" s="8"/>
    </row>
    <row r="49703" spans="17:17" x14ac:dyDescent="0.25">
      <c r="Q49703" s="8"/>
    </row>
    <row r="49704" spans="17:17" x14ac:dyDescent="0.25">
      <c r="Q49704" s="8"/>
    </row>
    <row r="49705" spans="17:17" x14ac:dyDescent="0.25">
      <c r="Q49705" s="8"/>
    </row>
    <row r="49706" spans="17:17" x14ac:dyDescent="0.25">
      <c r="Q49706" s="8"/>
    </row>
    <row r="49707" spans="17:17" x14ac:dyDescent="0.25">
      <c r="Q49707" s="8"/>
    </row>
    <row r="49708" spans="17:17" x14ac:dyDescent="0.25">
      <c r="Q49708" s="8"/>
    </row>
    <row r="49709" spans="17:17" x14ac:dyDescent="0.25">
      <c r="Q49709" s="8"/>
    </row>
    <row r="49710" spans="17:17" x14ac:dyDescent="0.25">
      <c r="Q49710" s="8"/>
    </row>
    <row r="49711" spans="17:17" x14ac:dyDescent="0.25">
      <c r="Q49711" s="8"/>
    </row>
    <row r="49712" spans="17:17" x14ac:dyDescent="0.25">
      <c r="Q49712" s="8"/>
    </row>
    <row r="49713" spans="17:17" x14ac:dyDescent="0.25">
      <c r="Q49713" s="8"/>
    </row>
    <row r="49714" spans="17:17" x14ac:dyDescent="0.25">
      <c r="Q49714" s="8"/>
    </row>
    <row r="49715" spans="17:17" x14ac:dyDescent="0.25">
      <c r="Q49715" s="8"/>
    </row>
    <row r="49716" spans="17:17" x14ac:dyDescent="0.25">
      <c r="Q49716" s="8"/>
    </row>
    <row r="49717" spans="17:17" x14ac:dyDescent="0.25">
      <c r="Q49717" s="8"/>
    </row>
    <row r="49718" spans="17:17" x14ac:dyDescent="0.25">
      <c r="Q49718" s="8"/>
    </row>
    <row r="49719" spans="17:17" x14ac:dyDescent="0.25">
      <c r="Q49719" s="8"/>
    </row>
    <row r="49720" spans="17:17" x14ac:dyDescent="0.25">
      <c r="Q49720" s="8"/>
    </row>
    <row r="49721" spans="17:17" x14ac:dyDescent="0.25">
      <c r="Q49721" s="8"/>
    </row>
    <row r="49722" spans="17:17" x14ac:dyDescent="0.25">
      <c r="Q49722" s="8"/>
    </row>
    <row r="49723" spans="17:17" x14ac:dyDescent="0.25">
      <c r="Q49723" s="8"/>
    </row>
    <row r="49724" spans="17:17" x14ac:dyDescent="0.25">
      <c r="Q49724" s="8"/>
    </row>
    <row r="49725" spans="17:17" x14ac:dyDescent="0.25">
      <c r="Q49725" s="8"/>
    </row>
    <row r="49726" spans="17:17" x14ac:dyDescent="0.25">
      <c r="Q49726" s="8"/>
    </row>
    <row r="49727" spans="17:17" x14ac:dyDescent="0.25">
      <c r="Q49727" s="8"/>
    </row>
    <row r="49728" spans="17:17" x14ac:dyDescent="0.25">
      <c r="Q49728" s="8"/>
    </row>
    <row r="49729" spans="17:17" x14ac:dyDescent="0.25">
      <c r="Q49729" s="8"/>
    </row>
    <row r="49730" spans="17:17" x14ac:dyDescent="0.25">
      <c r="Q49730" s="8"/>
    </row>
    <row r="49731" spans="17:17" x14ac:dyDescent="0.25">
      <c r="Q49731" s="8"/>
    </row>
    <row r="49732" spans="17:17" x14ac:dyDescent="0.25">
      <c r="Q49732" s="8"/>
    </row>
    <row r="49733" spans="17:17" x14ac:dyDescent="0.25">
      <c r="Q49733" s="8"/>
    </row>
    <row r="49734" spans="17:17" x14ac:dyDescent="0.25">
      <c r="Q49734" s="8"/>
    </row>
    <row r="49735" spans="17:17" x14ac:dyDescent="0.25">
      <c r="Q49735" s="8"/>
    </row>
    <row r="49736" spans="17:17" x14ac:dyDescent="0.25">
      <c r="Q49736" s="8"/>
    </row>
    <row r="49737" spans="17:17" x14ac:dyDescent="0.25">
      <c r="Q49737" s="8"/>
    </row>
    <row r="49738" spans="17:17" x14ac:dyDescent="0.25">
      <c r="Q49738" s="8"/>
    </row>
    <row r="49739" spans="17:17" x14ac:dyDescent="0.25">
      <c r="Q49739" s="8"/>
    </row>
    <row r="49740" spans="17:17" x14ac:dyDescent="0.25">
      <c r="Q49740" s="8"/>
    </row>
    <row r="49741" spans="17:17" x14ac:dyDescent="0.25">
      <c r="Q49741" s="8"/>
    </row>
    <row r="49742" spans="17:17" x14ac:dyDescent="0.25">
      <c r="Q49742" s="8"/>
    </row>
    <row r="49743" spans="17:17" x14ac:dyDescent="0.25">
      <c r="Q49743" s="8"/>
    </row>
    <row r="49744" spans="17:17" x14ac:dyDescent="0.25">
      <c r="Q49744" s="8"/>
    </row>
    <row r="49745" spans="17:17" x14ac:dyDescent="0.25">
      <c r="Q49745" s="8"/>
    </row>
    <row r="49746" spans="17:17" x14ac:dyDescent="0.25">
      <c r="Q49746" s="8"/>
    </row>
    <row r="49747" spans="17:17" x14ac:dyDescent="0.25">
      <c r="Q49747" s="8"/>
    </row>
    <row r="49748" spans="17:17" x14ac:dyDescent="0.25">
      <c r="Q49748" s="8"/>
    </row>
    <row r="49749" spans="17:17" x14ac:dyDescent="0.25">
      <c r="Q49749" s="8"/>
    </row>
    <row r="49750" spans="17:17" x14ac:dyDescent="0.25">
      <c r="Q49750" s="8"/>
    </row>
    <row r="49751" spans="17:17" x14ac:dyDescent="0.25">
      <c r="Q49751" s="8"/>
    </row>
    <row r="49752" spans="17:17" x14ac:dyDescent="0.25">
      <c r="Q49752" s="8"/>
    </row>
    <row r="49753" spans="17:17" x14ac:dyDescent="0.25">
      <c r="Q49753" s="8"/>
    </row>
    <row r="49754" spans="17:17" x14ac:dyDescent="0.25">
      <c r="Q49754" s="8"/>
    </row>
    <row r="49755" spans="17:17" x14ac:dyDescent="0.25">
      <c r="Q49755" s="8"/>
    </row>
    <row r="49756" spans="17:17" x14ac:dyDescent="0.25">
      <c r="Q49756" s="8"/>
    </row>
    <row r="49757" spans="17:17" x14ac:dyDescent="0.25">
      <c r="Q49757" s="8"/>
    </row>
    <row r="49758" spans="17:17" x14ac:dyDescent="0.25">
      <c r="Q49758" s="8"/>
    </row>
    <row r="49759" spans="17:17" x14ac:dyDescent="0.25">
      <c r="Q49759" s="8"/>
    </row>
    <row r="49760" spans="17:17" x14ac:dyDescent="0.25">
      <c r="Q49760" s="8"/>
    </row>
    <row r="49761" spans="17:17" x14ac:dyDescent="0.25">
      <c r="Q49761" s="8"/>
    </row>
    <row r="49762" spans="17:17" x14ac:dyDescent="0.25">
      <c r="Q49762" s="8"/>
    </row>
    <row r="49763" spans="17:17" x14ac:dyDescent="0.25">
      <c r="Q49763" s="8"/>
    </row>
    <row r="49764" spans="17:17" x14ac:dyDescent="0.25">
      <c r="Q49764" s="8"/>
    </row>
    <row r="49765" spans="17:17" x14ac:dyDescent="0.25">
      <c r="Q49765" s="8"/>
    </row>
    <row r="49766" spans="17:17" x14ac:dyDescent="0.25">
      <c r="Q49766" s="8"/>
    </row>
    <row r="49767" spans="17:17" x14ac:dyDescent="0.25">
      <c r="Q49767" s="8"/>
    </row>
    <row r="49768" spans="17:17" x14ac:dyDescent="0.25">
      <c r="Q49768" s="8"/>
    </row>
    <row r="49769" spans="17:17" x14ac:dyDescent="0.25">
      <c r="Q49769" s="8"/>
    </row>
    <row r="49770" spans="17:17" x14ac:dyDescent="0.25">
      <c r="Q49770" s="8"/>
    </row>
    <row r="49771" spans="17:17" x14ac:dyDescent="0.25">
      <c r="Q49771" s="8"/>
    </row>
    <row r="49772" spans="17:17" x14ac:dyDescent="0.25">
      <c r="Q49772" s="8"/>
    </row>
    <row r="49773" spans="17:17" x14ac:dyDescent="0.25">
      <c r="Q49773" s="8"/>
    </row>
    <row r="49774" spans="17:17" x14ac:dyDescent="0.25">
      <c r="Q49774" s="8"/>
    </row>
    <row r="49775" spans="17:17" x14ac:dyDescent="0.25">
      <c r="Q49775" s="8"/>
    </row>
    <row r="49776" spans="17:17" x14ac:dyDescent="0.25">
      <c r="Q49776" s="8"/>
    </row>
    <row r="49777" spans="17:17" x14ac:dyDescent="0.25">
      <c r="Q49777" s="8"/>
    </row>
    <row r="49778" spans="17:17" x14ac:dyDescent="0.25">
      <c r="Q49778" s="8"/>
    </row>
    <row r="49779" spans="17:17" x14ac:dyDescent="0.25">
      <c r="Q49779" s="8"/>
    </row>
    <row r="49780" spans="17:17" x14ac:dyDescent="0.25">
      <c r="Q49780" s="8"/>
    </row>
    <row r="49781" spans="17:17" x14ac:dyDescent="0.25">
      <c r="Q49781" s="8"/>
    </row>
    <row r="49782" spans="17:17" x14ac:dyDescent="0.25">
      <c r="Q49782" s="8"/>
    </row>
    <row r="49783" spans="17:17" x14ac:dyDescent="0.25">
      <c r="Q49783" s="8"/>
    </row>
    <row r="49784" spans="17:17" x14ac:dyDescent="0.25">
      <c r="Q49784" s="8"/>
    </row>
    <row r="49785" spans="17:17" x14ac:dyDescent="0.25">
      <c r="Q49785" s="8"/>
    </row>
    <row r="49786" spans="17:17" x14ac:dyDescent="0.25">
      <c r="Q49786" s="8"/>
    </row>
    <row r="49787" spans="17:17" x14ac:dyDescent="0.25">
      <c r="Q49787" s="8"/>
    </row>
    <row r="49788" spans="17:17" x14ac:dyDescent="0.25">
      <c r="Q49788" s="8"/>
    </row>
    <row r="49789" spans="17:17" x14ac:dyDescent="0.25">
      <c r="Q49789" s="8"/>
    </row>
    <row r="49790" spans="17:17" x14ac:dyDescent="0.25">
      <c r="Q49790" s="8"/>
    </row>
    <row r="49791" spans="17:17" x14ac:dyDescent="0.25">
      <c r="Q49791" s="8"/>
    </row>
    <row r="49792" spans="17:17" x14ac:dyDescent="0.25">
      <c r="Q49792" s="8"/>
    </row>
    <row r="49793" spans="17:17" x14ac:dyDescent="0.25">
      <c r="Q49793" s="8"/>
    </row>
    <row r="49794" spans="17:17" x14ac:dyDescent="0.25">
      <c r="Q49794" s="8"/>
    </row>
    <row r="49795" spans="17:17" x14ac:dyDescent="0.25">
      <c r="Q49795" s="8"/>
    </row>
    <row r="49796" spans="17:17" x14ac:dyDescent="0.25">
      <c r="Q49796" s="8"/>
    </row>
    <row r="49797" spans="17:17" x14ac:dyDescent="0.25">
      <c r="Q49797" s="8"/>
    </row>
    <row r="49798" spans="17:17" x14ac:dyDescent="0.25">
      <c r="Q49798" s="8"/>
    </row>
    <row r="49799" spans="17:17" x14ac:dyDescent="0.25">
      <c r="Q49799" s="8"/>
    </row>
    <row r="49800" spans="17:17" x14ac:dyDescent="0.25">
      <c r="Q49800" s="8"/>
    </row>
    <row r="49801" spans="17:17" x14ac:dyDescent="0.25">
      <c r="Q49801" s="8"/>
    </row>
    <row r="49802" spans="17:17" x14ac:dyDescent="0.25">
      <c r="Q49802" s="8"/>
    </row>
    <row r="49803" spans="17:17" x14ac:dyDescent="0.25">
      <c r="Q49803" s="8"/>
    </row>
    <row r="49804" spans="17:17" x14ac:dyDescent="0.25">
      <c r="Q49804" s="8"/>
    </row>
    <row r="49805" spans="17:17" x14ac:dyDescent="0.25">
      <c r="Q49805" s="8"/>
    </row>
    <row r="49806" spans="17:17" x14ac:dyDescent="0.25">
      <c r="Q49806" s="8"/>
    </row>
    <row r="49807" spans="17:17" x14ac:dyDescent="0.25">
      <c r="Q49807" s="8"/>
    </row>
    <row r="49808" spans="17:17" x14ac:dyDescent="0.25">
      <c r="Q49808" s="8"/>
    </row>
    <row r="49809" spans="17:17" x14ac:dyDescent="0.25">
      <c r="Q49809" s="8"/>
    </row>
    <row r="49810" spans="17:17" x14ac:dyDescent="0.25">
      <c r="Q49810" s="8"/>
    </row>
    <row r="49811" spans="17:17" x14ac:dyDescent="0.25">
      <c r="Q49811" s="8"/>
    </row>
    <row r="49812" spans="17:17" x14ac:dyDescent="0.25">
      <c r="Q49812" s="8"/>
    </row>
    <row r="49813" spans="17:17" x14ac:dyDescent="0.25">
      <c r="Q49813" s="8"/>
    </row>
    <row r="49814" spans="17:17" x14ac:dyDescent="0.25">
      <c r="Q49814" s="8"/>
    </row>
    <row r="49815" spans="17:17" x14ac:dyDescent="0.25">
      <c r="Q49815" s="8"/>
    </row>
    <row r="49816" spans="17:17" x14ac:dyDescent="0.25">
      <c r="Q49816" s="8"/>
    </row>
    <row r="49817" spans="17:17" x14ac:dyDescent="0.25">
      <c r="Q49817" s="8"/>
    </row>
    <row r="49818" spans="17:17" x14ac:dyDescent="0.25">
      <c r="Q49818" s="8"/>
    </row>
    <row r="49819" spans="17:17" x14ac:dyDescent="0.25">
      <c r="Q49819" s="8"/>
    </row>
    <row r="49820" spans="17:17" x14ac:dyDescent="0.25">
      <c r="Q49820" s="8"/>
    </row>
    <row r="49821" spans="17:17" x14ac:dyDescent="0.25">
      <c r="Q49821" s="8"/>
    </row>
    <row r="49822" spans="17:17" x14ac:dyDescent="0.25">
      <c r="Q49822" s="8"/>
    </row>
    <row r="49823" spans="17:17" x14ac:dyDescent="0.25">
      <c r="Q49823" s="8"/>
    </row>
    <row r="49824" spans="17:17" x14ac:dyDescent="0.25">
      <c r="Q49824" s="8"/>
    </row>
    <row r="49825" spans="17:17" x14ac:dyDescent="0.25">
      <c r="Q49825" s="8"/>
    </row>
    <row r="49826" spans="17:17" x14ac:dyDescent="0.25">
      <c r="Q49826" s="8"/>
    </row>
    <row r="49827" spans="17:17" x14ac:dyDescent="0.25">
      <c r="Q49827" s="8"/>
    </row>
    <row r="49828" spans="17:17" x14ac:dyDescent="0.25">
      <c r="Q49828" s="8"/>
    </row>
    <row r="49829" spans="17:17" x14ac:dyDescent="0.25">
      <c r="Q49829" s="8"/>
    </row>
    <row r="49830" spans="17:17" x14ac:dyDescent="0.25">
      <c r="Q49830" s="8"/>
    </row>
    <row r="49831" spans="17:17" x14ac:dyDescent="0.25">
      <c r="Q49831" s="8"/>
    </row>
    <row r="49832" spans="17:17" x14ac:dyDescent="0.25">
      <c r="Q49832" s="8"/>
    </row>
    <row r="49833" spans="17:17" x14ac:dyDescent="0.25">
      <c r="Q49833" s="8"/>
    </row>
    <row r="49834" spans="17:17" x14ac:dyDescent="0.25">
      <c r="Q49834" s="8"/>
    </row>
    <row r="49835" spans="17:17" x14ac:dyDescent="0.25">
      <c r="Q49835" s="8"/>
    </row>
    <row r="49836" spans="17:17" x14ac:dyDescent="0.25">
      <c r="Q49836" s="8"/>
    </row>
    <row r="49837" spans="17:17" x14ac:dyDescent="0.25">
      <c r="Q49837" s="8"/>
    </row>
    <row r="49838" spans="17:17" x14ac:dyDescent="0.25">
      <c r="Q49838" s="8"/>
    </row>
    <row r="49839" spans="17:17" x14ac:dyDescent="0.25">
      <c r="Q49839" s="8"/>
    </row>
    <row r="49840" spans="17:17" x14ac:dyDescent="0.25">
      <c r="Q49840" s="8"/>
    </row>
    <row r="49841" spans="17:17" x14ac:dyDescent="0.25">
      <c r="Q49841" s="8"/>
    </row>
    <row r="49842" spans="17:17" x14ac:dyDescent="0.25">
      <c r="Q49842" s="8"/>
    </row>
    <row r="49843" spans="17:17" x14ac:dyDescent="0.25">
      <c r="Q49843" s="8"/>
    </row>
    <row r="49844" spans="17:17" x14ac:dyDescent="0.25">
      <c r="Q49844" s="8"/>
    </row>
    <row r="49845" spans="17:17" x14ac:dyDescent="0.25">
      <c r="Q49845" s="8"/>
    </row>
    <row r="49846" spans="17:17" x14ac:dyDescent="0.25">
      <c r="Q49846" s="8"/>
    </row>
    <row r="49847" spans="17:17" x14ac:dyDescent="0.25">
      <c r="Q49847" s="8"/>
    </row>
    <row r="49848" spans="17:17" x14ac:dyDescent="0.25">
      <c r="Q49848" s="8"/>
    </row>
    <row r="49849" spans="17:17" x14ac:dyDescent="0.25">
      <c r="Q49849" s="8"/>
    </row>
    <row r="49850" spans="17:17" x14ac:dyDescent="0.25">
      <c r="Q49850" s="8"/>
    </row>
    <row r="49851" spans="17:17" x14ac:dyDescent="0.25">
      <c r="Q49851" s="8"/>
    </row>
    <row r="49852" spans="17:17" x14ac:dyDescent="0.25">
      <c r="Q49852" s="8"/>
    </row>
    <row r="49853" spans="17:17" x14ac:dyDescent="0.25">
      <c r="Q49853" s="8"/>
    </row>
    <row r="49854" spans="17:17" x14ac:dyDescent="0.25">
      <c r="Q49854" s="8"/>
    </row>
    <row r="49855" spans="17:17" x14ac:dyDescent="0.25">
      <c r="Q49855" s="8"/>
    </row>
    <row r="49856" spans="17:17" x14ac:dyDescent="0.25">
      <c r="Q49856" s="8"/>
    </row>
    <row r="49857" spans="17:17" x14ac:dyDescent="0.25">
      <c r="Q49857" s="8"/>
    </row>
    <row r="49858" spans="17:17" x14ac:dyDescent="0.25">
      <c r="Q49858" s="8"/>
    </row>
    <row r="49859" spans="17:17" x14ac:dyDescent="0.25">
      <c r="Q49859" s="8"/>
    </row>
    <row r="49860" spans="17:17" x14ac:dyDescent="0.25">
      <c r="Q49860" s="8"/>
    </row>
    <row r="49861" spans="17:17" x14ac:dyDescent="0.25">
      <c r="Q49861" s="8"/>
    </row>
    <row r="49862" spans="17:17" x14ac:dyDescent="0.25">
      <c r="Q49862" s="8"/>
    </row>
    <row r="49863" spans="17:17" x14ac:dyDescent="0.25">
      <c r="Q49863" s="8"/>
    </row>
    <row r="49864" spans="17:17" x14ac:dyDescent="0.25">
      <c r="Q49864" s="8"/>
    </row>
    <row r="49865" spans="17:17" x14ac:dyDescent="0.25">
      <c r="Q49865" s="8"/>
    </row>
    <row r="49866" spans="17:17" x14ac:dyDescent="0.25">
      <c r="Q49866" s="8"/>
    </row>
    <row r="49867" spans="17:17" x14ac:dyDescent="0.25">
      <c r="Q49867" s="8"/>
    </row>
    <row r="49868" spans="17:17" x14ac:dyDescent="0.25">
      <c r="Q49868" s="8"/>
    </row>
    <row r="49869" spans="17:17" x14ac:dyDescent="0.25">
      <c r="Q49869" s="8"/>
    </row>
    <row r="49870" spans="17:17" x14ac:dyDescent="0.25">
      <c r="Q49870" s="8"/>
    </row>
    <row r="49871" spans="17:17" x14ac:dyDescent="0.25">
      <c r="Q49871" s="8"/>
    </row>
    <row r="49872" spans="17:17" x14ac:dyDescent="0.25">
      <c r="Q49872" s="8"/>
    </row>
    <row r="49873" spans="17:17" x14ac:dyDescent="0.25">
      <c r="Q49873" s="8"/>
    </row>
    <row r="49874" spans="17:17" x14ac:dyDescent="0.25">
      <c r="Q49874" s="8"/>
    </row>
    <row r="49875" spans="17:17" x14ac:dyDescent="0.25">
      <c r="Q49875" s="8"/>
    </row>
    <row r="49876" spans="17:17" x14ac:dyDescent="0.25">
      <c r="Q49876" s="8"/>
    </row>
    <row r="49877" spans="17:17" x14ac:dyDescent="0.25">
      <c r="Q49877" s="8"/>
    </row>
    <row r="49878" spans="17:17" x14ac:dyDescent="0.25">
      <c r="Q49878" s="8"/>
    </row>
    <row r="49879" spans="17:17" x14ac:dyDescent="0.25">
      <c r="Q49879" s="8"/>
    </row>
    <row r="49880" spans="17:17" x14ac:dyDescent="0.25">
      <c r="Q49880" s="8"/>
    </row>
    <row r="49881" spans="17:17" x14ac:dyDescent="0.25">
      <c r="Q49881" s="8"/>
    </row>
    <row r="49882" spans="17:17" x14ac:dyDescent="0.25">
      <c r="Q49882" s="8"/>
    </row>
    <row r="49883" spans="17:17" x14ac:dyDescent="0.25">
      <c r="Q49883" s="8"/>
    </row>
    <row r="49884" spans="17:17" x14ac:dyDescent="0.25">
      <c r="Q49884" s="8"/>
    </row>
    <row r="49885" spans="17:17" x14ac:dyDescent="0.25">
      <c r="Q49885" s="8"/>
    </row>
    <row r="49886" spans="17:17" x14ac:dyDescent="0.25">
      <c r="Q49886" s="8"/>
    </row>
    <row r="49887" spans="17:17" x14ac:dyDescent="0.25">
      <c r="Q49887" s="8"/>
    </row>
    <row r="49888" spans="17:17" x14ac:dyDescent="0.25">
      <c r="Q49888" s="8"/>
    </row>
    <row r="49889" spans="17:17" x14ac:dyDescent="0.25">
      <c r="Q49889" s="8"/>
    </row>
    <row r="49890" spans="17:17" x14ac:dyDescent="0.25">
      <c r="Q49890" s="8"/>
    </row>
    <row r="49891" spans="17:17" x14ac:dyDescent="0.25">
      <c r="Q49891" s="8"/>
    </row>
    <row r="49892" spans="17:17" x14ac:dyDescent="0.25">
      <c r="Q49892" s="8"/>
    </row>
    <row r="49893" spans="17:17" x14ac:dyDescent="0.25">
      <c r="Q49893" s="8"/>
    </row>
    <row r="49894" spans="17:17" x14ac:dyDescent="0.25">
      <c r="Q49894" s="8"/>
    </row>
    <row r="49895" spans="17:17" x14ac:dyDescent="0.25">
      <c r="Q49895" s="8"/>
    </row>
    <row r="49896" spans="17:17" x14ac:dyDescent="0.25">
      <c r="Q49896" s="8"/>
    </row>
    <row r="49897" spans="17:17" x14ac:dyDescent="0.25">
      <c r="Q49897" s="8"/>
    </row>
    <row r="49898" spans="17:17" x14ac:dyDescent="0.25">
      <c r="Q49898" s="8"/>
    </row>
    <row r="49899" spans="17:17" x14ac:dyDescent="0.25">
      <c r="Q49899" s="8"/>
    </row>
    <row r="49900" spans="17:17" x14ac:dyDescent="0.25">
      <c r="Q49900" s="8"/>
    </row>
    <row r="49901" spans="17:17" x14ac:dyDescent="0.25">
      <c r="Q49901" s="8"/>
    </row>
    <row r="49902" spans="17:17" x14ac:dyDescent="0.25">
      <c r="Q49902" s="8"/>
    </row>
    <row r="49903" spans="17:17" x14ac:dyDescent="0.25">
      <c r="Q49903" s="8"/>
    </row>
    <row r="49904" spans="17:17" x14ac:dyDescent="0.25">
      <c r="Q49904" s="8"/>
    </row>
    <row r="49905" spans="17:17" x14ac:dyDescent="0.25">
      <c r="Q49905" s="8"/>
    </row>
    <row r="49906" spans="17:17" x14ac:dyDescent="0.25">
      <c r="Q49906" s="8"/>
    </row>
    <row r="49907" spans="17:17" x14ac:dyDescent="0.25">
      <c r="Q49907" s="8"/>
    </row>
    <row r="49908" spans="17:17" x14ac:dyDescent="0.25">
      <c r="Q49908" s="8"/>
    </row>
    <row r="49909" spans="17:17" x14ac:dyDescent="0.25">
      <c r="Q49909" s="8"/>
    </row>
    <row r="49910" spans="17:17" x14ac:dyDescent="0.25">
      <c r="Q49910" s="8"/>
    </row>
    <row r="49911" spans="17:17" x14ac:dyDescent="0.25">
      <c r="Q49911" s="8"/>
    </row>
    <row r="49912" spans="17:17" x14ac:dyDescent="0.25">
      <c r="Q49912" s="8"/>
    </row>
    <row r="49913" spans="17:17" x14ac:dyDescent="0.25">
      <c r="Q49913" s="8"/>
    </row>
    <row r="49914" spans="17:17" x14ac:dyDescent="0.25">
      <c r="Q49914" s="8"/>
    </row>
    <row r="49915" spans="17:17" x14ac:dyDescent="0.25">
      <c r="Q49915" s="8"/>
    </row>
    <row r="49916" spans="17:17" x14ac:dyDescent="0.25">
      <c r="Q49916" s="8"/>
    </row>
    <row r="49917" spans="17:17" x14ac:dyDescent="0.25">
      <c r="Q49917" s="8"/>
    </row>
    <row r="49918" spans="17:17" x14ac:dyDescent="0.25">
      <c r="Q49918" s="8"/>
    </row>
    <row r="49919" spans="17:17" x14ac:dyDescent="0.25">
      <c r="Q49919" s="8"/>
    </row>
    <row r="49920" spans="17:17" x14ac:dyDescent="0.25">
      <c r="Q49920" s="8"/>
    </row>
    <row r="49921" spans="17:17" x14ac:dyDescent="0.25">
      <c r="Q49921" s="8"/>
    </row>
    <row r="49922" spans="17:17" x14ac:dyDescent="0.25">
      <c r="Q49922" s="8"/>
    </row>
    <row r="49923" spans="17:17" x14ac:dyDescent="0.25">
      <c r="Q49923" s="8"/>
    </row>
    <row r="49924" spans="17:17" x14ac:dyDescent="0.25">
      <c r="Q49924" s="8"/>
    </row>
    <row r="49925" spans="17:17" x14ac:dyDescent="0.25">
      <c r="Q49925" s="8"/>
    </row>
    <row r="49926" spans="17:17" x14ac:dyDescent="0.25">
      <c r="Q49926" s="8"/>
    </row>
    <row r="49927" spans="17:17" x14ac:dyDescent="0.25">
      <c r="Q49927" s="8"/>
    </row>
    <row r="49928" spans="17:17" x14ac:dyDescent="0.25">
      <c r="Q49928" s="8"/>
    </row>
    <row r="49929" spans="17:17" x14ac:dyDescent="0.25">
      <c r="Q49929" s="8"/>
    </row>
    <row r="49930" spans="17:17" x14ac:dyDescent="0.25">
      <c r="Q49930" s="8"/>
    </row>
    <row r="49931" spans="17:17" x14ac:dyDescent="0.25">
      <c r="Q49931" s="8"/>
    </row>
    <row r="49932" spans="17:17" x14ac:dyDescent="0.25">
      <c r="Q49932" s="8"/>
    </row>
    <row r="49933" spans="17:17" x14ac:dyDescent="0.25">
      <c r="Q49933" s="8"/>
    </row>
    <row r="49934" spans="17:17" x14ac:dyDescent="0.25">
      <c r="Q49934" s="8"/>
    </row>
    <row r="49935" spans="17:17" x14ac:dyDescent="0.25">
      <c r="Q49935" s="8"/>
    </row>
    <row r="49936" spans="17:17" x14ac:dyDescent="0.25">
      <c r="Q49936" s="8"/>
    </row>
    <row r="49937" spans="17:17" x14ac:dyDescent="0.25">
      <c r="Q49937" s="8"/>
    </row>
    <row r="49938" spans="17:17" x14ac:dyDescent="0.25">
      <c r="Q49938" s="8"/>
    </row>
    <row r="49939" spans="17:17" x14ac:dyDescent="0.25">
      <c r="Q49939" s="8"/>
    </row>
    <row r="49940" spans="17:17" x14ac:dyDescent="0.25">
      <c r="Q49940" s="8"/>
    </row>
    <row r="49941" spans="17:17" x14ac:dyDescent="0.25">
      <c r="Q49941" s="8"/>
    </row>
    <row r="49942" spans="17:17" x14ac:dyDescent="0.25">
      <c r="Q49942" s="8"/>
    </row>
    <row r="49943" spans="17:17" x14ac:dyDescent="0.25">
      <c r="Q49943" s="8"/>
    </row>
    <row r="49944" spans="17:17" x14ac:dyDescent="0.25">
      <c r="Q49944" s="8"/>
    </row>
    <row r="49945" spans="17:17" x14ac:dyDescent="0.25">
      <c r="Q49945" s="8"/>
    </row>
    <row r="49946" spans="17:17" x14ac:dyDescent="0.25">
      <c r="Q49946" s="8"/>
    </row>
    <row r="49947" spans="17:17" x14ac:dyDescent="0.25">
      <c r="Q49947" s="8"/>
    </row>
    <row r="49948" spans="17:17" x14ac:dyDescent="0.25">
      <c r="Q49948" s="8"/>
    </row>
    <row r="49949" spans="17:17" x14ac:dyDescent="0.25">
      <c r="Q49949" s="8"/>
    </row>
    <row r="49950" spans="17:17" x14ac:dyDescent="0.25">
      <c r="Q49950" s="8"/>
    </row>
    <row r="49951" spans="17:17" x14ac:dyDescent="0.25">
      <c r="Q49951" s="8"/>
    </row>
    <row r="49952" spans="17:17" x14ac:dyDescent="0.25">
      <c r="Q49952" s="8"/>
    </row>
    <row r="49953" spans="17:17" x14ac:dyDescent="0.25">
      <c r="Q49953" s="8"/>
    </row>
    <row r="49954" spans="17:17" x14ac:dyDescent="0.25">
      <c r="Q49954" s="8"/>
    </row>
    <row r="49955" spans="17:17" x14ac:dyDescent="0.25">
      <c r="Q49955" s="8"/>
    </row>
    <row r="49956" spans="17:17" x14ac:dyDescent="0.25">
      <c r="Q49956" s="8"/>
    </row>
    <row r="49957" spans="17:17" x14ac:dyDescent="0.25">
      <c r="Q49957" s="8"/>
    </row>
    <row r="49958" spans="17:17" x14ac:dyDescent="0.25">
      <c r="Q49958" s="8"/>
    </row>
    <row r="49959" spans="17:17" x14ac:dyDescent="0.25">
      <c r="Q49959" s="8"/>
    </row>
    <row r="49960" spans="17:17" x14ac:dyDescent="0.25">
      <c r="Q49960" s="8"/>
    </row>
    <row r="49961" spans="17:17" x14ac:dyDescent="0.25">
      <c r="Q49961" s="8"/>
    </row>
    <row r="49962" spans="17:17" x14ac:dyDescent="0.25">
      <c r="Q49962" s="8"/>
    </row>
    <row r="49963" spans="17:17" x14ac:dyDescent="0.25">
      <c r="Q49963" s="8"/>
    </row>
    <row r="49964" spans="17:17" x14ac:dyDescent="0.25">
      <c r="Q49964" s="8"/>
    </row>
    <row r="49965" spans="17:17" x14ac:dyDescent="0.25">
      <c r="Q49965" s="8"/>
    </row>
    <row r="49966" spans="17:17" x14ac:dyDescent="0.25">
      <c r="Q49966" s="8"/>
    </row>
    <row r="49967" spans="17:17" x14ac:dyDescent="0.25">
      <c r="Q49967" s="8"/>
    </row>
    <row r="49968" spans="17:17" x14ac:dyDescent="0.25">
      <c r="Q49968" s="8"/>
    </row>
    <row r="49969" spans="17:17" x14ac:dyDescent="0.25">
      <c r="Q49969" s="8"/>
    </row>
    <row r="49970" spans="17:17" x14ac:dyDescent="0.25">
      <c r="Q49970" s="8"/>
    </row>
    <row r="49971" spans="17:17" x14ac:dyDescent="0.25">
      <c r="Q49971" s="8"/>
    </row>
    <row r="49972" spans="17:17" x14ac:dyDescent="0.25">
      <c r="Q49972" s="8"/>
    </row>
    <row r="49973" spans="17:17" x14ac:dyDescent="0.25">
      <c r="Q49973" s="8"/>
    </row>
    <row r="49974" spans="17:17" x14ac:dyDescent="0.25">
      <c r="Q49974" s="8"/>
    </row>
    <row r="49975" spans="17:17" x14ac:dyDescent="0.25">
      <c r="Q49975" s="8"/>
    </row>
    <row r="49976" spans="17:17" x14ac:dyDescent="0.25">
      <c r="Q49976" s="8"/>
    </row>
    <row r="49977" spans="17:17" x14ac:dyDescent="0.25">
      <c r="Q49977" s="8"/>
    </row>
    <row r="49978" spans="17:17" x14ac:dyDescent="0.25">
      <c r="Q49978" s="8"/>
    </row>
    <row r="49979" spans="17:17" x14ac:dyDescent="0.25">
      <c r="Q49979" s="8"/>
    </row>
    <row r="49980" spans="17:17" x14ac:dyDescent="0.25">
      <c r="Q49980" s="8"/>
    </row>
    <row r="49981" spans="17:17" x14ac:dyDescent="0.25">
      <c r="Q49981" s="8"/>
    </row>
    <row r="49982" spans="17:17" x14ac:dyDescent="0.25">
      <c r="Q49982" s="8"/>
    </row>
    <row r="49983" spans="17:17" x14ac:dyDescent="0.25">
      <c r="Q49983" s="8"/>
    </row>
    <row r="49984" spans="17:17" x14ac:dyDescent="0.25">
      <c r="Q49984" s="8"/>
    </row>
    <row r="49985" spans="17:17" x14ac:dyDescent="0.25">
      <c r="Q49985" s="8"/>
    </row>
    <row r="49986" spans="17:17" x14ac:dyDescent="0.25">
      <c r="Q49986" s="8"/>
    </row>
    <row r="49987" spans="17:17" x14ac:dyDescent="0.25">
      <c r="Q49987" s="8"/>
    </row>
    <row r="49988" spans="17:17" x14ac:dyDescent="0.25">
      <c r="Q49988" s="8"/>
    </row>
    <row r="49989" spans="17:17" x14ac:dyDescent="0.25">
      <c r="Q49989" s="8"/>
    </row>
    <row r="49990" spans="17:17" x14ac:dyDescent="0.25">
      <c r="Q49990" s="8"/>
    </row>
    <row r="49991" spans="17:17" x14ac:dyDescent="0.25">
      <c r="Q49991" s="8"/>
    </row>
    <row r="49992" spans="17:17" x14ac:dyDescent="0.25">
      <c r="Q49992" s="8"/>
    </row>
    <row r="49993" spans="17:17" x14ac:dyDescent="0.25">
      <c r="Q49993" s="8"/>
    </row>
    <row r="49994" spans="17:17" x14ac:dyDescent="0.25">
      <c r="Q49994" s="8"/>
    </row>
    <row r="49995" spans="17:17" x14ac:dyDescent="0.25">
      <c r="Q49995" s="8"/>
    </row>
    <row r="49996" spans="17:17" x14ac:dyDescent="0.25">
      <c r="Q49996" s="8"/>
    </row>
    <row r="49997" spans="17:17" x14ac:dyDescent="0.25">
      <c r="Q49997" s="8"/>
    </row>
    <row r="49998" spans="17:17" x14ac:dyDescent="0.25">
      <c r="Q49998" s="8"/>
    </row>
    <row r="49999" spans="17:17" x14ac:dyDescent="0.25">
      <c r="Q49999" s="8"/>
    </row>
    <row r="50000" spans="17:17" x14ac:dyDescent="0.25">
      <c r="Q50000" s="8"/>
    </row>
    <row r="50001" spans="17:17" x14ac:dyDescent="0.25">
      <c r="Q50001" s="8"/>
    </row>
    <row r="50002" spans="17:17" x14ac:dyDescent="0.25">
      <c r="Q50002" s="8"/>
    </row>
    <row r="50003" spans="17:17" x14ac:dyDescent="0.25">
      <c r="Q50003" s="8"/>
    </row>
    <row r="50004" spans="17:17" x14ac:dyDescent="0.25">
      <c r="Q50004" s="8"/>
    </row>
    <row r="50005" spans="17:17" x14ac:dyDescent="0.25">
      <c r="Q50005" s="8"/>
    </row>
    <row r="50006" spans="17:17" x14ac:dyDescent="0.25">
      <c r="Q50006" s="8"/>
    </row>
    <row r="50007" spans="17:17" x14ac:dyDescent="0.25">
      <c r="Q50007" s="8"/>
    </row>
    <row r="50008" spans="17:17" x14ac:dyDescent="0.25">
      <c r="Q50008" s="8"/>
    </row>
    <row r="50009" spans="17:17" x14ac:dyDescent="0.25">
      <c r="Q50009" s="8"/>
    </row>
    <row r="50010" spans="17:17" x14ac:dyDescent="0.25">
      <c r="Q50010" s="8"/>
    </row>
    <row r="50011" spans="17:17" x14ac:dyDescent="0.25">
      <c r="Q50011" s="8"/>
    </row>
    <row r="50012" spans="17:17" x14ac:dyDescent="0.25">
      <c r="Q50012" s="8"/>
    </row>
    <row r="50013" spans="17:17" x14ac:dyDescent="0.25">
      <c r="Q50013" s="8"/>
    </row>
    <row r="50014" spans="17:17" x14ac:dyDescent="0.25">
      <c r="Q50014" s="8"/>
    </row>
    <row r="50015" spans="17:17" x14ac:dyDescent="0.25">
      <c r="Q50015" s="8"/>
    </row>
    <row r="50016" spans="17:17" x14ac:dyDescent="0.25">
      <c r="Q50016" s="8"/>
    </row>
    <row r="50017" spans="17:17" x14ac:dyDescent="0.25">
      <c r="Q50017" s="8"/>
    </row>
    <row r="50018" spans="17:17" x14ac:dyDescent="0.25">
      <c r="Q50018" s="8"/>
    </row>
    <row r="50019" spans="17:17" x14ac:dyDescent="0.25">
      <c r="Q50019" s="8"/>
    </row>
    <row r="50020" spans="17:17" x14ac:dyDescent="0.25">
      <c r="Q50020" s="8"/>
    </row>
    <row r="50021" spans="17:17" x14ac:dyDescent="0.25">
      <c r="Q50021" s="8"/>
    </row>
    <row r="50022" spans="17:17" x14ac:dyDescent="0.25">
      <c r="Q50022" s="8"/>
    </row>
    <row r="50023" spans="17:17" x14ac:dyDescent="0.25">
      <c r="Q50023" s="8"/>
    </row>
    <row r="50024" spans="17:17" x14ac:dyDescent="0.25">
      <c r="Q50024" s="8"/>
    </row>
    <row r="50025" spans="17:17" x14ac:dyDescent="0.25">
      <c r="Q50025" s="8"/>
    </row>
    <row r="50026" spans="17:17" x14ac:dyDescent="0.25">
      <c r="Q50026" s="8"/>
    </row>
    <row r="50027" spans="17:17" x14ac:dyDescent="0.25">
      <c r="Q50027" s="8"/>
    </row>
    <row r="50028" spans="17:17" x14ac:dyDescent="0.25">
      <c r="Q50028" s="8"/>
    </row>
    <row r="50029" spans="17:17" x14ac:dyDescent="0.25">
      <c r="Q50029" s="8"/>
    </row>
    <row r="50030" spans="17:17" x14ac:dyDescent="0.25">
      <c r="Q50030" s="8"/>
    </row>
    <row r="50031" spans="17:17" x14ac:dyDescent="0.25">
      <c r="Q50031" s="8"/>
    </row>
    <row r="50032" spans="17:17" x14ac:dyDescent="0.25">
      <c r="Q50032" s="8"/>
    </row>
    <row r="50033" spans="17:17" x14ac:dyDescent="0.25">
      <c r="Q50033" s="8"/>
    </row>
    <row r="50034" spans="17:17" x14ac:dyDescent="0.25">
      <c r="Q50034" s="8"/>
    </row>
    <row r="50035" spans="17:17" x14ac:dyDescent="0.25">
      <c r="Q50035" s="8"/>
    </row>
    <row r="50036" spans="17:17" x14ac:dyDescent="0.25">
      <c r="Q50036" s="8"/>
    </row>
    <row r="50037" spans="17:17" x14ac:dyDescent="0.25">
      <c r="Q50037" s="8"/>
    </row>
    <row r="50038" spans="17:17" x14ac:dyDescent="0.25">
      <c r="Q50038" s="8"/>
    </row>
    <row r="50039" spans="17:17" x14ac:dyDescent="0.25">
      <c r="Q50039" s="8"/>
    </row>
    <row r="50040" spans="17:17" x14ac:dyDescent="0.25">
      <c r="Q50040" s="8"/>
    </row>
    <row r="50041" spans="17:17" x14ac:dyDescent="0.25">
      <c r="Q50041" s="8"/>
    </row>
    <row r="50042" spans="17:17" x14ac:dyDescent="0.25">
      <c r="Q50042" s="8"/>
    </row>
    <row r="50043" spans="17:17" x14ac:dyDescent="0.25">
      <c r="Q50043" s="8"/>
    </row>
    <row r="50044" spans="17:17" x14ac:dyDescent="0.25">
      <c r="Q50044" s="8"/>
    </row>
    <row r="50045" spans="17:17" x14ac:dyDescent="0.25">
      <c r="Q50045" s="8"/>
    </row>
    <row r="50046" spans="17:17" x14ac:dyDescent="0.25">
      <c r="Q50046" s="8"/>
    </row>
    <row r="50047" spans="17:17" x14ac:dyDescent="0.25">
      <c r="Q50047" s="8"/>
    </row>
    <row r="50048" spans="17:17" x14ac:dyDescent="0.25">
      <c r="Q50048" s="8"/>
    </row>
    <row r="50049" spans="17:17" x14ac:dyDescent="0.25">
      <c r="Q50049" s="8"/>
    </row>
    <row r="50050" spans="17:17" x14ac:dyDescent="0.25">
      <c r="Q50050" s="8"/>
    </row>
    <row r="50051" spans="17:17" x14ac:dyDescent="0.25">
      <c r="Q50051" s="8"/>
    </row>
    <row r="50052" spans="17:17" x14ac:dyDescent="0.25">
      <c r="Q50052" s="8"/>
    </row>
    <row r="50053" spans="17:17" x14ac:dyDescent="0.25">
      <c r="Q50053" s="8"/>
    </row>
    <row r="50054" spans="17:17" x14ac:dyDescent="0.25">
      <c r="Q50054" s="8"/>
    </row>
    <row r="50055" spans="17:17" x14ac:dyDescent="0.25">
      <c r="Q50055" s="8"/>
    </row>
    <row r="50056" spans="17:17" x14ac:dyDescent="0.25">
      <c r="Q50056" s="8"/>
    </row>
    <row r="50057" spans="17:17" x14ac:dyDescent="0.25">
      <c r="Q50057" s="8"/>
    </row>
    <row r="50058" spans="17:17" x14ac:dyDescent="0.25">
      <c r="Q50058" s="8"/>
    </row>
    <row r="50059" spans="17:17" x14ac:dyDescent="0.25">
      <c r="Q50059" s="8"/>
    </row>
    <row r="50060" spans="17:17" x14ac:dyDescent="0.25">
      <c r="Q50060" s="8"/>
    </row>
    <row r="50061" spans="17:17" x14ac:dyDescent="0.25">
      <c r="Q50061" s="8"/>
    </row>
    <row r="50062" spans="17:17" x14ac:dyDescent="0.25">
      <c r="Q50062" s="8"/>
    </row>
    <row r="50063" spans="17:17" x14ac:dyDescent="0.25">
      <c r="Q50063" s="8"/>
    </row>
    <row r="50064" spans="17:17" x14ac:dyDescent="0.25">
      <c r="Q50064" s="8"/>
    </row>
    <row r="50065" spans="17:17" x14ac:dyDescent="0.25">
      <c r="Q50065" s="8"/>
    </row>
    <row r="50066" spans="17:17" x14ac:dyDescent="0.25">
      <c r="Q50066" s="8"/>
    </row>
    <row r="50067" spans="17:17" x14ac:dyDescent="0.25">
      <c r="Q50067" s="8"/>
    </row>
    <row r="50068" spans="17:17" x14ac:dyDescent="0.25">
      <c r="Q50068" s="8"/>
    </row>
    <row r="50069" spans="17:17" x14ac:dyDescent="0.25">
      <c r="Q50069" s="8"/>
    </row>
    <row r="50070" spans="17:17" x14ac:dyDescent="0.25">
      <c r="Q50070" s="8"/>
    </row>
    <row r="50071" spans="17:17" x14ac:dyDescent="0.25">
      <c r="Q50071" s="8"/>
    </row>
    <row r="50072" spans="17:17" x14ac:dyDescent="0.25">
      <c r="Q50072" s="8"/>
    </row>
    <row r="50073" spans="17:17" x14ac:dyDescent="0.25">
      <c r="Q50073" s="8"/>
    </row>
    <row r="50074" spans="17:17" x14ac:dyDescent="0.25">
      <c r="Q50074" s="8"/>
    </row>
    <row r="50075" spans="17:17" x14ac:dyDescent="0.25">
      <c r="Q50075" s="8"/>
    </row>
    <row r="50076" spans="17:17" x14ac:dyDescent="0.25">
      <c r="Q50076" s="8"/>
    </row>
    <row r="50077" spans="17:17" x14ac:dyDescent="0.25">
      <c r="Q50077" s="8"/>
    </row>
    <row r="50078" spans="17:17" x14ac:dyDescent="0.25">
      <c r="Q50078" s="8"/>
    </row>
    <row r="50079" spans="17:17" x14ac:dyDescent="0.25">
      <c r="Q50079" s="8"/>
    </row>
    <row r="50080" spans="17:17" x14ac:dyDescent="0.25">
      <c r="Q50080" s="8"/>
    </row>
    <row r="50081" spans="17:17" x14ac:dyDescent="0.25">
      <c r="Q50081" s="8"/>
    </row>
    <row r="50082" spans="17:17" x14ac:dyDescent="0.25">
      <c r="Q50082" s="8"/>
    </row>
    <row r="50083" spans="17:17" x14ac:dyDescent="0.25">
      <c r="Q50083" s="8"/>
    </row>
    <row r="50084" spans="17:17" x14ac:dyDescent="0.25">
      <c r="Q50084" s="8"/>
    </row>
    <row r="50085" spans="17:17" x14ac:dyDescent="0.25">
      <c r="Q50085" s="8"/>
    </row>
    <row r="50086" spans="17:17" x14ac:dyDescent="0.25">
      <c r="Q50086" s="8"/>
    </row>
    <row r="50087" spans="17:17" x14ac:dyDescent="0.25">
      <c r="Q50087" s="8"/>
    </row>
    <row r="50088" spans="17:17" x14ac:dyDescent="0.25">
      <c r="Q50088" s="8"/>
    </row>
    <row r="50089" spans="17:17" x14ac:dyDescent="0.25">
      <c r="Q50089" s="8"/>
    </row>
    <row r="50090" spans="17:17" x14ac:dyDescent="0.25">
      <c r="Q50090" s="8"/>
    </row>
    <row r="50091" spans="17:17" x14ac:dyDescent="0.25">
      <c r="Q50091" s="8"/>
    </row>
    <row r="50092" spans="17:17" x14ac:dyDescent="0.25">
      <c r="Q50092" s="8"/>
    </row>
    <row r="50093" spans="17:17" x14ac:dyDescent="0.25">
      <c r="Q50093" s="8"/>
    </row>
    <row r="50094" spans="17:17" x14ac:dyDescent="0.25">
      <c r="Q50094" s="8"/>
    </row>
    <row r="50095" spans="17:17" x14ac:dyDescent="0.25">
      <c r="Q50095" s="8"/>
    </row>
    <row r="50096" spans="17:17" x14ac:dyDescent="0.25">
      <c r="Q50096" s="8"/>
    </row>
    <row r="50097" spans="17:17" x14ac:dyDescent="0.25">
      <c r="Q50097" s="8"/>
    </row>
    <row r="50098" spans="17:17" x14ac:dyDescent="0.25">
      <c r="Q50098" s="8"/>
    </row>
    <row r="50099" spans="17:17" x14ac:dyDescent="0.25">
      <c r="Q50099" s="8"/>
    </row>
    <row r="50100" spans="17:17" x14ac:dyDescent="0.25">
      <c r="Q50100" s="8"/>
    </row>
    <row r="50101" spans="17:17" x14ac:dyDescent="0.25">
      <c r="Q50101" s="8"/>
    </row>
    <row r="50102" spans="17:17" x14ac:dyDescent="0.25">
      <c r="Q50102" s="8"/>
    </row>
    <row r="50103" spans="17:17" x14ac:dyDescent="0.25">
      <c r="Q50103" s="8"/>
    </row>
    <row r="50104" spans="17:17" x14ac:dyDescent="0.25">
      <c r="Q50104" s="8"/>
    </row>
    <row r="50105" spans="17:17" x14ac:dyDescent="0.25">
      <c r="Q50105" s="8"/>
    </row>
    <row r="50106" spans="17:17" x14ac:dyDescent="0.25">
      <c r="Q50106" s="8"/>
    </row>
    <row r="50107" spans="17:17" x14ac:dyDescent="0.25">
      <c r="Q50107" s="8"/>
    </row>
    <row r="50108" spans="17:17" x14ac:dyDescent="0.25">
      <c r="Q50108" s="8"/>
    </row>
    <row r="50109" spans="17:17" x14ac:dyDescent="0.25">
      <c r="Q50109" s="8"/>
    </row>
    <row r="50110" spans="17:17" x14ac:dyDescent="0.25">
      <c r="Q50110" s="8"/>
    </row>
    <row r="50111" spans="17:17" x14ac:dyDescent="0.25">
      <c r="Q50111" s="8"/>
    </row>
    <row r="50112" spans="17:17" x14ac:dyDescent="0.25">
      <c r="Q50112" s="8"/>
    </row>
    <row r="50113" spans="17:17" x14ac:dyDescent="0.25">
      <c r="Q50113" s="8"/>
    </row>
    <row r="50114" spans="17:17" x14ac:dyDescent="0.25">
      <c r="Q50114" s="8"/>
    </row>
    <row r="50115" spans="17:17" x14ac:dyDescent="0.25">
      <c r="Q50115" s="8"/>
    </row>
    <row r="50116" spans="17:17" x14ac:dyDescent="0.25">
      <c r="Q50116" s="8"/>
    </row>
    <row r="50117" spans="17:17" x14ac:dyDescent="0.25">
      <c r="Q50117" s="8"/>
    </row>
    <row r="50118" spans="17:17" x14ac:dyDescent="0.25">
      <c r="Q50118" s="8"/>
    </row>
    <row r="50119" spans="17:17" x14ac:dyDescent="0.25">
      <c r="Q50119" s="8"/>
    </row>
    <row r="50120" spans="17:17" x14ac:dyDescent="0.25">
      <c r="Q50120" s="8"/>
    </row>
    <row r="50121" spans="17:17" x14ac:dyDescent="0.25">
      <c r="Q50121" s="8"/>
    </row>
    <row r="50122" spans="17:17" x14ac:dyDescent="0.25">
      <c r="Q50122" s="8"/>
    </row>
    <row r="50123" spans="17:17" x14ac:dyDescent="0.25">
      <c r="Q50123" s="8"/>
    </row>
    <row r="50124" spans="17:17" x14ac:dyDescent="0.25">
      <c r="Q50124" s="8"/>
    </row>
    <row r="50125" spans="17:17" x14ac:dyDescent="0.25">
      <c r="Q50125" s="8"/>
    </row>
    <row r="50126" spans="17:17" x14ac:dyDescent="0.25">
      <c r="Q50126" s="8"/>
    </row>
    <row r="50127" spans="17:17" x14ac:dyDescent="0.25">
      <c r="Q50127" s="8"/>
    </row>
    <row r="50128" spans="17:17" x14ac:dyDescent="0.25">
      <c r="Q50128" s="8"/>
    </row>
    <row r="50129" spans="17:17" x14ac:dyDescent="0.25">
      <c r="Q50129" s="8"/>
    </row>
    <row r="50130" spans="17:17" x14ac:dyDescent="0.25">
      <c r="Q50130" s="8"/>
    </row>
    <row r="50131" spans="17:17" x14ac:dyDescent="0.25">
      <c r="Q50131" s="8"/>
    </row>
    <row r="50132" spans="17:17" x14ac:dyDescent="0.25">
      <c r="Q50132" s="8"/>
    </row>
    <row r="50133" spans="17:17" x14ac:dyDescent="0.25">
      <c r="Q50133" s="8"/>
    </row>
    <row r="50134" spans="17:17" x14ac:dyDescent="0.25">
      <c r="Q50134" s="8"/>
    </row>
    <row r="50135" spans="17:17" x14ac:dyDescent="0.25">
      <c r="Q50135" s="8"/>
    </row>
    <row r="50136" spans="17:17" x14ac:dyDescent="0.25">
      <c r="Q50136" s="8"/>
    </row>
    <row r="50137" spans="17:17" x14ac:dyDescent="0.25">
      <c r="Q50137" s="8"/>
    </row>
    <row r="50138" spans="17:17" x14ac:dyDescent="0.25">
      <c r="Q50138" s="8"/>
    </row>
    <row r="50139" spans="17:17" x14ac:dyDescent="0.25">
      <c r="Q50139" s="8"/>
    </row>
    <row r="50140" spans="17:17" x14ac:dyDescent="0.25">
      <c r="Q50140" s="8"/>
    </row>
    <row r="50141" spans="17:17" x14ac:dyDescent="0.25">
      <c r="Q50141" s="8"/>
    </row>
    <row r="50142" spans="17:17" x14ac:dyDescent="0.25">
      <c r="Q50142" s="8"/>
    </row>
    <row r="50143" spans="17:17" x14ac:dyDescent="0.25">
      <c r="Q50143" s="8"/>
    </row>
    <row r="50144" spans="17:17" x14ac:dyDescent="0.25">
      <c r="Q50144" s="8"/>
    </row>
    <row r="50145" spans="17:17" x14ac:dyDescent="0.25">
      <c r="Q50145" s="8"/>
    </row>
    <row r="50146" spans="17:17" x14ac:dyDescent="0.25">
      <c r="Q50146" s="8"/>
    </row>
    <row r="50147" spans="17:17" x14ac:dyDescent="0.25">
      <c r="Q50147" s="8"/>
    </row>
    <row r="50148" spans="17:17" x14ac:dyDescent="0.25">
      <c r="Q50148" s="8"/>
    </row>
    <row r="50149" spans="17:17" x14ac:dyDescent="0.25">
      <c r="Q50149" s="8"/>
    </row>
    <row r="50150" spans="17:17" x14ac:dyDescent="0.25">
      <c r="Q50150" s="8"/>
    </row>
    <row r="50151" spans="17:17" x14ac:dyDescent="0.25">
      <c r="Q50151" s="8"/>
    </row>
    <row r="50152" spans="17:17" x14ac:dyDescent="0.25">
      <c r="Q50152" s="8"/>
    </row>
    <row r="50153" spans="17:17" x14ac:dyDescent="0.25">
      <c r="Q50153" s="8"/>
    </row>
    <row r="50154" spans="17:17" x14ac:dyDescent="0.25">
      <c r="Q50154" s="8"/>
    </row>
    <row r="50155" spans="17:17" x14ac:dyDescent="0.25">
      <c r="Q50155" s="8"/>
    </row>
    <row r="50156" spans="17:17" x14ac:dyDescent="0.25">
      <c r="Q50156" s="8"/>
    </row>
    <row r="50157" spans="17:17" x14ac:dyDescent="0.25">
      <c r="Q50157" s="8"/>
    </row>
    <row r="50158" spans="17:17" x14ac:dyDescent="0.25">
      <c r="Q50158" s="8"/>
    </row>
    <row r="50159" spans="17:17" x14ac:dyDescent="0.25">
      <c r="Q50159" s="8"/>
    </row>
    <row r="50160" spans="17:17" x14ac:dyDescent="0.25">
      <c r="Q50160" s="8"/>
    </row>
    <row r="50161" spans="17:17" x14ac:dyDescent="0.25">
      <c r="Q50161" s="8"/>
    </row>
    <row r="50162" spans="17:17" x14ac:dyDescent="0.25">
      <c r="Q50162" s="8"/>
    </row>
    <row r="50163" spans="17:17" x14ac:dyDescent="0.25">
      <c r="Q50163" s="8"/>
    </row>
    <row r="50164" spans="17:17" x14ac:dyDescent="0.25">
      <c r="Q50164" s="8"/>
    </row>
    <row r="50165" spans="17:17" x14ac:dyDescent="0.25">
      <c r="Q50165" s="8"/>
    </row>
    <row r="50166" spans="17:17" x14ac:dyDescent="0.25">
      <c r="Q50166" s="8"/>
    </row>
    <row r="50167" spans="17:17" x14ac:dyDescent="0.25">
      <c r="Q50167" s="8"/>
    </row>
    <row r="50168" spans="17:17" x14ac:dyDescent="0.25">
      <c r="Q50168" s="8"/>
    </row>
    <row r="50169" spans="17:17" x14ac:dyDescent="0.25">
      <c r="Q50169" s="8"/>
    </row>
    <row r="50170" spans="17:17" x14ac:dyDescent="0.25">
      <c r="Q50170" s="8"/>
    </row>
    <row r="50171" spans="17:17" x14ac:dyDescent="0.25">
      <c r="Q50171" s="8"/>
    </row>
    <row r="50172" spans="17:17" x14ac:dyDescent="0.25">
      <c r="Q50172" s="8"/>
    </row>
    <row r="50173" spans="17:17" x14ac:dyDescent="0.25">
      <c r="Q50173" s="8"/>
    </row>
    <row r="50174" spans="17:17" x14ac:dyDescent="0.25">
      <c r="Q50174" s="8"/>
    </row>
    <row r="50175" spans="17:17" x14ac:dyDescent="0.25">
      <c r="Q50175" s="8"/>
    </row>
    <row r="50176" spans="17:17" x14ac:dyDescent="0.25">
      <c r="Q50176" s="8"/>
    </row>
    <row r="50177" spans="17:17" x14ac:dyDescent="0.25">
      <c r="Q50177" s="8"/>
    </row>
    <row r="50178" spans="17:17" x14ac:dyDescent="0.25">
      <c r="Q50178" s="8"/>
    </row>
    <row r="50179" spans="17:17" x14ac:dyDescent="0.25">
      <c r="Q50179" s="8"/>
    </row>
    <row r="50180" spans="17:17" x14ac:dyDescent="0.25">
      <c r="Q50180" s="8"/>
    </row>
    <row r="50181" spans="17:17" x14ac:dyDescent="0.25">
      <c r="Q50181" s="8"/>
    </row>
    <row r="50182" spans="17:17" x14ac:dyDescent="0.25">
      <c r="Q50182" s="8"/>
    </row>
    <row r="50183" spans="17:17" x14ac:dyDescent="0.25">
      <c r="Q50183" s="8"/>
    </row>
    <row r="50184" spans="17:17" x14ac:dyDescent="0.25">
      <c r="Q50184" s="8"/>
    </row>
    <row r="50185" spans="17:17" x14ac:dyDescent="0.25">
      <c r="Q50185" s="8"/>
    </row>
    <row r="50186" spans="17:17" x14ac:dyDescent="0.25">
      <c r="Q50186" s="8"/>
    </row>
    <row r="50187" spans="17:17" x14ac:dyDescent="0.25">
      <c r="Q50187" s="8"/>
    </row>
    <row r="50188" spans="17:17" x14ac:dyDescent="0.25">
      <c r="Q50188" s="8"/>
    </row>
    <row r="50189" spans="17:17" x14ac:dyDescent="0.25">
      <c r="Q50189" s="8"/>
    </row>
    <row r="50190" spans="17:17" x14ac:dyDescent="0.25">
      <c r="Q50190" s="8"/>
    </row>
    <row r="50191" spans="17:17" x14ac:dyDescent="0.25">
      <c r="Q50191" s="8"/>
    </row>
    <row r="50192" spans="17:17" x14ac:dyDescent="0.25">
      <c r="Q50192" s="8"/>
    </row>
    <row r="50193" spans="17:17" x14ac:dyDescent="0.25">
      <c r="Q50193" s="8"/>
    </row>
    <row r="50194" spans="17:17" x14ac:dyDescent="0.25">
      <c r="Q50194" s="8"/>
    </row>
    <row r="50195" spans="17:17" x14ac:dyDescent="0.25">
      <c r="Q50195" s="8"/>
    </row>
    <row r="50196" spans="17:17" x14ac:dyDescent="0.25">
      <c r="Q50196" s="8"/>
    </row>
    <row r="50197" spans="17:17" x14ac:dyDescent="0.25">
      <c r="Q50197" s="8"/>
    </row>
    <row r="50198" spans="17:17" x14ac:dyDescent="0.25">
      <c r="Q50198" s="8"/>
    </row>
    <row r="50199" spans="17:17" x14ac:dyDescent="0.25">
      <c r="Q50199" s="8"/>
    </row>
    <row r="50200" spans="17:17" x14ac:dyDescent="0.25">
      <c r="Q50200" s="8"/>
    </row>
    <row r="50201" spans="17:17" x14ac:dyDescent="0.25">
      <c r="Q50201" s="8"/>
    </row>
    <row r="50202" spans="17:17" x14ac:dyDescent="0.25">
      <c r="Q50202" s="8"/>
    </row>
    <row r="50203" spans="17:17" x14ac:dyDescent="0.25">
      <c r="Q50203" s="8"/>
    </row>
    <row r="50204" spans="17:17" x14ac:dyDescent="0.25">
      <c r="Q50204" s="8"/>
    </row>
    <row r="50205" spans="17:17" x14ac:dyDescent="0.25">
      <c r="Q50205" s="8"/>
    </row>
    <row r="50206" spans="17:17" x14ac:dyDescent="0.25">
      <c r="Q50206" s="8"/>
    </row>
    <row r="50207" spans="17:17" x14ac:dyDescent="0.25">
      <c r="Q50207" s="8"/>
    </row>
    <row r="50208" spans="17:17" x14ac:dyDescent="0.25">
      <c r="Q50208" s="8"/>
    </row>
    <row r="50209" spans="17:17" x14ac:dyDescent="0.25">
      <c r="Q50209" s="8"/>
    </row>
    <row r="50210" spans="17:17" x14ac:dyDescent="0.25">
      <c r="Q50210" s="8"/>
    </row>
    <row r="50211" spans="17:17" x14ac:dyDescent="0.25">
      <c r="Q50211" s="8"/>
    </row>
    <row r="50212" spans="17:17" x14ac:dyDescent="0.25">
      <c r="Q50212" s="8"/>
    </row>
    <row r="50213" spans="17:17" x14ac:dyDescent="0.25">
      <c r="Q50213" s="8"/>
    </row>
    <row r="50214" spans="17:17" x14ac:dyDescent="0.25">
      <c r="Q50214" s="8"/>
    </row>
    <row r="50215" spans="17:17" x14ac:dyDescent="0.25">
      <c r="Q50215" s="8"/>
    </row>
    <row r="50216" spans="17:17" x14ac:dyDescent="0.25">
      <c r="Q50216" s="8"/>
    </row>
    <row r="50217" spans="17:17" x14ac:dyDescent="0.25">
      <c r="Q50217" s="8"/>
    </row>
    <row r="50218" spans="17:17" x14ac:dyDescent="0.25">
      <c r="Q50218" s="8"/>
    </row>
    <row r="50219" spans="17:17" x14ac:dyDescent="0.25">
      <c r="Q50219" s="8"/>
    </row>
    <row r="50220" spans="17:17" x14ac:dyDescent="0.25">
      <c r="Q50220" s="8"/>
    </row>
    <row r="50221" spans="17:17" x14ac:dyDescent="0.25">
      <c r="Q50221" s="8"/>
    </row>
    <row r="50222" spans="17:17" x14ac:dyDescent="0.25">
      <c r="Q50222" s="8"/>
    </row>
    <row r="50223" spans="17:17" x14ac:dyDescent="0.25">
      <c r="Q50223" s="8"/>
    </row>
    <row r="50224" spans="17:17" x14ac:dyDescent="0.25">
      <c r="Q50224" s="8"/>
    </row>
    <row r="50225" spans="17:17" x14ac:dyDescent="0.25">
      <c r="Q50225" s="8"/>
    </row>
    <row r="50226" spans="17:17" x14ac:dyDescent="0.25">
      <c r="Q50226" s="8"/>
    </row>
    <row r="50227" spans="17:17" x14ac:dyDescent="0.25">
      <c r="Q50227" s="8"/>
    </row>
    <row r="50228" spans="17:17" x14ac:dyDescent="0.25">
      <c r="Q50228" s="8"/>
    </row>
    <row r="50229" spans="17:17" x14ac:dyDescent="0.25">
      <c r="Q50229" s="8"/>
    </row>
    <row r="50230" spans="17:17" x14ac:dyDescent="0.25">
      <c r="Q50230" s="8"/>
    </row>
    <row r="50231" spans="17:17" x14ac:dyDescent="0.25">
      <c r="Q50231" s="8"/>
    </row>
    <row r="50232" spans="17:17" x14ac:dyDescent="0.25">
      <c r="Q50232" s="8"/>
    </row>
    <row r="50233" spans="17:17" x14ac:dyDescent="0.25">
      <c r="Q50233" s="8"/>
    </row>
    <row r="50234" spans="17:17" x14ac:dyDescent="0.25">
      <c r="Q50234" s="8"/>
    </row>
    <row r="50235" spans="17:17" x14ac:dyDescent="0.25">
      <c r="Q50235" s="8"/>
    </row>
    <row r="50236" spans="17:17" x14ac:dyDescent="0.25">
      <c r="Q50236" s="8"/>
    </row>
    <row r="50237" spans="17:17" x14ac:dyDescent="0.25">
      <c r="Q50237" s="8"/>
    </row>
    <row r="50238" spans="17:17" x14ac:dyDescent="0.25">
      <c r="Q50238" s="8"/>
    </row>
    <row r="50239" spans="17:17" x14ac:dyDescent="0.25">
      <c r="Q50239" s="8"/>
    </row>
    <row r="50240" spans="17:17" x14ac:dyDescent="0.25">
      <c r="Q50240" s="8"/>
    </row>
    <row r="50241" spans="17:17" x14ac:dyDescent="0.25">
      <c r="Q50241" s="8"/>
    </row>
    <row r="50242" spans="17:17" x14ac:dyDescent="0.25">
      <c r="Q50242" s="8"/>
    </row>
    <row r="50243" spans="17:17" x14ac:dyDescent="0.25">
      <c r="Q50243" s="8"/>
    </row>
    <row r="50244" spans="17:17" x14ac:dyDescent="0.25">
      <c r="Q50244" s="8"/>
    </row>
    <row r="50245" spans="17:17" x14ac:dyDescent="0.25">
      <c r="Q50245" s="8"/>
    </row>
    <row r="50246" spans="17:17" x14ac:dyDescent="0.25">
      <c r="Q50246" s="8"/>
    </row>
    <row r="50247" spans="17:17" x14ac:dyDescent="0.25">
      <c r="Q50247" s="8"/>
    </row>
    <row r="50248" spans="17:17" x14ac:dyDescent="0.25">
      <c r="Q50248" s="8"/>
    </row>
    <row r="50249" spans="17:17" x14ac:dyDescent="0.25">
      <c r="Q50249" s="8"/>
    </row>
    <row r="50250" spans="17:17" x14ac:dyDescent="0.25">
      <c r="Q50250" s="8"/>
    </row>
    <row r="50251" spans="17:17" x14ac:dyDescent="0.25">
      <c r="Q50251" s="8"/>
    </row>
    <row r="50252" spans="17:17" x14ac:dyDescent="0.25">
      <c r="Q50252" s="8"/>
    </row>
    <row r="50253" spans="17:17" x14ac:dyDescent="0.25">
      <c r="Q50253" s="8"/>
    </row>
    <row r="50254" spans="17:17" x14ac:dyDescent="0.25">
      <c r="Q50254" s="8"/>
    </row>
    <row r="50255" spans="17:17" x14ac:dyDescent="0.25">
      <c r="Q50255" s="8"/>
    </row>
    <row r="50256" spans="17:17" x14ac:dyDescent="0.25">
      <c r="Q50256" s="8"/>
    </row>
    <row r="50257" spans="17:17" x14ac:dyDescent="0.25">
      <c r="Q50257" s="8"/>
    </row>
    <row r="50258" spans="17:17" x14ac:dyDescent="0.25">
      <c r="Q50258" s="8"/>
    </row>
    <row r="50259" spans="17:17" x14ac:dyDescent="0.25">
      <c r="Q50259" s="8"/>
    </row>
    <row r="50260" spans="17:17" x14ac:dyDescent="0.25">
      <c r="Q50260" s="8"/>
    </row>
    <row r="50261" spans="17:17" x14ac:dyDescent="0.25">
      <c r="Q50261" s="8"/>
    </row>
    <row r="50262" spans="17:17" x14ac:dyDescent="0.25">
      <c r="Q50262" s="8"/>
    </row>
    <row r="50263" spans="17:17" x14ac:dyDescent="0.25">
      <c r="Q50263" s="8"/>
    </row>
    <row r="50264" spans="17:17" x14ac:dyDescent="0.25">
      <c r="Q50264" s="8"/>
    </row>
    <row r="50265" spans="17:17" x14ac:dyDescent="0.25">
      <c r="Q50265" s="8"/>
    </row>
    <row r="50266" spans="17:17" x14ac:dyDescent="0.25">
      <c r="Q50266" s="8"/>
    </row>
    <row r="50267" spans="17:17" x14ac:dyDescent="0.25">
      <c r="Q50267" s="8"/>
    </row>
    <row r="50268" spans="17:17" x14ac:dyDescent="0.25">
      <c r="Q50268" s="8"/>
    </row>
    <row r="50269" spans="17:17" x14ac:dyDescent="0.25">
      <c r="Q50269" s="8"/>
    </row>
    <row r="50270" spans="17:17" x14ac:dyDescent="0.25">
      <c r="Q50270" s="8"/>
    </row>
    <row r="50271" spans="17:17" x14ac:dyDescent="0.25">
      <c r="Q50271" s="8"/>
    </row>
    <row r="50272" spans="17:17" x14ac:dyDescent="0.25">
      <c r="Q50272" s="8"/>
    </row>
    <row r="50273" spans="17:17" x14ac:dyDescent="0.25">
      <c r="Q50273" s="8"/>
    </row>
    <row r="50274" spans="17:17" x14ac:dyDescent="0.25">
      <c r="Q50274" s="8"/>
    </row>
    <row r="50275" spans="17:17" x14ac:dyDescent="0.25">
      <c r="Q50275" s="8"/>
    </row>
    <row r="50276" spans="17:17" x14ac:dyDescent="0.25">
      <c r="Q50276" s="8"/>
    </row>
    <row r="50277" spans="17:17" x14ac:dyDescent="0.25">
      <c r="Q50277" s="8"/>
    </row>
    <row r="50278" spans="17:17" x14ac:dyDescent="0.25">
      <c r="Q50278" s="8"/>
    </row>
    <row r="50279" spans="17:17" x14ac:dyDescent="0.25">
      <c r="Q50279" s="8"/>
    </row>
    <row r="50280" spans="17:17" x14ac:dyDescent="0.25">
      <c r="Q50280" s="8"/>
    </row>
    <row r="50281" spans="17:17" x14ac:dyDescent="0.25">
      <c r="Q50281" s="8"/>
    </row>
    <row r="50282" spans="17:17" x14ac:dyDescent="0.25">
      <c r="Q50282" s="8"/>
    </row>
    <row r="50283" spans="17:17" x14ac:dyDescent="0.25">
      <c r="Q50283" s="8"/>
    </row>
    <row r="50284" spans="17:17" x14ac:dyDescent="0.25">
      <c r="Q50284" s="8"/>
    </row>
    <row r="50285" spans="17:17" x14ac:dyDescent="0.25">
      <c r="Q50285" s="8"/>
    </row>
    <row r="50286" spans="17:17" x14ac:dyDescent="0.25">
      <c r="Q50286" s="8"/>
    </row>
    <row r="50287" spans="17:17" x14ac:dyDescent="0.25">
      <c r="Q50287" s="8"/>
    </row>
    <row r="50288" spans="17:17" x14ac:dyDescent="0.25">
      <c r="Q50288" s="8"/>
    </row>
    <row r="50289" spans="17:17" x14ac:dyDescent="0.25">
      <c r="Q50289" s="8"/>
    </row>
    <row r="50290" spans="17:17" x14ac:dyDescent="0.25">
      <c r="Q50290" s="8"/>
    </row>
    <row r="50291" spans="17:17" x14ac:dyDescent="0.25">
      <c r="Q50291" s="8"/>
    </row>
    <row r="50292" spans="17:17" x14ac:dyDescent="0.25">
      <c r="Q50292" s="8"/>
    </row>
    <row r="50293" spans="17:17" x14ac:dyDescent="0.25">
      <c r="Q50293" s="8"/>
    </row>
    <row r="50294" spans="17:17" x14ac:dyDescent="0.25">
      <c r="Q50294" s="8"/>
    </row>
    <row r="50295" spans="17:17" x14ac:dyDescent="0.25">
      <c r="Q50295" s="8"/>
    </row>
    <row r="50296" spans="17:17" x14ac:dyDescent="0.25">
      <c r="Q50296" s="8"/>
    </row>
    <row r="50297" spans="17:17" x14ac:dyDescent="0.25">
      <c r="Q50297" s="8"/>
    </row>
    <row r="50298" spans="17:17" x14ac:dyDescent="0.25">
      <c r="Q50298" s="8"/>
    </row>
    <row r="50299" spans="17:17" x14ac:dyDescent="0.25">
      <c r="Q50299" s="8"/>
    </row>
    <row r="50300" spans="17:17" x14ac:dyDescent="0.25">
      <c r="Q50300" s="8"/>
    </row>
    <row r="50301" spans="17:17" x14ac:dyDescent="0.25">
      <c r="Q50301" s="8"/>
    </row>
    <row r="50302" spans="17:17" x14ac:dyDescent="0.25">
      <c r="Q50302" s="8"/>
    </row>
    <row r="50303" spans="17:17" x14ac:dyDescent="0.25">
      <c r="Q50303" s="8"/>
    </row>
    <row r="50304" spans="17:17" x14ac:dyDescent="0.25">
      <c r="Q50304" s="8"/>
    </row>
    <row r="50305" spans="17:17" x14ac:dyDescent="0.25">
      <c r="Q50305" s="8"/>
    </row>
    <row r="50306" spans="17:17" x14ac:dyDescent="0.25">
      <c r="Q50306" s="8"/>
    </row>
    <row r="50307" spans="17:17" x14ac:dyDescent="0.25">
      <c r="Q50307" s="8"/>
    </row>
    <row r="50308" spans="17:17" x14ac:dyDescent="0.25">
      <c r="Q50308" s="8"/>
    </row>
    <row r="50309" spans="17:17" x14ac:dyDescent="0.25">
      <c r="Q50309" s="8"/>
    </row>
    <row r="50310" spans="17:17" x14ac:dyDescent="0.25">
      <c r="Q50310" s="8"/>
    </row>
    <row r="50311" spans="17:17" x14ac:dyDescent="0.25">
      <c r="Q50311" s="8"/>
    </row>
    <row r="50312" spans="17:17" x14ac:dyDescent="0.25">
      <c r="Q50312" s="8"/>
    </row>
    <row r="50313" spans="17:17" x14ac:dyDescent="0.25">
      <c r="Q50313" s="8"/>
    </row>
    <row r="50314" spans="17:17" x14ac:dyDescent="0.25">
      <c r="Q50314" s="8"/>
    </row>
    <row r="50315" spans="17:17" x14ac:dyDescent="0.25">
      <c r="Q50315" s="8"/>
    </row>
    <row r="50316" spans="17:17" x14ac:dyDescent="0.25">
      <c r="Q50316" s="8"/>
    </row>
    <row r="50317" spans="17:17" x14ac:dyDescent="0.25">
      <c r="Q50317" s="8"/>
    </row>
    <row r="50318" spans="17:17" x14ac:dyDescent="0.25">
      <c r="Q50318" s="8"/>
    </row>
    <row r="50319" spans="17:17" x14ac:dyDescent="0.25">
      <c r="Q50319" s="8"/>
    </row>
    <row r="50320" spans="17:17" x14ac:dyDescent="0.25">
      <c r="Q50320" s="8"/>
    </row>
    <row r="50321" spans="17:17" x14ac:dyDescent="0.25">
      <c r="Q50321" s="8"/>
    </row>
    <row r="50322" spans="17:17" x14ac:dyDescent="0.25">
      <c r="Q50322" s="8"/>
    </row>
    <row r="50323" spans="17:17" x14ac:dyDescent="0.25">
      <c r="Q50323" s="8"/>
    </row>
    <row r="50324" spans="17:17" x14ac:dyDescent="0.25">
      <c r="Q50324" s="8"/>
    </row>
    <row r="50325" spans="17:17" x14ac:dyDescent="0.25">
      <c r="Q50325" s="8"/>
    </row>
    <row r="50326" spans="17:17" x14ac:dyDescent="0.25">
      <c r="Q50326" s="8"/>
    </row>
    <row r="50327" spans="17:17" x14ac:dyDescent="0.25">
      <c r="Q50327" s="8"/>
    </row>
    <row r="50328" spans="17:17" x14ac:dyDescent="0.25">
      <c r="Q50328" s="8"/>
    </row>
    <row r="50329" spans="17:17" x14ac:dyDescent="0.25">
      <c r="Q50329" s="8"/>
    </row>
    <row r="50330" spans="17:17" x14ac:dyDescent="0.25">
      <c r="Q50330" s="8"/>
    </row>
    <row r="50331" spans="17:17" x14ac:dyDescent="0.25">
      <c r="Q50331" s="8"/>
    </row>
    <row r="50332" spans="17:17" x14ac:dyDescent="0.25">
      <c r="Q50332" s="8"/>
    </row>
    <row r="50333" spans="17:17" x14ac:dyDescent="0.25">
      <c r="Q50333" s="8"/>
    </row>
    <row r="50334" spans="17:17" x14ac:dyDescent="0.25">
      <c r="Q50334" s="8"/>
    </row>
    <row r="50335" spans="17:17" x14ac:dyDescent="0.25">
      <c r="Q50335" s="8"/>
    </row>
    <row r="50336" spans="17:17" x14ac:dyDescent="0.25">
      <c r="Q50336" s="8"/>
    </row>
    <row r="50337" spans="17:17" x14ac:dyDescent="0.25">
      <c r="Q50337" s="8"/>
    </row>
    <row r="50338" spans="17:17" x14ac:dyDescent="0.25">
      <c r="Q50338" s="8"/>
    </row>
    <row r="50339" spans="17:17" x14ac:dyDescent="0.25">
      <c r="Q50339" s="8"/>
    </row>
    <row r="50340" spans="17:17" x14ac:dyDescent="0.25">
      <c r="Q50340" s="8"/>
    </row>
    <row r="50341" spans="17:17" x14ac:dyDescent="0.25">
      <c r="Q50341" s="8"/>
    </row>
    <row r="50342" spans="17:17" x14ac:dyDescent="0.25">
      <c r="Q50342" s="8"/>
    </row>
    <row r="50343" spans="17:17" x14ac:dyDescent="0.25">
      <c r="Q50343" s="8"/>
    </row>
    <row r="50344" spans="17:17" x14ac:dyDescent="0.25">
      <c r="Q50344" s="8"/>
    </row>
    <row r="50345" spans="17:17" x14ac:dyDescent="0.25">
      <c r="Q50345" s="8"/>
    </row>
    <row r="50346" spans="17:17" x14ac:dyDescent="0.25">
      <c r="Q50346" s="8"/>
    </row>
    <row r="50347" spans="17:17" x14ac:dyDescent="0.25">
      <c r="Q50347" s="8"/>
    </row>
    <row r="50348" spans="17:17" x14ac:dyDescent="0.25">
      <c r="Q50348" s="8"/>
    </row>
    <row r="50349" spans="17:17" x14ac:dyDescent="0.25">
      <c r="Q50349" s="8"/>
    </row>
    <row r="50350" spans="17:17" x14ac:dyDescent="0.25">
      <c r="Q50350" s="8"/>
    </row>
    <row r="50351" spans="17:17" x14ac:dyDescent="0.25">
      <c r="Q50351" s="8"/>
    </row>
    <row r="50352" spans="17:17" x14ac:dyDescent="0.25">
      <c r="Q50352" s="8"/>
    </row>
    <row r="50353" spans="17:17" x14ac:dyDescent="0.25">
      <c r="Q50353" s="8"/>
    </row>
    <row r="50354" spans="17:17" x14ac:dyDescent="0.25">
      <c r="Q50354" s="8"/>
    </row>
    <row r="50355" spans="17:17" x14ac:dyDescent="0.25">
      <c r="Q50355" s="8"/>
    </row>
    <row r="50356" spans="17:17" x14ac:dyDescent="0.25">
      <c r="Q50356" s="8"/>
    </row>
    <row r="50357" spans="17:17" x14ac:dyDescent="0.25">
      <c r="Q50357" s="8"/>
    </row>
    <row r="50358" spans="17:17" x14ac:dyDescent="0.25">
      <c r="Q50358" s="8"/>
    </row>
    <row r="50359" spans="17:17" x14ac:dyDescent="0.25">
      <c r="Q50359" s="8"/>
    </row>
    <row r="50360" spans="17:17" x14ac:dyDescent="0.25">
      <c r="Q50360" s="8"/>
    </row>
    <row r="50361" spans="17:17" x14ac:dyDescent="0.25">
      <c r="Q50361" s="8"/>
    </row>
    <row r="50362" spans="17:17" x14ac:dyDescent="0.25">
      <c r="Q50362" s="8"/>
    </row>
    <row r="50363" spans="17:17" x14ac:dyDescent="0.25">
      <c r="Q50363" s="8"/>
    </row>
    <row r="50364" spans="17:17" x14ac:dyDescent="0.25">
      <c r="Q50364" s="8"/>
    </row>
    <row r="50365" spans="17:17" x14ac:dyDescent="0.25">
      <c r="Q50365" s="8"/>
    </row>
    <row r="50366" spans="17:17" x14ac:dyDescent="0.25">
      <c r="Q50366" s="8"/>
    </row>
    <row r="50367" spans="17:17" x14ac:dyDescent="0.25">
      <c r="Q50367" s="8"/>
    </row>
    <row r="50368" spans="17:17" x14ac:dyDescent="0.25">
      <c r="Q50368" s="8"/>
    </row>
    <row r="50369" spans="17:17" x14ac:dyDescent="0.25">
      <c r="Q50369" s="8"/>
    </row>
    <row r="50370" spans="17:17" x14ac:dyDescent="0.25">
      <c r="Q50370" s="8"/>
    </row>
    <row r="50371" spans="17:17" x14ac:dyDescent="0.25">
      <c r="Q50371" s="8"/>
    </row>
    <row r="50372" spans="17:17" x14ac:dyDescent="0.25">
      <c r="Q50372" s="8"/>
    </row>
    <row r="50373" spans="17:17" x14ac:dyDescent="0.25">
      <c r="Q50373" s="8"/>
    </row>
    <row r="50374" spans="17:17" x14ac:dyDescent="0.25">
      <c r="Q50374" s="8"/>
    </row>
    <row r="50375" spans="17:17" x14ac:dyDescent="0.25">
      <c r="Q50375" s="8"/>
    </row>
    <row r="50376" spans="17:17" x14ac:dyDescent="0.25">
      <c r="Q50376" s="8"/>
    </row>
    <row r="50377" spans="17:17" x14ac:dyDescent="0.25">
      <c r="Q50377" s="8"/>
    </row>
    <row r="50378" spans="17:17" x14ac:dyDescent="0.25">
      <c r="Q50378" s="8"/>
    </row>
    <row r="50379" spans="17:17" x14ac:dyDescent="0.25">
      <c r="Q50379" s="8"/>
    </row>
    <row r="50380" spans="17:17" x14ac:dyDescent="0.25">
      <c r="Q50380" s="8"/>
    </row>
    <row r="50381" spans="17:17" x14ac:dyDescent="0.25">
      <c r="Q50381" s="8"/>
    </row>
    <row r="50382" spans="17:17" x14ac:dyDescent="0.25">
      <c r="Q50382" s="8"/>
    </row>
    <row r="50383" spans="17:17" x14ac:dyDescent="0.25">
      <c r="Q50383" s="8"/>
    </row>
    <row r="50384" spans="17:17" x14ac:dyDescent="0.25">
      <c r="Q50384" s="8"/>
    </row>
    <row r="50385" spans="17:17" x14ac:dyDescent="0.25">
      <c r="Q50385" s="8"/>
    </row>
    <row r="50386" spans="17:17" x14ac:dyDescent="0.25">
      <c r="Q50386" s="8"/>
    </row>
    <row r="50387" spans="17:17" x14ac:dyDescent="0.25">
      <c r="Q50387" s="8"/>
    </row>
    <row r="50388" spans="17:17" x14ac:dyDescent="0.25">
      <c r="Q50388" s="8"/>
    </row>
    <row r="50389" spans="17:17" x14ac:dyDescent="0.25">
      <c r="Q50389" s="8"/>
    </row>
    <row r="50390" spans="17:17" x14ac:dyDescent="0.25">
      <c r="Q50390" s="8"/>
    </row>
    <row r="50391" spans="17:17" x14ac:dyDescent="0.25">
      <c r="Q50391" s="8"/>
    </row>
    <row r="50392" spans="17:17" x14ac:dyDescent="0.25">
      <c r="Q50392" s="8"/>
    </row>
    <row r="50393" spans="17:17" x14ac:dyDescent="0.25">
      <c r="Q50393" s="8"/>
    </row>
    <row r="50394" spans="17:17" x14ac:dyDescent="0.25">
      <c r="Q50394" s="8"/>
    </row>
    <row r="50395" spans="17:17" x14ac:dyDescent="0.25">
      <c r="Q50395" s="8"/>
    </row>
    <row r="50396" spans="17:17" x14ac:dyDescent="0.25">
      <c r="Q50396" s="8"/>
    </row>
    <row r="50397" spans="17:17" x14ac:dyDescent="0.25">
      <c r="Q50397" s="8"/>
    </row>
    <row r="50398" spans="17:17" x14ac:dyDescent="0.25">
      <c r="Q50398" s="8"/>
    </row>
    <row r="50399" spans="17:17" x14ac:dyDescent="0.25">
      <c r="Q50399" s="8"/>
    </row>
    <row r="50400" spans="17:17" x14ac:dyDescent="0.25">
      <c r="Q50400" s="8"/>
    </row>
    <row r="50401" spans="17:17" x14ac:dyDescent="0.25">
      <c r="Q50401" s="8"/>
    </row>
    <row r="50402" spans="17:17" x14ac:dyDescent="0.25">
      <c r="Q50402" s="8"/>
    </row>
    <row r="50403" spans="17:17" x14ac:dyDescent="0.25">
      <c r="Q50403" s="8"/>
    </row>
    <row r="50404" spans="17:17" x14ac:dyDescent="0.25">
      <c r="Q50404" s="8"/>
    </row>
    <row r="50405" spans="17:17" x14ac:dyDescent="0.25">
      <c r="Q50405" s="8"/>
    </row>
    <row r="50406" spans="17:17" x14ac:dyDescent="0.25">
      <c r="Q50406" s="8"/>
    </row>
    <row r="50407" spans="17:17" x14ac:dyDescent="0.25">
      <c r="Q50407" s="8"/>
    </row>
    <row r="50408" spans="17:17" x14ac:dyDescent="0.25">
      <c r="Q50408" s="8"/>
    </row>
    <row r="50409" spans="17:17" x14ac:dyDescent="0.25">
      <c r="Q50409" s="8"/>
    </row>
    <row r="50410" spans="17:17" x14ac:dyDescent="0.25">
      <c r="Q50410" s="8"/>
    </row>
    <row r="50411" spans="17:17" x14ac:dyDescent="0.25">
      <c r="Q50411" s="8"/>
    </row>
    <row r="50412" spans="17:17" x14ac:dyDescent="0.25">
      <c r="Q50412" s="8"/>
    </row>
    <row r="50413" spans="17:17" x14ac:dyDescent="0.25">
      <c r="Q50413" s="8"/>
    </row>
    <row r="50414" spans="17:17" x14ac:dyDescent="0.25">
      <c r="Q50414" s="8"/>
    </row>
    <row r="50415" spans="17:17" x14ac:dyDescent="0.25">
      <c r="Q50415" s="8"/>
    </row>
    <row r="50416" spans="17:17" x14ac:dyDescent="0.25">
      <c r="Q50416" s="8"/>
    </row>
    <row r="50417" spans="17:17" x14ac:dyDescent="0.25">
      <c r="Q50417" s="8"/>
    </row>
    <row r="50418" spans="17:17" x14ac:dyDescent="0.25">
      <c r="Q50418" s="8"/>
    </row>
    <row r="50419" spans="17:17" x14ac:dyDescent="0.25">
      <c r="Q50419" s="8"/>
    </row>
    <row r="50420" spans="17:17" x14ac:dyDescent="0.25">
      <c r="Q50420" s="8"/>
    </row>
    <row r="50421" spans="17:17" x14ac:dyDescent="0.25">
      <c r="Q50421" s="8"/>
    </row>
    <row r="50422" spans="17:17" x14ac:dyDescent="0.25">
      <c r="Q50422" s="8"/>
    </row>
    <row r="50423" spans="17:17" x14ac:dyDescent="0.25">
      <c r="Q50423" s="8"/>
    </row>
    <row r="50424" spans="17:17" x14ac:dyDescent="0.25">
      <c r="Q50424" s="8"/>
    </row>
    <row r="50425" spans="17:17" x14ac:dyDescent="0.25">
      <c r="Q50425" s="8"/>
    </row>
    <row r="50426" spans="17:17" x14ac:dyDescent="0.25">
      <c r="Q50426" s="8"/>
    </row>
    <row r="50427" spans="17:17" x14ac:dyDescent="0.25">
      <c r="Q50427" s="8"/>
    </row>
    <row r="50428" spans="17:17" x14ac:dyDescent="0.25">
      <c r="Q50428" s="8"/>
    </row>
    <row r="50429" spans="17:17" x14ac:dyDescent="0.25">
      <c r="Q50429" s="8"/>
    </row>
    <row r="50430" spans="17:17" x14ac:dyDescent="0.25">
      <c r="Q50430" s="8"/>
    </row>
    <row r="50431" spans="17:17" x14ac:dyDescent="0.25">
      <c r="Q50431" s="8"/>
    </row>
    <row r="50432" spans="17:17" x14ac:dyDescent="0.25">
      <c r="Q50432" s="8"/>
    </row>
    <row r="50433" spans="17:17" x14ac:dyDescent="0.25">
      <c r="Q50433" s="8"/>
    </row>
    <row r="50434" spans="17:17" x14ac:dyDescent="0.25">
      <c r="Q50434" s="8"/>
    </row>
    <row r="50435" spans="17:17" x14ac:dyDescent="0.25">
      <c r="Q50435" s="8"/>
    </row>
    <row r="50436" spans="17:17" x14ac:dyDescent="0.25">
      <c r="Q50436" s="8"/>
    </row>
    <row r="50437" spans="17:17" x14ac:dyDescent="0.25">
      <c r="Q50437" s="8"/>
    </row>
    <row r="50438" spans="17:17" x14ac:dyDescent="0.25">
      <c r="Q50438" s="8"/>
    </row>
    <row r="50439" spans="17:17" x14ac:dyDescent="0.25">
      <c r="Q50439" s="8"/>
    </row>
    <row r="50440" spans="17:17" x14ac:dyDescent="0.25">
      <c r="Q50440" s="8"/>
    </row>
    <row r="50441" spans="17:17" x14ac:dyDescent="0.25">
      <c r="Q50441" s="8"/>
    </row>
    <row r="50442" spans="17:17" x14ac:dyDescent="0.25">
      <c r="Q50442" s="8"/>
    </row>
    <row r="50443" spans="17:17" x14ac:dyDescent="0.25">
      <c r="Q50443" s="8"/>
    </row>
    <row r="50444" spans="17:17" x14ac:dyDescent="0.25">
      <c r="Q50444" s="8"/>
    </row>
    <row r="50445" spans="17:17" x14ac:dyDescent="0.25">
      <c r="Q50445" s="8"/>
    </row>
    <row r="50446" spans="17:17" x14ac:dyDescent="0.25">
      <c r="Q50446" s="8"/>
    </row>
    <row r="50447" spans="17:17" x14ac:dyDescent="0.25">
      <c r="Q50447" s="8"/>
    </row>
    <row r="50448" spans="17:17" x14ac:dyDescent="0.25">
      <c r="Q50448" s="8"/>
    </row>
    <row r="50449" spans="17:17" x14ac:dyDescent="0.25">
      <c r="Q50449" s="8"/>
    </row>
    <row r="50450" spans="17:17" x14ac:dyDescent="0.25">
      <c r="Q50450" s="8"/>
    </row>
    <row r="50451" spans="17:17" x14ac:dyDescent="0.25">
      <c r="Q50451" s="8"/>
    </row>
    <row r="50452" spans="17:17" x14ac:dyDescent="0.25">
      <c r="Q50452" s="8"/>
    </row>
    <row r="50453" spans="17:17" x14ac:dyDescent="0.25">
      <c r="Q50453" s="8"/>
    </row>
    <row r="50454" spans="17:17" x14ac:dyDescent="0.25">
      <c r="Q50454" s="8"/>
    </row>
    <row r="50455" spans="17:17" x14ac:dyDescent="0.25">
      <c r="Q50455" s="8"/>
    </row>
    <row r="50456" spans="17:17" x14ac:dyDescent="0.25">
      <c r="Q50456" s="8"/>
    </row>
    <row r="50457" spans="17:17" x14ac:dyDescent="0.25">
      <c r="Q50457" s="8"/>
    </row>
    <row r="50458" spans="17:17" x14ac:dyDescent="0.25">
      <c r="Q50458" s="8"/>
    </row>
    <row r="50459" spans="17:17" x14ac:dyDescent="0.25">
      <c r="Q50459" s="8"/>
    </row>
    <row r="50460" spans="17:17" x14ac:dyDescent="0.25">
      <c r="Q50460" s="8"/>
    </row>
    <row r="50461" spans="17:17" x14ac:dyDescent="0.25">
      <c r="Q50461" s="8"/>
    </row>
    <row r="50462" spans="17:17" x14ac:dyDescent="0.25">
      <c r="Q50462" s="8"/>
    </row>
    <row r="50463" spans="17:17" x14ac:dyDescent="0.25">
      <c r="Q50463" s="8"/>
    </row>
    <row r="50464" spans="17:17" x14ac:dyDescent="0.25">
      <c r="Q50464" s="8"/>
    </row>
    <row r="50465" spans="17:17" x14ac:dyDescent="0.25">
      <c r="Q50465" s="8"/>
    </row>
    <row r="50466" spans="17:17" x14ac:dyDescent="0.25">
      <c r="Q50466" s="8"/>
    </row>
    <row r="50467" spans="17:17" x14ac:dyDescent="0.25">
      <c r="Q50467" s="8"/>
    </row>
    <row r="50468" spans="17:17" x14ac:dyDescent="0.25">
      <c r="Q50468" s="8"/>
    </row>
    <row r="50469" spans="17:17" x14ac:dyDescent="0.25">
      <c r="Q50469" s="8"/>
    </row>
    <row r="50470" spans="17:17" x14ac:dyDescent="0.25">
      <c r="Q50470" s="8"/>
    </row>
    <row r="50471" spans="17:17" x14ac:dyDescent="0.25">
      <c r="Q50471" s="8"/>
    </row>
    <row r="50472" spans="17:17" x14ac:dyDescent="0.25">
      <c r="Q50472" s="8"/>
    </row>
    <row r="50473" spans="17:17" x14ac:dyDescent="0.25">
      <c r="Q50473" s="8"/>
    </row>
    <row r="50474" spans="17:17" x14ac:dyDescent="0.25">
      <c r="Q50474" s="8"/>
    </row>
    <row r="50475" spans="17:17" x14ac:dyDescent="0.25">
      <c r="Q50475" s="8"/>
    </row>
    <row r="50476" spans="17:17" x14ac:dyDescent="0.25">
      <c r="Q50476" s="8"/>
    </row>
    <row r="50477" spans="17:17" x14ac:dyDescent="0.25">
      <c r="Q50477" s="8"/>
    </row>
    <row r="50478" spans="17:17" x14ac:dyDescent="0.25">
      <c r="Q50478" s="8"/>
    </row>
    <row r="50479" spans="17:17" x14ac:dyDescent="0.25">
      <c r="Q50479" s="8"/>
    </row>
    <row r="50480" spans="17:17" x14ac:dyDescent="0.25">
      <c r="Q50480" s="8"/>
    </row>
    <row r="50481" spans="17:17" x14ac:dyDescent="0.25">
      <c r="Q50481" s="8"/>
    </row>
    <row r="50482" spans="17:17" x14ac:dyDescent="0.25">
      <c r="Q50482" s="8"/>
    </row>
    <row r="50483" spans="17:17" x14ac:dyDescent="0.25">
      <c r="Q50483" s="8"/>
    </row>
    <row r="50484" spans="17:17" x14ac:dyDescent="0.25">
      <c r="Q50484" s="8"/>
    </row>
    <row r="50485" spans="17:17" x14ac:dyDescent="0.25">
      <c r="Q50485" s="8"/>
    </row>
    <row r="50486" spans="17:17" x14ac:dyDescent="0.25">
      <c r="Q50486" s="8"/>
    </row>
    <row r="50487" spans="17:17" x14ac:dyDescent="0.25">
      <c r="Q50487" s="8"/>
    </row>
    <row r="50488" spans="17:17" x14ac:dyDescent="0.25">
      <c r="Q50488" s="8"/>
    </row>
    <row r="50489" spans="17:17" x14ac:dyDescent="0.25">
      <c r="Q50489" s="8"/>
    </row>
    <row r="50490" spans="17:17" x14ac:dyDescent="0.25">
      <c r="Q50490" s="8"/>
    </row>
    <row r="50491" spans="17:17" x14ac:dyDescent="0.25">
      <c r="Q50491" s="8"/>
    </row>
    <row r="50492" spans="17:17" x14ac:dyDescent="0.25">
      <c r="Q50492" s="8"/>
    </row>
    <row r="50493" spans="17:17" x14ac:dyDescent="0.25">
      <c r="Q50493" s="8"/>
    </row>
    <row r="50494" spans="17:17" x14ac:dyDescent="0.25">
      <c r="Q50494" s="8"/>
    </row>
    <row r="50495" spans="17:17" x14ac:dyDescent="0.25">
      <c r="Q50495" s="8"/>
    </row>
    <row r="50496" spans="17:17" x14ac:dyDescent="0.25">
      <c r="Q50496" s="8"/>
    </row>
    <row r="50497" spans="17:17" x14ac:dyDescent="0.25">
      <c r="Q50497" s="8"/>
    </row>
    <row r="50498" spans="17:17" x14ac:dyDescent="0.25">
      <c r="Q50498" s="8"/>
    </row>
    <row r="50499" spans="17:17" x14ac:dyDescent="0.25">
      <c r="Q50499" s="8"/>
    </row>
    <row r="50500" spans="17:17" x14ac:dyDescent="0.25">
      <c r="Q50500" s="8"/>
    </row>
    <row r="50501" spans="17:17" x14ac:dyDescent="0.25">
      <c r="Q50501" s="8"/>
    </row>
    <row r="50502" spans="17:17" x14ac:dyDescent="0.25">
      <c r="Q50502" s="8"/>
    </row>
    <row r="50503" spans="17:17" x14ac:dyDescent="0.25">
      <c r="Q50503" s="8"/>
    </row>
    <row r="50504" spans="17:17" x14ac:dyDescent="0.25">
      <c r="Q50504" s="8"/>
    </row>
    <row r="50505" spans="17:17" x14ac:dyDescent="0.25">
      <c r="Q50505" s="8"/>
    </row>
    <row r="50506" spans="17:17" x14ac:dyDescent="0.25">
      <c r="Q50506" s="8"/>
    </row>
    <row r="50507" spans="17:17" x14ac:dyDescent="0.25">
      <c r="Q50507" s="8"/>
    </row>
    <row r="50508" spans="17:17" x14ac:dyDescent="0.25">
      <c r="Q50508" s="8"/>
    </row>
    <row r="50509" spans="17:17" x14ac:dyDescent="0.25">
      <c r="Q50509" s="8"/>
    </row>
    <row r="50510" spans="17:17" x14ac:dyDescent="0.25">
      <c r="Q50510" s="8"/>
    </row>
    <row r="50511" spans="17:17" x14ac:dyDescent="0.25">
      <c r="Q50511" s="8"/>
    </row>
    <row r="50512" spans="17:17" x14ac:dyDescent="0.25">
      <c r="Q50512" s="8"/>
    </row>
    <row r="50513" spans="17:17" x14ac:dyDescent="0.25">
      <c r="Q50513" s="8"/>
    </row>
    <row r="50514" spans="17:17" x14ac:dyDescent="0.25">
      <c r="Q50514" s="8"/>
    </row>
    <row r="50515" spans="17:17" x14ac:dyDescent="0.25">
      <c r="Q50515" s="8"/>
    </row>
    <row r="50516" spans="17:17" x14ac:dyDescent="0.25">
      <c r="Q50516" s="8"/>
    </row>
    <row r="50517" spans="17:17" x14ac:dyDescent="0.25">
      <c r="Q50517" s="8"/>
    </row>
    <row r="50518" spans="17:17" x14ac:dyDescent="0.25">
      <c r="Q50518" s="8"/>
    </row>
    <row r="50519" spans="17:17" x14ac:dyDescent="0.25">
      <c r="Q50519" s="8"/>
    </row>
    <row r="50520" spans="17:17" x14ac:dyDescent="0.25">
      <c r="Q50520" s="8"/>
    </row>
    <row r="50521" spans="17:17" x14ac:dyDescent="0.25">
      <c r="Q50521" s="8"/>
    </row>
    <row r="50522" spans="17:17" x14ac:dyDescent="0.25">
      <c r="Q50522" s="8"/>
    </row>
    <row r="50523" spans="17:17" x14ac:dyDescent="0.25">
      <c r="Q50523" s="8"/>
    </row>
    <row r="50524" spans="17:17" x14ac:dyDescent="0.25">
      <c r="Q50524" s="8"/>
    </row>
    <row r="50525" spans="17:17" x14ac:dyDescent="0.25">
      <c r="Q50525" s="8"/>
    </row>
    <row r="50526" spans="17:17" x14ac:dyDescent="0.25">
      <c r="Q50526" s="8"/>
    </row>
    <row r="50527" spans="17:17" x14ac:dyDescent="0.25">
      <c r="Q50527" s="8"/>
    </row>
    <row r="50528" spans="17:17" x14ac:dyDescent="0.25">
      <c r="Q50528" s="8"/>
    </row>
    <row r="50529" spans="17:17" x14ac:dyDescent="0.25">
      <c r="Q50529" s="8"/>
    </row>
    <row r="50530" spans="17:17" x14ac:dyDescent="0.25">
      <c r="Q50530" s="8"/>
    </row>
    <row r="50531" spans="17:17" x14ac:dyDescent="0.25">
      <c r="Q50531" s="8"/>
    </row>
    <row r="50532" spans="17:17" x14ac:dyDescent="0.25">
      <c r="Q50532" s="8"/>
    </row>
    <row r="50533" spans="17:17" x14ac:dyDescent="0.25">
      <c r="Q50533" s="8"/>
    </row>
    <row r="50534" spans="17:17" x14ac:dyDescent="0.25">
      <c r="Q50534" s="8"/>
    </row>
    <row r="50535" spans="17:17" x14ac:dyDescent="0.25">
      <c r="Q50535" s="8"/>
    </row>
    <row r="50536" spans="17:17" x14ac:dyDescent="0.25">
      <c r="Q50536" s="8"/>
    </row>
    <row r="50537" spans="17:17" x14ac:dyDescent="0.25">
      <c r="Q50537" s="8"/>
    </row>
    <row r="50538" spans="17:17" x14ac:dyDescent="0.25">
      <c r="Q50538" s="8"/>
    </row>
    <row r="50539" spans="17:17" x14ac:dyDescent="0.25">
      <c r="Q50539" s="8"/>
    </row>
    <row r="50540" spans="17:17" x14ac:dyDescent="0.25">
      <c r="Q50540" s="8"/>
    </row>
    <row r="50541" spans="17:17" x14ac:dyDescent="0.25">
      <c r="Q50541" s="8"/>
    </row>
    <row r="50542" spans="17:17" x14ac:dyDescent="0.25">
      <c r="Q50542" s="8"/>
    </row>
    <row r="50543" spans="17:17" x14ac:dyDescent="0.25">
      <c r="Q50543" s="8"/>
    </row>
    <row r="50544" spans="17:17" x14ac:dyDescent="0.25">
      <c r="Q50544" s="8"/>
    </row>
    <row r="50545" spans="17:17" x14ac:dyDescent="0.25">
      <c r="Q50545" s="8"/>
    </row>
    <row r="50546" spans="17:17" x14ac:dyDescent="0.25">
      <c r="Q50546" s="8"/>
    </row>
    <row r="50547" spans="17:17" x14ac:dyDescent="0.25">
      <c r="Q50547" s="8"/>
    </row>
    <row r="50548" spans="17:17" x14ac:dyDescent="0.25">
      <c r="Q50548" s="8"/>
    </row>
    <row r="50549" spans="17:17" x14ac:dyDescent="0.25">
      <c r="Q50549" s="8"/>
    </row>
    <row r="50550" spans="17:17" x14ac:dyDescent="0.25">
      <c r="Q50550" s="8"/>
    </row>
    <row r="50551" spans="17:17" x14ac:dyDescent="0.25">
      <c r="Q50551" s="8"/>
    </row>
    <row r="50552" spans="17:17" x14ac:dyDescent="0.25">
      <c r="Q50552" s="8"/>
    </row>
    <row r="50553" spans="17:17" x14ac:dyDescent="0.25">
      <c r="Q50553" s="8"/>
    </row>
    <row r="50554" spans="17:17" x14ac:dyDescent="0.25">
      <c r="Q50554" s="8"/>
    </row>
    <row r="50555" spans="17:17" x14ac:dyDescent="0.25">
      <c r="Q50555" s="8"/>
    </row>
    <row r="50556" spans="17:17" x14ac:dyDescent="0.25">
      <c r="Q50556" s="8"/>
    </row>
    <row r="50557" spans="17:17" x14ac:dyDescent="0.25">
      <c r="Q50557" s="8"/>
    </row>
    <row r="50558" spans="17:17" x14ac:dyDescent="0.25">
      <c r="Q50558" s="8"/>
    </row>
    <row r="50559" spans="17:17" x14ac:dyDescent="0.25">
      <c r="Q50559" s="8"/>
    </row>
    <row r="50560" spans="17:17" x14ac:dyDescent="0.25">
      <c r="Q50560" s="8"/>
    </row>
    <row r="50561" spans="17:17" x14ac:dyDescent="0.25">
      <c r="Q50561" s="8"/>
    </row>
    <row r="50562" spans="17:17" x14ac:dyDescent="0.25">
      <c r="Q50562" s="8"/>
    </row>
    <row r="50563" spans="17:17" x14ac:dyDescent="0.25">
      <c r="Q50563" s="8"/>
    </row>
    <row r="50564" spans="17:17" x14ac:dyDescent="0.25">
      <c r="Q50564" s="8"/>
    </row>
    <row r="50565" spans="17:17" x14ac:dyDescent="0.25">
      <c r="Q50565" s="8"/>
    </row>
    <row r="50566" spans="17:17" x14ac:dyDescent="0.25">
      <c r="Q50566" s="8"/>
    </row>
    <row r="50567" spans="17:17" x14ac:dyDescent="0.25">
      <c r="Q50567" s="8"/>
    </row>
    <row r="50568" spans="17:17" x14ac:dyDescent="0.25">
      <c r="Q50568" s="8"/>
    </row>
    <row r="50569" spans="17:17" x14ac:dyDescent="0.25">
      <c r="Q50569" s="8"/>
    </row>
    <row r="50570" spans="17:17" x14ac:dyDescent="0.25">
      <c r="Q50570" s="8"/>
    </row>
    <row r="50571" spans="17:17" x14ac:dyDescent="0.25">
      <c r="Q50571" s="8"/>
    </row>
    <row r="50572" spans="17:17" x14ac:dyDescent="0.25">
      <c r="Q50572" s="8"/>
    </row>
    <row r="50573" spans="17:17" x14ac:dyDescent="0.25">
      <c r="Q50573" s="8"/>
    </row>
    <row r="50574" spans="17:17" x14ac:dyDescent="0.25">
      <c r="Q50574" s="8"/>
    </row>
    <row r="50575" spans="17:17" x14ac:dyDescent="0.25">
      <c r="Q50575" s="8"/>
    </row>
    <row r="50576" spans="17:17" x14ac:dyDescent="0.25">
      <c r="Q50576" s="8"/>
    </row>
    <row r="50577" spans="17:17" x14ac:dyDescent="0.25">
      <c r="Q50577" s="8"/>
    </row>
    <row r="50578" spans="17:17" x14ac:dyDescent="0.25">
      <c r="Q50578" s="8"/>
    </row>
    <row r="50579" spans="17:17" x14ac:dyDescent="0.25">
      <c r="Q50579" s="8"/>
    </row>
    <row r="50580" spans="17:17" x14ac:dyDescent="0.25">
      <c r="Q50580" s="8"/>
    </row>
    <row r="50581" spans="17:17" x14ac:dyDescent="0.25">
      <c r="Q50581" s="8"/>
    </row>
    <row r="50582" spans="17:17" x14ac:dyDescent="0.25">
      <c r="Q50582" s="8"/>
    </row>
    <row r="50583" spans="17:17" x14ac:dyDescent="0.25">
      <c r="Q50583" s="8"/>
    </row>
    <row r="50584" spans="17:17" x14ac:dyDescent="0.25">
      <c r="Q50584" s="8"/>
    </row>
    <row r="50585" spans="17:17" x14ac:dyDescent="0.25">
      <c r="Q50585" s="8"/>
    </row>
    <row r="50586" spans="17:17" x14ac:dyDescent="0.25">
      <c r="Q50586" s="8"/>
    </row>
    <row r="50587" spans="17:17" x14ac:dyDescent="0.25">
      <c r="Q50587" s="8"/>
    </row>
    <row r="50588" spans="17:17" x14ac:dyDescent="0.25">
      <c r="Q50588" s="8"/>
    </row>
    <row r="50589" spans="17:17" x14ac:dyDescent="0.25">
      <c r="Q50589" s="8"/>
    </row>
    <row r="50590" spans="17:17" x14ac:dyDescent="0.25">
      <c r="Q50590" s="8"/>
    </row>
    <row r="50591" spans="17:17" x14ac:dyDescent="0.25">
      <c r="Q50591" s="8"/>
    </row>
    <row r="50592" spans="17:17" x14ac:dyDescent="0.25">
      <c r="Q50592" s="8"/>
    </row>
    <row r="50593" spans="17:17" x14ac:dyDescent="0.25">
      <c r="Q50593" s="8"/>
    </row>
    <row r="50594" spans="17:17" x14ac:dyDescent="0.25">
      <c r="Q50594" s="8"/>
    </row>
    <row r="50595" spans="17:17" x14ac:dyDescent="0.25">
      <c r="Q50595" s="8"/>
    </row>
    <row r="50596" spans="17:17" x14ac:dyDescent="0.25">
      <c r="Q50596" s="8"/>
    </row>
    <row r="50597" spans="17:17" x14ac:dyDescent="0.25">
      <c r="Q50597" s="8"/>
    </row>
    <row r="50598" spans="17:17" x14ac:dyDescent="0.25">
      <c r="Q50598" s="8"/>
    </row>
    <row r="50599" spans="17:17" x14ac:dyDescent="0.25">
      <c r="Q50599" s="8"/>
    </row>
    <row r="50600" spans="17:17" x14ac:dyDescent="0.25">
      <c r="Q50600" s="8"/>
    </row>
    <row r="50601" spans="17:17" x14ac:dyDescent="0.25">
      <c r="Q50601" s="8"/>
    </row>
    <row r="50602" spans="17:17" x14ac:dyDescent="0.25">
      <c r="Q50602" s="8"/>
    </row>
    <row r="50603" spans="17:17" x14ac:dyDescent="0.25">
      <c r="Q50603" s="8"/>
    </row>
    <row r="50604" spans="17:17" x14ac:dyDescent="0.25">
      <c r="Q50604" s="8"/>
    </row>
    <row r="50605" spans="17:17" x14ac:dyDescent="0.25">
      <c r="Q50605" s="8"/>
    </row>
    <row r="50606" spans="17:17" x14ac:dyDescent="0.25">
      <c r="Q50606" s="8"/>
    </row>
    <row r="50607" spans="17:17" x14ac:dyDescent="0.25">
      <c r="Q50607" s="8"/>
    </row>
    <row r="50608" spans="17:17" x14ac:dyDescent="0.25">
      <c r="Q50608" s="8"/>
    </row>
    <row r="50609" spans="17:17" x14ac:dyDescent="0.25">
      <c r="Q50609" s="8"/>
    </row>
    <row r="50610" spans="17:17" x14ac:dyDescent="0.25">
      <c r="Q50610" s="8"/>
    </row>
    <row r="50611" spans="17:17" x14ac:dyDescent="0.25">
      <c r="Q50611" s="8"/>
    </row>
    <row r="50612" spans="17:17" x14ac:dyDescent="0.25">
      <c r="Q50612" s="8"/>
    </row>
    <row r="50613" spans="17:17" x14ac:dyDescent="0.25">
      <c r="Q50613" s="8"/>
    </row>
    <row r="50614" spans="17:17" x14ac:dyDescent="0.25">
      <c r="Q50614" s="8"/>
    </row>
    <row r="50615" spans="17:17" x14ac:dyDescent="0.25">
      <c r="Q50615" s="8"/>
    </row>
    <row r="50616" spans="17:17" x14ac:dyDescent="0.25">
      <c r="Q50616" s="8"/>
    </row>
    <row r="50617" spans="17:17" x14ac:dyDescent="0.25">
      <c r="Q50617" s="8"/>
    </row>
    <row r="50618" spans="17:17" x14ac:dyDescent="0.25">
      <c r="Q50618" s="8"/>
    </row>
    <row r="50619" spans="17:17" x14ac:dyDescent="0.25">
      <c r="Q50619" s="8"/>
    </row>
    <row r="50620" spans="17:17" x14ac:dyDescent="0.25">
      <c r="Q50620" s="8"/>
    </row>
    <row r="50621" spans="17:17" x14ac:dyDescent="0.25">
      <c r="Q50621" s="8"/>
    </row>
    <row r="50622" spans="17:17" x14ac:dyDescent="0.25">
      <c r="Q50622" s="8"/>
    </row>
    <row r="50623" spans="17:17" x14ac:dyDescent="0.25">
      <c r="Q50623" s="8"/>
    </row>
    <row r="50624" spans="17:17" x14ac:dyDescent="0.25">
      <c r="Q50624" s="8"/>
    </row>
    <row r="50625" spans="17:17" x14ac:dyDescent="0.25">
      <c r="Q50625" s="8"/>
    </row>
    <row r="50626" spans="17:17" x14ac:dyDescent="0.25">
      <c r="Q50626" s="8"/>
    </row>
    <row r="50627" spans="17:17" x14ac:dyDescent="0.25">
      <c r="Q50627" s="8"/>
    </row>
    <row r="50628" spans="17:17" x14ac:dyDescent="0.25">
      <c r="Q50628" s="8"/>
    </row>
    <row r="50629" spans="17:17" x14ac:dyDescent="0.25">
      <c r="Q50629" s="8"/>
    </row>
    <row r="50630" spans="17:17" x14ac:dyDescent="0.25">
      <c r="Q50630" s="8"/>
    </row>
    <row r="50631" spans="17:17" x14ac:dyDescent="0.25">
      <c r="Q50631" s="8"/>
    </row>
    <row r="50632" spans="17:17" x14ac:dyDescent="0.25">
      <c r="Q50632" s="8"/>
    </row>
    <row r="50633" spans="17:17" x14ac:dyDescent="0.25">
      <c r="Q50633" s="8"/>
    </row>
    <row r="50634" spans="17:17" x14ac:dyDescent="0.25">
      <c r="Q50634" s="8"/>
    </row>
    <row r="50635" spans="17:17" x14ac:dyDescent="0.25">
      <c r="Q50635" s="8"/>
    </row>
    <row r="50636" spans="17:17" x14ac:dyDescent="0.25">
      <c r="Q50636" s="8"/>
    </row>
    <row r="50637" spans="17:17" x14ac:dyDescent="0.25">
      <c r="Q50637" s="8"/>
    </row>
    <row r="50638" spans="17:17" x14ac:dyDescent="0.25">
      <c r="Q50638" s="8"/>
    </row>
    <row r="50639" spans="17:17" x14ac:dyDescent="0.25">
      <c r="Q50639" s="8"/>
    </row>
    <row r="50640" spans="17:17" x14ac:dyDescent="0.25">
      <c r="Q50640" s="8"/>
    </row>
    <row r="50641" spans="17:17" x14ac:dyDescent="0.25">
      <c r="Q50641" s="8"/>
    </row>
    <row r="50642" spans="17:17" x14ac:dyDescent="0.25">
      <c r="Q50642" s="8"/>
    </row>
    <row r="50643" spans="17:17" x14ac:dyDescent="0.25">
      <c r="Q50643" s="8"/>
    </row>
    <row r="50644" spans="17:17" x14ac:dyDescent="0.25">
      <c r="Q50644" s="8"/>
    </row>
    <row r="50645" spans="17:17" x14ac:dyDescent="0.25">
      <c r="Q50645" s="8"/>
    </row>
    <row r="50646" spans="17:17" x14ac:dyDescent="0.25">
      <c r="Q50646" s="8"/>
    </row>
    <row r="50647" spans="17:17" x14ac:dyDescent="0.25">
      <c r="Q50647" s="8"/>
    </row>
    <row r="50648" spans="17:17" x14ac:dyDescent="0.25">
      <c r="Q50648" s="8"/>
    </row>
    <row r="50649" spans="17:17" x14ac:dyDescent="0.25">
      <c r="Q50649" s="8"/>
    </row>
    <row r="50650" spans="17:17" x14ac:dyDescent="0.25">
      <c r="Q50650" s="8"/>
    </row>
    <row r="50651" spans="17:17" x14ac:dyDescent="0.25">
      <c r="Q50651" s="8"/>
    </row>
    <row r="50652" spans="17:17" x14ac:dyDescent="0.25">
      <c r="Q50652" s="8"/>
    </row>
    <row r="50653" spans="17:17" x14ac:dyDescent="0.25">
      <c r="Q50653" s="8"/>
    </row>
    <row r="50654" spans="17:17" x14ac:dyDescent="0.25">
      <c r="Q50654" s="8"/>
    </row>
    <row r="50655" spans="17:17" x14ac:dyDescent="0.25">
      <c r="Q50655" s="8"/>
    </row>
    <row r="50656" spans="17:17" x14ac:dyDescent="0.25">
      <c r="Q50656" s="8"/>
    </row>
    <row r="50657" spans="17:17" x14ac:dyDescent="0.25">
      <c r="Q50657" s="8"/>
    </row>
    <row r="50658" spans="17:17" x14ac:dyDescent="0.25">
      <c r="Q50658" s="8"/>
    </row>
    <row r="50659" spans="17:17" x14ac:dyDescent="0.25">
      <c r="Q50659" s="8"/>
    </row>
    <row r="50660" spans="17:17" x14ac:dyDescent="0.25">
      <c r="Q50660" s="8"/>
    </row>
    <row r="50661" spans="17:17" x14ac:dyDescent="0.25">
      <c r="Q50661" s="8"/>
    </row>
    <row r="50662" spans="17:17" x14ac:dyDescent="0.25">
      <c r="Q50662" s="8"/>
    </row>
    <row r="50663" spans="17:17" x14ac:dyDescent="0.25">
      <c r="Q50663" s="8"/>
    </row>
    <row r="50664" spans="17:17" x14ac:dyDescent="0.25">
      <c r="Q50664" s="8"/>
    </row>
    <row r="50665" spans="17:17" x14ac:dyDescent="0.25">
      <c r="Q50665" s="8"/>
    </row>
    <row r="50666" spans="17:17" x14ac:dyDescent="0.25">
      <c r="Q50666" s="8"/>
    </row>
    <row r="50667" spans="17:17" x14ac:dyDescent="0.25">
      <c r="Q50667" s="8"/>
    </row>
    <row r="50668" spans="17:17" x14ac:dyDescent="0.25">
      <c r="Q50668" s="8"/>
    </row>
    <row r="50669" spans="17:17" x14ac:dyDescent="0.25">
      <c r="Q50669" s="8"/>
    </row>
    <row r="50670" spans="17:17" x14ac:dyDescent="0.25">
      <c r="Q50670" s="8"/>
    </row>
    <row r="50671" spans="17:17" x14ac:dyDescent="0.25">
      <c r="Q50671" s="8"/>
    </row>
    <row r="50672" spans="17:17" x14ac:dyDescent="0.25">
      <c r="Q50672" s="8"/>
    </row>
    <row r="50673" spans="17:17" x14ac:dyDescent="0.25">
      <c r="Q50673" s="8"/>
    </row>
    <row r="50674" spans="17:17" x14ac:dyDescent="0.25">
      <c r="Q50674" s="8"/>
    </row>
    <row r="50675" spans="17:17" x14ac:dyDescent="0.25">
      <c r="Q50675" s="8"/>
    </row>
    <row r="50676" spans="17:17" x14ac:dyDescent="0.25">
      <c r="Q50676" s="8"/>
    </row>
    <row r="50677" spans="17:17" x14ac:dyDescent="0.25">
      <c r="Q50677" s="8"/>
    </row>
    <row r="50678" spans="17:17" x14ac:dyDescent="0.25">
      <c r="Q50678" s="8"/>
    </row>
    <row r="50679" spans="17:17" x14ac:dyDescent="0.25">
      <c r="Q50679" s="8"/>
    </row>
    <row r="50680" spans="17:17" x14ac:dyDescent="0.25">
      <c r="Q50680" s="8"/>
    </row>
    <row r="50681" spans="17:17" x14ac:dyDescent="0.25">
      <c r="Q50681" s="8"/>
    </row>
    <row r="50682" spans="17:17" x14ac:dyDescent="0.25">
      <c r="Q50682" s="8"/>
    </row>
    <row r="50683" spans="17:17" x14ac:dyDescent="0.25">
      <c r="Q50683" s="8"/>
    </row>
    <row r="50684" spans="17:17" x14ac:dyDescent="0.25">
      <c r="Q50684" s="8"/>
    </row>
    <row r="50685" spans="17:17" x14ac:dyDescent="0.25">
      <c r="Q50685" s="8"/>
    </row>
    <row r="50686" spans="17:17" x14ac:dyDescent="0.25">
      <c r="Q50686" s="8"/>
    </row>
    <row r="50687" spans="17:17" x14ac:dyDescent="0.25">
      <c r="Q50687" s="8"/>
    </row>
    <row r="50688" spans="17:17" x14ac:dyDescent="0.25">
      <c r="Q50688" s="8"/>
    </row>
    <row r="50689" spans="17:17" x14ac:dyDescent="0.25">
      <c r="Q50689" s="8"/>
    </row>
    <row r="50690" spans="17:17" x14ac:dyDescent="0.25">
      <c r="Q50690" s="8"/>
    </row>
    <row r="50691" spans="17:17" x14ac:dyDescent="0.25">
      <c r="Q50691" s="8"/>
    </row>
    <row r="50692" spans="17:17" x14ac:dyDescent="0.25">
      <c r="Q50692" s="8"/>
    </row>
    <row r="50693" spans="17:17" x14ac:dyDescent="0.25">
      <c r="Q50693" s="8"/>
    </row>
    <row r="50694" spans="17:17" x14ac:dyDescent="0.25">
      <c r="Q50694" s="8"/>
    </row>
    <row r="50695" spans="17:17" x14ac:dyDescent="0.25">
      <c r="Q50695" s="8"/>
    </row>
    <row r="50696" spans="17:17" x14ac:dyDescent="0.25">
      <c r="Q50696" s="8"/>
    </row>
    <row r="50697" spans="17:17" x14ac:dyDescent="0.25">
      <c r="Q50697" s="8"/>
    </row>
    <row r="50698" spans="17:17" x14ac:dyDescent="0.25">
      <c r="Q50698" s="8"/>
    </row>
    <row r="50699" spans="17:17" x14ac:dyDescent="0.25">
      <c r="Q50699" s="8"/>
    </row>
    <row r="50700" spans="17:17" x14ac:dyDescent="0.25">
      <c r="Q50700" s="8"/>
    </row>
    <row r="50701" spans="17:17" x14ac:dyDescent="0.25">
      <c r="Q50701" s="8"/>
    </row>
    <row r="50702" spans="17:17" x14ac:dyDescent="0.25">
      <c r="Q50702" s="8"/>
    </row>
    <row r="50703" spans="17:17" x14ac:dyDescent="0.25">
      <c r="Q50703" s="8"/>
    </row>
    <row r="50704" spans="17:17" x14ac:dyDescent="0.25">
      <c r="Q50704" s="8"/>
    </row>
    <row r="50705" spans="17:17" x14ac:dyDescent="0.25">
      <c r="Q50705" s="8"/>
    </row>
    <row r="50706" spans="17:17" x14ac:dyDescent="0.25">
      <c r="Q50706" s="8"/>
    </row>
    <row r="50707" spans="17:17" x14ac:dyDescent="0.25">
      <c r="Q50707" s="8"/>
    </row>
    <row r="50708" spans="17:17" x14ac:dyDescent="0.25">
      <c r="Q50708" s="8"/>
    </row>
    <row r="50709" spans="17:17" x14ac:dyDescent="0.25">
      <c r="Q50709" s="8"/>
    </row>
    <row r="50710" spans="17:17" x14ac:dyDescent="0.25">
      <c r="Q50710" s="8"/>
    </row>
    <row r="50711" spans="17:17" x14ac:dyDescent="0.25">
      <c r="Q50711" s="8"/>
    </row>
    <row r="50712" spans="17:17" x14ac:dyDescent="0.25">
      <c r="Q50712" s="8"/>
    </row>
    <row r="50713" spans="17:17" x14ac:dyDescent="0.25">
      <c r="Q50713" s="8"/>
    </row>
    <row r="50714" spans="17:17" x14ac:dyDescent="0.25">
      <c r="Q50714" s="8"/>
    </row>
    <row r="50715" spans="17:17" x14ac:dyDescent="0.25">
      <c r="Q50715" s="8"/>
    </row>
    <row r="50716" spans="17:17" x14ac:dyDescent="0.25">
      <c r="Q50716" s="8"/>
    </row>
    <row r="50717" spans="17:17" x14ac:dyDescent="0.25">
      <c r="Q50717" s="8"/>
    </row>
    <row r="50718" spans="17:17" x14ac:dyDescent="0.25">
      <c r="Q50718" s="8"/>
    </row>
    <row r="50719" spans="17:17" x14ac:dyDescent="0.25">
      <c r="Q50719" s="8"/>
    </row>
    <row r="50720" spans="17:17" x14ac:dyDescent="0.25">
      <c r="Q50720" s="8"/>
    </row>
    <row r="50721" spans="17:17" x14ac:dyDescent="0.25">
      <c r="Q50721" s="8"/>
    </row>
    <row r="50722" spans="17:17" x14ac:dyDescent="0.25">
      <c r="Q50722" s="8"/>
    </row>
    <row r="50723" spans="17:17" x14ac:dyDescent="0.25">
      <c r="Q50723" s="8"/>
    </row>
    <row r="50724" spans="17:17" x14ac:dyDescent="0.25">
      <c r="Q50724" s="8"/>
    </row>
    <row r="50725" spans="17:17" x14ac:dyDescent="0.25">
      <c r="Q50725" s="8"/>
    </row>
    <row r="50726" spans="17:17" x14ac:dyDescent="0.25">
      <c r="Q50726" s="8"/>
    </row>
    <row r="50727" spans="17:17" x14ac:dyDescent="0.25">
      <c r="Q50727" s="8"/>
    </row>
    <row r="50728" spans="17:17" x14ac:dyDescent="0.25">
      <c r="Q50728" s="8"/>
    </row>
    <row r="50729" spans="17:17" x14ac:dyDescent="0.25">
      <c r="Q50729" s="8"/>
    </row>
    <row r="50730" spans="17:17" x14ac:dyDescent="0.25">
      <c r="Q50730" s="8"/>
    </row>
    <row r="50731" spans="17:17" x14ac:dyDescent="0.25">
      <c r="Q50731" s="8"/>
    </row>
    <row r="50732" spans="17:17" x14ac:dyDescent="0.25">
      <c r="Q50732" s="8"/>
    </row>
    <row r="50733" spans="17:17" x14ac:dyDescent="0.25">
      <c r="Q50733" s="8"/>
    </row>
    <row r="50734" spans="17:17" x14ac:dyDescent="0.25">
      <c r="Q50734" s="8"/>
    </row>
    <row r="50735" spans="17:17" x14ac:dyDescent="0.25">
      <c r="Q50735" s="8"/>
    </row>
    <row r="50736" spans="17:17" x14ac:dyDescent="0.25">
      <c r="Q50736" s="8"/>
    </row>
    <row r="50737" spans="17:17" x14ac:dyDescent="0.25">
      <c r="Q50737" s="8"/>
    </row>
    <row r="50738" spans="17:17" x14ac:dyDescent="0.25">
      <c r="Q50738" s="8"/>
    </row>
    <row r="50739" spans="17:17" x14ac:dyDescent="0.25">
      <c r="Q50739" s="8"/>
    </row>
    <row r="50740" spans="17:17" x14ac:dyDescent="0.25">
      <c r="Q50740" s="8"/>
    </row>
    <row r="50741" spans="17:17" x14ac:dyDescent="0.25">
      <c r="Q50741" s="8"/>
    </row>
    <row r="50742" spans="17:17" x14ac:dyDescent="0.25">
      <c r="Q50742" s="8"/>
    </row>
    <row r="50743" spans="17:17" x14ac:dyDescent="0.25">
      <c r="Q50743" s="8"/>
    </row>
    <row r="50744" spans="17:17" x14ac:dyDescent="0.25">
      <c r="Q50744" s="8"/>
    </row>
    <row r="50745" spans="17:17" x14ac:dyDescent="0.25">
      <c r="Q50745" s="8"/>
    </row>
    <row r="50746" spans="17:17" x14ac:dyDescent="0.25">
      <c r="Q50746" s="8"/>
    </row>
    <row r="50747" spans="17:17" x14ac:dyDescent="0.25">
      <c r="Q50747" s="8"/>
    </row>
    <row r="50748" spans="17:17" x14ac:dyDescent="0.25">
      <c r="Q50748" s="8"/>
    </row>
    <row r="50749" spans="17:17" x14ac:dyDescent="0.25">
      <c r="Q50749" s="8"/>
    </row>
    <row r="50750" spans="17:17" x14ac:dyDescent="0.25">
      <c r="Q50750" s="8"/>
    </row>
    <row r="50751" spans="17:17" x14ac:dyDescent="0.25">
      <c r="Q50751" s="8"/>
    </row>
    <row r="50752" spans="17:17" x14ac:dyDescent="0.25">
      <c r="Q50752" s="8"/>
    </row>
    <row r="50753" spans="17:17" x14ac:dyDescent="0.25">
      <c r="Q50753" s="8"/>
    </row>
    <row r="50754" spans="17:17" x14ac:dyDescent="0.25">
      <c r="Q50754" s="8"/>
    </row>
    <row r="50755" spans="17:17" x14ac:dyDescent="0.25">
      <c r="Q50755" s="8"/>
    </row>
    <row r="50756" spans="17:17" x14ac:dyDescent="0.25">
      <c r="Q50756" s="8"/>
    </row>
    <row r="50757" spans="17:17" x14ac:dyDescent="0.25">
      <c r="Q50757" s="8"/>
    </row>
    <row r="50758" spans="17:17" x14ac:dyDescent="0.25">
      <c r="Q50758" s="8"/>
    </row>
    <row r="50759" spans="17:17" x14ac:dyDescent="0.25">
      <c r="Q50759" s="8"/>
    </row>
    <row r="50760" spans="17:17" x14ac:dyDescent="0.25">
      <c r="Q50760" s="8"/>
    </row>
    <row r="50761" spans="17:17" x14ac:dyDescent="0.25">
      <c r="Q50761" s="8"/>
    </row>
    <row r="50762" spans="17:17" x14ac:dyDescent="0.25">
      <c r="Q50762" s="8"/>
    </row>
    <row r="50763" spans="17:17" x14ac:dyDescent="0.25">
      <c r="Q50763" s="8"/>
    </row>
    <row r="50764" spans="17:17" x14ac:dyDescent="0.25">
      <c r="Q50764" s="8"/>
    </row>
    <row r="50765" spans="17:17" x14ac:dyDescent="0.25">
      <c r="Q50765" s="8"/>
    </row>
    <row r="50766" spans="17:17" x14ac:dyDescent="0.25">
      <c r="Q50766" s="8"/>
    </row>
    <row r="50767" spans="17:17" x14ac:dyDescent="0.25">
      <c r="Q50767" s="8"/>
    </row>
    <row r="50768" spans="17:17" x14ac:dyDescent="0.25">
      <c r="Q50768" s="8"/>
    </row>
    <row r="50769" spans="17:17" x14ac:dyDescent="0.25">
      <c r="Q50769" s="8"/>
    </row>
    <row r="50770" spans="17:17" x14ac:dyDescent="0.25">
      <c r="Q50770" s="8"/>
    </row>
    <row r="50771" spans="17:17" x14ac:dyDescent="0.25">
      <c r="Q50771" s="8"/>
    </row>
    <row r="50772" spans="17:17" x14ac:dyDescent="0.25">
      <c r="Q50772" s="8"/>
    </row>
    <row r="50773" spans="17:17" x14ac:dyDescent="0.25">
      <c r="Q50773" s="8"/>
    </row>
    <row r="50774" spans="17:17" x14ac:dyDescent="0.25">
      <c r="Q50774" s="8"/>
    </row>
    <row r="50775" spans="17:17" x14ac:dyDescent="0.25">
      <c r="Q50775" s="8"/>
    </row>
    <row r="50776" spans="17:17" x14ac:dyDescent="0.25">
      <c r="Q50776" s="8"/>
    </row>
    <row r="50777" spans="17:17" x14ac:dyDescent="0.25">
      <c r="Q50777" s="8"/>
    </row>
    <row r="50778" spans="17:17" x14ac:dyDescent="0.25">
      <c r="Q50778" s="8"/>
    </row>
    <row r="50779" spans="17:17" x14ac:dyDescent="0.25">
      <c r="Q50779" s="8"/>
    </row>
    <row r="50780" spans="17:17" x14ac:dyDescent="0.25">
      <c r="Q50780" s="8"/>
    </row>
    <row r="50781" spans="17:17" x14ac:dyDescent="0.25">
      <c r="Q50781" s="8"/>
    </row>
    <row r="50782" spans="17:17" x14ac:dyDescent="0.25">
      <c r="Q50782" s="8"/>
    </row>
    <row r="50783" spans="17:17" x14ac:dyDescent="0.25">
      <c r="Q50783" s="8"/>
    </row>
    <row r="50784" spans="17:17" x14ac:dyDescent="0.25">
      <c r="Q50784" s="8"/>
    </row>
    <row r="50785" spans="17:17" x14ac:dyDescent="0.25">
      <c r="Q50785" s="8"/>
    </row>
    <row r="50786" spans="17:17" x14ac:dyDescent="0.25">
      <c r="Q50786" s="8"/>
    </row>
    <row r="50787" spans="17:17" x14ac:dyDescent="0.25">
      <c r="Q50787" s="8"/>
    </row>
    <row r="50788" spans="17:17" x14ac:dyDescent="0.25">
      <c r="Q50788" s="8"/>
    </row>
    <row r="50789" spans="17:17" x14ac:dyDescent="0.25">
      <c r="Q50789" s="8"/>
    </row>
    <row r="50790" spans="17:17" x14ac:dyDescent="0.25">
      <c r="Q50790" s="8"/>
    </row>
    <row r="50791" spans="17:17" x14ac:dyDescent="0.25">
      <c r="Q50791" s="8"/>
    </row>
    <row r="50792" spans="17:17" x14ac:dyDescent="0.25">
      <c r="Q50792" s="8"/>
    </row>
    <row r="50793" spans="17:17" x14ac:dyDescent="0.25">
      <c r="Q50793" s="8"/>
    </row>
    <row r="50794" spans="17:17" x14ac:dyDescent="0.25">
      <c r="Q50794" s="8"/>
    </row>
    <row r="50795" spans="17:17" x14ac:dyDescent="0.25">
      <c r="Q50795" s="8"/>
    </row>
    <row r="50796" spans="17:17" x14ac:dyDescent="0.25">
      <c r="Q50796" s="8"/>
    </row>
    <row r="50797" spans="17:17" x14ac:dyDescent="0.25">
      <c r="Q50797" s="8"/>
    </row>
    <row r="50798" spans="17:17" x14ac:dyDescent="0.25">
      <c r="Q50798" s="8"/>
    </row>
    <row r="50799" spans="17:17" x14ac:dyDescent="0.25">
      <c r="Q50799" s="8"/>
    </row>
    <row r="50800" spans="17:17" x14ac:dyDescent="0.25">
      <c r="Q50800" s="8"/>
    </row>
    <row r="50801" spans="17:17" x14ac:dyDescent="0.25">
      <c r="Q50801" s="8"/>
    </row>
    <row r="50802" spans="17:17" x14ac:dyDescent="0.25">
      <c r="Q50802" s="8"/>
    </row>
    <row r="50803" spans="17:17" x14ac:dyDescent="0.25">
      <c r="Q50803" s="8"/>
    </row>
    <row r="50804" spans="17:17" x14ac:dyDescent="0.25">
      <c r="Q50804" s="8"/>
    </row>
    <row r="50805" spans="17:17" x14ac:dyDescent="0.25">
      <c r="Q50805" s="8"/>
    </row>
    <row r="50806" spans="17:17" x14ac:dyDescent="0.25">
      <c r="Q50806" s="8"/>
    </row>
    <row r="50807" spans="17:17" x14ac:dyDescent="0.25">
      <c r="Q50807" s="8"/>
    </row>
    <row r="50808" spans="17:17" x14ac:dyDescent="0.25">
      <c r="Q50808" s="8"/>
    </row>
    <row r="50809" spans="17:17" x14ac:dyDescent="0.25">
      <c r="Q50809" s="8"/>
    </row>
    <row r="50810" spans="17:17" x14ac:dyDescent="0.25">
      <c r="Q50810" s="8"/>
    </row>
    <row r="50811" spans="17:17" x14ac:dyDescent="0.25">
      <c r="Q50811" s="8"/>
    </row>
    <row r="50812" spans="17:17" x14ac:dyDescent="0.25">
      <c r="Q50812" s="8"/>
    </row>
    <row r="50813" spans="17:17" x14ac:dyDescent="0.25">
      <c r="Q50813" s="8"/>
    </row>
    <row r="50814" spans="17:17" x14ac:dyDescent="0.25">
      <c r="Q50814" s="8"/>
    </row>
    <row r="50815" spans="17:17" x14ac:dyDescent="0.25">
      <c r="Q50815" s="8"/>
    </row>
    <row r="50816" spans="17:17" x14ac:dyDescent="0.25">
      <c r="Q50816" s="8"/>
    </row>
    <row r="50817" spans="17:17" x14ac:dyDescent="0.25">
      <c r="Q50817" s="8"/>
    </row>
    <row r="50818" spans="17:17" x14ac:dyDescent="0.25">
      <c r="Q50818" s="8"/>
    </row>
    <row r="50819" spans="17:17" x14ac:dyDescent="0.25">
      <c r="Q50819" s="8"/>
    </row>
    <row r="50820" spans="17:17" x14ac:dyDescent="0.25">
      <c r="Q50820" s="8"/>
    </row>
    <row r="50821" spans="17:17" x14ac:dyDescent="0.25">
      <c r="Q50821" s="8"/>
    </row>
    <row r="50822" spans="17:17" x14ac:dyDescent="0.25">
      <c r="Q50822" s="8"/>
    </row>
    <row r="50823" spans="17:17" x14ac:dyDescent="0.25">
      <c r="Q50823" s="8"/>
    </row>
    <row r="50824" spans="17:17" x14ac:dyDescent="0.25">
      <c r="Q50824" s="8"/>
    </row>
    <row r="50825" spans="17:17" x14ac:dyDescent="0.25">
      <c r="Q50825" s="8"/>
    </row>
    <row r="50826" spans="17:17" x14ac:dyDescent="0.25">
      <c r="Q50826" s="8"/>
    </row>
    <row r="50827" spans="17:17" x14ac:dyDescent="0.25">
      <c r="Q50827" s="8"/>
    </row>
    <row r="50828" spans="17:17" x14ac:dyDescent="0.25">
      <c r="Q50828" s="8"/>
    </row>
    <row r="50829" spans="17:17" x14ac:dyDescent="0.25">
      <c r="Q50829" s="8"/>
    </row>
    <row r="50830" spans="17:17" x14ac:dyDescent="0.25">
      <c r="Q50830" s="8"/>
    </row>
    <row r="50831" spans="17:17" x14ac:dyDescent="0.25">
      <c r="Q50831" s="8"/>
    </row>
    <row r="50832" spans="17:17" x14ac:dyDescent="0.25">
      <c r="Q50832" s="8"/>
    </row>
    <row r="50833" spans="17:17" x14ac:dyDescent="0.25">
      <c r="Q50833" s="8"/>
    </row>
    <row r="50834" spans="17:17" x14ac:dyDescent="0.25">
      <c r="Q50834" s="8"/>
    </row>
    <row r="50835" spans="17:17" x14ac:dyDescent="0.25">
      <c r="Q50835" s="8"/>
    </row>
    <row r="50836" spans="17:17" x14ac:dyDescent="0.25">
      <c r="Q50836" s="8"/>
    </row>
    <row r="50837" spans="17:17" x14ac:dyDescent="0.25">
      <c r="Q50837" s="8"/>
    </row>
    <row r="50838" spans="17:17" x14ac:dyDescent="0.25">
      <c r="Q50838" s="8"/>
    </row>
    <row r="50839" spans="17:17" x14ac:dyDescent="0.25">
      <c r="Q50839" s="8"/>
    </row>
    <row r="50840" spans="17:17" x14ac:dyDescent="0.25">
      <c r="Q50840" s="8"/>
    </row>
    <row r="50841" spans="17:17" x14ac:dyDescent="0.25">
      <c r="Q50841" s="8"/>
    </row>
    <row r="50842" spans="17:17" x14ac:dyDescent="0.25">
      <c r="Q50842" s="8"/>
    </row>
    <row r="50843" spans="17:17" x14ac:dyDescent="0.25">
      <c r="Q50843" s="8"/>
    </row>
    <row r="50844" spans="17:17" x14ac:dyDescent="0.25">
      <c r="Q50844" s="8"/>
    </row>
    <row r="50845" spans="17:17" x14ac:dyDescent="0.25">
      <c r="Q50845" s="8"/>
    </row>
    <row r="50846" spans="17:17" x14ac:dyDescent="0.25">
      <c r="Q50846" s="8"/>
    </row>
    <row r="50847" spans="17:17" x14ac:dyDescent="0.25">
      <c r="Q50847" s="8"/>
    </row>
    <row r="50848" spans="17:17" x14ac:dyDescent="0.25">
      <c r="Q50848" s="8"/>
    </row>
    <row r="50849" spans="17:17" x14ac:dyDescent="0.25">
      <c r="Q50849" s="8"/>
    </row>
    <row r="50850" spans="17:17" x14ac:dyDescent="0.25">
      <c r="Q50850" s="8"/>
    </row>
    <row r="50851" spans="17:17" x14ac:dyDescent="0.25">
      <c r="Q50851" s="8"/>
    </row>
    <row r="50852" spans="17:17" x14ac:dyDescent="0.25">
      <c r="Q50852" s="8"/>
    </row>
    <row r="50853" spans="17:17" x14ac:dyDescent="0.25">
      <c r="Q50853" s="8"/>
    </row>
    <row r="50854" spans="17:17" x14ac:dyDescent="0.25">
      <c r="Q50854" s="8"/>
    </row>
    <row r="50855" spans="17:17" x14ac:dyDescent="0.25">
      <c r="Q50855" s="8"/>
    </row>
    <row r="50856" spans="17:17" x14ac:dyDescent="0.25">
      <c r="Q50856" s="8"/>
    </row>
    <row r="50857" spans="17:17" x14ac:dyDescent="0.25">
      <c r="Q50857" s="8"/>
    </row>
    <row r="50858" spans="17:17" x14ac:dyDescent="0.25">
      <c r="Q50858" s="8"/>
    </row>
    <row r="50859" spans="17:17" x14ac:dyDescent="0.25">
      <c r="Q50859" s="8"/>
    </row>
    <row r="50860" spans="17:17" x14ac:dyDescent="0.25">
      <c r="Q50860" s="8"/>
    </row>
    <row r="50861" spans="17:17" x14ac:dyDescent="0.25">
      <c r="Q50861" s="8"/>
    </row>
    <row r="50862" spans="17:17" x14ac:dyDescent="0.25">
      <c r="Q50862" s="8"/>
    </row>
    <row r="50863" spans="17:17" x14ac:dyDescent="0.25">
      <c r="Q50863" s="8"/>
    </row>
    <row r="50864" spans="17:17" x14ac:dyDescent="0.25">
      <c r="Q50864" s="8"/>
    </row>
    <row r="50865" spans="17:17" x14ac:dyDescent="0.25">
      <c r="Q50865" s="8"/>
    </row>
    <row r="50866" spans="17:17" x14ac:dyDescent="0.25">
      <c r="Q50866" s="8"/>
    </row>
    <row r="50867" spans="17:17" x14ac:dyDescent="0.25">
      <c r="Q50867" s="8"/>
    </row>
    <row r="50868" spans="17:17" x14ac:dyDescent="0.25">
      <c r="Q50868" s="8"/>
    </row>
    <row r="50869" spans="17:17" x14ac:dyDescent="0.25">
      <c r="Q50869" s="8"/>
    </row>
    <row r="50870" spans="17:17" x14ac:dyDescent="0.25">
      <c r="Q50870" s="8"/>
    </row>
    <row r="50871" spans="17:17" x14ac:dyDescent="0.25">
      <c r="Q50871" s="8"/>
    </row>
    <row r="50872" spans="17:17" x14ac:dyDescent="0.25">
      <c r="Q50872" s="8"/>
    </row>
    <row r="50873" spans="17:17" x14ac:dyDescent="0.25">
      <c r="Q50873" s="8"/>
    </row>
    <row r="50874" spans="17:17" x14ac:dyDescent="0.25">
      <c r="Q50874" s="8"/>
    </row>
    <row r="50875" spans="17:17" x14ac:dyDescent="0.25">
      <c r="Q50875" s="8"/>
    </row>
    <row r="50876" spans="17:17" x14ac:dyDescent="0.25">
      <c r="Q50876" s="8"/>
    </row>
    <row r="50877" spans="17:17" x14ac:dyDescent="0.25">
      <c r="Q50877" s="8"/>
    </row>
    <row r="50878" spans="17:17" x14ac:dyDescent="0.25">
      <c r="Q50878" s="8"/>
    </row>
    <row r="50879" spans="17:17" x14ac:dyDescent="0.25">
      <c r="Q50879" s="8"/>
    </row>
    <row r="50880" spans="17:17" x14ac:dyDescent="0.25">
      <c r="Q50880" s="8"/>
    </row>
    <row r="50881" spans="17:17" x14ac:dyDescent="0.25">
      <c r="Q50881" s="8"/>
    </row>
    <row r="50882" spans="17:17" x14ac:dyDescent="0.25">
      <c r="Q50882" s="8"/>
    </row>
    <row r="50883" spans="17:17" x14ac:dyDescent="0.25">
      <c r="Q50883" s="8"/>
    </row>
    <row r="50884" spans="17:17" x14ac:dyDescent="0.25">
      <c r="Q50884" s="8"/>
    </row>
    <row r="50885" spans="17:17" x14ac:dyDescent="0.25">
      <c r="Q50885" s="8"/>
    </row>
    <row r="50886" spans="17:17" x14ac:dyDescent="0.25">
      <c r="Q50886" s="8"/>
    </row>
    <row r="50887" spans="17:17" x14ac:dyDescent="0.25">
      <c r="Q50887" s="8"/>
    </row>
    <row r="50888" spans="17:17" x14ac:dyDescent="0.25">
      <c r="Q50888" s="8"/>
    </row>
    <row r="50889" spans="17:17" x14ac:dyDescent="0.25">
      <c r="Q50889" s="8"/>
    </row>
    <row r="50890" spans="17:17" x14ac:dyDescent="0.25">
      <c r="Q50890" s="8"/>
    </row>
    <row r="50891" spans="17:17" x14ac:dyDescent="0.25">
      <c r="Q50891" s="8"/>
    </row>
    <row r="50892" spans="17:17" x14ac:dyDescent="0.25">
      <c r="Q50892" s="8"/>
    </row>
    <row r="50893" spans="17:17" x14ac:dyDescent="0.25">
      <c r="Q50893" s="8"/>
    </row>
    <row r="50894" spans="17:17" x14ac:dyDescent="0.25">
      <c r="Q50894" s="8"/>
    </row>
    <row r="50895" spans="17:17" x14ac:dyDescent="0.25">
      <c r="Q50895" s="8"/>
    </row>
    <row r="50896" spans="17:17" x14ac:dyDescent="0.25">
      <c r="Q50896" s="8"/>
    </row>
    <row r="50897" spans="17:17" x14ac:dyDescent="0.25">
      <c r="Q50897" s="8"/>
    </row>
    <row r="50898" spans="17:17" x14ac:dyDescent="0.25">
      <c r="Q50898" s="8"/>
    </row>
    <row r="50899" spans="17:17" x14ac:dyDescent="0.25">
      <c r="Q50899" s="8"/>
    </row>
    <row r="50900" spans="17:17" x14ac:dyDescent="0.25">
      <c r="Q50900" s="8"/>
    </row>
    <row r="50901" spans="17:17" x14ac:dyDescent="0.25">
      <c r="Q50901" s="8"/>
    </row>
    <row r="50902" spans="17:17" x14ac:dyDescent="0.25">
      <c r="Q50902" s="8"/>
    </row>
    <row r="50903" spans="17:17" x14ac:dyDescent="0.25">
      <c r="Q50903" s="8"/>
    </row>
    <row r="50904" spans="17:17" x14ac:dyDescent="0.25">
      <c r="Q50904" s="8"/>
    </row>
    <row r="50905" spans="17:17" x14ac:dyDescent="0.25">
      <c r="Q50905" s="8"/>
    </row>
    <row r="50906" spans="17:17" x14ac:dyDescent="0.25">
      <c r="Q50906" s="8"/>
    </row>
    <row r="50907" spans="17:17" x14ac:dyDescent="0.25">
      <c r="Q50907" s="8"/>
    </row>
    <row r="50908" spans="17:17" x14ac:dyDescent="0.25">
      <c r="Q50908" s="8"/>
    </row>
    <row r="50909" spans="17:17" x14ac:dyDescent="0.25">
      <c r="Q50909" s="8"/>
    </row>
    <row r="50910" spans="17:17" x14ac:dyDescent="0.25">
      <c r="Q50910" s="8"/>
    </row>
    <row r="50911" spans="17:17" x14ac:dyDescent="0.25">
      <c r="Q50911" s="8"/>
    </row>
    <row r="50912" spans="17:17" x14ac:dyDescent="0.25">
      <c r="Q50912" s="8"/>
    </row>
    <row r="50913" spans="17:17" x14ac:dyDescent="0.25">
      <c r="Q50913" s="8"/>
    </row>
    <row r="50914" spans="17:17" x14ac:dyDescent="0.25">
      <c r="Q50914" s="8"/>
    </row>
    <row r="50915" spans="17:17" x14ac:dyDescent="0.25">
      <c r="Q50915" s="8"/>
    </row>
    <row r="50916" spans="17:17" x14ac:dyDescent="0.25">
      <c r="Q50916" s="8"/>
    </row>
    <row r="50917" spans="17:17" x14ac:dyDescent="0.25">
      <c r="Q50917" s="8"/>
    </row>
    <row r="50918" spans="17:17" x14ac:dyDescent="0.25">
      <c r="Q50918" s="8"/>
    </row>
    <row r="50919" spans="17:17" x14ac:dyDescent="0.25">
      <c r="Q50919" s="8"/>
    </row>
    <row r="50920" spans="17:17" x14ac:dyDescent="0.25">
      <c r="Q50920" s="8"/>
    </row>
    <row r="50921" spans="17:17" x14ac:dyDescent="0.25">
      <c r="Q50921" s="8"/>
    </row>
    <row r="50922" spans="17:17" x14ac:dyDescent="0.25">
      <c r="Q50922" s="8"/>
    </row>
    <row r="50923" spans="17:17" x14ac:dyDescent="0.25">
      <c r="Q50923" s="8"/>
    </row>
    <row r="50924" spans="17:17" x14ac:dyDescent="0.25">
      <c r="Q50924" s="8"/>
    </row>
    <row r="50925" spans="17:17" x14ac:dyDescent="0.25">
      <c r="Q50925" s="8"/>
    </row>
    <row r="50926" spans="17:17" x14ac:dyDescent="0.25">
      <c r="Q50926" s="8"/>
    </row>
    <row r="50927" spans="17:17" x14ac:dyDescent="0.25">
      <c r="Q50927" s="8"/>
    </row>
    <row r="50928" spans="17:17" x14ac:dyDescent="0.25">
      <c r="Q50928" s="8"/>
    </row>
    <row r="50929" spans="17:17" x14ac:dyDescent="0.25">
      <c r="Q50929" s="8"/>
    </row>
    <row r="50930" spans="17:17" x14ac:dyDescent="0.25">
      <c r="Q50930" s="8"/>
    </row>
    <row r="50931" spans="17:17" x14ac:dyDescent="0.25">
      <c r="Q50931" s="8"/>
    </row>
    <row r="50932" spans="17:17" x14ac:dyDescent="0.25">
      <c r="Q50932" s="8"/>
    </row>
    <row r="50933" spans="17:17" x14ac:dyDescent="0.25">
      <c r="Q50933" s="8"/>
    </row>
    <row r="50934" spans="17:17" x14ac:dyDescent="0.25">
      <c r="Q50934" s="8"/>
    </row>
    <row r="50935" spans="17:17" x14ac:dyDescent="0.25">
      <c r="Q50935" s="8"/>
    </row>
    <row r="50936" spans="17:17" x14ac:dyDescent="0.25">
      <c r="Q50936" s="8"/>
    </row>
    <row r="50937" spans="17:17" x14ac:dyDescent="0.25">
      <c r="Q50937" s="8"/>
    </row>
    <row r="50938" spans="17:17" x14ac:dyDescent="0.25">
      <c r="Q50938" s="8"/>
    </row>
    <row r="50939" spans="17:17" x14ac:dyDescent="0.25">
      <c r="Q50939" s="8"/>
    </row>
    <row r="50940" spans="17:17" x14ac:dyDescent="0.25">
      <c r="Q50940" s="8"/>
    </row>
    <row r="50941" spans="17:17" x14ac:dyDescent="0.25">
      <c r="Q50941" s="8"/>
    </row>
    <row r="50942" spans="17:17" x14ac:dyDescent="0.25">
      <c r="Q50942" s="8"/>
    </row>
    <row r="50943" spans="17:17" x14ac:dyDescent="0.25">
      <c r="Q50943" s="8"/>
    </row>
    <row r="50944" spans="17:17" x14ac:dyDescent="0.25">
      <c r="Q50944" s="8"/>
    </row>
    <row r="50945" spans="17:17" x14ac:dyDescent="0.25">
      <c r="Q50945" s="8"/>
    </row>
    <row r="50946" spans="17:17" x14ac:dyDescent="0.25">
      <c r="Q50946" s="8"/>
    </row>
    <row r="50947" spans="17:17" x14ac:dyDescent="0.25">
      <c r="Q50947" s="8"/>
    </row>
    <row r="50948" spans="17:17" x14ac:dyDescent="0.25">
      <c r="Q50948" s="8"/>
    </row>
    <row r="50949" spans="17:17" x14ac:dyDescent="0.25">
      <c r="Q50949" s="8"/>
    </row>
    <row r="50950" spans="17:17" x14ac:dyDescent="0.25">
      <c r="Q50950" s="8"/>
    </row>
    <row r="50951" spans="17:17" x14ac:dyDescent="0.25">
      <c r="Q50951" s="8"/>
    </row>
    <row r="50952" spans="17:17" x14ac:dyDescent="0.25">
      <c r="Q50952" s="8"/>
    </row>
    <row r="50953" spans="17:17" x14ac:dyDescent="0.25">
      <c r="Q50953" s="8"/>
    </row>
    <row r="50954" spans="17:17" x14ac:dyDescent="0.25">
      <c r="Q50954" s="8"/>
    </row>
    <row r="50955" spans="17:17" x14ac:dyDescent="0.25">
      <c r="Q50955" s="8"/>
    </row>
    <row r="50956" spans="17:17" x14ac:dyDescent="0.25">
      <c r="Q50956" s="8"/>
    </row>
    <row r="50957" spans="17:17" x14ac:dyDescent="0.25">
      <c r="Q50957" s="8"/>
    </row>
    <row r="50958" spans="17:17" x14ac:dyDescent="0.25">
      <c r="Q50958" s="8"/>
    </row>
    <row r="50959" spans="17:17" x14ac:dyDescent="0.25">
      <c r="Q50959" s="8"/>
    </row>
    <row r="50960" spans="17:17" x14ac:dyDescent="0.25">
      <c r="Q50960" s="8"/>
    </row>
    <row r="50961" spans="17:17" x14ac:dyDescent="0.25">
      <c r="Q50961" s="8"/>
    </row>
    <row r="50962" spans="17:17" x14ac:dyDescent="0.25">
      <c r="Q50962" s="8"/>
    </row>
    <row r="50963" spans="17:17" x14ac:dyDescent="0.25">
      <c r="Q50963" s="8"/>
    </row>
    <row r="50964" spans="17:17" x14ac:dyDescent="0.25">
      <c r="Q50964" s="8"/>
    </row>
    <row r="50965" spans="17:17" x14ac:dyDescent="0.25">
      <c r="Q50965" s="8"/>
    </row>
    <row r="50966" spans="17:17" x14ac:dyDescent="0.25">
      <c r="Q50966" s="8"/>
    </row>
    <row r="50967" spans="17:17" x14ac:dyDescent="0.25">
      <c r="Q50967" s="8"/>
    </row>
    <row r="50968" spans="17:17" x14ac:dyDescent="0.25">
      <c r="Q50968" s="8"/>
    </row>
    <row r="50969" spans="17:17" x14ac:dyDescent="0.25">
      <c r="Q50969" s="8"/>
    </row>
    <row r="50970" spans="17:17" x14ac:dyDescent="0.25">
      <c r="Q50970" s="8"/>
    </row>
    <row r="50971" spans="17:17" x14ac:dyDescent="0.25">
      <c r="Q50971" s="8"/>
    </row>
    <row r="50972" spans="17:17" x14ac:dyDescent="0.25">
      <c r="Q50972" s="8"/>
    </row>
    <row r="50973" spans="17:17" x14ac:dyDescent="0.25">
      <c r="Q50973" s="8"/>
    </row>
    <row r="50974" spans="17:17" x14ac:dyDescent="0.25">
      <c r="Q50974" s="8"/>
    </row>
    <row r="50975" spans="17:17" x14ac:dyDescent="0.25">
      <c r="Q50975" s="8"/>
    </row>
    <row r="50976" spans="17:17" x14ac:dyDescent="0.25">
      <c r="Q50976" s="8"/>
    </row>
    <row r="50977" spans="17:17" x14ac:dyDescent="0.25">
      <c r="Q50977" s="8"/>
    </row>
    <row r="50978" spans="17:17" x14ac:dyDescent="0.25">
      <c r="Q50978" s="8"/>
    </row>
    <row r="50979" spans="17:17" x14ac:dyDescent="0.25">
      <c r="Q50979" s="8"/>
    </row>
    <row r="50980" spans="17:17" x14ac:dyDescent="0.25">
      <c r="Q50980" s="8"/>
    </row>
    <row r="50981" spans="17:17" x14ac:dyDescent="0.25">
      <c r="Q50981" s="8"/>
    </row>
    <row r="50982" spans="17:17" x14ac:dyDescent="0.25">
      <c r="Q50982" s="8"/>
    </row>
    <row r="50983" spans="17:17" x14ac:dyDescent="0.25">
      <c r="Q50983" s="8"/>
    </row>
    <row r="50984" spans="17:17" x14ac:dyDescent="0.25">
      <c r="Q50984" s="8"/>
    </row>
    <row r="50985" spans="17:17" x14ac:dyDescent="0.25">
      <c r="Q50985" s="8"/>
    </row>
    <row r="50986" spans="17:17" x14ac:dyDescent="0.25">
      <c r="Q50986" s="8"/>
    </row>
    <row r="50987" spans="17:17" x14ac:dyDescent="0.25">
      <c r="Q50987" s="8"/>
    </row>
    <row r="50988" spans="17:17" x14ac:dyDescent="0.25">
      <c r="Q50988" s="8"/>
    </row>
    <row r="50989" spans="17:17" x14ac:dyDescent="0.25">
      <c r="Q50989" s="8"/>
    </row>
    <row r="50990" spans="17:17" x14ac:dyDescent="0.25">
      <c r="Q50990" s="8"/>
    </row>
    <row r="50991" spans="17:17" x14ac:dyDescent="0.25">
      <c r="Q50991" s="8"/>
    </row>
    <row r="50992" spans="17:17" x14ac:dyDescent="0.25">
      <c r="Q50992" s="8"/>
    </row>
    <row r="50993" spans="17:17" x14ac:dyDescent="0.25">
      <c r="Q50993" s="8"/>
    </row>
    <row r="50994" spans="17:17" x14ac:dyDescent="0.25">
      <c r="Q50994" s="8"/>
    </row>
    <row r="50995" spans="17:17" x14ac:dyDescent="0.25">
      <c r="Q50995" s="8"/>
    </row>
    <row r="50996" spans="17:17" x14ac:dyDescent="0.25">
      <c r="Q50996" s="8"/>
    </row>
    <row r="50997" spans="17:17" x14ac:dyDescent="0.25">
      <c r="Q50997" s="8"/>
    </row>
    <row r="50998" spans="17:17" x14ac:dyDescent="0.25">
      <c r="Q50998" s="8"/>
    </row>
    <row r="50999" spans="17:17" x14ac:dyDescent="0.25">
      <c r="Q50999" s="8"/>
    </row>
    <row r="51000" spans="17:17" x14ac:dyDescent="0.25">
      <c r="Q51000" s="8"/>
    </row>
    <row r="51001" spans="17:17" x14ac:dyDescent="0.25">
      <c r="Q51001" s="8"/>
    </row>
    <row r="51002" spans="17:17" x14ac:dyDescent="0.25">
      <c r="Q51002" s="8"/>
    </row>
    <row r="51003" spans="17:17" x14ac:dyDescent="0.25">
      <c r="Q51003" s="8"/>
    </row>
    <row r="51004" spans="17:17" x14ac:dyDescent="0.25">
      <c r="Q51004" s="8"/>
    </row>
    <row r="51005" spans="17:17" x14ac:dyDescent="0.25">
      <c r="Q51005" s="8"/>
    </row>
    <row r="51006" spans="17:17" x14ac:dyDescent="0.25">
      <c r="Q51006" s="8"/>
    </row>
    <row r="51007" spans="17:17" x14ac:dyDescent="0.25">
      <c r="Q51007" s="8"/>
    </row>
    <row r="51008" spans="17:17" x14ac:dyDescent="0.25">
      <c r="Q51008" s="8"/>
    </row>
    <row r="51009" spans="17:17" x14ac:dyDescent="0.25">
      <c r="Q51009" s="8"/>
    </row>
    <row r="51010" spans="17:17" x14ac:dyDescent="0.25">
      <c r="Q51010" s="8"/>
    </row>
    <row r="51011" spans="17:17" x14ac:dyDescent="0.25">
      <c r="Q51011" s="8"/>
    </row>
    <row r="51012" spans="17:17" x14ac:dyDescent="0.25">
      <c r="Q51012" s="8"/>
    </row>
    <row r="51013" spans="17:17" x14ac:dyDescent="0.25">
      <c r="Q51013" s="8"/>
    </row>
    <row r="51014" spans="17:17" x14ac:dyDescent="0.25">
      <c r="Q51014" s="8"/>
    </row>
    <row r="51015" spans="17:17" x14ac:dyDescent="0.25">
      <c r="Q51015" s="8"/>
    </row>
    <row r="51016" spans="17:17" x14ac:dyDescent="0.25">
      <c r="Q51016" s="8"/>
    </row>
    <row r="51017" spans="17:17" x14ac:dyDescent="0.25">
      <c r="Q51017" s="8"/>
    </row>
    <row r="51018" spans="17:17" x14ac:dyDescent="0.25">
      <c r="Q51018" s="8"/>
    </row>
    <row r="51019" spans="17:17" x14ac:dyDescent="0.25">
      <c r="Q51019" s="8"/>
    </row>
    <row r="51020" spans="17:17" x14ac:dyDescent="0.25">
      <c r="Q51020" s="8"/>
    </row>
    <row r="51021" spans="17:17" x14ac:dyDescent="0.25">
      <c r="Q51021" s="8"/>
    </row>
    <row r="51022" spans="17:17" x14ac:dyDescent="0.25">
      <c r="Q51022" s="8"/>
    </row>
    <row r="51023" spans="17:17" x14ac:dyDescent="0.25">
      <c r="Q51023" s="8"/>
    </row>
    <row r="51024" spans="17:17" x14ac:dyDescent="0.25">
      <c r="Q51024" s="8"/>
    </row>
    <row r="51025" spans="17:17" x14ac:dyDescent="0.25">
      <c r="Q51025" s="8"/>
    </row>
    <row r="51026" spans="17:17" x14ac:dyDescent="0.25">
      <c r="Q51026" s="8"/>
    </row>
    <row r="51027" spans="17:17" x14ac:dyDescent="0.25">
      <c r="Q51027" s="8"/>
    </row>
    <row r="51028" spans="17:17" x14ac:dyDescent="0.25">
      <c r="Q51028" s="8"/>
    </row>
    <row r="51029" spans="17:17" x14ac:dyDescent="0.25">
      <c r="Q51029" s="8"/>
    </row>
    <row r="51030" spans="17:17" x14ac:dyDescent="0.25">
      <c r="Q51030" s="8"/>
    </row>
    <row r="51031" spans="17:17" x14ac:dyDescent="0.25">
      <c r="Q51031" s="8"/>
    </row>
    <row r="51032" spans="17:17" x14ac:dyDescent="0.25">
      <c r="Q51032" s="8"/>
    </row>
    <row r="51033" spans="17:17" x14ac:dyDescent="0.25">
      <c r="Q51033" s="8"/>
    </row>
    <row r="51034" spans="17:17" x14ac:dyDescent="0.25">
      <c r="Q51034" s="8"/>
    </row>
    <row r="51035" spans="17:17" x14ac:dyDescent="0.25">
      <c r="Q51035" s="8"/>
    </row>
    <row r="51036" spans="17:17" x14ac:dyDescent="0.25">
      <c r="Q51036" s="8"/>
    </row>
    <row r="51037" spans="17:17" x14ac:dyDescent="0.25">
      <c r="Q51037" s="8"/>
    </row>
    <row r="51038" spans="17:17" x14ac:dyDescent="0.25">
      <c r="Q51038" s="8"/>
    </row>
    <row r="51039" spans="17:17" x14ac:dyDescent="0.25">
      <c r="Q51039" s="8"/>
    </row>
    <row r="51040" spans="17:17" x14ac:dyDescent="0.25">
      <c r="Q51040" s="8"/>
    </row>
    <row r="51041" spans="17:17" x14ac:dyDescent="0.25">
      <c r="Q51041" s="8"/>
    </row>
    <row r="51042" spans="17:17" x14ac:dyDescent="0.25">
      <c r="Q51042" s="8"/>
    </row>
    <row r="51043" spans="17:17" x14ac:dyDescent="0.25">
      <c r="Q51043" s="8"/>
    </row>
    <row r="51044" spans="17:17" x14ac:dyDescent="0.25">
      <c r="Q51044" s="8"/>
    </row>
    <row r="51045" spans="17:17" x14ac:dyDescent="0.25">
      <c r="Q51045" s="8"/>
    </row>
    <row r="51046" spans="17:17" x14ac:dyDescent="0.25">
      <c r="Q51046" s="8"/>
    </row>
    <row r="51047" spans="17:17" x14ac:dyDescent="0.25">
      <c r="Q51047" s="8"/>
    </row>
    <row r="51048" spans="17:17" x14ac:dyDescent="0.25">
      <c r="Q51048" s="8"/>
    </row>
    <row r="51049" spans="17:17" x14ac:dyDescent="0.25">
      <c r="Q51049" s="8"/>
    </row>
    <row r="51050" spans="17:17" x14ac:dyDescent="0.25">
      <c r="Q51050" s="8"/>
    </row>
    <row r="51051" spans="17:17" x14ac:dyDescent="0.25">
      <c r="Q51051" s="8"/>
    </row>
    <row r="51052" spans="17:17" x14ac:dyDescent="0.25">
      <c r="Q51052" s="8"/>
    </row>
    <row r="51053" spans="17:17" x14ac:dyDescent="0.25">
      <c r="Q51053" s="8"/>
    </row>
    <row r="51054" spans="17:17" x14ac:dyDescent="0.25">
      <c r="Q51054" s="8"/>
    </row>
    <row r="51055" spans="17:17" x14ac:dyDescent="0.25">
      <c r="Q51055" s="8"/>
    </row>
    <row r="51056" spans="17:17" x14ac:dyDescent="0.25">
      <c r="Q51056" s="8"/>
    </row>
    <row r="51057" spans="17:17" x14ac:dyDescent="0.25">
      <c r="Q51057" s="8"/>
    </row>
    <row r="51058" spans="17:17" x14ac:dyDescent="0.25">
      <c r="Q51058" s="8"/>
    </row>
    <row r="51059" spans="17:17" x14ac:dyDescent="0.25">
      <c r="Q51059" s="8"/>
    </row>
    <row r="51060" spans="17:17" x14ac:dyDescent="0.25">
      <c r="Q51060" s="8"/>
    </row>
    <row r="51061" spans="17:17" x14ac:dyDescent="0.25">
      <c r="Q51061" s="8"/>
    </row>
    <row r="51062" spans="17:17" x14ac:dyDescent="0.25">
      <c r="Q51062" s="8"/>
    </row>
    <row r="51063" spans="17:17" x14ac:dyDescent="0.25">
      <c r="Q51063" s="8"/>
    </row>
    <row r="51064" spans="17:17" x14ac:dyDescent="0.25">
      <c r="Q51064" s="8"/>
    </row>
    <row r="51065" spans="17:17" x14ac:dyDescent="0.25">
      <c r="Q51065" s="8"/>
    </row>
    <row r="51066" spans="17:17" x14ac:dyDescent="0.25">
      <c r="Q51066" s="8"/>
    </row>
    <row r="51067" spans="17:17" x14ac:dyDescent="0.25">
      <c r="Q51067" s="8"/>
    </row>
    <row r="51068" spans="17:17" x14ac:dyDescent="0.25">
      <c r="Q51068" s="8"/>
    </row>
    <row r="51069" spans="17:17" x14ac:dyDescent="0.25">
      <c r="Q51069" s="8"/>
    </row>
    <row r="51070" spans="17:17" x14ac:dyDescent="0.25">
      <c r="Q51070" s="8"/>
    </row>
    <row r="51071" spans="17:17" x14ac:dyDescent="0.25">
      <c r="Q51071" s="8"/>
    </row>
    <row r="51072" spans="17:17" x14ac:dyDescent="0.25">
      <c r="Q51072" s="8"/>
    </row>
    <row r="51073" spans="17:17" x14ac:dyDescent="0.25">
      <c r="Q51073" s="8"/>
    </row>
    <row r="51074" spans="17:17" x14ac:dyDescent="0.25">
      <c r="Q51074" s="8"/>
    </row>
    <row r="51075" spans="17:17" x14ac:dyDescent="0.25">
      <c r="Q51075" s="8"/>
    </row>
    <row r="51076" spans="17:17" x14ac:dyDescent="0.25">
      <c r="Q51076" s="8"/>
    </row>
    <row r="51077" spans="17:17" x14ac:dyDescent="0.25">
      <c r="Q51077" s="8"/>
    </row>
    <row r="51078" spans="17:17" x14ac:dyDescent="0.25">
      <c r="Q51078" s="8"/>
    </row>
    <row r="51079" spans="17:17" x14ac:dyDescent="0.25">
      <c r="Q51079" s="8"/>
    </row>
    <row r="51080" spans="17:17" x14ac:dyDescent="0.25">
      <c r="Q51080" s="8"/>
    </row>
    <row r="51081" spans="17:17" x14ac:dyDescent="0.25">
      <c r="Q51081" s="8"/>
    </row>
    <row r="51082" spans="17:17" x14ac:dyDescent="0.25">
      <c r="Q51082" s="8"/>
    </row>
    <row r="51083" spans="17:17" x14ac:dyDescent="0.25">
      <c r="Q51083" s="8"/>
    </row>
    <row r="51084" spans="17:17" x14ac:dyDescent="0.25">
      <c r="Q51084" s="8"/>
    </row>
    <row r="51085" spans="17:17" x14ac:dyDescent="0.25">
      <c r="Q51085" s="8"/>
    </row>
    <row r="51086" spans="17:17" x14ac:dyDescent="0.25">
      <c r="Q51086" s="8"/>
    </row>
    <row r="51087" spans="17:17" x14ac:dyDescent="0.25">
      <c r="Q51087" s="8"/>
    </row>
    <row r="51088" spans="17:17" x14ac:dyDescent="0.25">
      <c r="Q51088" s="8"/>
    </row>
    <row r="51089" spans="17:17" x14ac:dyDescent="0.25">
      <c r="Q51089" s="8"/>
    </row>
    <row r="51090" spans="17:17" x14ac:dyDescent="0.25">
      <c r="Q51090" s="8"/>
    </row>
    <row r="51091" spans="17:17" x14ac:dyDescent="0.25">
      <c r="Q51091" s="8"/>
    </row>
    <row r="51092" spans="17:17" x14ac:dyDescent="0.25">
      <c r="Q51092" s="8"/>
    </row>
    <row r="51093" spans="17:17" x14ac:dyDescent="0.25">
      <c r="Q51093" s="8"/>
    </row>
    <row r="51094" spans="17:17" x14ac:dyDescent="0.25">
      <c r="Q51094" s="8"/>
    </row>
    <row r="51095" spans="17:17" x14ac:dyDescent="0.25">
      <c r="Q51095" s="8"/>
    </row>
    <row r="51096" spans="17:17" x14ac:dyDescent="0.25">
      <c r="Q51096" s="8"/>
    </row>
    <row r="51097" spans="17:17" x14ac:dyDescent="0.25">
      <c r="Q51097" s="8"/>
    </row>
    <row r="51098" spans="17:17" x14ac:dyDescent="0.25">
      <c r="Q51098" s="8"/>
    </row>
    <row r="51099" spans="17:17" x14ac:dyDescent="0.25">
      <c r="Q51099" s="8"/>
    </row>
    <row r="51100" spans="17:17" x14ac:dyDescent="0.25">
      <c r="Q51100" s="8"/>
    </row>
    <row r="51101" spans="17:17" x14ac:dyDescent="0.25">
      <c r="Q51101" s="8"/>
    </row>
    <row r="51102" spans="17:17" x14ac:dyDescent="0.25">
      <c r="Q51102" s="8"/>
    </row>
    <row r="51103" spans="17:17" x14ac:dyDescent="0.25">
      <c r="Q51103" s="8"/>
    </row>
    <row r="51104" spans="17:17" x14ac:dyDescent="0.25">
      <c r="Q51104" s="8"/>
    </row>
    <row r="51105" spans="17:17" x14ac:dyDescent="0.25">
      <c r="Q51105" s="8"/>
    </row>
    <row r="51106" spans="17:17" x14ac:dyDescent="0.25">
      <c r="Q51106" s="8"/>
    </row>
    <row r="51107" spans="17:17" x14ac:dyDescent="0.25">
      <c r="Q51107" s="8"/>
    </row>
    <row r="51108" spans="17:17" x14ac:dyDescent="0.25">
      <c r="Q51108" s="8"/>
    </row>
    <row r="51109" spans="17:17" x14ac:dyDescent="0.25">
      <c r="Q51109" s="8"/>
    </row>
    <row r="51110" spans="17:17" x14ac:dyDescent="0.25">
      <c r="Q51110" s="8"/>
    </row>
    <row r="51111" spans="17:17" x14ac:dyDescent="0.25">
      <c r="Q51111" s="8"/>
    </row>
    <row r="51112" spans="17:17" x14ac:dyDescent="0.25">
      <c r="Q51112" s="8"/>
    </row>
    <row r="51113" spans="17:17" x14ac:dyDescent="0.25">
      <c r="Q51113" s="8"/>
    </row>
    <row r="51114" spans="17:17" x14ac:dyDescent="0.25">
      <c r="Q51114" s="8"/>
    </row>
    <row r="51115" spans="17:17" x14ac:dyDescent="0.25">
      <c r="Q51115" s="8"/>
    </row>
    <row r="51116" spans="17:17" x14ac:dyDescent="0.25">
      <c r="Q51116" s="8"/>
    </row>
    <row r="51117" spans="17:17" x14ac:dyDescent="0.25">
      <c r="Q51117" s="8"/>
    </row>
    <row r="51118" spans="17:17" x14ac:dyDescent="0.25">
      <c r="Q51118" s="8"/>
    </row>
    <row r="51119" spans="17:17" x14ac:dyDescent="0.25">
      <c r="Q51119" s="8"/>
    </row>
    <row r="51120" spans="17:17" x14ac:dyDescent="0.25">
      <c r="Q51120" s="8"/>
    </row>
    <row r="51121" spans="17:17" x14ac:dyDescent="0.25">
      <c r="Q51121" s="8"/>
    </row>
    <row r="51122" spans="17:17" x14ac:dyDescent="0.25">
      <c r="Q51122" s="8"/>
    </row>
    <row r="51123" spans="17:17" x14ac:dyDescent="0.25">
      <c r="Q51123" s="8"/>
    </row>
    <row r="51124" spans="17:17" x14ac:dyDescent="0.25">
      <c r="Q51124" s="8"/>
    </row>
    <row r="51125" spans="17:17" x14ac:dyDescent="0.25">
      <c r="Q51125" s="8"/>
    </row>
    <row r="51126" spans="17:17" x14ac:dyDescent="0.25">
      <c r="Q51126" s="8"/>
    </row>
    <row r="51127" spans="17:17" x14ac:dyDescent="0.25">
      <c r="Q51127" s="8"/>
    </row>
    <row r="51128" spans="17:17" x14ac:dyDescent="0.25">
      <c r="Q51128" s="8"/>
    </row>
    <row r="51129" spans="17:17" x14ac:dyDescent="0.25">
      <c r="Q51129" s="8"/>
    </row>
    <row r="51130" spans="17:17" x14ac:dyDescent="0.25">
      <c r="Q51130" s="8"/>
    </row>
    <row r="51131" spans="17:17" x14ac:dyDescent="0.25">
      <c r="Q51131" s="8"/>
    </row>
    <row r="51132" spans="17:17" x14ac:dyDescent="0.25">
      <c r="Q51132" s="8"/>
    </row>
    <row r="51133" spans="17:17" x14ac:dyDescent="0.25">
      <c r="Q51133" s="8"/>
    </row>
    <row r="51134" spans="17:17" x14ac:dyDescent="0.25">
      <c r="Q51134" s="8"/>
    </row>
    <row r="51135" spans="17:17" x14ac:dyDescent="0.25">
      <c r="Q51135" s="8"/>
    </row>
    <row r="51136" spans="17:17" x14ac:dyDescent="0.25">
      <c r="Q51136" s="8"/>
    </row>
    <row r="51137" spans="17:17" x14ac:dyDescent="0.25">
      <c r="Q51137" s="8"/>
    </row>
    <row r="51138" spans="17:17" x14ac:dyDescent="0.25">
      <c r="Q51138" s="8"/>
    </row>
    <row r="51139" spans="17:17" x14ac:dyDescent="0.25">
      <c r="Q51139" s="8"/>
    </row>
    <row r="51140" spans="17:17" x14ac:dyDescent="0.25">
      <c r="Q51140" s="8"/>
    </row>
    <row r="51141" spans="17:17" x14ac:dyDescent="0.25">
      <c r="Q51141" s="8"/>
    </row>
    <row r="51142" spans="17:17" x14ac:dyDescent="0.25">
      <c r="Q51142" s="8"/>
    </row>
    <row r="51143" spans="17:17" x14ac:dyDescent="0.25">
      <c r="Q51143" s="8"/>
    </row>
    <row r="51144" spans="17:17" x14ac:dyDescent="0.25">
      <c r="Q51144" s="8"/>
    </row>
    <row r="51145" spans="17:17" x14ac:dyDescent="0.25">
      <c r="Q51145" s="8"/>
    </row>
    <row r="51146" spans="17:17" x14ac:dyDescent="0.25">
      <c r="Q51146" s="8"/>
    </row>
    <row r="51147" spans="17:17" x14ac:dyDescent="0.25">
      <c r="Q51147" s="8"/>
    </row>
    <row r="51148" spans="17:17" x14ac:dyDescent="0.25">
      <c r="Q51148" s="8"/>
    </row>
    <row r="51149" spans="17:17" x14ac:dyDescent="0.25">
      <c r="Q51149" s="8"/>
    </row>
    <row r="51150" spans="17:17" x14ac:dyDescent="0.25">
      <c r="Q51150" s="8"/>
    </row>
    <row r="51151" spans="17:17" x14ac:dyDescent="0.25">
      <c r="Q51151" s="8"/>
    </row>
    <row r="51152" spans="17:17" x14ac:dyDescent="0.25">
      <c r="Q51152" s="8"/>
    </row>
    <row r="51153" spans="17:17" x14ac:dyDescent="0.25">
      <c r="Q51153" s="8"/>
    </row>
    <row r="51154" spans="17:17" x14ac:dyDescent="0.25">
      <c r="Q51154" s="8"/>
    </row>
    <row r="51155" spans="17:17" x14ac:dyDescent="0.25">
      <c r="Q51155" s="8"/>
    </row>
    <row r="51156" spans="17:17" x14ac:dyDescent="0.25">
      <c r="Q51156" s="8"/>
    </row>
    <row r="51157" spans="17:17" x14ac:dyDescent="0.25">
      <c r="Q51157" s="8"/>
    </row>
    <row r="51158" spans="17:17" x14ac:dyDescent="0.25">
      <c r="Q51158" s="8"/>
    </row>
    <row r="51159" spans="17:17" x14ac:dyDescent="0.25">
      <c r="Q51159" s="8"/>
    </row>
    <row r="51160" spans="17:17" x14ac:dyDescent="0.25">
      <c r="Q51160" s="8"/>
    </row>
    <row r="51161" spans="17:17" x14ac:dyDescent="0.25">
      <c r="Q51161" s="8"/>
    </row>
    <row r="51162" spans="17:17" x14ac:dyDescent="0.25">
      <c r="Q51162" s="8"/>
    </row>
    <row r="51163" spans="17:17" x14ac:dyDescent="0.25">
      <c r="Q51163" s="8"/>
    </row>
    <row r="51164" spans="17:17" x14ac:dyDescent="0.25">
      <c r="Q51164" s="8"/>
    </row>
    <row r="51165" spans="17:17" x14ac:dyDescent="0.25">
      <c r="Q51165" s="8"/>
    </row>
    <row r="51166" spans="17:17" x14ac:dyDescent="0.25">
      <c r="Q51166" s="8"/>
    </row>
    <row r="51167" spans="17:17" x14ac:dyDescent="0.25">
      <c r="Q51167" s="8"/>
    </row>
    <row r="51168" spans="17:17" x14ac:dyDescent="0.25">
      <c r="Q51168" s="8"/>
    </row>
    <row r="51169" spans="17:17" x14ac:dyDescent="0.25">
      <c r="Q51169" s="8"/>
    </row>
    <row r="51170" spans="17:17" x14ac:dyDescent="0.25">
      <c r="Q51170" s="8"/>
    </row>
    <row r="51171" spans="17:17" x14ac:dyDescent="0.25">
      <c r="Q51171" s="8"/>
    </row>
    <row r="51172" spans="17:17" x14ac:dyDescent="0.25">
      <c r="Q51172" s="8"/>
    </row>
    <row r="51173" spans="17:17" x14ac:dyDescent="0.25">
      <c r="Q51173" s="8"/>
    </row>
    <row r="51174" spans="17:17" x14ac:dyDescent="0.25">
      <c r="Q51174" s="8"/>
    </row>
    <row r="51175" spans="17:17" x14ac:dyDescent="0.25">
      <c r="Q51175" s="8"/>
    </row>
    <row r="51176" spans="17:17" x14ac:dyDescent="0.25">
      <c r="Q51176" s="8"/>
    </row>
    <row r="51177" spans="17:17" x14ac:dyDescent="0.25">
      <c r="Q51177" s="8"/>
    </row>
    <row r="51178" spans="17:17" x14ac:dyDescent="0.25">
      <c r="Q51178" s="8"/>
    </row>
    <row r="51179" spans="17:17" x14ac:dyDescent="0.25">
      <c r="Q51179" s="8"/>
    </row>
    <row r="51180" spans="17:17" x14ac:dyDescent="0.25">
      <c r="Q51180" s="8"/>
    </row>
    <row r="51181" spans="17:17" x14ac:dyDescent="0.25">
      <c r="Q51181" s="8"/>
    </row>
    <row r="51182" spans="17:17" x14ac:dyDescent="0.25">
      <c r="Q51182" s="8"/>
    </row>
    <row r="51183" spans="17:17" x14ac:dyDescent="0.25">
      <c r="Q51183" s="8"/>
    </row>
    <row r="51184" spans="17:17" x14ac:dyDescent="0.25">
      <c r="Q51184" s="8"/>
    </row>
    <row r="51185" spans="17:17" x14ac:dyDescent="0.25">
      <c r="Q51185" s="8"/>
    </row>
    <row r="51186" spans="17:17" x14ac:dyDescent="0.25">
      <c r="Q51186" s="8"/>
    </row>
    <row r="51187" spans="17:17" x14ac:dyDescent="0.25">
      <c r="Q51187" s="8"/>
    </row>
    <row r="51188" spans="17:17" x14ac:dyDescent="0.25">
      <c r="Q51188" s="8"/>
    </row>
    <row r="51189" spans="17:17" x14ac:dyDescent="0.25">
      <c r="Q51189" s="8"/>
    </row>
    <row r="51190" spans="17:17" x14ac:dyDescent="0.25">
      <c r="Q51190" s="8"/>
    </row>
    <row r="51191" spans="17:17" x14ac:dyDescent="0.25">
      <c r="Q51191" s="8"/>
    </row>
    <row r="51192" spans="17:17" x14ac:dyDescent="0.25">
      <c r="Q51192" s="8"/>
    </row>
    <row r="51193" spans="17:17" x14ac:dyDescent="0.25">
      <c r="Q51193" s="8"/>
    </row>
    <row r="51194" spans="17:17" x14ac:dyDescent="0.25">
      <c r="Q51194" s="8"/>
    </row>
    <row r="51195" spans="17:17" x14ac:dyDescent="0.25">
      <c r="Q51195" s="8"/>
    </row>
    <row r="51196" spans="17:17" x14ac:dyDescent="0.25">
      <c r="Q51196" s="8"/>
    </row>
    <row r="51197" spans="17:17" x14ac:dyDescent="0.25">
      <c r="Q51197" s="8"/>
    </row>
    <row r="51198" spans="17:17" x14ac:dyDescent="0.25">
      <c r="Q51198" s="8"/>
    </row>
    <row r="51199" spans="17:17" x14ac:dyDescent="0.25">
      <c r="Q51199" s="8"/>
    </row>
    <row r="51200" spans="17:17" x14ac:dyDescent="0.25">
      <c r="Q51200" s="8"/>
    </row>
    <row r="51201" spans="17:17" x14ac:dyDescent="0.25">
      <c r="Q51201" s="8"/>
    </row>
    <row r="51202" spans="17:17" x14ac:dyDescent="0.25">
      <c r="Q51202" s="8"/>
    </row>
    <row r="51203" spans="17:17" x14ac:dyDescent="0.25">
      <c r="Q51203" s="8"/>
    </row>
    <row r="51204" spans="17:17" x14ac:dyDescent="0.25">
      <c r="Q51204" s="8"/>
    </row>
    <row r="51205" spans="17:17" x14ac:dyDescent="0.25">
      <c r="Q51205" s="8"/>
    </row>
    <row r="51206" spans="17:17" x14ac:dyDescent="0.25">
      <c r="Q51206" s="8"/>
    </row>
    <row r="51207" spans="17:17" x14ac:dyDescent="0.25">
      <c r="Q51207" s="8"/>
    </row>
    <row r="51208" spans="17:17" x14ac:dyDescent="0.25">
      <c r="Q51208" s="8"/>
    </row>
    <row r="51209" spans="17:17" x14ac:dyDescent="0.25">
      <c r="Q51209" s="8"/>
    </row>
    <row r="51210" spans="17:17" x14ac:dyDescent="0.25">
      <c r="Q51210" s="8"/>
    </row>
    <row r="51211" spans="17:17" x14ac:dyDescent="0.25">
      <c r="Q51211" s="8"/>
    </row>
    <row r="51212" spans="17:17" x14ac:dyDescent="0.25">
      <c r="Q51212" s="8"/>
    </row>
    <row r="51213" spans="17:17" x14ac:dyDescent="0.25">
      <c r="Q51213" s="8"/>
    </row>
    <row r="51214" spans="17:17" x14ac:dyDescent="0.25">
      <c r="Q51214" s="8"/>
    </row>
    <row r="51215" spans="17:17" x14ac:dyDescent="0.25">
      <c r="Q51215" s="8"/>
    </row>
    <row r="51216" spans="17:17" x14ac:dyDescent="0.25">
      <c r="Q51216" s="8"/>
    </row>
    <row r="51217" spans="17:17" x14ac:dyDescent="0.25">
      <c r="Q51217" s="8"/>
    </row>
    <row r="51218" spans="17:17" x14ac:dyDescent="0.25">
      <c r="Q51218" s="8"/>
    </row>
    <row r="51219" spans="17:17" x14ac:dyDescent="0.25">
      <c r="Q51219" s="8"/>
    </row>
    <row r="51220" spans="17:17" x14ac:dyDescent="0.25">
      <c r="Q51220" s="8"/>
    </row>
    <row r="51221" spans="17:17" x14ac:dyDescent="0.25">
      <c r="Q51221" s="8"/>
    </row>
    <row r="51222" spans="17:17" x14ac:dyDescent="0.25">
      <c r="Q51222" s="8"/>
    </row>
    <row r="51223" spans="17:17" x14ac:dyDescent="0.25">
      <c r="Q51223" s="8"/>
    </row>
    <row r="51224" spans="17:17" x14ac:dyDescent="0.25">
      <c r="Q51224" s="8"/>
    </row>
    <row r="51225" spans="17:17" x14ac:dyDescent="0.25">
      <c r="Q51225" s="8"/>
    </row>
    <row r="51226" spans="17:17" x14ac:dyDescent="0.25">
      <c r="Q51226" s="8"/>
    </row>
    <row r="51227" spans="17:17" x14ac:dyDescent="0.25">
      <c r="Q51227" s="8"/>
    </row>
    <row r="51228" spans="17:17" x14ac:dyDescent="0.25">
      <c r="Q51228" s="8"/>
    </row>
    <row r="51229" spans="17:17" x14ac:dyDescent="0.25">
      <c r="Q51229" s="8"/>
    </row>
    <row r="51230" spans="17:17" x14ac:dyDescent="0.25">
      <c r="Q51230" s="8"/>
    </row>
    <row r="51231" spans="17:17" x14ac:dyDescent="0.25">
      <c r="Q51231" s="8"/>
    </row>
    <row r="51232" spans="17:17" x14ac:dyDescent="0.25">
      <c r="Q51232" s="8"/>
    </row>
    <row r="51233" spans="17:17" x14ac:dyDescent="0.25">
      <c r="Q51233" s="8"/>
    </row>
    <row r="51234" spans="17:17" x14ac:dyDescent="0.25">
      <c r="Q51234" s="8"/>
    </row>
    <row r="51235" spans="17:17" x14ac:dyDescent="0.25">
      <c r="Q51235" s="8"/>
    </row>
    <row r="51236" spans="17:17" x14ac:dyDescent="0.25">
      <c r="Q51236" s="8"/>
    </row>
    <row r="51237" spans="17:17" x14ac:dyDescent="0.25">
      <c r="Q51237" s="8"/>
    </row>
    <row r="51238" spans="17:17" x14ac:dyDescent="0.25">
      <c r="Q51238" s="8"/>
    </row>
    <row r="51239" spans="17:17" x14ac:dyDescent="0.25">
      <c r="Q51239" s="8"/>
    </row>
    <row r="51240" spans="17:17" x14ac:dyDescent="0.25">
      <c r="Q51240" s="8"/>
    </row>
    <row r="51241" spans="17:17" x14ac:dyDescent="0.25">
      <c r="Q51241" s="8"/>
    </row>
    <row r="51242" spans="17:17" x14ac:dyDescent="0.25">
      <c r="Q51242" s="8"/>
    </row>
    <row r="51243" spans="17:17" x14ac:dyDescent="0.25">
      <c r="Q51243" s="8"/>
    </row>
    <row r="51244" spans="17:17" x14ac:dyDescent="0.25">
      <c r="Q51244" s="8"/>
    </row>
    <row r="51245" spans="17:17" x14ac:dyDescent="0.25">
      <c r="Q51245" s="8"/>
    </row>
    <row r="51246" spans="17:17" x14ac:dyDescent="0.25">
      <c r="Q51246" s="8"/>
    </row>
    <row r="51247" spans="17:17" x14ac:dyDescent="0.25">
      <c r="Q51247" s="8"/>
    </row>
    <row r="51248" spans="17:17" x14ac:dyDescent="0.25">
      <c r="Q51248" s="8"/>
    </row>
    <row r="51249" spans="17:17" x14ac:dyDescent="0.25">
      <c r="Q51249" s="8"/>
    </row>
    <row r="51250" spans="17:17" x14ac:dyDescent="0.25">
      <c r="Q51250" s="8"/>
    </row>
    <row r="51251" spans="17:17" x14ac:dyDescent="0.25">
      <c r="Q51251" s="8"/>
    </row>
    <row r="51252" spans="17:17" x14ac:dyDescent="0.25">
      <c r="Q51252" s="8"/>
    </row>
    <row r="51253" spans="17:17" x14ac:dyDescent="0.25">
      <c r="Q51253" s="8"/>
    </row>
    <row r="51254" spans="17:17" x14ac:dyDescent="0.25">
      <c r="Q51254" s="8"/>
    </row>
    <row r="51255" spans="17:17" x14ac:dyDescent="0.25">
      <c r="Q51255" s="8"/>
    </row>
    <row r="51256" spans="17:17" x14ac:dyDescent="0.25">
      <c r="Q51256" s="8"/>
    </row>
    <row r="51257" spans="17:17" x14ac:dyDescent="0.25">
      <c r="Q51257" s="8"/>
    </row>
    <row r="51258" spans="17:17" x14ac:dyDescent="0.25">
      <c r="Q51258" s="8"/>
    </row>
    <row r="51259" spans="17:17" x14ac:dyDescent="0.25">
      <c r="Q51259" s="8"/>
    </row>
    <row r="51260" spans="17:17" x14ac:dyDescent="0.25">
      <c r="Q51260" s="8"/>
    </row>
    <row r="51261" spans="17:17" x14ac:dyDescent="0.25">
      <c r="Q51261" s="8"/>
    </row>
    <row r="51262" spans="17:17" x14ac:dyDescent="0.25">
      <c r="Q51262" s="8"/>
    </row>
    <row r="51263" spans="17:17" x14ac:dyDescent="0.25">
      <c r="Q51263" s="8"/>
    </row>
    <row r="51264" spans="17:17" x14ac:dyDescent="0.25">
      <c r="Q51264" s="8"/>
    </row>
    <row r="51265" spans="17:17" x14ac:dyDescent="0.25">
      <c r="Q51265" s="8"/>
    </row>
    <row r="51266" spans="17:17" x14ac:dyDescent="0.25">
      <c r="Q51266" s="8"/>
    </row>
    <row r="51267" spans="17:17" x14ac:dyDescent="0.25">
      <c r="Q51267" s="8"/>
    </row>
    <row r="51268" spans="17:17" x14ac:dyDescent="0.25">
      <c r="Q51268" s="8"/>
    </row>
    <row r="51269" spans="17:17" x14ac:dyDescent="0.25">
      <c r="Q51269" s="8"/>
    </row>
    <row r="51270" spans="17:17" x14ac:dyDescent="0.25">
      <c r="Q51270" s="8"/>
    </row>
    <row r="51271" spans="17:17" x14ac:dyDescent="0.25">
      <c r="Q51271" s="8"/>
    </row>
    <row r="51272" spans="17:17" x14ac:dyDescent="0.25">
      <c r="Q51272" s="8"/>
    </row>
    <row r="51273" spans="17:17" x14ac:dyDescent="0.25">
      <c r="Q51273" s="8"/>
    </row>
    <row r="51274" spans="17:17" x14ac:dyDescent="0.25">
      <c r="Q51274" s="8"/>
    </row>
    <row r="51275" spans="17:17" x14ac:dyDescent="0.25">
      <c r="Q51275" s="8"/>
    </row>
    <row r="51276" spans="17:17" x14ac:dyDescent="0.25">
      <c r="Q51276" s="8"/>
    </row>
    <row r="51277" spans="17:17" x14ac:dyDescent="0.25">
      <c r="Q51277" s="8"/>
    </row>
    <row r="51278" spans="17:17" x14ac:dyDescent="0.25">
      <c r="Q51278" s="8"/>
    </row>
    <row r="51279" spans="17:17" x14ac:dyDescent="0.25">
      <c r="Q51279" s="8"/>
    </row>
    <row r="51280" spans="17:17" x14ac:dyDescent="0.25">
      <c r="Q51280" s="8"/>
    </row>
    <row r="51281" spans="17:17" x14ac:dyDescent="0.25">
      <c r="Q51281" s="8"/>
    </row>
    <row r="51282" spans="17:17" x14ac:dyDescent="0.25">
      <c r="Q51282" s="8"/>
    </row>
    <row r="51283" spans="17:17" x14ac:dyDescent="0.25">
      <c r="Q51283" s="8"/>
    </row>
    <row r="51284" spans="17:17" x14ac:dyDescent="0.25">
      <c r="Q51284" s="8"/>
    </row>
    <row r="51285" spans="17:17" x14ac:dyDescent="0.25">
      <c r="Q51285" s="8"/>
    </row>
    <row r="51286" spans="17:17" x14ac:dyDescent="0.25">
      <c r="Q51286" s="8"/>
    </row>
    <row r="51287" spans="17:17" x14ac:dyDescent="0.25">
      <c r="Q51287" s="8"/>
    </row>
    <row r="51288" spans="17:17" x14ac:dyDescent="0.25">
      <c r="Q51288" s="8"/>
    </row>
    <row r="51289" spans="17:17" x14ac:dyDescent="0.25">
      <c r="Q51289" s="8"/>
    </row>
    <row r="51290" spans="17:17" x14ac:dyDescent="0.25">
      <c r="Q51290" s="8"/>
    </row>
    <row r="51291" spans="17:17" x14ac:dyDescent="0.25">
      <c r="Q51291" s="8"/>
    </row>
    <row r="51292" spans="17:17" x14ac:dyDescent="0.25">
      <c r="Q51292" s="8"/>
    </row>
    <row r="51293" spans="17:17" x14ac:dyDescent="0.25">
      <c r="Q51293" s="8"/>
    </row>
    <row r="51294" spans="17:17" x14ac:dyDescent="0.25">
      <c r="Q51294" s="8"/>
    </row>
    <row r="51295" spans="17:17" x14ac:dyDescent="0.25">
      <c r="Q51295" s="8"/>
    </row>
    <row r="51296" spans="17:17" x14ac:dyDescent="0.25">
      <c r="Q51296" s="8"/>
    </row>
    <row r="51297" spans="17:17" x14ac:dyDescent="0.25">
      <c r="Q51297" s="8"/>
    </row>
    <row r="51298" spans="17:17" x14ac:dyDescent="0.25">
      <c r="Q51298" s="8"/>
    </row>
    <row r="51299" spans="17:17" x14ac:dyDescent="0.25">
      <c r="Q51299" s="8"/>
    </row>
    <row r="51300" spans="17:17" x14ac:dyDescent="0.25">
      <c r="Q51300" s="8"/>
    </row>
    <row r="51301" spans="17:17" x14ac:dyDescent="0.25">
      <c r="Q51301" s="8"/>
    </row>
    <row r="51302" spans="17:17" x14ac:dyDescent="0.25">
      <c r="Q51302" s="8"/>
    </row>
    <row r="51303" spans="17:17" x14ac:dyDescent="0.25">
      <c r="Q51303" s="8"/>
    </row>
    <row r="51304" spans="17:17" x14ac:dyDescent="0.25">
      <c r="Q51304" s="8"/>
    </row>
    <row r="51305" spans="17:17" x14ac:dyDescent="0.25">
      <c r="Q51305" s="8"/>
    </row>
    <row r="51306" spans="17:17" x14ac:dyDescent="0.25">
      <c r="Q51306" s="8"/>
    </row>
    <row r="51307" spans="17:17" x14ac:dyDescent="0.25">
      <c r="Q51307" s="8"/>
    </row>
    <row r="51308" spans="17:17" x14ac:dyDescent="0.25">
      <c r="Q51308" s="8"/>
    </row>
    <row r="51309" spans="17:17" x14ac:dyDescent="0.25">
      <c r="Q51309" s="8"/>
    </row>
    <row r="51310" spans="17:17" x14ac:dyDescent="0.25">
      <c r="Q51310" s="8"/>
    </row>
    <row r="51311" spans="17:17" x14ac:dyDescent="0.25">
      <c r="Q51311" s="8"/>
    </row>
    <row r="51312" spans="17:17" x14ac:dyDescent="0.25">
      <c r="Q51312" s="8"/>
    </row>
    <row r="51313" spans="17:17" x14ac:dyDescent="0.25">
      <c r="Q51313" s="8"/>
    </row>
    <row r="51314" spans="17:17" x14ac:dyDescent="0.25">
      <c r="Q51314" s="8"/>
    </row>
    <row r="51315" spans="17:17" x14ac:dyDescent="0.25">
      <c r="Q51315" s="8"/>
    </row>
    <row r="51316" spans="17:17" x14ac:dyDescent="0.25">
      <c r="Q51316" s="8"/>
    </row>
    <row r="51317" spans="17:17" x14ac:dyDescent="0.25">
      <c r="Q51317" s="8"/>
    </row>
    <row r="51318" spans="17:17" x14ac:dyDescent="0.25">
      <c r="Q51318" s="8"/>
    </row>
    <row r="51319" spans="17:17" x14ac:dyDescent="0.25">
      <c r="Q51319" s="8"/>
    </row>
    <row r="51320" spans="17:17" x14ac:dyDescent="0.25">
      <c r="Q51320" s="8"/>
    </row>
    <row r="51321" spans="17:17" x14ac:dyDescent="0.25">
      <c r="Q51321" s="8"/>
    </row>
    <row r="51322" spans="17:17" x14ac:dyDescent="0.25">
      <c r="Q51322" s="8"/>
    </row>
    <row r="51323" spans="17:17" x14ac:dyDescent="0.25">
      <c r="Q51323" s="8"/>
    </row>
    <row r="51324" spans="17:17" x14ac:dyDescent="0.25">
      <c r="Q51324" s="8"/>
    </row>
    <row r="51325" spans="17:17" x14ac:dyDescent="0.25">
      <c r="Q51325" s="8"/>
    </row>
    <row r="51326" spans="17:17" x14ac:dyDescent="0.25">
      <c r="Q51326" s="8"/>
    </row>
    <row r="51327" spans="17:17" x14ac:dyDescent="0.25">
      <c r="Q51327" s="8"/>
    </row>
    <row r="51328" spans="17:17" x14ac:dyDescent="0.25">
      <c r="Q51328" s="8"/>
    </row>
    <row r="51329" spans="17:17" x14ac:dyDescent="0.25">
      <c r="Q51329" s="8"/>
    </row>
    <row r="51330" spans="17:17" x14ac:dyDescent="0.25">
      <c r="Q51330" s="8"/>
    </row>
    <row r="51331" spans="17:17" x14ac:dyDescent="0.25">
      <c r="Q51331" s="8"/>
    </row>
    <row r="51332" spans="17:17" x14ac:dyDescent="0.25">
      <c r="Q51332" s="8"/>
    </row>
    <row r="51333" spans="17:17" x14ac:dyDescent="0.25">
      <c r="Q51333" s="8"/>
    </row>
    <row r="51334" spans="17:17" x14ac:dyDescent="0.25">
      <c r="Q51334" s="8"/>
    </row>
    <row r="51335" spans="17:17" x14ac:dyDescent="0.25">
      <c r="Q51335" s="8"/>
    </row>
    <row r="51336" spans="17:17" x14ac:dyDescent="0.25">
      <c r="Q51336" s="8"/>
    </row>
    <row r="51337" spans="17:17" x14ac:dyDescent="0.25">
      <c r="Q51337" s="8"/>
    </row>
    <row r="51338" spans="17:17" x14ac:dyDescent="0.25">
      <c r="Q51338" s="8"/>
    </row>
    <row r="51339" spans="17:17" x14ac:dyDescent="0.25">
      <c r="Q51339" s="8"/>
    </row>
    <row r="51340" spans="17:17" x14ac:dyDescent="0.25">
      <c r="Q51340" s="8"/>
    </row>
    <row r="51341" spans="17:17" x14ac:dyDescent="0.25">
      <c r="Q51341" s="8"/>
    </row>
    <row r="51342" spans="17:17" x14ac:dyDescent="0.25">
      <c r="Q51342" s="8"/>
    </row>
    <row r="51343" spans="17:17" x14ac:dyDescent="0.25">
      <c r="Q51343" s="8"/>
    </row>
    <row r="51344" spans="17:17" x14ac:dyDescent="0.25">
      <c r="Q51344" s="8"/>
    </row>
    <row r="51345" spans="17:17" x14ac:dyDescent="0.25">
      <c r="Q51345" s="8"/>
    </row>
    <row r="51346" spans="17:17" x14ac:dyDescent="0.25">
      <c r="Q51346" s="8"/>
    </row>
    <row r="51347" spans="17:17" x14ac:dyDescent="0.25">
      <c r="Q51347" s="8"/>
    </row>
    <row r="51348" spans="17:17" x14ac:dyDescent="0.25">
      <c r="Q51348" s="8"/>
    </row>
    <row r="51349" spans="17:17" x14ac:dyDescent="0.25">
      <c r="Q51349" s="8"/>
    </row>
    <row r="51350" spans="17:17" x14ac:dyDescent="0.25">
      <c r="Q51350" s="8"/>
    </row>
    <row r="51351" spans="17:17" x14ac:dyDescent="0.25">
      <c r="Q51351" s="8"/>
    </row>
    <row r="51352" spans="17:17" x14ac:dyDescent="0.25">
      <c r="Q51352" s="8"/>
    </row>
    <row r="51353" spans="17:17" x14ac:dyDescent="0.25">
      <c r="Q51353" s="8"/>
    </row>
    <row r="51354" spans="17:17" x14ac:dyDescent="0.25">
      <c r="Q51354" s="8"/>
    </row>
    <row r="51355" spans="17:17" x14ac:dyDescent="0.25">
      <c r="Q51355" s="8"/>
    </row>
    <row r="51356" spans="17:17" x14ac:dyDescent="0.25">
      <c r="Q51356" s="8"/>
    </row>
    <row r="51357" spans="17:17" x14ac:dyDescent="0.25">
      <c r="Q51357" s="8"/>
    </row>
    <row r="51358" spans="17:17" x14ac:dyDescent="0.25">
      <c r="Q51358" s="8"/>
    </row>
    <row r="51359" spans="17:17" x14ac:dyDescent="0.25">
      <c r="Q51359" s="8"/>
    </row>
    <row r="51360" spans="17:17" x14ac:dyDescent="0.25">
      <c r="Q51360" s="8"/>
    </row>
    <row r="51361" spans="17:17" x14ac:dyDescent="0.25">
      <c r="Q51361" s="8"/>
    </row>
    <row r="51362" spans="17:17" x14ac:dyDescent="0.25">
      <c r="Q51362" s="8"/>
    </row>
    <row r="51363" spans="17:17" x14ac:dyDescent="0.25">
      <c r="Q51363" s="8"/>
    </row>
    <row r="51364" spans="17:17" x14ac:dyDescent="0.25">
      <c r="Q51364" s="8"/>
    </row>
    <row r="51365" spans="17:17" x14ac:dyDescent="0.25">
      <c r="Q51365" s="8"/>
    </row>
    <row r="51366" spans="17:17" x14ac:dyDescent="0.25">
      <c r="Q51366" s="8"/>
    </row>
    <row r="51367" spans="17:17" x14ac:dyDescent="0.25">
      <c r="Q51367" s="8"/>
    </row>
    <row r="51368" spans="17:17" x14ac:dyDescent="0.25">
      <c r="Q51368" s="8"/>
    </row>
    <row r="51369" spans="17:17" x14ac:dyDescent="0.25">
      <c r="Q51369" s="8"/>
    </row>
    <row r="51370" spans="17:17" x14ac:dyDescent="0.25">
      <c r="Q51370" s="8"/>
    </row>
    <row r="51371" spans="17:17" x14ac:dyDescent="0.25">
      <c r="Q51371" s="8"/>
    </row>
    <row r="51372" spans="17:17" x14ac:dyDescent="0.25">
      <c r="Q51372" s="8"/>
    </row>
    <row r="51373" spans="17:17" x14ac:dyDescent="0.25">
      <c r="Q51373" s="8"/>
    </row>
    <row r="51374" spans="17:17" x14ac:dyDescent="0.25">
      <c r="Q51374" s="8"/>
    </row>
    <row r="51375" spans="17:17" x14ac:dyDescent="0.25">
      <c r="Q51375" s="8"/>
    </row>
    <row r="51376" spans="17:17" x14ac:dyDescent="0.25">
      <c r="Q51376" s="8"/>
    </row>
    <row r="51377" spans="17:17" x14ac:dyDescent="0.25">
      <c r="Q51377" s="8"/>
    </row>
    <row r="51378" spans="17:17" x14ac:dyDescent="0.25">
      <c r="Q51378" s="8"/>
    </row>
    <row r="51379" spans="17:17" x14ac:dyDescent="0.25">
      <c r="Q51379" s="8"/>
    </row>
    <row r="51380" spans="17:17" x14ac:dyDescent="0.25">
      <c r="Q51380" s="8"/>
    </row>
    <row r="51381" spans="17:17" x14ac:dyDescent="0.25">
      <c r="Q51381" s="8"/>
    </row>
    <row r="51382" spans="17:17" x14ac:dyDescent="0.25">
      <c r="Q51382" s="8"/>
    </row>
    <row r="51383" spans="17:17" x14ac:dyDescent="0.25">
      <c r="Q51383" s="8"/>
    </row>
    <row r="51384" spans="17:17" x14ac:dyDescent="0.25">
      <c r="Q51384" s="8"/>
    </row>
    <row r="51385" spans="17:17" x14ac:dyDescent="0.25">
      <c r="Q51385" s="8"/>
    </row>
    <row r="51386" spans="17:17" x14ac:dyDescent="0.25">
      <c r="Q51386" s="8"/>
    </row>
    <row r="51387" spans="17:17" x14ac:dyDescent="0.25">
      <c r="Q51387" s="8"/>
    </row>
    <row r="51388" spans="17:17" x14ac:dyDescent="0.25">
      <c r="Q51388" s="8"/>
    </row>
    <row r="51389" spans="17:17" x14ac:dyDescent="0.25">
      <c r="Q51389" s="8"/>
    </row>
    <row r="51390" spans="17:17" x14ac:dyDescent="0.25">
      <c r="Q51390" s="8"/>
    </row>
    <row r="51391" spans="17:17" x14ac:dyDescent="0.25">
      <c r="Q51391" s="8"/>
    </row>
    <row r="51392" spans="17:17" x14ac:dyDescent="0.25">
      <c r="Q51392" s="8"/>
    </row>
    <row r="51393" spans="17:17" x14ac:dyDescent="0.25">
      <c r="Q51393" s="8"/>
    </row>
    <row r="51394" spans="17:17" x14ac:dyDescent="0.25">
      <c r="Q51394" s="8"/>
    </row>
    <row r="51395" spans="17:17" x14ac:dyDescent="0.25">
      <c r="Q51395" s="8"/>
    </row>
    <row r="51396" spans="17:17" x14ac:dyDescent="0.25">
      <c r="Q51396" s="8"/>
    </row>
    <row r="51397" spans="17:17" x14ac:dyDescent="0.25">
      <c r="Q51397" s="8"/>
    </row>
    <row r="51398" spans="17:17" x14ac:dyDescent="0.25">
      <c r="Q51398" s="8"/>
    </row>
    <row r="51399" spans="17:17" x14ac:dyDescent="0.25">
      <c r="Q51399" s="8"/>
    </row>
    <row r="51400" spans="17:17" x14ac:dyDescent="0.25">
      <c r="Q51400" s="8"/>
    </row>
    <row r="51401" spans="17:17" x14ac:dyDescent="0.25">
      <c r="Q51401" s="8"/>
    </row>
    <row r="51402" spans="17:17" x14ac:dyDescent="0.25">
      <c r="Q51402" s="8"/>
    </row>
    <row r="51403" spans="17:17" x14ac:dyDescent="0.25">
      <c r="Q51403" s="8"/>
    </row>
    <row r="51404" spans="17:17" x14ac:dyDescent="0.25">
      <c r="Q51404" s="8"/>
    </row>
    <row r="51405" spans="17:17" x14ac:dyDescent="0.25">
      <c r="Q51405" s="8"/>
    </row>
    <row r="51406" spans="17:17" x14ac:dyDescent="0.25">
      <c r="Q51406" s="8"/>
    </row>
    <row r="51407" spans="17:17" x14ac:dyDescent="0.25">
      <c r="Q51407" s="8"/>
    </row>
    <row r="51408" spans="17:17" x14ac:dyDescent="0.25">
      <c r="Q51408" s="8"/>
    </row>
    <row r="51409" spans="17:17" x14ac:dyDescent="0.25">
      <c r="Q51409" s="8"/>
    </row>
    <row r="51410" spans="17:17" x14ac:dyDescent="0.25">
      <c r="Q51410" s="8"/>
    </row>
    <row r="51411" spans="17:17" x14ac:dyDescent="0.25">
      <c r="Q51411" s="8"/>
    </row>
    <row r="51412" spans="17:17" x14ac:dyDescent="0.25">
      <c r="Q51412" s="8"/>
    </row>
    <row r="51413" spans="17:17" x14ac:dyDescent="0.25">
      <c r="Q51413" s="8"/>
    </row>
    <row r="51414" spans="17:17" x14ac:dyDescent="0.25">
      <c r="Q51414" s="8"/>
    </row>
    <row r="51415" spans="17:17" x14ac:dyDescent="0.25">
      <c r="Q51415" s="8"/>
    </row>
    <row r="51416" spans="17:17" x14ac:dyDescent="0.25">
      <c r="Q51416" s="8"/>
    </row>
    <row r="51417" spans="17:17" x14ac:dyDescent="0.25">
      <c r="Q51417" s="8"/>
    </row>
    <row r="51418" spans="17:17" x14ac:dyDescent="0.25">
      <c r="Q51418" s="8"/>
    </row>
    <row r="51419" spans="17:17" x14ac:dyDescent="0.25">
      <c r="Q51419" s="8"/>
    </row>
    <row r="51420" spans="17:17" x14ac:dyDescent="0.25">
      <c r="Q51420" s="8"/>
    </row>
    <row r="51421" spans="17:17" x14ac:dyDescent="0.25">
      <c r="Q51421" s="8"/>
    </row>
    <row r="51422" spans="17:17" x14ac:dyDescent="0.25">
      <c r="Q51422" s="8"/>
    </row>
    <row r="51423" spans="17:17" x14ac:dyDescent="0.25">
      <c r="Q51423" s="8"/>
    </row>
    <row r="51424" spans="17:17" x14ac:dyDescent="0.25">
      <c r="Q51424" s="8"/>
    </row>
    <row r="51425" spans="17:17" x14ac:dyDescent="0.25">
      <c r="Q51425" s="8"/>
    </row>
    <row r="51426" spans="17:17" x14ac:dyDescent="0.25">
      <c r="Q51426" s="8"/>
    </row>
    <row r="51427" spans="17:17" x14ac:dyDescent="0.25">
      <c r="Q51427" s="8"/>
    </row>
    <row r="51428" spans="17:17" x14ac:dyDescent="0.25">
      <c r="Q51428" s="8"/>
    </row>
    <row r="51429" spans="17:17" x14ac:dyDescent="0.25">
      <c r="Q51429" s="8"/>
    </row>
    <row r="51430" spans="17:17" x14ac:dyDescent="0.25">
      <c r="Q51430" s="8"/>
    </row>
    <row r="51431" spans="17:17" x14ac:dyDescent="0.25">
      <c r="Q51431" s="8"/>
    </row>
    <row r="51432" spans="17:17" x14ac:dyDescent="0.25">
      <c r="Q51432" s="8"/>
    </row>
    <row r="51433" spans="17:17" x14ac:dyDescent="0.25">
      <c r="Q51433" s="8"/>
    </row>
    <row r="51434" spans="17:17" x14ac:dyDescent="0.25">
      <c r="Q51434" s="8"/>
    </row>
    <row r="51435" spans="17:17" x14ac:dyDescent="0.25">
      <c r="Q51435" s="8"/>
    </row>
    <row r="51436" spans="17:17" x14ac:dyDescent="0.25">
      <c r="Q51436" s="8"/>
    </row>
    <row r="51437" spans="17:17" x14ac:dyDescent="0.25">
      <c r="Q51437" s="8"/>
    </row>
    <row r="51438" spans="17:17" x14ac:dyDescent="0.25">
      <c r="Q51438" s="8"/>
    </row>
    <row r="51439" spans="17:17" x14ac:dyDescent="0.25">
      <c r="Q51439" s="8"/>
    </row>
    <row r="51440" spans="17:17" x14ac:dyDescent="0.25">
      <c r="Q51440" s="8"/>
    </row>
    <row r="51441" spans="17:17" x14ac:dyDescent="0.25">
      <c r="Q51441" s="8"/>
    </row>
    <row r="51442" spans="17:17" x14ac:dyDescent="0.25">
      <c r="Q51442" s="8"/>
    </row>
    <row r="51443" spans="17:17" x14ac:dyDescent="0.25">
      <c r="Q51443" s="8"/>
    </row>
    <row r="51444" spans="17:17" x14ac:dyDescent="0.25">
      <c r="Q51444" s="8"/>
    </row>
    <row r="51445" spans="17:17" x14ac:dyDescent="0.25">
      <c r="Q51445" s="8"/>
    </row>
    <row r="51446" spans="17:17" x14ac:dyDescent="0.25">
      <c r="Q51446" s="8"/>
    </row>
    <row r="51447" spans="17:17" x14ac:dyDescent="0.25">
      <c r="Q51447" s="8"/>
    </row>
    <row r="51448" spans="17:17" x14ac:dyDescent="0.25">
      <c r="Q51448" s="8"/>
    </row>
    <row r="51449" spans="17:17" x14ac:dyDescent="0.25">
      <c r="Q51449" s="8"/>
    </row>
    <row r="51450" spans="17:17" x14ac:dyDescent="0.25">
      <c r="Q51450" s="8"/>
    </row>
    <row r="51451" spans="17:17" x14ac:dyDescent="0.25">
      <c r="Q51451" s="8"/>
    </row>
    <row r="51452" spans="17:17" x14ac:dyDescent="0.25">
      <c r="Q51452" s="8"/>
    </row>
    <row r="51453" spans="17:17" x14ac:dyDescent="0.25">
      <c r="Q51453" s="8"/>
    </row>
    <row r="51454" spans="17:17" x14ac:dyDescent="0.25">
      <c r="Q51454" s="8"/>
    </row>
    <row r="51455" spans="17:17" x14ac:dyDescent="0.25">
      <c r="Q51455" s="8"/>
    </row>
    <row r="51456" spans="17:17" x14ac:dyDescent="0.25">
      <c r="Q51456" s="8"/>
    </row>
    <row r="51457" spans="17:17" x14ac:dyDescent="0.25">
      <c r="Q51457" s="8"/>
    </row>
    <row r="51458" spans="17:17" x14ac:dyDescent="0.25">
      <c r="Q51458" s="8"/>
    </row>
    <row r="51459" spans="17:17" x14ac:dyDescent="0.25">
      <c r="Q51459" s="8"/>
    </row>
    <row r="51460" spans="17:17" x14ac:dyDescent="0.25">
      <c r="Q51460" s="8"/>
    </row>
    <row r="51461" spans="17:17" x14ac:dyDescent="0.25">
      <c r="Q51461" s="8"/>
    </row>
    <row r="51462" spans="17:17" x14ac:dyDescent="0.25">
      <c r="Q51462" s="8"/>
    </row>
    <row r="51463" spans="17:17" x14ac:dyDescent="0.25">
      <c r="Q51463" s="8"/>
    </row>
    <row r="51464" spans="17:17" x14ac:dyDescent="0.25">
      <c r="Q51464" s="8"/>
    </row>
    <row r="51465" spans="17:17" x14ac:dyDescent="0.25">
      <c r="Q51465" s="8"/>
    </row>
    <row r="51466" spans="17:17" x14ac:dyDescent="0.25">
      <c r="Q51466" s="8"/>
    </row>
    <row r="51467" spans="17:17" x14ac:dyDescent="0.25">
      <c r="Q51467" s="8"/>
    </row>
    <row r="51468" spans="17:17" x14ac:dyDescent="0.25">
      <c r="Q51468" s="8"/>
    </row>
    <row r="51469" spans="17:17" x14ac:dyDescent="0.25">
      <c r="Q51469" s="8"/>
    </row>
    <row r="51470" spans="17:17" x14ac:dyDescent="0.25">
      <c r="Q51470" s="8"/>
    </row>
    <row r="51471" spans="17:17" x14ac:dyDescent="0.25">
      <c r="Q51471" s="8"/>
    </row>
    <row r="51472" spans="17:17" x14ac:dyDescent="0.25">
      <c r="Q51472" s="8"/>
    </row>
    <row r="51473" spans="17:17" x14ac:dyDescent="0.25">
      <c r="Q51473" s="8"/>
    </row>
    <row r="51474" spans="17:17" x14ac:dyDescent="0.25">
      <c r="Q51474" s="8"/>
    </row>
    <row r="51475" spans="17:17" x14ac:dyDescent="0.25">
      <c r="Q51475" s="8"/>
    </row>
    <row r="51476" spans="17:17" x14ac:dyDescent="0.25">
      <c r="Q51476" s="8"/>
    </row>
    <row r="51477" spans="17:17" x14ac:dyDescent="0.25">
      <c r="Q51477" s="8"/>
    </row>
    <row r="51478" spans="17:17" x14ac:dyDescent="0.25">
      <c r="Q51478" s="8"/>
    </row>
    <row r="51479" spans="17:17" x14ac:dyDescent="0.25">
      <c r="Q51479" s="8"/>
    </row>
    <row r="51480" spans="17:17" x14ac:dyDescent="0.25">
      <c r="Q51480" s="8"/>
    </row>
    <row r="51481" spans="17:17" x14ac:dyDescent="0.25">
      <c r="Q51481" s="8"/>
    </row>
    <row r="51482" spans="17:17" x14ac:dyDescent="0.25">
      <c r="Q51482" s="8"/>
    </row>
    <row r="51483" spans="17:17" x14ac:dyDescent="0.25">
      <c r="Q51483" s="8"/>
    </row>
    <row r="51484" spans="17:17" x14ac:dyDescent="0.25">
      <c r="Q51484" s="8"/>
    </row>
    <row r="51485" spans="17:17" x14ac:dyDescent="0.25">
      <c r="Q51485" s="8"/>
    </row>
    <row r="51486" spans="17:17" x14ac:dyDescent="0.25">
      <c r="Q51486" s="8"/>
    </row>
    <row r="51487" spans="17:17" x14ac:dyDescent="0.25">
      <c r="Q51487" s="8"/>
    </row>
    <row r="51488" spans="17:17" x14ac:dyDescent="0.25">
      <c r="Q51488" s="8"/>
    </row>
    <row r="51489" spans="17:17" x14ac:dyDescent="0.25">
      <c r="Q51489" s="8"/>
    </row>
    <row r="51490" spans="17:17" x14ac:dyDescent="0.25">
      <c r="Q51490" s="8"/>
    </row>
    <row r="51491" spans="17:17" x14ac:dyDescent="0.25">
      <c r="Q51491" s="8"/>
    </row>
    <row r="51492" spans="17:17" x14ac:dyDescent="0.25">
      <c r="Q51492" s="8"/>
    </row>
    <row r="51493" spans="17:17" x14ac:dyDescent="0.25">
      <c r="Q51493" s="8"/>
    </row>
    <row r="51494" spans="17:17" x14ac:dyDescent="0.25">
      <c r="Q51494" s="8"/>
    </row>
    <row r="51495" spans="17:17" x14ac:dyDescent="0.25">
      <c r="Q51495" s="8"/>
    </row>
    <row r="51496" spans="17:17" x14ac:dyDescent="0.25">
      <c r="Q51496" s="8"/>
    </row>
    <row r="51497" spans="17:17" x14ac:dyDescent="0.25">
      <c r="Q51497" s="8"/>
    </row>
    <row r="51498" spans="17:17" x14ac:dyDescent="0.25">
      <c r="Q51498" s="8"/>
    </row>
    <row r="51499" spans="17:17" x14ac:dyDescent="0.25">
      <c r="Q51499" s="8"/>
    </row>
    <row r="51500" spans="17:17" x14ac:dyDescent="0.25">
      <c r="Q51500" s="8"/>
    </row>
    <row r="51501" spans="17:17" x14ac:dyDescent="0.25">
      <c r="Q51501" s="8"/>
    </row>
    <row r="51502" spans="17:17" x14ac:dyDescent="0.25">
      <c r="Q51502" s="8"/>
    </row>
    <row r="51503" spans="17:17" x14ac:dyDescent="0.25">
      <c r="Q51503" s="8"/>
    </row>
    <row r="51504" spans="17:17" x14ac:dyDescent="0.25">
      <c r="Q51504" s="8"/>
    </row>
    <row r="51505" spans="17:17" x14ac:dyDescent="0.25">
      <c r="Q51505" s="8"/>
    </row>
    <row r="51506" spans="17:17" x14ac:dyDescent="0.25">
      <c r="Q51506" s="8"/>
    </row>
    <row r="51507" spans="17:17" x14ac:dyDescent="0.25">
      <c r="Q51507" s="8"/>
    </row>
    <row r="51508" spans="17:17" x14ac:dyDescent="0.25">
      <c r="Q51508" s="8"/>
    </row>
    <row r="51509" spans="17:17" x14ac:dyDescent="0.25">
      <c r="Q51509" s="8"/>
    </row>
    <row r="51510" spans="17:17" x14ac:dyDescent="0.25">
      <c r="Q51510" s="8"/>
    </row>
    <row r="51511" spans="17:17" x14ac:dyDescent="0.25">
      <c r="Q51511" s="8"/>
    </row>
    <row r="51512" spans="17:17" x14ac:dyDescent="0.25">
      <c r="Q51512" s="8"/>
    </row>
    <row r="51513" spans="17:17" x14ac:dyDescent="0.25">
      <c r="Q51513" s="8"/>
    </row>
    <row r="51514" spans="17:17" x14ac:dyDescent="0.25">
      <c r="Q51514" s="8"/>
    </row>
    <row r="51515" spans="17:17" x14ac:dyDescent="0.25">
      <c r="Q51515" s="8"/>
    </row>
    <row r="51516" spans="17:17" x14ac:dyDescent="0.25">
      <c r="Q51516" s="8"/>
    </row>
    <row r="51517" spans="17:17" x14ac:dyDescent="0.25">
      <c r="Q51517" s="8"/>
    </row>
    <row r="51518" spans="17:17" x14ac:dyDescent="0.25">
      <c r="Q51518" s="8"/>
    </row>
    <row r="51519" spans="17:17" x14ac:dyDescent="0.25">
      <c r="Q51519" s="8"/>
    </row>
    <row r="51520" spans="17:17" x14ac:dyDescent="0.25">
      <c r="Q51520" s="8"/>
    </row>
    <row r="51521" spans="17:17" x14ac:dyDescent="0.25">
      <c r="Q51521" s="8"/>
    </row>
    <row r="51522" spans="17:17" x14ac:dyDescent="0.25">
      <c r="Q51522" s="8"/>
    </row>
    <row r="51523" spans="17:17" x14ac:dyDescent="0.25">
      <c r="Q51523" s="8"/>
    </row>
    <row r="51524" spans="17:17" x14ac:dyDescent="0.25">
      <c r="Q51524" s="8"/>
    </row>
    <row r="51525" spans="17:17" x14ac:dyDescent="0.25">
      <c r="Q51525" s="8"/>
    </row>
    <row r="51526" spans="17:17" x14ac:dyDescent="0.25">
      <c r="Q51526" s="8"/>
    </row>
    <row r="51527" spans="17:17" x14ac:dyDescent="0.25">
      <c r="Q51527" s="8"/>
    </row>
    <row r="51528" spans="17:17" x14ac:dyDescent="0.25">
      <c r="Q51528" s="8"/>
    </row>
    <row r="51529" spans="17:17" x14ac:dyDescent="0.25">
      <c r="Q51529" s="8"/>
    </row>
    <row r="51530" spans="17:17" x14ac:dyDescent="0.25">
      <c r="Q51530" s="8"/>
    </row>
    <row r="51531" spans="17:17" x14ac:dyDescent="0.25">
      <c r="Q51531" s="8"/>
    </row>
    <row r="51532" spans="17:17" x14ac:dyDescent="0.25">
      <c r="Q51532" s="8"/>
    </row>
    <row r="51533" spans="17:17" x14ac:dyDescent="0.25">
      <c r="Q51533" s="8"/>
    </row>
    <row r="51534" spans="17:17" x14ac:dyDescent="0.25">
      <c r="Q51534" s="8"/>
    </row>
    <row r="51535" spans="17:17" x14ac:dyDescent="0.25">
      <c r="Q51535" s="8"/>
    </row>
    <row r="51536" spans="17:17" x14ac:dyDescent="0.25">
      <c r="Q51536" s="8"/>
    </row>
    <row r="51537" spans="17:17" x14ac:dyDescent="0.25">
      <c r="Q51537" s="8"/>
    </row>
    <row r="51538" spans="17:17" x14ac:dyDescent="0.25">
      <c r="Q51538" s="8"/>
    </row>
    <row r="51539" spans="17:17" x14ac:dyDescent="0.25">
      <c r="Q51539" s="8"/>
    </row>
    <row r="51540" spans="17:17" x14ac:dyDescent="0.25">
      <c r="Q51540" s="8"/>
    </row>
    <row r="51541" spans="17:17" x14ac:dyDescent="0.25">
      <c r="Q51541" s="8"/>
    </row>
    <row r="51542" spans="17:17" x14ac:dyDescent="0.25">
      <c r="Q51542" s="8"/>
    </row>
    <row r="51543" spans="17:17" x14ac:dyDescent="0.25">
      <c r="Q51543" s="8"/>
    </row>
    <row r="51544" spans="17:17" x14ac:dyDescent="0.25">
      <c r="Q51544" s="8"/>
    </row>
    <row r="51545" spans="17:17" x14ac:dyDescent="0.25">
      <c r="Q51545" s="8"/>
    </row>
    <row r="51546" spans="17:17" x14ac:dyDescent="0.25">
      <c r="Q51546" s="8"/>
    </row>
    <row r="51547" spans="17:17" x14ac:dyDescent="0.25">
      <c r="Q51547" s="8"/>
    </row>
    <row r="51548" spans="17:17" x14ac:dyDescent="0.25">
      <c r="Q51548" s="8"/>
    </row>
    <row r="51549" spans="17:17" x14ac:dyDescent="0.25">
      <c r="Q51549" s="8"/>
    </row>
    <row r="51550" spans="17:17" x14ac:dyDescent="0.25">
      <c r="Q51550" s="8"/>
    </row>
    <row r="51551" spans="17:17" x14ac:dyDescent="0.25">
      <c r="Q51551" s="8"/>
    </row>
    <row r="51552" spans="17:17" x14ac:dyDescent="0.25">
      <c r="Q51552" s="8"/>
    </row>
    <row r="51553" spans="17:17" x14ac:dyDescent="0.25">
      <c r="Q51553" s="8"/>
    </row>
    <row r="51554" spans="17:17" x14ac:dyDescent="0.25">
      <c r="Q51554" s="8"/>
    </row>
    <row r="51555" spans="17:17" x14ac:dyDescent="0.25">
      <c r="Q51555" s="8"/>
    </row>
    <row r="51556" spans="17:17" x14ac:dyDescent="0.25">
      <c r="Q51556" s="8"/>
    </row>
    <row r="51557" spans="17:17" x14ac:dyDescent="0.25">
      <c r="Q51557" s="8"/>
    </row>
    <row r="51558" spans="17:17" x14ac:dyDescent="0.25">
      <c r="Q51558" s="8"/>
    </row>
    <row r="51559" spans="17:17" x14ac:dyDescent="0.25">
      <c r="Q51559" s="8"/>
    </row>
    <row r="51560" spans="17:17" x14ac:dyDescent="0.25">
      <c r="Q51560" s="8"/>
    </row>
    <row r="51561" spans="17:17" x14ac:dyDescent="0.25">
      <c r="Q51561" s="8"/>
    </row>
    <row r="51562" spans="17:17" x14ac:dyDescent="0.25">
      <c r="Q51562" s="8"/>
    </row>
    <row r="51563" spans="17:17" x14ac:dyDescent="0.25">
      <c r="Q51563" s="8"/>
    </row>
    <row r="51564" spans="17:17" x14ac:dyDescent="0.25">
      <c r="Q51564" s="8"/>
    </row>
    <row r="51565" spans="17:17" x14ac:dyDescent="0.25">
      <c r="Q51565" s="8"/>
    </row>
    <row r="51566" spans="17:17" x14ac:dyDescent="0.25">
      <c r="Q51566" s="8"/>
    </row>
    <row r="51567" spans="17:17" x14ac:dyDescent="0.25">
      <c r="Q51567" s="8"/>
    </row>
    <row r="51568" spans="17:17" x14ac:dyDescent="0.25">
      <c r="Q51568" s="8"/>
    </row>
    <row r="51569" spans="17:17" x14ac:dyDescent="0.25">
      <c r="Q51569" s="8"/>
    </row>
    <row r="51570" spans="17:17" x14ac:dyDescent="0.25">
      <c r="Q51570" s="8"/>
    </row>
    <row r="51571" spans="17:17" x14ac:dyDescent="0.25">
      <c r="Q51571" s="8"/>
    </row>
    <row r="51572" spans="17:17" x14ac:dyDescent="0.25">
      <c r="Q51572" s="8"/>
    </row>
    <row r="51573" spans="17:17" x14ac:dyDescent="0.25">
      <c r="Q51573" s="8"/>
    </row>
    <row r="51574" spans="17:17" x14ac:dyDescent="0.25">
      <c r="Q51574" s="8"/>
    </row>
    <row r="51575" spans="17:17" x14ac:dyDescent="0.25">
      <c r="Q51575" s="8"/>
    </row>
    <row r="51576" spans="17:17" x14ac:dyDescent="0.25">
      <c r="Q51576" s="8"/>
    </row>
    <row r="51577" spans="17:17" x14ac:dyDescent="0.25">
      <c r="Q51577" s="8"/>
    </row>
    <row r="51578" spans="17:17" x14ac:dyDescent="0.25">
      <c r="Q51578" s="8"/>
    </row>
    <row r="51579" spans="17:17" x14ac:dyDescent="0.25">
      <c r="Q51579" s="8"/>
    </row>
    <row r="51580" spans="17:17" x14ac:dyDescent="0.25">
      <c r="Q51580" s="8"/>
    </row>
    <row r="51581" spans="17:17" x14ac:dyDescent="0.25">
      <c r="Q51581" s="8"/>
    </row>
    <row r="51582" spans="17:17" x14ac:dyDescent="0.25">
      <c r="Q51582" s="8"/>
    </row>
    <row r="51583" spans="17:17" x14ac:dyDescent="0.25">
      <c r="Q51583" s="8"/>
    </row>
    <row r="51584" spans="17:17" x14ac:dyDescent="0.25">
      <c r="Q51584" s="8"/>
    </row>
    <row r="51585" spans="17:17" x14ac:dyDescent="0.25">
      <c r="Q51585" s="8"/>
    </row>
    <row r="51586" spans="17:17" x14ac:dyDescent="0.25">
      <c r="Q51586" s="8"/>
    </row>
    <row r="51587" spans="17:17" x14ac:dyDescent="0.25">
      <c r="Q51587" s="8"/>
    </row>
    <row r="51588" spans="17:17" x14ac:dyDescent="0.25">
      <c r="Q51588" s="8"/>
    </row>
    <row r="51589" spans="17:17" x14ac:dyDescent="0.25">
      <c r="Q51589" s="8"/>
    </row>
    <row r="51590" spans="17:17" x14ac:dyDescent="0.25">
      <c r="Q51590" s="8"/>
    </row>
    <row r="51591" spans="17:17" x14ac:dyDescent="0.25">
      <c r="Q51591" s="8"/>
    </row>
    <row r="51592" spans="17:17" x14ac:dyDescent="0.25">
      <c r="Q51592" s="8"/>
    </row>
    <row r="51593" spans="17:17" x14ac:dyDescent="0.25">
      <c r="Q51593" s="8"/>
    </row>
    <row r="51594" spans="17:17" x14ac:dyDescent="0.25">
      <c r="Q51594" s="8"/>
    </row>
    <row r="51595" spans="17:17" x14ac:dyDescent="0.25">
      <c r="Q51595" s="8"/>
    </row>
    <row r="51596" spans="17:17" x14ac:dyDescent="0.25">
      <c r="Q51596" s="8"/>
    </row>
    <row r="51597" spans="17:17" x14ac:dyDescent="0.25">
      <c r="Q51597" s="8"/>
    </row>
    <row r="51598" spans="17:17" x14ac:dyDescent="0.25">
      <c r="Q51598" s="8"/>
    </row>
    <row r="51599" spans="17:17" x14ac:dyDescent="0.25">
      <c r="Q51599" s="8"/>
    </row>
    <row r="51600" spans="17:17" x14ac:dyDescent="0.25">
      <c r="Q51600" s="8"/>
    </row>
    <row r="51601" spans="17:17" x14ac:dyDescent="0.25">
      <c r="Q51601" s="8"/>
    </row>
    <row r="51602" spans="17:17" x14ac:dyDescent="0.25">
      <c r="Q51602" s="8"/>
    </row>
    <row r="51603" spans="17:17" x14ac:dyDescent="0.25">
      <c r="Q51603" s="8"/>
    </row>
    <row r="51604" spans="17:17" x14ac:dyDescent="0.25">
      <c r="Q51604" s="8"/>
    </row>
    <row r="51605" spans="17:17" x14ac:dyDescent="0.25">
      <c r="Q51605" s="8"/>
    </row>
    <row r="51606" spans="17:17" x14ac:dyDescent="0.25">
      <c r="Q51606" s="8"/>
    </row>
    <row r="51607" spans="17:17" x14ac:dyDescent="0.25">
      <c r="Q51607" s="8"/>
    </row>
    <row r="51608" spans="17:17" x14ac:dyDescent="0.25">
      <c r="Q51608" s="8"/>
    </row>
    <row r="51609" spans="17:17" x14ac:dyDescent="0.25">
      <c r="Q51609" s="8"/>
    </row>
    <row r="51610" spans="17:17" x14ac:dyDescent="0.25">
      <c r="Q51610" s="8"/>
    </row>
    <row r="51611" spans="17:17" x14ac:dyDescent="0.25">
      <c r="Q51611" s="8"/>
    </row>
    <row r="51612" spans="17:17" x14ac:dyDescent="0.25">
      <c r="Q51612" s="8"/>
    </row>
    <row r="51613" spans="17:17" x14ac:dyDescent="0.25">
      <c r="Q51613" s="8"/>
    </row>
    <row r="51614" spans="17:17" x14ac:dyDescent="0.25">
      <c r="Q51614" s="8"/>
    </row>
    <row r="51615" spans="17:17" x14ac:dyDescent="0.25">
      <c r="Q51615" s="8"/>
    </row>
    <row r="51616" spans="17:17" x14ac:dyDescent="0.25">
      <c r="Q51616" s="8"/>
    </row>
    <row r="51617" spans="17:17" x14ac:dyDescent="0.25">
      <c r="Q51617" s="8"/>
    </row>
    <row r="51618" spans="17:17" x14ac:dyDescent="0.25">
      <c r="Q51618" s="8"/>
    </row>
    <row r="51619" spans="17:17" x14ac:dyDescent="0.25">
      <c r="Q51619" s="8"/>
    </row>
    <row r="51620" spans="17:17" x14ac:dyDescent="0.25">
      <c r="Q51620" s="8"/>
    </row>
    <row r="51621" spans="17:17" x14ac:dyDescent="0.25">
      <c r="Q51621" s="8"/>
    </row>
    <row r="51622" spans="17:17" x14ac:dyDescent="0.25">
      <c r="Q51622" s="8"/>
    </row>
    <row r="51623" spans="17:17" x14ac:dyDescent="0.25">
      <c r="Q51623" s="8"/>
    </row>
    <row r="51624" spans="17:17" x14ac:dyDescent="0.25">
      <c r="Q51624" s="8"/>
    </row>
    <row r="51625" spans="17:17" x14ac:dyDescent="0.25">
      <c r="Q51625" s="8"/>
    </row>
    <row r="51626" spans="17:17" x14ac:dyDescent="0.25">
      <c r="Q51626" s="8"/>
    </row>
    <row r="51627" spans="17:17" x14ac:dyDescent="0.25">
      <c r="Q51627" s="8"/>
    </row>
    <row r="51628" spans="17:17" x14ac:dyDescent="0.25">
      <c r="Q51628" s="8"/>
    </row>
    <row r="51629" spans="17:17" x14ac:dyDescent="0.25">
      <c r="Q51629" s="8"/>
    </row>
    <row r="51630" spans="17:17" x14ac:dyDescent="0.25">
      <c r="Q51630" s="8"/>
    </row>
    <row r="51631" spans="17:17" x14ac:dyDescent="0.25">
      <c r="Q51631" s="8"/>
    </row>
    <row r="51632" spans="17:17" x14ac:dyDescent="0.25">
      <c r="Q51632" s="8"/>
    </row>
    <row r="51633" spans="17:17" x14ac:dyDescent="0.25">
      <c r="Q51633" s="8"/>
    </row>
    <row r="51634" spans="17:17" x14ac:dyDescent="0.25">
      <c r="Q51634" s="8"/>
    </row>
    <row r="51635" spans="17:17" x14ac:dyDescent="0.25">
      <c r="Q51635" s="8"/>
    </row>
    <row r="51636" spans="17:17" x14ac:dyDescent="0.25">
      <c r="Q51636" s="8"/>
    </row>
    <row r="51637" spans="17:17" x14ac:dyDescent="0.25">
      <c r="Q51637" s="8"/>
    </row>
    <row r="51638" spans="17:17" x14ac:dyDescent="0.25">
      <c r="Q51638" s="8"/>
    </row>
    <row r="51639" spans="17:17" x14ac:dyDescent="0.25">
      <c r="Q51639" s="8"/>
    </row>
    <row r="51640" spans="17:17" x14ac:dyDescent="0.25">
      <c r="Q51640" s="8"/>
    </row>
    <row r="51641" spans="17:17" x14ac:dyDescent="0.25">
      <c r="Q51641" s="8"/>
    </row>
    <row r="51642" spans="17:17" x14ac:dyDescent="0.25">
      <c r="Q51642" s="8"/>
    </row>
    <row r="51643" spans="17:17" x14ac:dyDescent="0.25">
      <c r="Q51643" s="8"/>
    </row>
    <row r="51644" spans="17:17" x14ac:dyDescent="0.25">
      <c r="Q51644" s="8"/>
    </row>
    <row r="51645" spans="17:17" x14ac:dyDescent="0.25">
      <c r="Q51645" s="8"/>
    </row>
    <row r="51646" spans="17:17" x14ac:dyDescent="0.25">
      <c r="Q51646" s="8"/>
    </row>
    <row r="51647" spans="17:17" x14ac:dyDescent="0.25">
      <c r="Q51647" s="8"/>
    </row>
    <row r="51648" spans="17:17" x14ac:dyDescent="0.25">
      <c r="Q51648" s="8"/>
    </row>
    <row r="51649" spans="17:17" x14ac:dyDescent="0.25">
      <c r="Q51649" s="8"/>
    </row>
    <row r="51650" spans="17:17" x14ac:dyDescent="0.25">
      <c r="Q51650" s="8"/>
    </row>
    <row r="51651" spans="17:17" x14ac:dyDescent="0.25">
      <c r="Q51651" s="8"/>
    </row>
    <row r="51652" spans="17:17" x14ac:dyDescent="0.25">
      <c r="Q51652" s="8"/>
    </row>
    <row r="51653" spans="17:17" x14ac:dyDescent="0.25">
      <c r="Q51653" s="8"/>
    </row>
    <row r="51654" spans="17:17" x14ac:dyDescent="0.25">
      <c r="Q51654" s="8"/>
    </row>
    <row r="51655" spans="17:17" x14ac:dyDescent="0.25">
      <c r="Q51655" s="8"/>
    </row>
    <row r="51656" spans="17:17" x14ac:dyDescent="0.25">
      <c r="Q51656" s="8"/>
    </row>
    <row r="51657" spans="17:17" x14ac:dyDescent="0.25">
      <c r="Q51657" s="8"/>
    </row>
    <row r="51658" spans="17:17" x14ac:dyDescent="0.25">
      <c r="Q51658" s="8"/>
    </row>
    <row r="51659" spans="17:17" x14ac:dyDescent="0.25">
      <c r="Q51659" s="8"/>
    </row>
    <row r="51660" spans="17:17" x14ac:dyDescent="0.25">
      <c r="Q51660" s="8"/>
    </row>
    <row r="51661" spans="17:17" x14ac:dyDescent="0.25">
      <c r="Q51661" s="8"/>
    </row>
    <row r="51662" spans="17:17" x14ac:dyDescent="0.25">
      <c r="Q51662" s="8"/>
    </row>
    <row r="51663" spans="17:17" x14ac:dyDescent="0.25">
      <c r="Q51663" s="8"/>
    </row>
    <row r="51664" spans="17:17" x14ac:dyDescent="0.25">
      <c r="Q51664" s="8"/>
    </row>
    <row r="51665" spans="17:17" x14ac:dyDescent="0.25">
      <c r="Q51665" s="8"/>
    </row>
    <row r="51666" spans="17:17" x14ac:dyDescent="0.25">
      <c r="Q51666" s="8"/>
    </row>
    <row r="51667" spans="17:17" x14ac:dyDescent="0.25">
      <c r="Q51667" s="8"/>
    </row>
    <row r="51668" spans="17:17" x14ac:dyDescent="0.25">
      <c r="Q51668" s="8"/>
    </row>
    <row r="51669" spans="17:17" x14ac:dyDescent="0.25">
      <c r="Q51669" s="8"/>
    </row>
    <row r="51670" spans="17:17" x14ac:dyDescent="0.25">
      <c r="Q51670" s="8"/>
    </row>
    <row r="51671" spans="17:17" x14ac:dyDescent="0.25">
      <c r="Q51671" s="8"/>
    </row>
    <row r="51672" spans="17:17" x14ac:dyDescent="0.25">
      <c r="Q51672" s="8"/>
    </row>
    <row r="51673" spans="17:17" x14ac:dyDescent="0.25">
      <c r="Q51673" s="8"/>
    </row>
    <row r="51674" spans="17:17" x14ac:dyDescent="0.25">
      <c r="Q51674" s="8"/>
    </row>
    <row r="51675" spans="17:17" x14ac:dyDescent="0.25">
      <c r="Q51675" s="8"/>
    </row>
    <row r="51676" spans="17:17" x14ac:dyDescent="0.25">
      <c r="Q51676" s="8"/>
    </row>
    <row r="51677" spans="17:17" x14ac:dyDescent="0.25">
      <c r="Q51677" s="8"/>
    </row>
    <row r="51678" spans="17:17" x14ac:dyDescent="0.25">
      <c r="Q51678" s="8"/>
    </row>
    <row r="51679" spans="17:17" x14ac:dyDescent="0.25">
      <c r="Q51679" s="8"/>
    </row>
    <row r="51680" spans="17:17" x14ac:dyDescent="0.25">
      <c r="Q51680" s="8"/>
    </row>
    <row r="51681" spans="17:17" x14ac:dyDescent="0.25">
      <c r="Q51681" s="8"/>
    </row>
    <row r="51682" spans="17:17" x14ac:dyDescent="0.25">
      <c r="Q51682" s="8"/>
    </row>
    <row r="51683" spans="17:17" x14ac:dyDescent="0.25">
      <c r="Q51683" s="8"/>
    </row>
    <row r="51684" spans="17:17" x14ac:dyDescent="0.25">
      <c r="Q51684" s="8"/>
    </row>
    <row r="51685" spans="17:17" x14ac:dyDescent="0.25">
      <c r="Q51685" s="8"/>
    </row>
    <row r="51686" spans="17:17" x14ac:dyDescent="0.25">
      <c r="Q51686" s="8"/>
    </row>
    <row r="51687" spans="17:17" x14ac:dyDescent="0.25">
      <c r="Q51687" s="8"/>
    </row>
    <row r="51688" spans="17:17" x14ac:dyDescent="0.25">
      <c r="Q51688" s="8"/>
    </row>
    <row r="51689" spans="17:17" x14ac:dyDescent="0.25">
      <c r="Q51689" s="8"/>
    </row>
    <row r="51690" spans="17:17" x14ac:dyDescent="0.25">
      <c r="Q51690" s="8"/>
    </row>
    <row r="51691" spans="17:17" x14ac:dyDescent="0.25">
      <c r="Q51691" s="8"/>
    </row>
    <row r="51692" spans="17:17" x14ac:dyDescent="0.25">
      <c r="Q51692" s="8"/>
    </row>
    <row r="51693" spans="17:17" x14ac:dyDescent="0.25">
      <c r="Q51693" s="8"/>
    </row>
    <row r="51694" spans="17:17" x14ac:dyDescent="0.25">
      <c r="Q51694" s="8"/>
    </row>
    <row r="51695" spans="17:17" x14ac:dyDescent="0.25">
      <c r="Q51695" s="8"/>
    </row>
    <row r="51696" spans="17:17" x14ac:dyDescent="0.25">
      <c r="Q51696" s="8"/>
    </row>
    <row r="51697" spans="17:17" x14ac:dyDescent="0.25">
      <c r="Q51697" s="8"/>
    </row>
    <row r="51698" spans="17:17" x14ac:dyDescent="0.25">
      <c r="Q51698" s="8"/>
    </row>
    <row r="51699" spans="17:17" x14ac:dyDescent="0.25">
      <c r="Q51699" s="8"/>
    </row>
    <row r="51700" spans="17:17" x14ac:dyDescent="0.25">
      <c r="Q51700" s="8"/>
    </row>
    <row r="51701" spans="17:17" x14ac:dyDescent="0.25">
      <c r="Q51701" s="8"/>
    </row>
    <row r="51702" spans="17:17" x14ac:dyDescent="0.25">
      <c r="Q51702" s="8"/>
    </row>
    <row r="51703" spans="17:17" x14ac:dyDescent="0.25">
      <c r="Q51703" s="8"/>
    </row>
    <row r="51704" spans="17:17" x14ac:dyDescent="0.25">
      <c r="Q51704" s="8"/>
    </row>
    <row r="51705" spans="17:17" x14ac:dyDescent="0.25">
      <c r="Q51705" s="8"/>
    </row>
    <row r="51706" spans="17:17" x14ac:dyDescent="0.25">
      <c r="Q51706" s="8"/>
    </row>
    <row r="51707" spans="17:17" x14ac:dyDescent="0.25">
      <c r="Q51707" s="8"/>
    </row>
    <row r="51708" spans="17:17" x14ac:dyDescent="0.25">
      <c r="Q51708" s="8"/>
    </row>
    <row r="51709" spans="17:17" x14ac:dyDescent="0.25">
      <c r="Q51709" s="8"/>
    </row>
    <row r="51710" spans="17:17" x14ac:dyDescent="0.25">
      <c r="Q51710" s="8"/>
    </row>
    <row r="51711" spans="17:17" x14ac:dyDescent="0.25">
      <c r="Q51711" s="8"/>
    </row>
    <row r="51712" spans="17:17" x14ac:dyDescent="0.25">
      <c r="Q51712" s="8"/>
    </row>
    <row r="51713" spans="17:17" x14ac:dyDescent="0.25">
      <c r="Q51713" s="8"/>
    </row>
    <row r="51714" spans="17:17" x14ac:dyDescent="0.25">
      <c r="Q51714" s="8"/>
    </row>
    <row r="51715" spans="17:17" x14ac:dyDescent="0.25">
      <c r="Q51715" s="8"/>
    </row>
    <row r="51716" spans="17:17" x14ac:dyDescent="0.25">
      <c r="Q51716" s="8"/>
    </row>
    <row r="51717" spans="17:17" x14ac:dyDescent="0.25">
      <c r="Q51717" s="8"/>
    </row>
    <row r="51718" spans="17:17" x14ac:dyDescent="0.25">
      <c r="Q51718" s="8"/>
    </row>
    <row r="51719" spans="17:17" x14ac:dyDescent="0.25">
      <c r="Q51719" s="8"/>
    </row>
    <row r="51720" spans="17:17" x14ac:dyDescent="0.25">
      <c r="Q51720" s="8"/>
    </row>
    <row r="51721" spans="17:17" x14ac:dyDescent="0.25">
      <c r="Q51721" s="8"/>
    </row>
    <row r="51722" spans="17:17" x14ac:dyDescent="0.25">
      <c r="Q51722" s="8"/>
    </row>
    <row r="51723" spans="17:17" x14ac:dyDescent="0.25">
      <c r="Q51723" s="8"/>
    </row>
    <row r="51724" spans="17:17" x14ac:dyDescent="0.25">
      <c r="Q51724" s="8"/>
    </row>
    <row r="51725" spans="17:17" x14ac:dyDescent="0.25">
      <c r="Q51725" s="8"/>
    </row>
    <row r="51726" spans="17:17" x14ac:dyDescent="0.25">
      <c r="Q51726" s="8"/>
    </row>
    <row r="51727" spans="17:17" x14ac:dyDescent="0.25">
      <c r="Q51727" s="8"/>
    </row>
    <row r="51728" spans="17:17" x14ac:dyDescent="0.25">
      <c r="Q51728" s="8"/>
    </row>
    <row r="51729" spans="17:17" x14ac:dyDescent="0.25">
      <c r="Q51729" s="8"/>
    </row>
    <row r="51730" spans="17:17" x14ac:dyDescent="0.25">
      <c r="Q51730" s="8"/>
    </row>
    <row r="51731" spans="17:17" x14ac:dyDescent="0.25">
      <c r="Q51731" s="8"/>
    </row>
    <row r="51732" spans="17:17" x14ac:dyDescent="0.25">
      <c r="Q51732" s="8"/>
    </row>
    <row r="51733" spans="17:17" x14ac:dyDescent="0.25">
      <c r="Q51733" s="8"/>
    </row>
    <row r="51734" spans="17:17" x14ac:dyDescent="0.25">
      <c r="Q51734" s="8"/>
    </row>
    <row r="51735" spans="17:17" x14ac:dyDescent="0.25">
      <c r="Q51735" s="8"/>
    </row>
    <row r="51736" spans="17:17" x14ac:dyDescent="0.25">
      <c r="Q51736" s="8"/>
    </row>
    <row r="51737" spans="17:17" x14ac:dyDescent="0.25">
      <c r="Q51737" s="8"/>
    </row>
    <row r="51738" spans="17:17" x14ac:dyDescent="0.25">
      <c r="Q51738" s="8"/>
    </row>
    <row r="51739" spans="17:17" x14ac:dyDescent="0.25">
      <c r="Q51739" s="8"/>
    </row>
    <row r="51740" spans="17:17" x14ac:dyDescent="0.25">
      <c r="Q51740" s="8"/>
    </row>
    <row r="51741" spans="17:17" x14ac:dyDescent="0.25">
      <c r="Q51741" s="8"/>
    </row>
    <row r="51742" spans="17:17" x14ac:dyDescent="0.25">
      <c r="Q51742" s="8"/>
    </row>
    <row r="51743" spans="17:17" x14ac:dyDescent="0.25">
      <c r="Q51743" s="8"/>
    </row>
    <row r="51744" spans="17:17" x14ac:dyDescent="0.25">
      <c r="Q51744" s="8"/>
    </row>
    <row r="51745" spans="17:17" x14ac:dyDescent="0.25">
      <c r="Q51745" s="8"/>
    </row>
    <row r="51746" spans="17:17" x14ac:dyDescent="0.25">
      <c r="Q51746" s="8"/>
    </row>
    <row r="51747" spans="17:17" x14ac:dyDescent="0.25">
      <c r="Q51747" s="8"/>
    </row>
    <row r="51748" spans="17:17" x14ac:dyDescent="0.25">
      <c r="Q51748" s="8"/>
    </row>
    <row r="51749" spans="17:17" x14ac:dyDescent="0.25">
      <c r="Q51749" s="8"/>
    </row>
    <row r="51750" spans="17:17" x14ac:dyDescent="0.25">
      <c r="Q51750" s="8"/>
    </row>
    <row r="51751" spans="17:17" x14ac:dyDescent="0.25">
      <c r="Q51751" s="8"/>
    </row>
    <row r="51752" spans="17:17" x14ac:dyDescent="0.25">
      <c r="Q51752" s="8"/>
    </row>
    <row r="51753" spans="17:17" x14ac:dyDescent="0.25">
      <c r="Q51753" s="8"/>
    </row>
    <row r="51754" spans="17:17" x14ac:dyDescent="0.25">
      <c r="Q51754" s="8"/>
    </row>
    <row r="51755" spans="17:17" x14ac:dyDescent="0.25">
      <c r="Q51755" s="8"/>
    </row>
    <row r="51756" spans="17:17" x14ac:dyDescent="0.25">
      <c r="Q51756" s="8"/>
    </row>
    <row r="51757" spans="17:17" x14ac:dyDescent="0.25">
      <c r="Q51757" s="8"/>
    </row>
    <row r="51758" spans="17:17" x14ac:dyDescent="0.25">
      <c r="Q51758" s="8"/>
    </row>
    <row r="51759" spans="17:17" x14ac:dyDescent="0.25">
      <c r="Q51759" s="8"/>
    </row>
    <row r="51760" spans="17:17" x14ac:dyDescent="0.25">
      <c r="Q51760" s="8"/>
    </row>
    <row r="51761" spans="17:17" x14ac:dyDescent="0.25">
      <c r="Q51761" s="8"/>
    </row>
    <row r="51762" spans="17:17" x14ac:dyDescent="0.25">
      <c r="Q51762" s="8"/>
    </row>
    <row r="51763" spans="17:17" x14ac:dyDescent="0.25">
      <c r="Q51763" s="8"/>
    </row>
    <row r="51764" spans="17:17" x14ac:dyDescent="0.25">
      <c r="Q51764" s="8"/>
    </row>
    <row r="51765" spans="17:17" x14ac:dyDescent="0.25">
      <c r="Q51765" s="8"/>
    </row>
    <row r="51766" spans="17:17" x14ac:dyDescent="0.25">
      <c r="Q51766" s="8"/>
    </row>
    <row r="51767" spans="17:17" x14ac:dyDescent="0.25">
      <c r="Q51767" s="8"/>
    </row>
    <row r="51768" spans="17:17" x14ac:dyDescent="0.25">
      <c r="Q51768" s="8"/>
    </row>
    <row r="51769" spans="17:17" x14ac:dyDescent="0.25">
      <c r="Q51769" s="8"/>
    </row>
    <row r="51770" spans="17:17" x14ac:dyDescent="0.25">
      <c r="Q51770" s="8"/>
    </row>
    <row r="51771" spans="17:17" x14ac:dyDescent="0.25">
      <c r="Q51771" s="8"/>
    </row>
    <row r="51772" spans="17:17" x14ac:dyDescent="0.25">
      <c r="Q51772" s="8"/>
    </row>
    <row r="51773" spans="17:17" x14ac:dyDescent="0.25">
      <c r="Q51773" s="8"/>
    </row>
    <row r="51774" spans="17:17" x14ac:dyDescent="0.25">
      <c r="Q51774" s="8"/>
    </row>
    <row r="51775" spans="17:17" x14ac:dyDescent="0.25">
      <c r="Q51775" s="8"/>
    </row>
    <row r="51776" spans="17:17" x14ac:dyDescent="0.25">
      <c r="Q51776" s="8"/>
    </row>
    <row r="51777" spans="17:17" x14ac:dyDescent="0.25">
      <c r="Q51777" s="8"/>
    </row>
    <row r="51778" spans="17:17" x14ac:dyDescent="0.25">
      <c r="Q51778" s="8"/>
    </row>
    <row r="51779" spans="17:17" x14ac:dyDescent="0.25">
      <c r="Q51779" s="8"/>
    </row>
    <row r="51780" spans="17:17" x14ac:dyDescent="0.25">
      <c r="Q51780" s="8"/>
    </row>
    <row r="51781" spans="17:17" x14ac:dyDescent="0.25">
      <c r="Q51781" s="8"/>
    </row>
    <row r="51782" spans="17:17" x14ac:dyDescent="0.25">
      <c r="Q51782" s="8"/>
    </row>
    <row r="51783" spans="17:17" x14ac:dyDescent="0.25">
      <c r="Q51783" s="8"/>
    </row>
    <row r="51784" spans="17:17" x14ac:dyDescent="0.25">
      <c r="Q51784" s="8"/>
    </row>
    <row r="51785" spans="17:17" x14ac:dyDescent="0.25">
      <c r="Q51785" s="8"/>
    </row>
    <row r="51786" spans="17:17" x14ac:dyDescent="0.25">
      <c r="Q51786" s="8"/>
    </row>
    <row r="51787" spans="17:17" x14ac:dyDescent="0.25">
      <c r="Q51787" s="8"/>
    </row>
    <row r="51788" spans="17:17" x14ac:dyDescent="0.25">
      <c r="Q51788" s="8"/>
    </row>
    <row r="51789" spans="17:17" x14ac:dyDescent="0.25">
      <c r="Q51789" s="8"/>
    </row>
    <row r="51790" spans="17:17" x14ac:dyDescent="0.25">
      <c r="Q51790" s="8"/>
    </row>
    <row r="51791" spans="17:17" x14ac:dyDescent="0.25">
      <c r="Q51791" s="8"/>
    </row>
    <row r="51792" spans="17:17" x14ac:dyDescent="0.25">
      <c r="Q51792" s="8"/>
    </row>
    <row r="51793" spans="17:17" x14ac:dyDescent="0.25">
      <c r="Q51793" s="8"/>
    </row>
    <row r="51794" spans="17:17" x14ac:dyDescent="0.25">
      <c r="Q51794" s="8"/>
    </row>
    <row r="51795" spans="17:17" x14ac:dyDescent="0.25">
      <c r="Q51795" s="8"/>
    </row>
    <row r="51796" spans="17:17" x14ac:dyDescent="0.25">
      <c r="Q51796" s="8"/>
    </row>
    <row r="51797" spans="17:17" x14ac:dyDescent="0.25">
      <c r="Q51797" s="8"/>
    </row>
    <row r="51798" spans="17:17" x14ac:dyDescent="0.25">
      <c r="Q51798" s="8"/>
    </row>
    <row r="51799" spans="17:17" x14ac:dyDescent="0.25">
      <c r="Q51799" s="8"/>
    </row>
    <row r="51800" spans="17:17" x14ac:dyDescent="0.25">
      <c r="Q51800" s="8"/>
    </row>
    <row r="51801" spans="17:17" x14ac:dyDescent="0.25">
      <c r="Q51801" s="8"/>
    </row>
    <row r="51802" spans="17:17" x14ac:dyDescent="0.25">
      <c r="Q51802" s="8"/>
    </row>
    <row r="51803" spans="17:17" x14ac:dyDescent="0.25">
      <c r="Q51803" s="8"/>
    </row>
    <row r="51804" spans="17:17" x14ac:dyDescent="0.25">
      <c r="Q51804" s="8"/>
    </row>
    <row r="51805" spans="17:17" x14ac:dyDescent="0.25">
      <c r="Q51805" s="8"/>
    </row>
    <row r="51806" spans="17:17" x14ac:dyDescent="0.25">
      <c r="Q51806" s="8"/>
    </row>
    <row r="51807" spans="17:17" x14ac:dyDescent="0.25">
      <c r="Q51807" s="8"/>
    </row>
    <row r="51808" spans="17:17" x14ac:dyDescent="0.25">
      <c r="Q51808" s="8"/>
    </row>
    <row r="51809" spans="17:17" x14ac:dyDescent="0.25">
      <c r="Q51809" s="8"/>
    </row>
    <row r="51810" spans="17:17" x14ac:dyDescent="0.25">
      <c r="Q51810" s="8"/>
    </row>
    <row r="51811" spans="17:17" x14ac:dyDescent="0.25">
      <c r="Q51811" s="8"/>
    </row>
    <row r="51812" spans="17:17" x14ac:dyDescent="0.25">
      <c r="Q51812" s="8"/>
    </row>
    <row r="51813" spans="17:17" x14ac:dyDescent="0.25">
      <c r="Q51813" s="8"/>
    </row>
    <row r="51814" spans="17:17" x14ac:dyDescent="0.25">
      <c r="Q51814" s="8"/>
    </row>
    <row r="51815" spans="17:17" x14ac:dyDescent="0.25">
      <c r="Q51815" s="8"/>
    </row>
    <row r="51816" spans="17:17" x14ac:dyDescent="0.25">
      <c r="Q51816" s="8"/>
    </row>
    <row r="51817" spans="17:17" x14ac:dyDescent="0.25">
      <c r="Q51817" s="8"/>
    </row>
    <row r="51818" spans="17:17" x14ac:dyDescent="0.25">
      <c r="Q51818" s="8"/>
    </row>
    <row r="51819" spans="17:17" x14ac:dyDescent="0.25">
      <c r="Q51819" s="8"/>
    </row>
    <row r="51820" spans="17:17" x14ac:dyDescent="0.25">
      <c r="Q51820" s="8"/>
    </row>
    <row r="51821" spans="17:17" x14ac:dyDescent="0.25">
      <c r="Q51821" s="8"/>
    </row>
    <row r="51822" spans="17:17" x14ac:dyDescent="0.25">
      <c r="Q51822" s="8"/>
    </row>
    <row r="51823" spans="17:17" x14ac:dyDescent="0.25">
      <c r="Q51823" s="8"/>
    </row>
    <row r="51824" spans="17:17" x14ac:dyDescent="0.25">
      <c r="Q51824" s="8"/>
    </row>
    <row r="51825" spans="17:17" x14ac:dyDescent="0.25">
      <c r="Q51825" s="8"/>
    </row>
    <row r="51826" spans="17:17" x14ac:dyDescent="0.25">
      <c r="Q51826" s="8"/>
    </row>
    <row r="51827" spans="17:17" x14ac:dyDescent="0.25">
      <c r="Q51827" s="8"/>
    </row>
    <row r="51828" spans="17:17" x14ac:dyDescent="0.25">
      <c r="Q51828" s="8"/>
    </row>
    <row r="51829" spans="17:17" x14ac:dyDescent="0.25">
      <c r="Q51829" s="8"/>
    </row>
    <row r="51830" spans="17:17" x14ac:dyDescent="0.25">
      <c r="Q51830" s="8"/>
    </row>
    <row r="51831" spans="17:17" x14ac:dyDescent="0.25">
      <c r="Q51831" s="8"/>
    </row>
    <row r="51832" spans="17:17" x14ac:dyDescent="0.25">
      <c r="Q51832" s="8"/>
    </row>
    <row r="51833" spans="17:17" x14ac:dyDescent="0.25">
      <c r="Q51833" s="8"/>
    </row>
    <row r="51834" spans="17:17" x14ac:dyDescent="0.25">
      <c r="Q51834" s="8"/>
    </row>
    <row r="51835" spans="17:17" x14ac:dyDescent="0.25">
      <c r="Q51835" s="8"/>
    </row>
    <row r="51836" spans="17:17" x14ac:dyDescent="0.25">
      <c r="Q51836" s="8"/>
    </row>
    <row r="51837" spans="17:17" x14ac:dyDescent="0.25">
      <c r="Q51837" s="8"/>
    </row>
    <row r="51838" spans="17:17" x14ac:dyDescent="0.25">
      <c r="Q51838" s="8"/>
    </row>
    <row r="51839" spans="17:17" x14ac:dyDescent="0.25">
      <c r="Q51839" s="8"/>
    </row>
    <row r="51840" spans="17:17" x14ac:dyDescent="0.25">
      <c r="Q51840" s="8"/>
    </row>
    <row r="51841" spans="17:17" x14ac:dyDescent="0.25">
      <c r="Q51841" s="8"/>
    </row>
    <row r="51842" spans="17:17" x14ac:dyDescent="0.25">
      <c r="Q51842" s="8"/>
    </row>
    <row r="51843" spans="17:17" x14ac:dyDescent="0.25">
      <c r="Q51843" s="8"/>
    </row>
    <row r="51844" spans="17:17" x14ac:dyDescent="0.25">
      <c r="Q51844" s="8"/>
    </row>
    <row r="51845" spans="17:17" x14ac:dyDescent="0.25">
      <c r="Q51845" s="8"/>
    </row>
    <row r="51846" spans="17:17" x14ac:dyDescent="0.25">
      <c r="Q51846" s="8"/>
    </row>
    <row r="51847" spans="17:17" x14ac:dyDescent="0.25">
      <c r="Q51847" s="8"/>
    </row>
    <row r="51848" spans="17:17" x14ac:dyDescent="0.25">
      <c r="Q51848" s="8"/>
    </row>
    <row r="51849" spans="17:17" x14ac:dyDescent="0.25">
      <c r="Q51849" s="8"/>
    </row>
    <row r="51850" spans="17:17" x14ac:dyDescent="0.25">
      <c r="Q51850" s="8"/>
    </row>
    <row r="51851" spans="17:17" x14ac:dyDescent="0.25">
      <c r="Q51851" s="8"/>
    </row>
    <row r="51852" spans="17:17" x14ac:dyDescent="0.25">
      <c r="Q51852" s="8"/>
    </row>
    <row r="51853" spans="17:17" x14ac:dyDescent="0.25">
      <c r="Q51853" s="8"/>
    </row>
    <row r="51854" spans="17:17" x14ac:dyDescent="0.25">
      <c r="Q51854" s="8"/>
    </row>
    <row r="51855" spans="17:17" x14ac:dyDescent="0.25">
      <c r="Q51855" s="8"/>
    </row>
    <row r="51856" spans="17:17" x14ac:dyDescent="0.25">
      <c r="Q51856" s="8"/>
    </row>
    <row r="51857" spans="17:17" x14ac:dyDescent="0.25">
      <c r="Q51857" s="8"/>
    </row>
    <row r="51858" spans="17:17" x14ac:dyDescent="0.25">
      <c r="Q51858" s="8"/>
    </row>
    <row r="51859" spans="17:17" x14ac:dyDescent="0.25">
      <c r="Q51859" s="8"/>
    </row>
    <row r="51860" spans="17:17" x14ac:dyDescent="0.25">
      <c r="Q51860" s="8"/>
    </row>
    <row r="51861" spans="17:17" x14ac:dyDescent="0.25">
      <c r="Q51861" s="8"/>
    </row>
    <row r="51862" spans="17:17" x14ac:dyDescent="0.25">
      <c r="Q51862" s="8"/>
    </row>
    <row r="51863" spans="17:17" x14ac:dyDescent="0.25">
      <c r="Q51863" s="8"/>
    </row>
    <row r="51864" spans="17:17" x14ac:dyDescent="0.25">
      <c r="Q51864" s="8"/>
    </row>
    <row r="51865" spans="17:17" x14ac:dyDescent="0.25">
      <c r="Q51865" s="8"/>
    </row>
    <row r="51866" spans="17:17" x14ac:dyDescent="0.25">
      <c r="Q51866" s="8"/>
    </row>
    <row r="51867" spans="17:17" x14ac:dyDescent="0.25">
      <c r="Q51867" s="8"/>
    </row>
    <row r="51868" spans="17:17" x14ac:dyDescent="0.25">
      <c r="Q51868" s="8"/>
    </row>
    <row r="51869" spans="17:17" x14ac:dyDescent="0.25">
      <c r="Q51869" s="8"/>
    </row>
    <row r="51870" spans="17:17" x14ac:dyDescent="0.25">
      <c r="Q51870" s="8"/>
    </row>
    <row r="51871" spans="17:17" x14ac:dyDescent="0.25">
      <c r="Q51871" s="8"/>
    </row>
    <row r="51872" spans="17:17" x14ac:dyDescent="0.25">
      <c r="Q51872" s="8"/>
    </row>
    <row r="51873" spans="17:17" x14ac:dyDescent="0.25">
      <c r="Q51873" s="8"/>
    </row>
    <row r="51874" spans="17:17" x14ac:dyDescent="0.25">
      <c r="Q51874" s="8"/>
    </row>
    <row r="51875" spans="17:17" x14ac:dyDescent="0.25">
      <c r="Q51875" s="8"/>
    </row>
    <row r="51876" spans="17:17" x14ac:dyDescent="0.25">
      <c r="Q51876" s="8"/>
    </row>
    <row r="51877" spans="17:17" x14ac:dyDescent="0.25">
      <c r="Q51877" s="8"/>
    </row>
    <row r="51878" spans="17:17" x14ac:dyDescent="0.25">
      <c r="Q51878" s="8"/>
    </row>
    <row r="51879" spans="17:17" x14ac:dyDescent="0.25">
      <c r="Q51879" s="8"/>
    </row>
    <row r="51880" spans="17:17" x14ac:dyDescent="0.25">
      <c r="Q51880" s="8"/>
    </row>
    <row r="51881" spans="17:17" x14ac:dyDescent="0.25">
      <c r="Q51881" s="8"/>
    </row>
    <row r="51882" spans="17:17" x14ac:dyDescent="0.25">
      <c r="Q51882" s="8"/>
    </row>
    <row r="51883" spans="17:17" x14ac:dyDescent="0.25">
      <c r="Q51883" s="8"/>
    </row>
    <row r="51884" spans="17:17" x14ac:dyDescent="0.25">
      <c r="Q51884" s="8"/>
    </row>
    <row r="51885" spans="17:17" x14ac:dyDescent="0.25">
      <c r="Q51885" s="8"/>
    </row>
    <row r="51886" spans="17:17" x14ac:dyDescent="0.25">
      <c r="Q51886" s="8"/>
    </row>
    <row r="51887" spans="17:17" x14ac:dyDescent="0.25">
      <c r="Q51887" s="8"/>
    </row>
    <row r="51888" spans="17:17" x14ac:dyDescent="0.25">
      <c r="Q51888" s="8"/>
    </row>
    <row r="51889" spans="17:17" x14ac:dyDescent="0.25">
      <c r="Q51889" s="8"/>
    </row>
    <row r="51890" spans="17:17" x14ac:dyDescent="0.25">
      <c r="Q51890" s="8"/>
    </row>
    <row r="51891" spans="17:17" x14ac:dyDescent="0.25">
      <c r="Q51891" s="8"/>
    </row>
    <row r="51892" spans="17:17" x14ac:dyDescent="0.25">
      <c r="Q51892" s="8"/>
    </row>
    <row r="51893" spans="17:17" x14ac:dyDescent="0.25">
      <c r="Q51893" s="8"/>
    </row>
    <row r="51894" spans="17:17" x14ac:dyDescent="0.25">
      <c r="Q51894" s="8"/>
    </row>
    <row r="51895" spans="17:17" x14ac:dyDescent="0.25">
      <c r="Q51895" s="8"/>
    </row>
    <row r="51896" spans="17:17" x14ac:dyDescent="0.25">
      <c r="Q51896" s="8"/>
    </row>
    <row r="51897" spans="17:17" x14ac:dyDescent="0.25">
      <c r="Q51897" s="8"/>
    </row>
    <row r="51898" spans="17:17" x14ac:dyDescent="0.25">
      <c r="Q51898" s="8"/>
    </row>
    <row r="51899" spans="17:17" x14ac:dyDescent="0.25">
      <c r="Q51899" s="8"/>
    </row>
    <row r="51900" spans="17:17" x14ac:dyDescent="0.25">
      <c r="Q51900" s="8"/>
    </row>
    <row r="51901" spans="17:17" x14ac:dyDescent="0.25">
      <c r="Q51901" s="8"/>
    </row>
    <row r="51902" spans="17:17" x14ac:dyDescent="0.25">
      <c r="Q51902" s="8"/>
    </row>
    <row r="51903" spans="17:17" x14ac:dyDescent="0.25">
      <c r="Q51903" s="8"/>
    </row>
    <row r="51904" spans="17:17" x14ac:dyDescent="0.25">
      <c r="Q51904" s="8"/>
    </row>
    <row r="51905" spans="17:17" x14ac:dyDescent="0.25">
      <c r="Q51905" s="8"/>
    </row>
    <row r="51906" spans="17:17" x14ac:dyDescent="0.25">
      <c r="Q51906" s="8"/>
    </row>
    <row r="51907" spans="17:17" x14ac:dyDescent="0.25">
      <c r="Q51907" s="8"/>
    </row>
    <row r="51908" spans="17:17" x14ac:dyDescent="0.25">
      <c r="Q51908" s="8"/>
    </row>
    <row r="51909" spans="17:17" x14ac:dyDescent="0.25">
      <c r="Q51909" s="8"/>
    </row>
    <row r="51910" spans="17:17" x14ac:dyDescent="0.25">
      <c r="Q51910" s="8"/>
    </row>
    <row r="51911" spans="17:17" x14ac:dyDescent="0.25">
      <c r="Q51911" s="8"/>
    </row>
    <row r="51912" spans="17:17" x14ac:dyDescent="0.25">
      <c r="Q51912" s="8"/>
    </row>
    <row r="51913" spans="17:17" x14ac:dyDescent="0.25">
      <c r="Q51913" s="8"/>
    </row>
    <row r="51914" spans="17:17" x14ac:dyDescent="0.25">
      <c r="Q51914" s="8"/>
    </row>
    <row r="51915" spans="17:17" x14ac:dyDescent="0.25">
      <c r="Q51915" s="8"/>
    </row>
    <row r="51916" spans="17:17" x14ac:dyDescent="0.25">
      <c r="Q51916" s="8"/>
    </row>
    <row r="51917" spans="17:17" x14ac:dyDescent="0.25">
      <c r="Q51917" s="8"/>
    </row>
    <row r="51918" spans="17:17" x14ac:dyDescent="0.25">
      <c r="Q51918" s="8"/>
    </row>
    <row r="51919" spans="17:17" x14ac:dyDescent="0.25">
      <c r="Q51919" s="8"/>
    </row>
    <row r="51920" spans="17:17" x14ac:dyDescent="0.25">
      <c r="Q51920" s="8"/>
    </row>
    <row r="51921" spans="17:17" x14ac:dyDescent="0.25">
      <c r="Q51921" s="8"/>
    </row>
    <row r="51922" spans="17:17" x14ac:dyDescent="0.25">
      <c r="Q51922" s="8"/>
    </row>
    <row r="51923" spans="17:17" x14ac:dyDescent="0.25">
      <c r="Q51923" s="8"/>
    </row>
    <row r="51924" spans="17:17" x14ac:dyDescent="0.25">
      <c r="Q51924" s="8"/>
    </row>
    <row r="51925" spans="17:17" x14ac:dyDescent="0.25">
      <c r="Q51925" s="8"/>
    </row>
    <row r="51926" spans="17:17" x14ac:dyDescent="0.25">
      <c r="Q51926" s="8"/>
    </row>
    <row r="51927" spans="17:17" x14ac:dyDescent="0.25">
      <c r="Q51927" s="8"/>
    </row>
    <row r="51928" spans="17:17" x14ac:dyDescent="0.25">
      <c r="Q51928" s="8"/>
    </row>
    <row r="51929" spans="17:17" x14ac:dyDescent="0.25">
      <c r="Q51929" s="8"/>
    </row>
    <row r="51930" spans="17:17" x14ac:dyDescent="0.25">
      <c r="Q51930" s="8"/>
    </row>
    <row r="51931" spans="17:17" x14ac:dyDescent="0.25">
      <c r="Q51931" s="8"/>
    </row>
    <row r="51932" spans="17:17" x14ac:dyDescent="0.25">
      <c r="Q51932" s="8"/>
    </row>
    <row r="51933" spans="17:17" x14ac:dyDescent="0.25">
      <c r="Q51933" s="8"/>
    </row>
    <row r="51934" spans="17:17" x14ac:dyDescent="0.25">
      <c r="Q51934" s="8"/>
    </row>
    <row r="51935" spans="17:17" x14ac:dyDescent="0.25">
      <c r="Q51935" s="8"/>
    </row>
    <row r="51936" spans="17:17" x14ac:dyDescent="0.25">
      <c r="Q51936" s="8"/>
    </row>
    <row r="51937" spans="17:17" x14ac:dyDescent="0.25">
      <c r="Q51937" s="8"/>
    </row>
    <row r="51938" spans="17:17" x14ac:dyDescent="0.25">
      <c r="Q51938" s="8"/>
    </row>
    <row r="51939" spans="17:17" x14ac:dyDescent="0.25">
      <c r="Q51939" s="8"/>
    </row>
    <row r="51940" spans="17:17" x14ac:dyDescent="0.25">
      <c r="Q51940" s="8"/>
    </row>
    <row r="51941" spans="17:17" x14ac:dyDescent="0.25">
      <c r="Q51941" s="8"/>
    </row>
    <row r="51942" spans="17:17" x14ac:dyDescent="0.25">
      <c r="Q51942" s="8"/>
    </row>
    <row r="51943" spans="17:17" x14ac:dyDescent="0.25">
      <c r="Q51943" s="8"/>
    </row>
    <row r="51944" spans="17:17" x14ac:dyDescent="0.25">
      <c r="Q51944" s="8"/>
    </row>
    <row r="51945" spans="17:17" x14ac:dyDescent="0.25">
      <c r="Q51945" s="8"/>
    </row>
    <row r="51946" spans="17:17" x14ac:dyDescent="0.25">
      <c r="Q51946" s="8"/>
    </row>
    <row r="51947" spans="17:17" x14ac:dyDescent="0.25">
      <c r="Q51947" s="8"/>
    </row>
    <row r="51948" spans="17:17" x14ac:dyDescent="0.25">
      <c r="Q51948" s="8"/>
    </row>
    <row r="51949" spans="17:17" x14ac:dyDescent="0.25">
      <c r="Q51949" s="8"/>
    </row>
    <row r="51950" spans="17:17" x14ac:dyDescent="0.25">
      <c r="Q51950" s="8"/>
    </row>
    <row r="51951" spans="17:17" x14ac:dyDescent="0.25">
      <c r="Q51951" s="8"/>
    </row>
    <row r="51952" spans="17:17" x14ac:dyDescent="0.25">
      <c r="Q51952" s="8"/>
    </row>
    <row r="51953" spans="17:17" x14ac:dyDescent="0.25">
      <c r="Q51953" s="8"/>
    </row>
    <row r="51954" spans="17:17" x14ac:dyDescent="0.25">
      <c r="Q51954" s="8"/>
    </row>
    <row r="51955" spans="17:17" x14ac:dyDescent="0.25">
      <c r="Q51955" s="8"/>
    </row>
    <row r="51956" spans="17:17" x14ac:dyDescent="0.25">
      <c r="Q51956" s="8"/>
    </row>
    <row r="51957" spans="17:17" x14ac:dyDescent="0.25">
      <c r="Q51957" s="8"/>
    </row>
    <row r="51958" spans="17:17" x14ac:dyDescent="0.25">
      <c r="Q51958" s="8"/>
    </row>
    <row r="51959" spans="17:17" x14ac:dyDescent="0.25">
      <c r="Q51959" s="8"/>
    </row>
    <row r="51960" spans="17:17" x14ac:dyDescent="0.25">
      <c r="Q51960" s="8"/>
    </row>
    <row r="51961" spans="17:17" x14ac:dyDescent="0.25">
      <c r="Q51961" s="8"/>
    </row>
    <row r="51962" spans="17:17" x14ac:dyDescent="0.25">
      <c r="Q51962" s="8"/>
    </row>
    <row r="51963" spans="17:17" x14ac:dyDescent="0.25">
      <c r="Q51963" s="8"/>
    </row>
    <row r="51964" spans="17:17" x14ac:dyDescent="0.25">
      <c r="Q51964" s="8"/>
    </row>
    <row r="51965" spans="17:17" x14ac:dyDescent="0.25">
      <c r="Q51965" s="8"/>
    </row>
    <row r="51966" spans="17:17" x14ac:dyDescent="0.25">
      <c r="Q51966" s="8"/>
    </row>
    <row r="51967" spans="17:17" x14ac:dyDescent="0.25">
      <c r="Q51967" s="8"/>
    </row>
    <row r="51968" spans="17:17" x14ac:dyDescent="0.25">
      <c r="Q51968" s="8"/>
    </row>
    <row r="51969" spans="17:17" x14ac:dyDescent="0.25">
      <c r="Q51969" s="8"/>
    </row>
    <row r="51970" spans="17:17" x14ac:dyDescent="0.25">
      <c r="Q51970" s="8"/>
    </row>
    <row r="51971" spans="17:17" x14ac:dyDescent="0.25">
      <c r="Q51971" s="8"/>
    </row>
    <row r="51972" spans="17:17" x14ac:dyDescent="0.25">
      <c r="Q51972" s="8"/>
    </row>
    <row r="51973" spans="17:17" x14ac:dyDescent="0.25">
      <c r="Q51973" s="8"/>
    </row>
    <row r="51974" spans="17:17" x14ac:dyDescent="0.25">
      <c r="Q51974" s="8"/>
    </row>
    <row r="51975" spans="17:17" x14ac:dyDescent="0.25">
      <c r="Q51975" s="8"/>
    </row>
    <row r="51976" spans="17:17" x14ac:dyDescent="0.25">
      <c r="Q51976" s="8"/>
    </row>
    <row r="51977" spans="17:17" x14ac:dyDescent="0.25">
      <c r="Q51977" s="8"/>
    </row>
    <row r="51978" spans="17:17" x14ac:dyDescent="0.25">
      <c r="Q51978" s="8"/>
    </row>
    <row r="51979" spans="17:17" x14ac:dyDescent="0.25">
      <c r="Q51979" s="8"/>
    </row>
    <row r="51980" spans="17:17" x14ac:dyDescent="0.25">
      <c r="Q51980" s="8"/>
    </row>
    <row r="51981" spans="17:17" x14ac:dyDescent="0.25">
      <c r="Q51981" s="8"/>
    </row>
    <row r="51982" spans="17:17" x14ac:dyDescent="0.25">
      <c r="Q51982" s="8"/>
    </row>
    <row r="51983" spans="17:17" x14ac:dyDescent="0.25">
      <c r="Q51983" s="8"/>
    </row>
    <row r="51984" spans="17:17" x14ac:dyDescent="0.25">
      <c r="Q51984" s="8"/>
    </row>
    <row r="51985" spans="17:17" x14ac:dyDescent="0.25">
      <c r="Q51985" s="8"/>
    </row>
    <row r="51986" spans="17:17" x14ac:dyDescent="0.25">
      <c r="Q51986" s="8"/>
    </row>
    <row r="51987" spans="17:17" x14ac:dyDescent="0.25">
      <c r="Q51987" s="8"/>
    </row>
    <row r="51988" spans="17:17" x14ac:dyDescent="0.25">
      <c r="Q51988" s="8"/>
    </row>
    <row r="51989" spans="17:17" x14ac:dyDescent="0.25">
      <c r="Q51989" s="8"/>
    </row>
    <row r="51990" spans="17:17" x14ac:dyDescent="0.25">
      <c r="Q51990" s="8"/>
    </row>
    <row r="51991" spans="17:17" x14ac:dyDescent="0.25">
      <c r="Q51991" s="8"/>
    </row>
    <row r="51992" spans="17:17" x14ac:dyDescent="0.25">
      <c r="Q51992" s="8"/>
    </row>
    <row r="51993" spans="17:17" x14ac:dyDescent="0.25">
      <c r="Q51993" s="8"/>
    </row>
    <row r="51994" spans="17:17" x14ac:dyDescent="0.25">
      <c r="Q51994" s="8"/>
    </row>
    <row r="51995" spans="17:17" x14ac:dyDescent="0.25">
      <c r="Q51995" s="8"/>
    </row>
    <row r="51996" spans="17:17" x14ac:dyDescent="0.25">
      <c r="Q51996" s="8"/>
    </row>
    <row r="51997" spans="17:17" x14ac:dyDescent="0.25">
      <c r="Q51997" s="8"/>
    </row>
    <row r="51998" spans="17:17" x14ac:dyDescent="0.25">
      <c r="Q51998" s="8"/>
    </row>
    <row r="51999" spans="17:17" x14ac:dyDescent="0.25">
      <c r="Q51999" s="8"/>
    </row>
    <row r="52000" spans="17:17" x14ac:dyDescent="0.25">
      <c r="Q52000" s="8"/>
    </row>
    <row r="52001" spans="17:17" x14ac:dyDescent="0.25">
      <c r="Q52001" s="8"/>
    </row>
    <row r="52002" spans="17:17" x14ac:dyDescent="0.25">
      <c r="Q52002" s="8"/>
    </row>
    <row r="52003" spans="17:17" x14ac:dyDescent="0.25">
      <c r="Q52003" s="8"/>
    </row>
    <row r="52004" spans="17:17" x14ac:dyDescent="0.25">
      <c r="Q52004" s="8"/>
    </row>
    <row r="52005" spans="17:17" x14ac:dyDescent="0.25">
      <c r="Q52005" s="8"/>
    </row>
    <row r="52006" spans="17:17" x14ac:dyDescent="0.25">
      <c r="Q52006" s="8"/>
    </row>
    <row r="52007" spans="17:17" x14ac:dyDescent="0.25">
      <c r="Q52007" s="8"/>
    </row>
    <row r="52008" spans="17:17" x14ac:dyDescent="0.25">
      <c r="Q52008" s="8"/>
    </row>
    <row r="52009" spans="17:17" x14ac:dyDescent="0.25">
      <c r="Q52009" s="8"/>
    </row>
    <row r="52010" spans="17:17" x14ac:dyDescent="0.25">
      <c r="Q52010" s="8"/>
    </row>
    <row r="52011" spans="17:17" x14ac:dyDescent="0.25">
      <c r="Q52011" s="8"/>
    </row>
    <row r="52012" spans="17:17" x14ac:dyDescent="0.25">
      <c r="Q52012" s="8"/>
    </row>
    <row r="52013" spans="17:17" x14ac:dyDescent="0.25">
      <c r="Q52013" s="8"/>
    </row>
    <row r="52014" spans="17:17" x14ac:dyDescent="0.25">
      <c r="Q52014" s="8"/>
    </row>
    <row r="52015" spans="17:17" x14ac:dyDescent="0.25">
      <c r="Q52015" s="8"/>
    </row>
    <row r="52016" spans="17:17" x14ac:dyDescent="0.25">
      <c r="Q52016" s="8"/>
    </row>
    <row r="52017" spans="17:17" x14ac:dyDescent="0.25">
      <c r="Q52017" s="8"/>
    </row>
    <row r="52018" spans="17:17" x14ac:dyDescent="0.25">
      <c r="Q52018" s="8"/>
    </row>
    <row r="52019" spans="17:17" x14ac:dyDescent="0.25">
      <c r="Q52019" s="8"/>
    </row>
    <row r="52020" spans="17:17" x14ac:dyDescent="0.25">
      <c r="Q52020" s="8"/>
    </row>
    <row r="52021" spans="17:17" x14ac:dyDescent="0.25">
      <c r="Q52021" s="8"/>
    </row>
    <row r="52022" spans="17:17" x14ac:dyDescent="0.25">
      <c r="Q52022" s="8"/>
    </row>
    <row r="52023" spans="17:17" x14ac:dyDescent="0.25">
      <c r="Q52023" s="8"/>
    </row>
    <row r="52024" spans="17:17" x14ac:dyDescent="0.25">
      <c r="Q52024" s="8"/>
    </row>
    <row r="52025" spans="17:17" x14ac:dyDescent="0.25">
      <c r="Q52025" s="8"/>
    </row>
    <row r="52026" spans="17:17" x14ac:dyDescent="0.25">
      <c r="Q52026" s="8"/>
    </row>
    <row r="52027" spans="17:17" x14ac:dyDescent="0.25">
      <c r="Q52027" s="8"/>
    </row>
    <row r="52028" spans="17:17" x14ac:dyDescent="0.25">
      <c r="Q52028" s="8"/>
    </row>
    <row r="52029" spans="17:17" x14ac:dyDescent="0.25">
      <c r="Q52029" s="8"/>
    </row>
    <row r="52030" spans="17:17" x14ac:dyDescent="0.25">
      <c r="Q52030" s="8"/>
    </row>
    <row r="52031" spans="17:17" x14ac:dyDescent="0.25">
      <c r="Q52031" s="8"/>
    </row>
    <row r="52032" spans="17:17" x14ac:dyDescent="0.25">
      <c r="Q52032" s="8"/>
    </row>
    <row r="52033" spans="17:17" x14ac:dyDescent="0.25">
      <c r="Q52033" s="8"/>
    </row>
    <row r="52034" spans="17:17" x14ac:dyDescent="0.25">
      <c r="Q52034" s="8"/>
    </row>
    <row r="52035" spans="17:17" x14ac:dyDescent="0.25">
      <c r="Q52035" s="8"/>
    </row>
    <row r="52036" spans="17:17" x14ac:dyDescent="0.25">
      <c r="Q52036" s="8"/>
    </row>
    <row r="52037" spans="17:17" x14ac:dyDescent="0.25">
      <c r="Q52037" s="8"/>
    </row>
    <row r="52038" spans="17:17" x14ac:dyDescent="0.25">
      <c r="Q52038" s="8"/>
    </row>
    <row r="52039" spans="17:17" x14ac:dyDescent="0.25">
      <c r="Q52039" s="8"/>
    </row>
    <row r="52040" spans="17:17" x14ac:dyDescent="0.25">
      <c r="Q52040" s="8"/>
    </row>
    <row r="52041" spans="17:17" x14ac:dyDescent="0.25">
      <c r="Q52041" s="8"/>
    </row>
    <row r="52042" spans="17:17" x14ac:dyDescent="0.25">
      <c r="Q52042" s="8"/>
    </row>
    <row r="52043" spans="17:17" x14ac:dyDescent="0.25">
      <c r="Q52043" s="8"/>
    </row>
    <row r="52044" spans="17:17" x14ac:dyDescent="0.25">
      <c r="Q52044" s="8"/>
    </row>
    <row r="52045" spans="17:17" x14ac:dyDescent="0.25">
      <c r="Q52045" s="8"/>
    </row>
    <row r="52046" spans="17:17" x14ac:dyDescent="0.25">
      <c r="Q52046" s="8"/>
    </row>
    <row r="52047" spans="17:17" x14ac:dyDescent="0.25">
      <c r="Q52047" s="8"/>
    </row>
    <row r="52048" spans="17:17" x14ac:dyDescent="0.25">
      <c r="Q52048" s="8"/>
    </row>
    <row r="52049" spans="17:17" x14ac:dyDescent="0.25">
      <c r="Q52049" s="8"/>
    </row>
    <row r="52050" spans="17:17" x14ac:dyDescent="0.25">
      <c r="Q52050" s="8"/>
    </row>
    <row r="52051" spans="17:17" x14ac:dyDescent="0.25">
      <c r="Q52051" s="8"/>
    </row>
    <row r="52052" spans="17:17" x14ac:dyDescent="0.25">
      <c r="Q52052" s="8"/>
    </row>
    <row r="52053" spans="17:17" x14ac:dyDescent="0.25">
      <c r="Q52053" s="8"/>
    </row>
    <row r="52054" spans="17:17" x14ac:dyDescent="0.25">
      <c r="Q52054" s="8"/>
    </row>
    <row r="52055" spans="17:17" x14ac:dyDescent="0.25">
      <c r="Q52055" s="8"/>
    </row>
    <row r="52056" spans="17:17" x14ac:dyDescent="0.25">
      <c r="Q52056" s="8"/>
    </row>
    <row r="52057" spans="17:17" x14ac:dyDescent="0.25">
      <c r="Q52057" s="8"/>
    </row>
    <row r="52058" spans="17:17" x14ac:dyDescent="0.25">
      <c r="Q52058" s="8"/>
    </row>
    <row r="52059" spans="17:17" x14ac:dyDescent="0.25">
      <c r="Q52059" s="8"/>
    </row>
    <row r="52060" spans="17:17" x14ac:dyDescent="0.25">
      <c r="Q52060" s="8"/>
    </row>
    <row r="52061" spans="17:17" x14ac:dyDescent="0.25">
      <c r="Q52061" s="8"/>
    </row>
    <row r="52062" spans="17:17" x14ac:dyDescent="0.25">
      <c r="Q52062" s="8"/>
    </row>
    <row r="52063" spans="17:17" x14ac:dyDescent="0.25">
      <c r="Q52063" s="8"/>
    </row>
    <row r="52064" spans="17:17" x14ac:dyDescent="0.25">
      <c r="Q52064" s="8"/>
    </row>
    <row r="52065" spans="17:17" x14ac:dyDescent="0.25">
      <c r="Q52065" s="8"/>
    </row>
    <row r="52066" spans="17:17" x14ac:dyDescent="0.25">
      <c r="Q52066" s="8"/>
    </row>
    <row r="52067" spans="17:17" x14ac:dyDescent="0.25">
      <c r="Q52067" s="8"/>
    </row>
    <row r="52068" spans="17:17" x14ac:dyDescent="0.25">
      <c r="Q52068" s="8"/>
    </row>
    <row r="52069" spans="17:17" x14ac:dyDescent="0.25">
      <c r="Q52069" s="8"/>
    </row>
    <row r="52070" spans="17:17" x14ac:dyDescent="0.25">
      <c r="Q52070" s="8"/>
    </row>
    <row r="52071" spans="17:17" x14ac:dyDescent="0.25">
      <c r="Q52071" s="8"/>
    </row>
    <row r="52072" spans="17:17" x14ac:dyDescent="0.25">
      <c r="Q52072" s="8"/>
    </row>
    <row r="52073" spans="17:17" x14ac:dyDescent="0.25">
      <c r="Q52073" s="8"/>
    </row>
    <row r="52074" spans="17:17" x14ac:dyDescent="0.25">
      <c r="Q52074" s="8"/>
    </row>
    <row r="52075" spans="17:17" x14ac:dyDescent="0.25">
      <c r="Q52075" s="8"/>
    </row>
    <row r="52076" spans="17:17" x14ac:dyDescent="0.25">
      <c r="Q52076" s="8"/>
    </row>
    <row r="52077" spans="17:17" x14ac:dyDescent="0.25">
      <c r="Q52077" s="8"/>
    </row>
    <row r="52078" spans="17:17" x14ac:dyDescent="0.25">
      <c r="Q52078" s="8"/>
    </row>
    <row r="52079" spans="17:17" x14ac:dyDescent="0.25">
      <c r="Q52079" s="8"/>
    </row>
    <row r="52080" spans="17:17" x14ac:dyDescent="0.25">
      <c r="Q52080" s="8"/>
    </row>
    <row r="52081" spans="17:17" x14ac:dyDescent="0.25">
      <c r="Q52081" s="8"/>
    </row>
    <row r="52082" spans="17:17" x14ac:dyDescent="0.25">
      <c r="Q52082" s="8"/>
    </row>
    <row r="52083" spans="17:17" x14ac:dyDescent="0.25">
      <c r="Q52083" s="8"/>
    </row>
    <row r="52084" spans="17:17" x14ac:dyDescent="0.25">
      <c r="Q52084" s="8"/>
    </row>
    <row r="52085" spans="17:17" x14ac:dyDescent="0.25">
      <c r="Q52085" s="8"/>
    </row>
    <row r="52086" spans="17:17" x14ac:dyDescent="0.25">
      <c r="Q52086" s="8"/>
    </row>
    <row r="52087" spans="17:17" x14ac:dyDescent="0.25">
      <c r="Q52087" s="8"/>
    </row>
    <row r="52088" spans="17:17" x14ac:dyDescent="0.25">
      <c r="Q52088" s="8"/>
    </row>
    <row r="52089" spans="17:17" x14ac:dyDescent="0.25">
      <c r="Q52089" s="8"/>
    </row>
    <row r="52090" spans="17:17" x14ac:dyDescent="0.25">
      <c r="Q52090" s="8"/>
    </row>
    <row r="52091" spans="17:17" x14ac:dyDescent="0.25">
      <c r="Q52091" s="8"/>
    </row>
    <row r="52092" spans="17:17" x14ac:dyDescent="0.25">
      <c r="Q52092" s="8"/>
    </row>
    <row r="52093" spans="17:17" x14ac:dyDescent="0.25">
      <c r="Q52093" s="8"/>
    </row>
    <row r="52094" spans="17:17" x14ac:dyDescent="0.25">
      <c r="Q52094" s="8"/>
    </row>
    <row r="52095" spans="17:17" x14ac:dyDescent="0.25">
      <c r="Q52095" s="8"/>
    </row>
    <row r="52096" spans="17:17" x14ac:dyDescent="0.25">
      <c r="Q52096" s="8"/>
    </row>
    <row r="52097" spans="17:17" x14ac:dyDescent="0.25">
      <c r="Q52097" s="8"/>
    </row>
    <row r="52098" spans="17:17" x14ac:dyDescent="0.25">
      <c r="Q52098" s="8"/>
    </row>
    <row r="52099" spans="17:17" x14ac:dyDescent="0.25">
      <c r="Q52099" s="8"/>
    </row>
    <row r="52100" spans="17:17" x14ac:dyDescent="0.25">
      <c r="Q52100" s="8"/>
    </row>
    <row r="52101" spans="17:17" x14ac:dyDescent="0.25">
      <c r="Q52101" s="8"/>
    </row>
    <row r="52102" spans="17:17" x14ac:dyDescent="0.25">
      <c r="Q52102" s="8"/>
    </row>
    <row r="52103" spans="17:17" x14ac:dyDescent="0.25">
      <c r="Q52103" s="8"/>
    </row>
    <row r="52104" spans="17:17" x14ac:dyDescent="0.25">
      <c r="Q52104" s="8"/>
    </row>
    <row r="52105" spans="17:17" x14ac:dyDescent="0.25">
      <c r="Q52105" s="8"/>
    </row>
    <row r="52106" spans="17:17" x14ac:dyDescent="0.25">
      <c r="Q52106" s="8"/>
    </row>
    <row r="52107" spans="17:17" x14ac:dyDescent="0.25">
      <c r="Q52107" s="8"/>
    </row>
    <row r="52108" spans="17:17" x14ac:dyDescent="0.25">
      <c r="Q52108" s="8"/>
    </row>
    <row r="52109" spans="17:17" x14ac:dyDescent="0.25">
      <c r="Q52109" s="8"/>
    </row>
    <row r="52110" spans="17:17" x14ac:dyDescent="0.25">
      <c r="Q52110" s="8"/>
    </row>
    <row r="52111" spans="17:17" x14ac:dyDescent="0.25">
      <c r="Q52111" s="8"/>
    </row>
    <row r="52112" spans="17:17" x14ac:dyDescent="0.25">
      <c r="Q52112" s="8"/>
    </row>
    <row r="52113" spans="17:17" x14ac:dyDescent="0.25">
      <c r="Q52113" s="8"/>
    </row>
    <row r="52114" spans="17:17" x14ac:dyDescent="0.25">
      <c r="Q52114" s="8"/>
    </row>
    <row r="52115" spans="17:17" x14ac:dyDescent="0.25">
      <c r="Q52115" s="8"/>
    </row>
    <row r="52116" spans="17:17" x14ac:dyDescent="0.25">
      <c r="Q52116" s="8"/>
    </row>
    <row r="52117" spans="17:17" x14ac:dyDescent="0.25">
      <c r="Q52117" s="8"/>
    </row>
    <row r="52118" spans="17:17" x14ac:dyDescent="0.25">
      <c r="Q52118" s="8"/>
    </row>
    <row r="52119" spans="17:17" x14ac:dyDescent="0.25">
      <c r="Q52119" s="8"/>
    </row>
    <row r="52120" spans="17:17" x14ac:dyDescent="0.25">
      <c r="Q52120" s="8"/>
    </row>
    <row r="52121" spans="17:17" x14ac:dyDescent="0.25">
      <c r="Q52121" s="8"/>
    </row>
    <row r="52122" spans="17:17" x14ac:dyDescent="0.25">
      <c r="Q52122" s="8"/>
    </row>
    <row r="52123" spans="17:17" x14ac:dyDescent="0.25">
      <c r="Q52123" s="8"/>
    </row>
    <row r="52124" spans="17:17" x14ac:dyDescent="0.25">
      <c r="Q52124" s="8"/>
    </row>
    <row r="52125" spans="17:17" x14ac:dyDescent="0.25">
      <c r="Q52125" s="8"/>
    </row>
    <row r="52126" spans="17:17" x14ac:dyDescent="0.25">
      <c r="Q52126" s="8"/>
    </row>
    <row r="52127" spans="17:17" x14ac:dyDescent="0.25">
      <c r="Q52127" s="8"/>
    </row>
    <row r="52128" spans="17:17" x14ac:dyDescent="0.25">
      <c r="Q52128" s="8"/>
    </row>
    <row r="52129" spans="17:17" x14ac:dyDescent="0.25">
      <c r="Q52129" s="8"/>
    </row>
    <row r="52130" spans="17:17" x14ac:dyDescent="0.25">
      <c r="Q52130" s="8"/>
    </row>
    <row r="52131" spans="17:17" x14ac:dyDescent="0.25">
      <c r="Q52131" s="8"/>
    </row>
    <row r="52132" spans="17:17" x14ac:dyDescent="0.25">
      <c r="Q52132" s="8"/>
    </row>
    <row r="52133" spans="17:17" x14ac:dyDescent="0.25">
      <c r="Q52133" s="8"/>
    </row>
    <row r="52134" spans="17:17" x14ac:dyDescent="0.25">
      <c r="Q52134" s="8"/>
    </row>
    <row r="52135" spans="17:17" x14ac:dyDescent="0.25">
      <c r="Q52135" s="8"/>
    </row>
    <row r="52136" spans="17:17" x14ac:dyDescent="0.25">
      <c r="Q52136" s="8"/>
    </row>
    <row r="52137" spans="17:17" x14ac:dyDescent="0.25">
      <c r="Q52137" s="8"/>
    </row>
    <row r="52138" spans="17:17" x14ac:dyDescent="0.25">
      <c r="Q52138" s="8"/>
    </row>
    <row r="52139" spans="17:17" x14ac:dyDescent="0.25">
      <c r="Q52139" s="8"/>
    </row>
    <row r="52140" spans="17:17" x14ac:dyDescent="0.25">
      <c r="Q52140" s="8"/>
    </row>
    <row r="52141" spans="17:17" x14ac:dyDescent="0.25">
      <c r="Q52141" s="8"/>
    </row>
    <row r="52142" spans="17:17" x14ac:dyDescent="0.25">
      <c r="Q52142" s="8"/>
    </row>
    <row r="52143" spans="17:17" x14ac:dyDescent="0.25">
      <c r="Q52143" s="8"/>
    </row>
    <row r="52144" spans="17:17" x14ac:dyDescent="0.25">
      <c r="Q52144" s="8"/>
    </row>
    <row r="52145" spans="17:17" x14ac:dyDescent="0.25">
      <c r="Q52145" s="8"/>
    </row>
    <row r="52146" spans="17:17" x14ac:dyDescent="0.25">
      <c r="Q52146" s="8"/>
    </row>
    <row r="52147" spans="17:17" x14ac:dyDescent="0.25">
      <c r="Q52147" s="8"/>
    </row>
    <row r="52148" spans="17:17" x14ac:dyDescent="0.25">
      <c r="Q52148" s="8"/>
    </row>
    <row r="52149" spans="17:17" x14ac:dyDescent="0.25">
      <c r="Q52149" s="8"/>
    </row>
    <row r="52150" spans="17:17" x14ac:dyDescent="0.25">
      <c r="Q52150" s="8"/>
    </row>
    <row r="52151" spans="17:17" x14ac:dyDescent="0.25">
      <c r="Q52151" s="8"/>
    </row>
    <row r="52152" spans="17:17" x14ac:dyDescent="0.25">
      <c r="Q52152" s="8"/>
    </row>
    <row r="52153" spans="17:17" x14ac:dyDescent="0.25">
      <c r="Q52153" s="8"/>
    </row>
    <row r="52154" spans="17:17" x14ac:dyDescent="0.25">
      <c r="Q52154" s="8"/>
    </row>
    <row r="52155" spans="17:17" x14ac:dyDescent="0.25">
      <c r="Q52155" s="8"/>
    </row>
    <row r="52156" spans="17:17" x14ac:dyDescent="0.25">
      <c r="Q52156" s="8"/>
    </row>
    <row r="52157" spans="17:17" x14ac:dyDescent="0.25">
      <c r="Q52157" s="8"/>
    </row>
    <row r="52158" spans="17:17" x14ac:dyDescent="0.25">
      <c r="Q52158" s="8"/>
    </row>
    <row r="52159" spans="17:17" x14ac:dyDescent="0.25">
      <c r="Q52159" s="8"/>
    </row>
    <row r="52160" spans="17:17" x14ac:dyDescent="0.25">
      <c r="Q52160" s="8"/>
    </row>
    <row r="52161" spans="17:17" x14ac:dyDescent="0.25">
      <c r="Q52161" s="8"/>
    </row>
    <row r="52162" spans="17:17" x14ac:dyDescent="0.25">
      <c r="Q52162" s="8"/>
    </row>
    <row r="52163" spans="17:17" x14ac:dyDescent="0.25">
      <c r="Q52163" s="8"/>
    </row>
    <row r="52164" spans="17:17" x14ac:dyDescent="0.25">
      <c r="Q52164" s="8"/>
    </row>
    <row r="52165" spans="17:17" x14ac:dyDescent="0.25">
      <c r="Q52165" s="8"/>
    </row>
    <row r="52166" spans="17:17" x14ac:dyDescent="0.25">
      <c r="Q52166" s="8"/>
    </row>
    <row r="52167" spans="17:17" x14ac:dyDescent="0.25">
      <c r="Q52167" s="8"/>
    </row>
    <row r="52168" spans="17:17" x14ac:dyDescent="0.25">
      <c r="Q52168" s="8"/>
    </row>
    <row r="52169" spans="17:17" x14ac:dyDescent="0.25">
      <c r="Q52169" s="8"/>
    </row>
    <row r="52170" spans="17:17" x14ac:dyDescent="0.25">
      <c r="Q52170" s="8"/>
    </row>
    <row r="52171" spans="17:17" x14ac:dyDescent="0.25">
      <c r="Q52171" s="8"/>
    </row>
    <row r="52172" spans="17:17" x14ac:dyDescent="0.25">
      <c r="Q52172" s="8"/>
    </row>
    <row r="52173" spans="17:17" x14ac:dyDescent="0.25">
      <c r="Q52173" s="8"/>
    </row>
    <row r="52174" spans="17:17" x14ac:dyDescent="0.25">
      <c r="Q52174" s="8"/>
    </row>
    <row r="52175" spans="17:17" x14ac:dyDescent="0.25">
      <c r="Q52175" s="8"/>
    </row>
    <row r="52176" spans="17:17" x14ac:dyDescent="0.25">
      <c r="Q52176" s="8"/>
    </row>
    <row r="52177" spans="17:17" x14ac:dyDescent="0.25">
      <c r="Q52177" s="8"/>
    </row>
    <row r="52178" spans="17:17" x14ac:dyDescent="0.25">
      <c r="Q52178" s="8"/>
    </row>
    <row r="52179" spans="17:17" x14ac:dyDescent="0.25">
      <c r="Q52179" s="8"/>
    </row>
    <row r="52180" spans="17:17" x14ac:dyDescent="0.25">
      <c r="Q52180" s="8"/>
    </row>
    <row r="52181" spans="17:17" x14ac:dyDescent="0.25">
      <c r="Q52181" s="8"/>
    </row>
    <row r="52182" spans="17:17" x14ac:dyDescent="0.25">
      <c r="Q52182" s="8"/>
    </row>
    <row r="52183" spans="17:17" x14ac:dyDescent="0.25">
      <c r="Q52183" s="8"/>
    </row>
    <row r="52184" spans="17:17" x14ac:dyDescent="0.25">
      <c r="Q52184" s="8"/>
    </row>
    <row r="52185" spans="17:17" x14ac:dyDescent="0.25">
      <c r="Q52185" s="8"/>
    </row>
    <row r="52186" spans="17:17" x14ac:dyDescent="0.25">
      <c r="Q52186" s="8"/>
    </row>
    <row r="52187" spans="17:17" x14ac:dyDescent="0.25">
      <c r="Q52187" s="8"/>
    </row>
    <row r="52188" spans="17:17" x14ac:dyDescent="0.25">
      <c r="Q52188" s="8"/>
    </row>
    <row r="52189" spans="17:17" x14ac:dyDescent="0.25">
      <c r="Q52189" s="8"/>
    </row>
    <row r="52190" spans="17:17" x14ac:dyDescent="0.25">
      <c r="Q52190" s="8"/>
    </row>
    <row r="52191" spans="17:17" x14ac:dyDescent="0.25">
      <c r="Q52191" s="8"/>
    </row>
    <row r="52192" spans="17:17" x14ac:dyDescent="0.25">
      <c r="Q52192" s="8"/>
    </row>
    <row r="52193" spans="17:17" x14ac:dyDescent="0.25">
      <c r="Q52193" s="8"/>
    </row>
    <row r="52194" spans="17:17" x14ac:dyDescent="0.25">
      <c r="Q52194" s="8"/>
    </row>
    <row r="52195" spans="17:17" x14ac:dyDescent="0.25">
      <c r="Q52195" s="8"/>
    </row>
    <row r="52196" spans="17:17" x14ac:dyDescent="0.25">
      <c r="Q52196" s="8"/>
    </row>
    <row r="52197" spans="17:17" x14ac:dyDescent="0.25">
      <c r="Q52197" s="8"/>
    </row>
    <row r="52198" spans="17:17" x14ac:dyDescent="0.25">
      <c r="Q52198" s="8"/>
    </row>
    <row r="52199" spans="17:17" x14ac:dyDescent="0.25">
      <c r="Q52199" s="8"/>
    </row>
    <row r="52200" spans="17:17" x14ac:dyDescent="0.25">
      <c r="Q52200" s="8"/>
    </row>
    <row r="52201" spans="17:17" x14ac:dyDescent="0.25">
      <c r="Q52201" s="8"/>
    </row>
    <row r="52202" spans="17:17" x14ac:dyDescent="0.25">
      <c r="Q52202" s="8"/>
    </row>
    <row r="52203" spans="17:17" x14ac:dyDescent="0.25">
      <c r="Q52203" s="8"/>
    </row>
    <row r="52204" spans="17:17" x14ac:dyDescent="0.25">
      <c r="Q52204" s="8"/>
    </row>
    <row r="52205" spans="17:17" x14ac:dyDescent="0.25">
      <c r="Q52205" s="8"/>
    </row>
    <row r="52206" spans="17:17" x14ac:dyDescent="0.25">
      <c r="Q52206" s="8"/>
    </row>
    <row r="52207" spans="17:17" x14ac:dyDescent="0.25">
      <c r="Q52207" s="8"/>
    </row>
    <row r="52208" spans="17:17" x14ac:dyDescent="0.25">
      <c r="Q52208" s="8"/>
    </row>
    <row r="52209" spans="17:17" x14ac:dyDescent="0.25">
      <c r="Q52209" s="8"/>
    </row>
    <row r="52210" spans="17:17" x14ac:dyDescent="0.25">
      <c r="Q52210" s="8"/>
    </row>
    <row r="52211" spans="17:17" x14ac:dyDescent="0.25">
      <c r="Q52211" s="8"/>
    </row>
    <row r="52212" spans="17:17" x14ac:dyDescent="0.25">
      <c r="Q52212" s="8"/>
    </row>
    <row r="52213" spans="17:17" x14ac:dyDescent="0.25">
      <c r="Q52213" s="8"/>
    </row>
    <row r="52214" spans="17:17" x14ac:dyDescent="0.25">
      <c r="Q52214" s="8"/>
    </row>
    <row r="52215" spans="17:17" x14ac:dyDescent="0.25">
      <c r="Q52215" s="8"/>
    </row>
    <row r="52216" spans="17:17" x14ac:dyDescent="0.25">
      <c r="Q52216" s="8"/>
    </row>
    <row r="52217" spans="17:17" x14ac:dyDescent="0.25">
      <c r="Q52217" s="8"/>
    </row>
    <row r="52218" spans="17:17" x14ac:dyDescent="0.25">
      <c r="Q52218" s="8"/>
    </row>
    <row r="52219" spans="17:17" x14ac:dyDescent="0.25">
      <c r="Q52219" s="8"/>
    </row>
    <row r="52220" spans="17:17" x14ac:dyDescent="0.25">
      <c r="Q52220" s="8"/>
    </row>
    <row r="52221" spans="17:17" x14ac:dyDescent="0.25">
      <c r="Q52221" s="8"/>
    </row>
    <row r="52222" spans="17:17" x14ac:dyDescent="0.25">
      <c r="Q52222" s="8"/>
    </row>
    <row r="52223" spans="17:17" x14ac:dyDescent="0.25">
      <c r="Q52223" s="8"/>
    </row>
    <row r="52224" spans="17:17" x14ac:dyDescent="0.25">
      <c r="Q52224" s="8"/>
    </row>
    <row r="52225" spans="17:17" x14ac:dyDescent="0.25">
      <c r="Q52225" s="8"/>
    </row>
    <row r="52226" spans="17:17" x14ac:dyDescent="0.25">
      <c r="Q52226" s="8"/>
    </row>
    <row r="52227" spans="17:17" x14ac:dyDescent="0.25">
      <c r="Q52227" s="8"/>
    </row>
    <row r="52228" spans="17:17" x14ac:dyDescent="0.25">
      <c r="Q52228" s="8"/>
    </row>
    <row r="52229" spans="17:17" x14ac:dyDescent="0.25">
      <c r="Q52229" s="8"/>
    </row>
    <row r="52230" spans="17:17" x14ac:dyDescent="0.25">
      <c r="Q52230" s="8"/>
    </row>
    <row r="52231" spans="17:17" x14ac:dyDescent="0.25">
      <c r="Q52231" s="8"/>
    </row>
    <row r="52232" spans="17:17" x14ac:dyDescent="0.25">
      <c r="Q52232" s="8"/>
    </row>
    <row r="52233" spans="17:17" x14ac:dyDescent="0.25">
      <c r="Q52233" s="8"/>
    </row>
    <row r="52234" spans="17:17" x14ac:dyDescent="0.25">
      <c r="Q52234" s="8"/>
    </row>
    <row r="52235" spans="17:17" x14ac:dyDescent="0.25">
      <c r="Q52235" s="8"/>
    </row>
    <row r="52236" spans="17:17" x14ac:dyDescent="0.25">
      <c r="Q52236" s="8"/>
    </row>
    <row r="52237" spans="17:17" x14ac:dyDescent="0.25">
      <c r="Q52237" s="8"/>
    </row>
    <row r="52238" spans="17:17" x14ac:dyDescent="0.25">
      <c r="Q52238" s="8"/>
    </row>
    <row r="52239" spans="17:17" x14ac:dyDescent="0.25">
      <c r="Q52239" s="8"/>
    </row>
    <row r="52240" spans="17:17" x14ac:dyDescent="0.25">
      <c r="Q52240" s="8"/>
    </row>
    <row r="52241" spans="17:17" x14ac:dyDescent="0.25">
      <c r="Q52241" s="8"/>
    </row>
    <row r="52242" spans="17:17" x14ac:dyDescent="0.25">
      <c r="Q52242" s="8"/>
    </row>
    <row r="52243" spans="17:17" x14ac:dyDescent="0.25">
      <c r="Q52243" s="8"/>
    </row>
    <row r="52244" spans="17:17" x14ac:dyDescent="0.25">
      <c r="Q52244" s="8"/>
    </row>
    <row r="52245" spans="17:17" x14ac:dyDescent="0.25">
      <c r="Q52245" s="8"/>
    </row>
    <row r="52246" spans="17:17" x14ac:dyDescent="0.25">
      <c r="Q52246" s="8"/>
    </row>
    <row r="52247" spans="17:17" x14ac:dyDescent="0.25">
      <c r="Q52247" s="8"/>
    </row>
    <row r="52248" spans="17:17" x14ac:dyDescent="0.25">
      <c r="Q52248" s="8"/>
    </row>
    <row r="52249" spans="17:17" x14ac:dyDescent="0.25">
      <c r="Q52249" s="8"/>
    </row>
    <row r="52250" spans="17:17" x14ac:dyDescent="0.25">
      <c r="Q52250" s="8"/>
    </row>
    <row r="52251" spans="17:17" x14ac:dyDescent="0.25">
      <c r="Q52251" s="8"/>
    </row>
    <row r="52252" spans="17:17" x14ac:dyDescent="0.25">
      <c r="Q52252" s="8"/>
    </row>
    <row r="52253" spans="17:17" x14ac:dyDescent="0.25">
      <c r="Q52253" s="8"/>
    </row>
    <row r="52254" spans="17:17" x14ac:dyDescent="0.25">
      <c r="Q52254" s="8"/>
    </row>
    <row r="52255" spans="17:17" x14ac:dyDescent="0.25">
      <c r="Q52255" s="8"/>
    </row>
    <row r="52256" spans="17:17" x14ac:dyDescent="0.25">
      <c r="Q52256" s="8"/>
    </row>
    <row r="52257" spans="17:17" x14ac:dyDescent="0.25">
      <c r="Q52257" s="8"/>
    </row>
    <row r="52258" spans="17:17" x14ac:dyDescent="0.25">
      <c r="Q52258" s="8"/>
    </row>
    <row r="52259" spans="17:17" x14ac:dyDescent="0.25">
      <c r="Q52259" s="8"/>
    </row>
    <row r="52260" spans="17:17" x14ac:dyDescent="0.25">
      <c r="Q52260" s="8"/>
    </row>
    <row r="52261" spans="17:17" x14ac:dyDescent="0.25">
      <c r="Q52261" s="8"/>
    </row>
    <row r="52262" spans="17:17" x14ac:dyDescent="0.25">
      <c r="Q52262" s="8"/>
    </row>
    <row r="52263" spans="17:17" x14ac:dyDescent="0.25">
      <c r="Q52263" s="8"/>
    </row>
    <row r="52264" spans="17:17" x14ac:dyDescent="0.25">
      <c r="Q52264" s="8"/>
    </row>
    <row r="52265" spans="17:17" x14ac:dyDescent="0.25">
      <c r="Q52265" s="8"/>
    </row>
    <row r="52266" spans="17:17" x14ac:dyDescent="0.25">
      <c r="Q52266" s="8"/>
    </row>
    <row r="52267" spans="17:17" x14ac:dyDescent="0.25">
      <c r="Q52267" s="8"/>
    </row>
    <row r="52268" spans="17:17" x14ac:dyDescent="0.25">
      <c r="Q52268" s="8"/>
    </row>
    <row r="52269" spans="17:17" x14ac:dyDescent="0.25">
      <c r="Q52269" s="8"/>
    </row>
    <row r="52270" spans="17:17" x14ac:dyDescent="0.25">
      <c r="Q52270" s="8"/>
    </row>
    <row r="52271" spans="17:17" x14ac:dyDescent="0.25">
      <c r="Q52271" s="8"/>
    </row>
    <row r="52272" spans="17:17" x14ac:dyDescent="0.25">
      <c r="Q52272" s="8"/>
    </row>
    <row r="52273" spans="17:17" x14ac:dyDescent="0.25">
      <c r="Q52273" s="8"/>
    </row>
    <row r="52274" spans="17:17" x14ac:dyDescent="0.25">
      <c r="Q52274" s="8"/>
    </row>
    <row r="52275" spans="17:17" x14ac:dyDescent="0.25">
      <c r="Q52275" s="8"/>
    </row>
    <row r="52276" spans="17:17" x14ac:dyDescent="0.25">
      <c r="Q52276" s="8"/>
    </row>
    <row r="52277" spans="17:17" x14ac:dyDescent="0.25">
      <c r="Q52277" s="8"/>
    </row>
    <row r="52278" spans="17:17" x14ac:dyDescent="0.25">
      <c r="Q52278" s="8"/>
    </row>
    <row r="52279" spans="17:17" x14ac:dyDescent="0.25">
      <c r="Q52279" s="8"/>
    </row>
    <row r="52280" spans="17:17" x14ac:dyDescent="0.25">
      <c r="Q52280" s="8"/>
    </row>
    <row r="52281" spans="17:17" x14ac:dyDescent="0.25">
      <c r="Q52281" s="8"/>
    </row>
    <row r="52282" spans="17:17" x14ac:dyDescent="0.25">
      <c r="Q52282" s="8"/>
    </row>
    <row r="52283" spans="17:17" x14ac:dyDescent="0.25">
      <c r="Q52283" s="8"/>
    </row>
    <row r="52284" spans="17:17" x14ac:dyDescent="0.25">
      <c r="Q52284" s="8"/>
    </row>
    <row r="52285" spans="17:17" x14ac:dyDescent="0.25">
      <c r="Q52285" s="8"/>
    </row>
    <row r="52286" spans="17:17" x14ac:dyDescent="0.25">
      <c r="Q52286" s="8"/>
    </row>
    <row r="52287" spans="17:17" x14ac:dyDescent="0.25">
      <c r="Q52287" s="8"/>
    </row>
    <row r="52288" spans="17:17" x14ac:dyDescent="0.25">
      <c r="Q52288" s="8"/>
    </row>
    <row r="52289" spans="17:17" x14ac:dyDescent="0.25">
      <c r="Q52289" s="8"/>
    </row>
    <row r="52290" spans="17:17" x14ac:dyDescent="0.25">
      <c r="Q52290" s="8"/>
    </row>
    <row r="52291" spans="17:17" x14ac:dyDescent="0.25">
      <c r="Q52291" s="8"/>
    </row>
    <row r="52292" spans="17:17" x14ac:dyDescent="0.25">
      <c r="Q52292" s="8"/>
    </row>
    <row r="52293" spans="17:17" x14ac:dyDescent="0.25">
      <c r="Q52293" s="8"/>
    </row>
    <row r="52294" spans="17:17" x14ac:dyDescent="0.25">
      <c r="Q52294" s="8"/>
    </row>
    <row r="52295" spans="17:17" x14ac:dyDescent="0.25">
      <c r="Q52295" s="8"/>
    </row>
    <row r="52296" spans="17:17" x14ac:dyDescent="0.25">
      <c r="Q52296" s="8"/>
    </row>
    <row r="52297" spans="17:17" x14ac:dyDescent="0.25">
      <c r="Q52297" s="8"/>
    </row>
    <row r="52298" spans="17:17" x14ac:dyDescent="0.25">
      <c r="Q52298" s="8"/>
    </row>
    <row r="52299" spans="17:17" x14ac:dyDescent="0.25">
      <c r="Q52299" s="8"/>
    </row>
    <row r="52300" spans="17:17" x14ac:dyDescent="0.25">
      <c r="Q52300" s="8"/>
    </row>
    <row r="52301" spans="17:17" x14ac:dyDescent="0.25">
      <c r="Q52301" s="8"/>
    </row>
    <row r="52302" spans="17:17" x14ac:dyDescent="0.25">
      <c r="Q52302" s="8"/>
    </row>
    <row r="52303" spans="17:17" x14ac:dyDescent="0.25">
      <c r="Q52303" s="8"/>
    </row>
    <row r="52304" spans="17:17" x14ac:dyDescent="0.25">
      <c r="Q52304" s="8"/>
    </row>
    <row r="52305" spans="17:17" x14ac:dyDescent="0.25">
      <c r="Q52305" s="8"/>
    </row>
    <row r="52306" spans="17:17" x14ac:dyDescent="0.25">
      <c r="Q52306" s="8"/>
    </row>
    <row r="52307" spans="17:17" x14ac:dyDescent="0.25">
      <c r="Q52307" s="8"/>
    </row>
    <row r="52308" spans="17:17" x14ac:dyDescent="0.25">
      <c r="Q52308" s="8"/>
    </row>
    <row r="52309" spans="17:17" x14ac:dyDescent="0.25">
      <c r="Q52309" s="8"/>
    </row>
    <row r="52310" spans="17:17" x14ac:dyDescent="0.25">
      <c r="Q52310" s="8"/>
    </row>
    <row r="52311" spans="17:17" x14ac:dyDescent="0.25">
      <c r="Q52311" s="8"/>
    </row>
    <row r="52312" spans="17:17" x14ac:dyDescent="0.25">
      <c r="Q52312" s="8"/>
    </row>
    <row r="52313" spans="17:17" x14ac:dyDescent="0.25">
      <c r="Q52313" s="8"/>
    </row>
    <row r="52314" spans="17:17" x14ac:dyDescent="0.25">
      <c r="Q52314" s="8"/>
    </row>
    <row r="52315" spans="17:17" x14ac:dyDescent="0.25">
      <c r="Q52315" s="8"/>
    </row>
    <row r="52316" spans="17:17" x14ac:dyDescent="0.25">
      <c r="Q52316" s="8"/>
    </row>
    <row r="52317" spans="17:17" x14ac:dyDescent="0.25">
      <c r="Q52317" s="8"/>
    </row>
    <row r="52318" spans="17:17" x14ac:dyDescent="0.25">
      <c r="Q52318" s="8"/>
    </row>
    <row r="52319" spans="17:17" x14ac:dyDescent="0.25">
      <c r="Q52319" s="8"/>
    </row>
    <row r="52320" spans="17:17" x14ac:dyDescent="0.25">
      <c r="Q52320" s="8"/>
    </row>
    <row r="52321" spans="17:17" x14ac:dyDescent="0.25">
      <c r="Q52321" s="8"/>
    </row>
    <row r="52322" spans="17:17" x14ac:dyDescent="0.25">
      <c r="Q52322" s="8"/>
    </row>
    <row r="52323" spans="17:17" x14ac:dyDescent="0.25">
      <c r="Q52323" s="8"/>
    </row>
    <row r="52324" spans="17:17" x14ac:dyDescent="0.25">
      <c r="Q52324" s="8"/>
    </row>
    <row r="52325" spans="17:17" x14ac:dyDescent="0.25">
      <c r="Q52325" s="8"/>
    </row>
    <row r="52326" spans="17:17" x14ac:dyDescent="0.25">
      <c r="Q52326" s="8"/>
    </row>
    <row r="52327" spans="17:17" x14ac:dyDescent="0.25">
      <c r="Q52327" s="8"/>
    </row>
    <row r="52328" spans="17:17" x14ac:dyDescent="0.25">
      <c r="Q52328" s="8"/>
    </row>
    <row r="52329" spans="17:17" x14ac:dyDescent="0.25">
      <c r="Q52329" s="8"/>
    </row>
    <row r="52330" spans="17:17" x14ac:dyDescent="0.25">
      <c r="Q52330" s="8"/>
    </row>
    <row r="52331" spans="17:17" x14ac:dyDescent="0.25">
      <c r="Q52331" s="8"/>
    </row>
    <row r="52332" spans="17:17" x14ac:dyDescent="0.25">
      <c r="Q52332" s="8"/>
    </row>
    <row r="52333" spans="17:17" x14ac:dyDescent="0.25">
      <c r="Q52333" s="8"/>
    </row>
    <row r="52334" spans="17:17" x14ac:dyDescent="0.25">
      <c r="Q52334" s="8"/>
    </row>
    <row r="52335" spans="17:17" x14ac:dyDescent="0.25">
      <c r="Q52335" s="8"/>
    </row>
    <row r="52336" spans="17:17" x14ac:dyDescent="0.25">
      <c r="Q52336" s="8"/>
    </row>
    <row r="52337" spans="17:17" x14ac:dyDescent="0.25">
      <c r="Q52337" s="8"/>
    </row>
    <row r="52338" spans="17:17" x14ac:dyDescent="0.25">
      <c r="Q52338" s="8"/>
    </row>
    <row r="52339" spans="17:17" x14ac:dyDescent="0.25">
      <c r="Q52339" s="8"/>
    </row>
    <row r="52340" spans="17:17" x14ac:dyDescent="0.25">
      <c r="Q52340" s="8"/>
    </row>
    <row r="52341" spans="17:17" x14ac:dyDescent="0.25">
      <c r="Q52341" s="8"/>
    </row>
    <row r="52342" spans="17:17" x14ac:dyDescent="0.25">
      <c r="Q52342" s="8"/>
    </row>
    <row r="52343" spans="17:17" x14ac:dyDescent="0.25">
      <c r="Q52343" s="8"/>
    </row>
    <row r="52344" spans="17:17" x14ac:dyDescent="0.25">
      <c r="Q52344" s="8"/>
    </row>
    <row r="52345" spans="17:17" x14ac:dyDescent="0.25">
      <c r="Q52345" s="8"/>
    </row>
    <row r="52346" spans="17:17" x14ac:dyDescent="0.25">
      <c r="Q52346" s="8"/>
    </row>
    <row r="52347" spans="17:17" x14ac:dyDescent="0.25">
      <c r="Q52347" s="8"/>
    </row>
    <row r="52348" spans="17:17" x14ac:dyDescent="0.25">
      <c r="Q52348" s="8"/>
    </row>
    <row r="52349" spans="17:17" x14ac:dyDescent="0.25">
      <c r="Q52349" s="8"/>
    </row>
    <row r="52350" spans="17:17" x14ac:dyDescent="0.25">
      <c r="Q52350" s="8"/>
    </row>
    <row r="52351" spans="17:17" x14ac:dyDescent="0.25">
      <c r="Q52351" s="8"/>
    </row>
    <row r="52352" spans="17:17" x14ac:dyDescent="0.25">
      <c r="Q52352" s="8"/>
    </row>
    <row r="52353" spans="17:17" x14ac:dyDescent="0.25">
      <c r="Q52353" s="8"/>
    </row>
    <row r="52354" spans="17:17" x14ac:dyDescent="0.25">
      <c r="Q52354" s="8"/>
    </row>
    <row r="52355" spans="17:17" x14ac:dyDescent="0.25">
      <c r="Q52355" s="8"/>
    </row>
    <row r="52356" spans="17:17" x14ac:dyDescent="0.25">
      <c r="Q52356" s="8"/>
    </row>
    <row r="52357" spans="17:17" x14ac:dyDescent="0.25">
      <c r="Q52357" s="8"/>
    </row>
    <row r="52358" spans="17:17" x14ac:dyDescent="0.25">
      <c r="Q52358" s="8"/>
    </row>
    <row r="52359" spans="17:17" x14ac:dyDescent="0.25">
      <c r="Q52359" s="8"/>
    </row>
    <row r="52360" spans="17:17" x14ac:dyDescent="0.25">
      <c r="Q52360" s="8"/>
    </row>
    <row r="52361" spans="17:17" x14ac:dyDescent="0.25">
      <c r="Q52361" s="8"/>
    </row>
    <row r="52362" spans="17:17" x14ac:dyDescent="0.25">
      <c r="Q52362" s="8"/>
    </row>
    <row r="52363" spans="17:17" x14ac:dyDescent="0.25">
      <c r="Q52363" s="8"/>
    </row>
    <row r="52364" spans="17:17" x14ac:dyDescent="0.25">
      <c r="Q52364" s="8"/>
    </row>
    <row r="52365" spans="17:17" x14ac:dyDescent="0.25">
      <c r="Q52365" s="8"/>
    </row>
    <row r="52366" spans="17:17" x14ac:dyDescent="0.25">
      <c r="Q52366" s="8"/>
    </row>
    <row r="52367" spans="17:17" x14ac:dyDescent="0.25">
      <c r="Q52367" s="8"/>
    </row>
    <row r="52368" spans="17:17" x14ac:dyDescent="0.25">
      <c r="Q52368" s="8"/>
    </row>
    <row r="52369" spans="17:17" x14ac:dyDescent="0.25">
      <c r="Q52369" s="8"/>
    </row>
    <row r="52370" spans="17:17" x14ac:dyDescent="0.25">
      <c r="Q52370" s="8"/>
    </row>
    <row r="52371" spans="17:17" x14ac:dyDescent="0.25">
      <c r="Q52371" s="8"/>
    </row>
    <row r="52372" spans="17:17" x14ac:dyDescent="0.25">
      <c r="Q52372" s="8"/>
    </row>
    <row r="52373" spans="17:17" x14ac:dyDescent="0.25">
      <c r="Q52373" s="8"/>
    </row>
    <row r="52374" spans="17:17" x14ac:dyDescent="0.25">
      <c r="Q52374" s="8"/>
    </row>
    <row r="52375" spans="17:17" x14ac:dyDescent="0.25">
      <c r="Q52375" s="8"/>
    </row>
    <row r="52376" spans="17:17" x14ac:dyDescent="0.25">
      <c r="Q52376" s="8"/>
    </row>
    <row r="52377" spans="17:17" x14ac:dyDescent="0.25">
      <c r="Q52377" s="8"/>
    </row>
    <row r="52378" spans="17:17" x14ac:dyDescent="0.25">
      <c r="Q52378" s="8"/>
    </row>
    <row r="52379" spans="17:17" x14ac:dyDescent="0.25">
      <c r="Q52379" s="8"/>
    </row>
    <row r="52380" spans="17:17" x14ac:dyDescent="0.25">
      <c r="Q52380" s="8"/>
    </row>
    <row r="52381" spans="17:17" x14ac:dyDescent="0.25">
      <c r="Q52381" s="8"/>
    </row>
    <row r="52382" spans="17:17" x14ac:dyDescent="0.25">
      <c r="Q52382" s="8"/>
    </row>
    <row r="52383" spans="17:17" x14ac:dyDescent="0.25">
      <c r="Q52383" s="8"/>
    </row>
    <row r="52384" spans="17:17" x14ac:dyDescent="0.25">
      <c r="Q52384" s="8"/>
    </row>
    <row r="52385" spans="17:17" x14ac:dyDescent="0.25">
      <c r="Q52385" s="8"/>
    </row>
    <row r="52386" spans="17:17" x14ac:dyDescent="0.25">
      <c r="Q52386" s="8"/>
    </row>
    <row r="52387" spans="17:17" x14ac:dyDescent="0.25">
      <c r="Q52387" s="8"/>
    </row>
    <row r="52388" spans="17:17" x14ac:dyDescent="0.25">
      <c r="Q52388" s="8"/>
    </row>
    <row r="52389" spans="17:17" x14ac:dyDescent="0.25">
      <c r="Q52389" s="8"/>
    </row>
    <row r="52390" spans="17:17" x14ac:dyDescent="0.25">
      <c r="Q52390" s="8"/>
    </row>
    <row r="52391" spans="17:17" x14ac:dyDescent="0.25">
      <c r="Q52391" s="8"/>
    </row>
    <row r="52392" spans="17:17" x14ac:dyDescent="0.25">
      <c r="Q52392" s="8"/>
    </row>
    <row r="52393" spans="17:17" x14ac:dyDescent="0.25">
      <c r="Q52393" s="8"/>
    </row>
    <row r="52394" spans="17:17" x14ac:dyDescent="0.25">
      <c r="Q52394" s="8"/>
    </row>
    <row r="52395" spans="17:17" x14ac:dyDescent="0.25">
      <c r="Q52395" s="8"/>
    </row>
    <row r="52396" spans="17:17" x14ac:dyDescent="0.25">
      <c r="Q52396" s="8"/>
    </row>
    <row r="52397" spans="17:17" x14ac:dyDescent="0.25">
      <c r="Q52397" s="8"/>
    </row>
    <row r="52398" spans="17:17" x14ac:dyDescent="0.25">
      <c r="Q52398" s="8"/>
    </row>
    <row r="52399" spans="17:17" x14ac:dyDescent="0.25">
      <c r="Q52399" s="8"/>
    </row>
    <row r="52400" spans="17:17" x14ac:dyDescent="0.25">
      <c r="Q52400" s="8"/>
    </row>
    <row r="52401" spans="17:17" x14ac:dyDescent="0.25">
      <c r="Q52401" s="8"/>
    </row>
    <row r="52402" spans="17:17" x14ac:dyDescent="0.25">
      <c r="Q52402" s="8"/>
    </row>
    <row r="52403" spans="17:17" x14ac:dyDescent="0.25">
      <c r="Q52403" s="8"/>
    </row>
    <row r="52404" spans="17:17" x14ac:dyDescent="0.25">
      <c r="Q52404" s="8"/>
    </row>
    <row r="52405" spans="17:17" x14ac:dyDescent="0.25">
      <c r="Q52405" s="8"/>
    </row>
    <row r="52406" spans="17:17" x14ac:dyDescent="0.25">
      <c r="Q52406" s="8"/>
    </row>
    <row r="52407" spans="17:17" x14ac:dyDescent="0.25">
      <c r="Q52407" s="8"/>
    </row>
    <row r="52408" spans="17:17" x14ac:dyDescent="0.25">
      <c r="Q52408" s="8"/>
    </row>
    <row r="52409" spans="17:17" x14ac:dyDescent="0.25">
      <c r="Q52409" s="8"/>
    </row>
    <row r="52410" spans="17:17" x14ac:dyDescent="0.25">
      <c r="Q52410" s="8"/>
    </row>
    <row r="52411" spans="17:17" x14ac:dyDescent="0.25">
      <c r="Q52411" s="8"/>
    </row>
    <row r="52412" spans="17:17" x14ac:dyDescent="0.25">
      <c r="Q52412" s="8"/>
    </row>
    <row r="52413" spans="17:17" x14ac:dyDescent="0.25">
      <c r="Q52413" s="8"/>
    </row>
    <row r="52414" spans="17:17" x14ac:dyDescent="0.25">
      <c r="Q52414" s="8"/>
    </row>
    <row r="52415" spans="17:17" x14ac:dyDescent="0.25">
      <c r="Q52415" s="8"/>
    </row>
    <row r="52416" spans="17:17" x14ac:dyDescent="0.25">
      <c r="Q52416" s="8"/>
    </row>
    <row r="52417" spans="17:17" x14ac:dyDescent="0.25">
      <c r="Q52417" s="8"/>
    </row>
    <row r="52418" spans="17:17" x14ac:dyDescent="0.25">
      <c r="Q52418" s="8"/>
    </row>
    <row r="52419" spans="17:17" x14ac:dyDescent="0.25">
      <c r="Q52419" s="8"/>
    </row>
    <row r="52420" spans="17:17" x14ac:dyDescent="0.25">
      <c r="Q52420" s="8"/>
    </row>
    <row r="52421" spans="17:17" x14ac:dyDescent="0.25">
      <c r="Q52421" s="8"/>
    </row>
    <row r="52422" spans="17:17" x14ac:dyDescent="0.25">
      <c r="Q52422" s="8"/>
    </row>
    <row r="52423" spans="17:17" x14ac:dyDescent="0.25">
      <c r="Q52423" s="8"/>
    </row>
    <row r="52424" spans="17:17" x14ac:dyDescent="0.25">
      <c r="Q52424" s="8"/>
    </row>
    <row r="52425" spans="17:17" x14ac:dyDescent="0.25">
      <c r="Q52425" s="8"/>
    </row>
    <row r="52426" spans="17:17" x14ac:dyDescent="0.25">
      <c r="Q52426" s="8"/>
    </row>
    <row r="52427" spans="17:17" x14ac:dyDescent="0.25">
      <c r="Q52427" s="8"/>
    </row>
    <row r="52428" spans="17:17" x14ac:dyDescent="0.25">
      <c r="Q52428" s="8"/>
    </row>
    <row r="52429" spans="17:17" x14ac:dyDescent="0.25">
      <c r="Q52429" s="8"/>
    </row>
    <row r="52430" spans="17:17" x14ac:dyDescent="0.25">
      <c r="Q52430" s="8"/>
    </row>
    <row r="52431" spans="17:17" x14ac:dyDescent="0.25">
      <c r="Q52431" s="8"/>
    </row>
    <row r="52432" spans="17:17" x14ac:dyDescent="0.25">
      <c r="Q52432" s="8"/>
    </row>
    <row r="52433" spans="17:17" x14ac:dyDescent="0.25">
      <c r="Q52433" s="8"/>
    </row>
    <row r="52434" spans="17:17" x14ac:dyDescent="0.25">
      <c r="Q52434" s="8"/>
    </row>
    <row r="52435" spans="17:17" x14ac:dyDescent="0.25">
      <c r="Q52435" s="8"/>
    </row>
    <row r="52436" spans="17:17" x14ac:dyDescent="0.25">
      <c r="Q52436" s="8"/>
    </row>
    <row r="52437" spans="17:17" x14ac:dyDescent="0.25">
      <c r="Q52437" s="8"/>
    </row>
    <row r="52438" spans="17:17" x14ac:dyDescent="0.25">
      <c r="Q52438" s="8"/>
    </row>
    <row r="52439" spans="17:17" x14ac:dyDescent="0.25">
      <c r="Q52439" s="8"/>
    </row>
    <row r="52440" spans="17:17" x14ac:dyDescent="0.25">
      <c r="Q52440" s="8"/>
    </row>
    <row r="52441" spans="17:17" x14ac:dyDescent="0.25">
      <c r="Q52441" s="8"/>
    </row>
    <row r="52442" spans="17:17" x14ac:dyDescent="0.25">
      <c r="Q52442" s="8"/>
    </row>
    <row r="52443" spans="17:17" x14ac:dyDescent="0.25">
      <c r="Q52443" s="8"/>
    </row>
    <row r="52444" spans="17:17" x14ac:dyDescent="0.25">
      <c r="Q52444" s="8"/>
    </row>
    <row r="52445" spans="17:17" x14ac:dyDescent="0.25">
      <c r="Q52445" s="8"/>
    </row>
    <row r="52446" spans="17:17" x14ac:dyDescent="0.25">
      <c r="Q52446" s="8"/>
    </row>
    <row r="52447" spans="17:17" x14ac:dyDescent="0.25">
      <c r="Q52447" s="8"/>
    </row>
    <row r="52448" spans="17:17" x14ac:dyDescent="0.25">
      <c r="Q52448" s="8"/>
    </row>
    <row r="52449" spans="17:17" x14ac:dyDescent="0.25">
      <c r="Q52449" s="8"/>
    </row>
    <row r="52450" spans="17:17" x14ac:dyDescent="0.25">
      <c r="Q52450" s="8"/>
    </row>
    <row r="52451" spans="17:17" x14ac:dyDescent="0.25">
      <c r="Q52451" s="8"/>
    </row>
    <row r="52452" spans="17:17" x14ac:dyDescent="0.25">
      <c r="Q52452" s="8"/>
    </row>
    <row r="52453" spans="17:17" x14ac:dyDescent="0.25">
      <c r="Q52453" s="8"/>
    </row>
    <row r="52454" spans="17:17" x14ac:dyDescent="0.25">
      <c r="Q52454" s="8"/>
    </row>
    <row r="52455" spans="17:17" x14ac:dyDescent="0.25">
      <c r="Q52455" s="8"/>
    </row>
    <row r="52456" spans="17:17" x14ac:dyDescent="0.25">
      <c r="Q52456" s="8"/>
    </row>
    <row r="52457" spans="17:17" x14ac:dyDescent="0.25">
      <c r="Q52457" s="8"/>
    </row>
    <row r="52458" spans="17:17" x14ac:dyDescent="0.25">
      <c r="Q52458" s="8"/>
    </row>
    <row r="52459" spans="17:17" x14ac:dyDescent="0.25">
      <c r="Q52459" s="8"/>
    </row>
    <row r="52460" spans="17:17" x14ac:dyDescent="0.25">
      <c r="Q52460" s="8"/>
    </row>
    <row r="52461" spans="17:17" x14ac:dyDescent="0.25">
      <c r="Q52461" s="8"/>
    </row>
    <row r="52462" spans="17:17" x14ac:dyDescent="0.25">
      <c r="Q52462" s="8"/>
    </row>
    <row r="52463" spans="17:17" x14ac:dyDescent="0.25">
      <c r="Q52463" s="8"/>
    </row>
    <row r="52464" spans="17:17" x14ac:dyDescent="0.25">
      <c r="Q52464" s="8"/>
    </row>
    <row r="52465" spans="17:17" x14ac:dyDescent="0.25">
      <c r="Q52465" s="8"/>
    </row>
    <row r="52466" spans="17:17" x14ac:dyDescent="0.25">
      <c r="Q52466" s="8"/>
    </row>
    <row r="52467" spans="17:17" x14ac:dyDescent="0.25">
      <c r="Q52467" s="8"/>
    </row>
    <row r="52468" spans="17:17" x14ac:dyDescent="0.25">
      <c r="Q52468" s="8"/>
    </row>
    <row r="52469" spans="17:17" x14ac:dyDescent="0.25">
      <c r="Q52469" s="8"/>
    </row>
    <row r="52470" spans="17:17" x14ac:dyDescent="0.25">
      <c r="Q52470" s="8"/>
    </row>
    <row r="52471" spans="17:17" x14ac:dyDescent="0.25">
      <c r="Q52471" s="8"/>
    </row>
    <row r="52472" spans="17:17" x14ac:dyDescent="0.25">
      <c r="Q52472" s="8"/>
    </row>
    <row r="52473" spans="17:17" x14ac:dyDescent="0.25">
      <c r="Q52473" s="8"/>
    </row>
    <row r="52474" spans="17:17" x14ac:dyDescent="0.25">
      <c r="Q52474" s="8"/>
    </row>
    <row r="52475" spans="17:17" x14ac:dyDescent="0.25">
      <c r="Q52475" s="8"/>
    </row>
    <row r="52476" spans="17:17" x14ac:dyDescent="0.25">
      <c r="Q52476" s="8"/>
    </row>
    <row r="52477" spans="17:17" x14ac:dyDescent="0.25">
      <c r="Q52477" s="8"/>
    </row>
    <row r="52478" spans="17:17" x14ac:dyDescent="0.25">
      <c r="Q52478" s="8"/>
    </row>
    <row r="52479" spans="17:17" x14ac:dyDescent="0.25">
      <c r="Q52479" s="8"/>
    </row>
    <row r="52480" spans="17:17" x14ac:dyDescent="0.25">
      <c r="Q52480" s="8"/>
    </row>
    <row r="52481" spans="17:17" x14ac:dyDescent="0.25">
      <c r="Q52481" s="8"/>
    </row>
    <row r="52482" spans="17:17" x14ac:dyDescent="0.25">
      <c r="Q52482" s="8"/>
    </row>
    <row r="52483" spans="17:17" x14ac:dyDescent="0.25">
      <c r="Q52483" s="8"/>
    </row>
    <row r="52484" spans="17:17" x14ac:dyDescent="0.25">
      <c r="Q52484" s="8"/>
    </row>
    <row r="52485" spans="17:17" x14ac:dyDescent="0.25">
      <c r="Q52485" s="8"/>
    </row>
    <row r="52486" spans="17:17" x14ac:dyDescent="0.25">
      <c r="Q52486" s="8"/>
    </row>
    <row r="52487" spans="17:17" x14ac:dyDescent="0.25">
      <c r="Q52487" s="8"/>
    </row>
    <row r="52488" spans="17:17" x14ac:dyDescent="0.25">
      <c r="Q52488" s="8"/>
    </row>
    <row r="52489" spans="17:17" x14ac:dyDescent="0.25">
      <c r="Q52489" s="8"/>
    </row>
    <row r="52490" spans="17:17" x14ac:dyDescent="0.25">
      <c r="Q52490" s="8"/>
    </row>
    <row r="52491" spans="17:17" x14ac:dyDescent="0.25">
      <c r="Q52491" s="8"/>
    </row>
    <row r="52492" spans="17:17" x14ac:dyDescent="0.25">
      <c r="Q52492" s="8"/>
    </row>
    <row r="52493" spans="17:17" x14ac:dyDescent="0.25">
      <c r="Q52493" s="8"/>
    </row>
    <row r="52494" spans="17:17" x14ac:dyDescent="0.25">
      <c r="Q52494" s="8"/>
    </row>
    <row r="52495" spans="17:17" x14ac:dyDescent="0.25">
      <c r="Q52495" s="8"/>
    </row>
    <row r="52496" spans="17:17" x14ac:dyDescent="0.25">
      <c r="Q52496" s="8"/>
    </row>
    <row r="52497" spans="17:17" x14ac:dyDescent="0.25">
      <c r="Q52497" s="8"/>
    </row>
    <row r="52498" spans="17:17" x14ac:dyDescent="0.25">
      <c r="Q52498" s="8"/>
    </row>
    <row r="52499" spans="17:17" x14ac:dyDescent="0.25">
      <c r="Q52499" s="8"/>
    </row>
    <row r="52500" spans="17:17" x14ac:dyDescent="0.25">
      <c r="Q52500" s="8"/>
    </row>
    <row r="52501" spans="17:17" x14ac:dyDescent="0.25">
      <c r="Q52501" s="8"/>
    </row>
    <row r="52502" spans="17:17" x14ac:dyDescent="0.25">
      <c r="Q52502" s="8"/>
    </row>
    <row r="52503" spans="17:17" x14ac:dyDescent="0.25">
      <c r="Q52503" s="8"/>
    </row>
    <row r="52504" spans="17:17" x14ac:dyDescent="0.25">
      <c r="Q52504" s="8"/>
    </row>
    <row r="52505" spans="17:17" x14ac:dyDescent="0.25">
      <c r="Q52505" s="8"/>
    </row>
    <row r="52506" spans="17:17" x14ac:dyDescent="0.25">
      <c r="Q52506" s="8"/>
    </row>
    <row r="52507" spans="17:17" x14ac:dyDescent="0.25">
      <c r="Q52507" s="8"/>
    </row>
    <row r="52508" spans="17:17" x14ac:dyDescent="0.25">
      <c r="Q52508" s="8"/>
    </row>
    <row r="52509" spans="17:17" x14ac:dyDescent="0.25">
      <c r="Q52509" s="8"/>
    </row>
    <row r="52510" spans="17:17" x14ac:dyDescent="0.25">
      <c r="Q52510" s="8"/>
    </row>
    <row r="52511" spans="17:17" x14ac:dyDescent="0.25">
      <c r="Q52511" s="8"/>
    </row>
    <row r="52512" spans="17:17" x14ac:dyDescent="0.25">
      <c r="Q52512" s="8"/>
    </row>
    <row r="52513" spans="17:17" x14ac:dyDescent="0.25">
      <c r="Q52513" s="8"/>
    </row>
    <row r="52514" spans="17:17" x14ac:dyDescent="0.25">
      <c r="Q52514" s="8"/>
    </row>
    <row r="52515" spans="17:17" x14ac:dyDescent="0.25">
      <c r="Q52515" s="8"/>
    </row>
    <row r="52516" spans="17:17" x14ac:dyDescent="0.25">
      <c r="Q52516" s="8"/>
    </row>
    <row r="52517" spans="17:17" x14ac:dyDescent="0.25">
      <c r="Q52517" s="8"/>
    </row>
    <row r="52518" spans="17:17" x14ac:dyDescent="0.25">
      <c r="Q52518" s="8"/>
    </row>
    <row r="52519" spans="17:17" x14ac:dyDescent="0.25">
      <c r="Q52519" s="8"/>
    </row>
    <row r="52520" spans="17:17" x14ac:dyDescent="0.25">
      <c r="Q52520" s="8"/>
    </row>
    <row r="52521" spans="17:17" x14ac:dyDescent="0.25">
      <c r="Q52521" s="8"/>
    </row>
    <row r="52522" spans="17:17" x14ac:dyDescent="0.25">
      <c r="Q52522" s="8"/>
    </row>
    <row r="52523" spans="17:17" x14ac:dyDescent="0.25">
      <c r="Q52523" s="8"/>
    </row>
    <row r="52524" spans="17:17" x14ac:dyDescent="0.25">
      <c r="Q52524" s="8"/>
    </row>
    <row r="52525" spans="17:17" x14ac:dyDescent="0.25">
      <c r="Q52525" s="8"/>
    </row>
    <row r="52526" spans="17:17" x14ac:dyDescent="0.25">
      <c r="Q52526" s="8"/>
    </row>
    <row r="52527" spans="17:17" x14ac:dyDescent="0.25">
      <c r="Q52527" s="8"/>
    </row>
    <row r="52528" spans="17:17" x14ac:dyDescent="0.25">
      <c r="Q52528" s="8"/>
    </row>
    <row r="52529" spans="17:17" x14ac:dyDescent="0.25">
      <c r="Q52529" s="8"/>
    </row>
    <row r="52530" spans="17:17" x14ac:dyDescent="0.25">
      <c r="Q52530" s="8"/>
    </row>
    <row r="52531" spans="17:17" x14ac:dyDescent="0.25">
      <c r="Q52531" s="8"/>
    </row>
    <row r="52532" spans="17:17" x14ac:dyDescent="0.25">
      <c r="Q52532" s="8"/>
    </row>
    <row r="52533" spans="17:17" x14ac:dyDescent="0.25">
      <c r="Q52533" s="8"/>
    </row>
    <row r="52534" spans="17:17" x14ac:dyDescent="0.25">
      <c r="Q52534" s="8"/>
    </row>
    <row r="52535" spans="17:17" x14ac:dyDescent="0.25">
      <c r="Q52535" s="8"/>
    </row>
    <row r="52536" spans="17:17" x14ac:dyDescent="0.25">
      <c r="Q52536" s="8"/>
    </row>
    <row r="52537" spans="17:17" x14ac:dyDescent="0.25">
      <c r="Q52537" s="8"/>
    </row>
    <row r="52538" spans="17:17" x14ac:dyDescent="0.25">
      <c r="Q52538" s="8"/>
    </row>
    <row r="52539" spans="17:17" x14ac:dyDescent="0.25">
      <c r="Q52539" s="8"/>
    </row>
    <row r="52540" spans="17:17" x14ac:dyDescent="0.25">
      <c r="Q52540" s="8"/>
    </row>
    <row r="52541" spans="17:17" x14ac:dyDescent="0.25">
      <c r="Q52541" s="8"/>
    </row>
    <row r="52542" spans="17:17" x14ac:dyDescent="0.25">
      <c r="Q52542" s="8"/>
    </row>
    <row r="52543" spans="17:17" x14ac:dyDescent="0.25">
      <c r="Q52543" s="8"/>
    </row>
    <row r="52544" spans="17:17" x14ac:dyDescent="0.25">
      <c r="Q52544" s="8"/>
    </row>
    <row r="52545" spans="17:17" x14ac:dyDescent="0.25">
      <c r="Q52545" s="8"/>
    </row>
    <row r="52546" spans="17:17" x14ac:dyDescent="0.25">
      <c r="Q52546" s="8"/>
    </row>
    <row r="52547" spans="17:17" x14ac:dyDescent="0.25">
      <c r="Q52547" s="8"/>
    </row>
    <row r="52548" spans="17:17" x14ac:dyDescent="0.25">
      <c r="Q52548" s="8"/>
    </row>
    <row r="52549" spans="17:17" x14ac:dyDescent="0.25">
      <c r="Q52549" s="8"/>
    </row>
    <row r="52550" spans="17:17" x14ac:dyDescent="0.25">
      <c r="Q52550" s="8"/>
    </row>
    <row r="52551" spans="17:17" x14ac:dyDescent="0.25">
      <c r="Q52551" s="8"/>
    </row>
    <row r="52552" spans="17:17" x14ac:dyDescent="0.25">
      <c r="Q52552" s="8"/>
    </row>
    <row r="52553" spans="17:17" x14ac:dyDescent="0.25">
      <c r="Q52553" s="8"/>
    </row>
    <row r="52554" spans="17:17" x14ac:dyDescent="0.25">
      <c r="Q52554" s="8"/>
    </row>
    <row r="52555" spans="17:17" x14ac:dyDescent="0.25">
      <c r="Q52555" s="8"/>
    </row>
    <row r="52556" spans="17:17" x14ac:dyDescent="0.25">
      <c r="Q52556" s="8"/>
    </row>
    <row r="52557" spans="17:17" x14ac:dyDescent="0.25">
      <c r="Q52557" s="8"/>
    </row>
    <row r="52558" spans="17:17" x14ac:dyDescent="0.25">
      <c r="Q52558" s="8"/>
    </row>
    <row r="52559" spans="17:17" x14ac:dyDescent="0.25">
      <c r="Q52559" s="8"/>
    </row>
    <row r="52560" spans="17:17" x14ac:dyDescent="0.25">
      <c r="Q52560" s="8"/>
    </row>
    <row r="52561" spans="17:17" x14ac:dyDescent="0.25">
      <c r="Q52561" s="8"/>
    </row>
    <row r="52562" spans="17:17" x14ac:dyDescent="0.25">
      <c r="Q52562" s="8"/>
    </row>
    <row r="52563" spans="17:17" x14ac:dyDescent="0.25">
      <c r="Q52563" s="8"/>
    </row>
    <row r="52564" spans="17:17" x14ac:dyDescent="0.25">
      <c r="Q52564" s="8"/>
    </row>
    <row r="52565" spans="17:17" x14ac:dyDescent="0.25">
      <c r="Q52565" s="8"/>
    </row>
    <row r="52566" spans="17:17" x14ac:dyDescent="0.25">
      <c r="Q52566" s="8"/>
    </row>
    <row r="52567" spans="17:17" x14ac:dyDescent="0.25">
      <c r="Q52567" s="8"/>
    </row>
    <row r="52568" spans="17:17" x14ac:dyDescent="0.25">
      <c r="Q52568" s="8"/>
    </row>
    <row r="52569" spans="17:17" x14ac:dyDescent="0.25">
      <c r="Q52569" s="8"/>
    </row>
    <row r="52570" spans="17:17" x14ac:dyDescent="0.25">
      <c r="Q52570" s="8"/>
    </row>
    <row r="52571" spans="17:17" x14ac:dyDescent="0.25">
      <c r="Q52571" s="8"/>
    </row>
    <row r="52572" spans="17:17" x14ac:dyDescent="0.25">
      <c r="Q52572" s="8"/>
    </row>
    <row r="52573" spans="17:17" x14ac:dyDescent="0.25">
      <c r="Q52573" s="8"/>
    </row>
    <row r="52574" spans="17:17" x14ac:dyDescent="0.25">
      <c r="Q52574" s="8"/>
    </row>
    <row r="52575" spans="17:17" x14ac:dyDescent="0.25">
      <c r="Q52575" s="8"/>
    </row>
    <row r="52576" spans="17:17" x14ac:dyDescent="0.25">
      <c r="Q52576" s="8"/>
    </row>
    <row r="52577" spans="17:17" x14ac:dyDescent="0.25">
      <c r="Q52577" s="8"/>
    </row>
    <row r="52578" spans="17:17" x14ac:dyDescent="0.25">
      <c r="Q52578" s="8"/>
    </row>
    <row r="52579" spans="17:17" x14ac:dyDescent="0.25">
      <c r="Q52579" s="8"/>
    </row>
    <row r="52580" spans="17:17" x14ac:dyDescent="0.25">
      <c r="Q52580" s="8"/>
    </row>
    <row r="52581" spans="17:17" x14ac:dyDescent="0.25">
      <c r="Q52581" s="8"/>
    </row>
    <row r="52582" spans="17:17" x14ac:dyDescent="0.25">
      <c r="Q52582" s="8"/>
    </row>
    <row r="52583" spans="17:17" x14ac:dyDescent="0.25">
      <c r="Q52583" s="8"/>
    </row>
    <row r="52584" spans="17:17" x14ac:dyDescent="0.25">
      <c r="Q52584" s="8"/>
    </row>
    <row r="52585" spans="17:17" x14ac:dyDescent="0.25">
      <c r="Q52585" s="8"/>
    </row>
    <row r="52586" spans="17:17" x14ac:dyDescent="0.25">
      <c r="Q52586" s="8"/>
    </row>
    <row r="52587" spans="17:17" x14ac:dyDescent="0.25">
      <c r="Q52587" s="8"/>
    </row>
    <row r="52588" spans="17:17" x14ac:dyDescent="0.25">
      <c r="Q52588" s="8"/>
    </row>
    <row r="52589" spans="17:17" x14ac:dyDescent="0.25">
      <c r="Q52589" s="8"/>
    </row>
    <row r="52590" spans="17:17" x14ac:dyDescent="0.25">
      <c r="Q52590" s="8"/>
    </row>
    <row r="52591" spans="17:17" x14ac:dyDescent="0.25">
      <c r="Q52591" s="8"/>
    </row>
    <row r="52592" spans="17:17" x14ac:dyDescent="0.25">
      <c r="Q52592" s="8"/>
    </row>
    <row r="52593" spans="17:17" x14ac:dyDescent="0.25">
      <c r="Q52593" s="8"/>
    </row>
    <row r="52594" spans="17:17" x14ac:dyDescent="0.25">
      <c r="Q52594" s="8"/>
    </row>
    <row r="52595" spans="17:17" x14ac:dyDescent="0.25">
      <c r="Q52595" s="8"/>
    </row>
    <row r="52596" spans="17:17" x14ac:dyDescent="0.25">
      <c r="Q52596" s="8"/>
    </row>
    <row r="52597" spans="17:17" x14ac:dyDescent="0.25">
      <c r="Q52597" s="8"/>
    </row>
    <row r="52598" spans="17:17" x14ac:dyDescent="0.25">
      <c r="Q52598" s="8"/>
    </row>
    <row r="52599" spans="17:17" x14ac:dyDescent="0.25">
      <c r="Q52599" s="8"/>
    </row>
    <row r="52600" spans="17:17" x14ac:dyDescent="0.25">
      <c r="Q52600" s="8"/>
    </row>
    <row r="52601" spans="17:17" x14ac:dyDescent="0.25">
      <c r="Q52601" s="8"/>
    </row>
    <row r="52602" spans="17:17" x14ac:dyDescent="0.25">
      <c r="Q52602" s="8"/>
    </row>
    <row r="52603" spans="17:17" x14ac:dyDescent="0.25">
      <c r="Q52603" s="8"/>
    </row>
    <row r="52604" spans="17:17" x14ac:dyDescent="0.25">
      <c r="Q52604" s="8"/>
    </row>
    <row r="52605" spans="17:17" x14ac:dyDescent="0.25">
      <c r="Q52605" s="8"/>
    </row>
    <row r="52606" spans="17:17" x14ac:dyDescent="0.25">
      <c r="Q52606" s="8"/>
    </row>
    <row r="52607" spans="17:17" x14ac:dyDescent="0.25">
      <c r="Q52607" s="8"/>
    </row>
    <row r="52608" spans="17:17" x14ac:dyDescent="0.25">
      <c r="Q52608" s="8"/>
    </row>
    <row r="52609" spans="17:17" x14ac:dyDescent="0.25">
      <c r="Q52609" s="8"/>
    </row>
    <row r="52610" spans="17:17" x14ac:dyDescent="0.25">
      <c r="Q52610" s="8"/>
    </row>
    <row r="52611" spans="17:17" x14ac:dyDescent="0.25">
      <c r="Q52611" s="8"/>
    </row>
    <row r="52612" spans="17:17" x14ac:dyDescent="0.25">
      <c r="Q52612" s="8"/>
    </row>
    <row r="52613" spans="17:17" x14ac:dyDescent="0.25">
      <c r="Q52613" s="8"/>
    </row>
    <row r="52614" spans="17:17" x14ac:dyDescent="0.25">
      <c r="Q52614" s="8"/>
    </row>
    <row r="52615" spans="17:17" x14ac:dyDescent="0.25">
      <c r="Q52615" s="8"/>
    </row>
    <row r="52616" spans="17:17" x14ac:dyDescent="0.25">
      <c r="Q52616" s="8"/>
    </row>
    <row r="52617" spans="17:17" x14ac:dyDescent="0.25">
      <c r="Q52617" s="8"/>
    </row>
    <row r="52618" spans="17:17" x14ac:dyDescent="0.25">
      <c r="Q52618" s="8"/>
    </row>
    <row r="52619" spans="17:17" x14ac:dyDescent="0.25">
      <c r="Q52619" s="8"/>
    </row>
    <row r="52620" spans="17:17" x14ac:dyDescent="0.25">
      <c r="Q52620" s="8"/>
    </row>
    <row r="52621" spans="17:17" x14ac:dyDescent="0.25">
      <c r="Q52621" s="8"/>
    </row>
    <row r="52622" spans="17:17" x14ac:dyDescent="0.25">
      <c r="Q52622" s="8"/>
    </row>
    <row r="52623" spans="17:17" x14ac:dyDescent="0.25">
      <c r="Q52623" s="8"/>
    </row>
    <row r="52624" spans="17:17" x14ac:dyDescent="0.25">
      <c r="Q52624" s="8"/>
    </row>
    <row r="52625" spans="17:17" x14ac:dyDescent="0.25">
      <c r="Q52625" s="8"/>
    </row>
    <row r="52626" spans="17:17" x14ac:dyDescent="0.25">
      <c r="Q52626" s="8"/>
    </row>
    <row r="52627" spans="17:17" x14ac:dyDescent="0.25">
      <c r="Q52627" s="8"/>
    </row>
    <row r="52628" spans="17:17" x14ac:dyDescent="0.25">
      <c r="Q52628" s="8"/>
    </row>
    <row r="52629" spans="17:17" x14ac:dyDescent="0.25">
      <c r="Q52629" s="8"/>
    </row>
    <row r="52630" spans="17:17" x14ac:dyDescent="0.25">
      <c r="Q52630" s="8"/>
    </row>
    <row r="52631" spans="17:17" x14ac:dyDescent="0.25">
      <c r="Q52631" s="8"/>
    </row>
    <row r="52632" spans="17:17" x14ac:dyDescent="0.25">
      <c r="Q52632" s="8"/>
    </row>
    <row r="52633" spans="17:17" x14ac:dyDescent="0.25">
      <c r="Q52633" s="8"/>
    </row>
    <row r="52634" spans="17:17" x14ac:dyDescent="0.25">
      <c r="Q52634" s="8"/>
    </row>
    <row r="52635" spans="17:17" x14ac:dyDescent="0.25">
      <c r="Q52635" s="8"/>
    </row>
    <row r="52636" spans="17:17" x14ac:dyDescent="0.25">
      <c r="Q52636" s="8"/>
    </row>
    <row r="52637" spans="17:17" x14ac:dyDescent="0.25">
      <c r="Q52637" s="8"/>
    </row>
    <row r="52638" spans="17:17" x14ac:dyDescent="0.25">
      <c r="Q52638" s="8"/>
    </row>
    <row r="52639" spans="17:17" x14ac:dyDescent="0.25">
      <c r="Q52639" s="8"/>
    </row>
    <row r="52640" spans="17:17" x14ac:dyDescent="0.25">
      <c r="Q52640" s="8"/>
    </row>
    <row r="52641" spans="17:17" x14ac:dyDescent="0.25">
      <c r="Q52641" s="8"/>
    </row>
    <row r="52642" spans="17:17" x14ac:dyDescent="0.25">
      <c r="Q52642" s="8"/>
    </row>
    <row r="52643" spans="17:17" x14ac:dyDescent="0.25">
      <c r="Q52643" s="8"/>
    </row>
    <row r="52644" spans="17:17" x14ac:dyDescent="0.25">
      <c r="Q52644" s="8"/>
    </row>
    <row r="52645" spans="17:17" x14ac:dyDescent="0.25">
      <c r="Q52645" s="8"/>
    </row>
    <row r="52646" spans="17:17" x14ac:dyDescent="0.25">
      <c r="Q52646" s="8"/>
    </row>
    <row r="52647" spans="17:17" x14ac:dyDescent="0.25">
      <c r="Q52647" s="8"/>
    </row>
    <row r="52648" spans="17:17" x14ac:dyDescent="0.25">
      <c r="Q52648" s="8"/>
    </row>
    <row r="52649" spans="17:17" x14ac:dyDescent="0.25">
      <c r="Q52649" s="8"/>
    </row>
    <row r="52650" spans="17:17" x14ac:dyDescent="0.25">
      <c r="Q52650" s="8"/>
    </row>
    <row r="52651" spans="17:17" x14ac:dyDescent="0.25">
      <c r="Q52651" s="8"/>
    </row>
    <row r="52652" spans="17:17" x14ac:dyDescent="0.25">
      <c r="Q52652" s="8"/>
    </row>
    <row r="52653" spans="17:17" x14ac:dyDescent="0.25">
      <c r="Q52653" s="8"/>
    </row>
    <row r="52654" spans="17:17" x14ac:dyDescent="0.25">
      <c r="Q52654" s="8"/>
    </row>
    <row r="52655" spans="17:17" x14ac:dyDescent="0.25">
      <c r="Q52655" s="8"/>
    </row>
    <row r="52656" spans="17:17" x14ac:dyDescent="0.25">
      <c r="Q52656" s="8"/>
    </row>
    <row r="52657" spans="17:17" x14ac:dyDescent="0.25">
      <c r="Q52657" s="8"/>
    </row>
    <row r="52658" spans="17:17" x14ac:dyDescent="0.25">
      <c r="Q52658" s="8"/>
    </row>
    <row r="52659" spans="17:17" x14ac:dyDescent="0.25">
      <c r="Q52659" s="8"/>
    </row>
    <row r="52660" spans="17:17" x14ac:dyDescent="0.25">
      <c r="Q52660" s="8"/>
    </row>
    <row r="52661" spans="17:17" x14ac:dyDescent="0.25">
      <c r="Q52661" s="8"/>
    </row>
    <row r="52662" spans="17:17" x14ac:dyDescent="0.25">
      <c r="Q52662" s="8"/>
    </row>
    <row r="52663" spans="17:17" x14ac:dyDescent="0.25">
      <c r="Q52663" s="8"/>
    </row>
    <row r="52664" spans="17:17" x14ac:dyDescent="0.25">
      <c r="Q52664" s="8"/>
    </row>
    <row r="52665" spans="17:17" x14ac:dyDescent="0.25">
      <c r="Q52665" s="8"/>
    </row>
    <row r="52666" spans="17:17" x14ac:dyDescent="0.25">
      <c r="Q52666" s="8"/>
    </row>
    <row r="52667" spans="17:17" x14ac:dyDescent="0.25">
      <c r="Q52667" s="8"/>
    </row>
    <row r="52668" spans="17:17" x14ac:dyDescent="0.25">
      <c r="Q52668" s="8"/>
    </row>
    <row r="52669" spans="17:17" x14ac:dyDescent="0.25">
      <c r="Q52669" s="8"/>
    </row>
    <row r="52670" spans="17:17" x14ac:dyDescent="0.25">
      <c r="Q52670" s="8"/>
    </row>
    <row r="52671" spans="17:17" x14ac:dyDescent="0.25">
      <c r="Q52671" s="8"/>
    </row>
    <row r="52672" spans="17:17" x14ac:dyDescent="0.25">
      <c r="Q52672" s="8"/>
    </row>
    <row r="52673" spans="17:17" x14ac:dyDescent="0.25">
      <c r="Q52673" s="8"/>
    </row>
    <row r="52674" spans="17:17" x14ac:dyDescent="0.25">
      <c r="Q52674" s="8"/>
    </row>
    <row r="52675" spans="17:17" x14ac:dyDescent="0.25">
      <c r="Q52675" s="8"/>
    </row>
    <row r="52676" spans="17:17" x14ac:dyDescent="0.25">
      <c r="Q52676" s="8"/>
    </row>
    <row r="52677" spans="17:17" x14ac:dyDescent="0.25">
      <c r="Q52677" s="8"/>
    </row>
    <row r="52678" spans="17:17" x14ac:dyDescent="0.25">
      <c r="Q52678" s="8"/>
    </row>
    <row r="52679" spans="17:17" x14ac:dyDescent="0.25">
      <c r="Q52679" s="8"/>
    </row>
    <row r="52680" spans="17:17" x14ac:dyDescent="0.25">
      <c r="Q52680" s="8"/>
    </row>
    <row r="52681" spans="17:17" x14ac:dyDescent="0.25">
      <c r="Q52681" s="8"/>
    </row>
    <row r="52682" spans="17:17" x14ac:dyDescent="0.25">
      <c r="Q52682" s="8"/>
    </row>
    <row r="52683" spans="17:17" x14ac:dyDescent="0.25">
      <c r="Q52683" s="8"/>
    </row>
    <row r="52684" spans="17:17" x14ac:dyDescent="0.25">
      <c r="Q52684" s="8"/>
    </row>
    <row r="52685" spans="17:17" x14ac:dyDescent="0.25">
      <c r="Q52685" s="8"/>
    </row>
    <row r="52686" spans="17:17" x14ac:dyDescent="0.25">
      <c r="Q52686" s="8"/>
    </row>
    <row r="52687" spans="17:17" x14ac:dyDescent="0.25">
      <c r="Q52687" s="8"/>
    </row>
    <row r="52688" spans="17:17" x14ac:dyDescent="0.25">
      <c r="Q52688" s="8"/>
    </row>
    <row r="52689" spans="17:17" x14ac:dyDescent="0.25">
      <c r="Q52689" s="8"/>
    </row>
    <row r="52690" spans="17:17" x14ac:dyDescent="0.25">
      <c r="Q52690" s="8"/>
    </row>
    <row r="52691" spans="17:17" x14ac:dyDescent="0.25">
      <c r="Q52691" s="8"/>
    </row>
    <row r="52692" spans="17:17" x14ac:dyDescent="0.25">
      <c r="Q52692" s="8"/>
    </row>
    <row r="52693" spans="17:17" x14ac:dyDescent="0.25">
      <c r="Q52693" s="8"/>
    </row>
    <row r="52694" spans="17:17" x14ac:dyDescent="0.25">
      <c r="Q52694" s="8"/>
    </row>
    <row r="52695" spans="17:17" x14ac:dyDescent="0.25">
      <c r="Q52695" s="8"/>
    </row>
    <row r="52696" spans="17:17" x14ac:dyDescent="0.25">
      <c r="Q52696" s="8"/>
    </row>
    <row r="52697" spans="17:17" x14ac:dyDescent="0.25">
      <c r="Q52697" s="8"/>
    </row>
    <row r="52698" spans="17:17" x14ac:dyDescent="0.25">
      <c r="Q52698" s="8"/>
    </row>
    <row r="52699" spans="17:17" x14ac:dyDescent="0.25">
      <c r="Q52699" s="8"/>
    </row>
    <row r="52700" spans="17:17" x14ac:dyDescent="0.25">
      <c r="Q52700" s="8"/>
    </row>
    <row r="52701" spans="17:17" x14ac:dyDescent="0.25">
      <c r="Q52701" s="8"/>
    </row>
    <row r="52702" spans="17:17" x14ac:dyDescent="0.25">
      <c r="Q52702" s="8"/>
    </row>
    <row r="52703" spans="17:17" x14ac:dyDescent="0.25">
      <c r="Q52703" s="8"/>
    </row>
    <row r="52704" spans="17:17" x14ac:dyDescent="0.25">
      <c r="Q52704" s="8"/>
    </row>
    <row r="52705" spans="17:17" x14ac:dyDescent="0.25">
      <c r="Q52705" s="8"/>
    </row>
    <row r="52706" spans="17:17" x14ac:dyDescent="0.25">
      <c r="Q52706" s="8"/>
    </row>
    <row r="52707" spans="17:17" x14ac:dyDescent="0.25">
      <c r="Q52707" s="8"/>
    </row>
    <row r="52708" spans="17:17" x14ac:dyDescent="0.25">
      <c r="Q52708" s="8"/>
    </row>
    <row r="52709" spans="17:17" x14ac:dyDescent="0.25">
      <c r="Q52709" s="8"/>
    </row>
    <row r="52710" spans="17:17" x14ac:dyDescent="0.25">
      <c r="Q52710" s="8"/>
    </row>
    <row r="52711" spans="17:17" x14ac:dyDescent="0.25">
      <c r="Q52711" s="8"/>
    </row>
    <row r="52712" spans="17:17" x14ac:dyDescent="0.25">
      <c r="Q52712" s="8"/>
    </row>
    <row r="52713" spans="17:17" x14ac:dyDescent="0.25">
      <c r="Q52713" s="8"/>
    </row>
    <row r="52714" spans="17:17" x14ac:dyDescent="0.25">
      <c r="Q52714" s="8"/>
    </row>
    <row r="52715" spans="17:17" x14ac:dyDescent="0.25">
      <c r="Q52715" s="8"/>
    </row>
    <row r="52716" spans="17:17" x14ac:dyDescent="0.25">
      <c r="Q52716" s="8"/>
    </row>
    <row r="52717" spans="17:17" x14ac:dyDescent="0.25">
      <c r="Q52717" s="8"/>
    </row>
    <row r="52718" spans="17:17" x14ac:dyDescent="0.25">
      <c r="Q52718" s="8"/>
    </row>
    <row r="52719" spans="17:17" x14ac:dyDescent="0.25">
      <c r="Q52719" s="8"/>
    </row>
    <row r="52720" spans="17:17" x14ac:dyDescent="0.25">
      <c r="Q52720" s="8"/>
    </row>
    <row r="52721" spans="17:17" x14ac:dyDescent="0.25">
      <c r="Q52721" s="8"/>
    </row>
    <row r="52722" spans="17:17" x14ac:dyDescent="0.25">
      <c r="Q52722" s="8"/>
    </row>
    <row r="52723" spans="17:17" x14ac:dyDescent="0.25">
      <c r="Q52723" s="8"/>
    </row>
    <row r="52724" spans="17:17" x14ac:dyDescent="0.25">
      <c r="Q52724" s="8"/>
    </row>
    <row r="52725" spans="17:17" x14ac:dyDescent="0.25">
      <c r="Q52725" s="8"/>
    </row>
    <row r="52726" spans="17:17" x14ac:dyDescent="0.25">
      <c r="Q52726" s="8"/>
    </row>
    <row r="52727" spans="17:17" x14ac:dyDescent="0.25">
      <c r="Q52727" s="8"/>
    </row>
    <row r="52728" spans="17:17" x14ac:dyDescent="0.25">
      <c r="Q52728" s="8"/>
    </row>
    <row r="52729" spans="17:17" x14ac:dyDescent="0.25">
      <c r="Q52729" s="8"/>
    </row>
    <row r="52730" spans="17:17" x14ac:dyDescent="0.25">
      <c r="Q52730" s="8"/>
    </row>
    <row r="52731" spans="17:17" x14ac:dyDescent="0.25">
      <c r="Q52731" s="8"/>
    </row>
    <row r="52732" spans="17:17" x14ac:dyDescent="0.25">
      <c r="Q52732" s="8"/>
    </row>
    <row r="52733" spans="17:17" x14ac:dyDescent="0.25">
      <c r="Q52733" s="8"/>
    </row>
    <row r="52734" spans="17:17" x14ac:dyDescent="0.25">
      <c r="Q52734" s="8"/>
    </row>
    <row r="52735" spans="17:17" x14ac:dyDescent="0.25">
      <c r="Q52735" s="8"/>
    </row>
    <row r="52736" spans="17:17" x14ac:dyDescent="0.25">
      <c r="Q52736" s="8"/>
    </row>
    <row r="52737" spans="17:17" x14ac:dyDescent="0.25">
      <c r="Q52737" s="8"/>
    </row>
    <row r="52738" spans="17:17" x14ac:dyDescent="0.25">
      <c r="Q52738" s="8"/>
    </row>
    <row r="52739" spans="17:17" x14ac:dyDescent="0.25">
      <c r="Q52739" s="8"/>
    </row>
    <row r="52740" spans="17:17" x14ac:dyDescent="0.25">
      <c r="Q52740" s="8"/>
    </row>
    <row r="52741" spans="17:17" x14ac:dyDescent="0.25">
      <c r="Q52741" s="8"/>
    </row>
    <row r="52742" spans="17:17" x14ac:dyDescent="0.25">
      <c r="Q52742" s="8"/>
    </row>
    <row r="52743" spans="17:17" x14ac:dyDescent="0.25">
      <c r="Q52743" s="8"/>
    </row>
    <row r="52744" spans="17:17" x14ac:dyDescent="0.25">
      <c r="Q52744" s="8"/>
    </row>
    <row r="52745" spans="17:17" x14ac:dyDescent="0.25">
      <c r="Q52745" s="8"/>
    </row>
    <row r="52746" spans="17:17" x14ac:dyDescent="0.25">
      <c r="Q52746" s="8"/>
    </row>
    <row r="52747" spans="17:17" x14ac:dyDescent="0.25">
      <c r="Q52747" s="8"/>
    </row>
    <row r="52748" spans="17:17" x14ac:dyDescent="0.25">
      <c r="Q52748" s="8"/>
    </row>
    <row r="52749" spans="17:17" x14ac:dyDescent="0.25">
      <c r="Q52749" s="8"/>
    </row>
    <row r="52750" spans="17:17" x14ac:dyDescent="0.25">
      <c r="Q52750" s="8"/>
    </row>
    <row r="52751" spans="17:17" x14ac:dyDescent="0.25">
      <c r="Q52751" s="8"/>
    </row>
    <row r="52752" spans="17:17" x14ac:dyDescent="0.25">
      <c r="Q52752" s="8"/>
    </row>
    <row r="52753" spans="17:17" x14ac:dyDescent="0.25">
      <c r="Q52753" s="8"/>
    </row>
    <row r="52754" spans="17:17" x14ac:dyDescent="0.25">
      <c r="Q52754" s="8"/>
    </row>
    <row r="52755" spans="17:17" x14ac:dyDescent="0.25">
      <c r="Q52755" s="8"/>
    </row>
    <row r="52756" spans="17:17" x14ac:dyDescent="0.25">
      <c r="Q52756" s="8"/>
    </row>
    <row r="52757" spans="17:17" x14ac:dyDescent="0.25">
      <c r="Q52757" s="8"/>
    </row>
    <row r="52758" spans="17:17" x14ac:dyDescent="0.25">
      <c r="Q52758" s="8"/>
    </row>
    <row r="52759" spans="17:17" x14ac:dyDescent="0.25">
      <c r="Q52759" s="8"/>
    </row>
    <row r="52760" spans="17:17" x14ac:dyDescent="0.25">
      <c r="Q52760" s="8"/>
    </row>
    <row r="52761" spans="17:17" x14ac:dyDescent="0.25">
      <c r="Q52761" s="8"/>
    </row>
    <row r="52762" spans="17:17" x14ac:dyDescent="0.25">
      <c r="Q52762" s="8"/>
    </row>
    <row r="52763" spans="17:17" x14ac:dyDescent="0.25">
      <c r="Q52763" s="8"/>
    </row>
    <row r="52764" spans="17:17" x14ac:dyDescent="0.25">
      <c r="Q52764" s="8"/>
    </row>
    <row r="52765" spans="17:17" x14ac:dyDescent="0.25">
      <c r="Q52765" s="8"/>
    </row>
    <row r="52766" spans="17:17" x14ac:dyDescent="0.25">
      <c r="Q52766" s="8"/>
    </row>
    <row r="52767" spans="17:17" x14ac:dyDescent="0.25">
      <c r="Q52767" s="8"/>
    </row>
    <row r="52768" spans="17:17" x14ac:dyDescent="0.25">
      <c r="Q52768" s="8"/>
    </row>
    <row r="52769" spans="17:17" x14ac:dyDescent="0.25">
      <c r="Q52769" s="8"/>
    </row>
    <row r="52770" spans="17:17" x14ac:dyDescent="0.25">
      <c r="Q52770" s="8"/>
    </row>
    <row r="52771" spans="17:17" x14ac:dyDescent="0.25">
      <c r="Q52771" s="8"/>
    </row>
    <row r="52772" spans="17:17" x14ac:dyDescent="0.25">
      <c r="Q52772" s="8"/>
    </row>
    <row r="52773" spans="17:17" x14ac:dyDescent="0.25">
      <c r="Q52773" s="8"/>
    </row>
    <row r="52774" spans="17:17" x14ac:dyDescent="0.25">
      <c r="Q52774" s="8"/>
    </row>
    <row r="52775" spans="17:17" x14ac:dyDescent="0.25">
      <c r="Q52775" s="8"/>
    </row>
    <row r="52776" spans="17:17" x14ac:dyDescent="0.25">
      <c r="Q52776" s="8"/>
    </row>
    <row r="52777" spans="17:17" x14ac:dyDescent="0.25">
      <c r="Q52777" s="8"/>
    </row>
    <row r="52778" spans="17:17" x14ac:dyDescent="0.25">
      <c r="Q52778" s="8"/>
    </row>
    <row r="52779" spans="17:17" x14ac:dyDescent="0.25">
      <c r="Q52779" s="8"/>
    </row>
    <row r="52780" spans="17:17" x14ac:dyDescent="0.25">
      <c r="Q52780" s="8"/>
    </row>
    <row r="52781" spans="17:17" x14ac:dyDescent="0.25">
      <c r="Q52781" s="8"/>
    </row>
    <row r="52782" spans="17:17" x14ac:dyDescent="0.25">
      <c r="Q52782" s="8"/>
    </row>
    <row r="52783" spans="17:17" x14ac:dyDescent="0.25">
      <c r="Q52783" s="8"/>
    </row>
    <row r="52784" spans="17:17" x14ac:dyDescent="0.25">
      <c r="Q52784" s="8"/>
    </row>
    <row r="52785" spans="17:17" x14ac:dyDescent="0.25">
      <c r="Q52785" s="8"/>
    </row>
    <row r="52786" spans="17:17" x14ac:dyDescent="0.25">
      <c r="Q52786" s="8"/>
    </row>
    <row r="52787" spans="17:17" x14ac:dyDescent="0.25">
      <c r="Q52787" s="8"/>
    </row>
    <row r="52788" spans="17:17" x14ac:dyDescent="0.25">
      <c r="Q52788" s="8"/>
    </row>
    <row r="52789" spans="17:17" x14ac:dyDescent="0.25">
      <c r="Q52789" s="8"/>
    </row>
    <row r="52790" spans="17:17" x14ac:dyDescent="0.25">
      <c r="Q52790" s="8"/>
    </row>
    <row r="52791" spans="17:17" x14ac:dyDescent="0.25">
      <c r="Q52791" s="8"/>
    </row>
    <row r="52792" spans="17:17" x14ac:dyDescent="0.25">
      <c r="Q52792" s="8"/>
    </row>
    <row r="52793" spans="17:17" x14ac:dyDescent="0.25">
      <c r="Q52793" s="8"/>
    </row>
    <row r="52794" spans="17:17" x14ac:dyDescent="0.25">
      <c r="Q52794" s="8"/>
    </row>
    <row r="52795" spans="17:17" x14ac:dyDescent="0.25">
      <c r="Q52795" s="8"/>
    </row>
    <row r="52796" spans="17:17" x14ac:dyDescent="0.25">
      <c r="Q52796" s="8"/>
    </row>
    <row r="52797" spans="17:17" x14ac:dyDescent="0.25">
      <c r="Q52797" s="8"/>
    </row>
    <row r="52798" spans="17:17" x14ac:dyDescent="0.25">
      <c r="Q52798" s="8"/>
    </row>
    <row r="52799" spans="17:17" x14ac:dyDescent="0.25">
      <c r="Q52799" s="8"/>
    </row>
    <row r="52800" spans="17:17" x14ac:dyDescent="0.25">
      <c r="Q52800" s="8"/>
    </row>
    <row r="52801" spans="17:17" x14ac:dyDescent="0.25">
      <c r="Q52801" s="8"/>
    </row>
    <row r="52802" spans="17:17" x14ac:dyDescent="0.25">
      <c r="Q52802" s="8"/>
    </row>
    <row r="52803" spans="17:17" x14ac:dyDescent="0.25">
      <c r="Q52803" s="8"/>
    </row>
    <row r="52804" spans="17:17" x14ac:dyDescent="0.25">
      <c r="Q52804" s="8"/>
    </row>
    <row r="52805" spans="17:17" x14ac:dyDescent="0.25">
      <c r="Q52805" s="8"/>
    </row>
    <row r="52806" spans="17:17" x14ac:dyDescent="0.25">
      <c r="Q52806" s="8"/>
    </row>
    <row r="52807" spans="17:17" x14ac:dyDescent="0.25">
      <c r="Q52807" s="8"/>
    </row>
    <row r="52808" spans="17:17" x14ac:dyDescent="0.25">
      <c r="Q52808" s="8"/>
    </row>
    <row r="52809" spans="17:17" x14ac:dyDescent="0.25">
      <c r="Q52809" s="8"/>
    </row>
    <row r="52810" spans="17:17" x14ac:dyDescent="0.25">
      <c r="Q52810" s="8"/>
    </row>
    <row r="52811" spans="17:17" x14ac:dyDescent="0.25">
      <c r="Q52811" s="8"/>
    </row>
    <row r="52812" spans="17:17" x14ac:dyDescent="0.25">
      <c r="Q52812" s="8"/>
    </row>
    <row r="52813" spans="17:17" x14ac:dyDescent="0.25">
      <c r="Q52813" s="8"/>
    </row>
    <row r="52814" spans="17:17" x14ac:dyDescent="0.25">
      <c r="Q52814" s="8"/>
    </row>
    <row r="52815" spans="17:17" x14ac:dyDescent="0.25">
      <c r="Q52815" s="8"/>
    </row>
    <row r="52816" spans="17:17" x14ac:dyDescent="0.25">
      <c r="Q52816" s="8"/>
    </row>
    <row r="52817" spans="17:17" x14ac:dyDescent="0.25">
      <c r="Q52817" s="8"/>
    </row>
    <row r="52818" spans="17:17" x14ac:dyDescent="0.25">
      <c r="Q52818" s="8"/>
    </row>
    <row r="52819" spans="17:17" x14ac:dyDescent="0.25">
      <c r="Q52819" s="8"/>
    </row>
    <row r="52820" spans="17:17" x14ac:dyDescent="0.25">
      <c r="Q52820" s="8"/>
    </row>
    <row r="52821" spans="17:17" x14ac:dyDescent="0.25">
      <c r="Q52821" s="8"/>
    </row>
    <row r="52822" spans="17:17" x14ac:dyDescent="0.25">
      <c r="Q52822" s="8"/>
    </row>
    <row r="52823" spans="17:17" x14ac:dyDescent="0.25">
      <c r="Q52823" s="8"/>
    </row>
    <row r="52824" spans="17:17" x14ac:dyDescent="0.25">
      <c r="Q52824" s="8"/>
    </row>
    <row r="52825" spans="17:17" x14ac:dyDescent="0.25">
      <c r="Q52825" s="8"/>
    </row>
    <row r="52826" spans="17:17" x14ac:dyDescent="0.25">
      <c r="Q52826" s="8"/>
    </row>
    <row r="52827" spans="17:17" x14ac:dyDescent="0.25">
      <c r="Q52827" s="8"/>
    </row>
    <row r="52828" spans="17:17" x14ac:dyDescent="0.25">
      <c r="Q52828" s="8"/>
    </row>
    <row r="52829" spans="17:17" x14ac:dyDescent="0.25">
      <c r="Q52829" s="8"/>
    </row>
    <row r="52830" spans="17:17" x14ac:dyDescent="0.25">
      <c r="Q52830" s="8"/>
    </row>
    <row r="52831" spans="17:17" x14ac:dyDescent="0.25">
      <c r="Q52831" s="8"/>
    </row>
    <row r="52832" spans="17:17" x14ac:dyDescent="0.25">
      <c r="Q52832" s="8"/>
    </row>
    <row r="52833" spans="17:17" x14ac:dyDescent="0.25">
      <c r="Q52833" s="8"/>
    </row>
    <row r="52834" spans="17:17" x14ac:dyDescent="0.25">
      <c r="Q52834" s="8"/>
    </row>
    <row r="52835" spans="17:17" x14ac:dyDescent="0.25">
      <c r="Q52835" s="8"/>
    </row>
    <row r="52836" spans="17:17" x14ac:dyDescent="0.25">
      <c r="Q52836" s="8"/>
    </row>
    <row r="52837" spans="17:17" x14ac:dyDescent="0.25">
      <c r="Q52837" s="8"/>
    </row>
    <row r="52838" spans="17:17" x14ac:dyDescent="0.25">
      <c r="Q52838" s="8"/>
    </row>
    <row r="52839" spans="17:17" x14ac:dyDescent="0.25">
      <c r="Q52839" s="8"/>
    </row>
    <row r="52840" spans="17:17" x14ac:dyDescent="0.25">
      <c r="Q52840" s="8"/>
    </row>
    <row r="52841" spans="17:17" x14ac:dyDescent="0.25">
      <c r="Q52841" s="8"/>
    </row>
    <row r="52842" spans="17:17" x14ac:dyDescent="0.25">
      <c r="Q52842" s="8"/>
    </row>
    <row r="52843" spans="17:17" x14ac:dyDescent="0.25">
      <c r="Q52843" s="8"/>
    </row>
    <row r="52844" spans="17:17" x14ac:dyDescent="0.25">
      <c r="Q52844" s="8"/>
    </row>
    <row r="52845" spans="17:17" x14ac:dyDescent="0.25">
      <c r="Q52845" s="8"/>
    </row>
    <row r="52846" spans="17:17" x14ac:dyDescent="0.25">
      <c r="Q52846" s="8"/>
    </row>
    <row r="52847" spans="17:17" x14ac:dyDescent="0.25">
      <c r="Q52847" s="8"/>
    </row>
    <row r="52848" spans="17:17" x14ac:dyDescent="0.25">
      <c r="Q52848" s="8"/>
    </row>
    <row r="52849" spans="17:17" x14ac:dyDescent="0.25">
      <c r="Q52849" s="8"/>
    </row>
    <row r="52850" spans="17:17" x14ac:dyDescent="0.25">
      <c r="Q52850" s="8"/>
    </row>
    <row r="52851" spans="17:17" x14ac:dyDescent="0.25">
      <c r="Q52851" s="8"/>
    </row>
    <row r="52852" spans="17:17" x14ac:dyDescent="0.25">
      <c r="Q52852" s="8"/>
    </row>
    <row r="52853" spans="17:17" x14ac:dyDescent="0.25">
      <c r="Q52853" s="8"/>
    </row>
    <row r="52854" spans="17:17" x14ac:dyDescent="0.25">
      <c r="Q52854" s="8"/>
    </row>
    <row r="52855" spans="17:17" x14ac:dyDescent="0.25">
      <c r="Q52855" s="8"/>
    </row>
    <row r="52856" spans="17:17" x14ac:dyDescent="0.25">
      <c r="Q52856" s="8"/>
    </row>
    <row r="52857" spans="17:17" x14ac:dyDescent="0.25">
      <c r="Q52857" s="8"/>
    </row>
    <row r="52858" spans="17:17" x14ac:dyDescent="0.25">
      <c r="Q52858" s="8"/>
    </row>
    <row r="52859" spans="17:17" x14ac:dyDescent="0.25">
      <c r="Q52859" s="8"/>
    </row>
    <row r="52860" spans="17:17" x14ac:dyDescent="0.25">
      <c r="Q52860" s="8"/>
    </row>
    <row r="52861" spans="17:17" x14ac:dyDescent="0.25">
      <c r="Q52861" s="8"/>
    </row>
    <row r="52862" spans="17:17" x14ac:dyDescent="0.25">
      <c r="Q52862" s="8"/>
    </row>
    <row r="52863" spans="17:17" x14ac:dyDescent="0.25">
      <c r="Q52863" s="8"/>
    </row>
    <row r="52864" spans="17:17" x14ac:dyDescent="0.25">
      <c r="Q52864" s="8"/>
    </row>
    <row r="52865" spans="17:17" x14ac:dyDescent="0.25">
      <c r="Q52865" s="8"/>
    </row>
    <row r="52866" spans="17:17" x14ac:dyDescent="0.25">
      <c r="Q52866" s="8"/>
    </row>
    <row r="52867" spans="17:17" x14ac:dyDescent="0.25">
      <c r="Q52867" s="8"/>
    </row>
    <row r="52868" spans="17:17" x14ac:dyDescent="0.25">
      <c r="Q52868" s="8"/>
    </row>
    <row r="52869" spans="17:17" x14ac:dyDescent="0.25">
      <c r="Q52869" s="8"/>
    </row>
    <row r="52870" spans="17:17" x14ac:dyDescent="0.25">
      <c r="Q52870" s="8"/>
    </row>
    <row r="52871" spans="17:17" x14ac:dyDescent="0.25">
      <c r="Q52871" s="8"/>
    </row>
    <row r="52872" spans="17:17" x14ac:dyDescent="0.25">
      <c r="Q52872" s="8"/>
    </row>
    <row r="52873" spans="17:17" x14ac:dyDescent="0.25">
      <c r="Q52873" s="8"/>
    </row>
    <row r="52874" spans="17:17" x14ac:dyDescent="0.25">
      <c r="Q52874" s="8"/>
    </row>
    <row r="52875" spans="17:17" x14ac:dyDescent="0.25">
      <c r="Q52875" s="8"/>
    </row>
    <row r="52876" spans="17:17" x14ac:dyDescent="0.25">
      <c r="Q52876" s="8"/>
    </row>
    <row r="52877" spans="17:17" x14ac:dyDescent="0.25">
      <c r="Q52877" s="8"/>
    </row>
    <row r="52878" spans="17:17" x14ac:dyDescent="0.25">
      <c r="Q52878" s="8"/>
    </row>
    <row r="52879" spans="17:17" x14ac:dyDescent="0.25">
      <c r="Q52879" s="8"/>
    </row>
    <row r="52880" spans="17:17" x14ac:dyDescent="0.25">
      <c r="Q52880" s="8"/>
    </row>
    <row r="52881" spans="17:17" x14ac:dyDescent="0.25">
      <c r="Q52881" s="8"/>
    </row>
    <row r="52882" spans="17:17" x14ac:dyDescent="0.25">
      <c r="Q52882" s="8"/>
    </row>
    <row r="52883" spans="17:17" x14ac:dyDescent="0.25">
      <c r="Q52883" s="8"/>
    </row>
    <row r="52884" spans="17:17" x14ac:dyDescent="0.25">
      <c r="Q52884" s="8"/>
    </row>
    <row r="52885" spans="17:17" x14ac:dyDescent="0.25">
      <c r="Q52885" s="8"/>
    </row>
    <row r="52886" spans="17:17" x14ac:dyDescent="0.25">
      <c r="Q52886" s="8"/>
    </row>
    <row r="52887" spans="17:17" x14ac:dyDescent="0.25">
      <c r="Q52887" s="8"/>
    </row>
    <row r="52888" spans="17:17" x14ac:dyDescent="0.25">
      <c r="Q52888" s="8"/>
    </row>
    <row r="52889" spans="17:17" x14ac:dyDescent="0.25">
      <c r="Q52889" s="8"/>
    </row>
    <row r="52890" spans="17:17" x14ac:dyDescent="0.25">
      <c r="Q52890" s="8"/>
    </row>
    <row r="52891" spans="17:17" x14ac:dyDescent="0.25">
      <c r="Q52891" s="8"/>
    </row>
    <row r="52892" spans="17:17" x14ac:dyDescent="0.25">
      <c r="Q52892" s="8"/>
    </row>
    <row r="52893" spans="17:17" x14ac:dyDescent="0.25">
      <c r="Q52893" s="8"/>
    </row>
    <row r="52894" spans="17:17" x14ac:dyDescent="0.25">
      <c r="Q52894" s="8"/>
    </row>
    <row r="52895" spans="17:17" x14ac:dyDescent="0.25">
      <c r="Q52895" s="8"/>
    </row>
    <row r="52896" spans="17:17" x14ac:dyDescent="0.25">
      <c r="Q52896" s="8"/>
    </row>
    <row r="52897" spans="17:17" x14ac:dyDescent="0.25">
      <c r="Q52897" s="8"/>
    </row>
    <row r="52898" spans="17:17" x14ac:dyDescent="0.25">
      <c r="Q52898" s="8"/>
    </row>
    <row r="52899" spans="17:17" x14ac:dyDescent="0.25">
      <c r="Q52899" s="8"/>
    </row>
    <row r="52900" spans="17:17" x14ac:dyDescent="0.25">
      <c r="Q52900" s="8"/>
    </row>
    <row r="52901" spans="17:17" x14ac:dyDescent="0.25">
      <c r="Q52901" s="8"/>
    </row>
    <row r="52902" spans="17:17" x14ac:dyDescent="0.25">
      <c r="Q52902" s="8"/>
    </row>
    <row r="52903" spans="17:17" x14ac:dyDescent="0.25">
      <c r="Q52903" s="8"/>
    </row>
    <row r="52904" spans="17:17" x14ac:dyDescent="0.25">
      <c r="Q52904" s="8"/>
    </row>
    <row r="52905" spans="17:17" x14ac:dyDescent="0.25">
      <c r="Q52905" s="8"/>
    </row>
    <row r="52906" spans="17:17" x14ac:dyDescent="0.25">
      <c r="Q52906" s="8"/>
    </row>
    <row r="52907" spans="17:17" x14ac:dyDescent="0.25">
      <c r="Q52907" s="8"/>
    </row>
    <row r="52908" spans="17:17" x14ac:dyDescent="0.25">
      <c r="Q52908" s="8"/>
    </row>
    <row r="52909" spans="17:17" x14ac:dyDescent="0.25">
      <c r="Q52909" s="8"/>
    </row>
    <row r="52910" spans="17:17" x14ac:dyDescent="0.25">
      <c r="Q52910" s="8"/>
    </row>
    <row r="52911" spans="17:17" x14ac:dyDescent="0.25">
      <c r="Q52911" s="8"/>
    </row>
    <row r="52912" spans="17:17" x14ac:dyDescent="0.25">
      <c r="Q52912" s="8"/>
    </row>
    <row r="52913" spans="17:17" x14ac:dyDescent="0.25">
      <c r="Q52913" s="8"/>
    </row>
    <row r="52914" spans="17:17" x14ac:dyDescent="0.25">
      <c r="Q52914" s="8"/>
    </row>
    <row r="52915" spans="17:17" x14ac:dyDescent="0.25">
      <c r="Q52915" s="8"/>
    </row>
    <row r="52916" spans="17:17" x14ac:dyDescent="0.25">
      <c r="Q52916" s="8"/>
    </row>
    <row r="52917" spans="17:17" x14ac:dyDescent="0.25">
      <c r="Q52917" s="8"/>
    </row>
    <row r="52918" spans="17:17" x14ac:dyDescent="0.25">
      <c r="Q52918" s="8"/>
    </row>
    <row r="52919" spans="17:17" x14ac:dyDescent="0.25">
      <c r="Q52919" s="8"/>
    </row>
    <row r="52920" spans="17:17" x14ac:dyDescent="0.25">
      <c r="Q52920" s="8"/>
    </row>
    <row r="52921" spans="17:17" x14ac:dyDescent="0.25">
      <c r="Q52921" s="8"/>
    </row>
    <row r="52922" spans="17:17" x14ac:dyDescent="0.25">
      <c r="Q52922" s="8"/>
    </row>
    <row r="52923" spans="17:17" x14ac:dyDescent="0.25">
      <c r="Q52923" s="8"/>
    </row>
    <row r="52924" spans="17:17" x14ac:dyDescent="0.25">
      <c r="Q52924" s="8"/>
    </row>
    <row r="52925" spans="17:17" x14ac:dyDescent="0.25">
      <c r="Q52925" s="8"/>
    </row>
    <row r="52926" spans="17:17" x14ac:dyDescent="0.25">
      <c r="Q52926" s="8"/>
    </row>
    <row r="52927" spans="17:17" x14ac:dyDescent="0.25">
      <c r="Q52927" s="8"/>
    </row>
    <row r="52928" spans="17:17" x14ac:dyDescent="0.25">
      <c r="Q52928" s="8"/>
    </row>
    <row r="52929" spans="17:17" x14ac:dyDescent="0.25">
      <c r="Q52929" s="8"/>
    </row>
    <row r="52930" spans="17:17" x14ac:dyDescent="0.25">
      <c r="Q52930" s="8"/>
    </row>
    <row r="52931" spans="17:17" x14ac:dyDescent="0.25">
      <c r="Q52931" s="8"/>
    </row>
    <row r="52932" spans="17:17" x14ac:dyDescent="0.25">
      <c r="Q52932" s="8"/>
    </row>
    <row r="52933" spans="17:17" x14ac:dyDescent="0.25">
      <c r="Q52933" s="8"/>
    </row>
    <row r="52934" spans="17:17" x14ac:dyDescent="0.25">
      <c r="Q52934" s="8"/>
    </row>
    <row r="52935" spans="17:17" x14ac:dyDescent="0.25">
      <c r="Q52935" s="8"/>
    </row>
    <row r="52936" spans="17:17" x14ac:dyDescent="0.25">
      <c r="Q52936" s="8"/>
    </row>
    <row r="52937" spans="17:17" x14ac:dyDescent="0.25">
      <c r="Q52937" s="8"/>
    </row>
    <row r="52938" spans="17:17" x14ac:dyDescent="0.25">
      <c r="Q52938" s="8"/>
    </row>
    <row r="52939" spans="17:17" x14ac:dyDescent="0.25">
      <c r="Q52939" s="8"/>
    </row>
    <row r="52940" spans="17:17" x14ac:dyDescent="0.25">
      <c r="Q52940" s="8"/>
    </row>
    <row r="52941" spans="17:17" x14ac:dyDescent="0.25">
      <c r="Q52941" s="8"/>
    </row>
    <row r="52942" spans="17:17" x14ac:dyDescent="0.25">
      <c r="Q52942" s="8"/>
    </row>
    <row r="52943" spans="17:17" x14ac:dyDescent="0.25">
      <c r="Q52943" s="8"/>
    </row>
    <row r="52944" spans="17:17" x14ac:dyDescent="0.25">
      <c r="Q52944" s="8"/>
    </row>
    <row r="52945" spans="17:17" x14ac:dyDescent="0.25">
      <c r="Q52945" s="8"/>
    </row>
    <row r="52946" spans="17:17" x14ac:dyDescent="0.25">
      <c r="Q52946" s="8"/>
    </row>
    <row r="52947" spans="17:17" x14ac:dyDescent="0.25">
      <c r="Q52947" s="8"/>
    </row>
    <row r="52948" spans="17:17" x14ac:dyDescent="0.25">
      <c r="Q52948" s="8"/>
    </row>
    <row r="52949" spans="17:17" x14ac:dyDescent="0.25">
      <c r="Q52949" s="8"/>
    </row>
    <row r="52950" spans="17:17" x14ac:dyDescent="0.25">
      <c r="Q52950" s="8"/>
    </row>
    <row r="52951" spans="17:17" x14ac:dyDescent="0.25">
      <c r="Q52951" s="8"/>
    </row>
    <row r="52952" spans="17:17" x14ac:dyDescent="0.25">
      <c r="Q52952" s="8"/>
    </row>
    <row r="52953" spans="17:17" x14ac:dyDescent="0.25">
      <c r="Q52953" s="8"/>
    </row>
    <row r="52954" spans="17:17" x14ac:dyDescent="0.25">
      <c r="Q52954" s="8"/>
    </row>
    <row r="52955" spans="17:17" x14ac:dyDescent="0.25">
      <c r="Q52955" s="8"/>
    </row>
    <row r="52956" spans="17:17" x14ac:dyDescent="0.25">
      <c r="Q52956" s="8"/>
    </row>
    <row r="52957" spans="17:17" x14ac:dyDescent="0.25">
      <c r="Q52957" s="8"/>
    </row>
    <row r="52958" spans="17:17" x14ac:dyDescent="0.25">
      <c r="Q52958" s="8"/>
    </row>
    <row r="52959" spans="17:17" x14ac:dyDescent="0.25">
      <c r="Q52959" s="8"/>
    </row>
    <row r="52960" spans="17:17" x14ac:dyDescent="0.25">
      <c r="Q52960" s="8"/>
    </row>
    <row r="52961" spans="17:17" x14ac:dyDescent="0.25">
      <c r="Q52961" s="8"/>
    </row>
    <row r="52962" spans="17:17" x14ac:dyDescent="0.25">
      <c r="Q52962" s="8"/>
    </row>
    <row r="52963" spans="17:17" x14ac:dyDescent="0.25">
      <c r="Q52963" s="8"/>
    </row>
    <row r="52964" spans="17:17" x14ac:dyDescent="0.25">
      <c r="Q52964" s="8"/>
    </row>
    <row r="52965" spans="17:17" x14ac:dyDescent="0.25">
      <c r="Q52965" s="8"/>
    </row>
    <row r="52966" spans="17:17" x14ac:dyDescent="0.25">
      <c r="Q52966" s="8"/>
    </row>
    <row r="52967" spans="17:17" x14ac:dyDescent="0.25">
      <c r="Q52967" s="8"/>
    </row>
    <row r="52968" spans="17:17" x14ac:dyDescent="0.25">
      <c r="Q52968" s="8"/>
    </row>
    <row r="52969" spans="17:17" x14ac:dyDescent="0.25">
      <c r="Q52969" s="8"/>
    </row>
    <row r="52970" spans="17:17" x14ac:dyDescent="0.25">
      <c r="Q52970" s="8"/>
    </row>
    <row r="52971" spans="17:17" x14ac:dyDescent="0.25">
      <c r="Q52971" s="8"/>
    </row>
    <row r="52972" spans="17:17" x14ac:dyDescent="0.25">
      <c r="Q52972" s="8"/>
    </row>
    <row r="52973" spans="17:17" x14ac:dyDescent="0.25">
      <c r="Q52973" s="8"/>
    </row>
    <row r="52974" spans="17:17" x14ac:dyDescent="0.25">
      <c r="Q52974" s="8"/>
    </row>
    <row r="52975" spans="17:17" x14ac:dyDescent="0.25">
      <c r="Q52975" s="8"/>
    </row>
    <row r="52976" spans="17:17" x14ac:dyDescent="0.25">
      <c r="Q52976" s="8"/>
    </row>
    <row r="52977" spans="17:17" x14ac:dyDescent="0.25">
      <c r="Q52977" s="8"/>
    </row>
    <row r="52978" spans="17:17" x14ac:dyDescent="0.25">
      <c r="Q52978" s="8"/>
    </row>
    <row r="52979" spans="17:17" x14ac:dyDescent="0.25">
      <c r="Q52979" s="8"/>
    </row>
    <row r="52980" spans="17:17" x14ac:dyDescent="0.25">
      <c r="Q52980" s="8"/>
    </row>
    <row r="52981" spans="17:17" x14ac:dyDescent="0.25">
      <c r="Q52981" s="8"/>
    </row>
    <row r="52982" spans="17:17" x14ac:dyDescent="0.25">
      <c r="Q52982" s="8"/>
    </row>
    <row r="52983" spans="17:17" x14ac:dyDescent="0.25">
      <c r="Q52983" s="8"/>
    </row>
    <row r="52984" spans="17:17" x14ac:dyDescent="0.25">
      <c r="Q52984" s="8"/>
    </row>
    <row r="52985" spans="17:17" x14ac:dyDescent="0.25">
      <c r="Q52985" s="8"/>
    </row>
    <row r="52986" spans="17:17" x14ac:dyDescent="0.25">
      <c r="Q52986" s="8"/>
    </row>
    <row r="52987" spans="17:17" x14ac:dyDescent="0.25">
      <c r="Q52987" s="8"/>
    </row>
    <row r="52988" spans="17:17" x14ac:dyDescent="0.25">
      <c r="Q52988" s="8"/>
    </row>
    <row r="52989" spans="17:17" x14ac:dyDescent="0.25">
      <c r="Q52989" s="8"/>
    </row>
    <row r="52990" spans="17:17" x14ac:dyDescent="0.25">
      <c r="Q52990" s="8"/>
    </row>
    <row r="52991" spans="17:17" x14ac:dyDescent="0.25">
      <c r="Q52991" s="8"/>
    </row>
    <row r="52992" spans="17:17" x14ac:dyDescent="0.25">
      <c r="Q52992" s="8"/>
    </row>
    <row r="52993" spans="17:17" x14ac:dyDescent="0.25">
      <c r="Q52993" s="8"/>
    </row>
    <row r="52994" spans="17:17" x14ac:dyDescent="0.25">
      <c r="Q52994" s="8"/>
    </row>
    <row r="52995" spans="17:17" x14ac:dyDescent="0.25">
      <c r="Q52995" s="8"/>
    </row>
    <row r="52996" spans="17:17" x14ac:dyDescent="0.25">
      <c r="Q52996" s="8"/>
    </row>
    <row r="52997" spans="17:17" x14ac:dyDescent="0.25">
      <c r="Q52997" s="8"/>
    </row>
    <row r="52998" spans="17:17" x14ac:dyDescent="0.25">
      <c r="Q52998" s="8"/>
    </row>
    <row r="52999" spans="17:17" x14ac:dyDescent="0.25">
      <c r="Q52999" s="8"/>
    </row>
    <row r="53000" spans="17:17" x14ac:dyDescent="0.25">
      <c r="Q53000" s="8"/>
    </row>
    <row r="53001" spans="17:17" x14ac:dyDescent="0.25">
      <c r="Q53001" s="8"/>
    </row>
    <row r="53002" spans="17:17" x14ac:dyDescent="0.25">
      <c r="Q53002" s="8"/>
    </row>
    <row r="53003" spans="17:17" x14ac:dyDescent="0.25">
      <c r="Q53003" s="8"/>
    </row>
    <row r="53004" spans="17:17" x14ac:dyDescent="0.25">
      <c r="Q53004" s="8"/>
    </row>
    <row r="53005" spans="17:17" x14ac:dyDescent="0.25">
      <c r="Q53005" s="8"/>
    </row>
    <row r="53006" spans="17:17" x14ac:dyDescent="0.25">
      <c r="Q53006" s="8"/>
    </row>
    <row r="53007" spans="17:17" x14ac:dyDescent="0.25">
      <c r="Q53007" s="8"/>
    </row>
    <row r="53008" spans="17:17" x14ac:dyDescent="0.25">
      <c r="Q53008" s="8"/>
    </row>
    <row r="53009" spans="17:17" x14ac:dyDescent="0.25">
      <c r="Q53009" s="8"/>
    </row>
    <row r="53010" spans="17:17" x14ac:dyDescent="0.25">
      <c r="Q53010" s="8"/>
    </row>
    <row r="53011" spans="17:17" x14ac:dyDescent="0.25">
      <c r="Q53011" s="8"/>
    </row>
    <row r="53012" spans="17:17" x14ac:dyDescent="0.25">
      <c r="Q53012" s="8"/>
    </row>
    <row r="53013" spans="17:17" x14ac:dyDescent="0.25">
      <c r="Q53013" s="8"/>
    </row>
    <row r="53014" spans="17:17" x14ac:dyDescent="0.25">
      <c r="Q53014" s="8"/>
    </row>
    <row r="53015" spans="17:17" x14ac:dyDescent="0.25">
      <c r="Q53015" s="8"/>
    </row>
    <row r="53016" spans="17:17" x14ac:dyDescent="0.25">
      <c r="Q53016" s="8"/>
    </row>
    <row r="53017" spans="17:17" x14ac:dyDescent="0.25">
      <c r="Q53017" s="8"/>
    </row>
    <row r="53018" spans="17:17" x14ac:dyDescent="0.25">
      <c r="Q53018" s="8"/>
    </row>
    <row r="53019" spans="17:17" x14ac:dyDescent="0.25">
      <c r="Q53019" s="8"/>
    </row>
    <row r="53020" spans="17:17" x14ac:dyDescent="0.25">
      <c r="Q53020" s="8"/>
    </row>
    <row r="53021" spans="17:17" x14ac:dyDescent="0.25">
      <c r="Q53021" s="8"/>
    </row>
    <row r="53022" spans="17:17" x14ac:dyDescent="0.25">
      <c r="Q53022" s="8"/>
    </row>
    <row r="53023" spans="17:17" x14ac:dyDescent="0.25">
      <c r="Q53023" s="8"/>
    </row>
    <row r="53024" spans="17:17" x14ac:dyDescent="0.25">
      <c r="Q53024" s="8"/>
    </row>
    <row r="53025" spans="17:17" x14ac:dyDescent="0.25">
      <c r="Q53025" s="8"/>
    </row>
    <row r="53026" spans="17:17" x14ac:dyDescent="0.25">
      <c r="Q53026" s="8"/>
    </row>
    <row r="53027" spans="17:17" x14ac:dyDescent="0.25">
      <c r="Q53027" s="8"/>
    </row>
    <row r="53028" spans="17:17" x14ac:dyDescent="0.25">
      <c r="Q53028" s="8"/>
    </row>
    <row r="53029" spans="17:17" x14ac:dyDescent="0.25">
      <c r="Q53029" s="8"/>
    </row>
    <row r="53030" spans="17:17" x14ac:dyDescent="0.25">
      <c r="Q53030" s="8"/>
    </row>
    <row r="53031" spans="17:17" x14ac:dyDescent="0.25">
      <c r="Q53031" s="8"/>
    </row>
    <row r="53032" spans="17:17" x14ac:dyDescent="0.25">
      <c r="Q53032" s="8"/>
    </row>
    <row r="53033" spans="17:17" x14ac:dyDescent="0.25">
      <c r="Q53033" s="8"/>
    </row>
    <row r="53034" spans="17:17" x14ac:dyDescent="0.25">
      <c r="Q53034" s="8"/>
    </row>
    <row r="53035" spans="17:17" x14ac:dyDescent="0.25">
      <c r="Q53035" s="8"/>
    </row>
    <row r="53036" spans="17:17" x14ac:dyDescent="0.25">
      <c r="Q53036" s="8"/>
    </row>
    <row r="53037" spans="17:17" x14ac:dyDescent="0.25">
      <c r="Q53037" s="8"/>
    </row>
    <row r="53038" spans="17:17" x14ac:dyDescent="0.25">
      <c r="Q53038" s="8"/>
    </row>
    <row r="53039" spans="17:17" x14ac:dyDescent="0.25">
      <c r="Q53039" s="8"/>
    </row>
    <row r="53040" spans="17:17" x14ac:dyDescent="0.25">
      <c r="Q53040" s="8"/>
    </row>
    <row r="53041" spans="17:17" x14ac:dyDescent="0.25">
      <c r="Q53041" s="8"/>
    </row>
    <row r="53042" spans="17:17" x14ac:dyDescent="0.25">
      <c r="Q53042" s="8"/>
    </row>
    <row r="53043" spans="17:17" x14ac:dyDescent="0.25">
      <c r="Q53043" s="8"/>
    </row>
    <row r="53044" spans="17:17" x14ac:dyDescent="0.25">
      <c r="Q53044" s="8"/>
    </row>
    <row r="53045" spans="17:17" x14ac:dyDescent="0.25">
      <c r="Q53045" s="8"/>
    </row>
    <row r="53046" spans="17:17" x14ac:dyDescent="0.25">
      <c r="Q53046" s="8"/>
    </row>
    <row r="53047" spans="17:17" x14ac:dyDescent="0.25">
      <c r="Q53047" s="8"/>
    </row>
    <row r="53048" spans="17:17" x14ac:dyDescent="0.25">
      <c r="Q53048" s="8"/>
    </row>
    <row r="53049" spans="17:17" x14ac:dyDescent="0.25">
      <c r="Q53049" s="8"/>
    </row>
    <row r="53050" spans="17:17" x14ac:dyDescent="0.25">
      <c r="Q53050" s="8"/>
    </row>
    <row r="53051" spans="17:17" x14ac:dyDescent="0.25">
      <c r="Q53051" s="8"/>
    </row>
    <row r="53052" spans="17:17" x14ac:dyDescent="0.25">
      <c r="Q53052" s="8"/>
    </row>
    <row r="53053" spans="17:17" x14ac:dyDescent="0.25">
      <c r="Q53053" s="8"/>
    </row>
    <row r="53054" spans="17:17" x14ac:dyDescent="0.25">
      <c r="Q53054" s="8"/>
    </row>
    <row r="53055" spans="17:17" x14ac:dyDescent="0.25">
      <c r="Q53055" s="8"/>
    </row>
    <row r="53056" spans="17:17" x14ac:dyDescent="0.25">
      <c r="Q53056" s="8"/>
    </row>
    <row r="53057" spans="17:17" x14ac:dyDescent="0.25">
      <c r="Q53057" s="8"/>
    </row>
    <row r="53058" spans="17:17" x14ac:dyDescent="0.25">
      <c r="Q53058" s="8"/>
    </row>
    <row r="53059" spans="17:17" x14ac:dyDescent="0.25">
      <c r="Q53059" s="8"/>
    </row>
    <row r="53060" spans="17:17" x14ac:dyDescent="0.25">
      <c r="Q53060" s="8"/>
    </row>
    <row r="53061" spans="17:17" x14ac:dyDescent="0.25">
      <c r="Q53061" s="8"/>
    </row>
    <row r="53062" spans="17:17" x14ac:dyDescent="0.25">
      <c r="Q53062" s="8"/>
    </row>
    <row r="53063" spans="17:17" x14ac:dyDescent="0.25">
      <c r="Q53063" s="8"/>
    </row>
    <row r="53064" spans="17:17" x14ac:dyDescent="0.25">
      <c r="Q53064" s="8"/>
    </row>
    <row r="53065" spans="17:17" x14ac:dyDescent="0.25">
      <c r="Q53065" s="8"/>
    </row>
    <row r="53066" spans="17:17" x14ac:dyDescent="0.25">
      <c r="Q53066" s="8"/>
    </row>
    <row r="53067" spans="17:17" x14ac:dyDescent="0.25">
      <c r="Q53067" s="8"/>
    </row>
    <row r="53068" spans="17:17" x14ac:dyDescent="0.25">
      <c r="Q53068" s="8"/>
    </row>
    <row r="53069" spans="17:17" x14ac:dyDescent="0.25">
      <c r="Q53069" s="8"/>
    </row>
    <row r="53070" spans="17:17" x14ac:dyDescent="0.25">
      <c r="Q53070" s="8"/>
    </row>
    <row r="53071" spans="17:17" x14ac:dyDescent="0.25">
      <c r="Q53071" s="8"/>
    </row>
    <row r="53072" spans="17:17" x14ac:dyDescent="0.25">
      <c r="Q53072" s="8"/>
    </row>
    <row r="53073" spans="17:17" x14ac:dyDescent="0.25">
      <c r="Q53073" s="8"/>
    </row>
    <row r="53074" spans="17:17" x14ac:dyDescent="0.25">
      <c r="Q53074" s="8"/>
    </row>
    <row r="53075" spans="17:17" x14ac:dyDescent="0.25">
      <c r="Q53075" s="8"/>
    </row>
    <row r="53076" spans="17:17" x14ac:dyDescent="0.25">
      <c r="Q53076" s="8"/>
    </row>
    <row r="53077" spans="17:17" x14ac:dyDescent="0.25">
      <c r="Q53077" s="8"/>
    </row>
    <row r="53078" spans="17:17" x14ac:dyDescent="0.25">
      <c r="Q53078" s="8"/>
    </row>
    <row r="53079" spans="17:17" x14ac:dyDescent="0.25">
      <c r="Q53079" s="8"/>
    </row>
    <row r="53080" spans="17:17" x14ac:dyDescent="0.25">
      <c r="Q53080" s="8"/>
    </row>
    <row r="53081" spans="17:17" x14ac:dyDescent="0.25">
      <c r="Q53081" s="8"/>
    </row>
    <row r="53082" spans="17:17" x14ac:dyDescent="0.25">
      <c r="Q53082" s="8"/>
    </row>
    <row r="53083" spans="17:17" x14ac:dyDescent="0.25">
      <c r="Q53083" s="8"/>
    </row>
    <row r="53084" spans="17:17" x14ac:dyDescent="0.25">
      <c r="Q53084" s="8"/>
    </row>
    <row r="53085" spans="17:17" x14ac:dyDescent="0.25">
      <c r="Q53085" s="8"/>
    </row>
    <row r="53086" spans="17:17" x14ac:dyDescent="0.25">
      <c r="Q53086" s="8"/>
    </row>
    <row r="53087" spans="17:17" x14ac:dyDescent="0.25">
      <c r="Q53087" s="8"/>
    </row>
    <row r="53088" spans="17:17" x14ac:dyDescent="0.25">
      <c r="Q53088" s="8"/>
    </row>
    <row r="53089" spans="17:17" x14ac:dyDescent="0.25">
      <c r="Q53089" s="8"/>
    </row>
    <row r="53090" spans="17:17" x14ac:dyDescent="0.25">
      <c r="Q53090" s="8"/>
    </row>
    <row r="53091" spans="17:17" x14ac:dyDescent="0.25">
      <c r="Q53091" s="8"/>
    </row>
    <row r="53092" spans="17:17" x14ac:dyDescent="0.25">
      <c r="Q53092" s="8"/>
    </row>
    <row r="53093" spans="17:17" x14ac:dyDescent="0.25">
      <c r="Q53093" s="8"/>
    </row>
    <row r="53094" spans="17:17" x14ac:dyDescent="0.25">
      <c r="Q53094" s="8"/>
    </row>
    <row r="53095" spans="17:17" x14ac:dyDescent="0.25">
      <c r="Q53095" s="8"/>
    </row>
    <row r="53096" spans="17:17" x14ac:dyDescent="0.25">
      <c r="Q53096" s="8"/>
    </row>
    <row r="53097" spans="17:17" x14ac:dyDescent="0.25">
      <c r="Q53097" s="8"/>
    </row>
    <row r="53098" spans="17:17" x14ac:dyDescent="0.25">
      <c r="Q53098" s="8"/>
    </row>
    <row r="53099" spans="17:17" x14ac:dyDescent="0.25">
      <c r="Q53099" s="8"/>
    </row>
    <row r="53100" spans="17:17" x14ac:dyDescent="0.25">
      <c r="Q53100" s="8"/>
    </row>
    <row r="53101" spans="17:17" x14ac:dyDescent="0.25">
      <c r="Q53101" s="8"/>
    </row>
    <row r="53102" spans="17:17" x14ac:dyDescent="0.25">
      <c r="Q53102" s="8"/>
    </row>
    <row r="53103" spans="17:17" x14ac:dyDescent="0.25">
      <c r="Q53103" s="8"/>
    </row>
    <row r="53104" spans="17:17" x14ac:dyDescent="0.25">
      <c r="Q53104" s="8"/>
    </row>
    <row r="53105" spans="17:17" x14ac:dyDescent="0.25">
      <c r="Q53105" s="8"/>
    </row>
    <row r="53106" spans="17:17" x14ac:dyDescent="0.25">
      <c r="Q53106" s="8"/>
    </row>
    <row r="53107" spans="17:17" x14ac:dyDescent="0.25">
      <c r="Q53107" s="8"/>
    </row>
    <row r="53108" spans="17:17" x14ac:dyDescent="0.25">
      <c r="Q53108" s="8"/>
    </row>
    <row r="53109" spans="17:17" x14ac:dyDescent="0.25">
      <c r="Q53109" s="8"/>
    </row>
    <row r="53110" spans="17:17" x14ac:dyDescent="0.25">
      <c r="Q53110" s="8"/>
    </row>
    <row r="53111" spans="17:17" x14ac:dyDescent="0.25">
      <c r="Q53111" s="8"/>
    </row>
    <row r="53112" spans="17:17" x14ac:dyDescent="0.25">
      <c r="Q53112" s="8"/>
    </row>
    <row r="53113" spans="17:17" x14ac:dyDescent="0.25">
      <c r="Q53113" s="8"/>
    </row>
    <row r="53114" spans="17:17" x14ac:dyDescent="0.25">
      <c r="Q53114" s="8"/>
    </row>
    <row r="53115" spans="17:17" x14ac:dyDescent="0.25">
      <c r="Q53115" s="8"/>
    </row>
    <row r="53116" spans="17:17" x14ac:dyDescent="0.25">
      <c r="Q53116" s="8"/>
    </row>
    <row r="53117" spans="17:17" x14ac:dyDescent="0.25">
      <c r="Q53117" s="8"/>
    </row>
    <row r="53118" spans="17:17" x14ac:dyDescent="0.25">
      <c r="Q53118" s="8"/>
    </row>
    <row r="53119" spans="17:17" x14ac:dyDescent="0.25">
      <c r="Q53119" s="8"/>
    </row>
    <row r="53120" spans="17:17" x14ac:dyDescent="0.25">
      <c r="Q53120" s="8"/>
    </row>
    <row r="53121" spans="17:17" x14ac:dyDescent="0.25">
      <c r="Q53121" s="8"/>
    </row>
    <row r="53122" spans="17:17" x14ac:dyDescent="0.25">
      <c r="Q53122" s="8"/>
    </row>
    <row r="53123" spans="17:17" x14ac:dyDescent="0.25">
      <c r="Q53123" s="8"/>
    </row>
    <row r="53124" spans="17:17" x14ac:dyDescent="0.25">
      <c r="Q53124" s="8"/>
    </row>
    <row r="53125" spans="17:17" x14ac:dyDescent="0.25">
      <c r="Q53125" s="8"/>
    </row>
    <row r="53126" spans="17:17" x14ac:dyDescent="0.25">
      <c r="Q53126" s="8"/>
    </row>
    <row r="53127" spans="17:17" x14ac:dyDescent="0.25">
      <c r="Q53127" s="8"/>
    </row>
    <row r="53128" spans="17:17" x14ac:dyDescent="0.25">
      <c r="Q53128" s="8"/>
    </row>
    <row r="53129" spans="17:17" x14ac:dyDescent="0.25">
      <c r="Q53129" s="8"/>
    </row>
    <row r="53130" spans="17:17" x14ac:dyDescent="0.25">
      <c r="Q53130" s="8"/>
    </row>
    <row r="53131" spans="17:17" x14ac:dyDescent="0.25">
      <c r="Q53131" s="8"/>
    </row>
    <row r="53132" spans="17:17" x14ac:dyDescent="0.25">
      <c r="Q53132" s="8"/>
    </row>
    <row r="53133" spans="17:17" x14ac:dyDescent="0.25">
      <c r="Q53133" s="8"/>
    </row>
    <row r="53134" spans="17:17" x14ac:dyDescent="0.25">
      <c r="Q53134" s="8"/>
    </row>
    <row r="53135" spans="17:17" x14ac:dyDescent="0.25">
      <c r="Q53135" s="8"/>
    </row>
    <row r="53136" spans="17:17" x14ac:dyDescent="0.25">
      <c r="Q53136" s="8"/>
    </row>
    <row r="53137" spans="17:17" x14ac:dyDescent="0.25">
      <c r="Q53137" s="8"/>
    </row>
    <row r="53138" spans="17:17" x14ac:dyDescent="0.25">
      <c r="Q53138" s="8"/>
    </row>
    <row r="53139" spans="17:17" x14ac:dyDescent="0.25">
      <c r="Q53139" s="8"/>
    </row>
    <row r="53140" spans="17:17" x14ac:dyDescent="0.25">
      <c r="Q53140" s="8"/>
    </row>
    <row r="53141" spans="17:17" x14ac:dyDescent="0.25">
      <c r="Q53141" s="8"/>
    </row>
    <row r="53142" spans="17:17" x14ac:dyDescent="0.25">
      <c r="Q53142" s="8"/>
    </row>
    <row r="53143" spans="17:17" x14ac:dyDescent="0.25">
      <c r="Q53143" s="8"/>
    </row>
    <row r="53144" spans="17:17" x14ac:dyDescent="0.25">
      <c r="Q53144" s="8"/>
    </row>
    <row r="53145" spans="17:17" x14ac:dyDescent="0.25">
      <c r="Q53145" s="8"/>
    </row>
    <row r="53146" spans="17:17" x14ac:dyDescent="0.25">
      <c r="Q53146" s="8"/>
    </row>
    <row r="53147" spans="17:17" x14ac:dyDescent="0.25">
      <c r="Q53147" s="8"/>
    </row>
    <row r="53148" spans="17:17" x14ac:dyDescent="0.25">
      <c r="Q53148" s="8"/>
    </row>
    <row r="53149" spans="17:17" x14ac:dyDescent="0.25">
      <c r="Q53149" s="8"/>
    </row>
    <row r="53150" spans="17:17" x14ac:dyDescent="0.25">
      <c r="Q53150" s="8"/>
    </row>
    <row r="53151" spans="17:17" x14ac:dyDescent="0.25">
      <c r="Q53151" s="8"/>
    </row>
    <row r="53152" spans="17:17" x14ac:dyDescent="0.25">
      <c r="Q53152" s="8"/>
    </row>
    <row r="53153" spans="17:17" x14ac:dyDescent="0.25">
      <c r="Q53153" s="8"/>
    </row>
    <row r="53154" spans="17:17" x14ac:dyDescent="0.25">
      <c r="Q53154" s="8"/>
    </row>
    <row r="53155" spans="17:17" x14ac:dyDescent="0.25">
      <c r="Q53155" s="8"/>
    </row>
    <row r="53156" spans="17:17" x14ac:dyDescent="0.25">
      <c r="Q53156" s="8"/>
    </row>
    <row r="53157" spans="17:17" x14ac:dyDescent="0.25">
      <c r="Q53157" s="8"/>
    </row>
    <row r="53158" spans="17:17" x14ac:dyDescent="0.25">
      <c r="Q53158" s="8"/>
    </row>
    <row r="53159" spans="17:17" x14ac:dyDescent="0.25">
      <c r="Q53159" s="8"/>
    </row>
    <row r="53160" spans="17:17" x14ac:dyDescent="0.25">
      <c r="Q53160" s="8"/>
    </row>
    <row r="53161" spans="17:17" x14ac:dyDescent="0.25">
      <c r="Q53161" s="8"/>
    </row>
    <row r="53162" spans="17:17" x14ac:dyDescent="0.25">
      <c r="Q53162" s="8"/>
    </row>
    <row r="53163" spans="17:17" x14ac:dyDescent="0.25">
      <c r="Q53163" s="8"/>
    </row>
    <row r="53164" spans="17:17" x14ac:dyDescent="0.25">
      <c r="Q53164" s="8"/>
    </row>
    <row r="53165" spans="17:17" x14ac:dyDescent="0.25">
      <c r="Q53165" s="8"/>
    </row>
    <row r="53166" spans="17:17" x14ac:dyDescent="0.25">
      <c r="Q53166" s="8"/>
    </row>
    <row r="53167" spans="17:17" x14ac:dyDescent="0.25">
      <c r="Q53167" s="8"/>
    </row>
    <row r="53168" spans="17:17" x14ac:dyDescent="0.25">
      <c r="Q53168" s="8"/>
    </row>
    <row r="53169" spans="17:17" x14ac:dyDescent="0.25">
      <c r="Q53169" s="8"/>
    </row>
    <row r="53170" spans="17:17" x14ac:dyDescent="0.25">
      <c r="Q53170" s="8"/>
    </row>
    <row r="53171" spans="17:17" x14ac:dyDescent="0.25">
      <c r="Q53171" s="8"/>
    </row>
    <row r="53172" spans="17:17" x14ac:dyDescent="0.25">
      <c r="Q53172" s="8"/>
    </row>
    <row r="53173" spans="17:17" x14ac:dyDescent="0.25">
      <c r="Q53173" s="8"/>
    </row>
    <row r="53174" spans="17:17" x14ac:dyDescent="0.25">
      <c r="Q53174" s="8"/>
    </row>
    <row r="53175" spans="17:17" x14ac:dyDescent="0.25">
      <c r="Q53175" s="8"/>
    </row>
    <row r="53176" spans="17:17" x14ac:dyDescent="0.25">
      <c r="Q53176" s="8"/>
    </row>
    <row r="53177" spans="17:17" x14ac:dyDescent="0.25">
      <c r="Q53177" s="8"/>
    </row>
    <row r="53178" spans="17:17" x14ac:dyDescent="0.25">
      <c r="Q53178" s="8"/>
    </row>
    <row r="53179" spans="17:17" x14ac:dyDescent="0.25">
      <c r="Q53179" s="8"/>
    </row>
    <row r="53180" spans="17:17" x14ac:dyDescent="0.25">
      <c r="Q53180" s="8"/>
    </row>
    <row r="53181" spans="17:17" x14ac:dyDescent="0.25">
      <c r="Q53181" s="8"/>
    </row>
    <row r="53182" spans="17:17" x14ac:dyDescent="0.25">
      <c r="Q53182" s="8"/>
    </row>
    <row r="53183" spans="17:17" x14ac:dyDescent="0.25">
      <c r="Q53183" s="8"/>
    </row>
    <row r="53184" spans="17:17" x14ac:dyDescent="0.25">
      <c r="Q53184" s="8"/>
    </row>
    <row r="53185" spans="17:17" x14ac:dyDescent="0.25">
      <c r="Q53185" s="8"/>
    </row>
    <row r="53186" spans="17:17" x14ac:dyDescent="0.25">
      <c r="Q53186" s="8"/>
    </row>
    <row r="53187" spans="17:17" x14ac:dyDescent="0.25">
      <c r="Q53187" s="8"/>
    </row>
    <row r="53188" spans="17:17" x14ac:dyDescent="0.25">
      <c r="Q53188" s="8"/>
    </row>
    <row r="53189" spans="17:17" x14ac:dyDescent="0.25">
      <c r="Q53189" s="8"/>
    </row>
    <row r="53190" spans="17:17" x14ac:dyDescent="0.25">
      <c r="Q53190" s="8"/>
    </row>
    <row r="53191" spans="17:17" x14ac:dyDescent="0.25">
      <c r="Q53191" s="8"/>
    </row>
    <row r="53192" spans="17:17" x14ac:dyDescent="0.25">
      <c r="Q53192" s="8"/>
    </row>
    <row r="53193" spans="17:17" x14ac:dyDescent="0.25">
      <c r="Q53193" s="8"/>
    </row>
    <row r="53194" spans="17:17" x14ac:dyDescent="0.25">
      <c r="Q53194" s="8"/>
    </row>
    <row r="53195" spans="17:17" x14ac:dyDescent="0.25">
      <c r="Q53195" s="8"/>
    </row>
    <row r="53196" spans="17:17" x14ac:dyDescent="0.25">
      <c r="Q53196" s="8"/>
    </row>
    <row r="53197" spans="17:17" x14ac:dyDescent="0.25">
      <c r="Q53197" s="8"/>
    </row>
    <row r="53198" spans="17:17" x14ac:dyDescent="0.25">
      <c r="Q53198" s="8"/>
    </row>
    <row r="53199" spans="17:17" x14ac:dyDescent="0.25">
      <c r="Q53199" s="8"/>
    </row>
    <row r="53200" spans="17:17" x14ac:dyDescent="0.25">
      <c r="Q53200" s="8"/>
    </row>
    <row r="53201" spans="17:17" x14ac:dyDescent="0.25">
      <c r="Q53201" s="8"/>
    </row>
    <row r="53202" spans="17:17" x14ac:dyDescent="0.25">
      <c r="Q53202" s="8"/>
    </row>
    <row r="53203" spans="17:17" x14ac:dyDescent="0.25">
      <c r="Q53203" s="8"/>
    </row>
    <row r="53204" spans="17:17" x14ac:dyDescent="0.25">
      <c r="Q53204" s="8"/>
    </row>
    <row r="53205" spans="17:17" x14ac:dyDescent="0.25">
      <c r="Q53205" s="8"/>
    </row>
    <row r="53206" spans="17:17" x14ac:dyDescent="0.25">
      <c r="Q53206" s="8"/>
    </row>
    <row r="53207" spans="17:17" x14ac:dyDescent="0.25">
      <c r="Q53207" s="8"/>
    </row>
    <row r="53208" spans="17:17" x14ac:dyDescent="0.25">
      <c r="Q53208" s="8"/>
    </row>
    <row r="53209" spans="17:17" x14ac:dyDescent="0.25">
      <c r="Q53209" s="8"/>
    </row>
    <row r="53210" spans="17:17" x14ac:dyDescent="0.25">
      <c r="Q53210" s="8"/>
    </row>
    <row r="53211" spans="17:17" x14ac:dyDescent="0.25">
      <c r="Q53211" s="8"/>
    </row>
    <row r="53212" spans="17:17" x14ac:dyDescent="0.25">
      <c r="Q53212" s="8"/>
    </row>
    <row r="53213" spans="17:17" x14ac:dyDescent="0.25">
      <c r="Q53213" s="8"/>
    </row>
    <row r="53214" spans="17:17" x14ac:dyDescent="0.25">
      <c r="Q53214" s="8"/>
    </row>
    <row r="53215" spans="17:17" x14ac:dyDescent="0.25">
      <c r="Q53215" s="8"/>
    </row>
    <row r="53216" spans="17:17" x14ac:dyDescent="0.25">
      <c r="Q53216" s="8"/>
    </row>
    <row r="53217" spans="17:17" x14ac:dyDescent="0.25">
      <c r="Q53217" s="8"/>
    </row>
    <row r="53218" spans="17:17" x14ac:dyDescent="0.25">
      <c r="Q53218" s="8"/>
    </row>
    <row r="53219" spans="17:17" x14ac:dyDescent="0.25">
      <c r="Q53219" s="8"/>
    </row>
    <row r="53220" spans="17:17" x14ac:dyDescent="0.25">
      <c r="Q53220" s="8"/>
    </row>
    <row r="53221" spans="17:17" x14ac:dyDescent="0.25">
      <c r="Q53221" s="8"/>
    </row>
    <row r="53222" spans="17:17" x14ac:dyDescent="0.25">
      <c r="Q53222" s="8"/>
    </row>
    <row r="53223" spans="17:17" x14ac:dyDescent="0.25">
      <c r="Q53223" s="8"/>
    </row>
    <row r="53224" spans="17:17" x14ac:dyDescent="0.25">
      <c r="Q53224" s="8"/>
    </row>
    <row r="53225" spans="17:17" x14ac:dyDescent="0.25">
      <c r="Q53225" s="8"/>
    </row>
    <row r="53226" spans="17:17" x14ac:dyDescent="0.25">
      <c r="Q53226" s="8"/>
    </row>
    <row r="53227" spans="17:17" x14ac:dyDescent="0.25">
      <c r="Q53227" s="8"/>
    </row>
    <row r="53228" spans="17:17" x14ac:dyDescent="0.25">
      <c r="Q53228" s="8"/>
    </row>
    <row r="53229" spans="17:17" x14ac:dyDescent="0.25">
      <c r="Q53229" s="8"/>
    </row>
    <row r="53230" spans="17:17" x14ac:dyDescent="0.25">
      <c r="Q53230" s="8"/>
    </row>
    <row r="53231" spans="17:17" x14ac:dyDescent="0.25">
      <c r="Q53231" s="8"/>
    </row>
    <row r="53232" spans="17:17" x14ac:dyDescent="0.25">
      <c r="Q53232" s="8"/>
    </row>
    <row r="53233" spans="17:17" x14ac:dyDescent="0.25">
      <c r="Q53233" s="8"/>
    </row>
    <row r="53234" spans="17:17" x14ac:dyDescent="0.25">
      <c r="Q53234" s="8"/>
    </row>
    <row r="53235" spans="17:17" x14ac:dyDescent="0.25">
      <c r="Q53235" s="8"/>
    </row>
    <row r="53236" spans="17:17" x14ac:dyDescent="0.25">
      <c r="Q53236" s="8"/>
    </row>
    <row r="53237" spans="17:17" x14ac:dyDescent="0.25">
      <c r="Q53237" s="8"/>
    </row>
    <row r="53238" spans="17:17" x14ac:dyDescent="0.25">
      <c r="Q53238" s="8"/>
    </row>
    <row r="53239" spans="17:17" x14ac:dyDescent="0.25">
      <c r="Q53239" s="8"/>
    </row>
    <row r="53240" spans="17:17" x14ac:dyDescent="0.25">
      <c r="Q53240" s="8"/>
    </row>
    <row r="53241" spans="17:17" x14ac:dyDescent="0.25">
      <c r="Q53241" s="8"/>
    </row>
    <row r="53242" spans="17:17" x14ac:dyDescent="0.25">
      <c r="Q53242" s="8"/>
    </row>
    <row r="53243" spans="17:17" x14ac:dyDescent="0.25">
      <c r="Q53243" s="8"/>
    </row>
    <row r="53244" spans="17:17" x14ac:dyDescent="0.25">
      <c r="Q53244" s="8"/>
    </row>
    <row r="53245" spans="17:17" x14ac:dyDescent="0.25">
      <c r="Q53245" s="8"/>
    </row>
    <row r="53246" spans="17:17" x14ac:dyDescent="0.25">
      <c r="Q53246" s="8"/>
    </row>
    <row r="53247" spans="17:17" x14ac:dyDescent="0.25">
      <c r="Q53247" s="8"/>
    </row>
    <row r="53248" spans="17:17" x14ac:dyDescent="0.25">
      <c r="Q53248" s="8"/>
    </row>
    <row r="53249" spans="17:17" x14ac:dyDescent="0.25">
      <c r="Q53249" s="8"/>
    </row>
    <row r="53250" spans="17:17" x14ac:dyDescent="0.25">
      <c r="Q53250" s="8"/>
    </row>
    <row r="53251" spans="17:17" x14ac:dyDescent="0.25">
      <c r="Q53251" s="8"/>
    </row>
    <row r="53252" spans="17:17" x14ac:dyDescent="0.25">
      <c r="Q53252" s="8"/>
    </row>
    <row r="53253" spans="17:17" x14ac:dyDescent="0.25">
      <c r="Q53253" s="8"/>
    </row>
    <row r="53254" spans="17:17" x14ac:dyDescent="0.25">
      <c r="Q53254" s="8"/>
    </row>
    <row r="53255" spans="17:17" x14ac:dyDescent="0.25">
      <c r="Q53255" s="8"/>
    </row>
    <row r="53256" spans="17:17" x14ac:dyDescent="0.25">
      <c r="Q53256" s="8"/>
    </row>
    <row r="53257" spans="17:17" x14ac:dyDescent="0.25">
      <c r="Q53257" s="8"/>
    </row>
    <row r="53258" spans="17:17" x14ac:dyDescent="0.25">
      <c r="Q53258" s="8"/>
    </row>
    <row r="53259" spans="17:17" x14ac:dyDescent="0.25">
      <c r="Q53259" s="8"/>
    </row>
    <row r="53260" spans="17:17" x14ac:dyDescent="0.25">
      <c r="Q53260" s="8"/>
    </row>
    <row r="53261" spans="17:17" x14ac:dyDescent="0.25">
      <c r="Q53261" s="8"/>
    </row>
    <row r="53262" spans="17:17" x14ac:dyDescent="0.25">
      <c r="Q53262" s="8"/>
    </row>
    <row r="53263" spans="17:17" x14ac:dyDescent="0.25">
      <c r="Q53263" s="8"/>
    </row>
    <row r="53264" spans="17:17" x14ac:dyDescent="0.25">
      <c r="Q53264" s="8"/>
    </row>
    <row r="53265" spans="17:17" x14ac:dyDescent="0.25">
      <c r="Q53265" s="8"/>
    </row>
    <row r="53266" spans="17:17" x14ac:dyDescent="0.25">
      <c r="Q53266" s="8"/>
    </row>
    <row r="53267" spans="17:17" x14ac:dyDescent="0.25">
      <c r="Q53267" s="8"/>
    </row>
    <row r="53268" spans="17:17" x14ac:dyDescent="0.25">
      <c r="Q53268" s="8"/>
    </row>
    <row r="53269" spans="17:17" x14ac:dyDescent="0.25">
      <c r="Q53269" s="8"/>
    </row>
    <row r="53270" spans="17:17" x14ac:dyDescent="0.25">
      <c r="Q53270" s="8"/>
    </row>
    <row r="53271" spans="17:17" x14ac:dyDescent="0.25">
      <c r="Q53271" s="8"/>
    </row>
    <row r="53272" spans="17:17" x14ac:dyDescent="0.25">
      <c r="Q53272" s="8"/>
    </row>
    <row r="53273" spans="17:17" x14ac:dyDescent="0.25">
      <c r="Q53273" s="8"/>
    </row>
    <row r="53274" spans="17:17" x14ac:dyDescent="0.25">
      <c r="Q53274" s="8"/>
    </row>
    <row r="53275" spans="17:17" x14ac:dyDescent="0.25">
      <c r="Q53275" s="8"/>
    </row>
    <row r="53276" spans="17:17" x14ac:dyDescent="0.25">
      <c r="Q53276" s="8"/>
    </row>
    <row r="53277" spans="17:17" x14ac:dyDescent="0.25">
      <c r="Q53277" s="8"/>
    </row>
    <row r="53278" spans="17:17" x14ac:dyDescent="0.25">
      <c r="Q53278" s="8"/>
    </row>
    <row r="53279" spans="17:17" x14ac:dyDescent="0.25">
      <c r="Q53279" s="8"/>
    </row>
    <row r="53280" spans="17:17" x14ac:dyDescent="0.25">
      <c r="Q53280" s="8"/>
    </row>
    <row r="53281" spans="17:17" x14ac:dyDescent="0.25">
      <c r="Q53281" s="8"/>
    </row>
    <row r="53282" spans="17:17" x14ac:dyDescent="0.25">
      <c r="Q53282" s="8"/>
    </row>
    <row r="53283" spans="17:17" x14ac:dyDescent="0.25">
      <c r="Q53283" s="8"/>
    </row>
    <row r="53284" spans="17:17" x14ac:dyDescent="0.25">
      <c r="Q53284" s="8"/>
    </row>
    <row r="53285" spans="17:17" x14ac:dyDescent="0.25">
      <c r="Q53285" s="8"/>
    </row>
    <row r="53286" spans="17:17" x14ac:dyDescent="0.25">
      <c r="Q53286" s="8"/>
    </row>
    <row r="53287" spans="17:17" x14ac:dyDescent="0.25">
      <c r="Q53287" s="8"/>
    </row>
    <row r="53288" spans="17:17" x14ac:dyDescent="0.25">
      <c r="Q53288" s="8"/>
    </row>
    <row r="53289" spans="17:17" x14ac:dyDescent="0.25">
      <c r="Q53289" s="8"/>
    </row>
    <row r="53290" spans="17:17" x14ac:dyDescent="0.25">
      <c r="Q53290" s="8"/>
    </row>
    <row r="53291" spans="17:17" x14ac:dyDescent="0.25">
      <c r="Q53291" s="8"/>
    </row>
    <row r="53292" spans="17:17" x14ac:dyDescent="0.25">
      <c r="Q53292" s="8"/>
    </row>
    <row r="53293" spans="17:17" x14ac:dyDescent="0.25">
      <c r="Q53293" s="8"/>
    </row>
    <row r="53294" spans="17:17" x14ac:dyDescent="0.25">
      <c r="Q53294" s="8"/>
    </row>
    <row r="53295" spans="17:17" x14ac:dyDescent="0.25">
      <c r="Q53295" s="8"/>
    </row>
    <row r="53296" spans="17:17" x14ac:dyDescent="0.25">
      <c r="Q53296" s="8"/>
    </row>
    <row r="53297" spans="17:17" x14ac:dyDescent="0.25">
      <c r="Q53297" s="8"/>
    </row>
    <row r="53298" spans="17:17" x14ac:dyDescent="0.25">
      <c r="Q53298" s="8"/>
    </row>
    <row r="53299" spans="17:17" x14ac:dyDescent="0.25">
      <c r="Q53299" s="8"/>
    </row>
    <row r="53300" spans="17:17" x14ac:dyDescent="0.25">
      <c r="Q53300" s="8"/>
    </row>
    <row r="53301" spans="17:17" x14ac:dyDescent="0.25">
      <c r="Q53301" s="8"/>
    </row>
    <row r="53302" spans="17:17" x14ac:dyDescent="0.25">
      <c r="Q53302" s="8"/>
    </row>
    <row r="53303" spans="17:17" x14ac:dyDescent="0.25">
      <c r="Q53303" s="8"/>
    </row>
    <row r="53304" spans="17:17" x14ac:dyDescent="0.25">
      <c r="Q53304" s="8"/>
    </row>
    <row r="53305" spans="17:17" x14ac:dyDescent="0.25">
      <c r="Q53305" s="8"/>
    </row>
    <row r="53306" spans="17:17" x14ac:dyDescent="0.25">
      <c r="Q53306" s="8"/>
    </row>
    <row r="53307" spans="17:17" x14ac:dyDescent="0.25">
      <c r="Q53307" s="8"/>
    </row>
    <row r="53308" spans="17:17" x14ac:dyDescent="0.25">
      <c r="Q53308" s="8"/>
    </row>
    <row r="53309" spans="17:17" x14ac:dyDescent="0.25">
      <c r="Q53309" s="8"/>
    </row>
    <row r="53310" spans="17:17" x14ac:dyDescent="0.25">
      <c r="Q53310" s="8"/>
    </row>
    <row r="53311" spans="17:17" x14ac:dyDescent="0.25">
      <c r="Q53311" s="8"/>
    </row>
    <row r="53312" spans="17:17" x14ac:dyDescent="0.25">
      <c r="Q53312" s="8"/>
    </row>
    <row r="53313" spans="17:17" x14ac:dyDescent="0.25">
      <c r="Q53313" s="8"/>
    </row>
    <row r="53314" spans="17:17" x14ac:dyDescent="0.25">
      <c r="Q53314" s="8"/>
    </row>
    <row r="53315" spans="17:17" x14ac:dyDescent="0.25">
      <c r="Q53315" s="8"/>
    </row>
    <row r="53316" spans="17:17" x14ac:dyDescent="0.25">
      <c r="Q53316" s="8"/>
    </row>
    <row r="53317" spans="17:17" x14ac:dyDescent="0.25">
      <c r="Q53317" s="8"/>
    </row>
    <row r="53318" spans="17:17" x14ac:dyDescent="0.25">
      <c r="Q53318" s="8"/>
    </row>
    <row r="53319" spans="17:17" x14ac:dyDescent="0.25">
      <c r="Q53319" s="8"/>
    </row>
    <row r="53320" spans="17:17" x14ac:dyDescent="0.25">
      <c r="Q53320" s="8"/>
    </row>
    <row r="53321" spans="17:17" x14ac:dyDescent="0.25">
      <c r="Q53321" s="8"/>
    </row>
    <row r="53322" spans="17:17" x14ac:dyDescent="0.25">
      <c r="Q53322" s="8"/>
    </row>
    <row r="53323" spans="17:17" x14ac:dyDescent="0.25">
      <c r="Q53323" s="8"/>
    </row>
    <row r="53324" spans="17:17" x14ac:dyDescent="0.25">
      <c r="Q53324" s="8"/>
    </row>
    <row r="53325" spans="17:17" x14ac:dyDescent="0.25">
      <c r="Q53325" s="8"/>
    </row>
    <row r="53326" spans="17:17" x14ac:dyDescent="0.25">
      <c r="Q53326" s="8"/>
    </row>
    <row r="53327" spans="17:17" x14ac:dyDescent="0.25">
      <c r="Q53327" s="8"/>
    </row>
    <row r="53328" spans="17:17" x14ac:dyDescent="0.25">
      <c r="Q53328" s="8"/>
    </row>
    <row r="53329" spans="17:17" x14ac:dyDescent="0.25">
      <c r="Q53329" s="8"/>
    </row>
    <row r="53330" spans="17:17" x14ac:dyDescent="0.25">
      <c r="Q53330" s="8"/>
    </row>
    <row r="53331" spans="17:17" x14ac:dyDescent="0.25">
      <c r="Q53331" s="8"/>
    </row>
    <row r="53332" spans="17:17" x14ac:dyDescent="0.25">
      <c r="Q53332" s="8"/>
    </row>
    <row r="53333" spans="17:17" x14ac:dyDescent="0.25">
      <c r="Q53333" s="8"/>
    </row>
    <row r="53334" spans="17:17" x14ac:dyDescent="0.25">
      <c r="Q53334" s="8"/>
    </row>
    <row r="53335" spans="17:17" x14ac:dyDescent="0.25">
      <c r="Q53335" s="8"/>
    </row>
    <row r="53336" spans="17:17" x14ac:dyDescent="0.25">
      <c r="Q53336" s="8"/>
    </row>
    <row r="53337" spans="17:17" x14ac:dyDescent="0.25">
      <c r="Q53337" s="8"/>
    </row>
    <row r="53338" spans="17:17" x14ac:dyDescent="0.25">
      <c r="Q53338" s="8"/>
    </row>
    <row r="53339" spans="17:17" x14ac:dyDescent="0.25">
      <c r="Q53339" s="8"/>
    </row>
    <row r="53340" spans="17:17" x14ac:dyDescent="0.25">
      <c r="Q53340" s="8"/>
    </row>
    <row r="53341" spans="17:17" x14ac:dyDescent="0.25">
      <c r="Q53341" s="8"/>
    </row>
    <row r="53342" spans="17:17" x14ac:dyDescent="0.25">
      <c r="Q53342" s="8"/>
    </row>
    <row r="53343" spans="17:17" x14ac:dyDescent="0.25">
      <c r="Q53343" s="8"/>
    </row>
    <row r="53344" spans="17:17" x14ac:dyDescent="0.25">
      <c r="Q53344" s="8"/>
    </row>
    <row r="53345" spans="17:17" x14ac:dyDescent="0.25">
      <c r="Q53345" s="8"/>
    </row>
    <row r="53346" spans="17:17" x14ac:dyDescent="0.25">
      <c r="Q53346" s="8"/>
    </row>
    <row r="53347" spans="17:17" x14ac:dyDescent="0.25">
      <c r="Q53347" s="8"/>
    </row>
    <row r="53348" spans="17:17" x14ac:dyDescent="0.25">
      <c r="Q53348" s="8"/>
    </row>
    <row r="53349" spans="17:17" x14ac:dyDescent="0.25">
      <c r="Q53349" s="8"/>
    </row>
    <row r="53350" spans="17:17" x14ac:dyDescent="0.25">
      <c r="Q53350" s="8"/>
    </row>
    <row r="53351" spans="17:17" x14ac:dyDescent="0.25">
      <c r="Q53351" s="8"/>
    </row>
    <row r="53352" spans="17:17" x14ac:dyDescent="0.25">
      <c r="Q53352" s="8"/>
    </row>
    <row r="53353" spans="17:17" x14ac:dyDescent="0.25">
      <c r="Q53353" s="8"/>
    </row>
    <row r="53354" spans="17:17" x14ac:dyDescent="0.25">
      <c r="Q53354" s="8"/>
    </row>
    <row r="53355" spans="17:17" x14ac:dyDescent="0.25">
      <c r="Q53355" s="8"/>
    </row>
    <row r="53356" spans="17:17" x14ac:dyDescent="0.25">
      <c r="Q53356" s="8"/>
    </row>
    <row r="53357" spans="17:17" x14ac:dyDescent="0.25">
      <c r="Q53357" s="8"/>
    </row>
    <row r="53358" spans="17:17" x14ac:dyDescent="0.25">
      <c r="Q53358" s="8"/>
    </row>
    <row r="53359" spans="17:17" x14ac:dyDescent="0.25">
      <c r="Q53359" s="8"/>
    </row>
    <row r="53360" spans="17:17" x14ac:dyDescent="0.25">
      <c r="Q53360" s="8"/>
    </row>
    <row r="53361" spans="17:17" x14ac:dyDescent="0.25">
      <c r="Q53361" s="8"/>
    </row>
    <row r="53362" spans="17:17" x14ac:dyDescent="0.25">
      <c r="Q53362" s="8"/>
    </row>
    <row r="53363" spans="17:17" x14ac:dyDescent="0.25">
      <c r="Q53363" s="8"/>
    </row>
    <row r="53364" spans="17:17" x14ac:dyDescent="0.25">
      <c r="Q53364" s="8"/>
    </row>
    <row r="53365" spans="17:17" x14ac:dyDescent="0.25">
      <c r="Q53365" s="8"/>
    </row>
    <row r="53366" spans="17:17" x14ac:dyDescent="0.25">
      <c r="Q53366" s="8"/>
    </row>
    <row r="53367" spans="17:17" x14ac:dyDescent="0.25">
      <c r="Q53367" s="8"/>
    </row>
    <row r="53368" spans="17:17" x14ac:dyDescent="0.25">
      <c r="Q53368" s="8"/>
    </row>
    <row r="53369" spans="17:17" x14ac:dyDescent="0.25">
      <c r="Q53369" s="8"/>
    </row>
    <row r="53370" spans="17:17" x14ac:dyDescent="0.25">
      <c r="Q53370" s="8"/>
    </row>
    <row r="53371" spans="17:17" x14ac:dyDescent="0.25">
      <c r="Q53371" s="8"/>
    </row>
    <row r="53372" spans="17:17" x14ac:dyDescent="0.25">
      <c r="Q53372" s="8"/>
    </row>
    <row r="53373" spans="17:17" x14ac:dyDescent="0.25">
      <c r="Q53373" s="8"/>
    </row>
    <row r="53374" spans="17:17" x14ac:dyDescent="0.25">
      <c r="Q53374" s="8"/>
    </row>
    <row r="53375" spans="17:17" x14ac:dyDescent="0.25">
      <c r="Q53375" s="8"/>
    </row>
    <row r="53376" spans="17:17" x14ac:dyDescent="0.25">
      <c r="Q53376" s="8"/>
    </row>
    <row r="53377" spans="17:17" x14ac:dyDescent="0.25">
      <c r="Q53377" s="8"/>
    </row>
    <row r="53378" spans="17:17" x14ac:dyDescent="0.25">
      <c r="Q53378" s="8"/>
    </row>
    <row r="53379" spans="17:17" x14ac:dyDescent="0.25">
      <c r="Q53379" s="8"/>
    </row>
    <row r="53380" spans="17:17" x14ac:dyDescent="0.25">
      <c r="Q53380" s="8"/>
    </row>
    <row r="53381" spans="17:17" x14ac:dyDescent="0.25">
      <c r="Q53381" s="8"/>
    </row>
    <row r="53382" spans="17:17" x14ac:dyDescent="0.25">
      <c r="Q53382" s="8"/>
    </row>
    <row r="53383" spans="17:17" x14ac:dyDescent="0.25">
      <c r="Q53383" s="8"/>
    </row>
    <row r="53384" spans="17:17" x14ac:dyDescent="0.25">
      <c r="Q53384" s="8"/>
    </row>
    <row r="53385" spans="17:17" x14ac:dyDescent="0.25">
      <c r="Q53385" s="8"/>
    </row>
    <row r="53386" spans="17:17" x14ac:dyDescent="0.25">
      <c r="Q53386" s="8"/>
    </row>
    <row r="53387" spans="17:17" x14ac:dyDescent="0.25">
      <c r="Q53387" s="8"/>
    </row>
    <row r="53388" spans="17:17" x14ac:dyDescent="0.25">
      <c r="Q53388" s="8"/>
    </row>
    <row r="53389" spans="17:17" x14ac:dyDescent="0.25">
      <c r="Q53389" s="8"/>
    </row>
    <row r="53390" spans="17:17" x14ac:dyDescent="0.25">
      <c r="Q53390" s="8"/>
    </row>
    <row r="53391" spans="17:17" x14ac:dyDescent="0.25">
      <c r="Q53391" s="8"/>
    </row>
    <row r="53392" spans="17:17" x14ac:dyDescent="0.25">
      <c r="Q53392" s="8"/>
    </row>
    <row r="53393" spans="17:17" x14ac:dyDescent="0.25">
      <c r="Q53393" s="8"/>
    </row>
    <row r="53394" spans="17:17" x14ac:dyDescent="0.25">
      <c r="Q53394" s="8"/>
    </row>
    <row r="53395" spans="17:17" x14ac:dyDescent="0.25">
      <c r="Q53395" s="8"/>
    </row>
    <row r="53396" spans="17:17" x14ac:dyDescent="0.25">
      <c r="Q53396" s="8"/>
    </row>
    <row r="53397" spans="17:17" x14ac:dyDescent="0.25">
      <c r="Q53397" s="8"/>
    </row>
    <row r="53398" spans="17:17" x14ac:dyDescent="0.25">
      <c r="Q53398" s="8"/>
    </row>
    <row r="53399" spans="17:17" x14ac:dyDescent="0.25">
      <c r="Q53399" s="8"/>
    </row>
    <row r="53400" spans="17:17" x14ac:dyDescent="0.25">
      <c r="Q53400" s="8"/>
    </row>
    <row r="53401" spans="17:17" x14ac:dyDescent="0.25">
      <c r="Q53401" s="8"/>
    </row>
    <row r="53402" spans="17:17" x14ac:dyDescent="0.25">
      <c r="Q53402" s="8"/>
    </row>
    <row r="53403" spans="17:17" x14ac:dyDescent="0.25">
      <c r="Q53403" s="8"/>
    </row>
    <row r="53404" spans="17:17" x14ac:dyDescent="0.25">
      <c r="Q53404" s="8"/>
    </row>
    <row r="53405" spans="17:17" x14ac:dyDescent="0.25">
      <c r="Q53405" s="8"/>
    </row>
    <row r="53406" spans="17:17" x14ac:dyDescent="0.25">
      <c r="Q53406" s="8"/>
    </row>
    <row r="53407" spans="17:17" x14ac:dyDescent="0.25">
      <c r="Q53407" s="8"/>
    </row>
    <row r="53408" spans="17:17" x14ac:dyDescent="0.25">
      <c r="Q53408" s="8"/>
    </row>
    <row r="53409" spans="17:17" x14ac:dyDescent="0.25">
      <c r="Q53409" s="8"/>
    </row>
    <row r="53410" spans="17:17" x14ac:dyDescent="0.25">
      <c r="Q53410" s="8"/>
    </row>
    <row r="53411" spans="17:17" x14ac:dyDescent="0.25">
      <c r="Q53411" s="8"/>
    </row>
    <row r="53412" spans="17:17" x14ac:dyDescent="0.25">
      <c r="Q53412" s="8"/>
    </row>
    <row r="53413" spans="17:17" x14ac:dyDescent="0.25">
      <c r="Q53413" s="8"/>
    </row>
    <row r="53414" spans="17:17" x14ac:dyDescent="0.25">
      <c r="Q53414" s="8"/>
    </row>
    <row r="53415" spans="17:17" x14ac:dyDescent="0.25">
      <c r="Q53415" s="8"/>
    </row>
    <row r="53416" spans="17:17" x14ac:dyDescent="0.25">
      <c r="Q53416" s="8"/>
    </row>
    <row r="53417" spans="17:17" x14ac:dyDescent="0.25">
      <c r="Q53417" s="8"/>
    </row>
    <row r="53418" spans="17:17" x14ac:dyDescent="0.25">
      <c r="Q53418" s="8"/>
    </row>
    <row r="53419" spans="17:17" x14ac:dyDescent="0.25">
      <c r="Q53419" s="8"/>
    </row>
    <row r="53420" spans="17:17" x14ac:dyDescent="0.25">
      <c r="Q53420" s="8"/>
    </row>
    <row r="53421" spans="17:17" x14ac:dyDescent="0.25">
      <c r="Q53421" s="8"/>
    </row>
    <row r="53422" spans="17:17" x14ac:dyDescent="0.25">
      <c r="Q53422" s="8"/>
    </row>
    <row r="53423" spans="17:17" x14ac:dyDescent="0.25">
      <c r="Q53423" s="8"/>
    </row>
    <row r="53424" spans="17:17" x14ac:dyDescent="0.25">
      <c r="Q53424" s="8"/>
    </row>
    <row r="53425" spans="17:17" x14ac:dyDescent="0.25">
      <c r="Q53425" s="8"/>
    </row>
    <row r="53426" spans="17:17" x14ac:dyDescent="0.25">
      <c r="Q53426" s="8"/>
    </row>
    <row r="53427" spans="17:17" x14ac:dyDescent="0.25">
      <c r="Q53427" s="8"/>
    </row>
    <row r="53428" spans="17:17" x14ac:dyDescent="0.25">
      <c r="Q53428" s="8"/>
    </row>
    <row r="53429" spans="17:17" x14ac:dyDescent="0.25">
      <c r="Q53429" s="8"/>
    </row>
    <row r="53430" spans="17:17" x14ac:dyDescent="0.25">
      <c r="Q53430" s="8"/>
    </row>
    <row r="53431" spans="17:17" x14ac:dyDescent="0.25">
      <c r="Q53431" s="8"/>
    </row>
    <row r="53432" spans="17:17" x14ac:dyDescent="0.25">
      <c r="Q53432" s="8"/>
    </row>
    <row r="53433" spans="17:17" x14ac:dyDescent="0.25">
      <c r="Q53433" s="8"/>
    </row>
    <row r="53434" spans="17:17" x14ac:dyDescent="0.25">
      <c r="Q53434" s="8"/>
    </row>
    <row r="53435" spans="17:17" x14ac:dyDescent="0.25">
      <c r="Q53435" s="8"/>
    </row>
    <row r="53436" spans="17:17" x14ac:dyDescent="0.25">
      <c r="Q53436" s="8"/>
    </row>
    <row r="53437" spans="17:17" x14ac:dyDescent="0.25">
      <c r="Q53437" s="8"/>
    </row>
    <row r="53438" spans="17:17" x14ac:dyDescent="0.25">
      <c r="Q53438" s="8"/>
    </row>
    <row r="53439" spans="17:17" x14ac:dyDescent="0.25">
      <c r="Q53439" s="8"/>
    </row>
    <row r="53440" spans="17:17" x14ac:dyDescent="0.25">
      <c r="Q53440" s="8"/>
    </row>
    <row r="53441" spans="17:17" x14ac:dyDescent="0.25">
      <c r="Q53441" s="8"/>
    </row>
    <row r="53442" spans="17:17" x14ac:dyDescent="0.25">
      <c r="Q53442" s="8"/>
    </row>
    <row r="53443" spans="17:17" x14ac:dyDescent="0.25">
      <c r="Q53443" s="8"/>
    </row>
    <row r="53444" spans="17:17" x14ac:dyDescent="0.25">
      <c r="Q53444" s="8"/>
    </row>
    <row r="53445" spans="17:17" x14ac:dyDescent="0.25">
      <c r="Q53445" s="8"/>
    </row>
    <row r="53446" spans="17:17" x14ac:dyDescent="0.25">
      <c r="Q53446" s="8"/>
    </row>
    <row r="53447" spans="17:17" x14ac:dyDescent="0.25">
      <c r="Q53447" s="8"/>
    </row>
    <row r="53448" spans="17:17" x14ac:dyDescent="0.25">
      <c r="Q53448" s="8"/>
    </row>
    <row r="53449" spans="17:17" x14ac:dyDescent="0.25">
      <c r="Q53449" s="8"/>
    </row>
    <row r="53450" spans="17:17" x14ac:dyDescent="0.25">
      <c r="Q53450" s="8"/>
    </row>
    <row r="53451" spans="17:17" x14ac:dyDescent="0.25">
      <c r="Q53451" s="8"/>
    </row>
    <row r="53452" spans="17:17" x14ac:dyDescent="0.25">
      <c r="Q53452" s="8"/>
    </row>
    <row r="53453" spans="17:17" x14ac:dyDescent="0.25">
      <c r="Q53453" s="8"/>
    </row>
    <row r="53454" spans="17:17" x14ac:dyDescent="0.25">
      <c r="Q53454" s="8"/>
    </row>
    <row r="53455" spans="17:17" x14ac:dyDescent="0.25">
      <c r="Q53455" s="8"/>
    </row>
    <row r="53456" spans="17:17" x14ac:dyDescent="0.25">
      <c r="Q53456" s="8"/>
    </row>
    <row r="53457" spans="17:17" x14ac:dyDescent="0.25">
      <c r="Q53457" s="8"/>
    </row>
    <row r="53458" spans="17:17" x14ac:dyDescent="0.25">
      <c r="Q53458" s="8"/>
    </row>
    <row r="53459" spans="17:17" x14ac:dyDescent="0.25">
      <c r="Q53459" s="8"/>
    </row>
    <row r="53460" spans="17:17" x14ac:dyDescent="0.25">
      <c r="Q53460" s="8"/>
    </row>
    <row r="53461" spans="17:17" x14ac:dyDescent="0.25">
      <c r="Q53461" s="8"/>
    </row>
    <row r="53462" spans="17:17" x14ac:dyDescent="0.25">
      <c r="Q53462" s="8"/>
    </row>
    <row r="53463" spans="17:17" x14ac:dyDescent="0.25">
      <c r="Q53463" s="8"/>
    </row>
    <row r="53464" spans="17:17" x14ac:dyDescent="0.25">
      <c r="Q53464" s="8"/>
    </row>
    <row r="53465" spans="17:17" x14ac:dyDescent="0.25">
      <c r="Q53465" s="8"/>
    </row>
    <row r="53466" spans="17:17" x14ac:dyDescent="0.25">
      <c r="Q53466" s="8"/>
    </row>
    <row r="53467" spans="17:17" x14ac:dyDescent="0.25">
      <c r="Q53467" s="8"/>
    </row>
    <row r="53468" spans="17:17" x14ac:dyDescent="0.25">
      <c r="Q53468" s="8"/>
    </row>
    <row r="53469" spans="17:17" x14ac:dyDescent="0.25">
      <c r="Q53469" s="8"/>
    </row>
    <row r="53470" spans="17:17" x14ac:dyDescent="0.25">
      <c r="Q53470" s="8"/>
    </row>
    <row r="53471" spans="17:17" x14ac:dyDescent="0.25">
      <c r="Q53471" s="8"/>
    </row>
    <row r="53472" spans="17:17" x14ac:dyDescent="0.25">
      <c r="Q53472" s="8"/>
    </row>
    <row r="53473" spans="17:17" x14ac:dyDescent="0.25">
      <c r="Q53473" s="8"/>
    </row>
    <row r="53474" spans="17:17" x14ac:dyDescent="0.25">
      <c r="Q53474" s="8"/>
    </row>
    <row r="53475" spans="17:17" x14ac:dyDescent="0.25">
      <c r="Q53475" s="8"/>
    </row>
    <row r="53476" spans="17:17" x14ac:dyDescent="0.25">
      <c r="Q53476" s="8"/>
    </row>
    <row r="53477" spans="17:17" x14ac:dyDescent="0.25">
      <c r="Q53477" s="8"/>
    </row>
    <row r="53478" spans="17:17" x14ac:dyDescent="0.25">
      <c r="Q53478" s="8"/>
    </row>
    <row r="53479" spans="17:17" x14ac:dyDescent="0.25">
      <c r="Q53479" s="8"/>
    </row>
    <row r="53480" spans="17:17" x14ac:dyDescent="0.25">
      <c r="Q53480" s="8"/>
    </row>
    <row r="53481" spans="17:17" x14ac:dyDescent="0.25">
      <c r="Q53481" s="8"/>
    </row>
    <row r="53482" spans="17:17" x14ac:dyDescent="0.25">
      <c r="Q53482" s="8"/>
    </row>
    <row r="53483" spans="17:17" x14ac:dyDescent="0.25">
      <c r="Q53483" s="8"/>
    </row>
    <row r="53484" spans="17:17" x14ac:dyDescent="0.25">
      <c r="Q53484" s="8"/>
    </row>
    <row r="53485" spans="17:17" x14ac:dyDescent="0.25">
      <c r="Q53485" s="8"/>
    </row>
    <row r="53486" spans="17:17" x14ac:dyDescent="0.25">
      <c r="Q53486" s="8"/>
    </row>
    <row r="53487" spans="17:17" x14ac:dyDescent="0.25">
      <c r="Q53487" s="8"/>
    </row>
    <row r="53488" spans="17:17" x14ac:dyDescent="0.25">
      <c r="Q53488" s="8"/>
    </row>
    <row r="53489" spans="17:17" x14ac:dyDescent="0.25">
      <c r="Q53489" s="8"/>
    </row>
    <row r="53490" spans="17:17" x14ac:dyDescent="0.25">
      <c r="Q53490" s="8"/>
    </row>
    <row r="53491" spans="17:17" x14ac:dyDescent="0.25">
      <c r="Q53491" s="8"/>
    </row>
    <row r="53492" spans="17:17" x14ac:dyDescent="0.25">
      <c r="Q53492" s="8"/>
    </row>
    <row r="53493" spans="17:17" x14ac:dyDescent="0.25">
      <c r="Q53493" s="8"/>
    </row>
    <row r="53494" spans="17:17" x14ac:dyDescent="0.25">
      <c r="Q53494" s="8"/>
    </row>
    <row r="53495" spans="17:17" x14ac:dyDescent="0.25">
      <c r="Q53495" s="8"/>
    </row>
    <row r="53496" spans="17:17" x14ac:dyDescent="0.25">
      <c r="Q53496" s="8"/>
    </row>
    <row r="53497" spans="17:17" x14ac:dyDescent="0.25">
      <c r="Q53497" s="8"/>
    </row>
    <row r="53498" spans="17:17" x14ac:dyDescent="0.25">
      <c r="Q53498" s="8"/>
    </row>
    <row r="53499" spans="17:17" x14ac:dyDescent="0.25">
      <c r="Q53499" s="8"/>
    </row>
    <row r="53500" spans="17:17" x14ac:dyDescent="0.25">
      <c r="Q53500" s="8"/>
    </row>
    <row r="53501" spans="17:17" x14ac:dyDescent="0.25">
      <c r="Q53501" s="8"/>
    </row>
    <row r="53502" spans="17:17" x14ac:dyDescent="0.25">
      <c r="Q53502" s="8"/>
    </row>
    <row r="53503" spans="17:17" x14ac:dyDescent="0.25">
      <c r="Q53503" s="8"/>
    </row>
    <row r="53504" spans="17:17" x14ac:dyDescent="0.25">
      <c r="Q53504" s="8"/>
    </row>
    <row r="53505" spans="17:17" x14ac:dyDescent="0.25">
      <c r="Q53505" s="8"/>
    </row>
    <row r="53506" spans="17:17" x14ac:dyDescent="0.25">
      <c r="Q53506" s="8"/>
    </row>
    <row r="53507" spans="17:17" x14ac:dyDescent="0.25">
      <c r="Q53507" s="8"/>
    </row>
    <row r="53508" spans="17:17" x14ac:dyDescent="0.25">
      <c r="Q53508" s="8"/>
    </row>
    <row r="53509" spans="17:17" x14ac:dyDescent="0.25">
      <c r="Q53509" s="8"/>
    </row>
    <row r="53510" spans="17:17" x14ac:dyDescent="0.25">
      <c r="Q53510" s="8"/>
    </row>
    <row r="53511" spans="17:17" x14ac:dyDescent="0.25">
      <c r="Q53511" s="8"/>
    </row>
    <row r="53512" spans="17:17" x14ac:dyDescent="0.25">
      <c r="Q53512" s="8"/>
    </row>
    <row r="53513" spans="17:17" x14ac:dyDescent="0.25">
      <c r="Q53513" s="8"/>
    </row>
    <row r="53514" spans="17:17" x14ac:dyDescent="0.25">
      <c r="Q53514" s="8"/>
    </row>
    <row r="53515" spans="17:17" x14ac:dyDescent="0.25">
      <c r="Q53515" s="8"/>
    </row>
    <row r="53516" spans="17:17" x14ac:dyDescent="0.25">
      <c r="Q53516" s="8"/>
    </row>
    <row r="53517" spans="17:17" x14ac:dyDescent="0.25">
      <c r="Q53517" s="8"/>
    </row>
    <row r="53518" spans="17:17" x14ac:dyDescent="0.25">
      <c r="Q53518" s="8"/>
    </row>
    <row r="53519" spans="17:17" x14ac:dyDescent="0.25">
      <c r="Q53519" s="8"/>
    </row>
    <row r="53520" spans="17:17" x14ac:dyDescent="0.25">
      <c r="Q53520" s="8"/>
    </row>
    <row r="53521" spans="17:17" x14ac:dyDescent="0.25">
      <c r="Q53521" s="8"/>
    </row>
    <row r="53522" spans="17:17" x14ac:dyDescent="0.25">
      <c r="Q53522" s="8"/>
    </row>
    <row r="53523" spans="17:17" x14ac:dyDescent="0.25">
      <c r="Q53523" s="8"/>
    </row>
    <row r="53524" spans="17:17" x14ac:dyDescent="0.25">
      <c r="Q53524" s="8"/>
    </row>
    <row r="53525" spans="17:17" x14ac:dyDescent="0.25">
      <c r="Q53525" s="8"/>
    </row>
    <row r="53526" spans="17:17" x14ac:dyDescent="0.25">
      <c r="Q53526" s="8"/>
    </row>
    <row r="53527" spans="17:17" x14ac:dyDescent="0.25">
      <c r="Q53527" s="8"/>
    </row>
    <row r="53528" spans="17:17" x14ac:dyDescent="0.25">
      <c r="Q53528" s="8"/>
    </row>
    <row r="53529" spans="17:17" x14ac:dyDescent="0.25">
      <c r="Q53529" s="8"/>
    </row>
    <row r="53530" spans="17:17" x14ac:dyDescent="0.25">
      <c r="Q53530" s="8"/>
    </row>
    <row r="53531" spans="17:17" x14ac:dyDescent="0.25">
      <c r="Q53531" s="8"/>
    </row>
    <row r="53532" spans="17:17" x14ac:dyDescent="0.25">
      <c r="Q53532" s="8"/>
    </row>
    <row r="53533" spans="17:17" x14ac:dyDescent="0.25">
      <c r="Q53533" s="8"/>
    </row>
    <row r="53534" spans="17:17" x14ac:dyDescent="0.25">
      <c r="Q53534" s="8"/>
    </row>
    <row r="53535" spans="17:17" x14ac:dyDescent="0.25">
      <c r="Q53535" s="8"/>
    </row>
    <row r="53536" spans="17:17" x14ac:dyDescent="0.25">
      <c r="Q53536" s="8"/>
    </row>
    <row r="53537" spans="17:17" x14ac:dyDescent="0.25">
      <c r="Q53537" s="8"/>
    </row>
    <row r="53538" spans="17:17" x14ac:dyDescent="0.25">
      <c r="Q53538" s="8"/>
    </row>
    <row r="53539" spans="17:17" x14ac:dyDescent="0.25">
      <c r="Q53539" s="8"/>
    </row>
    <row r="53540" spans="17:17" x14ac:dyDescent="0.25">
      <c r="Q53540" s="8"/>
    </row>
    <row r="53541" spans="17:17" x14ac:dyDescent="0.25">
      <c r="Q53541" s="8"/>
    </row>
    <row r="53542" spans="17:17" x14ac:dyDescent="0.25">
      <c r="Q53542" s="8"/>
    </row>
    <row r="53543" spans="17:17" x14ac:dyDescent="0.25">
      <c r="Q53543" s="8"/>
    </row>
    <row r="53544" spans="17:17" x14ac:dyDescent="0.25">
      <c r="Q53544" s="8"/>
    </row>
    <row r="53545" spans="17:17" x14ac:dyDescent="0.25">
      <c r="Q53545" s="8"/>
    </row>
    <row r="53546" spans="17:17" x14ac:dyDescent="0.25">
      <c r="Q53546" s="8"/>
    </row>
    <row r="53547" spans="17:17" x14ac:dyDescent="0.25">
      <c r="Q53547" s="8"/>
    </row>
    <row r="53548" spans="17:17" x14ac:dyDescent="0.25">
      <c r="Q53548" s="8"/>
    </row>
    <row r="53549" spans="17:17" x14ac:dyDescent="0.25">
      <c r="Q53549" s="8"/>
    </row>
    <row r="53550" spans="17:17" x14ac:dyDescent="0.25">
      <c r="Q53550" s="8"/>
    </row>
    <row r="53551" spans="17:17" x14ac:dyDescent="0.25">
      <c r="Q53551" s="8"/>
    </row>
    <row r="53552" spans="17:17" x14ac:dyDescent="0.25">
      <c r="Q53552" s="8"/>
    </row>
    <row r="53553" spans="17:17" x14ac:dyDescent="0.25">
      <c r="Q53553" s="8"/>
    </row>
    <row r="53554" spans="17:17" x14ac:dyDescent="0.25">
      <c r="Q53554" s="8"/>
    </row>
    <row r="53555" spans="17:17" x14ac:dyDescent="0.25">
      <c r="Q53555" s="8"/>
    </row>
    <row r="53556" spans="17:17" x14ac:dyDescent="0.25">
      <c r="Q53556" s="8"/>
    </row>
    <row r="53557" spans="17:17" x14ac:dyDescent="0.25">
      <c r="Q53557" s="8"/>
    </row>
    <row r="53558" spans="17:17" x14ac:dyDescent="0.25">
      <c r="Q53558" s="8"/>
    </row>
    <row r="53559" spans="17:17" x14ac:dyDescent="0.25">
      <c r="Q53559" s="8"/>
    </row>
    <row r="53560" spans="17:17" x14ac:dyDescent="0.25">
      <c r="Q53560" s="8"/>
    </row>
    <row r="53561" spans="17:17" x14ac:dyDescent="0.25">
      <c r="Q53561" s="8"/>
    </row>
    <row r="53562" spans="17:17" x14ac:dyDescent="0.25">
      <c r="Q53562" s="8"/>
    </row>
    <row r="53563" spans="17:17" x14ac:dyDescent="0.25">
      <c r="Q53563" s="8"/>
    </row>
    <row r="53564" spans="17:17" x14ac:dyDescent="0.25">
      <c r="Q53564" s="8"/>
    </row>
    <row r="53565" spans="17:17" x14ac:dyDescent="0.25">
      <c r="Q53565" s="8"/>
    </row>
    <row r="53566" spans="17:17" x14ac:dyDescent="0.25">
      <c r="Q53566" s="8"/>
    </row>
    <row r="53567" spans="17:17" x14ac:dyDescent="0.25">
      <c r="Q53567" s="8"/>
    </row>
    <row r="53568" spans="17:17" x14ac:dyDescent="0.25">
      <c r="Q53568" s="8"/>
    </row>
    <row r="53569" spans="17:17" x14ac:dyDescent="0.25">
      <c r="Q53569" s="8"/>
    </row>
    <row r="53570" spans="17:17" x14ac:dyDescent="0.25">
      <c r="Q53570" s="8"/>
    </row>
    <row r="53571" spans="17:17" x14ac:dyDescent="0.25">
      <c r="Q53571" s="8"/>
    </row>
    <row r="53572" spans="17:17" x14ac:dyDescent="0.25">
      <c r="Q53572" s="8"/>
    </row>
    <row r="53573" spans="17:17" x14ac:dyDescent="0.25">
      <c r="Q53573" s="8"/>
    </row>
    <row r="53574" spans="17:17" x14ac:dyDescent="0.25">
      <c r="Q53574" s="8"/>
    </row>
    <row r="53575" spans="17:17" x14ac:dyDescent="0.25">
      <c r="Q53575" s="8"/>
    </row>
    <row r="53576" spans="17:17" x14ac:dyDescent="0.25">
      <c r="Q53576" s="8"/>
    </row>
    <row r="53577" spans="17:17" x14ac:dyDescent="0.25">
      <c r="Q53577" s="8"/>
    </row>
    <row r="53578" spans="17:17" x14ac:dyDescent="0.25">
      <c r="Q53578" s="8"/>
    </row>
    <row r="53579" spans="17:17" x14ac:dyDescent="0.25">
      <c r="Q53579" s="8"/>
    </row>
    <row r="53580" spans="17:17" x14ac:dyDescent="0.25">
      <c r="Q53580" s="8"/>
    </row>
    <row r="53581" spans="17:17" x14ac:dyDescent="0.25">
      <c r="Q53581" s="8"/>
    </row>
    <row r="53582" spans="17:17" x14ac:dyDescent="0.25">
      <c r="Q53582" s="8"/>
    </row>
    <row r="53583" spans="17:17" x14ac:dyDescent="0.25">
      <c r="Q53583" s="8"/>
    </row>
    <row r="53584" spans="17:17" x14ac:dyDescent="0.25">
      <c r="Q53584" s="8"/>
    </row>
    <row r="53585" spans="17:17" x14ac:dyDescent="0.25">
      <c r="Q53585" s="8"/>
    </row>
    <row r="53586" spans="17:17" x14ac:dyDescent="0.25">
      <c r="Q53586" s="8"/>
    </row>
    <row r="53587" spans="17:17" x14ac:dyDescent="0.25">
      <c r="Q53587" s="8"/>
    </row>
    <row r="53588" spans="17:17" x14ac:dyDescent="0.25">
      <c r="Q53588" s="8"/>
    </row>
    <row r="53589" spans="17:17" x14ac:dyDescent="0.25">
      <c r="Q53589" s="8"/>
    </row>
    <row r="53590" spans="17:17" x14ac:dyDescent="0.25">
      <c r="Q53590" s="8"/>
    </row>
    <row r="53591" spans="17:17" x14ac:dyDescent="0.25">
      <c r="Q53591" s="8"/>
    </row>
    <row r="53592" spans="17:17" x14ac:dyDescent="0.25">
      <c r="Q53592" s="8"/>
    </row>
    <row r="53593" spans="17:17" x14ac:dyDescent="0.25">
      <c r="Q53593" s="8"/>
    </row>
    <row r="53594" spans="17:17" x14ac:dyDescent="0.25">
      <c r="Q53594" s="8"/>
    </row>
    <row r="53595" spans="17:17" x14ac:dyDescent="0.25">
      <c r="Q53595" s="8"/>
    </row>
    <row r="53596" spans="17:17" x14ac:dyDescent="0.25">
      <c r="Q53596" s="8"/>
    </row>
    <row r="53597" spans="17:17" x14ac:dyDescent="0.25">
      <c r="Q53597" s="8"/>
    </row>
    <row r="53598" spans="17:17" x14ac:dyDescent="0.25">
      <c r="Q53598" s="8"/>
    </row>
    <row r="53599" spans="17:17" x14ac:dyDescent="0.25">
      <c r="Q53599" s="8"/>
    </row>
    <row r="53600" spans="17:17" x14ac:dyDescent="0.25">
      <c r="Q53600" s="8"/>
    </row>
    <row r="53601" spans="17:17" x14ac:dyDescent="0.25">
      <c r="Q53601" s="8"/>
    </row>
    <row r="53602" spans="17:17" x14ac:dyDescent="0.25">
      <c r="Q53602" s="8"/>
    </row>
    <row r="53603" spans="17:17" x14ac:dyDescent="0.25">
      <c r="Q53603" s="8"/>
    </row>
    <row r="53604" spans="17:17" x14ac:dyDescent="0.25">
      <c r="Q53604" s="8"/>
    </row>
    <row r="53605" spans="17:17" x14ac:dyDescent="0.25">
      <c r="Q53605" s="8"/>
    </row>
    <row r="53606" spans="17:17" x14ac:dyDescent="0.25">
      <c r="Q53606" s="8"/>
    </row>
    <row r="53607" spans="17:17" x14ac:dyDescent="0.25">
      <c r="Q53607" s="8"/>
    </row>
    <row r="53608" spans="17:17" x14ac:dyDescent="0.25">
      <c r="Q53608" s="8"/>
    </row>
    <row r="53609" spans="17:17" x14ac:dyDescent="0.25">
      <c r="Q53609" s="8"/>
    </row>
    <row r="53610" spans="17:17" x14ac:dyDescent="0.25">
      <c r="Q53610" s="8"/>
    </row>
    <row r="53611" spans="17:17" x14ac:dyDescent="0.25">
      <c r="Q53611" s="8"/>
    </row>
    <row r="53612" spans="17:17" x14ac:dyDescent="0.25">
      <c r="Q53612" s="8"/>
    </row>
    <row r="53613" spans="17:17" x14ac:dyDescent="0.25">
      <c r="Q53613" s="8"/>
    </row>
    <row r="53614" spans="17:17" x14ac:dyDescent="0.25">
      <c r="Q53614" s="8"/>
    </row>
    <row r="53615" spans="17:17" x14ac:dyDescent="0.25">
      <c r="Q53615" s="8"/>
    </row>
    <row r="53616" spans="17:17" x14ac:dyDescent="0.25">
      <c r="Q53616" s="8"/>
    </row>
    <row r="53617" spans="17:17" x14ac:dyDescent="0.25">
      <c r="Q53617" s="8"/>
    </row>
    <row r="53618" spans="17:17" x14ac:dyDescent="0.25">
      <c r="Q53618" s="8"/>
    </row>
    <row r="53619" spans="17:17" x14ac:dyDescent="0.25">
      <c r="Q53619" s="8"/>
    </row>
    <row r="53620" spans="17:17" x14ac:dyDescent="0.25">
      <c r="Q53620" s="8"/>
    </row>
    <row r="53621" spans="17:17" x14ac:dyDescent="0.25">
      <c r="Q53621" s="8"/>
    </row>
    <row r="53622" spans="17:17" x14ac:dyDescent="0.25">
      <c r="Q53622" s="8"/>
    </row>
    <row r="53623" spans="17:17" x14ac:dyDescent="0.25">
      <c r="Q53623" s="8"/>
    </row>
    <row r="53624" spans="17:17" x14ac:dyDescent="0.25">
      <c r="Q53624" s="8"/>
    </row>
    <row r="53625" spans="17:17" x14ac:dyDescent="0.25">
      <c r="Q53625" s="8"/>
    </row>
    <row r="53626" spans="17:17" x14ac:dyDescent="0.25">
      <c r="Q53626" s="8"/>
    </row>
    <row r="53627" spans="17:17" x14ac:dyDescent="0.25">
      <c r="Q53627" s="8"/>
    </row>
    <row r="53628" spans="17:17" x14ac:dyDescent="0.25">
      <c r="Q53628" s="8"/>
    </row>
    <row r="53629" spans="17:17" x14ac:dyDescent="0.25">
      <c r="Q53629" s="8"/>
    </row>
    <row r="53630" spans="17:17" x14ac:dyDescent="0.25">
      <c r="Q53630" s="8"/>
    </row>
    <row r="53631" spans="17:17" x14ac:dyDescent="0.25">
      <c r="Q53631" s="8"/>
    </row>
    <row r="53632" spans="17:17" x14ac:dyDescent="0.25">
      <c r="Q53632" s="8"/>
    </row>
    <row r="53633" spans="17:17" x14ac:dyDescent="0.25">
      <c r="Q53633" s="8"/>
    </row>
    <row r="53634" spans="17:17" x14ac:dyDescent="0.25">
      <c r="Q53634" s="8"/>
    </row>
    <row r="53635" spans="17:17" x14ac:dyDescent="0.25">
      <c r="Q53635" s="8"/>
    </row>
    <row r="53636" spans="17:17" x14ac:dyDescent="0.25">
      <c r="Q53636" s="8"/>
    </row>
    <row r="53637" spans="17:17" x14ac:dyDescent="0.25">
      <c r="Q53637" s="8"/>
    </row>
    <row r="53638" spans="17:17" x14ac:dyDescent="0.25">
      <c r="Q53638" s="8"/>
    </row>
    <row r="53639" spans="17:17" x14ac:dyDescent="0.25">
      <c r="Q53639" s="8"/>
    </row>
    <row r="53640" spans="17:17" x14ac:dyDescent="0.25">
      <c r="Q53640" s="8"/>
    </row>
    <row r="53641" spans="17:17" x14ac:dyDescent="0.25">
      <c r="Q53641" s="8"/>
    </row>
    <row r="53642" spans="17:17" x14ac:dyDescent="0.25">
      <c r="Q53642" s="8"/>
    </row>
    <row r="53643" spans="17:17" x14ac:dyDescent="0.25">
      <c r="Q53643" s="8"/>
    </row>
    <row r="53644" spans="17:17" x14ac:dyDescent="0.25">
      <c r="Q53644" s="8"/>
    </row>
    <row r="53645" spans="17:17" x14ac:dyDescent="0.25">
      <c r="Q53645" s="8"/>
    </row>
    <row r="53646" spans="17:17" x14ac:dyDescent="0.25">
      <c r="Q53646" s="8"/>
    </row>
    <row r="53647" spans="17:17" x14ac:dyDescent="0.25">
      <c r="Q53647" s="8"/>
    </row>
    <row r="53648" spans="17:17" x14ac:dyDescent="0.25">
      <c r="Q53648" s="8"/>
    </row>
    <row r="53649" spans="17:17" x14ac:dyDescent="0.25">
      <c r="Q53649" s="8"/>
    </row>
    <row r="53650" spans="17:17" x14ac:dyDescent="0.25">
      <c r="Q53650" s="8"/>
    </row>
    <row r="53651" spans="17:17" x14ac:dyDescent="0.25">
      <c r="Q53651" s="8"/>
    </row>
    <row r="53652" spans="17:17" x14ac:dyDescent="0.25">
      <c r="Q53652" s="8"/>
    </row>
    <row r="53653" spans="17:17" x14ac:dyDescent="0.25">
      <c r="Q53653" s="8"/>
    </row>
    <row r="53654" spans="17:17" x14ac:dyDescent="0.25">
      <c r="Q53654" s="8"/>
    </row>
    <row r="53655" spans="17:17" x14ac:dyDescent="0.25">
      <c r="Q53655" s="8"/>
    </row>
    <row r="53656" spans="17:17" x14ac:dyDescent="0.25">
      <c r="Q53656" s="8"/>
    </row>
    <row r="53657" spans="17:17" x14ac:dyDescent="0.25">
      <c r="Q53657" s="8"/>
    </row>
    <row r="53658" spans="17:17" x14ac:dyDescent="0.25">
      <c r="Q53658" s="8"/>
    </row>
    <row r="53659" spans="17:17" x14ac:dyDescent="0.25">
      <c r="Q53659" s="8"/>
    </row>
    <row r="53660" spans="17:17" x14ac:dyDescent="0.25">
      <c r="Q53660" s="8"/>
    </row>
    <row r="53661" spans="17:17" x14ac:dyDescent="0.25">
      <c r="Q53661" s="8"/>
    </row>
    <row r="53662" spans="17:17" x14ac:dyDescent="0.25">
      <c r="Q53662" s="8"/>
    </row>
    <row r="53663" spans="17:17" x14ac:dyDescent="0.25">
      <c r="Q53663" s="8"/>
    </row>
    <row r="53664" spans="17:17" x14ac:dyDescent="0.25">
      <c r="Q53664" s="8"/>
    </row>
    <row r="53665" spans="17:17" x14ac:dyDescent="0.25">
      <c r="Q53665" s="8"/>
    </row>
    <row r="53666" spans="17:17" x14ac:dyDescent="0.25">
      <c r="Q53666" s="8"/>
    </row>
    <row r="53667" spans="17:17" x14ac:dyDescent="0.25">
      <c r="Q53667" s="8"/>
    </row>
    <row r="53668" spans="17:17" x14ac:dyDescent="0.25">
      <c r="Q53668" s="8"/>
    </row>
    <row r="53669" spans="17:17" x14ac:dyDescent="0.25">
      <c r="Q53669" s="8"/>
    </row>
    <row r="53670" spans="17:17" x14ac:dyDescent="0.25">
      <c r="Q53670" s="8"/>
    </row>
    <row r="53671" spans="17:17" x14ac:dyDescent="0.25">
      <c r="Q53671" s="8"/>
    </row>
    <row r="53672" spans="17:17" x14ac:dyDescent="0.25">
      <c r="Q53672" s="8"/>
    </row>
    <row r="53673" spans="17:17" x14ac:dyDescent="0.25">
      <c r="Q53673" s="8"/>
    </row>
    <row r="53674" spans="17:17" x14ac:dyDescent="0.25">
      <c r="Q53674" s="8"/>
    </row>
    <row r="53675" spans="17:17" x14ac:dyDescent="0.25">
      <c r="Q53675" s="8"/>
    </row>
    <row r="53676" spans="17:17" x14ac:dyDescent="0.25">
      <c r="Q53676" s="8"/>
    </row>
    <row r="53677" spans="17:17" x14ac:dyDescent="0.25">
      <c r="Q53677" s="8"/>
    </row>
    <row r="53678" spans="17:17" x14ac:dyDescent="0.25">
      <c r="Q53678" s="8"/>
    </row>
    <row r="53679" spans="17:17" x14ac:dyDescent="0.25">
      <c r="Q53679" s="8"/>
    </row>
    <row r="53680" spans="17:17" x14ac:dyDescent="0.25">
      <c r="Q53680" s="8"/>
    </row>
    <row r="53681" spans="17:17" x14ac:dyDescent="0.25">
      <c r="Q53681" s="8"/>
    </row>
    <row r="53682" spans="17:17" x14ac:dyDescent="0.25">
      <c r="Q53682" s="8"/>
    </row>
    <row r="53683" spans="17:17" x14ac:dyDescent="0.25">
      <c r="Q53683" s="8"/>
    </row>
    <row r="53684" spans="17:17" x14ac:dyDescent="0.25">
      <c r="Q53684" s="8"/>
    </row>
    <row r="53685" spans="17:17" x14ac:dyDescent="0.25">
      <c r="Q53685" s="8"/>
    </row>
    <row r="53686" spans="17:17" x14ac:dyDescent="0.25">
      <c r="Q53686" s="8"/>
    </row>
    <row r="53687" spans="17:17" x14ac:dyDescent="0.25">
      <c r="Q53687" s="8"/>
    </row>
    <row r="53688" spans="17:17" x14ac:dyDescent="0.25">
      <c r="Q53688" s="8"/>
    </row>
    <row r="53689" spans="17:17" x14ac:dyDescent="0.25">
      <c r="Q53689" s="8"/>
    </row>
    <row r="53690" spans="17:17" x14ac:dyDescent="0.25">
      <c r="Q53690" s="8"/>
    </row>
    <row r="53691" spans="17:17" x14ac:dyDescent="0.25">
      <c r="Q53691" s="8"/>
    </row>
    <row r="53692" spans="17:17" x14ac:dyDescent="0.25">
      <c r="Q53692" s="8"/>
    </row>
    <row r="53693" spans="17:17" x14ac:dyDescent="0.25">
      <c r="Q53693" s="8"/>
    </row>
    <row r="53694" spans="17:17" x14ac:dyDescent="0.25">
      <c r="Q53694" s="8"/>
    </row>
    <row r="53695" spans="17:17" x14ac:dyDescent="0.25">
      <c r="Q53695" s="8"/>
    </row>
    <row r="53696" spans="17:17" x14ac:dyDescent="0.25">
      <c r="Q53696" s="8"/>
    </row>
    <row r="53697" spans="17:17" x14ac:dyDescent="0.25">
      <c r="Q53697" s="8"/>
    </row>
    <row r="53698" spans="17:17" x14ac:dyDescent="0.25">
      <c r="Q53698" s="8"/>
    </row>
    <row r="53699" spans="17:17" x14ac:dyDescent="0.25">
      <c r="Q53699" s="8"/>
    </row>
    <row r="53700" spans="17:17" x14ac:dyDescent="0.25">
      <c r="Q53700" s="8"/>
    </row>
    <row r="53701" spans="17:17" x14ac:dyDescent="0.25">
      <c r="Q53701" s="8"/>
    </row>
    <row r="53702" spans="17:17" x14ac:dyDescent="0.25">
      <c r="Q53702" s="8"/>
    </row>
    <row r="53703" spans="17:17" x14ac:dyDescent="0.25">
      <c r="Q53703" s="8"/>
    </row>
    <row r="53704" spans="17:17" x14ac:dyDescent="0.25">
      <c r="Q53704" s="8"/>
    </row>
    <row r="53705" spans="17:17" x14ac:dyDescent="0.25">
      <c r="Q53705" s="8"/>
    </row>
    <row r="53706" spans="17:17" x14ac:dyDescent="0.25">
      <c r="Q53706" s="8"/>
    </row>
    <row r="53707" spans="17:17" x14ac:dyDescent="0.25">
      <c r="Q53707" s="8"/>
    </row>
    <row r="53708" spans="17:17" x14ac:dyDescent="0.25">
      <c r="Q53708" s="8"/>
    </row>
    <row r="53709" spans="17:17" x14ac:dyDescent="0.25">
      <c r="Q53709" s="8"/>
    </row>
    <row r="53710" spans="17:17" x14ac:dyDescent="0.25">
      <c r="Q53710" s="8"/>
    </row>
    <row r="53711" spans="17:17" x14ac:dyDescent="0.25">
      <c r="Q53711" s="8"/>
    </row>
    <row r="53712" spans="17:17" x14ac:dyDescent="0.25">
      <c r="Q53712" s="8"/>
    </row>
    <row r="53713" spans="17:17" x14ac:dyDescent="0.25">
      <c r="Q53713" s="8"/>
    </row>
    <row r="53714" spans="17:17" x14ac:dyDescent="0.25">
      <c r="Q53714" s="8"/>
    </row>
    <row r="53715" spans="17:17" x14ac:dyDescent="0.25">
      <c r="Q53715" s="8"/>
    </row>
    <row r="53716" spans="17:17" x14ac:dyDescent="0.25">
      <c r="Q53716" s="8"/>
    </row>
    <row r="53717" spans="17:17" x14ac:dyDescent="0.25">
      <c r="Q53717" s="8"/>
    </row>
    <row r="53718" spans="17:17" x14ac:dyDescent="0.25">
      <c r="Q53718" s="8"/>
    </row>
    <row r="53719" spans="17:17" x14ac:dyDescent="0.25">
      <c r="Q53719" s="8"/>
    </row>
    <row r="53720" spans="17:17" x14ac:dyDescent="0.25">
      <c r="Q53720" s="8"/>
    </row>
    <row r="53721" spans="17:17" x14ac:dyDescent="0.25">
      <c r="Q53721" s="8"/>
    </row>
    <row r="53722" spans="17:17" x14ac:dyDescent="0.25">
      <c r="Q53722" s="8"/>
    </row>
    <row r="53723" spans="17:17" x14ac:dyDescent="0.25">
      <c r="Q53723" s="8"/>
    </row>
    <row r="53724" spans="17:17" x14ac:dyDescent="0.25">
      <c r="Q53724" s="8"/>
    </row>
    <row r="53725" spans="17:17" x14ac:dyDescent="0.25">
      <c r="Q53725" s="8"/>
    </row>
    <row r="53726" spans="17:17" x14ac:dyDescent="0.25">
      <c r="Q53726" s="8"/>
    </row>
    <row r="53727" spans="17:17" x14ac:dyDescent="0.25">
      <c r="Q53727" s="8"/>
    </row>
    <row r="53728" spans="17:17" x14ac:dyDescent="0.25">
      <c r="Q53728" s="8"/>
    </row>
    <row r="53729" spans="17:17" x14ac:dyDescent="0.25">
      <c r="Q53729" s="8"/>
    </row>
    <row r="53730" spans="17:17" x14ac:dyDescent="0.25">
      <c r="Q53730" s="8"/>
    </row>
    <row r="53731" spans="17:17" x14ac:dyDescent="0.25">
      <c r="Q53731" s="8"/>
    </row>
    <row r="53732" spans="17:17" x14ac:dyDescent="0.25">
      <c r="Q53732" s="8"/>
    </row>
    <row r="53733" spans="17:17" x14ac:dyDescent="0.25">
      <c r="Q53733" s="8"/>
    </row>
    <row r="53734" spans="17:17" x14ac:dyDescent="0.25">
      <c r="Q53734" s="8"/>
    </row>
    <row r="53735" spans="17:17" x14ac:dyDescent="0.25">
      <c r="Q53735" s="8"/>
    </row>
    <row r="53736" spans="17:17" x14ac:dyDescent="0.25">
      <c r="Q53736" s="8"/>
    </row>
    <row r="53737" spans="17:17" x14ac:dyDescent="0.25">
      <c r="Q53737" s="8"/>
    </row>
    <row r="53738" spans="17:17" x14ac:dyDescent="0.25">
      <c r="Q53738" s="8"/>
    </row>
    <row r="53739" spans="17:17" x14ac:dyDescent="0.25">
      <c r="Q53739" s="8"/>
    </row>
    <row r="53740" spans="17:17" x14ac:dyDescent="0.25">
      <c r="Q53740" s="8"/>
    </row>
    <row r="53741" spans="17:17" x14ac:dyDescent="0.25">
      <c r="Q53741" s="8"/>
    </row>
    <row r="53742" spans="17:17" x14ac:dyDescent="0.25">
      <c r="Q53742" s="8"/>
    </row>
    <row r="53743" spans="17:17" x14ac:dyDescent="0.25">
      <c r="Q53743" s="8"/>
    </row>
    <row r="53744" spans="17:17" x14ac:dyDescent="0.25">
      <c r="Q53744" s="8"/>
    </row>
    <row r="53745" spans="17:17" x14ac:dyDescent="0.25">
      <c r="Q53745" s="8"/>
    </row>
    <row r="53746" spans="17:17" x14ac:dyDescent="0.25">
      <c r="Q53746" s="8"/>
    </row>
    <row r="53747" spans="17:17" x14ac:dyDescent="0.25">
      <c r="Q53747" s="8"/>
    </row>
    <row r="53748" spans="17:17" x14ac:dyDescent="0.25">
      <c r="Q53748" s="8"/>
    </row>
    <row r="53749" spans="17:17" x14ac:dyDescent="0.25">
      <c r="Q53749" s="8"/>
    </row>
    <row r="53750" spans="17:17" x14ac:dyDescent="0.25">
      <c r="Q53750" s="8"/>
    </row>
    <row r="53751" spans="17:17" x14ac:dyDescent="0.25">
      <c r="Q53751" s="8"/>
    </row>
    <row r="53752" spans="17:17" x14ac:dyDescent="0.25">
      <c r="Q53752" s="8"/>
    </row>
    <row r="53753" spans="17:17" x14ac:dyDescent="0.25">
      <c r="Q53753" s="8"/>
    </row>
    <row r="53754" spans="17:17" x14ac:dyDescent="0.25">
      <c r="Q53754" s="8"/>
    </row>
    <row r="53755" spans="17:17" x14ac:dyDescent="0.25">
      <c r="Q53755" s="8"/>
    </row>
    <row r="53756" spans="17:17" x14ac:dyDescent="0.25">
      <c r="Q53756" s="8"/>
    </row>
    <row r="53757" spans="17:17" x14ac:dyDescent="0.25">
      <c r="Q53757" s="8"/>
    </row>
    <row r="53758" spans="17:17" x14ac:dyDescent="0.25">
      <c r="Q53758" s="8"/>
    </row>
    <row r="53759" spans="17:17" x14ac:dyDescent="0.25">
      <c r="Q53759" s="8"/>
    </row>
    <row r="53760" spans="17:17" x14ac:dyDescent="0.25">
      <c r="Q53760" s="8"/>
    </row>
    <row r="53761" spans="17:17" x14ac:dyDescent="0.25">
      <c r="Q53761" s="8"/>
    </row>
    <row r="53762" spans="17:17" x14ac:dyDescent="0.25">
      <c r="Q53762" s="8"/>
    </row>
    <row r="53763" spans="17:17" x14ac:dyDescent="0.25">
      <c r="Q53763" s="8"/>
    </row>
    <row r="53764" spans="17:17" x14ac:dyDescent="0.25">
      <c r="Q53764" s="8"/>
    </row>
    <row r="53765" spans="17:17" x14ac:dyDescent="0.25">
      <c r="Q53765" s="8"/>
    </row>
    <row r="53766" spans="17:17" x14ac:dyDescent="0.25">
      <c r="Q53766" s="8"/>
    </row>
    <row r="53767" spans="17:17" x14ac:dyDescent="0.25">
      <c r="Q53767" s="8"/>
    </row>
    <row r="53768" spans="17:17" x14ac:dyDescent="0.25">
      <c r="Q53768" s="8"/>
    </row>
    <row r="53769" spans="17:17" x14ac:dyDescent="0.25">
      <c r="Q53769" s="8"/>
    </row>
    <row r="53770" spans="17:17" x14ac:dyDescent="0.25">
      <c r="Q53770" s="8"/>
    </row>
    <row r="53771" spans="17:17" x14ac:dyDescent="0.25">
      <c r="Q53771" s="8"/>
    </row>
    <row r="53772" spans="17:17" x14ac:dyDescent="0.25">
      <c r="Q53772" s="8"/>
    </row>
    <row r="53773" spans="17:17" x14ac:dyDescent="0.25">
      <c r="Q53773" s="8"/>
    </row>
    <row r="53774" spans="17:17" x14ac:dyDescent="0.25">
      <c r="Q53774" s="8"/>
    </row>
    <row r="53775" spans="17:17" x14ac:dyDescent="0.25">
      <c r="Q53775" s="8"/>
    </row>
    <row r="53776" spans="17:17" x14ac:dyDescent="0.25">
      <c r="Q53776" s="8"/>
    </row>
    <row r="53777" spans="17:17" x14ac:dyDescent="0.25">
      <c r="Q53777" s="8"/>
    </row>
    <row r="53778" spans="17:17" x14ac:dyDescent="0.25">
      <c r="Q53778" s="8"/>
    </row>
    <row r="53779" spans="17:17" x14ac:dyDescent="0.25">
      <c r="Q53779" s="8"/>
    </row>
    <row r="53780" spans="17:17" x14ac:dyDescent="0.25">
      <c r="Q53780" s="8"/>
    </row>
    <row r="53781" spans="17:17" x14ac:dyDescent="0.25">
      <c r="Q53781" s="8"/>
    </row>
    <row r="53782" spans="17:17" x14ac:dyDescent="0.25">
      <c r="Q53782" s="8"/>
    </row>
    <row r="53783" spans="17:17" x14ac:dyDescent="0.25">
      <c r="Q53783" s="8"/>
    </row>
    <row r="53784" spans="17:17" x14ac:dyDescent="0.25">
      <c r="Q53784" s="8"/>
    </row>
    <row r="53785" spans="17:17" x14ac:dyDescent="0.25">
      <c r="Q53785" s="8"/>
    </row>
    <row r="53786" spans="17:17" x14ac:dyDescent="0.25">
      <c r="Q53786" s="8"/>
    </row>
    <row r="53787" spans="17:17" x14ac:dyDescent="0.25">
      <c r="Q53787" s="8"/>
    </row>
    <row r="53788" spans="17:17" x14ac:dyDescent="0.25">
      <c r="Q53788" s="8"/>
    </row>
    <row r="53789" spans="17:17" x14ac:dyDescent="0.25">
      <c r="Q53789" s="8"/>
    </row>
    <row r="53790" spans="17:17" x14ac:dyDescent="0.25">
      <c r="Q53790" s="8"/>
    </row>
    <row r="53791" spans="17:17" x14ac:dyDescent="0.25">
      <c r="Q53791" s="8"/>
    </row>
    <row r="53792" spans="17:17" x14ac:dyDescent="0.25">
      <c r="Q53792" s="8"/>
    </row>
    <row r="53793" spans="17:17" x14ac:dyDescent="0.25">
      <c r="Q53793" s="8"/>
    </row>
    <row r="53794" spans="17:17" x14ac:dyDescent="0.25">
      <c r="Q53794" s="8"/>
    </row>
    <row r="53795" spans="17:17" x14ac:dyDescent="0.25">
      <c r="Q53795" s="8"/>
    </row>
    <row r="53796" spans="17:17" x14ac:dyDescent="0.25">
      <c r="Q53796" s="8"/>
    </row>
    <row r="53797" spans="17:17" x14ac:dyDescent="0.25">
      <c r="Q53797" s="8"/>
    </row>
    <row r="53798" spans="17:17" x14ac:dyDescent="0.25">
      <c r="Q53798" s="8"/>
    </row>
    <row r="53799" spans="17:17" x14ac:dyDescent="0.25">
      <c r="Q53799" s="8"/>
    </row>
    <row r="53800" spans="17:17" x14ac:dyDescent="0.25">
      <c r="Q53800" s="8"/>
    </row>
    <row r="53801" spans="17:17" x14ac:dyDescent="0.25">
      <c r="Q53801" s="8"/>
    </row>
    <row r="53802" spans="17:17" x14ac:dyDescent="0.25">
      <c r="Q53802" s="8"/>
    </row>
    <row r="53803" spans="17:17" x14ac:dyDescent="0.25">
      <c r="Q53803" s="8"/>
    </row>
    <row r="53804" spans="17:17" x14ac:dyDescent="0.25">
      <c r="Q53804" s="8"/>
    </row>
    <row r="53805" spans="17:17" x14ac:dyDescent="0.25">
      <c r="Q53805" s="8"/>
    </row>
    <row r="53806" spans="17:17" x14ac:dyDescent="0.25">
      <c r="Q53806" s="8"/>
    </row>
    <row r="53807" spans="17:17" x14ac:dyDescent="0.25">
      <c r="Q53807" s="8"/>
    </row>
    <row r="53808" spans="17:17" x14ac:dyDescent="0.25">
      <c r="Q53808" s="8"/>
    </row>
    <row r="53809" spans="17:17" x14ac:dyDescent="0.25">
      <c r="Q53809" s="8"/>
    </row>
    <row r="53810" spans="17:17" x14ac:dyDescent="0.25">
      <c r="Q53810" s="8"/>
    </row>
    <row r="53811" spans="17:17" x14ac:dyDescent="0.25">
      <c r="Q53811" s="8"/>
    </row>
    <row r="53812" spans="17:17" x14ac:dyDescent="0.25">
      <c r="Q53812" s="8"/>
    </row>
    <row r="53813" spans="17:17" x14ac:dyDescent="0.25">
      <c r="Q53813" s="8"/>
    </row>
    <row r="53814" spans="17:17" x14ac:dyDescent="0.25">
      <c r="Q53814" s="8"/>
    </row>
    <row r="53815" spans="17:17" x14ac:dyDescent="0.25">
      <c r="Q53815" s="8"/>
    </row>
    <row r="53816" spans="17:17" x14ac:dyDescent="0.25">
      <c r="Q53816" s="8"/>
    </row>
    <row r="53817" spans="17:17" x14ac:dyDescent="0.25">
      <c r="Q53817" s="8"/>
    </row>
    <row r="53818" spans="17:17" x14ac:dyDescent="0.25">
      <c r="Q53818" s="8"/>
    </row>
    <row r="53819" spans="17:17" x14ac:dyDescent="0.25">
      <c r="Q53819" s="8"/>
    </row>
    <row r="53820" spans="17:17" x14ac:dyDescent="0.25">
      <c r="Q53820" s="8"/>
    </row>
    <row r="53821" spans="17:17" x14ac:dyDescent="0.25">
      <c r="Q53821" s="8"/>
    </row>
    <row r="53822" spans="17:17" x14ac:dyDescent="0.25">
      <c r="Q53822" s="8"/>
    </row>
    <row r="53823" spans="17:17" x14ac:dyDescent="0.25">
      <c r="Q53823" s="8"/>
    </row>
    <row r="53824" spans="17:17" x14ac:dyDescent="0.25">
      <c r="Q53824" s="8"/>
    </row>
    <row r="53825" spans="17:17" x14ac:dyDescent="0.25">
      <c r="Q53825" s="8"/>
    </row>
    <row r="53826" spans="17:17" x14ac:dyDescent="0.25">
      <c r="Q53826" s="8"/>
    </row>
    <row r="53827" spans="17:17" x14ac:dyDescent="0.25">
      <c r="Q53827" s="8"/>
    </row>
    <row r="53828" spans="17:17" x14ac:dyDescent="0.25">
      <c r="Q53828" s="8"/>
    </row>
    <row r="53829" spans="17:17" x14ac:dyDescent="0.25">
      <c r="Q53829" s="8"/>
    </row>
    <row r="53830" spans="17:17" x14ac:dyDescent="0.25">
      <c r="Q53830" s="8"/>
    </row>
    <row r="53831" spans="17:17" x14ac:dyDescent="0.25">
      <c r="Q53831" s="8"/>
    </row>
    <row r="53832" spans="17:17" x14ac:dyDescent="0.25">
      <c r="Q53832" s="8"/>
    </row>
    <row r="53833" spans="17:17" x14ac:dyDescent="0.25">
      <c r="Q53833" s="8"/>
    </row>
    <row r="53834" spans="17:17" x14ac:dyDescent="0.25">
      <c r="Q53834" s="8"/>
    </row>
    <row r="53835" spans="17:17" x14ac:dyDescent="0.25">
      <c r="Q53835" s="8"/>
    </row>
    <row r="53836" spans="17:17" x14ac:dyDescent="0.25">
      <c r="Q53836" s="8"/>
    </row>
    <row r="53837" spans="17:17" x14ac:dyDescent="0.25">
      <c r="Q53837" s="8"/>
    </row>
    <row r="53838" spans="17:17" x14ac:dyDescent="0.25">
      <c r="Q53838" s="8"/>
    </row>
    <row r="53839" spans="17:17" x14ac:dyDescent="0.25">
      <c r="Q53839" s="8"/>
    </row>
    <row r="53840" spans="17:17" x14ac:dyDescent="0.25">
      <c r="Q53840" s="8"/>
    </row>
    <row r="53841" spans="17:17" x14ac:dyDescent="0.25">
      <c r="Q53841" s="8"/>
    </row>
    <row r="53842" spans="17:17" x14ac:dyDescent="0.25">
      <c r="Q53842" s="8"/>
    </row>
    <row r="53843" spans="17:17" x14ac:dyDescent="0.25">
      <c r="Q53843" s="8"/>
    </row>
    <row r="53844" spans="17:17" x14ac:dyDescent="0.25">
      <c r="Q53844" s="8"/>
    </row>
    <row r="53845" spans="17:17" x14ac:dyDescent="0.25">
      <c r="Q53845" s="8"/>
    </row>
    <row r="53846" spans="17:17" x14ac:dyDescent="0.25">
      <c r="Q53846" s="8"/>
    </row>
    <row r="53847" spans="17:17" x14ac:dyDescent="0.25">
      <c r="Q53847" s="8"/>
    </row>
    <row r="53848" spans="17:17" x14ac:dyDescent="0.25">
      <c r="Q53848" s="8"/>
    </row>
    <row r="53849" spans="17:17" x14ac:dyDescent="0.25">
      <c r="Q53849" s="8"/>
    </row>
    <row r="53850" spans="17:17" x14ac:dyDescent="0.25">
      <c r="Q53850" s="8"/>
    </row>
    <row r="53851" spans="17:17" x14ac:dyDescent="0.25">
      <c r="Q53851" s="8"/>
    </row>
    <row r="53852" spans="17:17" x14ac:dyDescent="0.25">
      <c r="Q53852" s="8"/>
    </row>
    <row r="53853" spans="17:17" x14ac:dyDescent="0.25">
      <c r="Q53853" s="8"/>
    </row>
    <row r="53854" spans="17:17" x14ac:dyDescent="0.25">
      <c r="Q53854" s="8"/>
    </row>
    <row r="53855" spans="17:17" x14ac:dyDescent="0.25">
      <c r="Q53855" s="8"/>
    </row>
    <row r="53856" spans="17:17" x14ac:dyDescent="0.25">
      <c r="Q53856" s="8"/>
    </row>
    <row r="53857" spans="17:17" x14ac:dyDescent="0.25">
      <c r="Q53857" s="8"/>
    </row>
    <row r="53858" spans="17:17" x14ac:dyDescent="0.25">
      <c r="Q53858" s="8"/>
    </row>
    <row r="53859" spans="17:17" x14ac:dyDescent="0.25">
      <c r="Q53859" s="8"/>
    </row>
    <row r="53860" spans="17:17" x14ac:dyDescent="0.25">
      <c r="Q53860" s="8"/>
    </row>
    <row r="53861" spans="17:17" x14ac:dyDescent="0.25">
      <c r="Q53861" s="8"/>
    </row>
    <row r="53862" spans="17:17" x14ac:dyDescent="0.25">
      <c r="Q53862" s="8"/>
    </row>
    <row r="53863" spans="17:17" x14ac:dyDescent="0.25">
      <c r="Q53863" s="8"/>
    </row>
    <row r="53864" spans="17:17" x14ac:dyDescent="0.25">
      <c r="Q53864" s="8"/>
    </row>
    <row r="53865" spans="17:17" x14ac:dyDescent="0.25">
      <c r="Q53865" s="8"/>
    </row>
    <row r="53866" spans="17:17" x14ac:dyDescent="0.25">
      <c r="Q53866" s="8"/>
    </row>
    <row r="53867" spans="17:17" x14ac:dyDescent="0.25">
      <c r="Q53867" s="8"/>
    </row>
    <row r="53868" spans="17:17" x14ac:dyDescent="0.25">
      <c r="Q53868" s="8"/>
    </row>
    <row r="53869" spans="17:17" x14ac:dyDescent="0.25">
      <c r="Q53869" s="8"/>
    </row>
    <row r="53870" spans="17:17" x14ac:dyDescent="0.25">
      <c r="Q53870" s="8"/>
    </row>
    <row r="53871" spans="17:17" x14ac:dyDescent="0.25">
      <c r="Q53871" s="8"/>
    </row>
    <row r="53872" spans="17:17" x14ac:dyDescent="0.25">
      <c r="Q53872" s="8"/>
    </row>
    <row r="53873" spans="17:17" x14ac:dyDescent="0.25">
      <c r="Q53873" s="8"/>
    </row>
    <row r="53874" spans="17:17" x14ac:dyDescent="0.25">
      <c r="Q53874" s="8"/>
    </row>
    <row r="53875" spans="17:17" x14ac:dyDescent="0.25">
      <c r="Q53875" s="8"/>
    </row>
    <row r="53876" spans="17:17" x14ac:dyDescent="0.25">
      <c r="Q53876" s="8"/>
    </row>
    <row r="53877" spans="17:17" x14ac:dyDescent="0.25">
      <c r="Q53877" s="8"/>
    </row>
    <row r="53878" spans="17:17" x14ac:dyDescent="0.25">
      <c r="Q53878" s="8"/>
    </row>
    <row r="53879" spans="17:17" x14ac:dyDescent="0.25">
      <c r="Q53879" s="8"/>
    </row>
    <row r="53880" spans="17:17" x14ac:dyDescent="0.25">
      <c r="Q53880" s="8"/>
    </row>
    <row r="53881" spans="17:17" x14ac:dyDescent="0.25">
      <c r="Q53881" s="8"/>
    </row>
    <row r="53882" spans="17:17" x14ac:dyDescent="0.25">
      <c r="Q53882" s="8"/>
    </row>
    <row r="53883" spans="17:17" x14ac:dyDescent="0.25">
      <c r="Q53883" s="8"/>
    </row>
    <row r="53884" spans="17:17" x14ac:dyDescent="0.25">
      <c r="Q53884" s="8"/>
    </row>
    <row r="53885" spans="17:17" x14ac:dyDescent="0.25">
      <c r="Q53885" s="8"/>
    </row>
    <row r="53886" spans="17:17" x14ac:dyDescent="0.25">
      <c r="Q53886" s="8"/>
    </row>
    <row r="53887" spans="17:17" x14ac:dyDescent="0.25">
      <c r="Q53887" s="8"/>
    </row>
    <row r="53888" spans="17:17" x14ac:dyDescent="0.25">
      <c r="Q53888" s="8"/>
    </row>
    <row r="53889" spans="17:17" x14ac:dyDescent="0.25">
      <c r="Q53889" s="8"/>
    </row>
    <row r="53890" spans="17:17" x14ac:dyDescent="0.25">
      <c r="Q53890" s="8"/>
    </row>
    <row r="53891" spans="17:17" x14ac:dyDescent="0.25">
      <c r="Q53891" s="8"/>
    </row>
    <row r="53892" spans="17:17" x14ac:dyDescent="0.25">
      <c r="Q53892" s="8"/>
    </row>
    <row r="53893" spans="17:17" x14ac:dyDescent="0.25">
      <c r="Q53893" s="8"/>
    </row>
    <row r="53894" spans="17:17" x14ac:dyDescent="0.25">
      <c r="Q53894" s="8"/>
    </row>
    <row r="53895" spans="17:17" x14ac:dyDescent="0.25">
      <c r="Q53895" s="8"/>
    </row>
    <row r="53896" spans="17:17" x14ac:dyDescent="0.25">
      <c r="Q53896" s="8"/>
    </row>
    <row r="53897" spans="17:17" x14ac:dyDescent="0.25">
      <c r="Q53897" s="8"/>
    </row>
    <row r="53898" spans="17:17" x14ac:dyDescent="0.25">
      <c r="Q53898" s="8"/>
    </row>
    <row r="53899" spans="17:17" x14ac:dyDescent="0.25">
      <c r="Q53899" s="8"/>
    </row>
    <row r="53900" spans="17:17" x14ac:dyDescent="0.25">
      <c r="Q53900" s="8"/>
    </row>
    <row r="53901" spans="17:17" x14ac:dyDescent="0.25">
      <c r="Q53901" s="8"/>
    </row>
    <row r="53902" spans="17:17" x14ac:dyDescent="0.25">
      <c r="Q53902" s="8"/>
    </row>
    <row r="53903" spans="17:17" x14ac:dyDescent="0.25">
      <c r="Q53903" s="8"/>
    </row>
    <row r="53904" spans="17:17" x14ac:dyDescent="0.25">
      <c r="Q53904" s="8"/>
    </row>
    <row r="53905" spans="17:17" x14ac:dyDescent="0.25">
      <c r="Q53905" s="8"/>
    </row>
    <row r="53906" spans="17:17" x14ac:dyDescent="0.25">
      <c r="Q53906" s="8"/>
    </row>
    <row r="53907" spans="17:17" x14ac:dyDescent="0.25">
      <c r="Q53907" s="8"/>
    </row>
    <row r="53908" spans="17:17" x14ac:dyDescent="0.25">
      <c r="Q53908" s="8"/>
    </row>
    <row r="53909" spans="17:17" x14ac:dyDescent="0.25">
      <c r="Q53909" s="8"/>
    </row>
    <row r="53910" spans="17:17" x14ac:dyDescent="0.25">
      <c r="Q53910" s="8"/>
    </row>
    <row r="53911" spans="17:17" x14ac:dyDescent="0.25">
      <c r="Q53911" s="8"/>
    </row>
    <row r="53912" spans="17:17" x14ac:dyDescent="0.25">
      <c r="Q53912" s="8"/>
    </row>
    <row r="53913" spans="17:17" x14ac:dyDescent="0.25">
      <c r="Q53913" s="8"/>
    </row>
    <row r="53914" spans="17:17" x14ac:dyDescent="0.25">
      <c r="Q53914" s="8"/>
    </row>
    <row r="53915" spans="17:17" x14ac:dyDescent="0.25">
      <c r="Q53915" s="8"/>
    </row>
    <row r="53916" spans="17:17" x14ac:dyDescent="0.25">
      <c r="Q53916" s="8"/>
    </row>
    <row r="53917" spans="17:17" x14ac:dyDescent="0.25">
      <c r="Q53917" s="8"/>
    </row>
    <row r="53918" spans="17:17" x14ac:dyDescent="0.25">
      <c r="Q53918" s="8"/>
    </row>
    <row r="53919" spans="17:17" x14ac:dyDescent="0.25">
      <c r="Q53919" s="8"/>
    </row>
    <row r="53920" spans="17:17" x14ac:dyDescent="0.25">
      <c r="Q53920" s="8"/>
    </row>
    <row r="53921" spans="17:17" x14ac:dyDescent="0.25">
      <c r="Q53921" s="8"/>
    </row>
    <row r="53922" spans="17:17" x14ac:dyDescent="0.25">
      <c r="Q53922" s="8"/>
    </row>
    <row r="53923" spans="17:17" x14ac:dyDescent="0.25">
      <c r="Q53923" s="8"/>
    </row>
    <row r="53924" spans="17:17" x14ac:dyDescent="0.25">
      <c r="Q53924" s="8"/>
    </row>
    <row r="53925" spans="17:17" x14ac:dyDescent="0.25">
      <c r="Q53925" s="8"/>
    </row>
    <row r="53926" spans="17:17" x14ac:dyDescent="0.25">
      <c r="Q53926" s="8"/>
    </row>
    <row r="53927" spans="17:17" x14ac:dyDescent="0.25">
      <c r="Q53927" s="8"/>
    </row>
    <row r="53928" spans="17:17" x14ac:dyDescent="0.25">
      <c r="Q53928" s="8"/>
    </row>
    <row r="53929" spans="17:17" x14ac:dyDescent="0.25">
      <c r="Q53929" s="8"/>
    </row>
    <row r="53930" spans="17:17" x14ac:dyDescent="0.25">
      <c r="Q53930" s="8"/>
    </row>
    <row r="53931" spans="17:17" x14ac:dyDescent="0.25">
      <c r="Q53931" s="8"/>
    </row>
    <row r="53932" spans="17:17" x14ac:dyDescent="0.25">
      <c r="Q53932" s="8"/>
    </row>
    <row r="53933" spans="17:17" x14ac:dyDescent="0.25">
      <c r="Q53933" s="8"/>
    </row>
    <row r="53934" spans="17:17" x14ac:dyDescent="0.25">
      <c r="Q53934" s="8"/>
    </row>
    <row r="53935" spans="17:17" x14ac:dyDescent="0.25">
      <c r="Q53935" s="8"/>
    </row>
    <row r="53936" spans="17:17" x14ac:dyDescent="0.25">
      <c r="Q53936" s="8"/>
    </row>
    <row r="53937" spans="17:17" x14ac:dyDescent="0.25">
      <c r="Q53937" s="8"/>
    </row>
    <row r="53938" spans="17:17" x14ac:dyDescent="0.25">
      <c r="Q53938" s="8"/>
    </row>
    <row r="53939" spans="17:17" x14ac:dyDescent="0.25">
      <c r="Q53939" s="8"/>
    </row>
    <row r="53940" spans="17:17" x14ac:dyDescent="0.25">
      <c r="Q53940" s="8"/>
    </row>
    <row r="53941" spans="17:17" x14ac:dyDescent="0.25">
      <c r="Q53941" s="8"/>
    </row>
    <row r="53942" spans="17:17" x14ac:dyDescent="0.25">
      <c r="Q53942" s="8"/>
    </row>
    <row r="53943" spans="17:17" x14ac:dyDescent="0.25">
      <c r="Q53943" s="8"/>
    </row>
    <row r="53944" spans="17:17" x14ac:dyDescent="0.25">
      <c r="Q53944" s="8"/>
    </row>
    <row r="53945" spans="17:17" x14ac:dyDescent="0.25">
      <c r="Q53945" s="8"/>
    </row>
    <row r="53946" spans="17:17" x14ac:dyDescent="0.25">
      <c r="Q53946" s="8"/>
    </row>
    <row r="53947" spans="17:17" x14ac:dyDescent="0.25">
      <c r="Q53947" s="8"/>
    </row>
    <row r="53948" spans="17:17" x14ac:dyDescent="0.25">
      <c r="Q53948" s="8"/>
    </row>
    <row r="53949" spans="17:17" x14ac:dyDescent="0.25">
      <c r="Q53949" s="8"/>
    </row>
    <row r="53950" spans="17:17" x14ac:dyDescent="0.25">
      <c r="Q53950" s="8"/>
    </row>
    <row r="53951" spans="17:17" x14ac:dyDescent="0.25">
      <c r="Q53951" s="8"/>
    </row>
    <row r="53952" spans="17:17" x14ac:dyDescent="0.25">
      <c r="Q53952" s="8"/>
    </row>
    <row r="53953" spans="17:17" x14ac:dyDescent="0.25">
      <c r="Q53953" s="8"/>
    </row>
    <row r="53954" spans="17:17" x14ac:dyDescent="0.25">
      <c r="Q53954" s="8"/>
    </row>
    <row r="53955" spans="17:17" x14ac:dyDescent="0.25">
      <c r="Q53955" s="8"/>
    </row>
    <row r="53956" spans="17:17" x14ac:dyDescent="0.25">
      <c r="Q53956" s="8"/>
    </row>
    <row r="53957" spans="17:17" x14ac:dyDescent="0.25">
      <c r="Q53957" s="8"/>
    </row>
    <row r="53958" spans="17:17" x14ac:dyDescent="0.25">
      <c r="Q53958" s="8"/>
    </row>
    <row r="53959" spans="17:17" x14ac:dyDescent="0.25">
      <c r="Q53959" s="8"/>
    </row>
    <row r="53960" spans="17:17" x14ac:dyDescent="0.25">
      <c r="Q53960" s="8"/>
    </row>
    <row r="53961" spans="17:17" x14ac:dyDescent="0.25">
      <c r="Q53961" s="8"/>
    </row>
    <row r="53962" spans="17:17" x14ac:dyDescent="0.25">
      <c r="Q53962" s="8"/>
    </row>
    <row r="53963" spans="17:17" x14ac:dyDescent="0.25">
      <c r="Q53963" s="8"/>
    </row>
    <row r="53964" spans="17:17" x14ac:dyDescent="0.25">
      <c r="Q53964" s="8"/>
    </row>
    <row r="53965" spans="17:17" x14ac:dyDescent="0.25">
      <c r="Q53965" s="8"/>
    </row>
    <row r="53966" spans="17:17" x14ac:dyDescent="0.25">
      <c r="Q53966" s="8"/>
    </row>
    <row r="53967" spans="17:17" x14ac:dyDescent="0.25">
      <c r="Q53967" s="8"/>
    </row>
    <row r="53968" spans="17:17" x14ac:dyDescent="0.25">
      <c r="Q53968" s="8"/>
    </row>
    <row r="53969" spans="17:17" x14ac:dyDescent="0.25">
      <c r="Q53969" s="8"/>
    </row>
    <row r="53970" spans="17:17" x14ac:dyDescent="0.25">
      <c r="Q53970" s="8"/>
    </row>
    <row r="53971" spans="17:17" x14ac:dyDescent="0.25">
      <c r="Q53971" s="8"/>
    </row>
    <row r="53972" spans="17:17" x14ac:dyDescent="0.25">
      <c r="Q53972" s="8"/>
    </row>
    <row r="53973" spans="17:17" x14ac:dyDescent="0.25">
      <c r="Q53973" s="8"/>
    </row>
    <row r="53974" spans="17:17" x14ac:dyDescent="0.25">
      <c r="Q53974" s="8"/>
    </row>
    <row r="53975" spans="17:17" x14ac:dyDescent="0.25">
      <c r="Q53975" s="8"/>
    </row>
    <row r="53976" spans="17:17" x14ac:dyDescent="0.25">
      <c r="Q53976" s="8"/>
    </row>
    <row r="53977" spans="17:17" x14ac:dyDescent="0.25">
      <c r="Q53977" s="8"/>
    </row>
    <row r="53978" spans="17:17" x14ac:dyDescent="0.25">
      <c r="Q53978" s="8"/>
    </row>
    <row r="53979" spans="17:17" x14ac:dyDescent="0.25">
      <c r="Q53979" s="8"/>
    </row>
    <row r="53980" spans="17:17" x14ac:dyDescent="0.25">
      <c r="Q53980" s="8"/>
    </row>
    <row r="53981" spans="17:17" x14ac:dyDescent="0.25">
      <c r="Q53981" s="8"/>
    </row>
    <row r="53982" spans="17:17" x14ac:dyDescent="0.25">
      <c r="Q53982" s="8"/>
    </row>
    <row r="53983" spans="17:17" x14ac:dyDescent="0.25">
      <c r="Q53983" s="8"/>
    </row>
    <row r="53984" spans="17:17" x14ac:dyDescent="0.25">
      <c r="Q53984" s="8"/>
    </row>
    <row r="53985" spans="17:17" x14ac:dyDescent="0.25">
      <c r="Q53985" s="8"/>
    </row>
    <row r="53986" spans="17:17" x14ac:dyDescent="0.25">
      <c r="Q53986" s="8"/>
    </row>
    <row r="53987" spans="17:17" x14ac:dyDescent="0.25">
      <c r="Q53987" s="8"/>
    </row>
    <row r="53988" spans="17:17" x14ac:dyDescent="0.25">
      <c r="Q53988" s="8"/>
    </row>
    <row r="53989" spans="17:17" x14ac:dyDescent="0.25">
      <c r="Q53989" s="8"/>
    </row>
    <row r="53990" spans="17:17" x14ac:dyDescent="0.25">
      <c r="Q53990" s="8"/>
    </row>
    <row r="53991" spans="17:17" x14ac:dyDescent="0.25">
      <c r="Q53991" s="8"/>
    </row>
    <row r="53992" spans="17:17" x14ac:dyDescent="0.25">
      <c r="Q53992" s="8"/>
    </row>
    <row r="53993" spans="17:17" x14ac:dyDescent="0.25">
      <c r="Q53993" s="8"/>
    </row>
    <row r="53994" spans="17:17" x14ac:dyDescent="0.25">
      <c r="Q53994" s="8"/>
    </row>
    <row r="53995" spans="17:17" x14ac:dyDescent="0.25">
      <c r="Q53995" s="8"/>
    </row>
    <row r="53996" spans="17:17" x14ac:dyDescent="0.25">
      <c r="Q53996" s="8"/>
    </row>
    <row r="53997" spans="17:17" x14ac:dyDescent="0.25">
      <c r="Q53997" s="8"/>
    </row>
    <row r="53998" spans="17:17" x14ac:dyDescent="0.25">
      <c r="Q53998" s="8"/>
    </row>
    <row r="53999" spans="17:17" x14ac:dyDescent="0.25">
      <c r="Q53999" s="8"/>
    </row>
    <row r="54000" spans="17:17" x14ac:dyDescent="0.25">
      <c r="Q54000" s="8"/>
    </row>
    <row r="54001" spans="17:17" x14ac:dyDescent="0.25">
      <c r="Q54001" s="8"/>
    </row>
    <row r="54002" spans="17:17" x14ac:dyDescent="0.25">
      <c r="Q54002" s="8"/>
    </row>
    <row r="54003" spans="17:17" x14ac:dyDescent="0.25">
      <c r="Q54003" s="8"/>
    </row>
    <row r="54004" spans="17:17" x14ac:dyDescent="0.25">
      <c r="Q54004" s="8"/>
    </row>
    <row r="54005" spans="17:17" x14ac:dyDescent="0.25">
      <c r="Q54005" s="8"/>
    </row>
    <row r="54006" spans="17:17" x14ac:dyDescent="0.25">
      <c r="Q54006" s="8"/>
    </row>
    <row r="54007" spans="17:17" x14ac:dyDescent="0.25">
      <c r="Q54007" s="8"/>
    </row>
    <row r="54008" spans="17:17" x14ac:dyDescent="0.25">
      <c r="Q54008" s="8"/>
    </row>
    <row r="54009" spans="17:17" x14ac:dyDescent="0.25">
      <c r="Q54009" s="8"/>
    </row>
    <row r="54010" spans="17:17" x14ac:dyDescent="0.25">
      <c r="Q54010" s="8"/>
    </row>
    <row r="54011" spans="17:17" x14ac:dyDescent="0.25">
      <c r="Q54011" s="8"/>
    </row>
    <row r="54012" spans="17:17" x14ac:dyDescent="0.25">
      <c r="Q54012" s="8"/>
    </row>
    <row r="54013" spans="17:17" x14ac:dyDescent="0.25">
      <c r="Q54013" s="8"/>
    </row>
    <row r="54014" spans="17:17" x14ac:dyDescent="0.25">
      <c r="Q54014" s="8"/>
    </row>
    <row r="54015" spans="17:17" x14ac:dyDescent="0.25">
      <c r="Q54015" s="8"/>
    </row>
    <row r="54016" spans="17:17" x14ac:dyDescent="0.25">
      <c r="Q54016" s="8"/>
    </row>
    <row r="54017" spans="17:17" x14ac:dyDescent="0.25">
      <c r="Q54017" s="8"/>
    </row>
    <row r="54018" spans="17:17" x14ac:dyDescent="0.25">
      <c r="Q54018" s="8"/>
    </row>
    <row r="54019" spans="17:17" x14ac:dyDescent="0.25">
      <c r="Q54019" s="8"/>
    </row>
    <row r="54020" spans="17:17" x14ac:dyDescent="0.25">
      <c r="Q54020" s="8"/>
    </row>
    <row r="54021" spans="17:17" x14ac:dyDescent="0.25">
      <c r="Q54021" s="8"/>
    </row>
    <row r="54022" spans="17:17" x14ac:dyDescent="0.25">
      <c r="Q54022" s="8"/>
    </row>
    <row r="54023" spans="17:17" x14ac:dyDescent="0.25">
      <c r="Q54023" s="8"/>
    </row>
    <row r="54024" spans="17:17" x14ac:dyDescent="0.25">
      <c r="Q54024" s="8"/>
    </row>
    <row r="54025" spans="17:17" x14ac:dyDescent="0.25">
      <c r="Q54025" s="8"/>
    </row>
    <row r="54026" spans="17:17" x14ac:dyDescent="0.25">
      <c r="Q54026" s="8"/>
    </row>
    <row r="54027" spans="17:17" x14ac:dyDescent="0.25">
      <c r="Q54027" s="8"/>
    </row>
    <row r="54028" spans="17:17" x14ac:dyDescent="0.25">
      <c r="Q54028" s="8"/>
    </row>
    <row r="54029" spans="17:17" x14ac:dyDescent="0.25">
      <c r="Q54029" s="8"/>
    </row>
    <row r="54030" spans="17:17" x14ac:dyDescent="0.25">
      <c r="Q54030" s="8"/>
    </row>
    <row r="54031" spans="17:17" x14ac:dyDescent="0.25">
      <c r="Q54031" s="8"/>
    </row>
    <row r="54032" spans="17:17" x14ac:dyDescent="0.25">
      <c r="Q54032" s="8"/>
    </row>
    <row r="54033" spans="17:17" x14ac:dyDescent="0.25">
      <c r="Q54033" s="8"/>
    </row>
    <row r="54034" spans="17:17" x14ac:dyDescent="0.25">
      <c r="Q54034" s="8"/>
    </row>
    <row r="54035" spans="17:17" x14ac:dyDescent="0.25">
      <c r="Q54035" s="8"/>
    </row>
    <row r="54036" spans="17:17" x14ac:dyDescent="0.25">
      <c r="Q54036" s="8"/>
    </row>
    <row r="54037" spans="17:17" x14ac:dyDescent="0.25">
      <c r="Q54037" s="8"/>
    </row>
    <row r="54038" spans="17:17" x14ac:dyDescent="0.25">
      <c r="Q54038" s="8"/>
    </row>
    <row r="54039" spans="17:17" x14ac:dyDescent="0.25">
      <c r="Q54039" s="8"/>
    </row>
    <row r="54040" spans="17:17" x14ac:dyDescent="0.25">
      <c r="Q54040" s="8"/>
    </row>
    <row r="54041" spans="17:17" x14ac:dyDescent="0.25">
      <c r="Q54041" s="8"/>
    </row>
    <row r="54042" spans="17:17" x14ac:dyDescent="0.25">
      <c r="Q54042" s="8"/>
    </row>
    <row r="54043" spans="17:17" x14ac:dyDescent="0.25">
      <c r="Q54043" s="8"/>
    </row>
    <row r="54044" spans="17:17" x14ac:dyDescent="0.25">
      <c r="Q54044" s="8"/>
    </row>
    <row r="54045" spans="17:17" x14ac:dyDescent="0.25">
      <c r="Q54045" s="8"/>
    </row>
    <row r="54046" spans="17:17" x14ac:dyDescent="0.25">
      <c r="Q54046" s="8"/>
    </row>
    <row r="54047" spans="17:17" x14ac:dyDescent="0.25">
      <c r="Q54047" s="8"/>
    </row>
    <row r="54048" spans="17:17" x14ac:dyDescent="0.25">
      <c r="Q54048" s="8"/>
    </row>
    <row r="54049" spans="17:17" x14ac:dyDescent="0.25">
      <c r="Q54049" s="8"/>
    </row>
    <row r="54050" spans="17:17" x14ac:dyDescent="0.25">
      <c r="Q54050" s="8"/>
    </row>
    <row r="54051" spans="17:17" x14ac:dyDescent="0.25">
      <c r="Q54051" s="8"/>
    </row>
    <row r="54052" spans="17:17" x14ac:dyDescent="0.25">
      <c r="Q54052" s="8"/>
    </row>
    <row r="54053" spans="17:17" x14ac:dyDescent="0.25">
      <c r="Q54053" s="8"/>
    </row>
    <row r="54054" spans="17:17" x14ac:dyDescent="0.25">
      <c r="Q54054" s="8"/>
    </row>
    <row r="54055" spans="17:17" x14ac:dyDescent="0.25">
      <c r="Q54055" s="8"/>
    </row>
    <row r="54056" spans="17:17" x14ac:dyDescent="0.25">
      <c r="Q54056" s="8"/>
    </row>
    <row r="54057" spans="17:17" x14ac:dyDescent="0.25">
      <c r="Q54057" s="8"/>
    </row>
    <row r="54058" spans="17:17" x14ac:dyDescent="0.25">
      <c r="Q54058" s="8"/>
    </row>
    <row r="54059" spans="17:17" x14ac:dyDescent="0.25">
      <c r="Q54059" s="8"/>
    </row>
    <row r="54060" spans="17:17" x14ac:dyDescent="0.25">
      <c r="Q54060" s="8"/>
    </row>
    <row r="54061" spans="17:17" x14ac:dyDescent="0.25">
      <c r="Q54061" s="8"/>
    </row>
    <row r="54062" spans="17:17" x14ac:dyDescent="0.25">
      <c r="Q54062" s="8"/>
    </row>
    <row r="54063" spans="17:17" x14ac:dyDescent="0.25">
      <c r="Q54063" s="8"/>
    </row>
    <row r="54064" spans="17:17" x14ac:dyDescent="0.25">
      <c r="Q54064" s="8"/>
    </row>
    <row r="54065" spans="17:17" x14ac:dyDescent="0.25">
      <c r="Q54065" s="8"/>
    </row>
    <row r="54066" spans="17:17" x14ac:dyDescent="0.25">
      <c r="Q54066" s="8"/>
    </row>
    <row r="54067" spans="17:17" x14ac:dyDescent="0.25">
      <c r="Q54067" s="8"/>
    </row>
    <row r="54068" spans="17:17" x14ac:dyDescent="0.25">
      <c r="Q54068" s="8"/>
    </row>
    <row r="54069" spans="17:17" x14ac:dyDescent="0.25">
      <c r="Q54069" s="8"/>
    </row>
    <row r="54070" spans="17:17" x14ac:dyDescent="0.25">
      <c r="Q54070" s="8"/>
    </row>
    <row r="54071" spans="17:17" x14ac:dyDescent="0.25">
      <c r="Q54071" s="8"/>
    </row>
    <row r="54072" spans="17:17" x14ac:dyDescent="0.25">
      <c r="Q54072" s="8"/>
    </row>
    <row r="54073" spans="17:17" x14ac:dyDescent="0.25">
      <c r="Q54073" s="8"/>
    </row>
    <row r="54074" spans="17:17" x14ac:dyDescent="0.25">
      <c r="Q54074" s="8"/>
    </row>
    <row r="54075" spans="17:17" x14ac:dyDescent="0.25">
      <c r="Q54075" s="8"/>
    </row>
    <row r="54076" spans="17:17" x14ac:dyDescent="0.25">
      <c r="Q54076" s="8"/>
    </row>
    <row r="54077" spans="17:17" x14ac:dyDescent="0.25">
      <c r="Q54077" s="8"/>
    </row>
    <row r="54078" spans="17:17" x14ac:dyDescent="0.25">
      <c r="Q54078" s="8"/>
    </row>
    <row r="54079" spans="17:17" x14ac:dyDescent="0.25">
      <c r="Q54079" s="8"/>
    </row>
    <row r="54080" spans="17:17" x14ac:dyDescent="0.25">
      <c r="Q54080" s="8"/>
    </row>
    <row r="54081" spans="17:17" x14ac:dyDescent="0.25">
      <c r="Q54081" s="8"/>
    </row>
    <row r="54082" spans="17:17" x14ac:dyDescent="0.25">
      <c r="Q54082" s="8"/>
    </row>
    <row r="54083" spans="17:17" x14ac:dyDescent="0.25">
      <c r="Q54083" s="8"/>
    </row>
    <row r="54084" spans="17:17" x14ac:dyDescent="0.25">
      <c r="Q54084" s="8"/>
    </row>
    <row r="54085" spans="17:17" x14ac:dyDescent="0.25">
      <c r="Q54085" s="8"/>
    </row>
    <row r="54086" spans="17:17" x14ac:dyDescent="0.25">
      <c r="Q54086" s="8"/>
    </row>
    <row r="54087" spans="17:17" x14ac:dyDescent="0.25">
      <c r="Q54087" s="8"/>
    </row>
    <row r="54088" spans="17:17" x14ac:dyDescent="0.25">
      <c r="Q54088" s="8"/>
    </row>
    <row r="54089" spans="17:17" x14ac:dyDescent="0.25">
      <c r="Q54089" s="8"/>
    </row>
    <row r="54090" spans="17:17" x14ac:dyDescent="0.25">
      <c r="Q54090" s="8"/>
    </row>
    <row r="54091" spans="17:17" x14ac:dyDescent="0.25">
      <c r="Q54091" s="8"/>
    </row>
    <row r="54092" spans="17:17" x14ac:dyDescent="0.25">
      <c r="Q54092" s="8"/>
    </row>
    <row r="54093" spans="17:17" x14ac:dyDescent="0.25">
      <c r="Q54093" s="8"/>
    </row>
    <row r="54094" spans="17:17" x14ac:dyDescent="0.25">
      <c r="Q54094" s="8"/>
    </row>
    <row r="54095" spans="17:17" x14ac:dyDescent="0.25">
      <c r="Q54095" s="8"/>
    </row>
    <row r="54096" spans="17:17" x14ac:dyDescent="0.25">
      <c r="Q54096" s="8"/>
    </row>
    <row r="54097" spans="17:17" x14ac:dyDescent="0.25">
      <c r="Q54097" s="8"/>
    </row>
    <row r="54098" spans="17:17" x14ac:dyDescent="0.25">
      <c r="Q54098" s="8"/>
    </row>
    <row r="54099" spans="17:17" x14ac:dyDescent="0.25">
      <c r="Q54099" s="8"/>
    </row>
    <row r="54100" spans="17:17" x14ac:dyDescent="0.25">
      <c r="Q54100" s="8"/>
    </row>
    <row r="54101" spans="17:17" x14ac:dyDescent="0.25">
      <c r="Q54101" s="8"/>
    </row>
    <row r="54102" spans="17:17" x14ac:dyDescent="0.25">
      <c r="Q54102" s="8"/>
    </row>
    <row r="54103" spans="17:17" x14ac:dyDescent="0.25">
      <c r="Q54103" s="8"/>
    </row>
    <row r="54104" spans="17:17" x14ac:dyDescent="0.25">
      <c r="Q54104" s="8"/>
    </row>
    <row r="54105" spans="17:17" x14ac:dyDescent="0.25">
      <c r="Q54105" s="8"/>
    </row>
    <row r="54106" spans="17:17" x14ac:dyDescent="0.25">
      <c r="Q54106" s="8"/>
    </row>
    <row r="54107" spans="17:17" x14ac:dyDescent="0.25">
      <c r="Q54107" s="8"/>
    </row>
    <row r="54108" spans="17:17" x14ac:dyDescent="0.25">
      <c r="Q54108" s="8"/>
    </row>
    <row r="54109" spans="17:17" x14ac:dyDescent="0.25">
      <c r="Q54109" s="8"/>
    </row>
    <row r="54110" spans="17:17" x14ac:dyDescent="0.25">
      <c r="Q54110" s="8"/>
    </row>
    <row r="54111" spans="17:17" x14ac:dyDescent="0.25">
      <c r="Q54111" s="8"/>
    </row>
    <row r="54112" spans="17:17" x14ac:dyDescent="0.25">
      <c r="Q54112" s="8"/>
    </row>
    <row r="54113" spans="17:17" x14ac:dyDescent="0.25">
      <c r="Q54113" s="8"/>
    </row>
    <row r="54114" spans="17:17" x14ac:dyDescent="0.25">
      <c r="Q54114" s="8"/>
    </row>
    <row r="54115" spans="17:17" x14ac:dyDescent="0.25">
      <c r="Q54115" s="8"/>
    </row>
    <row r="54116" spans="17:17" x14ac:dyDescent="0.25">
      <c r="Q54116" s="8"/>
    </row>
    <row r="54117" spans="17:17" x14ac:dyDescent="0.25">
      <c r="Q54117" s="8"/>
    </row>
    <row r="54118" spans="17:17" x14ac:dyDescent="0.25">
      <c r="Q54118" s="8"/>
    </row>
    <row r="54119" spans="17:17" x14ac:dyDescent="0.25">
      <c r="Q54119" s="8"/>
    </row>
    <row r="54120" spans="17:17" x14ac:dyDescent="0.25">
      <c r="Q54120" s="8"/>
    </row>
    <row r="54121" spans="17:17" x14ac:dyDescent="0.25">
      <c r="Q54121" s="8"/>
    </row>
    <row r="54122" spans="17:17" x14ac:dyDescent="0.25">
      <c r="Q54122" s="8"/>
    </row>
    <row r="54123" spans="17:17" x14ac:dyDescent="0.25">
      <c r="Q54123" s="8"/>
    </row>
    <row r="54124" spans="17:17" x14ac:dyDescent="0.25">
      <c r="Q54124" s="8"/>
    </row>
    <row r="54125" spans="17:17" x14ac:dyDescent="0.25">
      <c r="Q54125" s="8"/>
    </row>
    <row r="54126" spans="17:17" x14ac:dyDescent="0.25">
      <c r="Q54126" s="8"/>
    </row>
    <row r="54127" spans="17:17" x14ac:dyDescent="0.25">
      <c r="Q54127" s="8"/>
    </row>
    <row r="54128" spans="17:17" x14ac:dyDescent="0.25">
      <c r="Q54128" s="8"/>
    </row>
    <row r="54129" spans="17:17" x14ac:dyDescent="0.25">
      <c r="Q54129" s="8"/>
    </row>
    <row r="54130" spans="17:17" x14ac:dyDescent="0.25">
      <c r="Q54130" s="8"/>
    </row>
    <row r="54131" spans="17:17" x14ac:dyDescent="0.25">
      <c r="Q54131" s="8"/>
    </row>
    <row r="54132" spans="17:17" x14ac:dyDescent="0.25">
      <c r="Q54132" s="8"/>
    </row>
    <row r="54133" spans="17:17" x14ac:dyDescent="0.25">
      <c r="Q54133" s="8"/>
    </row>
    <row r="54134" spans="17:17" x14ac:dyDescent="0.25">
      <c r="Q54134" s="8"/>
    </row>
    <row r="54135" spans="17:17" x14ac:dyDescent="0.25">
      <c r="Q54135" s="8"/>
    </row>
    <row r="54136" spans="17:17" x14ac:dyDescent="0.25">
      <c r="Q54136" s="8"/>
    </row>
    <row r="54137" spans="17:17" x14ac:dyDescent="0.25">
      <c r="Q54137" s="8"/>
    </row>
    <row r="54138" spans="17:17" x14ac:dyDescent="0.25">
      <c r="Q54138" s="8"/>
    </row>
    <row r="54139" spans="17:17" x14ac:dyDescent="0.25">
      <c r="Q54139" s="8"/>
    </row>
    <row r="54140" spans="17:17" x14ac:dyDescent="0.25">
      <c r="Q54140" s="8"/>
    </row>
    <row r="54141" spans="17:17" x14ac:dyDescent="0.25">
      <c r="Q54141" s="8"/>
    </row>
    <row r="54142" spans="17:17" x14ac:dyDescent="0.25">
      <c r="Q54142" s="8"/>
    </row>
    <row r="54143" spans="17:17" x14ac:dyDescent="0.25">
      <c r="Q54143" s="8"/>
    </row>
    <row r="54144" spans="17:17" x14ac:dyDescent="0.25">
      <c r="Q54144" s="8"/>
    </row>
    <row r="54145" spans="17:17" x14ac:dyDescent="0.25">
      <c r="Q54145" s="8"/>
    </row>
    <row r="54146" spans="17:17" x14ac:dyDescent="0.25">
      <c r="Q54146" s="8"/>
    </row>
    <row r="54147" spans="17:17" x14ac:dyDescent="0.25">
      <c r="Q54147" s="8"/>
    </row>
    <row r="54148" spans="17:17" x14ac:dyDescent="0.25">
      <c r="Q54148" s="8"/>
    </row>
    <row r="54149" spans="17:17" x14ac:dyDescent="0.25">
      <c r="Q54149" s="8"/>
    </row>
    <row r="54150" spans="17:17" x14ac:dyDescent="0.25">
      <c r="Q54150" s="8"/>
    </row>
    <row r="54151" spans="17:17" x14ac:dyDescent="0.25">
      <c r="Q54151" s="8"/>
    </row>
    <row r="54152" spans="17:17" x14ac:dyDescent="0.25">
      <c r="Q54152" s="8"/>
    </row>
    <row r="54153" spans="17:17" x14ac:dyDescent="0.25">
      <c r="Q54153" s="8"/>
    </row>
    <row r="54154" spans="17:17" x14ac:dyDescent="0.25">
      <c r="Q54154" s="8"/>
    </row>
    <row r="54155" spans="17:17" x14ac:dyDescent="0.25">
      <c r="Q54155" s="8"/>
    </row>
    <row r="54156" spans="17:17" x14ac:dyDescent="0.25">
      <c r="Q54156" s="8"/>
    </row>
    <row r="54157" spans="17:17" x14ac:dyDescent="0.25">
      <c r="Q54157" s="8"/>
    </row>
    <row r="54158" spans="17:17" x14ac:dyDescent="0.25">
      <c r="Q54158" s="8"/>
    </row>
    <row r="54159" spans="17:17" x14ac:dyDescent="0.25">
      <c r="Q54159" s="8"/>
    </row>
    <row r="54160" spans="17:17" x14ac:dyDescent="0.25">
      <c r="Q54160" s="8"/>
    </row>
    <row r="54161" spans="17:17" x14ac:dyDescent="0.25">
      <c r="Q54161" s="8"/>
    </row>
    <row r="54162" spans="17:17" x14ac:dyDescent="0.25">
      <c r="Q54162" s="8"/>
    </row>
    <row r="54163" spans="17:17" x14ac:dyDescent="0.25">
      <c r="Q54163" s="8"/>
    </row>
    <row r="54164" spans="17:17" x14ac:dyDescent="0.25">
      <c r="Q54164" s="8"/>
    </row>
    <row r="54165" spans="17:17" x14ac:dyDescent="0.25">
      <c r="Q54165" s="8"/>
    </row>
    <row r="54166" spans="17:17" x14ac:dyDescent="0.25">
      <c r="Q54166" s="8"/>
    </row>
    <row r="54167" spans="17:17" x14ac:dyDescent="0.25">
      <c r="Q54167" s="8"/>
    </row>
    <row r="54168" spans="17:17" x14ac:dyDescent="0.25">
      <c r="Q54168" s="8"/>
    </row>
    <row r="54169" spans="17:17" x14ac:dyDescent="0.25">
      <c r="Q54169" s="8"/>
    </row>
    <row r="54170" spans="17:17" x14ac:dyDescent="0.25">
      <c r="Q54170" s="8"/>
    </row>
    <row r="54171" spans="17:17" x14ac:dyDescent="0.25">
      <c r="Q54171" s="8"/>
    </row>
    <row r="54172" spans="17:17" x14ac:dyDescent="0.25">
      <c r="Q54172" s="8"/>
    </row>
    <row r="54173" spans="17:17" x14ac:dyDescent="0.25">
      <c r="Q54173" s="8"/>
    </row>
    <row r="54174" spans="17:17" x14ac:dyDescent="0.25">
      <c r="Q54174" s="8"/>
    </row>
    <row r="54175" spans="17:17" x14ac:dyDescent="0.25">
      <c r="Q54175" s="8"/>
    </row>
    <row r="54176" spans="17:17" x14ac:dyDescent="0.25">
      <c r="Q54176" s="8"/>
    </row>
    <row r="54177" spans="17:17" x14ac:dyDescent="0.25">
      <c r="Q54177" s="8"/>
    </row>
    <row r="54178" spans="17:17" x14ac:dyDescent="0.25">
      <c r="Q54178" s="8"/>
    </row>
    <row r="54179" spans="17:17" x14ac:dyDescent="0.25">
      <c r="Q54179" s="8"/>
    </row>
    <row r="54180" spans="17:17" x14ac:dyDescent="0.25">
      <c r="Q54180" s="8"/>
    </row>
    <row r="54181" spans="17:17" x14ac:dyDescent="0.25">
      <c r="Q54181" s="8"/>
    </row>
    <row r="54182" spans="17:17" x14ac:dyDescent="0.25">
      <c r="Q54182" s="8"/>
    </row>
    <row r="54183" spans="17:17" x14ac:dyDescent="0.25">
      <c r="Q54183" s="8"/>
    </row>
    <row r="54184" spans="17:17" x14ac:dyDescent="0.25">
      <c r="Q54184" s="8"/>
    </row>
    <row r="54185" spans="17:17" x14ac:dyDescent="0.25">
      <c r="Q54185" s="8"/>
    </row>
    <row r="54186" spans="17:17" x14ac:dyDescent="0.25">
      <c r="Q54186" s="8"/>
    </row>
    <row r="54187" spans="17:17" x14ac:dyDescent="0.25">
      <c r="Q54187" s="8"/>
    </row>
    <row r="54188" spans="17:17" x14ac:dyDescent="0.25">
      <c r="Q54188" s="8"/>
    </row>
    <row r="54189" spans="17:17" x14ac:dyDescent="0.25">
      <c r="Q54189" s="8"/>
    </row>
    <row r="54190" spans="17:17" x14ac:dyDescent="0.25">
      <c r="Q54190" s="8"/>
    </row>
    <row r="54191" spans="17:17" x14ac:dyDescent="0.25">
      <c r="Q54191" s="8"/>
    </row>
    <row r="54192" spans="17:17" x14ac:dyDescent="0.25">
      <c r="Q54192" s="8"/>
    </row>
    <row r="54193" spans="17:17" x14ac:dyDescent="0.25">
      <c r="Q54193" s="8"/>
    </row>
    <row r="54194" spans="17:17" x14ac:dyDescent="0.25">
      <c r="Q54194" s="8"/>
    </row>
    <row r="54195" spans="17:17" x14ac:dyDescent="0.25">
      <c r="Q54195" s="8"/>
    </row>
    <row r="54196" spans="17:17" x14ac:dyDescent="0.25">
      <c r="Q54196" s="8"/>
    </row>
    <row r="54197" spans="17:17" x14ac:dyDescent="0.25">
      <c r="Q54197" s="8"/>
    </row>
    <row r="54198" spans="17:17" x14ac:dyDescent="0.25">
      <c r="Q54198" s="8"/>
    </row>
    <row r="54199" spans="17:17" x14ac:dyDescent="0.25">
      <c r="Q54199" s="8"/>
    </row>
    <row r="54200" spans="17:17" x14ac:dyDescent="0.25">
      <c r="Q54200" s="8"/>
    </row>
    <row r="54201" spans="17:17" x14ac:dyDescent="0.25">
      <c r="Q54201" s="8"/>
    </row>
    <row r="54202" spans="17:17" x14ac:dyDescent="0.25">
      <c r="Q54202" s="8"/>
    </row>
    <row r="54203" spans="17:17" x14ac:dyDescent="0.25">
      <c r="Q54203" s="8"/>
    </row>
    <row r="54204" spans="17:17" x14ac:dyDescent="0.25">
      <c r="Q54204" s="8"/>
    </row>
    <row r="54205" spans="17:17" x14ac:dyDescent="0.25">
      <c r="Q54205" s="8"/>
    </row>
    <row r="54206" spans="17:17" x14ac:dyDescent="0.25">
      <c r="Q54206" s="8"/>
    </row>
    <row r="54207" spans="17:17" x14ac:dyDescent="0.25">
      <c r="Q54207" s="8"/>
    </row>
    <row r="54208" spans="17:17" x14ac:dyDescent="0.25">
      <c r="Q54208" s="8"/>
    </row>
    <row r="54209" spans="17:17" x14ac:dyDescent="0.25">
      <c r="Q54209" s="8"/>
    </row>
    <row r="54210" spans="17:17" x14ac:dyDescent="0.25">
      <c r="Q54210" s="8"/>
    </row>
    <row r="54211" spans="17:17" x14ac:dyDescent="0.25">
      <c r="Q54211" s="8"/>
    </row>
    <row r="54212" spans="17:17" x14ac:dyDescent="0.25">
      <c r="Q54212" s="8"/>
    </row>
    <row r="54213" spans="17:17" x14ac:dyDescent="0.25">
      <c r="Q54213" s="8"/>
    </row>
    <row r="54214" spans="17:17" x14ac:dyDescent="0.25">
      <c r="Q54214" s="8"/>
    </row>
    <row r="54215" spans="17:17" x14ac:dyDescent="0.25">
      <c r="Q54215" s="8"/>
    </row>
    <row r="54216" spans="17:17" x14ac:dyDescent="0.25">
      <c r="Q54216" s="8"/>
    </row>
    <row r="54217" spans="17:17" x14ac:dyDescent="0.25">
      <c r="Q54217" s="8"/>
    </row>
    <row r="54218" spans="17:17" x14ac:dyDescent="0.25">
      <c r="Q54218" s="8"/>
    </row>
    <row r="54219" spans="17:17" x14ac:dyDescent="0.25">
      <c r="Q54219" s="8"/>
    </row>
    <row r="54220" spans="17:17" x14ac:dyDescent="0.25">
      <c r="Q54220" s="8"/>
    </row>
    <row r="54221" spans="17:17" x14ac:dyDescent="0.25">
      <c r="Q54221" s="8"/>
    </row>
    <row r="54222" spans="17:17" x14ac:dyDescent="0.25">
      <c r="Q54222" s="8"/>
    </row>
    <row r="54223" spans="17:17" x14ac:dyDescent="0.25">
      <c r="Q54223" s="8"/>
    </row>
    <row r="54224" spans="17:17" x14ac:dyDescent="0.25">
      <c r="Q54224" s="8"/>
    </row>
    <row r="54225" spans="17:17" x14ac:dyDescent="0.25">
      <c r="Q54225" s="8"/>
    </row>
    <row r="54226" spans="17:17" x14ac:dyDescent="0.25">
      <c r="Q54226" s="8"/>
    </row>
    <row r="54227" spans="17:17" x14ac:dyDescent="0.25">
      <c r="Q54227" s="8"/>
    </row>
    <row r="54228" spans="17:17" x14ac:dyDescent="0.25">
      <c r="Q54228" s="8"/>
    </row>
    <row r="54229" spans="17:17" x14ac:dyDescent="0.25">
      <c r="Q54229" s="8"/>
    </row>
    <row r="54230" spans="17:17" x14ac:dyDescent="0.25">
      <c r="Q54230" s="8"/>
    </row>
    <row r="54231" spans="17:17" x14ac:dyDescent="0.25">
      <c r="Q54231" s="8"/>
    </row>
    <row r="54232" spans="17:17" x14ac:dyDescent="0.25">
      <c r="Q54232" s="8"/>
    </row>
    <row r="54233" spans="17:17" x14ac:dyDescent="0.25">
      <c r="Q54233" s="8"/>
    </row>
    <row r="54234" spans="17:17" x14ac:dyDescent="0.25">
      <c r="Q54234" s="8"/>
    </row>
    <row r="54235" spans="17:17" x14ac:dyDescent="0.25">
      <c r="Q54235" s="8"/>
    </row>
    <row r="54236" spans="17:17" x14ac:dyDescent="0.25">
      <c r="Q54236" s="8"/>
    </row>
    <row r="54237" spans="17:17" x14ac:dyDescent="0.25">
      <c r="Q54237" s="8"/>
    </row>
    <row r="54238" spans="17:17" x14ac:dyDescent="0.25">
      <c r="Q54238" s="8"/>
    </row>
    <row r="54239" spans="17:17" x14ac:dyDescent="0.25">
      <c r="Q54239" s="8"/>
    </row>
    <row r="54240" spans="17:17" x14ac:dyDescent="0.25">
      <c r="Q54240" s="8"/>
    </row>
    <row r="54241" spans="17:17" x14ac:dyDescent="0.25">
      <c r="Q54241" s="8"/>
    </row>
    <row r="54242" spans="17:17" x14ac:dyDescent="0.25">
      <c r="Q54242" s="8"/>
    </row>
    <row r="54243" spans="17:17" x14ac:dyDescent="0.25">
      <c r="Q54243" s="8"/>
    </row>
    <row r="54244" spans="17:17" x14ac:dyDescent="0.25">
      <c r="Q54244" s="8"/>
    </row>
    <row r="54245" spans="17:17" x14ac:dyDescent="0.25">
      <c r="Q54245" s="8"/>
    </row>
    <row r="54246" spans="17:17" x14ac:dyDescent="0.25">
      <c r="Q54246" s="8"/>
    </row>
    <row r="54247" spans="17:17" x14ac:dyDescent="0.25">
      <c r="Q54247" s="8"/>
    </row>
    <row r="54248" spans="17:17" x14ac:dyDescent="0.25">
      <c r="Q54248" s="8"/>
    </row>
    <row r="54249" spans="17:17" x14ac:dyDescent="0.25">
      <c r="Q54249" s="8"/>
    </row>
    <row r="54250" spans="17:17" x14ac:dyDescent="0.25">
      <c r="Q54250" s="8"/>
    </row>
    <row r="54251" spans="17:17" x14ac:dyDescent="0.25">
      <c r="Q54251" s="8"/>
    </row>
    <row r="54252" spans="17:17" x14ac:dyDescent="0.25">
      <c r="Q54252" s="8"/>
    </row>
    <row r="54253" spans="17:17" x14ac:dyDescent="0.25">
      <c r="Q54253" s="8"/>
    </row>
    <row r="54254" spans="17:17" x14ac:dyDescent="0.25">
      <c r="Q54254" s="8"/>
    </row>
    <row r="54255" spans="17:17" x14ac:dyDescent="0.25">
      <c r="Q54255" s="8"/>
    </row>
    <row r="54256" spans="17:17" x14ac:dyDescent="0.25">
      <c r="Q54256" s="8"/>
    </row>
    <row r="54257" spans="17:17" x14ac:dyDescent="0.25">
      <c r="Q54257" s="8"/>
    </row>
    <row r="54258" spans="17:17" x14ac:dyDescent="0.25">
      <c r="Q54258" s="8"/>
    </row>
    <row r="54259" spans="17:17" x14ac:dyDescent="0.25">
      <c r="Q54259" s="8"/>
    </row>
    <row r="54260" spans="17:17" x14ac:dyDescent="0.25">
      <c r="Q54260" s="8"/>
    </row>
    <row r="54261" spans="17:17" x14ac:dyDescent="0.25">
      <c r="Q54261" s="8"/>
    </row>
    <row r="54262" spans="17:17" x14ac:dyDescent="0.25">
      <c r="Q54262" s="8"/>
    </row>
    <row r="54263" spans="17:17" x14ac:dyDescent="0.25">
      <c r="Q54263" s="8"/>
    </row>
    <row r="54264" spans="17:17" x14ac:dyDescent="0.25">
      <c r="Q54264" s="8"/>
    </row>
    <row r="54265" spans="17:17" x14ac:dyDescent="0.25">
      <c r="Q54265" s="8"/>
    </row>
    <row r="54266" spans="17:17" x14ac:dyDescent="0.25">
      <c r="Q54266" s="8"/>
    </row>
    <row r="54267" spans="17:17" x14ac:dyDescent="0.25">
      <c r="Q54267" s="8"/>
    </row>
    <row r="54268" spans="17:17" x14ac:dyDescent="0.25">
      <c r="Q54268" s="8"/>
    </row>
    <row r="54269" spans="17:17" x14ac:dyDescent="0.25">
      <c r="Q54269" s="8"/>
    </row>
    <row r="54270" spans="17:17" x14ac:dyDescent="0.25">
      <c r="Q54270" s="8"/>
    </row>
    <row r="54271" spans="17:17" x14ac:dyDescent="0.25">
      <c r="Q54271" s="8"/>
    </row>
    <row r="54272" spans="17:17" x14ac:dyDescent="0.25">
      <c r="Q54272" s="8"/>
    </row>
    <row r="54273" spans="17:17" x14ac:dyDescent="0.25">
      <c r="Q54273" s="8"/>
    </row>
    <row r="54274" spans="17:17" x14ac:dyDescent="0.25">
      <c r="Q54274" s="8"/>
    </row>
    <row r="54275" spans="17:17" x14ac:dyDescent="0.25">
      <c r="Q54275" s="8"/>
    </row>
    <row r="54276" spans="17:17" x14ac:dyDescent="0.25">
      <c r="Q54276" s="8"/>
    </row>
    <row r="54277" spans="17:17" x14ac:dyDescent="0.25">
      <c r="Q54277" s="8"/>
    </row>
    <row r="54278" spans="17:17" x14ac:dyDescent="0.25">
      <c r="Q54278" s="8"/>
    </row>
    <row r="54279" spans="17:17" x14ac:dyDescent="0.25">
      <c r="Q54279" s="8"/>
    </row>
    <row r="54280" spans="17:17" x14ac:dyDescent="0.25">
      <c r="Q54280" s="8"/>
    </row>
    <row r="54281" spans="17:17" x14ac:dyDescent="0.25">
      <c r="Q54281" s="8"/>
    </row>
    <row r="54282" spans="17:17" x14ac:dyDescent="0.25">
      <c r="Q54282" s="8"/>
    </row>
    <row r="54283" spans="17:17" x14ac:dyDescent="0.25">
      <c r="Q54283" s="8"/>
    </row>
    <row r="54284" spans="17:17" x14ac:dyDescent="0.25">
      <c r="Q54284" s="8"/>
    </row>
    <row r="54285" spans="17:17" x14ac:dyDescent="0.25">
      <c r="Q54285" s="8"/>
    </row>
    <row r="54286" spans="17:17" x14ac:dyDescent="0.25">
      <c r="Q54286" s="8"/>
    </row>
    <row r="54287" spans="17:17" x14ac:dyDescent="0.25">
      <c r="Q54287" s="8"/>
    </row>
    <row r="54288" spans="17:17" x14ac:dyDescent="0.25">
      <c r="Q54288" s="8"/>
    </row>
    <row r="54289" spans="17:17" x14ac:dyDescent="0.25">
      <c r="Q54289" s="8"/>
    </row>
    <row r="54290" spans="17:17" x14ac:dyDescent="0.25">
      <c r="Q54290" s="8"/>
    </row>
    <row r="54291" spans="17:17" x14ac:dyDescent="0.25">
      <c r="Q54291" s="8"/>
    </row>
    <row r="54292" spans="17:17" x14ac:dyDescent="0.25">
      <c r="Q54292" s="8"/>
    </row>
    <row r="54293" spans="17:17" x14ac:dyDescent="0.25">
      <c r="Q54293" s="8"/>
    </row>
    <row r="54294" spans="17:17" x14ac:dyDescent="0.25">
      <c r="Q54294" s="8"/>
    </row>
    <row r="54295" spans="17:17" x14ac:dyDescent="0.25">
      <c r="Q54295" s="8"/>
    </row>
    <row r="54296" spans="17:17" x14ac:dyDescent="0.25">
      <c r="Q54296" s="8"/>
    </row>
    <row r="54297" spans="17:17" x14ac:dyDescent="0.25">
      <c r="Q54297" s="8"/>
    </row>
    <row r="54298" spans="17:17" x14ac:dyDescent="0.25">
      <c r="Q54298" s="8"/>
    </row>
    <row r="54299" spans="17:17" x14ac:dyDescent="0.25">
      <c r="Q54299" s="8"/>
    </row>
    <row r="54300" spans="17:17" x14ac:dyDescent="0.25">
      <c r="Q54300" s="8"/>
    </row>
    <row r="54301" spans="17:17" x14ac:dyDescent="0.25">
      <c r="Q54301" s="8"/>
    </row>
    <row r="54302" spans="17:17" x14ac:dyDescent="0.25">
      <c r="Q54302" s="8"/>
    </row>
    <row r="54303" spans="17:17" x14ac:dyDescent="0.25">
      <c r="Q54303" s="8"/>
    </row>
    <row r="54304" spans="17:17" x14ac:dyDescent="0.25">
      <c r="Q54304" s="8"/>
    </row>
    <row r="54305" spans="17:17" x14ac:dyDescent="0.25">
      <c r="Q54305" s="8"/>
    </row>
    <row r="54306" spans="17:17" x14ac:dyDescent="0.25">
      <c r="Q54306" s="8"/>
    </row>
    <row r="54307" spans="17:17" x14ac:dyDescent="0.25">
      <c r="Q54307" s="8"/>
    </row>
    <row r="54308" spans="17:17" x14ac:dyDescent="0.25">
      <c r="Q54308" s="8"/>
    </row>
    <row r="54309" spans="17:17" x14ac:dyDescent="0.25">
      <c r="Q54309" s="8"/>
    </row>
    <row r="54310" spans="17:17" x14ac:dyDescent="0.25">
      <c r="Q54310" s="8"/>
    </row>
    <row r="54311" spans="17:17" x14ac:dyDescent="0.25">
      <c r="Q54311" s="8"/>
    </row>
    <row r="54312" spans="17:17" x14ac:dyDescent="0.25">
      <c r="Q54312" s="8"/>
    </row>
    <row r="54313" spans="17:17" x14ac:dyDescent="0.25">
      <c r="Q54313" s="8"/>
    </row>
    <row r="54314" spans="17:17" x14ac:dyDescent="0.25">
      <c r="Q54314" s="8"/>
    </row>
    <row r="54315" spans="17:17" x14ac:dyDescent="0.25">
      <c r="Q54315" s="8"/>
    </row>
    <row r="54316" spans="17:17" x14ac:dyDescent="0.25">
      <c r="Q54316" s="8"/>
    </row>
    <row r="54317" spans="17:17" x14ac:dyDescent="0.25">
      <c r="Q54317" s="8"/>
    </row>
    <row r="54318" spans="17:17" x14ac:dyDescent="0.25">
      <c r="Q54318" s="8"/>
    </row>
    <row r="54319" spans="17:17" x14ac:dyDescent="0.25">
      <c r="Q54319" s="8"/>
    </row>
    <row r="54320" spans="17:17" x14ac:dyDescent="0.25">
      <c r="Q54320" s="8"/>
    </row>
    <row r="54321" spans="17:17" x14ac:dyDescent="0.25">
      <c r="Q54321" s="8"/>
    </row>
    <row r="54322" spans="17:17" x14ac:dyDescent="0.25">
      <c r="Q54322" s="8"/>
    </row>
    <row r="54323" spans="17:17" x14ac:dyDescent="0.25">
      <c r="Q54323" s="8"/>
    </row>
    <row r="54324" spans="17:17" x14ac:dyDescent="0.25">
      <c r="Q54324" s="8"/>
    </row>
    <row r="54325" spans="17:17" x14ac:dyDescent="0.25">
      <c r="Q54325" s="8"/>
    </row>
    <row r="54326" spans="17:17" x14ac:dyDescent="0.25">
      <c r="Q54326" s="8"/>
    </row>
    <row r="54327" spans="17:17" x14ac:dyDescent="0.25">
      <c r="Q54327" s="8"/>
    </row>
    <row r="54328" spans="17:17" x14ac:dyDescent="0.25">
      <c r="Q54328" s="8"/>
    </row>
    <row r="54329" spans="17:17" x14ac:dyDescent="0.25">
      <c r="Q54329" s="8"/>
    </row>
    <row r="54330" spans="17:17" x14ac:dyDescent="0.25">
      <c r="Q54330" s="8"/>
    </row>
    <row r="54331" spans="17:17" x14ac:dyDescent="0.25">
      <c r="Q54331" s="8"/>
    </row>
    <row r="54332" spans="17:17" x14ac:dyDescent="0.25">
      <c r="Q54332" s="8"/>
    </row>
    <row r="54333" spans="17:17" x14ac:dyDescent="0.25">
      <c r="Q54333" s="8"/>
    </row>
    <row r="54334" spans="17:17" x14ac:dyDescent="0.25">
      <c r="Q54334" s="8"/>
    </row>
    <row r="54335" spans="17:17" x14ac:dyDescent="0.25">
      <c r="Q54335" s="8"/>
    </row>
    <row r="54336" spans="17:17" x14ac:dyDescent="0.25">
      <c r="Q54336" s="8"/>
    </row>
    <row r="54337" spans="17:17" x14ac:dyDescent="0.25">
      <c r="Q54337" s="8"/>
    </row>
    <row r="54338" spans="17:17" x14ac:dyDescent="0.25">
      <c r="Q54338" s="8"/>
    </row>
    <row r="54339" spans="17:17" x14ac:dyDescent="0.25">
      <c r="Q54339" s="8"/>
    </row>
    <row r="54340" spans="17:17" x14ac:dyDescent="0.25">
      <c r="Q54340" s="8"/>
    </row>
    <row r="54341" spans="17:17" x14ac:dyDescent="0.25">
      <c r="Q54341" s="8"/>
    </row>
    <row r="54342" spans="17:17" x14ac:dyDescent="0.25">
      <c r="Q54342" s="8"/>
    </row>
    <row r="54343" spans="17:17" x14ac:dyDescent="0.25">
      <c r="Q54343" s="8"/>
    </row>
    <row r="54344" spans="17:17" x14ac:dyDescent="0.25">
      <c r="Q54344" s="8"/>
    </row>
    <row r="54345" spans="17:17" x14ac:dyDescent="0.25">
      <c r="Q54345" s="8"/>
    </row>
    <row r="54346" spans="17:17" x14ac:dyDescent="0.25">
      <c r="Q54346" s="8"/>
    </row>
    <row r="54347" spans="17:17" x14ac:dyDescent="0.25">
      <c r="Q54347" s="8"/>
    </row>
    <row r="54348" spans="17:17" x14ac:dyDescent="0.25">
      <c r="Q54348" s="8"/>
    </row>
    <row r="54349" spans="17:17" x14ac:dyDescent="0.25">
      <c r="Q54349" s="8"/>
    </row>
    <row r="54350" spans="17:17" x14ac:dyDescent="0.25">
      <c r="Q54350" s="8"/>
    </row>
    <row r="54351" spans="17:17" x14ac:dyDescent="0.25">
      <c r="Q54351" s="8"/>
    </row>
    <row r="54352" spans="17:17" x14ac:dyDescent="0.25">
      <c r="Q54352" s="8"/>
    </row>
    <row r="54353" spans="17:17" x14ac:dyDescent="0.25">
      <c r="Q54353" s="8"/>
    </row>
    <row r="54354" spans="17:17" x14ac:dyDescent="0.25">
      <c r="Q54354" s="8"/>
    </row>
    <row r="54355" spans="17:17" x14ac:dyDescent="0.25">
      <c r="Q54355" s="8"/>
    </row>
    <row r="54356" spans="17:17" x14ac:dyDescent="0.25">
      <c r="Q54356" s="8"/>
    </row>
    <row r="54357" spans="17:17" x14ac:dyDescent="0.25">
      <c r="Q54357" s="8"/>
    </row>
    <row r="54358" spans="17:17" x14ac:dyDescent="0.25">
      <c r="Q54358" s="8"/>
    </row>
    <row r="54359" spans="17:17" x14ac:dyDescent="0.25">
      <c r="Q54359" s="8"/>
    </row>
    <row r="54360" spans="17:17" x14ac:dyDescent="0.25">
      <c r="Q54360" s="8"/>
    </row>
    <row r="54361" spans="17:17" x14ac:dyDescent="0.25">
      <c r="Q54361" s="8"/>
    </row>
    <row r="54362" spans="17:17" x14ac:dyDescent="0.25">
      <c r="Q54362" s="8"/>
    </row>
    <row r="54363" spans="17:17" x14ac:dyDescent="0.25">
      <c r="Q54363" s="8"/>
    </row>
    <row r="54364" spans="17:17" x14ac:dyDescent="0.25">
      <c r="Q54364" s="8"/>
    </row>
    <row r="54365" spans="17:17" x14ac:dyDescent="0.25">
      <c r="Q54365" s="8"/>
    </row>
    <row r="54366" spans="17:17" x14ac:dyDescent="0.25">
      <c r="Q54366" s="8"/>
    </row>
    <row r="54367" spans="17:17" x14ac:dyDescent="0.25">
      <c r="Q54367" s="8"/>
    </row>
    <row r="54368" spans="17:17" x14ac:dyDescent="0.25">
      <c r="Q54368" s="8"/>
    </row>
    <row r="54369" spans="17:17" x14ac:dyDescent="0.25">
      <c r="Q54369" s="8"/>
    </row>
    <row r="54370" spans="17:17" x14ac:dyDescent="0.25">
      <c r="Q54370" s="8"/>
    </row>
    <row r="54371" spans="17:17" x14ac:dyDescent="0.25">
      <c r="Q54371" s="8"/>
    </row>
    <row r="54372" spans="17:17" x14ac:dyDescent="0.25">
      <c r="Q54372" s="8"/>
    </row>
    <row r="54373" spans="17:17" x14ac:dyDescent="0.25">
      <c r="Q54373" s="8"/>
    </row>
    <row r="54374" spans="17:17" x14ac:dyDescent="0.25">
      <c r="Q54374" s="8"/>
    </row>
    <row r="54375" spans="17:17" x14ac:dyDescent="0.25">
      <c r="Q54375" s="8"/>
    </row>
    <row r="54376" spans="17:17" x14ac:dyDescent="0.25">
      <c r="Q54376" s="8"/>
    </row>
    <row r="54377" spans="17:17" x14ac:dyDescent="0.25">
      <c r="Q54377" s="8"/>
    </row>
    <row r="54378" spans="17:17" x14ac:dyDescent="0.25">
      <c r="Q54378" s="8"/>
    </row>
    <row r="54379" spans="17:17" x14ac:dyDescent="0.25">
      <c r="Q54379" s="8"/>
    </row>
    <row r="54380" spans="17:17" x14ac:dyDescent="0.25">
      <c r="Q54380" s="8"/>
    </row>
    <row r="54381" spans="17:17" x14ac:dyDescent="0.25">
      <c r="Q54381" s="8"/>
    </row>
    <row r="54382" spans="17:17" x14ac:dyDescent="0.25">
      <c r="Q54382" s="8"/>
    </row>
    <row r="54383" spans="17:17" x14ac:dyDescent="0.25">
      <c r="Q54383" s="8"/>
    </row>
    <row r="54384" spans="17:17" x14ac:dyDescent="0.25">
      <c r="Q54384" s="8"/>
    </row>
    <row r="54385" spans="17:17" x14ac:dyDescent="0.25">
      <c r="Q54385" s="8"/>
    </row>
    <row r="54386" spans="17:17" x14ac:dyDescent="0.25">
      <c r="Q54386" s="8"/>
    </row>
    <row r="54387" spans="17:17" x14ac:dyDescent="0.25">
      <c r="Q54387" s="8"/>
    </row>
    <row r="54388" spans="17:17" x14ac:dyDescent="0.25">
      <c r="Q54388" s="8"/>
    </row>
    <row r="54389" spans="17:17" x14ac:dyDescent="0.25">
      <c r="Q54389" s="8"/>
    </row>
    <row r="54390" spans="17:17" x14ac:dyDescent="0.25">
      <c r="Q54390" s="8"/>
    </row>
    <row r="54391" spans="17:17" x14ac:dyDescent="0.25">
      <c r="Q54391" s="8"/>
    </row>
    <row r="54392" spans="17:17" x14ac:dyDescent="0.25">
      <c r="Q54392" s="8"/>
    </row>
    <row r="54393" spans="17:17" x14ac:dyDescent="0.25">
      <c r="Q54393" s="8"/>
    </row>
    <row r="54394" spans="17:17" x14ac:dyDescent="0.25">
      <c r="Q54394" s="8"/>
    </row>
    <row r="54395" spans="17:17" x14ac:dyDescent="0.25">
      <c r="Q54395" s="8"/>
    </row>
    <row r="54396" spans="17:17" x14ac:dyDescent="0.25">
      <c r="Q54396" s="8"/>
    </row>
    <row r="54397" spans="17:17" x14ac:dyDescent="0.25">
      <c r="Q54397" s="8"/>
    </row>
    <row r="54398" spans="17:17" x14ac:dyDescent="0.25">
      <c r="Q54398" s="8"/>
    </row>
    <row r="54399" spans="17:17" x14ac:dyDescent="0.25">
      <c r="Q54399" s="8"/>
    </row>
    <row r="54400" spans="17:17" x14ac:dyDescent="0.25">
      <c r="Q54400" s="8"/>
    </row>
    <row r="54401" spans="17:17" x14ac:dyDescent="0.25">
      <c r="Q54401" s="8"/>
    </row>
    <row r="54402" spans="17:17" x14ac:dyDescent="0.25">
      <c r="Q54402" s="8"/>
    </row>
    <row r="54403" spans="17:17" x14ac:dyDescent="0.25">
      <c r="Q54403" s="8"/>
    </row>
    <row r="54404" spans="17:17" x14ac:dyDescent="0.25">
      <c r="Q54404" s="8"/>
    </row>
    <row r="54405" spans="17:17" x14ac:dyDescent="0.25">
      <c r="Q54405" s="8"/>
    </row>
    <row r="54406" spans="17:17" x14ac:dyDescent="0.25">
      <c r="Q54406" s="8"/>
    </row>
    <row r="54407" spans="17:17" x14ac:dyDescent="0.25">
      <c r="Q54407" s="8"/>
    </row>
    <row r="54408" spans="17:17" x14ac:dyDescent="0.25">
      <c r="Q54408" s="8"/>
    </row>
    <row r="54409" spans="17:17" x14ac:dyDescent="0.25">
      <c r="Q54409" s="8"/>
    </row>
    <row r="54410" spans="17:17" x14ac:dyDescent="0.25">
      <c r="Q54410" s="8"/>
    </row>
    <row r="54411" spans="17:17" x14ac:dyDescent="0.25">
      <c r="Q54411" s="8"/>
    </row>
    <row r="54412" spans="17:17" x14ac:dyDescent="0.25">
      <c r="Q54412" s="8"/>
    </row>
    <row r="54413" spans="17:17" x14ac:dyDescent="0.25">
      <c r="Q54413" s="8"/>
    </row>
    <row r="54414" spans="17:17" x14ac:dyDescent="0.25">
      <c r="Q54414" s="8"/>
    </row>
    <row r="54415" spans="17:17" x14ac:dyDescent="0.25">
      <c r="Q54415" s="8"/>
    </row>
    <row r="54416" spans="17:17" x14ac:dyDescent="0.25">
      <c r="Q54416" s="8"/>
    </row>
    <row r="54417" spans="17:17" x14ac:dyDescent="0.25">
      <c r="Q54417" s="8"/>
    </row>
    <row r="54418" spans="17:17" x14ac:dyDescent="0.25">
      <c r="Q54418" s="8"/>
    </row>
    <row r="54419" spans="17:17" x14ac:dyDescent="0.25">
      <c r="Q54419" s="8"/>
    </row>
    <row r="54420" spans="17:17" x14ac:dyDescent="0.25">
      <c r="Q54420" s="8"/>
    </row>
    <row r="54421" spans="17:17" x14ac:dyDescent="0.25">
      <c r="Q54421" s="8"/>
    </row>
    <row r="54422" spans="17:17" x14ac:dyDescent="0.25">
      <c r="Q54422" s="8"/>
    </row>
    <row r="54423" spans="17:17" x14ac:dyDescent="0.25">
      <c r="Q54423" s="8"/>
    </row>
    <row r="54424" spans="17:17" x14ac:dyDescent="0.25">
      <c r="Q54424" s="8"/>
    </row>
    <row r="54425" spans="17:17" x14ac:dyDescent="0.25">
      <c r="Q54425" s="8"/>
    </row>
    <row r="54426" spans="17:17" x14ac:dyDescent="0.25">
      <c r="Q54426" s="8"/>
    </row>
    <row r="54427" spans="17:17" x14ac:dyDescent="0.25">
      <c r="Q54427" s="8"/>
    </row>
    <row r="54428" spans="17:17" x14ac:dyDescent="0.25">
      <c r="Q54428" s="8"/>
    </row>
    <row r="54429" spans="17:17" x14ac:dyDescent="0.25">
      <c r="Q54429" s="8"/>
    </row>
    <row r="54430" spans="17:17" x14ac:dyDescent="0.25">
      <c r="Q54430" s="8"/>
    </row>
    <row r="54431" spans="17:17" x14ac:dyDescent="0.25">
      <c r="Q54431" s="8"/>
    </row>
    <row r="54432" spans="17:17" x14ac:dyDescent="0.25">
      <c r="Q54432" s="8"/>
    </row>
    <row r="54433" spans="17:17" x14ac:dyDescent="0.25">
      <c r="Q54433" s="8"/>
    </row>
    <row r="54434" spans="17:17" x14ac:dyDescent="0.25">
      <c r="Q54434" s="8"/>
    </row>
    <row r="54435" spans="17:17" x14ac:dyDescent="0.25">
      <c r="Q54435" s="8"/>
    </row>
    <row r="54436" spans="17:17" x14ac:dyDescent="0.25">
      <c r="Q54436" s="8"/>
    </row>
    <row r="54437" spans="17:17" x14ac:dyDescent="0.25">
      <c r="Q54437" s="8"/>
    </row>
    <row r="54438" spans="17:17" x14ac:dyDescent="0.25">
      <c r="Q54438" s="8"/>
    </row>
    <row r="54439" spans="17:17" x14ac:dyDescent="0.25">
      <c r="Q54439" s="8"/>
    </row>
    <row r="54440" spans="17:17" x14ac:dyDescent="0.25">
      <c r="Q54440" s="8"/>
    </row>
    <row r="54441" spans="17:17" x14ac:dyDescent="0.25">
      <c r="Q54441" s="8"/>
    </row>
    <row r="54442" spans="17:17" x14ac:dyDescent="0.25">
      <c r="Q54442" s="8"/>
    </row>
    <row r="54443" spans="17:17" x14ac:dyDescent="0.25">
      <c r="Q54443" s="8"/>
    </row>
    <row r="54444" spans="17:17" x14ac:dyDescent="0.25">
      <c r="Q54444" s="8"/>
    </row>
    <row r="54445" spans="17:17" x14ac:dyDescent="0.25">
      <c r="Q54445" s="8"/>
    </row>
    <row r="54446" spans="17:17" x14ac:dyDescent="0.25">
      <c r="Q54446" s="8"/>
    </row>
    <row r="54447" spans="17:17" x14ac:dyDescent="0.25">
      <c r="Q54447" s="8"/>
    </row>
    <row r="54448" spans="17:17" x14ac:dyDescent="0.25">
      <c r="Q54448" s="8"/>
    </row>
    <row r="54449" spans="17:17" x14ac:dyDescent="0.25">
      <c r="Q54449" s="8"/>
    </row>
    <row r="54450" spans="17:17" x14ac:dyDescent="0.25">
      <c r="Q54450" s="8"/>
    </row>
    <row r="54451" spans="17:17" x14ac:dyDescent="0.25">
      <c r="Q54451" s="8"/>
    </row>
    <row r="54452" spans="17:17" x14ac:dyDescent="0.25">
      <c r="Q54452" s="8"/>
    </row>
    <row r="54453" spans="17:17" x14ac:dyDescent="0.25">
      <c r="Q54453" s="8"/>
    </row>
    <row r="54454" spans="17:17" x14ac:dyDescent="0.25">
      <c r="Q54454" s="8"/>
    </row>
    <row r="54455" spans="17:17" x14ac:dyDescent="0.25">
      <c r="Q54455" s="8"/>
    </row>
    <row r="54456" spans="17:17" x14ac:dyDescent="0.25">
      <c r="Q54456" s="8"/>
    </row>
    <row r="54457" spans="17:17" x14ac:dyDescent="0.25">
      <c r="Q54457" s="8"/>
    </row>
    <row r="54458" spans="17:17" x14ac:dyDescent="0.25">
      <c r="Q54458" s="8"/>
    </row>
    <row r="54459" spans="17:17" x14ac:dyDescent="0.25">
      <c r="Q54459" s="8"/>
    </row>
    <row r="54460" spans="17:17" x14ac:dyDescent="0.25">
      <c r="Q54460" s="8"/>
    </row>
    <row r="54461" spans="17:17" x14ac:dyDescent="0.25">
      <c r="Q54461" s="8"/>
    </row>
    <row r="54462" spans="17:17" x14ac:dyDescent="0.25">
      <c r="Q54462" s="8"/>
    </row>
    <row r="54463" spans="17:17" x14ac:dyDescent="0.25">
      <c r="Q54463" s="8"/>
    </row>
    <row r="54464" spans="17:17" x14ac:dyDescent="0.25">
      <c r="Q54464" s="8"/>
    </row>
    <row r="54465" spans="17:17" x14ac:dyDescent="0.25">
      <c r="Q54465" s="8"/>
    </row>
    <row r="54466" spans="17:17" x14ac:dyDescent="0.25">
      <c r="Q54466" s="8"/>
    </row>
    <row r="54467" spans="17:17" x14ac:dyDescent="0.25">
      <c r="Q54467" s="8"/>
    </row>
    <row r="54468" spans="17:17" x14ac:dyDescent="0.25">
      <c r="Q54468" s="8"/>
    </row>
    <row r="54469" spans="17:17" x14ac:dyDescent="0.25">
      <c r="Q54469" s="8"/>
    </row>
    <row r="54470" spans="17:17" x14ac:dyDescent="0.25">
      <c r="Q54470" s="8"/>
    </row>
    <row r="54471" spans="17:17" x14ac:dyDescent="0.25">
      <c r="Q54471" s="8"/>
    </row>
    <row r="54472" spans="17:17" x14ac:dyDescent="0.25">
      <c r="Q54472" s="8"/>
    </row>
    <row r="54473" spans="17:17" x14ac:dyDescent="0.25">
      <c r="Q54473" s="8"/>
    </row>
    <row r="54474" spans="17:17" x14ac:dyDescent="0.25">
      <c r="Q54474" s="8"/>
    </row>
    <row r="54475" spans="17:17" x14ac:dyDescent="0.25">
      <c r="Q54475" s="8"/>
    </row>
    <row r="54476" spans="17:17" x14ac:dyDescent="0.25">
      <c r="Q54476" s="8"/>
    </row>
    <row r="54477" spans="17:17" x14ac:dyDescent="0.25">
      <c r="Q54477" s="8"/>
    </row>
    <row r="54478" spans="17:17" x14ac:dyDescent="0.25">
      <c r="Q54478" s="8"/>
    </row>
    <row r="54479" spans="17:17" x14ac:dyDescent="0.25">
      <c r="Q54479" s="8"/>
    </row>
    <row r="54480" spans="17:17" x14ac:dyDescent="0.25">
      <c r="Q54480" s="8"/>
    </row>
    <row r="54481" spans="17:17" x14ac:dyDescent="0.25">
      <c r="Q54481" s="8"/>
    </row>
    <row r="54482" spans="17:17" x14ac:dyDescent="0.25">
      <c r="Q54482" s="8"/>
    </row>
    <row r="54483" spans="17:17" x14ac:dyDescent="0.25">
      <c r="Q54483" s="8"/>
    </row>
    <row r="54484" spans="17:17" x14ac:dyDescent="0.25">
      <c r="Q54484" s="8"/>
    </row>
    <row r="54485" spans="17:17" x14ac:dyDescent="0.25">
      <c r="Q54485" s="8"/>
    </row>
    <row r="54486" spans="17:17" x14ac:dyDescent="0.25">
      <c r="Q54486" s="8"/>
    </row>
    <row r="54487" spans="17:17" x14ac:dyDescent="0.25">
      <c r="Q54487" s="8"/>
    </row>
    <row r="54488" spans="17:17" x14ac:dyDescent="0.25">
      <c r="Q54488" s="8"/>
    </row>
    <row r="54489" spans="17:17" x14ac:dyDescent="0.25">
      <c r="Q54489" s="8"/>
    </row>
    <row r="54490" spans="17:17" x14ac:dyDescent="0.25">
      <c r="Q54490" s="8"/>
    </row>
    <row r="54491" spans="17:17" x14ac:dyDescent="0.25">
      <c r="Q54491" s="8"/>
    </row>
    <row r="54492" spans="17:17" x14ac:dyDescent="0.25">
      <c r="Q54492" s="8"/>
    </row>
    <row r="54493" spans="17:17" x14ac:dyDescent="0.25">
      <c r="Q54493" s="8"/>
    </row>
    <row r="54494" spans="17:17" x14ac:dyDescent="0.25">
      <c r="Q54494" s="8"/>
    </row>
    <row r="54495" spans="17:17" x14ac:dyDescent="0.25">
      <c r="Q54495" s="8"/>
    </row>
    <row r="54496" spans="17:17" x14ac:dyDescent="0.25">
      <c r="Q54496" s="8"/>
    </row>
    <row r="54497" spans="17:17" x14ac:dyDescent="0.25">
      <c r="Q54497" s="8"/>
    </row>
    <row r="54498" spans="17:17" x14ac:dyDescent="0.25">
      <c r="Q54498" s="8"/>
    </row>
    <row r="54499" spans="17:17" x14ac:dyDescent="0.25">
      <c r="Q54499" s="8"/>
    </row>
    <row r="54500" spans="17:17" x14ac:dyDescent="0.25">
      <c r="Q54500" s="8"/>
    </row>
    <row r="54501" spans="17:17" x14ac:dyDescent="0.25">
      <c r="Q54501" s="8"/>
    </row>
    <row r="54502" spans="17:17" x14ac:dyDescent="0.25">
      <c r="Q54502" s="8"/>
    </row>
    <row r="54503" spans="17:17" x14ac:dyDescent="0.25">
      <c r="Q54503" s="8"/>
    </row>
    <row r="54504" spans="17:17" x14ac:dyDescent="0.25">
      <c r="Q54504" s="8"/>
    </row>
    <row r="54505" spans="17:17" x14ac:dyDescent="0.25">
      <c r="Q54505" s="8"/>
    </row>
    <row r="54506" spans="17:17" x14ac:dyDescent="0.25">
      <c r="Q54506" s="8"/>
    </row>
    <row r="54507" spans="17:17" x14ac:dyDescent="0.25">
      <c r="Q54507" s="8"/>
    </row>
    <row r="54508" spans="17:17" x14ac:dyDescent="0.25">
      <c r="Q54508" s="8"/>
    </row>
    <row r="54509" spans="17:17" x14ac:dyDescent="0.25">
      <c r="Q54509" s="8"/>
    </row>
    <row r="54510" spans="17:17" x14ac:dyDescent="0.25">
      <c r="Q54510" s="8"/>
    </row>
    <row r="54511" spans="17:17" x14ac:dyDescent="0.25">
      <c r="Q54511" s="8"/>
    </row>
    <row r="54512" spans="17:17" x14ac:dyDescent="0.25">
      <c r="Q54512" s="8"/>
    </row>
    <row r="54513" spans="17:17" x14ac:dyDescent="0.25">
      <c r="Q54513" s="8"/>
    </row>
    <row r="54514" spans="17:17" x14ac:dyDescent="0.25">
      <c r="Q54514" s="8"/>
    </row>
    <row r="54515" spans="17:17" x14ac:dyDescent="0.25">
      <c r="Q54515" s="8"/>
    </row>
    <row r="54516" spans="17:17" x14ac:dyDescent="0.25">
      <c r="Q54516" s="8"/>
    </row>
    <row r="54517" spans="17:17" x14ac:dyDescent="0.25">
      <c r="Q54517" s="8"/>
    </row>
    <row r="54518" spans="17:17" x14ac:dyDescent="0.25">
      <c r="Q54518" s="8"/>
    </row>
    <row r="54519" spans="17:17" x14ac:dyDescent="0.25">
      <c r="Q54519" s="8"/>
    </row>
    <row r="54520" spans="17:17" x14ac:dyDescent="0.25">
      <c r="Q54520" s="8"/>
    </row>
    <row r="54521" spans="17:17" x14ac:dyDescent="0.25">
      <c r="Q54521" s="8"/>
    </row>
    <row r="54522" spans="17:17" x14ac:dyDescent="0.25">
      <c r="Q54522" s="8"/>
    </row>
    <row r="54523" spans="17:17" x14ac:dyDescent="0.25">
      <c r="Q54523" s="8"/>
    </row>
    <row r="54524" spans="17:17" x14ac:dyDescent="0.25">
      <c r="Q54524" s="8"/>
    </row>
    <row r="54525" spans="17:17" x14ac:dyDescent="0.25">
      <c r="Q54525" s="8"/>
    </row>
    <row r="54526" spans="17:17" x14ac:dyDescent="0.25">
      <c r="Q54526" s="8"/>
    </row>
    <row r="54527" spans="17:17" x14ac:dyDescent="0.25">
      <c r="Q54527" s="8"/>
    </row>
    <row r="54528" spans="17:17" x14ac:dyDescent="0.25">
      <c r="Q54528" s="8"/>
    </row>
    <row r="54529" spans="17:17" x14ac:dyDescent="0.25">
      <c r="Q54529" s="8"/>
    </row>
    <row r="54530" spans="17:17" x14ac:dyDescent="0.25">
      <c r="Q54530" s="8"/>
    </row>
    <row r="54531" spans="17:17" x14ac:dyDescent="0.25">
      <c r="Q54531" s="8"/>
    </row>
    <row r="54532" spans="17:17" x14ac:dyDescent="0.25">
      <c r="Q54532" s="8"/>
    </row>
    <row r="54533" spans="17:17" x14ac:dyDescent="0.25">
      <c r="Q54533" s="8"/>
    </row>
    <row r="54534" spans="17:17" x14ac:dyDescent="0.25">
      <c r="Q54534" s="8"/>
    </row>
    <row r="54535" spans="17:17" x14ac:dyDescent="0.25">
      <c r="Q54535" s="8"/>
    </row>
    <row r="54536" spans="17:17" x14ac:dyDescent="0.25">
      <c r="Q54536" s="8"/>
    </row>
    <row r="54537" spans="17:17" x14ac:dyDescent="0.25">
      <c r="Q54537" s="8"/>
    </row>
    <row r="54538" spans="17:17" x14ac:dyDescent="0.25">
      <c r="Q54538" s="8"/>
    </row>
    <row r="54539" spans="17:17" x14ac:dyDescent="0.25">
      <c r="Q54539" s="8"/>
    </row>
    <row r="54540" spans="17:17" x14ac:dyDescent="0.25">
      <c r="Q54540" s="8"/>
    </row>
    <row r="54541" spans="17:17" x14ac:dyDescent="0.25">
      <c r="Q54541" s="8"/>
    </row>
    <row r="54542" spans="17:17" x14ac:dyDescent="0.25">
      <c r="Q54542" s="8"/>
    </row>
    <row r="54543" spans="17:17" x14ac:dyDescent="0.25">
      <c r="Q54543" s="8"/>
    </row>
    <row r="54544" spans="17:17" x14ac:dyDescent="0.25">
      <c r="Q54544" s="8"/>
    </row>
    <row r="54545" spans="17:17" x14ac:dyDescent="0.25">
      <c r="Q54545" s="8"/>
    </row>
    <row r="54546" spans="17:17" x14ac:dyDescent="0.25">
      <c r="Q54546" s="8"/>
    </row>
    <row r="54547" spans="17:17" x14ac:dyDescent="0.25">
      <c r="Q54547" s="8"/>
    </row>
    <row r="54548" spans="17:17" x14ac:dyDescent="0.25">
      <c r="Q54548" s="8"/>
    </row>
    <row r="54549" spans="17:17" x14ac:dyDescent="0.25">
      <c r="Q54549" s="8"/>
    </row>
    <row r="54550" spans="17:17" x14ac:dyDescent="0.25">
      <c r="Q54550" s="8"/>
    </row>
    <row r="54551" spans="17:17" x14ac:dyDescent="0.25">
      <c r="Q54551" s="8"/>
    </row>
    <row r="54552" spans="17:17" x14ac:dyDescent="0.25">
      <c r="Q54552" s="8"/>
    </row>
    <row r="54553" spans="17:17" x14ac:dyDescent="0.25">
      <c r="Q54553" s="8"/>
    </row>
    <row r="54554" spans="17:17" x14ac:dyDescent="0.25">
      <c r="Q54554" s="8"/>
    </row>
    <row r="54555" spans="17:17" x14ac:dyDescent="0.25">
      <c r="Q54555" s="8"/>
    </row>
    <row r="54556" spans="17:17" x14ac:dyDescent="0.25">
      <c r="Q54556" s="8"/>
    </row>
    <row r="54557" spans="17:17" x14ac:dyDescent="0.25">
      <c r="Q54557" s="8"/>
    </row>
    <row r="54558" spans="17:17" x14ac:dyDescent="0.25">
      <c r="Q54558" s="8"/>
    </row>
    <row r="54559" spans="17:17" x14ac:dyDescent="0.25">
      <c r="Q54559" s="8"/>
    </row>
    <row r="54560" spans="17:17" x14ac:dyDescent="0.25">
      <c r="Q54560" s="8"/>
    </row>
    <row r="54561" spans="17:17" x14ac:dyDescent="0.25">
      <c r="Q54561" s="8"/>
    </row>
    <row r="54562" spans="17:17" x14ac:dyDescent="0.25">
      <c r="Q54562" s="8"/>
    </row>
    <row r="54563" spans="17:17" x14ac:dyDescent="0.25">
      <c r="Q54563" s="8"/>
    </row>
    <row r="54564" spans="17:17" x14ac:dyDescent="0.25">
      <c r="Q54564" s="8"/>
    </row>
    <row r="54565" spans="17:17" x14ac:dyDescent="0.25">
      <c r="Q54565" s="8"/>
    </row>
    <row r="54566" spans="17:17" x14ac:dyDescent="0.25">
      <c r="Q54566" s="8"/>
    </row>
    <row r="54567" spans="17:17" x14ac:dyDescent="0.25">
      <c r="Q54567" s="8"/>
    </row>
    <row r="54568" spans="17:17" x14ac:dyDescent="0.25">
      <c r="Q54568" s="8"/>
    </row>
    <row r="54569" spans="17:17" x14ac:dyDescent="0.25">
      <c r="Q54569" s="8"/>
    </row>
    <row r="54570" spans="17:17" x14ac:dyDescent="0.25">
      <c r="Q54570" s="8"/>
    </row>
    <row r="54571" spans="17:17" x14ac:dyDescent="0.25">
      <c r="Q54571" s="8"/>
    </row>
    <row r="54572" spans="17:17" x14ac:dyDescent="0.25">
      <c r="Q54572" s="8"/>
    </row>
    <row r="54573" spans="17:17" x14ac:dyDescent="0.25">
      <c r="Q54573" s="8"/>
    </row>
    <row r="54574" spans="17:17" x14ac:dyDescent="0.25">
      <c r="Q54574" s="8"/>
    </row>
    <row r="54575" spans="17:17" x14ac:dyDescent="0.25">
      <c r="Q54575" s="8"/>
    </row>
    <row r="54576" spans="17:17" x14ac:dyDescent="0.25">
      <c r="Q54576" s="8"/>
    </row>
    <row r="54577" spans="17:17" x14ac:dyDescent="0.25">
      <c r="Q54577" s="8"/>
    </row>
    <row r="54578" spans="17:17" x14ac:dyDescent="0.25">
      <c r="Q54578" s="8"/>
    </row>
    <row r="54579" spans="17:17" x14ac:dyDescent="0.25">
      <c r="Q54579" s="8"/>
    </row>
    <row r="54580" spans="17:17" x14ac:dyDescent="0.25">
      <c r="Q54580" s="8"/>
    </row>
    <row r="54581" spans="17:17" x14ac:dyDescent="0.25">
      <c r="Q54581" s="8"/>
    </row>
    <row r="54582" spans="17:17" x14ac:dyDescent="0.25">
      <c r="Q54582" s="8"/>
    </row>
    <row r="54583" spans="17:17" x14ac:dyDescent="0.25">
      <c r="Q54583" s="8"/>
    </row>
    <row r="54584" spans="17:17" x14ac:dyDescent="0.25">
      <c r="Q54584" s="8"/>
    </row>
    <row r="54585" spans="17:17" x14ac:dyDescent="0.25">
      <c r="Q54585" s="8"/>
    </row>
    <row r="54586" spans="17:17" x14ac:dyDescent="0.25">
      <c r="Q54586" s="8"/>
    </row>
    <row r="54587" spans="17:17" x14ac:dyDescent="0.25">
      <c r="Q54587" s="8"/>
    </row>
    <row r="54588" spans="17:17" x14ac:dyDescent="0.25">
      <c r="Q54588" s="8"/>
    </row>
    <row r="54589" spans="17:17" x14ac:dyDescent="0.25">
      <c r="Q54589" s="8"/>
    </row>
    <row r="54590" spans="17:17" x14ac:dyDescent="0.25">
      <c r="Q54590" s="8"/>
    </row>
    <row r="54591" spans="17:17" x14ac:dyDescent="0.25">
      <c r="Q54591" s="8"/>
    </row>
    <row r="54592" spans="17:17" x14ac:dyDescent="0.25">
      <c r="Q54592" s="8"/>
    </row>
    <row r="54593" spans="17:17" x14ac:dyDescent="0.25">
      <c r="Q54593" s="8"/>
    </row>
    <row r="54594" spans="17:17" x14ac:dyDescent="0.25">
      <c r="Q54594" s="8"/>
    </row>
    <row r="54595" spans="17:17" x14ac:dyDescent="0.25">
      <c r="Q54595" s="8"/>
    </row>
    <row r="54596" spans="17:17" x14ac:dyDescent="0.25">
      <c r="Q54596" s="8"/>
    </row>
    <row r="54597" spans="17:17" x14ac:dyDescent="0.25">
      <c r="Q54597" s="8"/>
    </row>
    <row r="54598" spans="17:17" x14ac:dyDescent="0.25">
      <c r="Q54598" s="8"/>
    </row>
    <row r="54599" spans="17:17" x14ac:dyDescent="0.25">
      <c r="Q54599" s="8"/>
    </row>
    <row r="54600" spans="17:17" x14ac:dyDescent="0.25">
      <c r="Q54600" s="8"/>
    </row>
    <row r="54601" spans="17:17" x14ac:dyDescent="0.25">
      <c r="Q54601" s="8"/>
    </row>
    <row r="54602" spans="17:17" x14ac:dyDescent="0.25">
      <c r="Q54602" s="8"/>
    </row>
    <row r="54603" spans="17:17" x14ac:dyDescent="0.25">
      <c r="Q54603" s="8"/>
    </row>
    <row r="54604" spans="17:17" x14ac:dyDescent="0.25">
      <c r="Q54604" s="8"/>
    </row>
    <row r="54605" spans="17:17" x14ac:dyDescent="0.25">
      <c r="Q54605" s="8"/>
    </row>
    <row r="54606" spans="17:17" x14ac:dyDescent="0.25">
      <c r="Q54606" s="8"/>
    </row>
    <row r="54607" spans="17:17" x14ac:dyDescent="0.25">
      <c r="Q54607" s="8"/>
    </row>
    <row r="54608" spans="17:17" x14ac:dyDescent="0.25">
      <c r="Q54608" s="8"/>
    </row>
    <row r="54609" spans="17:17" x14ac:dyDescent="0.25">
      <c r="Q54609" s="8"/>
    </row>
    <row r="54610" spans="17:17" x14ac:dyDescent="0.25">
      <c r="Q54610" s="8"/>
    </row>
    <row r="54611" spans="17:17" x14ac:dyDescent="0.25">
      <c r="Q54611" s="8"/>
    </row>
    <row r="54612" spans="17:17" x14ac:dyDescent="0.25">
      <c r="Q54612" s="8"/>
    </row>
    <row r="54613" spans="17:17" x14ac:dyDescent="0.25">
      <c r="Q54613" s="8"/>
    </row>
    <row r="54614" spans="17:17" x14ac:dyDescent="0.25">
      <c r="Q54614" s="8"/>
    </row>
    <row r="54615" spans="17:17" x14ac:dyDescent="0.25">
      <c r="Q54615" s="8"/>
    </row>
    <row r="54616" spans="17:17" x14ac:dyDescent="0.25">
      <c r="Q54616" s="8"/>
    </row>
    <row r="54617" spans="17:17" x14ac:dyDescent="0.25">
      <c r="Q54617" s="8"/>
    </row>
    <row r="54618" spans="17:17" x14ac:dyDescent="0.25">
      <c r="Q54618" s="8"/>
    </row>
    <row r="54619" spans="17:17" x14ac:dyDescent="0.25">
      <c r="Q54619" s="8"/>
    </row>
    <row r="54620" spans="17:17" x14ac:dyDescent="0.25">
      <c r="Q54620" s="8"/>
    </row>
    <row r="54621" spans="17:17" x14ac:dyDescent="0.25">
      <c r="Q54621" s="8"/>
    </row>
    <row r="54622" spans="17:17" x14ac:dyDescent="0.25">
      <c r="Q54622" s="8"/>
    </row>
    <row r="54623" spans="17:17" x14ac:dyDescent="0.25">
      <c r="Q54623" s="8"/>
    </row>
    <row r="54624" spans="17:17" x14ac:dyDescent="0.25">
      <c r="Q54624" s="8"/>
    </row>
    <row r="54625" spans="17:17" x14ac:dyDescent="0.25">
      <c r="Q54625" s="8"/>
    </row>
    <row r="54626" spans="17:17" x14ac:dyDescent="0.25">
      <c r="Q54626" s="8"/>
    </row>
    <row r="54627" spans="17:17" x14ac:dyDescent="0.25">
      <c r="Q54627" s="8"/>
    </row>
    <row r="54628" spans="17:17" x14ac:dyDescent="0.25">
      <c r="Q54628" s="8"/>
    </row>
    <row r="54629" spans="17:17" x14ac:dyDescent="0.25">
      <c r="Q54629" s="8"/>
    </row>
    <row r="54630" spans="17:17" x14ac:dyDescent="0.25">
      <c r="Q54630" s="8"/>
    </row>
    <row r="54631" spans="17:17" x14ac:dyDescent="0.25">
      <c r="Q54631" s="8"/>
    </row>
    <row r="54632" spans="17:17" x14ac:dyDescent="0.25">
      <c r="Q54632" s="8"/>
    </row>
    <row r="54633" spans="17:17" x14ac:dyDescent="0.25">
      <c r="Q54633" s="8"/>
    </row>
    <row r="54634" spans="17:17" x14ac:dyDescent="0.25">
      <c r="Q54634" s="8"/>
    </row>
    <row r="54635" spans="17:17" x14ac:dyDescent="0.25">
      <c r="Q54635" s="8"/>
    </row>
    <row r="54636" spans="17:17" x14ac:dyDescent="0.25">
      <c r="Q54636" s="8"/>
    </row>
    <row r="54637" spans="17:17" x14ac:dyDescent="0.25">
      <c r="Q54637" s="8"/>
    </row>
    <row r="54638" spans="17:17" x14ac:dyDescent="0.25">
      <c r="Q54638" s="8"/>
    </row>
    <row r="54639" spans="17:17" x14ac:dyDescent="0.25">
      <c r="Q54639" s="8"/>
    </row>
    <row r="54640" spans="17:17" x14ac:dyDescent="0.25">
      <c r="Q54640" s="8"/>
    </row>
    <row r="54641" spans="17:17" x14ac:dyDescent="0.25">
      <c r="Q54641" s="8"/>
    </row>
    <row r="54642" spans="17:17" x14ac:dyDescent="0.25">
      <c r="Q54642" s="8"/>
    </row>
    <row r="54643" spans="17:17" x14ac:dyDescent="0.25">
      <c r="Q54643" s="8"/>
    </row>
    <row r="54644" spans="17:17" x14ac:dyDescent="0.25">
      <c r="Q54644" s="8"/>
    </row>
    <row r="54645" spans="17:17" x14ac:dyDescent="0.25">
      <c r="Q54645" s="8"/>
    </row>
    <row r="54646" spans="17:17" x14ac:dyDescent="0.25">
      <c r="Q54646" s="8"/>
    </row>
    <row r="54647" spans="17:17" x14ac:dyDescent="0.25">
      <c r="Q54647" s="8"/>
    </row>
    <row r="54648" spans="17:17" x14ac:dyDescent="0.25">
      <c r="Q54648" s="8"/>
    </row>
    <row r="54649" spans="17:17" x14ac:dyDescent="0.25">
      <c r="Q54649" s="8"/>
    </row>
    <row r="54650" spans="17:17" x14ac:dyDescent="0.25">
      <c r="Q54650" s="8"/>
    </row>
    <row r="54651" spans="17:17" x14ac:dyDescent="0.25">
      <c r="Q54651" s="8"/>
    </row>
    <row r="54652" spans="17:17" x14ac:dyDescent="0.25">
      <c r="Q54652" s="8"/>
    </row>
    <row r="54653" spans="17:17" x14ac:dyDescent="0.25">
      <c r="Q54653" s="8"/>
    </row>
    <row r="54654" spans="17:17" x14ac:dyDescent="0.25">
      <c r="Q54654" s="8"/>
    </row>
    <row r="54655" spans="17:17" x14ac:dyDescent="0.25">
      <c r="Q54655" s="8"/>
    </row>
    <row r="54656" spans="17:17" x14ac:dyDescent="0.25">
      <c r="Q54656" s="8"/>
    </row>
    <row r="54657" spans="17:17" x14ac:dyDescent="0.25">
      <c r="Q54657" s="8"/>
    </row>
    <row r="54658" spans="17:17" x14ac:dyDescent="0.25">
      <c r="Q54658" s="8"/>
    </row>
    <row r="54659" spans="17:17" x14ac:dyDescent="0.25">
      <c r="Q54659" s="8"/>
    </row>
    <row r="54660" spans="17:17" x14ac:dyDescent="0.25">
      <c r="Q54660" s="8"/>
    </row>
    <row r="54661" spans="17:17" x14ac:dyDescent="0.25">
      <c r="Q54661" s="8"/>
    </row>
    <row r="54662" spans="17:17" x14ac:dyDescent="0.25">
      <c r="Q54662" s="8"/>
    </row>
    <row r="54663" spans="17:17" x14ac:dyDescent="0.25">
      <c r="Q54663" s="8"/>
    </row>
    <row r="54664" spans="17:17" x14ac:dyDescent="0.25">
      <c r="Q54664" s="8"/>
    </row>
    <row r="54665" spans="17:17" x14ac:dyDescent="0.25">
      <c r="Q54665" s="8"/>
    </row>
    <row r="54666" spans="17:17" x14ac:dyDescent="0.25">
      <c r="Q54666" s="8"/>
    </row>
    <row r="54667" spans="17:17" x14ac:dyDescent="0.25">
      <c r="Q54667" s="8"/>
    </row>
    <row r="54668" spans="17:17" x14ac:dyDescent="0.25">
      <c r="Q54668" s="8"/>
    </row>
    <row r="54669" spans="17:17" x14ac:dyDescent="0.25">
      <c r="Q54669" s="8"/>
    </row>
    <row r="54670" spans="17:17" x14ac:dyDescent="0.25">
      <c r="Q54670" s="8"/>
    </row>
    <row r="54671" spans="17:17" x14ac:dyDescent="0.25">
      <c r="Q54671" s="8"/>
    </row>
    <row r="54672" spans="17:17" x14ac:dyDescent="0.25">
      <c r="Q54672" s="8"/>
    </row>
    <row r="54673" spans="17:17" x14ac:dyDescent="0.25">
      <c r="Q54673" s="8"/>
    </row>
    <row r="54674" spans="17:17" x14ac:dyDescent="0.25">
      <c r="Q54674" s="8"/>
    </row>
    <row r="54675" spans="17:17" x14ac:dyDescent="0.25">
      <c r="Q54675" s="8"/>
    </row>
    <row r="54676" spans="17:17" x14ac:dyDescent="0.25">
      <c r="Q54676" s="8"/>
    </row>
    <row r="54677" spans="17:17" x14ac:dyDescent="0.25">
      <c r="Q54677" s="8"/>
    </row>
    <row r="54678" spans="17:17" x14ac:dyDescent="0.25">
      <c r="Q54678" s="8"/>
    </row>
    <row r="54679" spans="17:17" x14ac:dyDescent="0.25">
      <c r="Q54679" s="8"/>
    </row>
    <row r="54680" spans="17:17" x14ac:dyDescent="0.25">
      <c r="Q54680" s="8"/>
    </row>
    <row r="54681" spans="17:17" x14ac:dyDescent="0.25">
      <c r="Q54681" s="8"/>
    </row>
    <row r="54682" spans="17:17" x14ac:dyDescent="0.25">
      <c r="Q54682" s="8"/>
    </row>
    <row r="54683" spans="17:17" x14ac:dyDescent="0.25">
      <c r="Q54683" s="8"/>
    </row>
    <row r="54684" spans="17:17" x14ac:dyDescent="0.25">
      <c r="Q54684" s="8"/>
    </row>
    <row r="54685" spans="17:17" x14ac:dyDescent="0.25">
      <c r="Q54685" s="8"/>
    </row>
    <row r="54686" spans="17:17" x14ac:dyDescent="0.25">
      <c r="Q54686" s="8"/>
    </row>
    <row r="54687" spans="17:17" x14ac:dyDescent="0.25">
      <c r="Q54687" s="8"/>
    </row>
    <row r="54688" spans="17:17" x14ac:dyDescent="0.25">
      <c r="Q54688" s="8"/>
    </row>
    <row r="54689" spans="17:17" x14ac:dyDescent="0.25">
      <c r="Q54689" s="8"/>
    </row>
    <row r="54690" spans="17:17" x14ac:dyDescent="0.25">
      <c r="Q54690" s="8"/>
    </row>
    <row r="54691" spans="17:17" x14ac:dyDescent="0.25">
      <c r="Q54691" s="8"/>
    </row>
    <row r="54692" spans="17:17" x14ac:dyDescent="0.25">
      <c r="Q54692" s="8"/>
    </row>
    <row r="54693" spans="17:17" x14ac:dyDescent="0.25">
      <c r="Q54693" s="8"/>
    </row>
    <row r="54694" spans="17:17" x14ac:dyDescent="0.25">
      <c r="Q54694" s="8"/>
    </row>
    <row r="54695" spans="17:17" x14ac:dyDescent="0.25">
      <c r="Q54695" s="8"/>
    </row>
    <row r="54696" spans="17:17" x14ac:dyDescent="0.25">
      <c r="Q54696" s="8"/>
    </row>
    <row r="54697" spans="17:17" x14ac:dyDescent="0.25">
      <c r="Q54697" s="8"/>
    </row>
    <row r="54698" spans="17:17" x14ac:dyDescent="0.25">
      <c r="Q54698" s="8"/>
    </row>
    <row r="54699" spans="17:17" x14ac:dyDescent="0.25">
      <c r="Q54699" s="8"/>
    </row>
    <row r="54700" spans="17:17" x14ac:dyDescent="0.25">
      <c r="Q54700" s="8"/>
    </row>
    <row r="54701" spans="17:17" x14ac:dyDescent="0.25">
      <c r="Q54701" s="8"/>
    </row>
    <row r="54702" spans="17:17" x14ac:dyDescent="0.25">
      <c r="Q54702" s="8"/>
    </row>
    <row r="54703" spans="17:17" x14ac:dyDescent="0.25">
      <c r="Q54703" s="8"/>
    </row>
    <row r="54704" spans="17:17" x14ac:dyDescent="0.25">
      <c r="Q54704" s="8"/>
    </row>
    <row r="54705" spans="17:17" x14ac:dyDescent="0.25">
      <c r="Q54705" s="8"/>
    </row>
    <row r="54706" spans="17:17" x14ac:dyDescent="0.25">
      <c r="Q54706" s="8"/>
    </row>
    <row r="54707" spans="17:17" x14ac:dyDescent="0.25">
      <c r="Q54707" s="8"/>
    </row>
    <row r="54708" spans="17:17" x14ac:dyDescent="0.25">
      <c r="Q54708" s="8"/>
    </row>
    <row r="54709" spans="17:17" x14ac:dyDescent="0.25">
      <c r="Q54709" s="8"/>
    </row>
    <row r="54710" spans="17:17" x14ac:dyDescent="0.25">
      <c r="Q54710" s="8"/>
    </row>
    <row r="54711" spans="17:17" x14ac:dyDescent="0.25">
      <c r="Q54711" s="8"/>
    </row>
    <row r="54712" spans="17:17" x14ac:dyDescent="0.25">
      <c r="Q54712" s="8"/>
    </row>
    <row r="54713" spans="17:17" x14ac:dyDescent="0.25">
      <c r="Q54713" s="8"/>
    </row>
    <row r="54714" spans="17:17" x14ac:dyDescent="0.25">
      <c r="Q54714" s="8"/>
    </row>
    <row r="54715" spans="17:17" x14ac:dyDescent="0.25">
      <c r="Q54715" s="8"/>
    </row>
    <row r="54716" spans="17:17" x14ac:dyDescent="0.25">
      <c r="Q54716" s="8"/>
    </row>
    <row r="54717" spans="17:17" x14ac:dyDescent="0.25">
      <c r="Q54717" s="8"/>
    </row>
    <row r="54718" spans="17:17" x14ac:dyDescent="0.25">
      <c r="Q54718" s="8"/>
    </row>
    <row r="54719" spans="17:17" x14ac:dyDescent="0.25">
      <c r="Q54719" s="8"/>
    </row>
    <row r="54720" spans="17:17" x14ac:dyDescent="0.25">
      <c r="Q54720" s="8"/>
    </row>
    <row r="54721" spans="17:17" x14ac:dyDescent="0.25">
      <c r="Q54721" s="8"/>
    </row>
    <row r="54722" spans="17:17" x14ac:dyDescent="0.25">
      <c r="Q54722" s="8"/>
    </row>
    <row r="54723" spans="17:17" x14ac:dyDescent="0.25">
      <c r="Q54723" s="8"/>
    </row>
    <row r="54724" spans="17:17" x14ac:dyDescent="0.25">
      <c r="Q54724" s="8"/>
    </row>
    <row r="54725" spans="17:17" x14ac:dyDescent="0.25">
      <c r="Q54725" s="8"/>
    </row>
    <row r="54726" spans="17:17" x14ac:dyDescent="0.25">
      <c r="Q54726" s="8"/>
    </row>
    <row r="54727" spans="17:17" x14ac:dyDescent="0.25">
      <c r="Q54727" s="8"/>
    </row>
    <row r="54728" spans="17:17" x14ac:dyDescent="0.25">
      <c r="Q54728" s="8"/>
    </row>
    <row r="54729" spans="17:17" x14ac:dyDescent="0.25">
      <c r="Q54729" s="8"/>
    </row>
    <row r="54730" spans="17:17" x14ac:dyDescent="0.25">
      <c r="Q54730" s="8"/>
    </row>
    <row r="54731" spans="17:17" x14ac:dyDescent="0.25">
      <c r="Q54731" s="8"/>
    </row>
    <row r="54732" spans="17:17" x14ac:dyDescent="0.25">
      <c r="Q54732" s="8"/>
    </row>
    <row r="54733" spans="17:17" x14ac:dyDescent="0.25">
      <c r="Q54733" s="8"/>
    </row>
    <row r="54734" spans="17:17" x14ac:dyDescent="0.25">
      <c r="Q54734" s="8"/>
    </row>
    <row r="54735" spans="17:17" x14ac:dyDescent="0.25">
      <c r="Q54735" s="8"/>
    </row>
    <row r="54736" spans="17:17" x14ac:dyDescent="0.25">
      <c r="Q54736" s="8"/>
    </row>
    <row r="54737" spans="17:17" x14ac:dyDescent="0.25">
      <c r="Q54737" s="8"/>
    </row>
    <row r="54738" spans="17:17" x14ac:dyDescent="0.25">
      <c r="Q54738" s="8"/>
    </row>
    <row r="54739" spans="17:17" x14ac:dyDescent="0.25">
      <c r="Q54739" s="8"/>
    </row>
    <row r="54740" spans="17:17" x14ac:dyDescent="0.25">
      <c r="Q54740" s="8"/>
    </row>
    <row r="54741" spans="17:17" x14ac:dyDescent="0.25">
      <c r="Q54741" s="8"/>
    </row>
    <row r="54742" spans="17:17" x14ac:dyDescent="0.25">
      <c r="Q54742" s="8"/>
    </row>
    <row r="54743" spans="17:17" x14ac:dyDescent="0.25">
      <c r="Q54743" s="8"/>
    </row>
    <row r="54744" spans="17:17" x14ac:dyDescent="0.25">
      <c r="Q54744" s="8"/>
    </row>
    <row r="54745" spans="17:17" x14ac:dyDescent="0.25">
      <c r="Q54745" s="8"/>
    </row>
    <row r="54746" spans="17:17" x14ac:dyDescent="0.25">
      <c r="Q54746" s="8"/>
    </row>
    <row r="54747" spans="17:17" x14ac:dyDescent="0.25">
      <c r="Q54747" s="8"/>
    </row>
    <row r="54748" spans="17:17" x14ac:dyDescent="0.25">
      <c r="Q54748" s="8"/>
    </row>
    <row r="54749" spans="17:17" x14ac:dyDescent="0.25">
      <c r="Q54749" s="8"/>
    </row>
    <row r="54750" spans="17:17" x14ac:dyDescent="0.25">
      <c r="Q54750" s="8"/>
    </row>
    <row r="54751" spans="17:17" x14ac:dyDescent="0.25">
      <c r="Q54751" s="8"/>
    </row>
    <row r="54752" spans="17:17" x14ac:dyDescent="0.25">
      <c r="Q54752" s="8"/>
    </row>
    <row r="54753" spans="17:17" x14ac:dyDescent="0.25">
      <c r="Q54753" s="8"/>
    </row>
    <row r="54754" spans="17:17" x14ac:dyDescent="0.25">
      <c r="Q54754" s="8"/>
    </row>
    <row r="54755" spans="17:17" x14ac:dyDescent="0.25">
      <c r="Q54755" s="8"/>
    </row>
    <row r="54756" spans="17:17" x14ac:dyDescent="0.25">
      <c r="Q54756" s="8"/>
    </row>
    <row r="54757" spans="17:17" x14ac:dyDescent="0.25">
      <c r="Q54757" s="8"/>
    </row>
    <row r="54758" spans="17:17" x14ac:dyDescent="0.25">
      <c r="Q54758" s="8"/>
    </row>
    <row r="54759" spans="17:17" x14ac:dyDescent="0.25">
      <c r="Q54759" s="8"/>
    </row>
    <row r="54760" spans="17:17" x14ac:dyDescent="0.25">
      <c r="Q54760" s="8"/>
    </row>
    <row r="54761" spans="17:17" x14ac:dyDescent="0.25">
      <c r="Q54761" s="8"/>
    </row>
    <row r="54762" spans="17:17" x14ac:dyDescent="0.25">
      <c r="Q54762" s="8"/>
    </row>
    <row r="54763" spans="17:17" x14ac:dyDescent="0.25">
      <c r="Q54763" s="8"/>
    </row>
    <row r="54764" spans="17:17" x14ac:dyDescent="0.25">
      <c r="Q54764" s="8"/>
    </row>
    <row r="54765" spans="17:17" x14ac:dyDescent="0.25">
      <c r="Q54765" s="8"/>
    </row>
    <row r="54766" spans="17:17" x14ac:dyDescent="0.25">
      <c r="Q54766" s="8"/>
    </row>
    <row r="54767" spans="17:17" x14ac:dyDescent="0.25">
      <c r="Q54767" s="8"/>
    </row>
    <row r="54768" spans="17:17" x14ac:dyDescent="0.25">
      <c r="Q54768" s="8"/>
    </row>
    <row r="54769" spans="17:17" x14ac:dyDescent="0.25">
      <c r="Q54769" s="8"/>
    </row>
    <row r="54770" spans="17:17" x14ac:dyDescent="0.25">
      <c r="Q54770" s="8"/>
    </row>
    <row r="54771" spans="17:17" x14ac:dyDescent="0.25">
      <c r="Q54771" s="8"/>
    </row>
    <row r="54772" spans="17:17" x14ac:dyDescent="0.25">
      <c r="Q54772" s="8"/>
    </row>
    <row r="54773" spans="17:17" x14ac:dyDescent="0.25">
      <c r="Q54773" s="8"/>
    </row>
    <row r="54774" spans="17:17" x14ac:dyDescent="0.25">
      <c r="Q54774" s="8"/>
    </row>
    <row r="54775" spans="17:17" x14ac:dyDescent="0.25">
      <c r="Q54775" s="8"/>
    </row>
    <row r="54776" spans="17:17" x14ac:dyDescent="0.25">
      <c r="Q54776" s="8"/>
    </row>
    <row r="54777" spans="17:17" x14ac:dyDescent="0.25">
      <c r="Q54777" s="8"/>
    </row>
    <row r="54778" spans="17:17" x14ac:dyDescent="0.25">
      <c r="Q54778" s="8"/>
    </row>
    <row r="54779" spans="17:17" x14ac:dyDescent="0.25">
      <c r="Q54779" s="8"/>
    </row>
    <row r="54780" spans="17:17" x14ac:dyDescent="0.25">
      <c r="Q54780" s="8"/>
    </row>
    <row r="54781" spans="17:17" x14ac:dyDescent="0.25">
      <c r="Q54781" s="8"/>
    </row>
    <row r="54782" spans="17:17" x14ac:dyDescent="0.25">
      <c r="Q54782" s="8"/>
    </row>
    <row r="54783" spans="17:17" x14ac:dyDescent="0.25">
      <c r="Q54783" s="8"/>
    </row>
    <row r="54784" spans="17:17" x14ac:dyDescent="0.25">
      <c r="Q54784" s="8"/>
    </row>
    <row r="54785" spans="17:17" x14ac:dyDescent="0.25">
      <c r="Q54785" s="8"/>
    </row>
    <row r="54786" spans="17:17" x14ac:dyDescent="0.25">
      <c r="Q54786" s="8"/>
    </row>
    <row r="54787" spans="17:17" x14ac:dyDescent="0.25">
      <c r="Q54787" s="8"/>
    </row>
    <row r="54788" spans="17:17" x14ac:dyDescent="0.25">
      <c r="Q54788" s="8"/>
    </row>
    <row r="54789" spans="17:17" x14ac:dyDescent="0.25">
      <c r="Q54789" s="8"/>
    </row>
    <row r="54790" spans="17:17" x14ac:dyDescent="0.25">
      <c r="Q54790" s="8"/>
    </row>
    <row r="54791" spans="17:17" x14ac:dyDescent="0.25">
      <c r="Q54791" s="8"/>
    </row>
    <row r="54792" spans="17:17" x14ac:dyDescent="0.25">
      <c r="Q54792" s="8"/>
    </row>
    <row r="54793" spans="17:17" x14ac:dyDescent="0.25">
      <c r="Q54793" s="8"/>
    </row>
    <row r="54794" spans="17:17" x14ac:dyDescent="0.25">
      <c r="Q54794" s="8"/>
    </row>
    <row r="54795" spans="17:17" x14ac:dyDescent="0.25">
      <c r="Q54795" s="8"/>
    </row>
    <row r="54796" spans="17:17" x14ac:dyDescent="0.25">
      <c r="Q54796" s="8"/>
    </row>
    <row r="54797" spans="17:17" x14ac:dyDescent="0.25">
      <c r="Q54797" s="8"/>
    </row>
    <row r="54798" spans="17:17" x14ac:dyDescent="0.25">
      <c r="Q54798" s="8"/>
    </row>
    <row r="54799" spans="17:17" x14ac:dyDescent="0.25">
      <c r="Q54799" s="8"/>
    </row>
    <row r="54800" spans="17:17" x14ac:dyDescent="0.25">
      <c r="Q54800" s="8"/>
    </row>
    <row r="54801" spans="17:17" x14ac:dyDescent="0.25">
      <c r="Q54801" s="8"/>
    </row>
    <row r="54802" spans="17:17" x14ac:dyDescent="0.25">
      <c r="Q54802" s="8"/>
    </row>
    <row r="54803" spans="17:17" x14ac:dyDescent="0.25">
      <c r="Q54803" s="8"/>
    </row>
    <row r="54804" spans="17:17" x14ac:dyDescent="0.25">
      <c r="Q54804" s="8"/>
    </row>
    <row r="54805" spans="17:17" x14ac:dyDescent="0.25">
      <c r="Q54805" s="8"/>
    </row>
    <row r="54806" spans="17:17" x14ac:dyDescent="0.25">
      <c r="Q54806" s="8"/>
    </row>
    <row r="54807" spans="17:17" x14ac:dyDescent="0.25">
      <c r="Q54807" s="8"/>
    </row>
    <row r="54808" spans="17:17" x14ac:dyDescent="0.25">
      <c r="Q54808" s="8"/>
    </row>
    <row r="54809" spans="17:17" x14ac:dyDescent="0.25">
      <c r="Q54809" s="8"/>
    </row>
    <row r="54810" spans="17:17" x14ac:dyDescent="0.25">
      <c r="Q54810" s="8"/>
    </row>
    <row r="54811" spans="17:17" x14ac:dyDescent="0.25">
      <c r="Q54811" s="8"/>
    </row>
    <row r="54812" spans="17:17" x14ac:dyDescent="0.25">
      <c r="Q54812" s="8"/>
    </row>
    <row r="54813" spans="17:17" x14ac:dyDescent="0.25">
      <c r="Q54813" s="8"/>
    </row>
    <row r="54814" spans="17:17" x14ac:dyDescent="0.25">
      <c r="Q54814" s="8"/>
    </row>
    <row r="54815" spans="17:17" x14ac:dyDescent="0.25">
      <c r="Q54815" s="8"/>
    </row>
    <row r="54816" spans="17:17" x14ac:dyDescent="0.25">
      <c r="Q54816" s="8"/>
    </row>
    <row r="54817" spans="17:17" x14ac:dyDescent="0.25">
      <c r="Q54817" s="8"/>
    </row>
    <row r="54818" spans="17:17" x14ac:dyDescent="0.25">
      <c r="Q54818" s="8"/>
    </row>
    <row r="54819" spans="17:17" x14ac:dyDescent="0.25">
      <c r="Q54819" s="8"/>
    </row>
    <row r="54820" spans="17:17" x14ac:dyDescent="0.25">
      <c r="Q54820" s="8"/>
    </row>
    <row r="54821" spans="17:17" x14ac:dyDescent="0.25">
      <c r="Q54821" s="8"/>
    </row>
    <row r="54822" spans="17:17" x14ac:dyDescent="0.25">
      <c r="Q54822" s="8"/>
    </row>
    <row r="54823" spans="17:17" x14ac:dyDescent="0.25">
      <c r="Q54823" s="8"/>
    </row>
    <row r="54824" spans="17:17" x14ac:dyDescent="0.25">
      <c r="Q54824" s="8"/>
    </row>
    <row r="54825" spans="17:17" x14ac:dyDescent="0.25">
      <c r="Q54825" s="8"/>
    </row>
    <row r="54826" spans="17:17" x14ac:dyDescent="0.25">
      <c r="Q54826" s="8"/>
    </row>
    <row r="54827" spans="17:17" x14ac:dyDescent="0.25">
      <c r="Q54827" s="8"/>
    </row>
    <row r="54828" spans="17:17" x14ac:dyDescent="0.25">
      <c r="Q54828" s="8"/>
    </row>
    <row r="54829" spans="17:17" x14ac:dyDescent="0.25">
      <c r="Q54829" s="8"/>
    </row>
    <row r="54830" spans="17:17" x14ac:dyDescent="0.25">
      <c r="Q54830" s="8"/>
    </row>
    <row r="54831" spans="17:17" x14ac:dyDescent="0.25">
      <c r="Q54831" s="8"/>
    </row>
    <row r="54832" spans="17:17" x14ac:dyDescent="0.25">
      <c r="Q54832" s="8"/>
    </row>
    <row r="54833" spans="17:17" x14ac:dyDescent="0.25">
      <c r="Q54833" s="8"/>
    </row>
    <row r="54834" spans="17:17" x14ac:dyDescent="0.25">
      <c r="Q54834" s="8"/>
    </row>
    <row r="54835" spans="17:17" x14ac:dyDescent="0.25">
      <c r="Q54835" s="8"/>
    </row>
    <row r="54836" spans="17:17" x14ac:dyDescent="0.25">
      <c r="Q54836" s="8"/>
    </row>
    <row r="54837" spans="17:17" x14ac:dyDescent="0.25">
      <c r="Q54837" s="8"/>
    </row>
    <row r="54838" spans="17:17" x14ac:dyDescent="0.25">
      <c r="Q54838" s="8"/>
    </row>
    <row r="54839" spans="17:17" x14ac:dyDescent="0.25">
      <c r="Q54839" s="8"/>
    </row>
    <row r="54840" spans="17:17" x14ac:dyDescent="0.25">
      <c r="Q54840" s="8"/>
    </row>
    <row r="54841" spans="17:17" x14ac:dyDescent="0.25">
      <c r="Q54841" s="8"/>
    </row>
    <row r="54842" spans="17:17" x14ac:dyDescent="0.25">
      <c r="Q54842" s="8"/>
    </row>
    <row r="54843" spans="17:17" x14ac:dyDescent="0.25">
      <c r="Q54843" s="8"/>
    </row>
    <row r="54844" spans="17:17" x14ac:dyDescent="0.25">
      <c r="Q54844" s="8"/>
    </row>
    <row r="54845" spans="17:17" x14ac:dyDescent="0.25">
      <c r="Q54845" s="8"/>
    </row>
    <row r="54846" spans="17:17" x14ac:dyDescent="0.25">
      <c r="Q54846" s="8"/>
    </row>
    <row r="54847" spans="17:17" x14ac:dyDescent="0.25">
      <c r="Q54847" s="8"/>
    </row>
    <row r="54848" spans="17:17" x14ac:dyDescent="0.25">
      <c r="Q54848" s="8"/>
    </row>
    <row r="54849" spans="17:17" x14ac:dyDescent="0.25">
      <c r="Q54849" s="8"/>
    </row>
    <row r="54850" spans="17:17" x14ac:dyDescent="0.25">
      <c r="Q54850" s="8"/>
    </row>
    <row r="54851" spans="17:17" x14ac:dyDescent="0.25">
      <c r="Q54851" s="8"/>
    </row>
    <row r="54852" spans="17:17" x14ac:dyDescent="0.25">
      <c r="Q54852" s="8"/>
    </row>
    <row r="54853" spans="17:17" x14ac:dyDescent="0.25">
      <c r="Q54853" s="8"/>
    </row>
    <row r="54854" spans="17:17" x14ac:dyDescent="0.25">
      <c r="Q54854" s="8"/>
    </row>
    <row r="54855" spans="17:17" x14ac:dyDescent="0.25">
      <c r="Q54855" s="8"/>
    </row>
    <row r="54856" spans="17:17" x14ac:dyDescent="0.25">
      <c r="Q54856" s="8"/>
    </row>
    <row r="54857" spans="17:17" x14ac:dyDescent="0.25">
      <c r="Q54857" s="8"/>
    </row>
    <row r="54858" spans="17:17" x14ac:dyDescent="0.25">
      <c r="Q54858" s="8"/>
    </row>
    <row r="54859" spans="17:17" x14ac:dyDescent="0.25">
      <c r="Q54859" s="8"/>
    </row>
    <row r="54860" spans="17:17" x14ac:dyDescent="0.25">
      <c r="Q54860" s="8"/>
    </row>
    <row r="54861" spans="17:17" x14ac:dyDescent="0.25">
      <c r="Q54861" s="8"/>
    </row>
    <row r="54862" spans="17:17" x14ac:dyDescent="0.25">
      <c r="Q54862" s="8"/>
    </row>
    <row r="54863" spans="17:17" x14ac:dyDescent="0.25">
      <c r="Q54863" s="8"/>
    </row>
    <row r="54864" spans="17:17" x14ac:dyDescent="0.25">
      <c r="Q54864" s="8"/>
    </row>
    <row r="54865" spans="17:17" x14ac:dyDescent="0.25">
      <c r="Q54865" s="8"/>
    </row>
    <row r="54866" spans="17:17" x14ac:dyDescent="0.25">
      <c r="Q54866" s="8"/>
    </row>
    <row r="54867" spans="17:17" x14ac:dyDescent="0.25">
      <c r="Q54867" s="8"/>
    </row>
    <row r="54868" spans="17:17" x14ac:dyDescent="0.25">
      <c r="Q54868" s="8"/>
    </row>
    <row r="54869" spans="17:17" x14ac:dyDescent="0.25">
      <c r="Q54869" s="8"/>
    </row>
    <row r="54870" spans="17:17" x14ac:dyDescent="0.25">
      <c r="Q54870" s="8"/>
    </row>
    <row r="54871" spans="17:17" x14ac:dyDescent="0.25">
      <c r="Q54871" s="8"/>
    </row>
    <row r="54872" spans="17:17" x14ac:dyDescent="0.25">
      <c r="Q54872" s="8"/>
    </row>
    <row r="54873" spans="17:17" x14ac:dyDescent="0.25">
      <c r="Q54873" s="8"/>
    </row>
    <row r="54874" spans="17:17" x14ac:dyDescent="0.25">
      <c r="Q54874" s="8"/>
    </row>
    <row r="54875" spans="17:17" x14ac:dyDescent="0.25">
      <c r="Q54875" s="8"/>
    </row>
    <row r="54876" spans="17:17" x14ac:dyDescent="0.25">
      <c r="Q54876" s="8"/>
    </row>
    <row r="54877" spans="17:17" x14ac:dyDescent="0.25">
      <c r="Q54877" s="8"/>
    </row>
    <row r="54878" spans="17:17" x14ac:dyDescent="0.25">
      <c r="Q54878" s="8"/>
    </row>
    <row r="54879" spans="17:17" x14ac:dyDescent="0.25">
      <c r="Q54879" s="8"/>
    </row>
    <row r="54880" spans="17:17" x14ac:dyDescent="0.25">
      <c r="Q54880" s="8"/>
    </row>
    <row r="54881" spans="17:17" x14ac:dyDescent="0.25">
      <c r="Q54881" s="8"/>
    </row>
    <row r="54882" spans="17:17" x14ac:dyDescent="0.25">
      <c r="Q54882" s="8"/>
    </row>
    <row r="54883" spans="17:17" x14ac:dyDescent="0.25">
      <c r="Q54883" s="8"/>
    </row>
    <row r="54884" spans="17:17" x14ac:dyDescent="0.25">
      <c r="Q54884" s="8"/>
    </row>
    <row r="54885" spans="17:17" x14ac:dyDescent="0.25">
      <c r="Q54885" s="8"/>
    </row>
    <row r="54886" spans="17:17" x14ac:dyDescent="0.25">
      <c r="Q54886" s="8"/>
    </row>
    <row r="54887" spans="17:17" x14ac:dyDescent="0.25">
      <c r="Q54887" s="8"/>
    </row>
    <row r="54888" spans="17:17" x14ac:dyDescent="0.25">
      <c r="Q54888" s="8"/>
    </row>
    <row r="54889" spans="17:17" x14ac:dyDescent="0.25">
      <c r="Q54889" s="8"/>
    </row>
    <row r="54890" spans="17:17" x14ac:dyDescent="0.25">
      <c r="Q54890" s="8"/>
    </row>
    <row r="54891" spans="17:17" x14ac:dyDescent="0.25">
      <c r="Q54891" s="8"/>
    </row>
    <row r="54892" spans="17:17" x14ac:dyDescent="0.25">
      <c r="Q54892" s="8"/>
    </row>
    <row r="54893" spans="17:17" x14ac:dyDescent="0.25">
      <c r="Q54893" s="8"/>
    </row>
    <row r="54894" spans="17:17" x14ac:dyDescent="0.25">
      <c r="Q54894" s="8"/>
    </row>
    <row r="54895" spans="17:17" x14ac:dyDescent="0.25">
      <c r="Q54895" s="8"/>
    </row>
    <row r="54896" spans="17:17" x14ac:dyDescent="0.25">
      <c r="Q54896" s="8"/>
    </row>
    <row r="54897" spans="17:17" x14ac:dyDescent="0.25">
      <c r="Q54897" s="8"/>
    </row>
    <row r="54898" spans="17:17" x14ac:dyDescent="0.25">
      <c r="Q54898" s="8"/>
    </row>
    <row r="54899" spans="17:17" x14ac:dyDescent="0.25">
      <c r="Q54899" s="8"/>
    </row>
    <row r="54900" spans="17:17" x14ac:dyDescent="0.25">
      <c r="Q54900" s="8"/>
    </row>
    <row r="54901" spans="17:17" x14ac:dyDescent="0.25">
      <c r="Q54901" s="8"/>
    </row>
    <row r="54902" spans="17:17" x14ac:dyDescent="0.25">
      <c r="Q54902" s="8"/>
    </row>
    <row r="54903" spans="17:17" x14ac:dyDescent="0.25">
      <c r="Q54903" s="8"/>
    </row>
    <row r="54904" spans="17:17" x14ac:dyDescent="0.25">
      <c r="Q54904" s="8"/>
    </row>
    <row r="54905" spans="17:17" x14ac:dyDescent="0.25">
      <c r="Q54905" s="8"/>
    </row>
    <row r="54906" spans="17:17" x14ac:dyDescent="0.25">
      <c r="Q54906" s="8"/>
    </row>
    <row r="54907" spans="17:17" x14ac:dyDescent="0.25">
      <c r="Q54907" s="8"/>
    </row>
    <row r="54908" spans="17:17" x14ac:dyDescent="0.25">
      <c r="Q54908" s="8"/>
    </row>
    <row r="54909" spans="17:17" x14ac:dyDescent="0.25">
      <c r="Q54909" s="8"/>
    </row>
    <row r="54910" spans="17:17" x14ac:dyDescent="0.25">
      <c r="Q54910" s="8"/>
    </row>
    <row r="54911" spans="17:17" x14ac:dyDescent="0.25">
      <c r="Q54911" s="8"/>
    </row>
    <row r="54912" spans="17:17" x14ac:dyDescent="0.25">
      <c r="Q54912" s="8"/>
    </row>
    <row r="54913" spans="17:17" x14ac:dyDescent="0.25">
      <c r="Q54913" s="8"/>
    </row>
    <row r="54914" spans="17:17" x14ac:dyDescent="0.25">
      <c r="Q54914" s="8"/>
    </row>
    <row r="54915" spans="17:17" x14ac:dyDescent="0.25">
      <c r="Q54915" s="8"/>
    </row>
    <row r="54916" spans="17:17" x14ac:dyDescent="0.25">
      <c r="Q54916" s="8"/>
    </row>
    <row r="54917" spans="17:17" x14ac:dyDescent="0.25">
      <c r="Q54917" s="8"/>
    </row>
    <row r="54918" spans="17:17" x14ac:dyDescent="0.25">
      <c r="Q54918" s="8"/>
    </row>
    <row r="54919" spans="17:17" x14ac:dyDescent="0.25">
      <c r="Q54919" s="8"/>
    </row>
    <row r="54920" spans="17:17" x14ac:dyDescent="0.25">
      <c r="Q54920" s="8"/>
    </row>
    <row r="54921" spans="17:17" x14ac:dyDescent="0.25">
      <c r="Q54921" s="8"/>
    </row>
    <row r="54922" spans="17:17" x14ac:dyDescent="0.25">
      <c r="Q54922" s="8"/>
    </row>
    <row r="54923" spans="17:17" x14ac:dyDescent="0.25">
      <c r="Q54923" s="8"/>
    </row>
    <row r="54924" spans="17:17" x14ac:dyDescent="0.25">
      <c r="Q54924" s="8"/>
    </row>
    <row r="54925" spans="17:17" x14ac:dyDescent="0.25">
      <c r="Q54925" s="8"/>
    </row>
    <row r="54926" spans="17:17" x14ac:dyDescent="0.25">
      <c r="Q54926" s="8"/>
    </row>
    <row r="54927" spans="17:17" x14ac:dyDescent="0.25">
      <c r="Q54927" s="8"/>
    </row>
    <row r="54928" spans="17:17" x14ac:dyDescent="0.25">
      <c r="Q54928" s="8"/>
    </row>
    <row r="54929" spans="17:17" x14ac:dyDescent="0.25">
      <c r="Q54929" s="8"/>
    </row>
    <row r="54930" spans="17:17" x14ac:dyDescent="0.25">
      <c r="Q54930" s="8"/>
    </row>
    <row r="54931" spans="17:17" x14ac:dyDescent="0.25">
      <c r="Q54931" s="8"/>
    </row>
    <row r="54932" spans="17:17" x14ac:dyDescent="0.25">
      <c r="Q54932" s="8"/>
    </row>
    <row r="54933" spans="17:17" x14ac:dyDescent="0.25">
      <c r="Q54933" s="8"/>
    </row>
    <row r="54934" spans="17:17" x14ac:dyDescent="0.25">
      <c r="Q54934" s="8"/>
    </row>
    <row r="54935" spans="17:17" x14ac:dyDescent="0.25">
      <c r="Q54935" s="8"/>
    </row>
    <row r="54936" spans="17:17" x14ac:dyDescent="0.25">
      <c r="Q54936" s="8"/>
    </row>
    <row r="54937" spans="17:17" x14ac:dyDescent="0.25">
      <c r="Q54937" s="8"/>
    </row>
    <row r="54938" spans="17:17" x14ac:dyDescent="0.25">
      <c r="Q54938" s="8"/>
    </row>
    <row r="54939" spans="17:17" x14ac:dyDescent="0.25">
      <c r="Q54939" s="8"/>
    </row>
    <row r="54940" spans="17:17" x14ac:dyDescent="0.25">
      <c r="Q54940" s="8"/>
    </row>
    <row r="54941" spans="17:17" x14ac:dyDescent="0.25">
      <c r="Q54941" s="8"/>
    </row>
    <row r="54942" spans="17:17" x14ac:dyDescent="0.25">
      <c r="Q54942" s="8"/>
    </row>
    <row r="54943" spans="17:17" x14ac:dyDescent="0.25">
      <c r="Q54943" s="8"/>
    </row>
    <row r="54944" spans="17:17" x14ac:dyDescent="0.25">
      <c r="Q54944" s="8"/>
    </row>
    <row r="54945" spans="17:17" x14ac:dyDescent="0.25">
      <c r="Q54945" s="8"/>
    </row>
    <row r="54946" spans="17:17" x14ac:dyDescent="0.25">
      <c r="Q54946" s="8"/>
    </row>
    <row r="54947" spans="17:17" x14ac:dyDescent="0.25">
      <c r="Q54947" s="8"/>
    </row>
    <row r="54948" spans="17:17" x14ac:dyDescent="0.25">
      <c r="Q54948" s="8"/>
    </row>
    <row r="54949" spans="17:17" x14ac:dyDescent="0.25">
      <c r="Q54949" s="8"/>
    </row>
    <row r="54950" spans="17:17" x14ac:dyDescent="0.25">
      <c r="Q54950" s="8"/>
    </row>
    <row r="54951" spans="17:17" x14ac:dyDescent="0.25">
      <c r="Q54951" s="8"/>
    </row>
    <row r="54952" spans="17:17" x14ac:dyDescent="0.25">
      <c r="Q54952" s="8"/>
    </row>
    <row r="54953" spans="17:17" x14ac:dyDescent="0.25">
      <c r="Q54953" s="8"/>
    </row>
    <row r="54954" spans="17:17" x14ac:dyDescent="0.25">
      <c r="Q54954" s="8"/>
    </row>
    <row r="54955" spans="17:17" x14ac:dyDescent="0.25">
      <c r="Q54955" s="8"/>
    </row>
    <row r="54956" spans="17:17" x14ac:dyDescent="0.25">
      <c r="Q54956" s="8"/>
    </row>
    <row r="54957" spans="17:17" x14ac:dyDescent="0.25">
      <c r="Q54957" s="8"/>
    </row>
    <row r="54958" spans="17:17" x14ac:dyDescent="0.25">
      <c r="Q54958" s="8"/>
    </row>
    <row r="54959" spans="17:17" x14ac:dyDescent="0.25">
      <c r="Q54959" s="8"/>
    </row>
    <row r="54960" spans="17:17" x14ac:dyDescent="0.25">
      <c r="Q54960" s="8"/>
    </row>
    <row r="54961" spans="17:17" x14ac:dyDescent="0.25">
      <c r="Q54961" s="8"/>
    </row>
    <row r="54962" spans="17:17" x14ac:dyDescent="0.25">
      <c r="Q54962" s="8"/>
    </row>
    <row r="54963" spans="17:17" x14ac:dyDescent="0.25">
      <c r="Q54963" s="8"/>
    </row>
    <row r="54964" spans="17:17" x14ac:dyDescent="0.25">
      <c r="Q54964" s="8"/>
    </row>
    <row r="54965" spans="17:17" x14ac:dyDescent="0.25">
      <c r="Q54965" s="8"/>
    </row>
    <row r="54966" spans="17:17" x14ac:dyDescent="0.25">
      <c r="Q54966" s="8"/>
    </row>
    <row r="54967" spans="17:17" x14ac:dyDescent="0.25">
      <c r="Q54967" s="8"/>
    </row>
    <row r="54968" spans="17:17" x14ac:dyDescent="0.25">
      <c r="Q54968" s="8"/>
    </row>
    <row r="54969" spans="17:17" x14ac:dyDescent="0.25">
      <c r="Q54969" s="8"/>
    </row>
    <row r="54970" spans="17:17" x14ac:dyDescent="0.25">
      <c r="Q54970" s="8"/>
    </row>
    <row r="54971" spans="17:17" x14ac:dyDescent="0.25">
      <c r="Q54971" s="8"/>
    </row>
    <row r="54972" spans="17:17" x14ac:dyDescent="0.25">
      <c r="Q54972" s="8"/>
    </row>
    <row r="54973" spans="17:17" x14ac:dyDescent="0.25">
      <c r="Q54973" s="8"/>
    </row>
    <row r="54974" spans="17:17" x14ac:dyDescent="0.25">
      <c r="Q54974" s="8"/>
    </row>
    <row r="54975" spans="17:17" x14ac:dyDescent="0.25">
      <c r="Q54975" s="8"/>
    </row>
    <row r="54976" spans="17:17" x14ac:dyDescent="0.25">
      <c r="Q54976" s="8"/>
    </row>
    <row r="54977" spans="17:17" x14ac:dyDescent="0.25">
      <c r="Q54977" s="8"/>
    </row>
    <row r="54978" spans="17:17" x14ac:dyDescent="0.25">
      <c r="Q54978" s="8"/>
    </row>
    <row r="54979" spans="17:17" x14ac:dyDescent="0.25">
      <c r="Q54979" s="8"/>
    </row>
    <row r="54980" spans="17:17" x14ac:dyDescent="0.25">
      <c r="Q54980" s="8"/>
    </row>
    <row r="54981" spans="17:17" x14ac:dyDescent="0.25">
      <c r="Q54981" s="8"/>
    </row>
    <row r="54982" spans="17:17" x14ac:dyDescent="0.25">
      <c r="Q54982" s="8"/>
    </row>
    <row r="54983" spans="17:17" x14ac:dyDescent="0.25">
      <c r="Q54983" s="8"/>
    </row>
    <row r="54984" spans="17:17" x14ac:dyDescent="0.25">
      <c r="Q54984" s="8"/>
    </row>
    <row r="54985" spans="17:17" x14ac:dyDescent="0.25">
      <c r="Q54985" s="8"/>
    </row>
    <row r="54986" spans="17:17" x14ac:dyDescent="0.25">
      <c r="Q54986" s="8"/>
    </row>
    <row r="54987" spans="17:17" x14ac:dyDescent="0.25">
      <c r="Q54987" s="8"/>
    </row>
    <row r="54988" spans="17:17" x14ac:dyDescent="0.25">
      <c r="Q54988" s="8"/>
    </row>
    <row r="54989" spans="17:17" x14ac:dyDescent="0.25">
      <c r="Q54989" s="8"/>
    </row>
    <row r="54990" spans="17:17" x14ac:dyDescent="0.25">
      <c r="Q54990" s="8"/>
    </row>
    <row r="54991" spans="17:17" x14ac:dyDescent="0.25">
      <c r="Q54991" s="8"/>
    </row>
    <row r="54992" spans="17:17" x14ac:dyDescent="0.25">
      <c r="Q54992" s="8"/>
    </row>
    <row r="54993" spans="17:17" x14ac:dyDescent="0.25">
      <c r="Q54993" s="8"/>
    </row>
    <row r="54994" spans="17:17" x14ac:dyDescent="0.25">
      <c r="Q54994" s="8"/>
    </row>
    <row r="54995" spans="17:17" x14ac:dyDescent="0.25">
      <c r="Q54995" s="8"/>
    </row>
    <row r="54996" spans="17:17" x14ac:dyDescent="0.25">
      <c r="Q54996" s="8"/>
    </row>
    <row r="54997" spans="17:17" x14ac:dyDescent="0.25">
      <c r="Q54997" s="8"/>
    </row>
    <row r="54998" spans="17:17" x14ac:dyDescent="0.25">
      <c r="Q54998" s="8"/>
    </row>
    <row r="54999" spans="17:17" x14ac:dyDescent="0.25">
      <c r="Q54999" s="8"/>
    </row>
    <row r="55000" spans="17:17" x14ac:dyDescent="0.25">
      <c r="Q55000" s="8"/>
    </row>
    <row r="55001" spans="17:17" x14ac:dyDescent="0.25">
      <c r="Q55001" s="8"/>
    </row>
    <row r="55002" spans="17:17" x14ac:dyDescent="0.25">
      <c r="Q55002" s="8"/>
    </row>
    <row r="55003" spans="17:17" x14ac:dyDescent="0.25">
      <c r="Q55003" s="8"/>
    </row>
    <row r="55004" spans="17:17" x14ac:dyDescent="0.25">
      <c r="Q55004" s="8"/>
    </row>
    <row r="55005" spans="17:17" x14ac:dyDescent="0.25">
      <c r="Q55005" s="8"/>
    </row>
    <row r="55006" spans="17:17" x14ac:dyDescent="0.25">
      <c r="Q55006" s="8"/>
    </row>
    <row r="55007" spans="17:17" x14ac:dyDescent="0.25">
      <c r="Q55007" s="8"/>
    </row>
    <row r="55008" spans="17:17" x14ac:dyDescent="0.25">
      <c r="Q55008" s="8"/>
    </row>
    <row r="55009" spans="17:17" x14ac:dyDescent="0.25">
      <c r="Q55009" s="8"/>
    </row>
    <row r="55010" spans="17:17" x14ac:dyDescent="0.25">
      <c r="Q55010" s="8"/>
    </row>
    <row r="55011" spans="17:17" x14ac:dyDescent="0.25">
      <c r="Q55011" s="8"/>
    </row>
    <row r="55012" spans="17:17" x14ac:dyDescent="0.25">
      <c r="Q55012" s="8"/>
    </row>
    <row r="55013" spans="17:17" x14ac:dyDescent="0.25">
      <c r="Q55013" s="8"/>
    </row>
    <row r="55014" spans="17:17" x14ac:dyDescent="0.25">
      <c r="Q55014" s="8"/>
    </row>
    <row r="55015" spans="17:17" x14ac:dyDescent="0.25">
      <c r="Q55015" s="8"/>
    </row>
    <row r="55016" spans="17:17" x14ac:dyDescent="0.25">
      <c r="Q55016" s="8"/>
    </row>
    <row r="55017" spans="17:17" x14ac:dyDescent="0.25">
      <c r="Q55017" s="8"/>
    </row>
    <row r="55018" spans="17:17" x14ac:dyDescent="0.25">
      <c r="Q55018" s="8"/>
    </row>
    <row r="55019" spans="17:17" x14ac:dyDescent="0.25">
      <c r="Q55019" s="8"/>
    </row>
    <row r="55020" spans="17:17" x14ac:dyDescent="0.25">
      <c r="Q55020" s="8"/>
    </row>
    <row r="55021" spans="17:17" x14ac:dyDescent="0.25">
      <c r="Q55021" s="8"/>
    </row>
    <row r="55022" spans="17:17" x14ac:dyDescent="0.25">
      <c r="Q55022" s="8"/>
    </row>
    <row r="55023" spans="17:17" x14ac:dyDescent="0.25">
      <c r="Q55023" s="8"/>
    </row>
    <row r="55024" spans="17:17" x14ac:dyDescent="0.25">
      <c r="Q55024" s="8"/>
    </row>
    <row r="55025" spans="17:17" x14ac:dyDescent="0.25">
      <c r="Q55025" s="8"/>
    </row>
    <row r="55026" spans="17:17" x14ac:dyDescent="0.25">
      <c r="Q55026" s="8"/>
    </row>
    <row r="55027" spans="17:17" x14ac:dyDescent="0.25">
      <c r="Q55027" s="8"/>
    </row>
    <row r="55028" spans="17:17" x14ac:dyDescent="0.25">
      <c r="Q55028" s="8"/>
    </row>
    <row r="55029" spans="17:17" x14ac:dyDescent="0.25">
      <c r="Q55029" s="8"/>
    </row>
    <row r="55030" spans="17:17" x14ac:dyDescent="0.25">
      <c r="Q55030" s="8"/>
    </row>
    <row r="55031" spans="17:17" x14ac:dyDescent="0.25">
      <c r="Q55031" s="8"/>
    </row>
    <row r="55032" spans="17:17" x14ac:dyDescent="0.25">
      <c r="Q55032" s="8"/>
    </row>
    <row r="55033" spans="17:17" x14ac:dyDescent="0.25">
      <c r="Q55033" s="8"/>
    </row>
    <row r="55034" spans="17:17" x14ac:dyDescent="0.25">
      <c r="Q55034" s="8"/>
    </row>
    <row r="55035" spans="17:17" x14ac:dyDescent="0.25">
      <c r="Q55035" s="8"/>
    </row>
    <row r="55036" spans="17:17" x14ac:dyDescent="0.25">
      <c r="Q55036" s="8"/>
    </row>
    <row r="55037" spans="17:17" x14ac:dyDescent="0.25">
      <c r="Q55037" s="8"/>
    </row>
    <row r="55038" spans="17:17" x14ac:dyDescent="0.25">
      <c r="Q55038" s="8"/>
    </row>
    <row r="55039" spans="17:17" x14ac:dyDescent="0.25">
      <c r="Q55039" s="8"/>
    </row>
    <row r="55040" spans="17:17" x14ac:dyDescent="0.25">
      <c r="Q55040" s="8"/>
    </row>
    <row r="55041" spans="17:17" x14ac:dyDescent="0.25">
      <c r="Q55041" s="8"/>
    </row>
    <row r="55042" spans="17:17" x14ac:dyDescent="0.25">
      <c r="Q55042" s="8"/>
    </row>
    <row r="55043" spans="17:17" x14ac:dyDescent="0.25">
      <c r="Q55043" s="8"/>
    </row>
    <row r="55044" spans="17:17" x14ac:dyDescent="0.25">
      <c r="Q55044" s="8"/>
    </row>
    <row r="55045" spans="17:17" x14ac:dyDescent="0.25">
      <c r="Q55045" s="8"/>
    </row>
    <row r="55046" spans="17:17" x14ac:dyDescent="0.25">
      <c r="Q55046" s="8"/>
    </row>
    <row r="55047" spans="17:17" x14ac:dyDescent="0.25">
      <c r="Q55047" s="8"/>
    </row>
    <row r="55048" spans="17:17" x14ac:dyDescent="0.25">
      <c r="Q55048" s="8"/>
    </row>
    <row r="55049" spans="17:17" x14ac:dyDescent="0.25">
      <c r="Q55049" s="8"/>
    </row>
    <row r="55050" spans="17:17" x14ac:dyDescent="0.25">
      <c r="Q55050" s="8"/>
    </row>
    <row r="55051" spans="17:17" x14ac:dyDescent="0.25">
      <c r="Q55051" s="8"/>
    </row>
    <row r="55052" spans="17:17" x14ac:dyDescent="0.25">
      <c r="Q55052" s="8"/>
    </row>
    <row r="55053" spans="17:17" x14ac:dyDescent="0.25">
      <c r="Q55053" s="8"/>
    </row>
    <row r="55054" spans="17:17" x14ac:dyDescent="0.25">
      <c r="Q55054" s="8"/>
    </row>
    <row r="55055" spans="17:17" x14ac:dyDescent="0.25">
      <c r="Q55055" s="8"/>
    </row>
    <row r="55056" spans="17:17" x14ac:dyDescent="0.25">
      <c r="Q55056" s="8"/>
    </row>
    <row r="55057" spans="17:17" x14ac:dyDescent="0.25">
      <c r="Q55057" s="8"/>
    </row>
    <row r="55058" spans="17:17" x14ac:dyDescent="0.25">
      <c r="Q55058" s="8"/>
    </row>
    <row r="55059" spans="17:17" x14ac:dyDescent="0.25">
      <c r="Q55059" s="8"/>
    </row>
    <row r="55060" spans="17:17" x14ac:dyDescent="0.25">
      <c r="Q55060" s="8"/>
    </row>
    <row r="55061" spans="17:17" x14ac:dyDescent="0.25">
      <c r="Q55061" s="8"/>
    </row>
    <row r="55062" spans="17:17" x14ac:dyDescent="0.25">
      <c r="Q55062" s="8"/>
    </row>
    <row r="55063" spans="17:17" x14ac:dyDescent="0.25">
      <c r="Q55063" s="8"/>
    </row>
    <row r="55064" spans="17:17" x14ac:dyDescent="0.25">
      <c r="Q55064" s="8"/>
    </row>
    <row r="55065" spans="17:17" x14ac:dyDescent="0.25">
      <c r="Q55065" s="8"/>
    </row>
    <row r="55066" spans="17:17" x14ac:dyDescent="0.25">
      <c r="Q55066" s="8"/>
    </row>
    <row r="55067" spans="17:17" x14ac:dyDescent="0.25">
      <c r="Q55067" s="8"/>
    </row>
    <row r="55068" spans="17:17" x14ac:dyDescent="0.25">
      <c r="Q55068" s="8"/>
    </row>
    <row r="55069" spans="17:17" x14ac:dyDescent="0.25">
      <c r="Q55069" s="8"/>
    </row>
    <row r="55070" spans="17:17" x14ac:dyDescent="0.25">
      <c r="Q55070" s="8"/>
    </row>
    <row r="55071" spans="17:17" x14ac:dyDescent="0.25">
      <c r="Q55071" s="8"/>
    </row>
    <row r="55072" spans="17:17" x14ac:dyDescent="0.25">
      <c r="Q55072" s="8"/>
    </row>
    <row r="55073" spans="17:17" x14ac:dyDescent="0.25">
      <c r="Q55073" s="8"/>
    </row>
    <row r="55074" spans="17:17" x14ac:dyDescent="0.25">
      <c r="Q55074" s="8"/>
    </row>
    <row r="55075" spans="17:17" x14ac:dyDescent="0.25">
      <c r="Q55075" s="8"/>
    </row>
    <row r="55076" spans="17:17" x14ac:dyDescent="0.25">
      <c r="Q55076" s="8"/>
    </row>
    <row r="55077" spans="17:17" x14ac:dyDescent="0.25">
      <c r="Q55077" s="8"/>
    </row>
    <row r="55078" spans="17:17" x14ac:dyDescent="0.25">
      <c r="Q55078" s="8"/>
    </row>
    <row r="55079" spans="17:17" x14ac:dyDescent="0.25">
      <c r="Q55079" s="8"/>
    </row>
    <row r="55080" spans="17:17" x14ac:dyDescent="0.25">
      <c r="Q55080" s="8"/>
    </row>
    <row r="55081" spans="17:17" x14ac:dyDescent="0.25">
      <c r="Q55081" s="8"/>
    </row>
    <row r="55082" spans="17:17" x14ac:dyDescent="0.25">
      <c r="Q55082" s="8"/>
    </row>
    <row r="55083" spans="17:17" x14ac:dyDescent="0.25">
      <c r="Q55083" s="8"/>
    </row>
    <row r="55084" spans="17:17" x14ac:dyDescent="0.25">
      <c r="Q55084" s="8"/>
    </row>
    <row r="55085" spans="17:17" x14ac:dyDescent="0.25">
      <c r="Q55085" s="8"/>
    </row>
    <row r="55086" spans="17:17" x14ac:dyDescent="0.25">
      <c r="Q55086" s="8"/>
    </row>
    <row r="55087" spans="17:17" x14ac:dyDescent="0.25">
      <c r="Q55087" s="8"/>
    </row>
    <row r="55088" spans="17:17" x14ac:dyDescent="0.25">
      <c r="Q55088" s="8"/>
    </row>
    <row r="55089" spans="17:17" x14ac:dyDescent="0.25">
      <c r="Q55089" s="8"/>
    </row>
    <row r="55090" spans="17:17" x14ac:dyDescent="0.25">
      <c r="Q55090" s="8"/>
    </row>
    <row r="55091" spans="17:17" x14ac:dyDescent="0.25">
      <c r="Q55091" s="8"/>
    </row>
    <row r="55092" spans="17:17" x14ac:dyDescent="0.25">
      <c r="Q55092" s="8"/>
    </row>
    <row r="55093" spans="17:17" x14ac:dyDescent="0.25">
      <c r="Q55093" s="8"/>
    </row>
    <row r="55094" spans="17:17" x14ac:dyDescent="0.25">
      <c r="Q55094" s="8"/>
    </row>
    <row r="55095" spans="17:17" x14ac:dyDescent="0.25">
      <c r="Q55095" s="8"/>
    </row>
    <row r="55096" spans="17:17" x14ac:dyDescent="0.25">
      <c r="Q55096" s="8"/>
    </row>
    <row r="55097" spans="17:17" x14ac:dyDescent="0.25">
      <c r="Q55097" s="8"/>
    </row>
    <row r="55098" spans="17:17" x14ac:dyDescent="0.25">
      <c r="Q55098" s="8"/>
    </row>
    <row r="55099" spans="17:17" x14ac:dyDescent="0.25">
      <c r="Q55099" s="8"/>
    </row>
    <row r="55100" spans="17:17" x14ac:dyDescent="0.25">
      <c r="Q55100" s="8"/>
    </row>
    <row r="55101" spans="17:17" x14ac:dyDescent="0.25">
      <c r="Q55101" s="8"/>
    </row>
    <row r="55102" spans="17:17" x14ac:dyDescent="0.25">
      <c r="Q55102" s="8"/>
    </row>
    <row r="55103" spans="17:17" x14ac:dyDescent="0.25">
      <c r="Q55103" s="8"/>
    </row>
    <row r="55104" spans="17:17" x14ac:dyDescent="0.25">
      <c r="Q55104" s="8"/>
    </row>
    <row r="55105" spans="17:17" x14ac:dyDescent="0.25">
      <c r="Q55105" s="8"/>
    </row>
    <row r="55106" spans="17:17" x14ac:dyDescent="0.25">
      <c r="Q55106" s="8"/>
    </row>
    <row r="55107" spans="17:17" x14ac:dyDescent="0.25">
      <c r="Q55107" s="8"/>
    </row>
    <row r="55108" spans="17:17" x14ac:dyDescent="0.25">
      <c r="Q55108" s="8"/>
    </row>
    <row r="55109" spans="17:17" x14ac:dyDescent="0.25">
      <c r="Q55109" s="8"/>
    </row>
    <row r="55110" spans="17:17" x14ac:dyDescent="0.25">
      <c r="Q55110" s="8"/>
    </row>
    <row r="55111" spans="17:17" x14ac:dyDescent="0.25">
      <c r="Q55111" s="8"/>
    </row>
    <row r="55112" spans="17:17" x14ac:dyDescent="0.25">
      <c r="Q55112" s="8"/>
    </row>
    <row r="55113" spans="17:17" x14ac:dyDescent="0.25">
      <c r="Q55113" s="8"/>
    </row>
    <row r="55114" spans="17:17" x14ac:dyDescent="0.25">
      <c r="Q55114" s="8"/>
    </row>
    <row r="55115" spans="17:17" x14ac:dyDescent="0.25">
      <c r="Q55115" s="8"/>
    </row>
    <row r="55116" spans="17:17" x14ac:dyDescent="0.25">
      <c r="Q55116" s="8"/>
    </row>
    <row r="55117" spans="17:17" x14ac:dyDescent="0.25">
      <c r="Q55117" s="8"/>
    </row>
    <row r="55118" spans="17:17" x14ac:dyDescent="0.25">
      <c r="Q55118" s="8"/>
    </row>
    <row r="55119" spans="17:17" x14ac:dyDescent="0.25">
      <c r="Q55119" s="8"/>
    </row>
    <row r="55120" spans="17:17" x14ac:dyDescent="0.25">
      <c r="Q55120" s="8"/>
    </row>
    <row r="55121" spans="17:17" x14ac:dyDescent="0.25">
      <c r="Q55121" s="8"/>
    </row>
    <row r="55122" spans="17:17" x14ac:dyDescent="0.25">
      <c r="Q55122" s="8"/>
    </row>
    <row r="55123" spans="17:17" x14ac:dyDescent="0.25">
      <c r="Q55123" s="8"/>
    </row>
    <row r="55124" spans="17:17" x14ac:dyDescent="0.25">
      <c r="Q55124" s="8"/>
    </row>
    <row r="55125" spans="17:17" x14ac:dyDescent="0.25">
      <c r="Q55125" s="8"/>
    </row>
    <row r="55126" spans="17:17" x14ac:dyDescent="0.25">
      <c r="Q55126" s="8"/>
    </row>
    <row r="55127" spans="17:17" x14ac:dyDescent="0.25">
      <c r="Q55127" s="8"/>
    </row>
    <row r="55128" spans="17:17" x14ac:dyDescent="0.25">
      <c r="Q55128" s="8"/>
    </row>
    <row r="55129" spans="17:17" x14ac:dyDescent="0.25">
      <c r="Q55129" s="8"/>
    </row>
    <row r="55130" spans="17:17" x14ac:dyDescent="0.25">
      <c r="Q55130" s="8"/>
    </row>
    <row r="55131" spans="17:17" x14ac:dyDescent="0.25">
      <c r="Q55131" s="8"/>
    </row>
    <row r="55132" spans="17:17" x14ac:dyDescent="0.25">
      <c r="Q55132" s="8"/>
    </row>
    <row r="55133" spans="17:17" x14ac:dyDescent="0.25">
      <c r="Q55133" s="8"/>
    </row>
    <row r="55134" spans="17:17" x14ac:dyDescent="0.25">
      <c r="Q55134" s="8"/>
    </row>
    <row r="55135" spans="17:17" x14ac:dyDescent="0.25">
      <c r="Q55135" s="8"/>
    </row>
    <row r="55136" spans="17:17" x14ac:dyDescent="0.25">
      <c r="Q55136" s="8"/>
    </row>
    <row r="55137" spans="17:17" x14ac:dyDescent="0.25">
      <c r="Q55137" s="8"/>
    </row>
    <row r="55138" spans="17:17" x14ac:dyDescent="0.25">
      <c r="Q55138" s="8"/>
    </row>
    <row r="55139" spans="17:17" x14ac:dyDescent="0.25">
      <c r="Q55139" s="8"/>
    </row>
    <row r="55140" spans="17:17" x14ac:dyDescent="0.25">
      <c r="Q55140" s="8"/>
    </row>
    <row r="55141" spans="17:17" x14ac:dyDescent="0.25">
      <c r="Q55141" s="8"/>
    </row>
    <row r="55142" spans="17:17" x14ac:dyDescent="0.25">
      <c r="Q55142" s="8"/>
    </row>
    <row r="55143" spans="17:17" x14ac:dyDescent="0.25">
      <c r="Q55143" s="8"/>
    </row>
    <row r="55144" spans="17:17" x14ac:dyDescent="0.25">
      <c r="Q55144" s="8"/>
    </row>
    <row r="55145" spans="17:17" x14ac:dyDescent="0.25">
      <c r="Q55145" s="8"/>
    </row>
    <row r="55146" spans="17:17" x14ac:dyDescent="0.25">
      <c r="Q55146" s="8"/>
    </row>
    <row r="55147" spans="17:17" x14ac:dyDescent="0.25">
      <c r="Q55147" s="8"/>
    </row>
    <row r="55148" spans="17:17" x14ac:dyDescent="0.25">
      <c r="Q55148" s="8"/>
    </row>
    <row r="55149" spans="17:17" x14ac:dyDescent="0.25">
      <c r="Q55149" s="8"/>
    </row>
    <row r="55150" spans="17:17" x14ac:dyDescent="0.25">
      <c r="Q55150" s="8"/>
    </row>
    <row r="55151" spans="17:17" x14ac:dyDescent="0.25">
      <c r="Q55151" s="8"/>
    </row>
    <row r="55152" spans="17:17" x14ac:dyDescent="0.25">
      <c r="Q55152" s="8"/>
    </row>
    <row r="55153" spans="17:17" x14ac:dyDescent="0.25">
      <c r="Q55153" s="8"/>
    </row>
    <row r="55154" spans="17:17" x14ac:dyDescent="0.25">
      <c r="Q55154" s="8"/>
    </row>
    <row r="55155" spans="17:17" x14ac:dyDescent="0.25">
      <c r="Q55155" s="8"/>
    </row>
    <row r="55156" spans="17:17" x14ac:dyDescent="0.25">
      <c r="Q55156" s="8"/>
    </row>
    <row r="55157" spans="17:17" x14ac:dyDescent="0.25">
      <c r="Q55157" s="8"/>
    </row>
    <row r="55158" spans="17:17" x14ac:dyDescent="0.25">
      <c r="Q55158" s="8"/>
    </row>
    <row r="55159" spans="17:17" x14ac:dyDescent="0.25">
      <c r="Q55159" s="8"/>
    </row>
    <row r="55160" spans="17:17" x14ac:dyDescent="0.25">
      <c r="Q55160" s="8"/>
    </row>
    <row r="55161" spans="17:17" x14ac:dyDescent="0.25">
      <c r="Q55161" s="8"/>
    </row>
    <row r="55162" spans="17:17" x14ac:dyDescent="0.25">
      <c r="Q55162" s="8"/>
    </row>
    <row r="55163" spans="17:17" x14ac:dyDescent="0.25">
      <c r="Q55163" s="8"/>
    </row>
    <row r="55164" spans="17:17" x14ac:dyDescent="0.25">
      <c r="Q55164" s="8"/>
    </row>
    <row r="55165" spans="17:17" x14ac:dyDescent="0.25">
      <c r="Q55165" s="8"/>
    </row>
    <row r="55166" spans="17:17" x14ac:dyDescent="0.25">
      <c r="Q55166" s="8"/>
    </row>
    <row r="55167" spans="17:17" x14ac:dyDescent="0.25">
      <c r="Q55167" s="8"/>
    </row>
    <row r="55168" spans="17:17" x14ac:dyDescent="0.25">
      <c r="Q55168" s="8"/>
    </row>
    <row r="55169" spans="17:17" x14ac:dyDescent="0.25">
      <c r="Q55169" s="8"/>
    </row>
    <row r="55170" spans="17:17" x14ac:dyDescent="0.25">
      <c r="Q55170" s="8"/>
    </row>
    <row r="55171" spans="17:17" x14ac:dyDescent="0.25">
      <c r="Q55171" s="8"/>
    </row>
    <row r="55172" spans="17:17" x14ac:dyDescent="0.25">
      <c r="Q55172" s="8"/>
    </row>
    <row r="55173" spans="17:17" x14ac:dyDescent="0.25">
      <c r="Q55173" s="8"/>
    </row>
    <row r="55174" spans="17:17" x14ac:dyDescent="0.25">
      <c r="Q55174" s="8"/>
    </row>
    <row r="55175" spans="17:17" x14ac:dyDescent="0.25">
      <c r="Q55175" s="8"/>
    </row>
    <row r="55176" spans="17:17" x14ac:dyDescent="0.25">
      <c r="Q55176" s="8"/>
    </row>
    <row r="55177" spans="17:17" x14ac:dyDescent="0.25">
      <c r="Q55177" s="8"/>
    </row>
    <row r="55178" spans="17:17" x14ac:dyDescent="0.25">
      <c r="Q55178" s="8"/>
    </row>
    <row r="55179" spans="17:17" x14ac:dyDescent="0.25">
      <c r="Q55179" s="8"/>
    </row>
    <row r="55180" spans="17:17" x14ac:dyDescent="0.25">
      <c r="Q55180" s="8"/>
    </row>
    <row r="55181" spans="17:17" x14ac:dyDescent="0.25">
      <c r="Q55181" s="8"/>
    </row>
    <row r="55182" spans="17:17" x14ac:dyDescent="0.25">
      <c r="Q55182" s="8"/>
    </row>
    <row r="55183" spans="17:17" x14ac:dyDescent="0.25">
      <c r="Q55183" s="8"/>
    </row>
    <row r="55184" spans="17:17" x14ac:dyDescent="0.25">
      <c r="Q55184" s="8"/>
    </row>
    <row r="55185" spans="17:17" x14ac:dyDescent="0.25">
      <c r="Q55185" s="8"/>
    </row>
    <row r="55186" spans="17:17" x14ac:dyDescent="0.25">
      <c r="Q55186" s="8"/>
    </row>
    <row r="55187" spans="17:17" x14ac:dyDescent="0.25">
      <c r="Q55187" s="8"/>
    </row>
    <row r="55188" spans="17:17" x14ac:dyDescent="0.25">
      <c r="Q55188" s="8"/>
    </row>
    <row r="55189" spans="17:17" x14ac:dyDescent="0.25">
      <c r="Q55189" s="8"/>
    </row>
    <row r="55190" spans="17:17" x14ac:dyDescent="0.25">
      <c r="Q55190" s="8"/>
    </row>
    <row r="55191" spans="17:17" x14ac:dyDescent="0.25">
      <c r="Q55191" s="8"/>
    </row>
    <row r="55192" spans="17:17" x14ac:dyDescent="0.25">
      <c r="Q55192" s="8"/>
    </row>
    <row r="55193" spans="17:17" x14ac:dyDescent="0.25">
      <c r="Q55193" s="8"/>
    </row>
    <row r="55194" spans="17:17" x14ac:dyDescent="0.25">
      <c r="Q55194" s="8"/>
    </row>
    <row r="55195" spans="17:17" x14ac:dyDescent="0.25">
      <c r="Q55195" s="8"/>
    </row>
    <row r="55196" spans="17:17" x14ac:dyDescent="0.25">
      <c r="Q55196" s="8"/>
    </row>
    <row r="55197" spans="17:17" x14ac:dyDescent="0.25">
      <c r="Q55197" s="8"/>
    </row>
    <row r="55198" spans="17:17" x14ac:dyDescent="0.25">
      <c r="Q55198" s="8"/>
    </row>
    <row r="55199" spans="17:17" x14ac:dyDescent="0.25">
      <c r="Q55199" s="8"/>
    </row>
    <row r="55200" spans="17:17" x14ac:dyDescent="0.25">
      <c r="Q55200" s="8"/>
    </row>
    <row r="55201" spans="17:17" x14ac:dyDescent="0.25">
      <c r="Q55201" s="8"/>
    </row>
    <row r="55202" spans="17:17" x14ac:dyDescent="0.25">
      <c r="Q55202" s="8"/>
    </row>
    <row r="55203" spans="17:17" x14ac:dyDescent="0.25">
      <c r="Q55203" s="8"/>
    </row>
    <row r="55204" spans="17:17" x14ac:dyDescent="0.25">
      <c r="Q55204" s="8"/>
    </row>
    <row r="55205" spans="17:17" x14ac:dyDescent="0.25">
      <c r="Q55205" s="8"/>
    </row>
    <row r="55206" spans="17:17" x14ac:dyDescent="0.25">
      <c r="Q55206" s="8"/>
    </row>
    <row r="55207" spans="17:17" x14ac:dyDescent="0.25">
      <c r="Q55207" s="8"/>
    </row>
    <row r="55208" spans="17:17" x14ac:dyDescent="0.25">
      <c r="Q55208" s="8"/>
    </row>
    <row r="55209" spans="17:17" x14ac:dyDescent="0.25">
      <c r="Q55209" s="8"/>
    </row>
    <row r="55210" spans="17:17" x14ac:dyDescent="0.25">
      <c r="Q55210" s="8"/>
    </row>
    <row r="55211" spans="17:17" x14ac:dyDescent="0.25">
      <c r="Q55211" s="8"/>
    </row>
    <row r="55212" spans="17:17" x14ac:dyDescent="0.25">
      <c r="Q55212" s="8"/>
    </row>
    <row r="55213" spans="17:17" x14ac:dyDescent="0.25">
      <c r="Q55213" s="8"/>
    </row>
    <row r="55214" spans="17:17" x14ac:dyDescent="0.25">
      <c r="Q55214" s="8"/>
    </row>
    <row r="55215" spans="17:17" x14ac:dyDescent="0.25">
      <c r="Q55215" s="8"/>
    </row>
    <row r="55216" spans="17:17" x14ac:dyDescent="0.25">
      <c r="Q55216" s="8"/>
    </row>
    <row r="55217" spans="17:17" x14ac:dyDescent="0.25">
      <c r="Q55217" s="8"/>
    </row>
    <row r="55218" spans="17:17" x14ac:dyDescent="0.25">
      <c r="Q55218" s="8"/>
    </row>
    <row r="55219" spans="17:17" x14ac:dyDescent="0.25">
      <c r="Q55219" s="8"/>
    </row>
    <row r="55220" spans="17:17" x14ac:dyDescent="0.25">
      <c r="Q55220" s="8"/>
    </row>
    <row r="55221" spans="17:17" x14ac:dyDescent="0.25">
      <c r="Q55221" s="8"/>
    </row>
    <row r="55222" spans="17:17" x14ac:dyDescent="0.25">
      <c r="Q55222" s="8"/>
    </row>
    <row r="55223" spans="17:17" x14ac:dyDescent="0.25">
      <c r="Q55223" s="8"/>
    </row>
    <row r="55224" spans="17:17" x14ac:dyDescent="0.25">
      <c r="Q55224" s="8"/>
    </row>
    <row r="55225" spans="17:17" x14ac:dyDescent="0.25">
      <c r="Q55225" s="8"/>
    </row>
    <row r="55226" spans="17:17" x14ac:dyDescent="0.25">
      <c r="Q55226" s="8"/>
    </row>
    <row r="55227" spans="17:17" x14ac:dyDescent="0.25">
      <c r="Q55227" s="8"/>
    </row>
    <row r="55228" spans="17:17" x14ac:dyDescent="0.25">
      <c r="Q55228" s="8"/>
    </row>
    <row r="55229" spans="17:17" x14ac:dyDescent="0.25">
      <c r="Q55229" s="8"/>
    </row>
    <row r="55230" spans="17:17" x14ac:dyDescent="0.25">
      <c r="Q55230" s="8"/>
    </row>
    <row r="55231" spans="17:17" x14ac:dyDescent="0.25">
      <c r="Q55231" s="8"/>
    </row>
    <row r="55232" spans="17:17" x14ac:dyDescent="0.25">
      <c r="Q55232" s="8"/>
    </row>
    <row r="55233" spans="17:17" x14ac:dyDescent="0.25">
      <c r="Q55233" s="8"/>
    </row>
    <row r="55234" spans="17:17" x14ac:dyDescent="0.25">
      <c r="Q55234" s="8"/>
    </row>
    <row r="55235" spans="17:17" x14ac:dyDescent="0.25">
      <c r="Q55235" s="8"/>
    </row>
    <row r="55236" spans="17:17" x14ac:dyDescent="0.25">
      <c r="Q55236" s="8"/>
    </row>
    <row r="55237" spans="17:17" x14ac:dyDescent="0.25">
      <c r="Q55237" s="8"/>
    </row>
    <row r="55238" spans="17:17" x14ac:dyDescent="0.25">
      <c r="Q55238" s="8"/>
    </row>
    <row r="55239" spans="17:17" x14ac:dyDescent="0.25">
      <c r="Q55239" s="8"/>
    </row>
    <row r="55240" spans="17:17" x14ac:dyDescent="0.25">
      <c r="Q55240" s="8"/>
    </row>
    <row r="55241" spans="17:17" x14ac:dyDescent="0.25">
      <c r="Q55241" s="8"/>
    </row>
    <row r="55242" spans="17:17" x14ac:dyDescent="0.25">
      <c r="Q55242" s="8"/>
    </row>
    <row r="55243" spans="17:17" x14ac:dyDescent="0.25">
      <c r="Q55243" s="8"/>
    </row>
    <row r="55244" spans="17:17" x14ac:dyDescent="0.25">
      <c r="Q55244" s="8"/>
    </row>
    <row r="55245" spans="17:17" x14ac:dyDescent="0.25">
      <c r="Q55245" s="8"/>
    </row>
    <row r="55246" spans="17:17" x14ac:dyDescent="0.25">
      <c r="Q55246" s="8"/>
    </row>
    <row r="55247" spans="17:17" x14ac:dyDescent="0.25">
      <c r="Q55247" s="8"/>
    </row>
    <row r="55248" spans="17:17" x14ac:dyDescent="0.25">
      <c r="Q55248" s="8"/>
    </row>
    <row r="55249" spans="17:17" x14ac:dyDescent="0.25">
      <c r="Q55249" s="8"/>
    </row>
    <row r="55250" spans="17:17" x14ac:dyDescent="0.25">
      <c r="Q55250" s="8"/>
    </row>
    <row r="55251" spans="17:17" x14ac:dyDescent="0.25">
      <c r="Q55251" s="8"/>
    </row>
    <row r="55252" spans="17:17" x14ac:dyDescent="0.25">
      <c r="Q55252" s="8"/>
    </row>
    <row r="55253" spans="17:17" x14ac:dyDescent="0.25">
      <c r="Q55253" s="8"/>
    </row>
    <row r="55254" spans="17:17" x14ac:dyDescent="0.25">
      <c r="Q55254" s="8"/>
    </row>
    <row r="55255" spans="17:17" x14ac:dyDescent="0.25">
      <c r="Q55255" s="8"/>
    </row>
    <row r="55256" spans="17:17" x14ac:dyDescent="0.25">
      <c r="Q55256" s="8"/>
    </row>
    <row r="55257" spans="17:17" x14ac:dyDescent="0.25">
      <c r="Q55257" s="8"/>
    </row>
    <row r="55258" spans="17:17" x14ac:dyDescent="0.25">
      <c r="Q55258" s="8"/>
    </row>
    <row r="55259" spans="17:17" x14ac:dyDescent="0.25">
      <c r="Q55259" s="8"/>
    </row>
    <row r="55260" spans="17:17" x14ac:dyDescent="0.25">
      <c r="Q55260" s="8"/>
    </row>
    <row r="55261" spans="17:17" x14ac:dyDescent="0.25">
      <c r="Q55261" s="8"/>
    </row>
    <row r="55262" spans="17:17" x14ac:dyDescent="0.25">
      <c r="Q55262" s="8"/>
    </row>
    <row r="55263" spans="17:17" x14ac:dyDescent="0.25">
      <c r="Q55263" s="8"/>
    </row>
    <row r="55264" spans="17:17" x14ac:dyDescent="0.25">
      <c r="Q55264" s="8"/>
    </row>
    <row r="55265" spans="17:17" x14ac:dyDescent="0.25">
      <c r="Q55265" s="8"/>
    </row>
    <row r="55266" spans="17:17" x14ac:dyDescent="0.25">
      <c r="Q55266" s="8"/>
    </row>
    <row r="55267" spans="17:17" x14ac:dyDescent="0.25">
      <c r="Q55267" s="8"/>
    </row>
    <row r="55268" spans="17:17" x14ac:dyDescent="0.25">
      <c r="Q55268" s="8"/>
    </row>
    <row r="55269" spans="17:17" x14ac:dyDescent="0.25">
      <c r="Q55269" s="8"/>
    </row>
    <row r="55270" spans="17:17" x14ac:dyDescent="0.25">
      <c r="Q55270" s="8"/>
    </row>
    <row r="55271" spans="17:17" x14ac:dyDescent="0.25">
      <c r="Q55271" s="8"/>
    </row>
    <row r="55272" spans="17:17" x14ac:dyDescent="0.25">
      <c r="Q55272" s="8"/>
    </row>
    <row r="55273" spans="17:17" x14ac:dyDescent="0.25">
      <c r="Q55273" s="8"/>
    </row>
    <row r="55274" spans="17:17" x14ac:dyDescent="0.25">
      <c r="Q55274" s="8"/>
    </row>
    <row r="55275" spans="17:17" x14ac:dyDescent="0.25">
      <c r="Q55275" s="8"/>
    </row>
    <row r="55276" spans="17:17" x14ac:dyDescent="0.25">
      <c r="Q55276" s="8"/>
    </row>
    <row r="55277" spans="17:17" x14ac:dyDescent="0.25">
      <c r="Q55277" s="8"/>
    </row>
    <row r="55278" spans="17:17" x14ac:dyDescent="0.25">
      <c r="Q55278" s="8"/>
    </row>
    <row r="55279" spans="17:17" x14ac:dyDescent="0.25">
      <c r="Q55279" s="8"/>
    </row>
    <row r="55280" spans="17:17" x14ac:dyDescent="0.25">
      <c r="Q55280" s="8"/>
    </row>
    <row r="55281" spans="17:17" x14ac:dyDescent="0.25">
      <c r="Q55281" s="8"/>
    </row>
    <row r="55282" spans="17:17" x14ac:dyDescent="0.25">
      <c r="Q55282" s="8"/>
    </row>
    <row r="55283" spans="17:17" x14ac:dyDescent="0.25">
      <c r="Q55283" s="8"/>
    </row>
    <row r="55284" spans="17:17" x14ac:dyDescent="0.25">
      <c r="Q55284" s="8"/>
    </row>
    <row r="55285" spans="17:17" x14ac:dyDescent="0.25">
      <c r="Q55285" s="8"/>
    </row>
    <row r="55286" spans="17:17" x14ac:dyDescent="0.25">
      <c r="Q55286" s="8"/>
    </row>
    <row r="55287" spans="17:17" x14ac:dyDescent="0.25">
      <c r="Q55287" s="8"/>
    </row>
    <row r="55288" spans="17:17" x14ac:dyDescent="0.25">
      <c r="Q55288" s="8"/>
    </row>
    <row r="55289" spans="17:17" x14ac:dyDescent="0.25">
      <c r="Q55289" s="8"/>
    </row>
    <row r="55290" spans="17:17" x14ac:dyDescent="0.25">
      <c r="Q55290" s="8"/>
    </row>
    <row r="55291" spans="17:17" x14ac:dyDescent="0.25">
      <c r="Q55291" s="8"/>
    </row>
    <row r="55292" spans="17:17" x14ac:dyDescent="0.25">
      <c r="Q55292" s="8"/>
    </row>
    <row r="55293" spans="17:17" x14ac:dyDescent="0.25">
      <c r="Q55293" s="8"/>
    </row>
    <row r="55294" spans="17:17" x14ac:dyDescent="0.25">
      <c r="Q55294" s="8"/>
    </row>
    <row r="55295" spans="17:17" x14ac:dyDescent="0.25">
      <c r="Q55295" s="8"/>
    </row>
    <row r="55296" spans="17:17" x14ac:dyDescent="0.25">
      <c r="Q55296" s="8"/>
    </row>
    <row r="55297" spans="17:17" x14ac:dyDescent="0.25">
      <c r="Q55297" s="8"/>
    </row>
    <row r="55298" spans="17:17" x14ac:dyDescent="0.25">
      <c r="Q55298" s="8"/>
    </row>
    <row r="55299" spans="17:17" x14ac:dyDescent="0.25">
      <c r="Q55299" s="8"/>
    </row>
    <row r="55300" spans="17:17" x14ac:dyDescent="0.25">
      <c r="Q55300" s="8"/>
    </row>
    <row r="55301" spans="17:17" x14ac:dyDescent="0.25">
      <c r="Q55301" s="8"/>
    </row>
    <row r="55302" spans="17:17" x14ac:dyDescent="0.25">
      <c r="Q55302" s="8"/>
    </row>
    <row r="55303" spans="17:17" x14ac:dyDescent="0.25">
      <c r="Q55303" s="8"/>
    </row>
    <row r="55304" spans="17:17" x14ac:dyDescent="0.25">
      <c r="Q55304" s="8"/>
    </row>
    <row r="55305" spans="17:17" x14ac:dyDescent="0.25">
      <c r="Q55305" s="8"/>
    </row>
    <row r="55306" spans="17:17" x14ac:dyDescent="0.25">
      <c r="Q55306" s="8"/>
    </row>
    <row r="55307" spans="17:17" x14ac:dyDescent="0.25">
      <c r="Q55307" s="8"/>
    </row>
    <row r="55308" spans="17:17" x14ac:dyDescent="0.25">
      <c r="Q55308" s="8"/>
    </row>
    <row r="55309" spans="17:17" x14ac:dyDescent="0.25">
      <c r="Q55309" s="8"/>
    </row>
    <row r="55310" spans="17:17" x14ac:dyDescent="0.25">
      <c r="Q55310" s="8"/>
    </row>
    <row r="55311" spans="17:17" x14ac:dyDescent="0.25">
      <c r="Q55311" s="8"/>
    </row>
    <row r="55312" spans="17:17" x14ac:dyDescent="0.25">
      <c r="Q55312" s="8"/>
    </row>
    <row r="55313" spans="17:17" x14ac:dyDescent="0.25">
      <c r="Q55313" s="8"/>
    </row>
    <row r="55314" spans="17:17" x14ac:dyDescent="0.25">
      <c r="Q55314" s="8"/>
    </row>
    <row r="55315" spans="17:17" x14ac:dyDescent="0.25">
      <c r="Q55315" s="8"/>
    </row>
    <row r="55316" spans="17:17" x14ac:dyDescent="0.25">
      <c r="Q55316" s="8"/>
    </row>
    <row r="55317" spans="17:17" x14ac:dyDescent="0.25">
      <c r="Q55317" s="8"/>
    </row>
    <row r="55318" spans="17:17" x14ac:dyDescent="0.25">
      <c r="Q55318" s="8"/>
    </row>
    <row r="55319" spans="17:17" x14ac:dyDescent="0.25">
      <c r="Q55319" s="8"/>
    </row>
    <row r="55320" spans="17:17" x14ac:dyDescent="0.25">
      <c r="Q55320" s="8"/>
    </row>
    <row r="55321" spans="17:17" x14ac:dyDescent="0.25">
      <c r="Q55321" s="8"/>
    </row>
    <row r="55322" spans="17:17" x14ac:dyDescent="0.25">
      <c r="Q55322" s="8"/>
    </row>
    <row r="55323" spans="17:17" x14ac:dyDescent="0.25">
      <c r="Q55323" s="8"/>
    </row>
    <row r="55324" spans="17:17" x14ac:dyDescent="0.25">
      <c r="Q55324" s="8"/>
    </row>
    <row r="55325" spans="17:17" x14ac:dyDescent="0.25">
      <c r="Q55325" s="8"/>
    </row>
    <row r="55326" spans="17:17" x14ac:dyDescent="0.25">
      <c r="Q55326" s="8"/>
    </row>
    <row r="55327" spans="17:17" x14ac:dyDescent="0.25">
      <c r="Q55327" s="8"/>
    </row>
    <row r="55328" spans="17:17" x14ac:dyDescent="0.25">
      <c r="Q55328" s="8"/>
    </row>
    <row r="55329" spans="17:17" x14ac:dyDescent="0.25">
      <c r="Q55329" s="8"/>
    </row>
    <row r="55330" spans="17:17" x14ac:dyDescent="0.25">
      <c r="Q55330" s="8"/>
    </row>
    <row r="55331" spans="17:17" x14ac:dyDescent="0.25">
      <c r="Q55331" s="8"/>
    </row>
    <row r="55332" spans="17:17" x14ac:dyDescent="0.25">
      <c r="Q55332" s="8"/>
    </row>
    <row r="55333" spans="17:17" x14ac:dyDescent="0.25">
      <c r="Q55333" s="8"/>
    </row>
    <row r="55334" spans="17:17" x14ac:dyDescent="0.25">
      <c r="Q55334" s="8"/>
    </row>
    <row r="55335" spans="17:17" x14ac:dyDescent="0.25">
      <c r="Q55335" s="8"/>
    </row>
    <row r="55336" spans="17:17" x14ac:dyDescent="0.25">
      <c r="Q55336" s="8"/>
    </row>
    <row r="55337" spans="17:17" x14ac:dyDescent="0.25">
      <c r="Q55337" s="8"/>
    </row>
    <row r="55338" spans="17:17" x14ac:dyDescent="0.25">
      <c r="Q55338" s="8"/>
    </row>
    <row r="55339" spans="17:17" x14ac:dyDescent="0.25">
      <c r="Q55339" s="8"/>
    </row>
    <row r="55340" spans="17:17" x14ac:dyDescent="0.25">
      <c r="Q55340" s="8"/>
    </row>
    <row r="55341" spans="17:17" x14ac:dyDescent="0.25">
      <c r="Q55341" s="8"/>
    </row>
    <row r="55342" spans="17:17" x14ac:dyDescent="0.25">
      <c r="Q55342" s="8"/>
    </row>
    <row r="55343" spans="17:17" x14ac:dyDescent="0.25">
      <c r="Q55343" s="8"/>
    </row>
    <row r="55344" spans="17:17" x14ac:dyDescent="0.25">
      <c r="Q55344" s="8"/>
    </row>
    <row r="55345" spans="17:17" x14ac:dyDescent="0.25">
      <c r="Q55345" s="8"/>
    </row>
    <row r="55346" spans="17:17" x14ac:dyDescent="0.25">
      <c r="Q55346" s="8"/>
    </row>
    <row r="55347" spans="17:17" x14ac:dyDescent="0.25">
      <c r="Q55347" s="8"/>
    </row>
    <row r="55348" spans="17:17" x14ac:dyDescent="0.25">
      <c r="Q55348" s="8"/>
    </row>
    <row r="55349" spans="17:17" x14ac:dyDescent="0.25">
      <c r="Q55349" s="8"/>
    </row>
    <row r="55350" spans="17:17" x14ac:dyDescent="0.25">
      <c r="Q55350" s="8"/>
    </row>
    <row r="55351" spans="17:17" x14ac:dyDescent="0.25">
      <c r="Q55351" s="8"/>
    </row>
    <row r="55352" spans="17:17" x14ac:dyDescent="0.25">
      <c r="Q55352" s="8"/>
    </row>
    <row r="55353" spans="17:17" x14ac:dyDescent="0.25">
      <c r="Q55353" s="8"/>
    </row>
    <row r="55354" spans="17:17" x14ac:dyDescent="0.25">
      <c r="Q55354" s="8"/>
    </row>
    <row r="55355" spans="17:17" x14ac:dyDescent="0.25">
      <c r="Q55355" s="8"/>
    </row>
    <row r="55356" spans="17:17" x14ac:dyDescent="0.25">
      <c r="Q55356" s="8"/>
    </row>
    <row r="55357" spans="17:17" x14ac:dyDescent="0.25">
      <c r="Q55357" s="8"/>
    </row>
    <row r="55358" spans="17:17" x14ac:dyDescent="0.25">
      <c r="Q55358" s="8"/>
    </row>
    <row r="55359" spans="17:17" x14ac:dyDescent="0.25">
      <c r="Q55359" s="8"/>
    </row>
    <row r="55360" spans="17:17" x14ac:dyDescent="0.25">
      <c r="Q55360" s="8"/>
    </row>
    <row r="55361" spans="17:17" x14ac:dyDescent="0.25">
      <c r="Q55361" s="8"/>
    </row>
    <row r="55362" spans="17:17" x14ac:dyDescent="0.25">
      <c r="Q55362" s="8"/>
    </row>
    <row r="55363" spans="17:17" x14ac:dyDescent="0.25">
      <c r="Q55363" s="8"/>
    </row>
    <row r="55364" spans="17:17" x14ac:dyDescent="0.25">
      <c r="Q55364" s="8"/>
    </row>
    <row r="55365" spans="17:17" x14ac:dyDescent="0.25">
      <c r="Q55365" s="8"/>
    </row>
    <row r="55366" spans="17:17" x14ac:dyDescent="0.25">
      <c r="Q55366" s="8"/>
    </row>
    <row r="55367" spans="17:17" x14ac:dyDescent="0.25">
      <c r="Q55367" s="8"/>
    </row>
    <row r="55368" spans="17:17" x14ac:dyDescent="0.25">
      <c r="Q55368" s="8"/>
    </row>
    <row r="55369" spans="17:17" x14ac:dyDescent="0.25">
      <c r="Q55369" s="8"/>
    </row>
    <row r="55370" spans="17:17" x14ac:dyDescent="0.25">
      <c r="Q55370" s="8"/>
    </row>
    <row r="55371" spans="17:17" x14ac:dyDescent="0.25">
      <c r="Q55371" s="8"/>
    </row>
    <row r="55372" spans="17:17" x14ac:dyDescent="0.25">
      <c r="Q55372" s="8"/>
    </row>
    <row r="55373" spans="17:17" x14ac:dyDescent="0.25">
      <c r="Q55373" s="8"/>
    </row>
    <row r="55374" spans="17:17" x14ac:dyDescent="0.25">
      <c r="Q55374" s="8"/>
    </row>
    <row r="55375" spans="17:17" x14ac:dyDescent="0.25">
      <c r="Q55375" s="8"/>
    </row>
    <row r="55376" spans="17:17" x14ac:dyDescent="0.25">
      <c r="Q55376" s="8"/>
    </row>
    <row r="55377" spans="17:17" x14ac:dyDescent="0.25">
      <c r="Q55377" s="8"/>
    </row>
    <row r="55378" spans="17:17" x14ac:dyDescent="0.25">
      <c r="Q55378" s="8"/>
    </row>
    <row r="55379" spans="17:17" x14ac:dyDescent="0.25">
      <c r="Q55379" s="8"/>
    </row>
    <row r="55380" spans="17:17" x14ac:dyDescent="0.25">
      <c r="Q55380" s="8"/>
    </row>
    <row r="55381" spans="17:17" x14ac:dyDescent="0.25">
      <c r="Q55381" s="8"/>
    </row>
    <row r="55382" spans="17:17" x14ac:dyDescent="0.25">
      <c r="Q55382" s="8"/>
    </row>
    <row r="55383" spans="17:17" x14ac:dyDescent="0.25">
      <c r="Q55383" s="8"/>
    </row>
    <row r="55384" spans="17:17" x14ac:dyDescent="0.25">
      <c r="Q55384" s="8"/>
    </row>
    <row r="55385" spans="17:17" x14ac:dyDescent="0.25">
      <c r="Q55385" s="8"/>
    </row>
    <row r="55386" spans="17:17" x14ac:dyDescent="0.25">
      <c r="Q55386" s="8"/>
    </row>
    <row r="55387" spans="17:17" x14ac:dyDescent="0.25">
      <c r="Q55387" s="8"/>
    </row>
    <row r="55388" spans="17:17" x14ac:dyDescent="0.25">
      <c r="Q55388" s="8"/>
    </row>
    <row r="55389" spans="17:17" x14ac:dyDescent="0.25">
      <c r="Q55389" s="8"/>
    </row>
    <row r="55390" spans="17:17" x14ac:dyDescent="0.25">
      <c r="Q55390" s="8"/>
    </row>
    <row r="55391" spans="17:17" x14ac:dyDescent="0.25">
      <c r="Q55391" s="8"/>
    </row>
    <row r="55392" spans="17:17" x14ac:dyDescent="0.25">
      <c r="Q55392" s="8"/>
    </row>
    <row r="55393" spans="17:17" x14ac:dyDescent="0.25">
      <c r="Q55393" s="8"/>
    </row>
    <row r="55394" spans="17:17" x14ac:dyDescent="0.25">
      <c r="Q55394" s="8"/>
    </row>
    <row r="55395" spans="17:17" x14ac:dyDescent="0.25">
      <c r="Q55395" s="8"/>
    </row>
    <row r="55396" spans="17:17" x14ac:dyDescent="0.25">
      <c r="Q55396" s="8"/>
    </row>
    <row r="55397" spans="17:17" x14ac:dyDescent="0.25">
      <c r="Q55397" s="8"/>
    </row>
    <row r="55398" spans="17:17" x14ac:dyDescent="0.25">
      <c r="Q55398" s="8"/>
    </row>
    <row r="55399" spans="17:17" x14ac:dyDescent="0.25">
      <c r="Q55399" s="8"/>
    </row>
    <row r="55400" spans="17:17" x14ac:dyDescent="0.25">
      <c r="Q55400" s="8"/>
    </row>
    <row r="55401" spans="17:17" x14ac:dyDescent="0.25">
      <c r="Q55401" s="8"/>
    </row>
    <row r="55402" spans="17:17" x14ac:dyDescent="0.25">
      <c r="Q55402" s="8"/>
    </row>
    <row r="55403" spans="17:17" x14ac:dyDescent="0.25">
      <c r="Q55403" s="8"/>
    </row>
    <row r="55404" spans="17:17" x14ac:dyDescent="0.25">
      <c r="Q55404" s="8"/>
    </row>
    <row r="55405" spans="17:17" x14ac:dyDescent="0.25">
      <c r="Q55405" s="8"/>
    </row>
    <row r="55406" spans="17:17" x14ac:dyDescent="0.25">
      <c r="Q55406" s="8"/>
    </row>
    <row r="55407" spans="17:17" x14ac:dyDescent="0.25">
      <c r="Q55407" s="8"/>
    </row>
    <row r="55408" spans="17:17" x14ac:dyDescent="0.25">
      <c r="Q55408" s="8"/>
    </row>
    <row r="55409" spans="17:17" x14ac:dyDescent="0.25">
      <c r="Q55409" s="8"/>
    </row>
    <row r="55410" spans="17:17" x14ac:dyDescent="0.25">
      <c r="Q55410" s="8"/>
    </row>
    <row r="55411" spans="17:17" x14ac:dyDescent="0.25">
      <c r="Q55411" s="8"/>
    </row>
    <row r="55412" spans="17:17" x14ac:dyDescent="0.25">
      <c r="Q55412" s="8"/>
    </row>
    <row r="55413" spans="17:17" x14ac:dyDescent="0.25">
      <c r="Q55413" s="8"/>
    </row>
    <row r="55414" spans="17:17" x14ac:dyDescent="0.25">
      <c r="Q55414" s="8"/>
    </row>
    <row r="55415" spans="17:17" x14ac:dyDescent="0.25">
      <c r="Q55415" s="8"/>
    </row>
    <row r="55416" spans="17:17" x14ac:dyDescent="0.25">
      <c r="Q55416" s="8"/>
    </row>
    <row r="55417" spans="17:17" x14ac:dyDescent="0.25">
      <c r="Q55417" s="8"/>
    </row>
    <row r="55418" spans="17:17" x14ac:dyDescent="0.25">
      <c r="Q55418" s="8"/>
    </row>
    <row r="55419" spans="17:17" x14ac:dyDescent="0.25">
      <c r="Q55419" s="8"/>
    </row>
    <row r="55420" spans="17:17" x14ac:dyDescent="0.25">
      <c r="Q55420" s="8"/>
    </row>
    <row r="55421" spans="17:17" x14ac:dyDescent="0.25">
      <c r="Q55421" s="8"/>
    </row>
    <row r="55422" spans="17:17" x14ac:dyDescent="0.25">
      <c r="Q55422" s="8"/>
    </row>
    <row r="55423" spans="17:17" x14ac:dyDescent="0.25">
      <c r="Q55423" s="8"/>
    </row>
    <row r="55424" spans="17:17" x14ac:dyDescent="0.25">
      <c r="Q55424" s="8"/>
    </row>
    <row r="55425" spans="17:17" x14ac:dyDescent="0.25">
      <c r="Q55425" s="8"/>
    </row>
    <row r="55426" spans="17:17" x14ac:dyDescent="0.25">
      <c r="Q55426" s="8"/>
    </row>
    <row r="55427" spans="17:17" x14ac:dyDescent="0.25">
      <c r="Q55427" s="8"/>
    </row>
    <row r="55428" spans="17:17" x14ac:dyDescent="0.25">
      <c r="Q55428" s="8"/>
    </row>
    <row r="55429" spans="17:17" x14ac:dyDescent="0.25">
      <c r="Q55429" s="8"/>
    </row>
    <row r="55430" spans="17:17" x14ac:dyDescent="0.25">
      <c r="Q55430" s="8"/>
    </row>
    <row r="55431" spans="17:17" x14ac:dyDescent="0.25">
      <c r="Q55431" s="8"/>
    </row>
    <row r="55432" spans="17:17" x14ac:dyDescent="0.25">
      <c r="Q55432" s="8"/>
    </row>
    <row r="55433" spans="17:17" x14ac:dyDescent="0.25">
      <c r="Q55433" s="8"/>
    </row>
    <row r="55434" spans="17:17" x14ac:dyDescent="0.25">
      <c r="Q55434" s="8"/>
    </row>
    <row r="55435" spans="17:17" x14ac:dyDescent="0.25">
      <c r="Q55435" s="8"/>
    </row>
    <row r="55436" spans="17:17" x14ac:dyDescent="0.25">
      <c r="Q55436" s="8"/>
    </row>
    <row r="55437" spans="17:17" x14ac:dyDescent="0.25">
      <c r="Q55437" s="8"/>
    </row>
    <row r="55438" spans="17:17" x14ac:dyDescent="0.25">
      <c r="Q55438" s="8"/>
    </row>
    <row r="55439" spans="17:17" x14ac:dyDescent="0.25">
      <c r="Q55439" s="8"/>
    </row>
    <row r="55440" spans="17:17" x14ac:dyDescent="0.25">
      <c r="Q55440" s="8"/>
    </row>
    <row r="55441" spans="17:17" x14ac:dyDescent="0.25">
      <c r="Q55441" s="8"/>
    </row>
    <row r="55442" spans="17:17" x14ac:dyDescent="0.25">
      <c r="Q55442" s="8"/>
    </row>
    <row r="55443" spans="17:17" x14ac:dyDescent="0.25">
      <c r="Q55443" s="8"/>
    </row>
    <row r="55444" spans="17:17" x14ac:dyDescent="0.25">
      <c r="Q55444" s="8"/>
    </row>
    <row r="55445" spans="17:17" x14ac:dyDescent="0.25">
      <c r="Q55445" s="8"/>
    </row>
    <row r="55446" spans="17:17" x14ac:dyDescent="0.25">
      <c r="Q55446" s="8"/>
    </row>
    <row r="55447" spans="17:17" x14ac:dyDescent="0.25">
      <c r="Q55447" s="8"/>
    </row>
    <row r="55448" spans="17:17" x14ac:dyDescent="0.25">
      <c r="Q55448" s="8"/>
    </row>
    <row r="55449" spans="17:17" x14ac:dyDescent="0.25">
      <c r="Q55449" s="8"/>
    </row>
    <row r="55450" spans="17:17" x14ac:dyDescent="0.25">
      <c r="Q55450" s="8"/>
    </row>
    <row r="55451" spans="17:17" x14ac:dyDescent="0.25">
      <c r="Q55451" s="8"/>
    </row>
    <row r="55452" spans="17:17" x14ac:dyDescent="0.25">
      <c r="Q55452" s="8"/>
    </row>
    <row r="55453" spans="17:17" x14ac:dyDescent="0.25">
      <c r="Q55453" s="8"/>
    </row>
    <row r="55454" spans="17:17" x14ac:dyDescent="0.25">
      <c r="Q55454" s="8"/>
    </row>
    <row r="55455" spans="17:17" x14ac:dyDescent="0.25">
      <c r="Q55455" s="8"/>
    </row>
    <row r="55456" spans="17:17" x14ac:dyDescent="0.25">
      <c r="Q55456" s="8"/>
    </row>
    <row r="55457" spans="17:17" x14ac:dyDescent="0.25">
      <c r="Q55457" s="8"/>
    </row>
    <row r="55458" spans="17:17" x14ac:dyDescent="0.25">
      <c r="Q55458" s="8"/>
    </row>
    <row r="55459" spans="17:17" x14ac:dyDescent="0.25">
      <c r="Q55459" s="8"/>
    </row>
    <row r="55460" spans="17:17" x14ac:dyDescent="0.25">
      <c r="Q55460" s="8"/>
    </row>
    <row r="55461" spans="17:17" x14ac:dyDescent="0.25">
      <c r="Q55461" s="8"/>
    </row>
    <row r="55462" spans="17:17" x14ac:dyDescent="0.25">
      <c r="Q55462" s="8"/>
    </row>
    <row r="55463" spans="17:17" x14ac:dyDescent="0.25">
      <c r="Q55463" s="8"/>
    </row>
    <row r="55464" spans="17:17" x14ac:dyDescent="0.25">
      <c r="Q55464" s="8"/>
    </row>
    <row r="55465" spans="17:17" x14ac:dyDescent="0.25">
      <c r="Q55465" s="8"/>
    </row>
    <row r="55466" spans="17:17" x14ac:dyDescent="0.25">
      <c r="Q55466" s="8"/>
    </row>
    <row r="55467" spans="17:17" x14ac:dyDescent="0.25">
      <c r="Q55467" s="8"/>
    </row>
    <row r="55468" spans="17:17" x14ac:dyDescent="0.25">
      <c r="Q55468" s="8"/>
    </row>
    <row r="55469" spans="17:17" x14ac:dyDescent="0.25">
      <c r="Q55469" s="8"/>
    </row>
    <row r="55470" spans="17:17" x14ac:dyDescent="0.25">
      <c r="Q55470" s="8"/>
    </row>
    <row r="55471" spans="17:17" x14ac:dyDescent="0.25">
      <c r="Q55471" s="8"/>
    </row>
    <row r="55472" spans="17:17" x14ac:dyDescent="0.25">
      <c r="Q55472" s="8"/>
    </row>
    <row r="55473" spans="17:17" x14ac:dyDescent="0.25">
      <c r="Q55473" s="8"/>
    </row>
    <row r="55474" spans="17:17" x14ac:dyDescent="0.25">
      <c r="Q55474" s="8"/>
    </row>
    <row r="55475" spans="17:17" x14ac:dyDescent="0.25">
      <c r="Q55475" s="8"/>
    </row>
    <row r="55476" spans="17:17" x14ac:dyDescent="0.25">
      <c r="Q55476" s="8"/>
    </row>
    <row r="55477" spans="17:17" x14ac:dyDescent="0.25">
      <c r="Q55477" s="8"/>
    </row>
    <row r="55478" spans="17:17" x14ac:dyDescent="0.25">
      <c r="Q55478" s="8"/>
    </row>
    <row r="55479" spans="17:17" x14ac:dyDescent="0.25">
      <c r="Q55479" s="8"/>
    </row>
    <row r="55480" spans="17:17" x14ac:dyDescent="0.25">
      <c r="Q55480" s="8"/>
    </row>
    <row r="55481" spans="17:17" x14ac:dyDescent="0.25">
      <c r="Q55481" s="8"/>
    </row>
    <row r="55482" spans="17:17" x14ac:dyDescent="0.25">
      <c r="Q55482" s="8"/>
    </row>
    <row r="55483" spans="17:17" x14ac:dyDescent="0.25">
      <c r="Q55483" s="8"/>
    </row>
    <row r="55484" spans="17:17" x14ac:dyDescent="0.25">
      <c r="Q55484" s="8"/>
    </row>
    <row r="55485" spans="17:17" x14ac:dyDescent="0.25">
      <c r="Q55485" s="8"/>
    </row>
    <row r="55486" spans="17:17" x14ac:dyDescent="0.25">
      <c r="Q55486" s="8"/>
    </row>
    <row r="55487" spans="17:17" x14ac:dyDescent="0.25">
      <c r="Q55487" s="8"/>
    </row>
    <row r="55488" spans="17:17" x14ac:dyDescent="0.25">
      <c r="Q55488" s="8"/>
    </row>
    <row r="55489" spans="17:17" x14ac:dyDescent="0.25">
      <c r="Q55489" s="8"/>
    </row>
    <row r="55490" spans="17:17" x14ac:dyDescent="0.25">
      <c r="Q55490" s="8"/>
    </row>
    <row r="55491" spans="17:17" x14ac:dyDescent="0.25">
      <c r="Q55491" s="8"/>
    </row>
    <row r="55492" spans="17:17" x14ac:dyDescent="0.25">
      <c r="Q55492" s="8"/>
    </row>
    <row r="55493" spans="17:17" x14ac:dyDescent="0.25">
      <c r="Q55493" s="8"/>
    </row>
    <row r="55494" spans="17:17" x14ac:dyDescent="0.25">
      <c r="Q55494" s="8"/>
    </row>
    <row r="55495" spans="17:17" x14ac:dyDescent="0.25">
      <c r="Q55495" s="8"/>
    </row>
    <row r="55496" spans="17:17" x14ac:dyDescent="0.25">
      <c r="Q55496" s="8"/>
    </row>
    <row r="55497" spans="17:17" x14ac:dyDescent="0.25">
      <c r="Q55497" s="8"/>
    </row>
    <row r="55498" spans="17:17" x14ac:dyDescent="0.25">
      <c r="Q55498" s="8"/>
    </row>
    <row r="55499" spans="17:17" x14ac:dyDescent="0.25">
      <c r="Q55499" s="8"/>
    </row>
    <row r="55500" spans="17:17" x14ac:dyDescent="0.25">
      <c r="Q55500" s="8"/>
    </row>
    <row r="55501" spans="17:17" x14ac:dyDescent="0.25">
      <c r="Q55501" s="8"/>
    </row>
    <row r="55502" spans="17:17" x14ac:dyDescent="0.25">
      <c r="Q55502" s="8"/>
    </row>
    <row r="55503" spans="17:17" x14ac:dyDescent="0.25">
      <c r="Q55503" s="8"/>
    </row>
    <row r="55504" spans="17:17" x14ac:dyDescent="0.25">
      <c r="Q55504" s="8"/>
    </row>
    <row r="55505" spans="17:17" x14ac:dyDescent="0.25">
      <c r="Q55505" s="8"/>
    </row>
    <row r="55506" spans="17:17" x14ac:dyDescent="0.25">
      <c r="Q55506" s="8"/>
    </row>
    <row r="55507" spans="17:17" x14ac:dyDescent="0.25">
      <c r="Q55507" s="8"/>
    </row>
    <row r="55508" spans="17:17" x14ac:dyDescent="0.25">
      <c r="Q55508" s="8"/>
    </row>
    <row r="55509" spans="17:17" x14ac:dyDescent="0.25">
      <c r="Q55509" s="8"/>
    </row>
    <row r="55510" spans="17:17" x14ac:dyDescent="0.25">
      <c r="Q55510" s="8"/>
    </row>
    <row r="55511" spans="17:17" x14ac:dyDescent="0.25">
      <c r="Q55511" s="8"/>
    </row>
    <row r="55512" spans="17:17" x14ac:dyDescent="0.25">
      <c r="Q55512" s="8"/>
    </row>
    <row r="55513" spans="17:17" x14ac:dyDescent="0.25">
      <c r="Q55513" s="8"/>
    </row>
    <row r="55514" spans="17:17" x14ac:dyDescent="0.25">
      <c r="Q55514" s="8"/>
    </row>
    <row r="55515" spans="17:17" x14ac:dyDescent="0.25">
      <c r="Q55515" s="8"/>
    </row>
    <row r="55516" spans="17:17" x14ac:dyDescent="0.25">
      <c r="Q55516" s="8"/>
    </row>
    <row r="55517" spans="17:17" x14ac:dyDescent="0.25">
      <c r="Q55517" s="8"/>
    </row>
    <row r="55518" spans="17:17" x14ac:dyDescent="0.25">
      <c r="Q55518" s="8"/>
    </row>
    <row r="55519" spans="17:17" x14ac:dyDescent="0.25">
      <c r="Q55519" s="8"/>
    </row>
    <row r="55520" spans="17:17" x14ac:dyDescent="0.25">
      <c r="Q55520" s="8"/>
    </row>
    <row r="55521" spans="17:17" x14ac:dyDescent="0.25">
      <c r="Q55521" s="8"/>
    </row>
    <row r="55522" spans="17:17" x14ac:dyDescent="0.25">
      <c r="Q55522" s="8"/>
    </row>
    <row r="55523" spans="17:17" x14ac:dyDescent="0.25">
      <c r="Q55523" s="8"/>
    </row>
    <row r="55524" spans="17:17" x14ac:dyDescent="0.25">
      <c r="Q55524" s="8"/>
    </row>
    <row r="55525" spans="17:17" x14ac:dyDescent="0.25">
      <c r="Q55525" s="8"/>
    </row>
    <row r="55526" spans="17:17" x14ac:dyDescent="0.25">
      <c r="Q55526" s="8"/>
    </row>
    <row r="55527" spans="17:17" x14ac:dyDescent="0.25">
      <c r="Q55527" s="8"/>
    </row>
    <row r="55528" spans="17:17" x14ac:dyDescent="0.25">
      <c r="Q55528" s="8"/>
    </row>
    <row r="55529" spans="17:17" x14ac:dyDescent="0.25">
      <c r="Q55529" s="8"/>
    </row>
    <row r="55530" spans="17:17" x14ac:dyDescent="0.25">
      <c r="Q55530" s="8"/>
    </row>
    <row r="55531" spans="17:17" x14ac:dyDescent="0.25">
      <c r="Q55531" s="8"/>
    </row>
    <row r="55532" spans="17:17" x14ac:dyDescent="0.25">
      <c r="Q55532" s="8"/>
    </row>
    <row r="55533" spans="17:17" x14ac:dyDescent="0.25">
      <c r="Q55533" s="8"/>
    </row>
    <row r="55534" spans="17:17" x14ac:dyDescent="0.25">
      <c r="Q55534" s="8"/>
    </row>
    <row r="55535" spans="17:17" x14ac:dyDescent="0.25">
      <c r="Q55535" s="8"/>
    </row>
    <row r="55536" spans="17:17" x14ac:dyDescent="0.25">
      <c r="Q55536" s="8"/>
    </row>
    <row r="55537" spans="17:17" x14ac:dyDescent="0.25">
      <c r="Q55537" s="8"/>
    </row>
    <row r="55538" spans="17:17" x14ac:dyDescent="0.25">
      <c r="Q55538" s="8"/>
    </row>
    <row r="55539" spans="17:17" x14ac:dyDescent="0.25">
      <c r="Q55539" s="8"/>
    </row>
    <row r="55540" spans="17:17" x14ac:dyDescent="0.25">
      <c r="Q55540" s="8"/>
    </row>
    <row r="55541" spans="17:17" x14ac:dyDescent="0.25">
      <c r="Q55541" s="8"/>
    </row>
    <row r="55542" spans="17:17" x14ac:dyDescent="0.25">
      <c r="Q55542" s="8"/>
    </row>
    <row r="55543" spans="17:17" x14ac:dyDescent="0.25">
      <c r="Q55543" s="8"/>
    </row>
    <row r="55544" spans="17:17" x14ac:dyDescent="0.25">
      <c r="Q55544" s="8"/>
    </row>
    <row r="55545" spans="17:17" x14ac:dyDescent="0.25">
      <c r="Q55545" s="8"/>
    </row>
    <row r="55546" spans="17:17" x14ac:dyDescent="0.25">
      <c r="Q55546" s="8"/>
    </row>
    <row r="55547" spans="17:17" x14ac:dyDescent="0.25">
      <c r="Q55547" s="8"/>
    </row>
    <row r="55548" spans="17:17" x14ac:dyDescent="0.25">
      <c r="Q55548" s="8"/>
    </row>
    <row r="55549" spans="17:17" x14ac:dyDescent="0.25">
      <c r="Q55549" s="8"/>
    </row>
    <row r="55550" spans="17:17" x14ac:dyDescent="0.25">
      <c r="Q55550" s="8"/>
    </row>
    <row r="55551" spans="17:17" x14ac:dyDescent="0.25">
      <c r="Q55551" s="8"/>
    </row>
    <row r="55552" spans="17:17" x14ac:dyDescent="0.25">
      <c r="Q55552" s="8"/>
    </row>
    <row r="55553" spans="17:17" x14ac:dyDescent="0.25">
      <c r="Q55553" s="8"/>
    </row>
    <row r="55554" spans="17:17" x14ac:dyDescent="0.25">
      <c r="Q55554" s="8"/>
    </row>
    <row r="55555" spans="17:17" x14ac:dyDescent="0.25">
      <c r="Q55555" s="8"/>
    </row>
    <row r="55556" spans="17:17" x14ac:dyDescent="0.25">
      <c r="Q55556" s="8"/>
    </row>
    <row r="55557" spans="17:17" x14ac:dyDescent="0.25">
      <c r="Q55557" s="8"/>
    </row>
    <row r="55558" spans="17:17" x14ac:dyDescent="0.25">
      <c r="Q55558" s="8"/>
    </row>
    <row r="55559" spans="17:17" x14ac:dyDescent="0.25">
      <c r="Q55559" s="8"/>
    </row>
    <row r="55560" spans="17:17" x14ac:dyDescent="0.25">
      <c r="Q55560" s="8"/>
    </row>
    <row r="55561" spans="17:17" x14ac:dyDescent="0.25">
      <c r="Q55561" s="8"/>
    </row>
    <row r="55562" spans="17:17" x14ac:dyDescent="0.25">
      <c r="Q55562" s="8"/>
    </row>
    <row r="55563" spans="17:17" x14ac:dyDescent="0.25">
      <c r="Q55563" s="8"/>
    </row>
    <row r="55564" spans="17:17" x14ac:dyDescent="0.25">
      <c r="Q55564" s="8"/>
    </row>
    <row r="55565" spans="17:17" x14ac:dyDescent="0.25">
      <c r="Q55565" s="8"/>
    </row>
    <row r="55566" spans="17:17" x14ac:dyDescent="0.25">
      <c r="Q55566" s="8"/>
    </row>
    <row r="55567" spans="17:17" x14ac:dyDescent="0.25">
      <c r="Q55567" s="8"/>
    </row>
    <row r="55568" spans="17:17" x14ac:dyDescent="0.25">
      <c r="Q55568" s="8"/>
    </row>
    <row r="55569" spans="17:17" x14ac:dyDescent="0.25">
      <c r="Q55569" s="8"/>
    </row>
    <row r="55570" spans="17:17" x14ac:dyDescent="0.25">
      <c r="Q55570" s="8"/>
    </row>
    <row r="55571" spans="17:17" x14ac:dyDescent="0.25">
      <c r="Q55571" s="8"/>
    </row>
    <row r="55572" spans="17:17" x14ac:dyDescent="0.25">
      <c r="Q55572" s="8"/>
    </row>
    <row r="55573" spans="17:17" x14ac:dyDescent="0.25">
      <c r="Q55573" s="8"/>
    </row>
    <row r="55574" spans="17:17" x14ac:dyDescent="0.25">
      <c r="Q55574" s="8"/>
    </row>
    <row r="55575" spans="17:17" x14ac:dyDescent="0.25">
      <c r="Q55575" s="8"/>
    </row>
    <row r="55576" spans="17:17" x14ac:dyDescent="0.25">
      <c r="Q55576" s="8"/>
    </row>
    <row r="55577" spans="17:17" x14ac:dyDescent="0.25">
      <c r="Q55577" s="8"/>
    </row>
    <row r="55578" spans="17:17" x14ac:dyDescent="0.25">
      <c r="Q55578" s="8"/>
    </row>
    <row r="55579" spans="17:17" x14ac:dyDescent="0.25">
      <c r="Q55579" s="8"/>
    </row>
    <row r="55580" spans="17:17" x14ac:dyDescent="0.25">
      <c r="Q55580" s="8"/>
    </row>
    <row r="55581" spans="17:17" x14ac:dyDescent="0.25">
      <c r="Q55581" s="8"/>
    </row>
    <row r="55582" spans="17:17" x14ac:dyDescent="0.25">
      <c r="Q55582" s="8"/>
    </row>
    <row r="55583" spans="17:17" x14ac:dyDescent="0.25">
      <c r="Q55583" s="8"/>
    </row>
    <row r="55584" spans="17:17" x14ac:dyDescent="0.25">
      <c r="Q55584" s="8"/>
    </row>
    <row r="55585" spans="17:17" x14ac:dyDescent="0.25">
      <c r="Q55585" s="8"/>
    </row>
    <row r="55586" spans="17:17" x14ac:dyDescent="0.25">
      <c r="Q55586" s="8"/>
    </row>
    <row r="55587" spans="17:17" x14ac:dyDescent="0.25">
      <c r="Q55587" s="8"/>
    </row>
    <row r="55588" spans="17:17" x14ac:dyDescent="0.25">
      <c r="Q55588" s="8"/>
    </row>
    <row r="55589" spans="17:17" x14ac:dyDescent="0.25">
      <c r="Q55589" s="8"/>
    </row>
    <row r="55590" spans="17:17" x14ac:dyDescent="0.25">
      <c r="Q55590" s="8"/>
    </row>
    <row r="55591" spans="17:17" x14ac:dyDescent="0.25">
      <c r="Q55591" s="8"/>
    </row>
    <row r="55592" spans="17:17" x14ac:dyDescent="0.25">
      <c r="Q55592" s="8"/>
    </row>
    <row r="55593" spans="17:17" x14ac:dyDescent="0.25">
      <c r="Q55593" s="8"/>
    </row>
    <row r="55594" spans="17:17" x14ac:dyDescent="0.25">
      <c r="Q55594" s="8"/>
    </row>
    <row r="55595" spans="17:17" x14ac:dyDescent="0.25">
      <c r="Q55595" s="8"/>
    </row>
    <row r="55596" spans="17:17" x14ac:dyDescent="0.25">
      <c r="Q55596" s="8"/>
    </row>
    <row r="55597" spans="17:17" x14ac:dyDescent="0.25">
      <c r="Q55597" s="8"/>
    </row>
    <row r="55598" spans="17:17" x14ac:dyDescent="0.25">
      <c r="Q55598" s="8"/>
    </row>
    <row r="55599" spans="17:17" x14ac:dyDescent="0.25">
      <c r="Q55599" s="8"/>
    </row>
    <row r="55600" spans="17:17" x14ac:dyDescent="0.25">
      <c r="Q55600" s="8"/>
    </row>
    <row r="55601" spans="17:17" x14ac:dyDescent="0.25">
      <c r="Q55601" s="8"/>
    </row>
    <row r="55602" spans="17:17" x14ac:dyDescent="0.25">
      <c r="Q55602" s="8"/>
    </row>
    <row r="55603" spans="17:17" x14ac:dyDescent="0.25">
      <c r="Q55603" s="8"/>
    </row>
    <row r="55604" spans="17:17" x14ac:dyDescent="0.25">
      <c r="Q55604" s="8"/>
    </row>
    <row r="55605" spans="17:17" x14ac:dyDescent="0.25">
      <c r="Q55605" s="8"/>
    </row>
    <row r="55606" spans="17:17" x14ac:dyDescent="0.25">
      <c r="Q55606" s="8"/>
    </row>
    <row r="55607" spans="17:17" x14ac:dyDescent="0.25">
      <c r="Q55607" s="8"/>
    </row>
    <row r="55608" spans="17:17" x14ac:dyDescent="0.25">
      <c r="Q55608" s="8"/>
    </row>
    <row r="55609" spans="17:17" x14ac:dyDescent="0.25">
      <c r="Q55609" s="8"/>
    </row>
    <row r="55610" spans="17:17" x14ac:dyDescent="0.25">
      <c r="Q55610" s="8"/>
    </row>
    <row r="55611" spans="17:17" x14ac:dyDescent="0.25">
      <c r="Q55611" s="8"/>
    </row>
    <row r="55612" spans="17:17" x14ac:dyDescent="0.25">
      <c r="Q55612" s="8"/>
    </row>
    <row r="55613" spans="17:17" x14ac:dyDescent="0.25">
      <c r="Q55613" s="8"/>
    </row>
    <row r="55614" spans="17:17" x14ac:dyDescent="0.25">
      <c r="Q55614" s="8"/>
    </row>
    <row r="55615" spans="17:17" x14ac:dyDescent="0.25">
      <c r="Q55615" s="8"/>
    </row>
    <row r="55616" spans="17:17" x14ac:dyDescent="0.25">
      <c r="Q55616" s="8"/>
    </row>
    <row r="55617" spans="17:17" x14ac:dyDescent="0.25">
      <c r="Q55617" s="8"/>
    </row>
    <row r="55618" spans="17:17" x14ac:dyDescent="0.25">
      <c r="Q55618" s="8"/>
    </row>
    <row r="55619" spans="17:17" x14ac:dyDescent="0.25">
      <c r="Q55619" s="8"/>
    </row>
    <row r="55620" spans="17:17" x14ac:dyDescent="0.25">
      <c r="Q55620" s="8"/>
    </row>
    <row r="55621" spans="17:17" x14ac:dyDescent="0.25">
      <c r="Q55621" s="8"/>
    </row>
    <row r="55622" spans="17:17" x14ac:dyDescent="0.25">
      <c r="Q55622" s="8"/>
    </row>
    <row r="55623" spans="17:17" x14ac:dyDescent="0.25">
      <c r="Q55623" s="8"/>
    </row>
    <row r="55624" spans="17:17" x14ac:dyDescent="0.25">
      <c r="Q55624" s="8"/>
    </row>
    <row r="55625" spans="17:17" x14ac:dyDescent="0.25">
      <c r="Q55625" s="8"/>
    </row>
    <row r="55626" spans="17:17" x14ac:dyDescent="0.25">
      <c r="Q55626" s="8"/>
    </row>
    <row r="55627" spans="17:17" x14ac:dyDescent="0.25">
      <c r="Q55627" s="8"/>
    </row>
    <row r="55628" spans="17:17" x14ac:dyDescent="0.25">
      <c r="Q55628" s="8"/>
    </row>
    <row r="55629" spans="17:17" x14ac:dyDescent="0.25">
      <c r="Q55629" s="8"/>
    </row>
    <row r="55630" spans="17:17" x14ac:dyDescent="0.25">
      <c r="Q55630" s="8"/>
    </row>
    <row r="55631" spans="17:17" x14ac:dyDescent="0.25">
      <c r="Q55631" s="8"/>
    </row>
    <row r="55632" spans="17:17" x14ac:dyDescent="0.25">
      <c r="Q55632" s="8"/>
    </row>
    <row r="55633" spans="17:17" x14ac:dyDescent="0.25">
      <c r="Q55633" s="8"/>
    </row>
    <row r="55634" spans="17:17" x14ac:dyDescent="0.25">
      <c r="Q55634" s="8"/>
    </row>
    <row r="55635" spans="17:17" x14ac:dyDescent="0.25">
      <c r="Q55635" s="8"/>
    </row>
    <row r="55636" spans="17:17" x14ac:dyDescent="0.25">
      <c r="Q55636" s="8"/>
    </row>
    <row r="55637" spans="17:17" x14ac:dyDescent="0.25">
      <c r="Q55637" s="8"/>
    </row>
    <row r="55638" spans="17:17" x14ac:dyDescent="0.25">
      <c r="Q55638" s="8"/>
    </row>
    <row r="55639" spans="17:17" x14ac:dyDescent="0.25">
      <c r="Q55639" s="8"/>
    </row>
    <row r="55640" spans="17:17" x14ac:dyDescent="0.25">
      <c r="Q55640" s="8"/>
    </row>
    <row r="55641" spans="17:17" x14ac:dyDescent="0.25">
      <c r="Q55641" s="8"/>
    </row>
    <row r="55642" spans="17:17" x14ac:dyDescent="0.25">
      <c r="Q55642" s="8"/>
    </row>
    <row r="55643" spans="17:17" x14ac:dyDescent="0.25">
      <c r="Q55643" s="8"/>
    </row>
    <row r="55644" spans="17:17" x14ac:dyDescent="0.25">
      <c r="Q55644" s="8"/>
    </row>
    <row r="55645" spans="17:17" x14ac:dyDescent="0.25">
      <c r="Q55645" s="8"/>
    </row>
    <row r="55646" spans="17:17" x14ac:dyDescent="0.25">
      <c r="Q55646" s="8"/>
    </row>
    <row r="55647" spans="17:17" x14ac:dyDescent="0.25">
      <c r="Q55647" s="8"/>
    </row>
    <row r="55648" spans="17:17" x14ac:dyDescent="0.25">
      <c r="Q55648" s="8"/>
    </row>
    <row r="55649" spans="17:17" x14ac:dyDescent="0.25">
      <c r="Q55649" s="8"/>
    </row>
    <row r="55650" spans="17:17" x14ac:dyDescent="0.25">
      <c r="Q55650" s="8"/>
    </row>
    <row r="55651" spans="17:17" x14ac:dyDescent="0.25">
      <c r="Q55651" s="8"/>
    </row>
    <row r="55652" spans="17:17" x14ac:dyDescent="0.25">
      <c r="Q55652" s="8"/>
    </row>
    <row r="55653" spans="17:17" x14ac:dyDescent="0.25">
      <c r="Q55653" s="8"/>
    </row>
    <row r="55654" spans="17:17" x14ac:dyDescent="0.25">
      <c r="Q55654" s="8"/>
    </row>
    <row r="55655" spans="17:17" x14ac:dyDescent="0.25">
      <c r="Q55655" s="8"/>
    </row>
    <row r="55656" spans="17:17" x14ac:dyDescent="0.25">
      <c r="Q55656" s="8"/>
    </row>
    <row r="55657" spans="17:17" x14ac:dyDescent="0.25">
      <c r="Q55657" s="8"/>
    </row>
    <row r="55658" spans="17:17" x14ac:dyDescent="0.25">
      <c r="Q55658" s="8"/>
    </row>
    <row r="55659" spans="17:17" x14ac:dyDescent="0.25">
      <c r="Q55659" s="8"/>
    </row>
    <row r="55660" spans="17:17" x14ac:dyDescent="0.25">
      <c r="Q55660" s="8"/>
    </row>
    <row r="55661" spans="17:17" x14ac:dyDescent="0.25">
      <c r="Q55661" s="8"/>
    </row>
    <row r="55662" spans="17:17" x14ac:dyDescent="0.25">
      <c r="Q55662" s="8"/>
    </row>
    <row r="55663" spans="17:17" x14ac:dyDescent="0.25">
      <c r="Q55663" s="8"/>
    </row>
    <row r="55664" spans="17:17" x14ac:dyDescent="0.25">
      <c r="Q55664" s="8"/>
    </row>
    <row r="55665" spans="17:17" x14ac:dyDescent="0.25">
      <c r="Q55665" s="8"/>
    </row>
    <row r="55666" spans="17:17" x14ac:dyDescent="0.25">
      <c r="Q55666" s="8"/>
    </row>
    <row r="55667" spans="17:17" x14ac:dyDescent="0.25">
      <c r="Q55667" s="8"/>
    </row>
    <row r="55668" spans="17:17" x14ac:dyDescent="0.25">
      <c r="Q55668" s="8"/>
    </row>
    <row r="55669" spans="17:17" x14ac:dyDescent="0.25">
      <c r="Q55669" s="8"/>
    </row>
    <row r="55670" spans="17:17" x14ac:dyDescent="0.25">
      <c r="Q55670" s="8"/>
    </row>
    <row r="55671" spans="17:17" x14ac:dyDescent="0.25">
      <c r="Q55671" s="8"/>
    </row>
    <row r="55672" spans="17:17" x14ac:dyDescent="0.25">
      <c r="Q55672" s="8"/>
    </row>
    <row r="55673" spans="17:17" x14ac:dyDescent="0.25">
      <c r="Q55673" s="8"/>
    </row>
    <row r="55674" spans="17:17" x14ac:dyDescent="0.25">
      <c r="Q55674" s="8"/>
    </row>
    <row r="55675" spans="17:17" x14ac:dyDescent="0.25">
      <c r="Q55675" s="8"/>
    </row>
    <row r="55676" spans="17:17" x14ac:dyDescent="0.25">
      <c r="Q55676" s="8"/>
    </row>
    <row r="55677" spans="17:17" x14ac:dyDescent="0.25">
      <c r="Q55677" s="8"/>
    </row>
    <row r="55678" spans="17:17" x14ac:dyDescent="0.25">
      <c r="Q55678" s="8"/>
    </row>
    <row r="55679" spans="17:17" x14ac:dyDescent="0.25">
      <c r="Q55679" s="8"/>
    </row>
    <row r="55680" spans="17:17" x14ac:dyDescent="0.25">
      <c r="Q55680" s="8"/>
    </row>
    <row r="55681" spans="17:17" x14ac:dyDescent="0.25">
      <c r="Q55681" s="8"/>
    </row>
    <row r="55682" spans="17:17" x14ac:dyDescent="0.25">
      <c r="Q55682" s="8"/>
    </row>
    <row r="55683" spans="17:17" x14ac:dyDescent="0.25">
      <c r="Q55683" s="8"/>
    </row>
    <row r="55684" spans="17:17" x14ac:dyDescent="0.25">
      <c r="Q55684" s="8"/>
    </row>
    <row r="55685" spans="17:17" x14ac:dyDescent="0.25">
      <c r="Q55685" s="8"/>
    </row>
    <row r="55686" spans="17:17" x14ac:dyDescent="0.25">
      <c r="Q55686" s="8"/>
    </row>
    <row r="55687" spans="17:17" x14ac:dyDescent="0.25">
      <c r="Q55687" s="8"/>
    </row>
    <row r="55688" spans="17:17" x14ac:dyDescent="0.25">
      <c r="Q55688" s="8"/>
    </row>
    <row r="55689" spans="17:17" x14ac:dyDescent="0.25">
      <c r="Q55689" s="8"/>
    </row>
    <row r="55690" spans="17:17" x14ac:dyDescent="0.25">
      <c r="Q55690" s="8"/>
    </row>
    <row r="55691" spans="17:17" x14ac:dyDescent="0.25">
      <c r="Q55691" s="8"/>
    </row>
    <row r="55692" spans="17:17" x14ac:dyDescent="0.25">
      <c r="Q55692" s="8"/>
    </row>
    <row r="55693" spans="17:17" x14ac:dyDescent="0.25">
      <c r="Q55693" s="8"/>
    </row>
    <row r="55694" spans="17:17" x14ac:dyDescent="0.25">
      <c r="Q55694" s="8"/>
    </row>
    <row r="55695" spans="17:17" x14ac:dyDescent="0.25">
      <c r="Q55695" s="8"/>
    </row>
    <row r="55696" spans="17:17" x14ac:dyDescent="0.25">
      <c r="Q55696" s="8"/>
    </row>
    <row r="55697" spans="17:17" x14ac:dyDescent="0.25">
      <c r="Q55697" s="8"/>
    </row>
    <row r="55698" spans="17:17" x14ac:dyDescent="0.25">
      <c r="Q55698" s="8"/>
    </row>
    <row r="55699" spans="17:17" x14ac:dyDescent="0.25">
      <c r="Q55699" s="8"/>
    </row>
    <row r="55700" spans="17:17" x14ac:dyDescent="0.25">
      <c r="Q55700" s="8"/>
    </row>
    <row r="55701" spans="17:17" x14ac:dyDescent="0.25">
      <c r="Q55701" s="8"/>
    </row>
    <row r="55702" spans="17:17" x14ac:dyDescent="0.25">
      <c r="Q55702" s="8"/>
    </row>
    <row r="55703" spans="17:17" x14ac:dyDescent="0.25">
      <c r="Q55703" s="8"/>
    </row>
    <row r="55704" spans="17:17" x14ac:dyDescent="0.25">
      <c r="Q55704" s="8"/>
    </row>
    <row r="55705" spans="17:17" x14ac:dyDescent="0.25">
      <c r="Q55705" s="8"/>
    </row>
    <row r="55706" spans="17:17" x14ac:dyDescent="0.25">
      <c r="Q55706" s="8"/>
    </row>
    <row r="55707" spans="17:17" x14ac:dyDescent="0.25">
      <c r="Q55707" s="8"/>
    </row>
    <row r="55708" spans="17:17" x14ac:dyDescent="0.25">
      <c r="Q55708" s="8"/>
    </row>
    <row r="55709" spans="17:17" x14ac:dyDescent="0.25">
      <c r="Q55709" s="8"/>
    </row>
    <row r="55710" spans="17:17" x14ac:dyDescent="0.25">
      <c r="Q55710" s="8"/>
    </row>
    <row r="55711" spans="17:17" x14ac:dyDescent="0.25">
      <c r="Q55711" s="8"/>
    </row>
    <row r="55712" spans="17:17" x14ac:dyDescent="0.25">
      <c r="Q55712" s="8"/>
    </row>
    <row r="55713" spans="17:17" x14ac:dyDescent="0.25">
      <c r="Q55713" s="8"/>
    </row>
    <row r="55714" spans="17:17" x14ac:dyDescent="0.25">
      <c r="Q55714" s="8"/>
    </row>
    <row r="55715" spans="17:17" x14ac:dyDescent="0.25">
      <c r="Q55715" s="8"/>
    </row>
    <row r="55716" spans="17:17" x14ac:dyDescent="0.25">
      <c r="Q55716" s="8"/>
    </row>
    <row r="55717" spans="17:17" x14ac:dyDescent="0.25">
      <c r="Q55717" s="8"/>
    </row>
    <row r="55718" spans="17:17" x14ac:dyDescent="0.25">
      <c r="Q55718" s="8"/>
    </row>
    <row r="55719" spans="17:17" x14ac:dyDescent="0.25">
      <c r="Q55719" s="8"/>
    </row>
    <row r="55720" spans="17:17" x14ac:dyDescent="0.25">
      <c r="Q55720" s="8"/>
    </row>
    <row r="55721" spans="17:17" x14ac:dyDescent="0.25">
      <c r="Q55721" s="8"/>
    </row>
    <row r="55722" spans="17:17" x14ac:dyDescent="0.25">
      <c r="Q55722" s="8"/>
    </row>
    <row r="55723" spans="17:17" x14ac:dyDescent="0.25">
      <c r="Q55723" s="8"/>
    </row>
    <row r="55724" spans="17:17" x14ac:dyDescent="0.25">
      <c r="Q55724" s="8"/>
    </row>
    <row r="55725" spans="17:17" x14ac:dyDescent="0.25">
      <c r="Q55725" s="8"/>
    </row>
    <row r="55726" spans="17:17" x14ac:dyDescent="0.25">
      <c r="Q55726" s="8"/>
    </row>
    <row r="55727" spans="17:17" x14ac:dyDescent="0.25">
      <c r="Q55727" s="8"/>
    </row>
    <row r="55728" spans="17:17" x14ac:dyDescent="0.25">
      <c r="Q55728" s="8"/>
    </row>
    <row r="55729" spans="17:17" x14ac:dyDescent="0.25">
      <c r="Q55729" s="8"/>
    </row>
    <row r="55730" spans="17:17" x14ac:dyDescent="0.25">
      <c r="Q55730" s="8"/>
    </row>
    <row r="55731" spans="17:17" x14ac:dyDescent="0.25">
      <c r="Q55731" s="8"/>
    </row>
    <row r="55732" spans="17:17" x14ac:dyDescent="0.25">
      <c r="Q55732" s="8"/>
    </row>
    <row r="55733" spans="17:17" x14ac:dyDescent="0.25">
      <c r="Q55733" s="8"/>
    </row>
    <row r="55734" spans="17:17" x14ac:dyDescent="0.25">
      <c r="Q55734" s="8"/>
    </row>
    <row r="55735" spans="17:17" x14ac:dyDescent="0.25">
      <c r="Q55735" s="8"/>
    </row>
    <row r="55736" spans="17:17" x14ac:dyDescent="0.25">
      <c r="Q55736" s="8"/>
    </row>
    <row r="55737" spans="17:17" x14ac:dyDescent="0.25">
      <c r="Q55737" s="8"/>
    </row>
    <row r="55738" spans="17:17" x14ac:dyDescent="0.25">
      <c r="Q55738" s="8"/>
    </row>
    <row r="55739" spans="17:17" x14ac:dyDescent="0.25">
      <c r="Q55739" s="8"/>
    </row>
    <row r="55740" spans="17:17" x14ac:dyDescent="0.25">
      <c r="Q55740" s="8"/>
    </row>
    <row r="55741" spans="17:17" x14ac:dyDescent="0.25">
      <c r="Q55741" s="8"/>
    </row>
    <row r="55742" spans="17:17" x14ac:dyDescent="0.25">
      <c r="Q55742" s="8"/>
    </row>
    <row r="55743" spans="17:17" x14ac:dyDescent="0.25">
      <c r="Q55743" s="8"/>
    </row>
    <row r="55744" spans="17:17" x14ac:dyDescent="0.25">
      <c r="Q55744" s="8"/>
    </row>
    <row r="55745" spans="17:17" x14ac:dyDescent="0.25">
      <c r="Q55745" s="8"/>
    </row>
    <row r="55746" spans="17:17" x14ac:dyDescent="0.25">
      <c r="Q55746" s="8"/>
    </row>
    <row r="55747" spans="17:17" x14ac:dyDescent="0.25">
      <c r="Q55747" s="8"/>
    </row>
    <row r="55748" spans="17:17" x14ac:dyDescent="0.25">
      <c r="Q55748" s="8"/>
    </row>
    <row r="55749" spans="17:17" x14ac:dyDescent="0.25">
      <c r="Q55749" s="8"/>
    </row>
    <row r="55750" spans="17:17" x14ac:dyDescent="0.25">
      <c r="Q55750" s="8"/>
    </row>
    <row r="55751" spans="17:17" x14ac:dyDescent="0.25">
      <c r="Q55751" s="8"/>
    </row>
    <row r="55752" spans="17:17" x14ac:dyDescent="0.25">
      <c r="Q55752" s="8"/>
    </row>
    <row r="55753" spans="17:17" x14ac:dyDescent="0.25">
      <c r="Q55753" s="8"/>
    </row>
    <row r="55754" spans="17:17" x14ac:dyDescent="0.25">
      <c r="Q55754" s="8"/>
    </row>
    <row r="55755" spans="17:17" x14ac:dyDescent="0.25">
      <c r="Q55755" s="8"/>
    </row>
    <row r="55756" spans="17:17" x14ac:dyDescent="0.25">
      <c r="Q55756" s="8"/>
    </row>
    <row r="55757" spans="17:17" x14ac:dyDescent="0.25">
      <c r="Q55757" s="8"/>
    </row>
    <row r="55758" spans="17:17" x14ac:dyDescent="0.25">
      <c r="Q55758" s="8"/>
    </row>
    <row r="55759" spans="17:17" x14ac:dyDescent="0.25">
      <c r="Q55759" s="8"/>
    </row>
    <row r="55760" spans="17:17" x14ac:dyDescent="0.25">
      <c r="Q55760" s="8"/>
    </row>
    <row r="55761" spans="17:17" x14ac:dyDescent="0.25">
      <c r="Q55761" s="8"/>
    </row>
    <row r="55762" spans="17:17" x14ac:dyDescent="0.25">
      <c r="Q55762" s="8"/>
    </row>
    <row r="55763" spans="17:17" x14ac:dyDescent="0.25">
      <c r="Q55763" s="8"/>
    </row>
    <row r="55764" spans="17:17" x14ac:dyDescent="0.25">
      <c r="Q55764" s="8"/>
    </row>
    <row r="55765" spans="17:17" x14ac:dyDescent="0.25">
      <c r="Q55765" s="8"/>
    </row>
    <row r="55766" spans="17:17" x14ac:dyDescent="0.25">
      <c r="Q55766" s="8"/>
    </row>
    <row r="55767" spans="17:17" x14ac:dyDescent="0.25">
      <c r="Q55767" s="8"/>
    </row>
    <row r="55768" spans="17:17" x14ac:dyDescent="0.25">
      <c r="Q55768" s="8"/>
    </row>
    <row r="55769" spans="17:17" x14ac:dyDescent="0.25">
      <c r="Q55769" s="8"/>
    </row>
    <row r="55770" spans="17:17" x14ac:dyDescent="0.25">
      <c r="Q55770" s="8"/>
    </row>
    <row r="55771" spans="17:17" x14ac:dyDescent="0.25">
      <c r="Q55771" s="8"/>
    </row>
    <row r="55772" spans="17:17" x14ac:dyDescent="0.25">
      <c r="Q55772" s="8"/>
    </row>
    <row r="55773" spans="17:17" x14ac:dyDescent="0.25">
      <c r="Q55773" s="8"/>
    </row>
    <row r="55774" spans="17:17" x14ac:dyDescent="0.25">
      <c r="Q55774" s="8"/>
    </row>
    <row r="55775" spans="17:17" x14ac:dyDescent="0.25">
      <c r="Q55775" s="8"/>
    </row>
    <row r="55776" spans="17:17" x14ac:dyDescent="0.25">
      <c r="Q55776" s="8"/>
    </row>
    <row r="55777" spans="17:17" x14ac:dyDescent="0.25">
      <c r="Q55777" s="8"/>
    </row>
    <row r="55778" spans="17:17" x14ac:dyDescent="0.25">
      <c r="Q55778" s="8"/>
    </row>
    <row r="55779" spans="17:17" x14ac:dyDescent="0.25">
      <c r="Q55779" s="8"/>
    </row>
    <row r="55780" spans="17:17" x14ac:dyDescent="0.25">
      <c r="Q55780" s="8"/>
    </row>
    <row r="55781" spans="17:17" x14ac:dyDescent="0.25">
      <c r="Q55781" s="8"/>
    </row>
    <row r="55782" spans="17:17" x14ac:dyDescent="0.25">
      <c r="Q55782" s="8"/>
    </row>
    <row r="55783" spans="17:17" x14ac:dyDescent="0.25">
      <c r="Q55783" s="8"/>
    </row>
    <row r="55784" spans="17:17" x14ac:dyDescent="0.25">
      <c r="Q55784" s="8"/>
    </row>
    <row r="55785" spans="17:17" x14ac:dyDescent="0.25">
      <c r="Q55785" s="8"/>
    </row>
    <row r="55786" spans="17:17" x14ac:dyDescent="0.25">
      <c r="Q55786" s="8"/>
    </row>
    <row r="55787" spans="17:17" x14ac:dyDescent="0.25">
      <c r="Q55787" s="8"/>
    </row>
    <row r="55788" spans="17:17" x14ac:dyDescent="0.25">
      <c r="Q55788" s="8"/>
    </row>
    <row r="55789" spans="17:17" x14ac:dyDescent="0.25">
      <c r="Q55789" s="8"/>
    </row>
    <row r="55790" spans="17:17" x14ac:dyDescent="0.25">
      <c r="Q55790" s="8"/>
    </row>
    <row r="55791" spans="17:17" x14ac:dyDescent="0.25">
      <c r="Q55791" s="8"/>
    </row>
    <row r="55792" spans="17:17" x14ac:dyDescent="0.25">
      <c r="Q55792" s="8"/>
    </row>
    <row r="55793" spans="17:17" x14ac:dyDescent="0.25">
      <c r="Q55793" s="8"/>
    </row>
    <row r="55794" spans="17:17" x14ac:dyDescent="0.25">
      <c r="Q55794" s="8"/>
    </row>
    <row r="55795" spans="17:17" x14ac:dyDescent="0.25">
      <c r="Q55795" s="8"/>
    </row>
    <row r="55796" spans="17:17" x14ac:dyDescent="0.25">
      <c r="Q55796" s="8"/>
    </row>
    <row r="55797" spans="17:17" x14ac:dyDescent="0.25">
      <c r="Q55797" s="8"/>
    </row>
    <row r="55798" spans="17:17" x14ac:dyDescent="0.25">
      <c r="Q55798" s="8"/>
    </row>
    <row r="55799" spans="17:17" x14ac:dyDescent="0.25">
      <c r="Q55799" s="8"/>
    </row>
    <row r="55800" spans="17:17" x14ac:dyDescent="0.25">
      <c r="Q55800" s="8"/>
    </row>
    <row r="55801" spans="17:17" x14ac:dyDescent="0.25">
      <c r="Q55801" s="8"/>
    </row>
    <row r="55802" spans="17:17" x14ac:dyDescent="0.25">
      <c r="Q55802" s="8"/>
    </row>
    <row r="55803" spans="17:17" x14ac:dyDescent="0.25">
      <c r="Q55803" s="8"/>
    </row>
    <row r="55804" spans="17:17" x14ac:dyDescent="0.25">
      <c r="Q55804" s="8"/>
    </row>
    <row r="55805" spans="17:17" x14ac:dyDescent="0.25">
      <c r="Q55805" s="8"/>
    </row>
    <row r="55806" spans="17:17" x14ac:dyDescent="0.25">
      <c r="Q55806" s="8"/>
    </row>
    <row r="55807" spans="17:17" x14ac:dyDescent="0.25">
      <c r="Q55807" s="8"/>
    </row>
    <row r="55808" spans="17:17" x14ac:dyDescent="0.25">
      <c r="Q55808" s="8"/>
    </row>
    <row r="55809" spans="17:17" x14ac:dyDescent="0.25">
      <c r="Q55809" s="8"/>
    </row>
    <row r="55810" spans="17:17" x14ac:dyDescent="0.25">
      <c r="Q55810" s="8"/>
    </row>
    <row r="55811" spans="17:17" x14ac:dyDescent="0.25">
      <c r="Q55811" s="8"/>
    </row>
    <row r="55812" spans="17:17" x14ac:dyDescent="0.25">
      <c r="Q55812" s="8"/>
    </row>
    <row r="55813" spans="17:17" x14ac:dyDescent="0.25">
      <c r="Q55813" s="8"/>
    </row>
    <row r="55814" spans="17:17" x14ac:dyDescent="0.25">
      <c r="Q55814" s="8"/>
    </row>
    <row r="55815" spans="17:17" x14ac:dyDescent="0.25">
      <c r="Q55815" s="8"/>
    </row>
    <row r="55816" spans="17:17" x14ac:dyDescent="0.25">
      <c r="Q55816" s="8"/>
    </row>
    <row r="55817" spans="17:17" x14ac:dyDescent="0.25">
      <c r="Q55817" s="8"/>
    </row>
    <row r="55818" spans="17:17" x14ac:dyDescent="0.25">
      <c r="Q55818" s="8"/>
    </row>
    <row r="55819" spans="17:17" x14ac:dyDescent="0.25">
      <c r="Q55819" s="8"/>
    </row>
    <row r="55820" spans="17:17" x14ac:dyDescent="0.25">
      <c r="Q55820" s="8"/>
    </row>
    <row r="55821" spans="17:17" x14ac:dyDescent="0.25">
      <c r="Q55821" s="8"/>
    </row>
    <row r="55822" spans="17:17" x14ac:dyDescent="0.25">
      <c r="Q55822" s="8"/>
    </row>
    <row r="55823" spans="17:17" x14ac:dyDescent="0.25">
      <c r="Q55823" s="8"/>
    </row>
    <row r="55824" spans="17:17" x14ac:dyDescent="0.25">
      <c r="Q55824" s="8"/>
    </row>
    <row r="55825" spans="17:17" x14ac:dyDescent="0.25">
      <c r="Q55825" s="8"/>
    </row>
    <row r="55826" spans="17:17" x14ac:dyDescent="0.25">
      <c r="Q55826" s="8"/>
    </row>
    <row r="55827" spans="17:17" x14ac:dyDescent="0.25">
      <c r="Q55827" s="8"/>
    </row>
    <row r="55828" spans="17:17" x14ac:dyDescent="0.25">
      <c r="Q55828" s="8"/>
    </row>
    <row r="55829" spans="17:17" x14ac:dyDescent="0.25">
      <c r="Q55829" s="8"/>
    </row>
    <row r="55830" spans="17:17" x14ac:dyDescent="0.25">
      <c r="Q55830" s="8"/>
    </row>
    <row r="55831" spans="17:17" x14ac:dyDescent="0.25">
      <c r="Q55831" s="8"/>
    </row>
    <row r="55832" spans="17:17" x14ac:dyDescent="0.25">
      <c r="Q55832" s="8"/>
    </row>
    <row r="55833" spans="17:17" x14ac:dyDescent="0.25">
      <c r="Q55833" s="8"/>
    </row>
    <row r="55834" spans="17:17" x14ac:dyDescent="0.25">
      <c r="Q55834" s="8"/>
    </row>
    <row r="55835" spans="17:17" x14ac:dyDescent="0.25">
      <c r="Q55835" s="8"/>
    </row>
    <row r="55836" spans="17:17" x14ac:dyDescent="0.25">
      <c r="Q55836" s="8"/>
    </row>
    <row r="55837" spans="17:17" x14ac:dyDescent="0.25">
      <c r="Q55837" s="8"/>
    </row>
    <row r="55838" spans="17:17" x14ac:dyDescent="0.25">
      <c r="Q55838" s="8"/>
    </row>
    <row r="55839" spans="17:17" x14ac:dyDescent="0.25">
      <c r="Q55839" s="8"/>
    </row>
    <row r="55840" spans="17:17" x14ac:dyDescent="0.25">
      <c r="Q55840" s="8"/>
    </row>
    <row r="55841" spans="17:17" x14ac:dyDescent="0.25">
      <c r="Q55841" s="8"/>
    </row>
    <row r="55842" spans="17:17" x14ac:dyDescent="0.25">
      <c r="Q55842" s="8"/>
    </row>
    <row r="55843" spans="17:17" x14ac:dyDescent="0.25">
      <c r="Q55843" s="8"/>
    </row>
    <row r="55844" spans="17:17" x14ac:dyDescent="0.25">
      <c r="Q55844" s="8"/>
    </row>
    <row r="55845" spans="17:17" x14ac:dyDescent="0.25">
      <c r="Q55845" s="8"/>
    </row>
    <row r="55846" spans="17:17" x14ac:dyDescent="0.25">
      <c r="Q55846" s="8"/>
    </row>
    <row r="55847" spans="17:17" x14ac:dyDescent="0.25">
      <c r="Q55847" s="8"/>
    </row>
    <row r="55848" spans="17:17" x14ac:dyDescent="0.25">
      <c r="Q55848" s="8"/>
    </row>
    <row r="55849" spans="17:17" x14ac:dyDescent="0.25">
      <c r="Q55849" s="8"/>
    </row>
    <row r="55850" spans="17:17" x14ac:dyDescent="0.25">
      <c r="Q55850" s="8"/>
    </row>
    <row r="55851" spans="17:17" x14ac:dyDescent="0.25">
      <c r="Q55851" s="8"/>
    </row>
    <row r="55852" spans="17:17" x14ac:dyDescent="0.25">
      <c r="Q55852" s="8"/>
    </row>
    <row r="55853" spans="17:17" x14ac:dyDescent="0.25">
      <c r="Q55853" s="8"/>
    </row>
    <row r="55854" spans="17:17" x14ac:dyDescent="0.25">
      <c r="Q55854" s="8"/>
    </row>
    <row r="55855" spans="17:17" x14ac:dyDescent="0.25">
      <c r="Q55855" s="8"/>
    </row>
    <row r="55856" spans="17:17" x14ac:dyDescent="0.25">
      <c r="Q55856" s="8"/>
    </row>
    <row r="55857" spans="17:17" x14ac:dyDescent="0.25">
      <c r="Q55857" s="8"/>
    </row>
    <row r="55858" spans="17:17" x14ac:dyDescent="0.25">
      <c r="Q55858" s="8"/>
    </row>
    <row r="55859" spans="17:17" x14ac:dyDescent="0.25">
      <c r="Q55859" s="8"/>
    </row>
    <row r="55860" spans="17:17" x14ac:dyDescent="0.25">
      <c r="Q55860" s="8"/>
    </row>
    <row r="55861" spans="17:17" x14ac:dyDescent="0.25">
      <c r="Q55861" s="8"/>
    </row>
    <row r="55862" spans="17:17" x14ac:dyDescent="0.25">
      <c r="Q55862" s="8"/>
    </row>
    <row r="55863" spans="17:17" x14ac:dyDescent="0.25">
      <c r="Q55863" s="8"/>
    </row>
    <row r="55864" spans="17:17" x14ac:dyDescent="0.25">
      <c r="Q55864" s="8"/>
    </row>
    <row r="55865" spans="17:17" x14ac:dyDescent="0.25">
      <c r="Q55865" s="8"/>
    </row>
    <row r="55866" spans="17:17" x14ac:dyDescent="0.25">
      <c r="Q55866" s="8"/>
    </row>
    <row r="55867" spans="17:17" x14ac:dyDescent="0.25">
      <c r="Q55867" s="8"/>
    </row>
    <row r="55868" spans="17:17" x14ac:dyDescent="0.25">
      <c r="Q55868" s="8"/>
    </row>
    <row r="55869" spans="17:17" x14ac:dyDescent="0.25">
      <c r="Q55869" s="8"/>
    </row>
    <row r="55870" spans="17:17" x14ac:dyDescent="0.25">
      <c r="Q55870" s="8"/>
    </row>
    <row r="55871" spans="17:17" x14ac:dyDescent="0.25">
      <c r="Q55871" s="8"/>
    </row>
    <row r="55872" spans="17:17" x14ac:dyDescent="0.25">
      <c r="Q55872" s="8"/>
    </row>
    <row r="55873" spans="17:17" x14ac:dyDescent="0.25">
      <c r="Q55873" s="8"/>
    </row>
    <row r="55874" spans="17:17" x14ac:dyDescent="0.25">
      <c r="Q55874" s="8"/>
    </row>
    <row r="55875" spans="17:17" x14ac:dyDescent="0.25">
      <c r="Q55875" s="8"/>
    </row>
    <row r="55876" spans="17:17" x14ac:dyDescent="0.25">
      <c r="Q55876" s="8"/>
    </row>
    <row r="55877" spans="17:17" x14ac:dyDescent="0.25">
      <c r="Q55877" s="8"/>
    </row>
    <row r="55878" spans="17:17" x14ac:dyDescent="0.25">
      <c r="Q55878" s="8"/>
    </row>
    <row r="55879" spans="17:17" x14ac:dyDescent="0.25">
      <c r="Q55879" s="8"/>
    </row>
    <row r="55880" spans="17:17" x14ac:dyDescent="0.25">
      <c r="Q55880" s="8"/>
    </row>
    <row r="55881" spans="17:17" x14ac:dyDescent="0.25">
      <c r="Q55881" s="8"/>
    </row>
    <row r="55882" spans="17:17" x14ac:dyDescent="0.25">
      <c r="Q55882" s="8"/>
    </row>
    <row r="55883" spans="17:17" x14ac:dyDescent="0.25">
      <c r="Q55883" s="8"/>
    </row>
    <row r="55884" spans="17:17" x14ac:dyDescent="0.25">
      <c r="Q55884" s="8"/>
    </row>
    <row r="55885" spans="17:17" x14ac:dyDescent="0.25">
      <c r="Q55885" s="8"/>
    </row>
    <row r="55886" spans="17:17" x14ac:dyDescent="0.25">
      <c r="Q55886" s="8"/>
    </row>
    <row r="55887" spans="17:17" x14ac:dyDescent="0.25">
      <c r="Q55887" s="8"/>
    </row>
    <row r="55888" spans="17:17" x14ac:dyDescent="0.25">
      <c r="Q55888" s="8"/>
    </row>
    <row r="55889" spans="17:17" x14ac:dyDescent="0.25">
      <c r="Q55889" s="8"/>
    </row>
    <row r="55890" spans="17:17" x14ac:dyDescent="0.25">
      <c r="Q55890" s="8"/>
    </row>
    <row r="55891" spans="17:17" x14ac:dyDescent="0.25">
      <c r="Q55891" s="8"/>
    </row>
    <row r="55892" spans="17:17" x14ac:dyDescent="0.25">
      <c r="Q55892" s="8"/>
    </row>
    <row r="55893" spans="17:17" x14ac:dyDescent="0.25">
      <c r="Q55893" s="8"/>
    </row>
    <row r="55894" spans="17:17" x14ac:dyDescent="0.25">
      <c r="Q55894" s="8"/>
    </row>
    <row r="55895" spans="17:17" x14ac:dyDescent="0.25">
      <c r="Q55895" s="8"/>
    </row>
    <row r="55896" spans="17:17" x14ac:dyDescent="0.25">
      <c r="Q55896" s="8"/>
    </row>
    <row r="55897" spans="17:17" x14ac:dyDescent="0.25">
      <c r="Q55897" s="8"/>
    </row>
    <row r="55898" spans="17:17" x14ac:dyDescent="0.25">
      <c r="Q55898" s="8"/>
    </row>
    <row r="55899" spans="17:17" x14ac:dyDescent="0.25">
      <c r="Q55899" s="8"/>
    </row>
    <row r="55900" spans="17:17" x14ac:dyDescent="0.25">
      <c r="Q55900" s="8"/>
    </row>
    <row r="55901" spans="17:17" x14ac:dyDescent="0.25">
      <c r="Q55901" s="8"/>
    </row>
    <row r="55902" spans="17:17" x14ac:dyDescent="0.25">
      <c r="Q55902" s="8"/>
    </row>
    <row r="55903" spans="17:17" x14ac:dyDescent="0.25">
      <c r="Q55903" s="8"/>
    </row>
    <row r="55904" spans="17:17" x14ac:dyDescent="0.25">
      <c r="Q55904" s="8"/>
    </row>
    <row r="55905" spans="17:17" x14ac:dyDescent="0.25">
      <c r="Q55905" s="8"/>
    </row>
    <row r="55906" spans="17:17" x14ac:dyDescent="0.25">
      <c r="Q55906" s="8"/>
    </row>
    <row r="55907" spans="17:17" x14ac:dyDescent="0.25">
      <c r="Q55907" s="8"/>
    </row>
    <row r="55908" spans="17:17" x14ac:dyDescent="0.25">
      <c r="Q55908" s="8"/>
    </row>
    <row r="55909" spans="17:17" x14ac:dyDescent="0.25">
      <c r="Q55909" s="8"/>
    </row>
    <row r="55910" spans="17:17" x14ac:dyDescent="0.25">
      <c r="Q55910" s="8"/>
    </row>
    <row r="55911" spans="17:17" x14ac:dyDescent="0.25">
      <c r="Q55911" s="8"/>
    </row>
    <row r="55912" spans="17:17" x14ac:dyDescent="0.25">
      <c r="Q55912" s="8"/>
    </row>
    <row r="55913" spans="17:17" x14ac:dyDescent="0.25">
      <c r="Q55913" s="8"/>
    </row>
    <row r="55914" spans="17:17" x14ac:dyDescent="0.25">
      <c r="Q55914" s="8"/>
    </row>
    <row r="55915" spans="17:17" x14ac:dyDescent="0.25">
      <c r="Q55915" s="8"/>
    </row>
    <row r="55916" spans="17:17" x14ac:dyDescent="0.25">
      <c r="Q55916" s="8"/>
    </row>
    <row r="55917" spans="17:17" x14ac:dyDescent="0.25">
      <c r="Q55917" s="8"/>
    </row>
    <row r="55918" spans="17:17" x14ac:dyDescent="0.25">
      <c r="Q55918" s="8"/>
    </row>
    <row r="55919" spans="17:17" x14ac:dyDescent="0.25">
      <c r="Q55919" s="8"/>
    </row>
    <row r="55920" spans="17:17" x14ac:dyDescent="0.25">
      <c r="Q55920" s="8"/>
    </row>
    <row r="55921" spans="17:17" x14ac:dyDescent="0.25">
      <c r="Q55921" s="8"/>
    </row>
    <row r="55922" spans="17:17" x14ac:dyDescent="0.25">
      <c r="Q55922" s="8"/>
    </row>
    <row r="55923" spans="17:17" x14ac:dyDescent="0.25">
      <c r="Q55923" s="8"/>
    </row>
    <row r="55924" spans="17:17" x14ac:dyDescent="0.25">
      <c r="Q55924" s="8"/>
    </row>
    <row r="55925" spans="17:17" x14ac:dyDescent="0.25">
      <c r="Q55925" s="8"/>
    </row>
    <row r="55926" spans="17:17" x14ac:dyDescent="0.25">
      <c r="Q55926" s="8"/>
    </row>
    <row r="55927" spans="17:17" x14ac:dyDescent="0.25">
      <c r="Q55927" s="8"/>
    </row>
    <row r="55928" spans="17:17" x14ac:dyDescent="0.25">
      <c r="Q55928" s="8"/>
    </row>
    <row r="55929" spans="17:17" x14ac:dyDescent="0.25">
      <c r="Q55929" s="8"/>
    </row>
    <row r="55930" spans="17:17" x14ac:dyDescent="0.25">
      <c r="Q55930" s="8"/>
    </row>
    <row r="55931" spans="17:17" x14ac:dyDescent="0.25">
      <c r="Q55931" s="8"/>
    </row>
    <row r="55932" spans="17:17" x14ac:dyDescent="0.25">
      <c r="Q55932" s="8"/>
    </row>
    <row r="55933" spans="17:17" x14ac:dyDescent="0.25">
      <c r="Q55933" s="8"/>
    </row>
    <row r="55934" spans="17:17" x14ac:dyDescent="0.25">
      <c r="Q55934" s="8"/>
    </row>
    <row r="55935" spans="17:17" x14ac:dyDescent="0.25">
      <c r="Q55935" s="8"/>
    </row>
    <row r="55936" spans="17:17" x14ac:dyDescent="0.25">
      <c r="Q55936" s="8"/>
    </row>
    <row r="55937" spans="17:17" x14ac:dyDescent="0.25">
      <c r="Q55937" s="8"/>
    </row>
    <row r="55938" spans="17:17" x14ac:dyDescent="0.25">
      <c r="Q55938" s="8"/>
    </row>
    <row r="55939" spans="17:17" x14ac:dyDescent="0.25">
      <c r="Q55939" s="8"/>
    </row>
    <row r="55940" spans="17:17" x14ac:dyDescent="0.25">
      <c r="Q55940" s="8"/>
    </row>
    <row r="55941" spans="17:17" x14ac:dyDescent="0.25">
      <c r="Q55941" s="8"/>
    </row>
    <row r="55942" spans="17:17" x14ac:dyDescent="0.25">
      <c r="Q55942" s="8"/>
    </row>
    <row r="55943" spans="17:17" x14ac:dyDescent="0.25">
      <c r="Q55943" s="8"/>
    </row>
    <row r="55944" spans="17:17" x14ac:dyDescent="0.25">
      <c r="Q55944" s="8"/>
    </row>
    <row r="55945" spans="17:17" x14ac:dyDescent="0.25">
      <c r="Q55945" s="8"/>
    </row>
    <row r="55946" spans="17:17" x14ac:dyDescent="0.25">
      <c r="Q55946" s="8"/>
    </row>
    <row r="55947" spans="17:17" x14ac:dyDescent="0.25">
      <c r="Q55947" s="8"/>
    </row>
    <row r="55948" spans="17:17" x14ac:dyDescent="0.25">
      <c r="Q55948" s="8"/>
    </row>
    <row r="55949" spans="17:17" x14ac:dyDescent="0.25">
      <c r="Q55949" s="8"/>
    </row>
    <row r="55950" spans="17:17" x14ac:dyDescent="0.25">
      <c r="Q55950" s="8"/>
    </row>
    <row r="55951" spans="17:17" x14ac:dyDescent="0.25">
      <c r="Q55951" s="8"/>
    </row>
    <row r="55952" spans="17:17" x14ac:dyDescent="0.25">
      <c r="Q55952" s="8"/>
    </row>
    <row r="55953" spans="17:17" x14ac:dyDescent="0.25">
      <c r="Q55953" s="8"/>
    </row>
    <row r="55954" spans="17:17" x14ac:dyDescent="0.25">
      <c r="Q55954" s="8"/>
    </row>
    <row r="55955" spans="17:17" x14ac:dyDescent="0.25">
      <c r="Q55955" s="8"/>
    </row>
    <row r="55956" spans="17:17" x14ac:dyDescent="0.25">
      <c r="Q55956" s="8"/>
    </row>
    <row r="55957" spans="17:17" x14ac:dyDescent="0.25">
      <c r="Q55957" s="8"/>
    </row>
    <row r="55958" spans="17:17" x14ac:dyDescent="0.25">
      <c r="Q55958" s="8"/>
    </row>
    <row r="55959" spans="17:17" x14ac:dyDescent="0.25">
      <c r="Q55959" s="8"/>
    </row>
    <row r="55960" spans="17:17" x14ac:dyDescent="0.25">
      <c r="Q55960" s="8"/>
    </row>
    <row r="55961" spans="17:17" x14ac:dyDescent="0.25">
      <c r="Q55961" s="8"/>
    </row>
    <row r="55962" spans="17:17" x14ac:dyDescent="0.25">
      <c r="Q55962" s="8"/>
    </row>
    <row r="55963" spans="17:17" x14ac:dyDescent="0.25">
      <c r="Q55963" s="8"/>
    </row>
    <row r="55964" spans="17:17" x14ac:dyDescent="0.25">
      <c r="Q55964" s="8"/>
    </row>
    <row r="55965" spans="17:17" x14ac:dyDescent="0.25">
      <c r="Q55965" s="8"/>
    </row>
    <row r="55966" spans="17:17" x14ac:dyDescent="0.25">
      <c r="Q55966" s="8"/>
    </row>
    <row r="55967" spans="17:17" x14ac:dyDescent="0.25">
      <c r="Q55967" s="8"/>
    </row>
    <row r="55968" spans="17:17" x14ac:dyDescent="0.25">
      <c r="Q55968" s="8"/>
    </row>
    <row r="55969" spans="17:17" x14ac:dyDescent="0.25">
      <c r="Q55969" s="8"/>
    </row>
    <row r="55970" spans="17:17" x14ac:dyDescent="0.25">
      <c r="Q55970" s="8"/>
    </row>
    <row r="55971" spans="17:17" x14ac:dyDescent="0.25">
      <c r="Q55971" s="8"/>
    </row>
    <row r="55972" spans="17:17" x14ac:dyDescent="0.25">
      <c r="Q55972" s="8"/>
    </row>
    <row r="55973" spans="17:17" x14ac:dyDescent="0.25">
      <c r="Q55973" s="8"/>
    </row>
    <row r="55974" spans="17:17" x14ac:dyDescent="0.25">
      <c r="Q55974" s="8"/>
    </row>
    <row r="55975" spans="17:17" x14ac:dyDescent="0.25">
      <c r="Q55975" s="8"/>
    </row>
    <row r="55976" spans="17:17" x14ac:dyDescent="0.25">
      <c r="Q55976" s="8"/>
    </row>
    <row r="55977" spans="17:17" x14ac:dyDescent="0.25">
      <c r="Q55977" s="8"/>
    </row>
    <row r="55978" spans="17:17" x14ac:dyDescent="0.25">
      <c r="Q55978" s="8"/>
    </row>
    <row r="55979" spans="17:17" x14ac:dyDescent="0.25">
      <c r="Q55979" s="8"/>
    </row>
    <row r="55980" spans="17:17" x14ac:dyDescent="0.25">
      <c r="Q55980" s="8"/>
    </row>
    <row r="55981" spans="17:17" x14ac:dyDescent="0.25">
      <c r="Q55981" s="8"/>
    </row>
    <row r="55982" spans="17:17" x14ac:dyDescent="0.25">
      <c r="Q55982" s="8"/>
    </row>
    <row r="55983" spans="17:17" x14ac:dyDescent="0.25">
      <c r="Q55983" s="8"/>
    </row>
    <row r="55984" spans="17:17" x14ac:dyDescent="0.25">
      <c r="Q55984" s="8"/>
    </row>
    <row r="55985" spans="17:17" x14ac:dyDescent="0.25">
      <c r="Q55985" s="8"/>
    </row>
    <row r="55986" spans="17:17" x14ac:dyDescent="0.25">
      <c r="Q55986" s="8"/>
    </row>
    <row r="55987" spans="17:17" x14ac:dyDescent="0.25">
      <c r="Q55987" s="8"/>
    </row>
    <row r="55988" spans="17:17" x14ac:dyDescent="0.25">
      <c r="Q55988" s="8"/>
    </row>
    <row r="55989" spans="17:17" x14ac:dyDescent="0.25">
      <c r="Q55989" s="8"/>
    </row>
    <row r="55990" spans="17:17" x14ac:dyDescent="0.25">
      <c r="Q55990" s="8"/>
    </row>
    <row r="55991" spans="17:17" x14ac:dyDescent="0.25">
      <c r="Q55991" s="8"/>
    </row>
    <row r="55992" spans="17:17" x14ac:dyDescent="0.25">
      <c r="Q55992" s="8"/>
    </row>
    <row r="55993" spans="17:17" x14ac:dyDescent="0.25">
      <c r="Q55993" s="8"/>
    </row>
    <row r="55994" spans="17:17" x14ac:dyDescent="0.25">
      <c r="Q55994" s="8"/>
    </row>
    <row r="55995" spans="17:17" x14ac:dyDescent="0.25">
      <c r="Q55995" s="8"/>
    </row>
    <row r="55996" spans="17:17" x14ac:dyDescent="0.25">
      <c r="Q55996" s="8"/>
    </row>
    <row r="55997" spans="17:17" x14ac:dyDescent="0.25">
      <c r="Q55997" s="8"/>
    </row>
    <row r="55998" spans="17:17" x14ac:dyDescent="0.25">
      <c r="Q55998" s="8"/>
    </row>
    <row r="55999" spans="17:17" x14ac:dyDescent="0.25">
      <c r="Q55999" s="8"/>
    </row>
    <row r="56000" spans="17:17" x14ac:dyDescent="0.25">
      <c r="Q56000" s="8"/>
    </row>
    <row r="56001" spans="17:17" x14ac:dyDescent="0.25">
      <c r="Q56001" s="8"/>
    </row>
    <row r="56002" spans="17:17" x14ac:dyDescent="0.25">
      <c r="Q56002" s="8"/>
    </row>
    <row r="56003" spans="17:17" x14ac:dyDescent="0.25">
      <c r="Q56003" s="8"/>
    </row>
    <row r="56004" spans="17:17" x14ac:dyDescent="0.25">
      <c r="Q56004" s="8"/>
    </row>
    <row r="56005" spans="17:17" x14ac:dyDescent="0.25">
      <c r="Q56005" s="8"/>
    </row>
    <row r="56006" spans="17:17" x14ac:dyDescent="0.25">
      <c r="Q56006" s="8"/>
    </row>
    <row r="56007" spans="17:17" x14ac:dyDescent="0.25">
      <c r="Q56007" s="8"/>
    </row>
    <row r="56008" spans="17:17" x14ac:dyDescent="0.25">
      <c r="Q56008" s="8"/>
    </row>
    <row r="56009" spans="17:17" x14ac:dyDescent="0.25">
      <c r="Q56009" s="8"/>
    </row>
    <row r="56010" spans="17:17" x14ac:dyDescent="0.25">
      <c r="Q56010" s="8"/>
    </row>
    <row r="56011" spans="17:17" x14ac:dyDescent="0.25">
      <c r="Q56011" s="8"/>
    </row>
    <row r="56012" spans="17:17" x14ac:dyDescent="0.25">
      <c r="Q56012" s="8"/>
    </row>
    <row r="56013" spans="17:17" x14ac:dyDescent="0.25">
      <c r="Q56013" s="8"/>
    </row>
    <row r="56014" spans="17:17" x14ac:dyDescent="0.25">
      <c r="Q56014" s="8"/>
    </row>
    <row r="56015" spans="17:17" x14ac:dyDescent="0.25">
      <c r="Q56015" s="8"/>
    </row>
    <row r="56016" spans="17:17" x14ac:dyDescent="0.25">
      <c r="Q56016" s="8"/>
    </row>
    <row r="56017" spans="17:17" x14ac:dyDescent="0.25">
      <c r="Q56017" s="8"/>
    </row>
    <row r="56018" spans="17:17" x14ac:dyDescent="0.25">
      <c r="Q56018" s="8"/>
    </row>
    <row r="56019" spans="17:17" x14ac:dyDescent="0.25">
      <c r="Q56019" s="8"/>
    </row>
    <row r="56020" spans="17:17" x14ac:dyDescent="0.25">
      <c r="Q56020" s="8"/>
    </row>
    <row r="56021" spans="17:17" x14ac:dyDescent="0.25">
      <c r="Q56021" s="8"/>
    </row>
    <row r="56022" spans="17:17" x14ac:dyDescent="0.25">
      <c r="Q56022" s="8"/>
    </row>
    <row r="56023" spans="17:17" x14ac:dyDescent="0.25">
      <c r="Q56023" s="8"/>
    </row>
    <row r="56024" spans="17:17" x14ac:dyDescent="0.25">
      <c r="Q56024" s="8"/>
    </row>
    <row r="56025" spans="17:17" x14ac:dyDescent="0.25">
      <c r="Q56025" s="8"/>
    </row>
    <row r="56026" spans="17:17" x14ac:dyDescent="0.25">
      <c r="Q56026" s="8"/>
    </row>
    <row r="56027" spans="17:17" x14ac:dyDescent="0.25">
      <c r="Q56027" s="8"/>
    </row>
    <row r="56028" spans="17:17" x14ac:dyDescent="0.25">
      <c r="Q56028" s="8"/>
    </row>
    <row r="56029" spans="17:17" x14ac:dyDescent="0.25">
      <c r="Q56029" s="8"/>
    </row>
    <row r="56030" spans="17:17" x14ac:dyDescent="0.25">
      <c r="Q56030" s="8"/>
    </row>
    <row r="56031" spans="17:17" x14ac:dyDescent="0.25">
      <c r="Q56031" s="8"/>
    </row>
    <row r="56032" spans="17:17" x14ac:dyDescent="0.25">
      <c r="Q56032" s="8"/>
    </row>
    <row r="56033" spans="17:17" x14ac:dyDescent="0.25">
      <c r="Q56033" s="8"/>
    </row>
    <row r="56034" spans="17:17" x14ac:dyDescent="0.25">
      <c r="Q56034" s="8"/>
    </row>
    <row r="56035" spans="17:17" x14ac:dyDescent="0.25">
      <c r="Q56035" s="8"/>
    </row>
    <row r="56036" spans="17:17" x14ac:dyDescent="0.25">
      <c r="Q56036" s="8"/>
    </row>
    <row r="56037" spans="17:17" x14ac:dyDescent="0.25">
      <c r="Q56037" s="8"/>
    </row>
    <row r="56038" spans="17:17" x14ac:dyDescent="0.25">
      <c r="Q56038" s="8"/>
    </row>
    <row r="56039" spans="17:17" x14ac:dyDescent="0.25">
      <c r="Q56039" s="8"/>
    </row>
    <row r="56040" spans="17:17" x14ac:dyDescent="0.25">
      <c r="Q56040" s="8"/>
    </row>
    <row r="56041" spans="17:17" x14ac:dyDescent="0.25">
      <c r="Q56041" s="8"/>
    </row>
    <row r="56042" spans="17:17" x14ac:dyDescent="0.25">
      <c r="Q56042" s="8"/>
    </row>
    <row r="56043" spans="17:17" x14ac:dyDescent="0.25">
      <c r="Q56043" s="8"/>
    </row>
    <row r="56044" spans="17:17" x14ac:dyDescent="0.25">
      <c r="Q56044" s="8"/>
    </row>
    <row r="56045" spans="17:17" x14ac:dyDescent="0.25">
      <c r="Q56045" s="8"/>
    </row>
    <row r="56046" spans="17:17" x14ac:dyDescent="0.25">
      <c r="Q56046" s="8"/>
    </row>
    <row r="56047" spans="17:17" x14ac:dyDescent="0.25">
      <c r="Q56047" s="8"/>
    </row>
    <row r="56048" spans="17:17" x14ac:dyDescent="0.25">
      <c r="Q56048" s="8"/>
    </row>
    <row r="56049" spans="17:17" x14ac:dyDescent="0.25">
      <c r="Q56049" s="8"/>
    </row>
    <row r="56050" spans="17:17" x14ac:dyDescent="0.25">
      <c r="Q56050" s="8"/>
    </row>
    <row r="56051" spans="17:17" x14ac:dyDescent="0.25">
      <c r="Q56051" s="8"/>
    </row>
    <row r="56052" spans="17:17" x14ac:dyDescent="0.25">
      <c r="Q56052" s="8"/>
    </row>
    <row r="56053" spans="17:17" x14ac:dyDescent="0.25">
      <c r="Q56053" s="8"/>
    </row>
    <row r="56054" spans="17:17" x14ac:dyDescent="0.25">
      <c r="Q56054" s="8"/>
    </row>
    <row r="56055" spans="17:17" x14ac:dyDescent="0.25">
      <c r="Q56055" s="8"/>
    </row>
    <row r="56056" spans="17:17" x14ac:dyDescent="0.25">
      <c r="Q56056" s="8"/>
    </row>
    <row r="56057" spans="17:17" x14ac:dyDescent="0.25">
      <c r="Q56057" s="8"/>
    </row>
    <row r="56058" spans="17:17" x14ac:dyDescent="0.25">
      <c r="Q56058" s="8"/>
    </row>
    <row r="56059" spans="17:17" x14ac:dyDescent="0.25">
      <c r="Q56059" s="8"/>
    </row>
    <row r="56060" spans="17:17" x14ac:dyDescent="0.25">
      <c r="Q56060" s="8"/>
    </row>
    <row r="56061" spans="17:17" x14ac:dyDescent="0.25">
      <c r="Q56061" s="8"/>
    </row>
    <row r="56062" spans="17:17" x14ac:dyDescent="0.25">
      <c r="Q56062" s="8"/>
    </row>
    <row r="56063" spans="17:17" x14ac:dyDescent="0.25">
      <c r="Q56063" s="8"/>
    </row>
    <row r="56064" spans="17:17" x14ac:dyDescent="0.25">
      <c r="Q56064" s="8"/>
    </row>
    <row r="56065" spans="17:17" x14ac:dyDescent="0.25">
      <c r="Q56065" s="8"/>
    </row>
    <row r="56066" spans="17:17" x14ac:dyDescent="0.25">
      <c r="Q56066" s="8"/>
    </row>
    <row r="56067" spans="17:17" x14ac:dyDescent="0.25">
      <c r="Q56067" s="8"/>
    </row>
    <row r="56068" spans="17:17" x14ac:dyDescent="0.25">
      <c r="Q56068" s="8"/>
    </row>
    <row r="56069" spans="17:17" x14ac:dyDescent="0.25">
      <c r="Q56069" s="8"/>
    </row>
    <row r="56070" spans="17:17" x14ac:dyDescent="0.25">
      <c r="Q56070" s="8"/>
    </row>
    <row r="56071" spans="17:17" x14ac:dyDescent="0.25">
      <c r="Q56071" s="8"/>
    </row>
    <row r="56072" spans="17:17" x14ac:dyDescent="0.25">
      <c r="Q56072" s="8"/>
    </row>
    <row r="56073" spans="17:17" x14ac:dyDescent="0.25">
      <c r="Q56073" s="8"/>
    </row>
    <row r="56074" spans="17:17" x14ac:dyDescent="0.25">
      <c r="Q56074" s="8"/>
    </row>
    <row r="56075" spans="17:17" x14ac:dyDescent="0.25">
      <c r="Q56075" s="8"/>
    </row>
    <row r="56076" spans="17:17" x14ac:dyDescent="0.25">
      <c r="Q56076" s="8"/>
    </row>
    <row r="56077" spans="17:17" x14ac:dyDescent="0.25">
      <c r="Q56077" s="8"/>
    </row>
    <row r="56078" spans="17:17" x14ac:dyDescent="0.25">
      <c r="Q56078" s="8"/>
    </row>
    <row r="56079" spans="17:17" x14ac:dyDescent="0.25">
      <c r="Q56079" s="8"/>
    </row>
    <row r="56080" spans="17:17" x14ac:dyDescent="0.25">
      <c r="Q56080" s="8"/>
    </row>
    <row r="56081" spans="17:17" x14ac:dyDescent="0.25">
      <c r="Q56081" s="8"/>
    </row>
    <row r="56082" spans="17:17" x14ac:dyDescent="0.25">
      <c r="Q56082" s="8"/>
    </row>
    <row r="56083" spans="17:17" x14ac:dyDescent="0.25">
      <c r="Q56083" s="8"/>
    </row>
    <row r="56084" spans="17:17" x14ac:dyDescent="0.25">
      <c r="Q56084" s="8"/>
    </row>
    <row r="56085" spans="17:17" x14ac:dyDescent="0.25">
      <c r="Q56085" s="8"/>
    </row>
    <row r="56086" spans="17:17" x14ac:dyDescent="0.25">
      <c r="Q56086" s="8"/>
    </row>
    <row r="56087" spans="17:17" x14ac:dyDescent="0.25">
      <c r="Q56087" s="8"/>
    </row>
    <row r="56088" spans="17:17" x14ac:dyDescent="0.25">
      <c r="Q56088" s="8"/>
    </row>
    <row r="56089" spans="17:17" x14ac:dyDescent="0.25">
      <c r="Q56089" s="8"/>
    </row>
    <row r="56090" spans="17:17" x14ac:dyDescent="0.25">
      <c r="Q56090" s="8"/>
    </row>
    <row r="56091" spans="17:17" x14ac:dyDescent="0.25">
      <c r="Q56091" s="8"/>
    </row>
    <row r="56092" spans="17:17" x14ac:dyDescent="0.25">
      <c r="Q56092" s="8"/>
    </row>
    <row r="56093" spans="17:17" x14ac:dyDescent="0.25">
      <c r="Q56093" s="8"/>
    </row>
    <row r="56094" spans="17:17" x14ac:dyDescent="0.25">
      <c r="Q56094" s="8"/>
    </row>
    <row r="56095" spans="17:17" x14ac:dyDescent="0.25">
      <c r="Q56095" s="8"/>
    </row>
    <row r="56096" spans="17:17" x14ac:dyDescent="0.25">
      <c r="Q56096" s="8"/>
    </row>
    <row r="56097" spans="17:17" x14ac:dyDescent="0.25">
      <c r="Q56097" s="8"/>
    </row>
    <row r="56098" spans="17:17" x14ac:dyDescent="0.25">
      <c r="Q56098" s="8"/>
    </row>
    <row r="56099" spans="17:17" x14ac:dyDescent="0.25">
      <c r="Q56099" s="8"/>
    </row>
    <row r="56100" spans="17:17" x14ac:dyDescent="0.25">
      <c r="Q56100" s="8"/>
    </row>
    <row r="56101" spans="17:17" x14ac:dyDescent="0.25">
      <c r="Q56101" s="8"/>
    </row>
    <row r="56102" spans="17:17" x14ac:dyDescent="0.25">
      <c r="Q56102" s="8"/>
    </row>
    <row r="56103" spans="17:17" x14ac:dyDescent="0.25">
      <c r="Q56103" s="8"/>
    </row>
    <row r="56104" spans="17:17" x14ac:dyDescent="0.25">
      <c r="Q56104" s="8"/>
    </row>
    <row r="56105" spans="17:17" x14ac:dyDescent="0.25">
      <c r="Q56105" s="8"/>
    </row>
    <row r="56106" spans="17:17" x14ac:dyDescent="0.25">
      <c r="Q56106" s="8"/>
    </row>
    <row r="56107" spans="17:17" x14ac:dyDescent="0.25">
      <c r="Q56107" s="8"/>
    </row>
    <row r="56108" spans="17:17" x14ac:dyDescent="0.25">
      <c r="Q56108" s="8"/>
    </row>
    <row r="56109" spans="17:17" x14ac:dyDescent="0.25">
      <c r="Q56109" s="8"/>
    </row>
    <row r="56110" spans="17:17" x14ac:dyDescent="0.25">
      <c r="Q56110" s="8"/>
    </row>
    <row r="56111" spans="17:17" x14ac:dyDescent="0.25">
      <c r="Q56111" s="8"/>
    </row>
    <row r="56112" spans="17:17" x14ac:dyDescent="0.25">
      <c r="Q56112" s="8"/>
    </row>
    <row r="56113" spans="17:17" x14ac:dyDescent="0.25">
      <c r="Q56113" s="8"/>
    </row>
    <row r="56114" spans="17:17" x14ac:dyDescent="0.25">
      <c r="Q56114" s="8"/>
    </row>
    <row r="56115" spans="17:17" x14ac:dyDescent="0.25">
      <c r="Q56115" s="8"/>
    </row>
    <row r="56116" spans="17:17" x14ac:dyDescent="0.25">
      <c r="Q56116" s="8"/>
    </row>
    <row r="56117" spans="17:17" x14ac:dyDescent="0.25">
      <c r="Q56117" s="8"/>
    </row>
    <row r="56118" spans="17:17" x14ac:dyDescent="0.25">
      <c r="Q56118" s="8"/>
    </row>
    <row r="56119" spans="17:17" x14ac:dyDescent="0.25">
      <c r="Q56119" s="8"/>
    </row>
    <row r="56120" spans="17:17" x14ac:dyDescent="0.25">
      <c r="Q56120" s="8"/>
    </row>
    <row r="56121" spans="17:17" x14ac:dyDescent="0.25">
      <c r="Q56121" s="8"/>
    </row>
    <row r="56122" spans="17:17" x14ac:dyDescent="0.25">
      <c r="Q56122" s="8"/>
    </row>
    <row r="56123" spans="17:17" x14ac:dyDescent="0.25">
      <c r="Q56123" s="8"/>
    </row>
    <row r="56124" spans="17:17" x14ac:dyDescent="0.25">
      <c r="Q56124" s="8"/>
    </row>
    <row r="56125" spans="17:17" x14ac:dyDescent="0.25">
      <c r="Q56125" s="8"/>
    </row>
    <row r="56126" spans="17:17" x14ac:dyDescent="0.25">
      <c r="Q56126" s="8"/>
    </row>
    <row r="56127" spans="17:17" x14ac:dyDescent="0.25">
      <c r="Q56127" s="8"/>
    </row>
    <row r="56128" spans="17:17" x14ac:dyDescent="0.25">
      <c r="Q56128" s="8"/>
    </row>
    <row r="56129" spans="17:17" x14ac:dyDescent="0.25">
      <c r="Q56129" s="8"/>
    </row>
    <row r="56130" spans="17:17" x14ac:dyDescent="0.25">
      <c r="Q56130" s="8"/>
    </row>
    <row r="56131" spans="17:17" x14ac:dyDescent="0.25">
      <c r="Q56131" s="8"/>
    </row>
    <row r="56132" spans="17:17" x14ac:dyDescent="0.25">
      <c r="Q56132" s="8"/>
    </row>
    <row r="56133" spans="17:17" x14ac:dyDescent="0.25">
      <c r="Q56133" s="8"/>
    </row>
    <row r="56134" spans="17:17" x14ac:dyDescent="0.25">
      <c r="Q56134" s="8"/>
    </row>
    <row r="56135" spans="17:17" x14ac:dyDescent="0.25">
      <c r="Q56135" s="8"/>
    </row>
    <row r="56136" spans="17:17" x14ac:dyDescent="0.25">
      <c r="Q56136" s="8"/>
    </row>
    <row r="56137" spans="17:17" x14ac:dyDescent="0.25">
      <c r="Q56137" s="8"/>
    </row>
    <row r="56138" spans="17:17" x14ac:dyDescent="0.25">
      <c r="Q56138" s="8"/>
    </row>
    <row r="56139" spans="17:17" x14ac:dyDescent="0.25">
      <c r="Q56139" s="8"/>
    </row>
    <row r="56140" spans="17:17" x14ac:dyDescent="0.25">
      <c r="Q56140" s="8"/>
    </row>
    <row r="56141" spans="17:17" x14ac:dyDescent="0.25">
      <c r="Q56141" s="8"/>
    </row>
    <row r="56142" spans="17:17" x14ac:dyDescent="0.25">
      <c r="Q56142" s="8"/>
    </row>
    <row r="56143" spans="17:17" x14ac:dyDescent="0.25">
      <c r="Q56143" s="8"/>
    </row>
    <row r="56144" spans="17:17" x14ac:dyDescent="0.25">
      <c r="Q56144" s="8"/>
    </row>
    <row r="56145" spans="17:17" x14ac:dyDescent="0.25">
      <c r="Q56145" s="8"/>
    </row>
    <row r="56146" spans="17:17" x14ac:dyDescent="0.25">
      <c r="Q56146" s="8"/>
    </row>
    <row r="56147" spans="17:17" x14ac:dyDescent="0.25">
      <c r="Q56147" s="8"/>
    </row>
    <row r="56148" spans="17:17" x14ac:dyDescent="0.25">
      <c r="Q56148" s="8"/>
    </row>
    <row r="56149" spans="17:17" x14ac:dyDescent="0.25">
      <c r="Q56149" s="8"/>
    </row>
    <row r="56150" spans="17:17" x14ac:dyDescent="0.25">
      <c r="Q56150" s="8"/>
    </row>
    <row r="56151" spans="17:17" x14ac:dyDescent="0.25">
      <c r="Q56151" s="8"/>
    </row>
    <row r="56152" spans="17:17" x14ac:dyDescent="0.25">
      <c r="Q56152" s="8"/>
    </row>
    <row r="56153" spans="17:17" x14ac:dyDescent="0.25">
      <c r="Q56153" s="8"/>
    </row>
    <row r="56154" spans="17:17" x14ac:dyDescent="0.25">
      <c r="Q56154" s="8"/>
    </row>
    <row r="56155" spans="17:17" x14ac:dyDescent="0.25">
      <c r="Q56155" s="8"/>
    </row>
    <row r="56156" spans="17:17" x14ac:dyDescent="0.25">
      <c r="Q56156" s="8"/>
    </row>
    <row r="56157" spans="17:17" x14ac:dyDescent="0.25">
      <c r="Q56157" s="8"/>
    </row>
    <row r="56158" spans="17:17" x14ac:dyDescent="0.25">
      <c r="Q56158" s="8"/>
    </row>
    <row r="56159" spans="17:17" x14ac:dyDescent="0.25">
      <c r="Q56159" s="8"/>
    </row>
    <row r="56160" spans="17:17" x14ac:dyDescent="0.25">
      <c r="Q56160" s="8"/>
    </row>
    <row r="56161" spans="17:17" x14ac:dyDescent="0.25">
      <c r="Q56161" s="8"/>
    </row>
    <row r="56162" spans="17:17" x14ac:dyDescent="0.25">
      <c r="Q56162" s="8"/>
    </row>
    <row r="56163" spans="17:17" x14ac:dyDescent="0.25">
      <c r="Q56163" s="8"/>
    </row>
    <row r="56164" spans="17:17" x14ac:dyDescent="0.25">
      <c r="Q56164" s="8"/>
    </row>
    <row r="56165" spans="17:17" x14ac:dyDescent="0.25">
      <c r="Q56165" s="8"/>
    </row>
    <row r="56166" spans="17:17" x14ac:dyDescent="0.25">
      <c r="Q56166" s="8"/>
    </row>
    <row r="56167" spans="17:17" x14ac:dyDescent="0.25">
      <c r="Q56167" s="8"/>
    </row>
    <row r="56168" spans="17:17" x14ac:dyDescent="0.25">
      <c r="Q56168" s="8"/>
    </row>
    <row r="56169" spans="17:17" x14ac:dyDescent="0.25">
      <c r="Q56169" s="8"/>
    </row>
    <row r="56170" spans="17:17" x14ac:dyDescent="0.25">
      <c r="Q56170" s="8"/>
    </row>
    <row r="56171" spans="17:17" x14ac:dyDescent="0.25">
      <c r="Q56171" s="8"/>
    </row>
    <row r="56172" spans="17:17" x14ac:dyDescent="0.25">
      <c r="Q56172" s="8"/>
    </row>
    <row r="56173" spans="17:17" x14ac:dyDescent="0.25">
      <c r="Q56173" s="8"/>
    </row>
    <row r="56174" spans="17:17" x14ac:dyDescent="0.25">
      <c r="Q56174" s="8"/>
    </row>
    <row r="56175" spans="17:17" x14ac:dyDescent="0.25">
      <c r="Q56175" s="8"/>
    </row>
    <row r="56176" spans="17:17" x14ac:dyDescent="0.25">
      <c r="Q56176" s="8"/>
    </row>
    <row r="56177" spans="17:17" x14ac:dyDescent="0.25">
      <c r="Q56177" s="8"/>
    </row>
    <row r="56178" spans="17:17" x14ac:dyDescent="0.25">
      <c r="Q56178" s="8"/>
    </row>
    <row r="56179" spans="17:17" x14ac:dyDescent="0.25">
      <c r="Q56179" s="8"/>
    </row>
    <row r="56180" spans="17:17" x14ac:dyDescent="0.25">
      <c r="Q56180" s="8"/>
    </row>
    <row r="56181" spans="17:17" x14ac:dyDescent="0.25">
      <c r="Q56181" s="8"/>
    </row>
    <row r="56182" spans="17:17" x14ac:dyDescent="0.25">
      <c r="Q56182" s="8"/>
    </row>
    <row r="56183" spans="17:17" x14ac:dyDescent="0.25">
      <c r="Q56183" s="8"/>
    </row>
    <row r="56184" spans="17:17" x14ac:dyDescent="0.25">
      <c r="Q56184" s="8"/>
    </row>
    <row r="56185" spans="17:17" x14ac:dyDescent="0.25">
      <c r="Q56185" s="8"/>
    </row>
    <row r="56186" spans="17:17" x14ac:dyDescent="0.25">
      <c r="Q56186" s="8"/>
    </row>
    <row r="56187" spans="17:17" x14ac:dyDescent="0.25">
      <c r="Q56187" s="8"/>
    </row>
    <row r="56188" spans="17:17" x14ac:dyDescent="0.25">
      <c r="Q56188" s="8"/>
    </row>
    <row r="56189" spans="17:17" x14ac:dyDescent="0.25">
      <c r="Q56189" s="8"/>
    </row>
    <row r="56190" spans="17:17" x14ac:dyDescent="0.25">
      <c r="Q56190" s="8"/>
    </row>
    <row r="56191" spans="17:17" x14ac:dyDescent="0.25">
      <c r="Q56191" s="8"/>
    </row>
    <row r="56192" spans="17:17" x14ac:dyDescent="0.25">
      <c r="Q56192" s="8"/>
    </row>
    <row r="56193" spans="17:17" x14ac:dyDescent="0.25">
      <c r="Q56193" s="8"/>
    </row>
    <row r="56194" spans="17:17" x14ac:dyDescent="0.25">
      <c r="Q56194" s="8"/>
    </row>
    <row r="56195" spans="17:17" x14ac:dyDescent="0.25">
      <c r="Q56195" s="8"/>
    </row>
    <row r="56196" spans="17:17" x14ac:dyDescent="0.25">
      <c r="Q56196" s="8"/>
    </row>
    <row r="56197" spans="17:17" x14ac:dyDescent="0.25">
      <c r="Q56197" s="8"/>
    </row>
    <row r="56198" spans="17:17" x14ac:dyDescent="0.25">
      <c r="Q56198" s="8"/>
    </row>
    <row r="56199" spans="17:17" x14ac:dyDescent="0.25">
      <c r="Q56199" s="8"/>
    </row>
    <row r="56200" spans="17:17" x14ac:dyDescent="0.25">
      <c r="Q56200" s="8"/>
    </row>
    <row r="56201" spans="17:17" x14ac:dyDescent="0.25">
      <c r="Q56201" s="8"/>
    </row>
    <row r="56202" spans="17:17" x14ac:dyDescent="0.25">
      <c r="Q56202" s="8"/>
    </row>
    <row r="56203" spans="17:17" x14ac:dyDescent="0.25">
      <c r="Q56203" s="8"/>
    </row>
    <row r="56204" spans="17:17" x14ac:dyDescent="0.25">
      <c r="Q56204" s="8"/>
    </row>
    <row r="56205" spans="17:17" x14ac:dyDescent="0.25">
      <c r="Q56205" s="8"/>
    </row>
    <row r="56206" spans="17:17" x14ac:dyDescent="0.25">
      <c r="Q56206" s="8"/>
    </row>
    <row r="56207" spans="17:17" x14ac:dyDescent="0.25">
      <c r="Q56207" s="8"/>
    </row>
    <row r="56208" spans="17:17" x14ac:dyDescent="0.25">
      <c r="Q56208" s="8"/>
    </row>
    <row r="56209" spans="17:17" x14ac:dyDescent="0.25">
      <c r="Q56209" s="8"/>
    </row>
    <row r="56210" spans="17:17" x14ac:dyDescent="0.25">
      <c r="Q56210" s="8"/>
    </row>
    <row r="56211" spans="17:17" x14ac:dyDescent="0.25">
      <c r="Q56211" s="8"/>
    </row>
    <row r="56212" spans="17:17" x14ac:dyDescent="0.25">
      <c r="Q56212" s="8"/>
    </row>
    <row r="56213" spans="17:17" x14ac:dyDescent="0.25">
      <c r="Q56213" s="8"/>
    </row>
    <row r="56214" spans="17:17" x14ac:dyDescent="0.25">
      <c r="Q56214" s="8"/>
    </row>
    <row r="56215" spans="17:17" x14ac:dyDescent="0.25">
      <c r="Q56215" s="8"/>
    </row>
    <row r="56216" spans="17:17" x14ac:dyDescent="0.25">
      <c r="Q56216" s="8"/>
    </row>
    <row r="56217" spans="17:17" x14ac:dyDescent="0.25">
      <c r="Q56217" s="8"/>
    </row>
    <row r="56218" spans="17:17" x14ac:dyDescent="0.25">
      <c r="Q56218" s="8"/>
    </row>
    <row r="56219" spans="17:17" x14ac:dyDescent="0.25">
      <c r="Q56219" s="8"/>
    </row>
    <row r="56220" spans="17:17" x14ac:dyDescent="0.25">
      <c r="Q56220" s="8"/>
    </row>
    <row r="56221" spans="17:17" x14ac:dyDescent="0.25">
      <c r="Q56221" s="8"/>
    </row>
    <row r="56222" spans="17:17" x14ac:dyDescent="0.25">
      <c r="Q56222" s="8"/>
    </row>
    <row r="56223" spans="17:17" x14ac:dyDescent="0.25">
      <c r="Q56223" s="8"/>
    </row>
    <row r="56224" spans="17:17" x14ac:dyDescent="0.25">
      <c r="Q56224" s="8"/>
    </row>
    <row r="56225" spans="17:17" x14ac:dyDescent="0.25">
      <c r="Q56225" s="8"/>
    </row>
    <row r="56226" spans="17:17" x14ac:dyDescent="0.25">
      <c r="Q56226" s="8"/>
    </row>
    <row r="56227" spans="17:17" x14ac:dyDescent="0.25">
      <c r="Q56227" s="8"/>
    </row>
    <row r="56228" spans="17:17" x14ac:dyDescent="0.25">
      <c r="Q56228" s="8"/>
    </row>
    <row r="56229" spans="17:17" x14ac:dyDescent="0.25">
      <c r="Q56229" s="8"/>
    </row>
    <row r="56230" spans="17:17" x14ac:dyDescent="0.25">
      <c r="Q56230" s="8"/>
    </row>
    <row r="56231" spans="17:17" x14ac:dyDescent="0.25">
      <c r="Q56231" s="8"/>
    </row>
    <row r="56232" spans="17:17" x14ac:dyDescent="0.25">
      <c r="Q56232" s="8"/>
    </row>
    <row r="56233" spans="17:17" x14ac:dyDescent="0.25">
      <c r="Q56233" s="8"/>
    </row>
    <row r="56234" spans="17:17" x14ac:dyDescent="0.25">
      <c r="Q56234" s="8"/>
    </row>
    <row r="56235" spans="17:17" x14ac:dyDescent="0.25">
      <c r="Q56235" s="8"/>
    </row>
    <row r="56236" spans="17:17" x14ac:dyDescent="0.25">
      <c r="Q56236" s="8"/>
    </row>
    <row r="56237" spans="17:17" x14ac:dyDescent="0.25">
      <c r="Q56237" s="8"/>
    </row>
    <row r="56238" spans="17:17" x14ac:dyDescent="0.25">
      <c r="Q56238" s="8"/>
    </row>
    <row r="56239" spans="17:17" x14ac:dyDescent="0.25">
      <c r="Q56239" s="8"/>
    </row>
    <row r="56240" spans="17:17" x14ac:dyDescent="0.25">
      <c r="Q56240" s="8"/>
    </row>
    <row r="56241" spans="17:17" x14ac:dyDescent="0.25">
      <c r="Q56241" s="8"/>
    </row>
    <row r="56242" spans="17:17" x14ac:dyDescent="0.25">
      <c r="Q56242" s="8"/>
    </row>
    <row r="56243" spans="17:17" x14ac:dyDescent="0.25">
      <c r="Q56243" s="8"/>
    </row>
    <row r="56244" spans="17:17" x14ac:dyDescent="0.25">
      <c r="Q56244" s="8"/>
    </row>
    <row r="56245" spans="17:17" x14ac:dyDescent="0.25">
      <c r="Q56245" s="8"/>
    </row>
    <row r="56246" spans="17:17" x14ac:dyDescent="0.25">
      <c r="Q56246" s="8"/>
    </row>
    <row r="56247" spans="17:17" x14ac:dyDescent="0.25">
      <c r="Q56247" s="8"/>
    </row>
    <row r="56248" spans="17:17" x14ac:dyDescent="0.25">
      <c r="Q56248" s="8"/>
    </row>
    <row r="56249" spans="17:17" x14ac:dyDescent="0.25">
      <c r="Q56249" s="8"/>
    </row>
    <row r="56250" spans="17:17" x14ac:dyDescent="0.25">
      <c r="Q56250" s="8"/>
    </row>
    <row r="56251" spans="17:17" x14ac:dyDescent="0.25">
      <c r="Q56251" s="8"/>
    </row>
    <row r="56252" spans="17:17" x14ac:dyDescent="0.25">
      <c r="Q56252" s="8"/>
    </row>
    <row r="56253" spans="17:17" x14ac:dyDescent="0.25">
      <c r="Q56253" s="8"/>
    </row>
    <row r="56254" spans="17:17" x14ac:dyDescent="0.25">
      <c r="Q56254" s="8"/>
    </row>
    <row r="56255" spans="17:17" x14ac:dyDescent="0.25">
      <c r="Q56255" s="8"/>
    </row>
    <row r="56256" spans="17:17" x14ac:dyDescent="0.25">
      <c r="Q56256" s="8"/>
    </row>
    <row r="56257" spans="17:17" x14ac:dyDescent="0.25">
      <c r="Q56257" s="8"/>
    </row>
    <row r="56258" spans="17:17" x14ac:dyDescent="0.25">
      <c r="Q56258" s="8"/>
    </row>
    <row r="56259" spans="17:17" x14ac:dyDescent="0.25">
      <c r="Q56259" s="8"/>
    </row>
    <row r="56260" spans="17:17" x14ac:dyDescent="0.25">
      <c r="Q56260" s="8"/>
    </row>
    <row r="56261" spans="17:17" x14ac:dyDescent="0.25">
      <c r="Q56261" s="8"/>
    </row>
    <row r="56262" spans="17:17" x14ac:dyDescent="0.25">
      <c r="Q56262" s="8"/>
    </row>
    <row r="56263" spans="17:17" x14ac:dyDescent="0.25">
      <c r="Q56263" s="8"/>
    </row>
    <row r="56264" spans="17:17" x14ac:dyDescent="0.25">
      <c r="Q56264" s="8"/>
    </row>
    <row r="56265" spans="17:17" x14ac:dyDescent="0.25">
      <c r="Q56265" s="8"/>
    </row>
    <row r="56266" spans="17:17" x14ac:dyDescent="0.25">
      <c r="Q56266" s="8"/>
    </row>
    <row r="56267" spans="17:17" x14ac:dyDescent="0.25">
      <c r="Q56267" s="8"/>
    </row>
    <row r="56268" spans="17:17" x14ac:dyDescent="0.25">
      <c r="Q56268" s="8"/>
    </row>
    <row r="56269" spans="17:17" x14ac:dyDescent="0.25">
      <c r="Q56269" s="8"/>
    </row>
    <row r="56270" spans="17:17" x14ac:dyDescent="0.25">
      <c r="Q56270" s="8"/>
    </row>
    <row r="56271" spans="17:17" x14ac:dyDescent="0.25">
      <c r="Q56271" s="8"/>
    </row>
    <row r="56272" spans="17:17" x14ac:dyDescent="0.25">
      <c r="Q56272" s="8"/>
    </row>
    <row r="56273" spans="17:17" x14ac:dyDescent="0.25">
      <c r="Q56273" s="8"/>
    </row>
    <row r="56274" spans="17:17" x14ac:dyDescent="0.25">
      <c r="Q56274" s="8"/>
    </row>
    <row r="56275" spans="17:17" x14ac:dyDescent="0.25">
      <c r="Q56275" s="8"/>
    </row>
    <row r="56276" spans="17:17" x14ac:dyDescent="0.25">
      <c r="Q56276" s="8"/>
    </row>
    <row r="56277" spans="17:17" x14ac:dyDescent="0.25">
      <c r="Q56277" s="8"/>
    </row>
    <row r="56278" spans="17:17" x14ac:dyDescent="0.25">
      <c r="Q56278" s="8"/>
    </row>
    <row r="56279" spans="17:17" x14ac:dyDescent="0.25">
      <c r="Q56279" s="8"/>
    </row>
    <row r="56280" spans="17:17" x14ac:dyDescent="0.25">
      <c r="Q56280" s="8"/>
    </row>
    <row r="56281" spans="17:17" x14ac:dyDescent="0.25">
      <c r="Q56281" s="8"/>
    </row>
    <row r="56282" spans="17:17" x14ac:dyDescent="0.25">
      <c r="Q56282" s="8"/>
    </row>
    <row r="56283" spans="17:17" x14ac:dyDescent="0.25">
      <c r="Q56283" s="8"/>
    </row>
    <row r="56284" spans="17:17" x14ac:dyDescent="0.25">
      <c r="Q56284" s="8"/>
    </row>
    <row r="56285" spans="17:17" x14ac:dyDescent="0.25">
      <c r="Q56285" s="8"/>
    </row>
    <row r="56286" spans="17:17" x14ac:dyDescent="0.25">
      <c r="Q56286" s="8"/>
    </row>
    <row r="56287" spans="17:17" x14ac:dyDescent="0.25">
      <c r="Q56287" s="8"/>
    </row>
    <row r="56288" spans="17:17" x14ac:dyDescent="0.25">
      <c r="Q56288" s="8"/>
    </row>
    <row r="56289" spans="17:17" x14ac:dyDescent="0.25">
      <c r="Q56289" s="8"/>
    </row>
    <row r="56290" spans="17:17" x14ac:dyDescent="0.25">
      <c r="Q56290" s="8"/>
    </row>
    <row r="56291" spans="17:17" x14ac:dyDescent="0.25">
      <c r="Q56291" s="8"/>
    </row>
    <row r="56292" spans="17:17" x14ac:dyDescent="0.25">
      <c r="Q56292" s="8"/>
    </row>
    <row r="56293" spans="17:17" x14ac:dyDescent="0.25">
      <c r="Q56293" s="8"/>
    </row>
    <row r="56294" spans="17:17" x14ac:dyDescent="0.25">
      <c r="Q56294" s="8"/>
    </row>
    <row r="56295" spans="17:17" x14ac:dyDescent="0.25">
      <c r="Q56295" s="8"/>
    </row>
    <row r="56296" spans="17:17" x14ac:dyDescent="0.25">
      <c r="Q56296" s="8"/>
    </row>
    <row r="56297" spans="17:17" x14ac:dyDescent="0.25">
      <c r="Q56297" s="8"/>
    </row>
    <row r="56298" spans="17:17" x14ac:dyDescent="0.25">
      <c r="Q56298" s="8"/>
    </row>
    <row r="56299" spans="17:17" x14ac:dyDescent="0.25">
      <c r="Q56299" s="8"/>
    </row>
    <row r="56300" spans="17:17" x14ac:dyDescent="0.25">
      <c r="Q56300" s="8"/>
    </row>
    <row r="56301" spans="17:17" x14ac:dyDescent="0.25">
      <c r="Q56301" s="8"/>
    </row>
    <row r="56302" spans="17:17" x14ac:dyDescent="0.25">
      <c r="Q56302" s="8"/>
    </row>
    <row r="56303" spans="17:17" x14ac:dyDescent="0.25">
      <c r="Q56303" s="8"/>
    </row>
    <row r="56304" spans="17:17" x14ac:dyDescent="0.25">
      <c r="Q56304" s="8"/>
    </row>
    <row r="56305" spans="17:17" x14ac:dyDescent="0.25">
      <c r="Q56305" s="8"/>
    </row>
    <row r="56306" spans="17:17" x14ac:dyDescent="0.25">
      <c r="Q56306" s="8"/>
    </row>
    <row r="56307" spans="17:17" x14ac:dyDescent="0.25">
      <c r="Q56307" s="8"/>
    </row>
    <row r="56308" spans="17:17" x14ac:dyDescent="0.25">
      <c r="Q56308" s="8"/>
    </row>
    <row r="56309" spans="17:17" x14ac:dyDescent="0.25">
      <c r="Q56309" s="8"/>
    </row>
    <row r="56310" spans="17:17" x14ac:dyDescent="0.25">
      <c r="Q56310" s="8"/>
    </row>
    <row r="56311" spans="17:17" x14ac:dyDescent="0.25">
      <c r="Q56311" s="8"/>
    </row>
    <row r="56312" spans="17:17" x14ac:dyDescent="0.25">
      <c r="Q56312" s="8"/>
    </row>
    <row r="56313" spans="17:17" x14ac:dyDescent="0.25">
      <c r="Q56313" s="8"/>
    </row>
    <row r="56314" spans="17:17" x14ac:dyDescent="0.25">
      <c r="Q56314" s="8"/>
    </row>
    <row r="56315" spans="17:17" x14ac:dyDescent="0.25">
      <c r="Q56315" s="8"/>
    </row>
    <row r="56316" spans="17:17" x14ac:dyDescent="0.25">
      <c r="Q56316" s="8"/>
    </row>
    <row r="56317" spans="17:17" x14ac:dyDescent="0.25">
      <c r="Q56317" s="8"/>
    </row>
    <row r="56318" spans="17:17" x14ac:dyDescent="0.25">
      <c r="Q56318" s="8"/>
    </row>
    <row r="56319" spans="17:17" x14ac:dyDescent="0.25">
      <c r="Q56319" s="8"/>
    </row>
    <row r="56320" spans="17:17" x14ac:dyDescent="0.25">
      <c r="Q56320" s="8"/>
    </row>
    <row r="56321" spans="17:17" x14ac:dyDescent="0.25">
      <c r="Q56321" s="8"/>
    </row>
    <row r="56322" spans="17:17" x14ac:dyDescent="0.25">
      <c r="Q56322" s="8"/>
    </row>
    <row r="56323" spans="17:17" x14ac:dyDescent="0.25">
      <c r="Q56323" s="8"/>
    </row>
    <row r="56324" spans="17:17" x14ac:dyDescent="0.25">
      <c r="Q56324" s="8"/>
    </row>
    <row r="56325" spans="17:17" x14ac:dyDescent="0.25">
      <c r="Q56325" s="8"/>
    </row>
    <row r="56326" spans="17:17" x14ac:dyDescent="0.25">
      <c r="Q56326" s="8"/>
    </row>
    <row r="56327" spans="17:17" x14ac:dyDescent="0.25">
      <c r="Q56327" s="8"/>
    </row>
    <row r="56328" spans="17:17" x14ac:dyDescent="0.25">
      <c r="Q56328" s="8"/>
    </row>
    <row r="56329" spans="17:17" x14ac:dyDescent="0.25">
      <c r="Q56329" s="8"/>
    </row>
    <row r="56330" spans="17:17" x14ac:dyDescent="0.25">
      <c r="Q56330" s="8"/>
    </row>
    <row r="56331" spans="17:17" x14ac:dyDescent="0.25">
      <c r="Q56331" s="8"/>
    </row>
    <row r="56332" spans="17:17" x14ac:dyDescent="0.25">
      <c r="Q56332" s="8"/>
    </row>
    <row r="56333" spans="17:17" x14ac:dyDescent="0.25">
      <c r="Q56333" s="8"/>
    </row>
    <row r="56334" spans="17:17" x14ac:dyDescent="0.25">
      <c r="Q56334" s="8"/>
    </row>
    <row r="56335" spans="17:17" x14ac:dyDescent="0.25">
      <c r="Q56335" s="8"/>
    </row>
    <row r="56336" spans="17:17" x14ac:dyDescent="0.25">
      <c r="Q56336" s="8"/>
    </row>
    <row r="56337" spans="17:17" x14ac:dyDescent="0.25">
      <c r="Q56337" s="8"/>
    </row>
    <row r="56338" spans="17:17" x14ac:dyDescent="0.25">
      <c r="Q56338" s="8"/>
    </row>
    <row r="56339" spans="17:17" x14ac:dyDescent="0.25">
      <c r="Q56339" s="8"/>
    </row>
    <row r="56340" spans="17:17" x14ac:dyDescent="0.25">
      <c r="Q56340" s="8"/>
    </row>
    <row r="56341" spans="17:17" x14ac:dyDescent="0.25">
      <c r="Q56341" s="8"/>
    </row>
    <row r="56342" spans="17:17" x14ac:dyDescent="0.25">
      <c r="Q56342" s="8"/>
    </row>
    <row r="56343" spans="17:17" x14ac:dyDescent="0.25">
      <c r="Q56343" s="8"/>
    </row>
    <row r="56344" spans="17:17" x14ac:dyDescent="0.25">
      <c r="Q56344" s="8"/>
    </row>
    <row r="56345" spans="17:17" x14ac:dyDescent="0.25">
      <c r="Q56345" s="8"/>
    </row>
    <row r="56346" spans="17:17" x14ac:dyDescent="0.25">
      <c r="Q56346" s="8"/>
    </row>
    <row r="56347" spans="17:17" x14ac:dyDescent="0.25">
      <c r="Q56347" s="8"/>
    </row>
    <row r="56348" spans="17:17" x14ac:dyDescent="0.25">
      <c r="Q56348" s="8"/>
    </row>
    <row r="56349" spans="17:17" x14ac:dyDescent="0.25">
      <c r="Q56349" s="8"/>
    </row>
    <row r="56350" spans="17:17" x14ac:dyDescent="0.25">
      <c r="Q56350" s="8"/>
    </row>
    <row r="56351" spans="17:17" x14ac:dyDescent="0.25">
      <c r="Q56351" s="8"/>
    </row>
    <row r="56352" spans="17:17" x14ac:dyDescent="0.25">
      <c r="Q56352" s="8"/>
    </row>
    <row r="56353" spans="17:17" x14ac:dyDescent="0.25">
      <c r="Q56353" s="8"/>
    </row>
    <row r="56354" spans="17:17" x14ac:dyDescent="0.25">
      <c r="Q56354" s="8"/>
    </row>
    <row r="56355" spans="17:17" x14ac:dyDescent="0.25">
      <c r="Q56355" s="8"/>
    </row>
    <row r="56356" spans="17:17" x14ac:dyDescent="0.25">
      <c r="Q56356" s="8"/>
    </row>
    <row r="56357" spans="17:17" x14ac:dyDescent="0.25">
      <c r="Q56357" s="8"/>
    </row>
    <row r="56358" spans="17:17" x14ac:dyDescent="0.25">
      <c r="Q56358" s="8"/>
    </row>
    <row r="56359" spans="17:17" x14ac:dyDescent="0.25">
      <c r="Q56359" s="8"/>
    </row>
    <row r="56360" spans="17:17" x14ac:dyDescent="0.25">
      <c r="Q56360" s="8"/>
    </row>
    <row r="56361" spans="17:17" x14ac:dyDescent="0.25">
      <c r="Q56361" s="8"/>
    </row>
    <row r="56362" spans="17:17" x14ac:dyDescent="0.25">
      <c r="Q56362" s="8"/>
    </row>
    <row r="56363" spans="17:17" x14ac:dyDescent="0.25">
      <c r="Q56363" s="8"/>
    </row>
    <row r="56364" spans="17:17" x14ac:dyDescent="0.25">
      <c r="Q56364" s="8"/>
    </row>
    <row r="56365" spans="17:17" x14ac:dyDescent="0.25">
      <c r="Q56365" s="8"/>
    </row>
    <row r="56366" spans="17:17" x14ac:dyDescent="0.25">
      <c r="Q56366" s="8"/>
    </row>
    <row r="56367" spans="17:17" x14ac:dyDescent="0.25">
      <c r="Q56367" s="8"/>
    </row>
    <row r="56368" spans="17:17" x14ac:dyDescent="0.25">
      <c r="Q56368" s="8"/>
    </row>
    <row r="56369" spans="17:17" x14ac:dyDescent="0.25">
      <c r="Q56369" s="8"/>
    </row>
    <row r="56370" spans="17:17" x14ac:dyDescent="0.25">
      <c r="Q56370" s="8"/>
    </row>
    <row r="56371" spans="17:17" x14ac:dyDescent="0.25">
      <c r="Q56371" s="8"/>
    </row>
    <row r="56372" spans="17:17" x14ac:dyDescent="0.25">
      <c r="Q56372" s="8"/>
    </row>
    <row r="56373" spans="17:17" x14ac:dyDescent="0.25">
      <c r="Q56373" s="8"/>
    </row>
    <row r="56374" spans="17:17" x14ac:dyDescent="0.25">
      <c r="Q56374" s="8"/>
    </row>
    <row r="56375" spans="17:17" x14ac:dyDescent="0.25">
      <c r="Q56375" s="8"/>
    </row>
    <row r="56376" spans="17:17" x14ac:dyDescent="0.25">
      <c r="Q56376" s="8"/>
    </row>
    <row r="56377" spans="17:17" x14ac:dyDescent="0.25">
      <c r="Q56377" s="8"/>
    </row>
    <row r="56378" spans="17:17" x14ac:dyDescent="0.25">
      <c r="Q56378" s="8"/>
    </row>
    <row r="56379" spans="17:17" x14ac:dyDescent="0.25">
      <c r="Q56379" s="8"/>
    </row>
    <row r="56380" spans="17:17" x14ac:dyDescent="0.25">
      <c r="Q56380" s="8"/>
    </row>
    <row r="56381" spans="17:17" x14ac:dyDescent="0.25">
      <c r="Q56381" s="8"/>
    </row>
    <row r="56382" spans="17:17" x14ac:dyDescent="0.25">
      <c r="Q56382" s="8"/>
    </row>
    <row r="56383" spans="17:17" x14ac:dyDescent="0.25">
      <c r="Q56383" s="8"/>
    </row>
    <row r="56384" spans="17:17" x14ac:dyDescent="0.25">
      <c r="Q56384" s="8"/>
    </row>
    <row r="56385" spans="17:17" x14ac:dyDescent="0.25">
      <c r="Q56385" s="8"/>
    </row>
    <row r="56386" spans="17:17" x14ac:dyDescent="0.25">
      <c r="Q56386" s="8"/>
    </row>
    <row r="56387" spans="17:17" x14ac:dyDescent="0.25">
      <c r="Q56387" s="8"/>
    </row>
    <row r="56388" spans="17:17" x14ac:dyDescent="0.25">
      <c r="Q56388" s="8"/>
    </row>
    <row r="56389" spans="17:17" x14ac:dyDescent="0.25">
      <c r="Q56389" s="8"/>
    </row>
    <row r="56390" spans="17:17" x14ac:dyDescent="0.25">
      <c r="Q56390" s="8"/>
    </row>
    <row r="56391" spans="17:17" x14ac:dyDescent="0.25">
      <c r="Q56391" s="8"/>
    </row>
    <row r="56392" spans="17:17" x14ac:dyDescent="0.25">
      <c r="Q56392" s="8"/>
    </row>
    <row r="56393" spans="17:17" x14ac:dyDescent="0.25">
      <c r="Q56393" s="8"/>
    </row>
    <row r="56394" spans="17:17" x14ac:dyDescent="0.25">
      <c r="Q56394" s="8"/>
    </row>
    <row r="56395" spans="17:17" x14ac:dyDescent="0.25">
      <c r="Q56395" s="8"/>
    </row>
    <row r="56396" spans="17:17" x14ac:dyDescent="0.25">
      <c r="Q56396" s="8"/>
    </row>
    <row r="56397" spans="17:17" x14ac:dyDescent="0.25">
      <c r="Q56397" s="8"/>
    </row>
    <row r="56398" spans="17:17" x14ac:dyDescent="0.25">
      <c r="Q56398" s="8"/>
    </row>
    <row r="56399" spans="17:17" x14ac:dyDescent="0.25">
      <c r="Q56399" s="8"/>
    </row>
    <row r="56400" spans="17:17" x14ac:dyDescent="0.25">
      <c r="Q56400" s="8"/>
    </row>
    <row r="56401" spans="17:17" x14ac:dyDescent="0.25">
      <c r="Q56401" s="8"/>
    </row>
    <row r="56402" spans="17:17" x14ac:dyDescent="0.25">
      <c r="Q56402" s="8"/>
    </row>
    <row r="56403" spans="17:17" x14ac:dyDescent="0.25">
      <c r="Q56403" s="8"/>
    </row>
    <row r="56404" spans="17:17" x14ac:dyDescent="0.25">
      <c r="Q56404" s="8"/>
    </row>
    <row r="56405" spans="17:17" x14ac:dyDescent="0.25">
      <c r="Q56405" s="8"/>
    </row>
    <row r="56406" spans="17:17" x14ac:dyDescent="0.25">
      <c r="Q56406" s="8"/>
    </row>
    <row r="56407" spans="17:17" x14ac:dyDescent="0.25">
      <c r="Q56407" s="8"/>
    </row>
    <row r="56408" spans="17:17" x14ac:dyDescent="0.25">
      <c r="Q56408" s="8"/>
    </row>
    <row r="56409" spans="17:17" x14ac:dyDescent="0.25">
      <c r="Q56409" s="8"/>
    </row>
    <row r="56410" spans="17:17" x14ac:dyDescent="0.25">
      <c r="Q56410" s="8"/>
    </row>
    <row r="56411" spans="17:17" x14ac:dyDescent="0.25">
      <c r="Q56411" s="8"/>
    </row>
    <row r="56412" spans="17:17" x14ac:dyDescent="0.25">
      <c r="Q56412" s="8"/>
    </row>
    <row r="56413" spans="17:17" x14ac:dyDescent="0.25">
      <c r="Q56413" s="8"/>
    </row>
    <row r="56414" spans="17:17" x14ac:dyDescent="0.25">
      <c r="Q56414" s="8"/>
    </row>
    <row r="56415" spans="17:17" x14ac:dyDescent="0.25">
      <c r="Q56415" s="8"/>
    </row>
    <row r="56416" spans="17:17" x14ac:dyDescent="0.25">
      <c r="Q56416" s="8"/>
    </row>
    <row r="56417" spans="17:17" x14ac:dyDescent="0.25">
      <c r="Q56417" s="8"/>
    </row>
    <row r="56418" spans="17:17" x14ac:dyDescent="0.25">
      <c r="Q56418" s="8"/>
    </row>
    <row r="56419" spans="17:17" x14ac:dyDescent="0.25">
      <c r="Q56419" s="8"/>
    </row>
    <row r="56420" spans="17:17" x14ac:dyDescent="0.25">
      <c r="Q56420" s="8"/>
    </row>
    <row r="56421" spans="17:17" x14ac:dyDescent="0.25">
      <c r="Q56421" s="8"/>
    </row>
    <row r="56422" spans="17:17" x14ac:dyDescent="0.25">
      <c r="Q56422" s="8"/>
    </row>
    <row r="56423" spans="17:17" x14ac:dyDescent="0.25">
      <c r="Q56423" s="8"/>
    </row>
    <row r="56424" spans="17:17" x14ac:dyDescent="0.25">
      <c r="Q56424" s="8"/>
    </row>
    <row r="56425" spans="17:17" x14ac:dyDescent="0.25">
      <c r="Q56425" s="8"/>
    </row>
    <row r="56426" spans="17:17" x14ac:dyDescent="0.25">
      <c r="Q56426" s="8"/>
    </row>
    <row r="56427" spans="17:17" x14ac:dyDescent="0.25">
      <c r="Q56427" s="8"/>
    </row>
    <row r="56428" spans="17:17" x14ac:dyDescent="0.25">
      <c r="Q56428" s="8"/>
    </row>
    <row r="56429" spans="17:17" x14ac:dyDescent="0.25">
      <c r="Q56429" s="8"/>
    </row>
    <row r="56430" spans="17:17" x14ac:dyDescent="0.25">
      <c r="Q56430" s="8"/>
    </row>
    <row r="56431" spans="17:17" x14ac:dyDescent="0.25">
      <c r="Q56431" s="8"/>
    </row>
    <row r="56432" spans="17:17" x14ac:dyDescent="0.25">
      <c r="Q56432" s="8"/>
    </row>
    <row r="56433" spans="17:17" x14ac:dyDescent="0.25">
      <c r="Q56433" s="8"/>
    </row>
    <row r="56434" spans="17:17" x14ac:dyDescent="0.25">
      <c r="Q56434" s="8"/>
    </row>
    <row r="56435" spans="17:17" x14ac:dyDescent="0.25">
      <c r="Q56435" s="8"/>
    </row>
    <row r="56436" spans="17:17" x14ac:dyDescent="0.25">
      <c r="Q56436" s="8"/>
    </row>
    <row r="56437" spans="17:17" x14ac:dyDescent="0.25">
      <c r="Q56437" s="8"/>
    </row>
    <row r="56438" spans="17:17" x14ac:dyDescent="0.25">
      <c r="Q56438" s="8"/>
    </row>
    <row r="56439" spans="17:17" x14ac:dyDescent="0.25">
      <c r="Q56439" s="8"/>
    </row>
    <row r="56440" spans="17:17" x14ac:dyDescent="0.25">
      <c r="Q56440" s="8"/>
    </row>
    <row r="56441" spans="17:17" x14ac:dyDescent="0.25">
      <c r="Q56441" s="8"/>
    </row>
    <row r="56442" spans="17:17" x14ac:dyDescent="0.25">
      <c r="Q56442" s="8"/>
    </row>
    <row r="56443" spans="17:17" x14ac:dyDescent="0.25">
      <c r="Q56443" s="8"/>
    </row>
    <row r="56444" spans="17:17" x14ac:dyDescent="0.25">
      <c r="Q56444" s="8"/>
    </row>
    <row r="56445" spans="17:17" x14ac:dyDescent="0.25">
      <c r="Q56445" s="8"/>
    </row>
    <row r="56446" spans="17:17" x14ac:dyDescent="0.25">
      <c r="Q56446" s="8"/>
    </row>
    <row r="56447" spans="17:17" x14ac:dyDescent="0.25">
      <c r="Q56447" s="8"/>
    </row>
    <row r="56448" spans="17:17" x14ac:dyDescent="0.25">
      <c r="Q56448" s="8"/>
    </row>
    <row r="56449" spans="17:17" x14ac:dyDescent="0.25">
      <c r="Q56449" s="8"/>
    </row>
    <row r="56450" spans="17:17" x14ac:dyDescent="0.25">
      <c r="Q56450" s="8"/>
    </row>
    <row r="56451" spans="17:17" x14ac:dyDescent="0.25">
      <c r="Q56451" s="8"/>
    </row>
    <row r="56452" spans="17:17" x14ac:dyDescent="0.25">
      <c r="Q56452" s="8"/>
    </row>
    <row r="56453" spans="17:17" x14ac:dyDescent="0.25">
      <c r="Q56453" s="8"/>
    </row>
    <row r="56454" spans="17:17" x14ac:dyDescent="0.25">
      <c r="Q56454" s="8"/>
    </row>
    <row r="56455" spans="17:17" x14ac:dyDescent="0.25">
      <c r="Q56455" s="8"/>
    </row>
    <row r="56456" spans="17:17" x14ac:dyDescent="0.25">
      <c r="Q56456" s="8"/>
    </row>
    <row r="56457" spans="17:17" x14ac:dyDescent="0.25">
      <c r="Q56457" s="8"/>
    </row>
    <row r="56458" spans="17:17" x14ac:dyDescent="0.25">
      <c r="Q56458" s="8"/>
    </row>
    <row r="56459" spans="17:17" x14ac:dyDescent="0.25">
      <c r="Q56459" s="8"/>
    </row>
    <row r="56460" spans="17:17" x14ac:dyDescent="0.25">
      <c r="Q56460" s="8"/>
    </row>
    <row r="56461" spans="17:17" x14ac:dyDescent="0.25">
      <c r="Q56461" s="8"/>
    </row>
    <row r="56462" spans="17:17" x14ac:dyDescent="0.25">
      <c r="Q56462" s="8"/>
    </row>
    <row r="56463" spans="17:17" x14ac:dyDescent="0.25">
      <c r="Q56463" s="8"/>
    </row>
    <row r="56464" spans="17:17" x14ac:dyDescent="0.25">
      <c r="Q56464" s="8"/>
    </row>
    <row r="56465" spans="17:17" x14ac:dyDescent="0.25">
      <c r="Q56465" s="8"/>
    </row>
    <row r="56466" spans="17:17" x14ac:dyDescent="0.25">
      <c r="Q56466" s="8"/>
    </row>
    <row r="56467" spans="17:17" x14ac:dyDescent="0.25">
      <c r="Q56467" s="8"/>
    </row>
    <row r="56468" spans="17:17" x14ac:dyDescent="0.25">
      <c r="Q56468" s="8"/>
    </row>
    <row r="56469" spans="17:17" x14ac:dyDescent="0.25">
      <c r="Q56469" s="8"/>
    </row>
    <row r="56470" spans="17:17" x14ac:dyDescent="0.25">
      <c r="Q56470" s="8"/>
    </row>
    <row r="56471" spans="17:17" x14ac:dyDescent="0.25">
      <c r="Q56471" s="8"/>
    </row>
    <row r="56472" spans="17:17" x14ac:dyDescent="0.25">
      <c r="Q56472" s="8"/>
    </row>
    <row r="56473" spans="17:17" x14ac:dyDescent="0.25">
      <c r="Q56473" s="8"/>
    </row>
    <row r="56474" spans="17:17" x14ac:dyDescent="0.25">
      <c r="Q56474" s="8"/>
    </row>
    <row r="56475" spans="17:17" x14ac:dyDescent="0.25">
      <c r="Q56475" s="8"/>
    </row>
    <row r="56476" spans="17:17" x14ac:dyDescent="0.25">
      <c r="Q56476" s="8"/>
    </row>
    <row r="56477" spans="17:17" x14ac:dyDescent="0.25">
      <c r="Q56477" s="8"/>
    </row>
    <row r="56478" spans="17:17" x14ac:dyDescent="0.25">
      <c r="Q56478" s="8"/>
    </row>
    <row r="56479" spans="17:17" x14ac:dyDescent="0.25">
      <c r="Q56479" s="8"/>
    </row>
    <row r="56480" spans="17:17" x14ac:dyDescent="0.25">
      <c r="Q56480" s="8"/>
    </row>
    <row r="56481" spans="17:17" x14ac:dyDescent="0.25">
      <c r="Q56481" s="8"/>
    </row>
    <row r="56482" spans="17:17" x14ac:dyDescent="0.25">
      <c r="Q56482" s="8"/>
    </row>
    <row r="56483" spans="17:17" x14ac:dyDescent="0.25">
      <c r="Q56483" s="8"/>
    </row>
    <row r="56484" spans="17:17" x14ac:dyDescent="0.25">
      <c r="Q56484" s="8"/>
    </row>
    <row r="56485" spans="17:17" x14ac:dyDescent="0.25">
      <c r="Q56485" s="8"/>
    </row>
    <row r="56486" spans="17:17" x14ac:dyDescent="0.25">
      <c r="Q56486" s="8"/>
    </row>
    <row r="56487" spans="17:17" x14ac:dyDescent="0.25">
      <c r="Q56487" s="8"/>
    </row>
    <row r="56488" spans="17:17" x14ac:dyDescent="0.25">
      <c r="Q56488" s="8"/>
    </row>
    <row r="56489" spans="17:17" x14ac:dyDescent="0.25">
      <c r="Q56489" s="8"/>
    </row>
    <row r="56490" spans="17:17" x14ac:dyDescent="0.25">
      <c r="Q56490" s="8"/>
    </row>
    <row r="56491" spans="17:17" x14ac:dyDescent="0.25">
      <c r="Q56491" s="8"/>
    </row>
    <row r="56492" spans="17:17" x14ac:dyDescent="0.25">
      <c r="Q56492" s="8"/>
    </row>
    <row r="56493" spans="17:17" x14ac:dyDescent="0.25">
      <c r="Q56493" s="8"/>
    </row>
    <row r="56494" spans="17:17" x14ac:dyDescent="0.25">
      <c r="Q56494" s="8"/>
    </row>
    <row r="56495" spans="17:17" x14ac:dyDescent="0.25">
      <c r="Q56495" s="8"/>
    </row>
    <row r="56496" spans="17:17" x14ac:dyDescent="0.25">
      <c r="Q56496" s="8"/>
    </row>
    <row r="56497" spans="17:17" x14ac:dyDescent="0.25">
      <c r="Q56497" s="8"/>
    </row>
    <row r="56498" spans="17:17" x14ac:dyDescent="0.25">
      <c r="Q56498" s="8"/>
    </row>
    <row r="56499" spans="17:17" x14ac:dyDescent="0.25">
      <c r="Q56499" s="8"/>
    </row>
    <row r="56500" spans="17:17" x14ac:dyDescent="0.25">
      <c r="Q56500" s="8"/>
    </row>
    <row r="56501" spans="17:17" x14ac:dyDescent="0.25">
      <c r="Q56501" s="8"/>
    </row>
    <row r="56502" spans="17:17" x14ac:dyDescent="0.25">
      <c r="Q56502" s="8"/>
    </row>
    <row r="56503" spans="17:17" x14ac:dyDescent="0.25">
      <c r="Q56503" s="8"/>
    </row>
    <row r="56504" spans="17:17" x14ac:dyDescent="0.25">
      <c r="Q56504" s="8"/>
    </row>
    <row r="56505" spans="17:17" x14ac:dyDescent="0.25">
      <c r="Q56505" s="8"/>
    </row>
    <row r="56506" spans="17:17" x14ac:dyDescent="0.25">
      <c r="Q56506" s="8"/>
    </row>
    <row r="56507" spans="17:17" x14ac:dyDescent="0.25">
      <c r="Q56507" s="8"/>
    </row>
    <row r="56508" spans="17:17" x14ac:dyDescent="0.25">
      <c r="Q56508" s="8"/>
    </row>
    <row r="56509" spans="17:17" x14ac:dyDescent="0.25">
      <c r="Q56509" s="8"/>
    </row>
    <row r="56510" spans="17:17" x14ac:dyDescent="0.25">
      <c r="Q56510" s="8"/>
    </row>
    <row r="56511" spans="17:17" x14ac:dyDescent="0.25">
      <c r="Q56511" s="8"/>
    </row>
    <row r="56512" spans="17:17" x14ac:dyDescent="0.25">
      <c r="Q56512" s="8"/>
    </row>
    <row r="56513" spans="17:17" x14ac:dyDescent="0.25">
      <c r="Q56513" s="8"/>
    </row>
    <row r="56514" spans="17:17" x14ac:dyDescent="0.25">
      <c r="Q56514" s="8"/>
    </row>
    <row r="56515" spans="17:17" x14ac:dyDescent="0.25">
      <c r="Q56515" s="8"/>
    </row>
    <row r="56516" spans="17:17" x14ac:dyDescent="0.25">
      <c r="Q56516" s="8"/>
    </row>
    <row r="56517" spans="17:17" x14ac:dyDescent="0.25">
      <c r="Q56517" s="8"/>
    </row>
    <row r="56518" spans="17:17" x14ac:dyDescent="0.25">
      <c r="Q56518" s="8"/>
    </row>
    <row r="56519" spans="17:17" x14ac:dyDescent="0.25">
      <c r="Q56519" s="8"/>
    </row>
    <row r="56520" spans="17:17" x14ac:dyDescent="0.25">
      <c r="Q56520" s="8"/>
    </row>
    <row r="56521" spans="17:17" x14ac:dyDescent="0.25">
      <c r="Q56521" s="8"/>
    </row>
    <row r="56522" spans="17:17" x14ac:dyDescent="0.25">
      <c r="Q56522" s="8"/>
    </row>
    <row r="56523" spans="17:17" x14ac:dyDescent="0.25">
      <c r="Q56523" s="8"/>
    </row>
    <row r="56524" spans="17:17" x14ac:dyDescent="0.25">
      <c r="Q56524" s="8"/>
    </row>
    <row r="56525" spans="17:17" x14ac:dyDescent="0.25">
      <c r="Q56525" s="8"/>
    </row>
    <row r="56526" spans="17:17" x14ac:dyDescent="0.25">
      <c r="Q56526" s="8"/>
    </row>
    <row r="56527" spans="17:17" x14ac:dyDescent="0.25">
      <c r="Q56527" s="8"/>
    </row>
    <row r="56528" spans="17:17" x14ac:dyDescent="0.25">
      <c r="Q56528" s="8"/>
    </row>
    <row r="56529" spans="17:17" x14ac:dyDescent="0.25">
      <c r="Q56529" s="8"/>
    </row>
    <row r="56530" spans="17:17" x14ac:dyDescent="0.25">
      <c r="Q56530" s="8"/>
    </row>
    <row r="56531" spans="17:17" x14ac:dyDescent="0.25">
      <c r="Q56531" s="8"/>
    </row>
    <row r="56532" spans="17:17" x14ac:dyDescent="0.25">
      <c r="Q56532" s="8"/>
    </row>
    <row r="56533" spans="17:17" x14ac:dyDescent="0.25">
      <c r="Q56533" s="8"/>
    </row>
    <row r="56534" spans="17:17" x14ac:dyDescent="0.25">
      <c r="Q56534" s="8"/>
    </row>
    <row r="56535" spans="17:17" x14ac:dyDescent="0.25">
      <c r="Q56535" s="8"/>
    </row>
    <row r="56536" spans="17:17" x14ac:dyDescent="0.25">
      <c r="Q56536" s="8"/>
    </row>
    <row r="56537" spans="17:17" x14ac:dyDescent="0.25">
      <c r="Q56537" s="8"/>
    </row>
    <row r="56538" spans="17:17" x14ac:dyDescent="0.25">
      <c r="Q56538" s="8"/>
    </row>
    <row r="56539" spans="17:17" x14ac:dyDescent="0.25">
      <c r="Q56539" s="8"/>
    </row>
    <row r="56540" spans="17:17" x14ac:dyDescent="0.25">
      <c r="Q56540" s="8"/>
    </row>
    <row r="56541" spans="17:17" x14ac:dyDescent="0.25">
      <c r="Q56541" s="8"/>
    </row>
    <row r="56542" spans="17:17" x14ac:dyDescent="0.25">
      <c r="Q56542" s="8"/>
    </row>
    <row r="56543" spans="17:17" x14ac:dyDescent="0.25">
      <c r="Q56543" s="8"/>
    </row>
    <row r="56544" spans="17:17" x14ac:dyDescent="0.25">
      <c r="Q56544" s="8"/>
    </row>
    <row r="56545" spans="17:17" x14ac:dyDescent="0.25">
      <c r="Q56545" s="8"/>
    </row>
    <row r="56546" spans="17:17" x14ac:dyDescent="0.25">
      <c r="Q56546" s="8"/>
    </row>
    <row r="56547" spans="17:17" x14ac:dyDescent="0.25">
      <c r="Q56547" s="8"/>
    </row>
    <row r="56548" spans="17:17" x14ac:dyDescent="0.25">
      <c r="Q56548" s="8"/>
    </row>
    <row r="56549" spans="17:17" x14ac:dyDescent="0.25">
      <c r="Q56549" s="8"/>
    </row>
    <row r="56550" spans="17:17" x14ac:dyDescent="0.25">
      <c r="Q56550" s="8"/>
    </row>
    <row r="56551" spans="17:17" x14ac:dyDescent="0.25">
      <c r="Q56551" s="8"/>
    </row>
    <row r="56552" spans="17:17" x14ac:dyDescent="0.25">
      <c r="Q56552" s="8"/>
    </row>
    <row r="56553" spans="17:17" x14ac:dyDescent="0.25">
      <c r="Q56553" s="8"/>
    </row>
    <row r="56554" spans="17:17" x14ac:dyDescent="0.25">
      <c r="Q56554" s="8"/>
    </row>
    <row r="56555" spans="17:17" x14ac:dyDescent="0.25">
      <c r="Q56555" s="8"/>
    </row>
    <row r="56556" spans="17:17" x14ac:dyDescent="0.25">
      <c r="Q56556" s="8"/>
    </row>
    <row r="56557" spans="17:17" x14ac:dyDescent="0.25">
      <c r="Q56557" s="8"/>
    </row>
    <row r="56558" spans="17:17" x14ac:dyDescent="0.25">
      <c r="Q56558" s="8"/>
    </row>
    <row r="56559" spans="17:17" x14ac:dyDescent="0.25">
      <c r="Q56559" s="8"/>
    </row>
    <row r="56560" spans="17:17" x14ac:dyDescent="0.25">
      <c r="Q56560" s="8"/>
    </row>
    <row r="56561" spans="17:17" x14ac:dyDescent="0.25">
      <c r="Q56561" s="8"/>
    </row>
    <row r="56562" spans="17:17" x14ac:dyDescent="0.25">
      <c r="Q56562" s="8"/>
    </row>
    <row r="56563" spans="17:17" x14ac:dyDescent="0.25">
      <c r="Q56563" s="8"/>
    </row>
    <row r="56564" spans="17:17" x14ac:dyDescent="0.25">
      <c r="Q56564" s="8"/>
    </row>
    <row r="56565" spans="17:17" x14ac:dyDescent="0.25">
      <c r="Q56565" s="8"/>
    </row>
    <row r="56566" spans="17:17" x14ac:dyDescent="0.25">
      <c r="Q56566" s="8"/>
    </row>
    <row r="56567" spans="17:17" x14ac:dyDescent="0.25">
      <c r="Q56567" s="8"/>
    </row>
    <row r="56568" spans="17:17" x14ac:dyDescent="0.25">
      <c r="Q56568" s="8"/>
    </row>
    <row r="56569" spans="17:17" x14ac:dyDescent="0.25">
      <c r="Q56569" s="8"/>
    </row>
    <row r="56570" spans="17:17" x14ac:dyDescent="0.25">
      <c r="Q56570" s="8"/>
    </row>
    <row r="56571" spans="17:17" x14ac:dyDescent="0.25">
      <c r="Q56571" s="8"/>
    </row>
    <row r="56572" spans="17:17" x14ac:dyDescent="0.25">
      <c r="Q56572" s="8"/>
    </row>
    <row r="56573" spans="17:17" x14ac:dyDescent="0.25">
      <c r="Q56573" s="8"/>
    </row>
    <row r="56574" spans="17:17" x14ac:dyDescent="0.25">
      <c r="Q56574" s="8"/>
    </row>
    <row r="56575" spans="17:17" x14ac:dyDescent="0.25">
      <c r="Q56575" s="8"/>
    </row>
    <row r="56576" spans="17:17" x14ac:dyDescent="0.25">
      <c r="Q56576" s="8"/>
    </row>
    <row r="56577" spans="17:17" x14ac:dyDescent="0.25">
      <c r="Q56577" s="8"/>
    </row>
    <row r="56578" spans="17:17" x14ac:dyDescent="0.25">
      <c r="Q56578" s="8"/>
    </row>
    <row r="56579" spans="17:17" x14ac:dyDescent="0.25">
      <c r="Q56579" s="8"/>
    </row>
    <row r="56580" spans="17:17" x14ac:dyDescent="0.25">
      <c r="Q56580" s="8"/>
    </row>
    <row r="56581" spans="17:17" x14ac:dyDescent="0.25">
      <c r="Q56581" s="8"/>
    </row>
    <row r="56582" spans="17:17" x14ac:dyDescent="0.25">
      <c r="Q56582" s="8"/>
    </row>
    <row r="56583" spans="17:17" x14ac:dyDescent="0.25">
      <c r="Q56583" s="8"/>
    </row>
    <row r="56584" spans="17:17" x14ac:dyDescent="0.25">
      <c r="Q56584" s="8"/>
    </row>
    <row r="56585" spans="17:17" x14ac:dyDescent="0.25">
      <c r="Q56585" s="8"/>
    </row>
    <row r="56586" spans="17:17" x14ac:dyDescent="0.25">
      <c r="Q56586" s="8"/>
    </row>
    <row r="56587" spans="17:17" x14ac:dyDescent="0.25">
      <c r="Q56587" s="8"/>
    </row>
    <row r="56588" spans="17:17" x14ac:dyDescent="0.25">
      <c r="Q56588" s="8"/>
    </row>
    <row r="56589" spans="17:17" x14ac:dyDescent="0.25">
      <c r="Q56589" s="8"/>
    </row>
    <row r="56590" spans="17:17" x14ac:dyDescent="0.25">
      <c r="Q56590" s="8"/>
    </row>
    <row r="56591" spans="17:17" x14ac:dyDescent="0.25">
      <c r="Q56591" s="8"/>
    </row>
    <row r="56592" spans="17:17" x14ac:dyDescent="0.25">
      <c r="Q56592" s="8"/>
    </row>
    <row r="56593" spans="17:17" x14ac:dyDescent="0.25">
      <c r="Q56593" s="8"/>
    </row>
    <row r="56594" spans="17:17" x14ac:dyDescent="0.25">
      <c r="Q56594" s="8"/>
    </row>
    <row r="56595" spans="17:17" x14ac:dyDescent="0.25">
      <c r="Q56595" s="8"/>
    </row>
    <row r="56596" spans="17:17" x14ac:dyDescent="0.25">
      <c r="Q56596" s="8"/>
    </row>
    <row r="56597" spans="17:17" x14ac:dyDescent="0.25">
      <c r="Q56597" s="8"/>
    </row>
    <row r="56598" spans="17:17" x14ac:dyDescent="0.25">
      <c r="Q56598" s="8"/>
    </row>
    <row r="56599" spans="17:17" x14ac:dyDescent="0.25">
      <c r="Q56599" s="8"/>
    </row>
    <row r="56600" spans="17:17" x14ac:dyDescent="0.25">
      <c r="Q56600" s="8"/>
    </row>
    <row r="56601" spans="17:17" x14ac:dyDescent="0.25">
      <c r="Q56601" s="8"/>
    </row>
    <row r="56602" spans="17:17" x14ac:dyDescent="0.25">
      <c r="Q56602" s="8"/>
    </row>
    <row r="56603" spans="17:17" x14ac:dyDescent="0.25">
      <c r="Q56603" s="8"/>
    </row>
    <row r="56604" spans="17:17" x14ac:dyDescent="0.25">
      <c r="Q56604" s="8"/>
    </row>
    <row r="56605" spans="17:17" x14ac:dyDescent="0.25">
      <c r="Q56605" s="8"/>
    </row>
    <row r="56606" spans="17:17" x14ac:dyDescent="0.25">
      <c r="Q56606" s="8"/>
    </row>
    <row r="56607" spans="17:17" x14ac:dyDescent="0.25">
      <c r="Q56607" s="8"/>
    </row>
    <row r="56608" spans="17:17" x14ac:dyDescent="0.25">
      <c r="Q56608" s="8"/>
    </row>
    <row r="56609" spans="17:17" x14ac:dyDescent="0.25">
      <c r="Q56609" s="8"/>
    </row>
    <row r="56610" spans="17:17" x14ac:dyDescent="0.25">
      <c r="Q56610" s="8"/>
    </row>
    <row r="56611" spans="17:17" x14ac:dyDescent="0.25">
      <c r="Q56611" s="8"/>
    </row>
    <row r="56612" spans="17:17" x14ac:dyDescent="0.25">
      <c r="Q56612" s="8"/>
    </row>
    <row r="56613" spans="17:17" x14ac:dyDescent="0.25">
      <c r="Q56613" s="8"/>
    </row>
    <row r="56614" spans="17:17" x14ac:dyDescent="0.25">
      <c r="Q56614" s="8"/>
    </row>
    <row r="56615" spans="17:17" x14ac:dyDescent="0.25">
      <c r="Q56615" s="8"/>
    </row>
    <row r="56616" spans="17:17" x14ac:dyDescent="0.25">
      <c r="Q56616" s="8"/>
    </row>
    <row r="56617" spans="17:17" x14ac:dyDescent="0.25">
      <c r="Q56617" s="8"/>
    </row>
    <row r="56618" spans="17:17" x14ac:dyDescent="0.25">
      <c r="Q56618" s="8"/>
    </row>
    <row r="56619" spans="17:17" x14ac:dyDescent="0.25">
      <c r="Q56619" s="8"/>
    </row>
    <row r="56620" spans="17:17" x14ac:dyDescent="0.25">
      <c r="Q56620" s="8"/>
    </row>
    <row r="56621" spans="17:17" x14ac:dyDescent="0.25">
      <c r="Q56621" s="8"/>
    </row>
    <row r="56622" spans="17:17" x14ac:dyDescent="0.25">
      <c r="Q56622" s="8"/>
    </row>
    <row r="56623" spans="17:17" x14ac:dyDescent="0.25">
      <c r="Q56623" s="8"/>
    </row>
    <row r="56624" spans="17:17" x14ac:dyDescent="0.25">
      <c r="Q56624" s="8"/>
    </row>
    <row r="56625" spans="17:17" x14ac:dyDescent="0.25">
      <c r="Q56625" s="8"/>
    </row>
    <row r="56626" spans="17:17" x14ac:dyDescent="0.25">
      <c r="Q56626" s="8"/>
    </row>
    <row r="56627" spans="17:17" x14ac:dyDescent="0.25">
      <c r="Q56627" s="8"/>
    </row>
    <row r="56628" spans="17:17" x14ac:dyDescent="0.25">
      <c r="Q56628" s="8"/>
    </row>
    <row r="56629" spans="17:17" x14ac:dyDescent="0.25">
      <c r="Q56629" s="8"/>
    </row>
    <row r="56630" spans="17:17" x14ac:dyDescent="0.25">
      <c r="Q56630" s="8"/>
    </row>
    <row r="56631" spans="17:17" x14ac:dyDescent="0.25">
      <c r="Q56631" s="8"/>
    </row>
    <row r="56632" spans="17:17" x14ac:dyDescent="0.25">
      <c r="Q56632" s="8"/>
    </row>
    <row r="56633" spans="17:17" x14ac:dyDescent="0.25">
      <c r="Q56633" s="8"/>
    </row>
    <row r="56634" spans="17:17" x14ac:dyDescent="0.25">
      <c r="Q56634" s="8"/>
    </row>
    <row r="56635" spans="17:17" x14ac:dyDescent="0.25">
      <c r="Q56635" s="8"/>
    </row>
    <row r="56636" spans="17:17" x14ac:dyDescent="0.25">
      <c r="Q56636" s="8"/>
    </row>
    <row r="56637" spans="17:17" x14ac:dyDescent="0.25">
      <c r="Q56637" s="8"/>
    </row>
    <row r="56638" spans="17:17" x14ac:dyDescent="0.25">
      <c r="Q56638" s="8"/>
    </row>
    <row r="56639" spans="17:17" x14ac:dyDescent="0.25">
      <c r="Q56639" s="8"/>
    </row>
    <row r="56640" spans="17:17" x14ac:dyDescent="0.25">
      <c r="Q56640" s="8"/>
    </row>
    <row r="56641" spans="17:17" x14ac:dyDescent="0.25">
      <c r="Q56641" s="8"/>
    </row>
    <row r="56642" spans="17:17" x14ac:dyDescent="0.25">
      <c r="Q56642" s="8"/>
    </row>
    <row r="56643" spans="17:17" x14ac:dyDescent="0.25">
      <c r="Q56643" s="8"/>
    </row>
    <row r="56644" spans="17:17" x14ac:dyDescent="0.25">
      <c r="Q56644" s="8"/>
    </row>
    <row r="56645" spans="17:17" x14ac:dyDescent="0.25">
      <c r="Q56645" s="8"/>
    </row>
    <row r="56646" spans="17:17" x14ac:dyDescent="0.25">
      <c r="Q56646" s="8"/>
    </row>
    <row r="56647" spans="17:17" x14ac:dyDescent="0.25">
      <c r="Q56647" s="8"/>
    </row>
    <row r="56648" spans="17:17" x14ac:dyDescent="0.25">
      <c r="Q56648" s="8"/>
    </row>
    <row r="56649" spans="17:17" x14ac:dyDescent="0.25">
      <c r="Q56649" s="8"/>
    </row>
    <row r="56650" spans="17:17" x14ac:dyDescent="0.25">
      <c r="Q56650" s="8"/>
    </row>
    <row r="56651" spans="17:17" x14ac:dyDescent="0.25">
      <c r="Q56651" s="8"/>
    </row>
    <row r="56652" spans="17:17" x14ac:dyDescent="0.25">
      <c r="Q56652" s="8"/>
    </row>
    <row r="56653" spans="17:17" x14ac:dyDescent="0.25">
      <c r="Q56653" s="8"/>
    </row>
    <row r="56654" spans="17:17" x14ac:dyDescent="0.25">
      <c r="Q56654" s="8"/>
    </row>
    <row r="56655" spans="17:17" x14ac:dyDescent="0.25">
      <c r="Q56655" s="8"/>
    </row>
    <row r="56656" spans="17:17" x14ac:dyDescent="0.25">
      <c r="Q56656" s="8"/>
    </row>
    <row r="56657" spans="17:17" x14ac:dyDescent="0.25">
      <c r="Q56657" s="8"/>
    </row>
    <row r="56658" spans="17:17" x14ac:dyDescent="0.25">
      <c r="Q56658" s="8"/>
    </row>
    <row r="56659" spans="17:17" x14ac:dyDescent="0.25">
      <c r="Q56659" s="8"/>
    </row>
    <row r="56660" spans="17:17" x14ac:dyDescent="0.25">
      <c r="Q56660" s="8"/>
    </row>
    <row r="56661" spans="17:17" x14ac:dyDescent="0.25">
      <c r="Q56661" s="8"/>
    </row>
    <row r="56662" spans="17:17" x14ac:dyDescent="0.25">
      <c r="Q56662" s="8"/>
    </row>
    <row r="56663" spans="17:17" x14ac:dyDescent="0.25">
      <c r="Q56663" s="8"/>
    </row>
    <row r="56664" spans="17:17" x14ac:dyDescent="0.25">
      <c r="Q56664" s="8"/>
    </row>
    <row r="56665" spans="17:17" x14ac:dyDescent="0.25">
      <c r="Q56665" s="8"/>
    </row>
    <row r="56666" spans="17:17" x14ac:dyDescent="0.25">
      <c r="Q56666" s="8"/>
    </row>
    <row r="56667" spans="17:17" x14ac:dyDescent="0.25">
      <c r="Q56667" s="8"/>
    </row>
    <row r="56668" spans="17:17" x14ac:dyDescent="0.25">
      <c r="Q56668" s="8"/>
    </row>
    <row r="56669" spans="17:17" x14ac:dyDescent="0.25">
      <c r="Q56669" s="8"/>
    </row>
    <row r="56670" spans="17:17" x14ac:dyDescent="0.25">
      <c r="Q56670" s="8"/>
    </row>
    <row r="56671" spans="17:17" x14ac:dyDescent="0.25">
      <c r="Q56671" s="8"/>
    </row>
    <row r="56672" spans="17:17" x14ac:dyDescent="0.25">
      <c r="Q56672" s="8"/>
    </row>
    <row r="56673" spans="17:17" x14ac:dyDescent="0.25">
      <c r="Q56673" s="8"/>
    </row>
    <row r="56674" spans="17:17" x14ac:dyDescent="0.25">
      <c r="Q56674" s="8"/>
    </row>
    <row r="56675" spans="17:17" x14ac:dyDescent="0.25">
      <c r="Q56675" s="8"/>
    </row>
    <row r="56676" spans="17:17" x14ac:dyDescent="0.25">
      <c r="Q56676" s="8"/>
    </row>
    <row r="56677" spans="17:17" x14ac:dyDescent="0.25">
      <c r="Q56677" s="8"/>
    </row>
    <row r="56678" spans="17:17" x14ac:dyDescent="0.25">
      <c r="Q56678" s="8"/>
    </row>
    <row r="56679" spans="17:17" x14ac:dyDescent="0.25">
      <c r="Q56679" s="8"/>
    </row>
    <row r="56680" spans="17:17" x14ac:dyDescent="0.25">
      <c r="Q56680" s="8"/>
    </row>
    <row r="56681" spans="17:17" x14ac:dyDescent="0.25">
      <c r="Q56681" s="8"/>
    </row>
    <row r="56682" spans="17:17" x14ac:dyDescent="0.25">
      <c r="Q56682" s="8"/>
    </row>
    <row r="56683" spans="17:17" x14ac:dyDescent="0.25">
      <c r="Q56683" s="8"/>
    </row>
    <row r="56684" spans="17:17" x14ac:dyDescent="0.25">
      <c r="Q56684" s="8"/>
    </row>
    <row r="56685" spans="17:17" x14ac:dyDescent="0.25">
      <c r="Q56685" s="8"/>
    </row>
    <row r="56686" spans="17:17" x14ac:dyDescent="0.25">
      <c r="Q56686" s="8"/>
    </row>
    <row r="56687" spans="17:17" x14ac:dyDescent="0.25">
      <c r="Q56687" s="8"/>
    </row>
    <row r="56688" spans="17:17" x14ac:dyDescent="0.25">
      <c r="Q56688" s="8"/>
    </row>
    <row r="56689" spans="17:17" x14ac:dyDescent="0.25">
      <c r="Q56689" s="8"/>
    </row>
    <row r="56690" spans="17:17" x14ac:dyDescent="0.25">
      <c r="Q56690" s="8"/>
    </row>
    <row r="56691" spans="17:17" x14ac:dyDescent="0.25">
      <c r="Q56691" s="8"/>
    </row>
    <row r="56692" spans="17:17" x14ac:dyDescent="0.25">
      <c r="Q56692" s="8"/>
    </row>
    <row r="56693" spans="17:17" x14ac:dyDescent="0.25">
      <c r="Q56693" s="8"/>
    </row>
    <row r="56694" spans="17:17" x14ac:dyDescent="0.25">
      <c r="Q56694" s="8"/>
    </row>
    <row r="56695" spans="17:17" x14ac:dyDescent="0.25">
      <c r="Q56695" s="8"/>
    </row>
    <row r="56696" spans="17:17" x14ac:dyDescent="0.25">
      <c r="Q56696" s="8"/>
    </row>
    <row r="56697" spans="17:17" x14ac:dyDescent="0.25">
      <c r="Q56697" s="8"/>
    </row>
    <row r="56698" spans="17:17" x14ac:dyDescent="0.25">
      <c r="Q56698" s="8"/>
    </row>
    <row r="56699" spans="17:17" x14ac:dyDescent="0.25">
      <c r="Q56699" s="8"/>
    </row>
    <row r="56700" spans="17:17" x14ac:dyDescent="0.25">
      <c r="Q56700" s="8"/>
    </row>
    <row r="56701" spans="17:17" x14ac:dyDescent="0.25">
      <c r="Q56701" s="8"/>
    </row>
    <row r="56702" spans="17:17" x14ac:dyDescent="0.25">
      <c r="Q56702" s="8"/>
    </row>
    <row r="56703" spans="17:17" x14ac:dyDescent="0.25">
      <c r="Q56703" s="8"/>
    </row>
    <row r="56704" spans="17:17" x14ac:dyDescent="0.25">
      <c r="Q56704" s="8"/>
    </row>
    <row r="56705" spans="17:17" x14ac:dyDescent="0.25">
      <c r="Q56705" s="8"/>
    </row>
    <row r="56706" spans="17:17" x14ac:dyDescent="0.25">
      <c r="Q56706" s="8"/>
    </row>
    <row r="56707" spans="17:17" x14ac:dyDescent="0.25">
      <c r="Q56707" s="8"/>
    </row>
    <row r="56708" spans="17:17" x14ac:dyDescent="0.25">
      <c r="Q56708" s="8"/>
    </row>
    <row r="56709" spans="17:17" x14ac:dyDescent="0.25">
      <c r="Q56709" s="8"/>
    </row>
    <row r="56710" spans="17:17" x14ac:dyDescent="0.25">
      <c r="Q56710" s="8"/>
    </row>
    <row r="56711" spans="17:17" x14ac:dyDescent="0.25">
      <c r="Q56711" s="8"/>
    </row>
    <row r="56712" spans="17:17" x14ac:dyDescent="0.25">
      <c r="Q56712" s="8"/>
    </row>
    <row r="56713" spans="17:17" x14ac:dyDescent="0.25">
      <c r="Q56713" s="8"/>
    </row>
    <row r="56714" spans="17:17" x14ac:dyDescent="0.25">
      <c r="Q56714" s="8"/>
    </row>
    <row r="56715" spans="17:17" x14ac:dyDescent="0.25">
      <c r="Q56715" s="8"/>
    </row>
    <row r="56716" spans="17:17" x14ac:dyDescent="0.25">
      <c r="Q56716" s="8"/>
    </row>
    <row r="56717" spans="17:17" x14ac:dyDescent="0.25">
      <c r="Q56717" s="8"/>
    </row>
    <row r="56718" spans="17:17" x14ac:dyDescent="0.25">
      <c r="Q56718" s="8"/>
    </row>
    <row r="56719" spans="17:17" x14ac:dyDescent="0.25">
      <c r="Q56719" s="8"/>
    </row>
    <row r="56720" spans="17:17" x14ac:dyDescent="0.25">
      <c r="Q56720" s="8"/>
    </row>
    <row r="56721" spans="17:17" x14ac:dyDescent="0.25">
      <c r="Q56721" s="8"/>
    </row>
    <row r="56722" spans="17:17" x14ac:dyDescent="0.25">
      <c r="Q56722" s="8"/>
    </row>
    <row r="56723" spans="17:17" x14ac:dyDescent="0.25">
      <c r="Q56723" s="8"/>
    </row>
    <row r="56724" spans="17:17" x14ac:dyDescent="0.25">
      <c r="Q56724" s="8"/>
    </row>
    <row r="56725" spans="17:17" x14ac:dyDescent="0.25">
      <c r="Q56725" s="8"/>
    </row>
    <row r="56726" spans="17:17" x14ac:dyDescent="0.25">
      <c r="Q56726" s="8"/>
    </row>
    <row r="56727" spans="17:17" x14ac:dyDescent="0.25">
      <c r="Q56727" s="8"/>
    </row>
    <row r="56728" spans="17:17" x14ac:dyDescent="0.25">
      <c r="Q56728" s="8"/>
    </row>
    <row r="56729" spans="17:17" x14ac:dyDescent="0.25">
      <c r="Q56729" s="8"/>
    </row>
    <row r="56730" spans="17:17" x14ac:dyDescent="0.25">
      <c r="Q56730" s="8"/>
    </row>
    <row r="56731" spans="17:17" x14ac:dyDescent="0.25">
      <c r="Q56731" s="8"/>
    </row>
    <row r="56732" spans="17:17" x14ac:dyDescent="0.25">
      <c r="Q56732" s="8"/>
    </row>
    <row r="56733" spans="17:17" x14ac:dyDescent="0.25">
      <c r="Q56733" s="8"/>
    </row>
    <row r="56734" spans="17:17" x14ac:dyDescent="0.25">
      <c r="Q56734" s="8"/>
    </row>
    <row r="56735" spans="17:17" x14ac:dyDescent="0.25">
      <c r="Q56735" s="8"/>
    </row>
    <row r="56736" spans="17:17" x14ac:dyDescent="0.25">
      <c r="Q56736" s="8"/>
    </row>
    <row r="56737" spans="17:17" x14ac:dyDescent="0.25">
      <c r="Q56737" s="8"/>
    </row>
    <row r="56738" spans="17:17" x14ac:dyDescent="0.25">
      <c r="Q56738" s="8"/>
    </row>
    <row r="56739" spans="17:17" x14ac:dyDescent="0.25">
      <c r="Q56739" s="8"/>
    </row>
    <row r="56740" spans="17:17" x14ac:dyDescent="0.25">
      <c r="Q56740" s="8"/>
    </row>
    <row r="56741" spans="17:17" x14ac:dyDescent="0.25">
      <c r="Q56741" s="8"/>
    </row>
    <row r="56742" spans="17:17" x14ac:dyDescent="0.25">
      <c r="Q56742" s="8"/>
    </row>
    <row r="56743" spans="17:17" x14ac:dyDescent="0.25">
      <c r="Q56743" s="8"/>
    </row>
    <row r="56744" spans="17:17" x14ac:dyDescent="0.25">
      <c r="Q56744" s="8"/>
    </row>
    <row r="56745" spans="17:17" x14ac:dyDescent="0.25">
      <c r="Q56745" s="8"/>
    </row>
    <row r="56746" spans="17:17" x14ac:dyDescent="0.25">
      <c r="Q56746" s="8"/>
    </row>
    <row r="56747" spans="17:17" x14ac:dyDescent="0.25">
      <c r="Q56747" s="8"/>
    </row>
    <row r="56748" spans="17:17" x14ac:dyDescent="0.25">
      <c r="Q56748" s="8"/>
    </row>
    <row r="56749" spans="17:17" x14ac:dyDescent="0.25">
      <c r="Q56749" s="8"/>
    </row>
    <row r="56750" spans="17:17" x14ac:dyDescent="0.25">
      <c r="Q56750" s="8"/>
    </row>
    <row r="56751" spans="17:17" x14ac:dyDescent="0.25">
      <c r="Q56751" s="8"/>
    </row>
    <row r="56752" spans="17:17" x14ac:dyDescent="0.25">
      <c r="Q56752" s="8"/>
    </row>
    <row r="56753" spans="17:17" x14ac:dyDescent="0.25">
      <c r="Q56753" s="8"/>
    </row>
    <row r="56754" spans="17:17" x14ac:dyDescent="0.25">
      <c r="Q56754" s="8"/>
    </row>
    <row r="56755" spans="17:17" x14ac:dyDescent="0.25">
      <c r="Q56755" s="8"/>
    </row>
    <row r="56756" spans="17:17" x14ac:dyDescent="0.25">
      <c r="Q56756" s="8"/>
    </row>
    <row r="56757" spans="17:17" x14ac:dyDescent="0.25">
      <c r="Q56757" s="8"/>
    </row>
    <row r="56758" spans="17:17" x14ac:dyDescent="0.25">
      <c r="Q56758" s="8"/>
    </row>
    <row r="56759" spans="17:17" x14ac:dyDescent="0.25">
      <c r="Q56759" s="8"/>
    </row>
    <row r="56760" spans="17:17" x14ac:dyDescent="0.25">
      <c r="Q56760" s="8"/>
    </row>
    <row r="56761" spans="17:17" x14ac:dyDescent="0.25">
      <c r="Q56761" s="8"/>
    </row>
    <row r="56762" spans="17:17" x14ac:dyDescent="0.25">
      <c r="Q56762" s="8"/>
    </row>
    <row r="56763" spans="17:17" x14ac:dyDescent="0.25">
      <c r="Q56763" s="8"/>
    </row>
    <row r="56764" spans="17:17" x14ac:dyDescent="0.25">
      <c r="Q56764" s="8"/>
    </row>
    <row r="56765" spans="17:17" x14ac:dyDescent="0.25">
      <c r="Q56765" s="8"/>
    </row>
    <row r="56766" spans="17:17" x14ac:dyDescent="0.25">
      <c r="Q56766" s="8"/>
    </row>
    <row r="56767" spans="17:17" x14ac:dyDescent="0.25">
      <c r="Q56767" s="8"/>
    </row>
    <row r="56768" spans="17:17" x14ac:dyDescent="0.25">
      <c r="Q56768" s="8"/>
    </row>
    <row r="56769" spans="17:17" x14ac:dyDescent="0.25">
      <c r="Q56769" s="8"/>
    </row>
    <row r="56770" spans="17:17" x14ac:dyDescent="0.25">
      <c r="Q56770" s="8"/>
    </row>
    <row r="56771" spans="17:17" x14ac:dyDescent="0.25">
      <c r="Q56771" s="8"/>
    </row>
    <row r="56772" spans="17:17" x14ac:dyDescent="0.25">
      <c r="Q56772" s="8"/>
    </row>
    <row r="56773" spans="17:17" x14ac:dyDescent="0.25">
      <c r="Q56773" s="8"/>
    </row>
    <row r="56774" spans="17:17" x14ac:dyDescent="0.25">
      <c r="Q56774" s="8"/>
    </row>
    <row r="56775" spans="17:17" x14ac:dyDescent="0.25">
      <c r="Q56775" s="8"/>
    </row>
    <row r="56776" spans="17:17" x14ac:dyDescent="0.25">
      <c r="Q56776" s="8"/>
    </row>
    <row r="56777" spans="17:17" x14ac:dyDescent="0.25">
      <c r="Q56777" s="8"/>
    </row>
    <row r="56778" spans="17:17" x14ac:dyDescent="0.25">
      <c r="Q56778" s="8"/>
    </row>
    <row r="56779" spans="17:17" x14ac:dyDescent="0.25">
      <c r="Q56779" s="8"/>
    </row>
    <row r="56780" spans="17:17" x14ac:dyDescent="0.25">
      <c r="Q56780" s="8"/>
    </row>
    <row r="56781" spans="17:17" x14ac:dyDescent="0.25">
      <c r="Q56781" s="8"/>
    </row>
    <row r="56782" spans="17:17" x14ac:dyDescent="0.25">
      <c r="Q56782" s="8"/>
    </row>
    <row r="56783" spans="17:17" x14ac:dyDescent="0.25">
      <c r="Q56783" s="8"/>
    </row>
    <row r="56784" spans="17:17" x14ac:dyDescent="0.25">
      <c r="Q56784" s="8"/>
    </row>
    <row r="56785" spans="17:17" x14ac:dyDescent="0.25">
      <c r="Q56785" s="8"/>
    </row>
    <row r="56786" spans="17:17" x14ac:dyDescent="0.25">
      <c r="Q56786" s="8"/>
    </row>
    <row r="56787" spans="17:17" x14ac:dyDescent="0.25">
      <c r="Q56787" s="8"/>
    </row>
    <row r="56788" spans="17:17" x14ac:dyDescent="0.25">
      <c r="Q56788" s="8"/>
    </row>
    <row r="56789" spans="17:17" x14ac:dyDescent="0.25">
      <c r="Q56789" s="8"/>
    </row>
    <row r="56790" spans="17:17" x14ac:dyDescent="0.25">
      <c r="Q56790" s="8"/>
    </row>
    <row r="56791" spans="17:17" x14ac:dyDescent="0.25">
      <c r="Q56791" s="8"/>
    </row>
    <row r="56792" spans="17:17" x14ac:dyDescent="0.25">
      <c r="Q56792" s="8"/>
    </row>
    <row r="56793" spans="17:17" x14ac:dyDescent="0.25">
      <c r="Q56793" s="8"/>
    </row>
    <row r="56794" spans="17:17" x14ac:dyDescent="0.25">
      <c r="Q56794" s="8"/>
    </row>
    <row r="56795" spans="17:17" x14ac:dyDescent="0.25">
      <c r="Q56795" s="8"/>
    </row>
    <row r="56796" spans="17:17" x14ac:dyDescent="0.25">
      <c r="Q56796" s="8"/>
    </row>
    <row r="56797" spans="17:17" x14ac:dyDescent="0.25">
      <c r="Q56797" s="8"/>
    </row>
    <row r="56798" spans="17:17" x14ac:dyDescent="0.25">
      <c r="Q56798" s="8"/>
    </row>
    <row r="56799" spans="17:17" x14ac:dyDescent="0.25">
      <c r="Q56799" s="8"/>
    </row>
    <row r="56800" spans="17:17" x14ac:dyDescent="0.25">
      <c r="Q56800" s="8"/>
    </row>
    <row r="56801" spans="17:17" x14ac:dyDescent="0.25">
      <c r="Q56801" s="8"/>
    </row>
    <row r="56802" spans="17:17" x14ac:dyDescent="0.25">
      <c r="Q56802" s="8"/>
    </row>
    <row r="56803" spans="17:17" x14ac:dyDescent="0.25">
      <c r="Q56803" s="8"/>
    </row>
    <row r="56804" spans="17:17" x14ac:dyDescent="0.25">
      <c r="Q56804" s="8"/>
    </row>
    <row r="56805" spans="17:17" x14ac:dyDescent="0.25">
      <c r="Q56805" s="8"/>
    </row>
    <row r="56806" spans="17:17" x14ac:dyDescent="0.25">
      <c r="Q56806" s="8"/>
    </row>
    <row r="56807" spans="17:17" x14ac:dyDescent="0.25">
      <c r="Q56807" s="8"/>
    </row>
    <row r="56808" spans="17:17" x14ac:dyDescent="0.25">
      <c r="Q56808" s="8"/>
    </row>
    <row r="56809" spans="17:17" x14ac:dyDescent="0.25">
      <c r="Q56809" s="8"/>
    </row>
    <row r="56810" spans="17:17" x14ac:dyDescent="0.25">
      <c r="Q56810" s="8"/>
    </row>
    <row r="56811" spans="17:17" x14ac:dyDescent="0.25">
      <c r="Q56811" s="8"/>
    </row>
    <row r="56812" spans="17:17" x14ac:dyDescent="0.25">
      <c r="Q56812" s="8"/>
    </row>
    <row r="56813" spans="17:17" x14ac:dyDescent="0.25">
      <c r="Q56813" s="8"/>
    </row>
    <row r="56814" spans="17:17" x14ac:dyDescent="0.25">
      <c r="Q56814" s="8"/>
    </row>
    <row r="56815" spans="17:17" x14ac:dyDescent="0.25">
      <c r="Q56815" s="8"/>
    </row>
    <row r="56816" spans="17:17" x14ac:dyDescent="0.25">
      <c r="Q56816" s="8"/>
    </row>
    <row r="56817" spans="17:17" x14ac:dyDescent="0.25">
      <c r="Q56817" s="8"/>
    </row>
    <row r="56818" spans="17:17" x14ac:dyDescent="0.25">
      <c r="Q56818" s="8"/>
    </row>
    <row r="56819" spans="17:17" x14ac:dyDescent="0.25">
      <c r="Q56819" s="8"/>
    </row>
    <row r="56820" spans="17:17" x14ac:dyDescent="0.25">
      <c r="Q56820" s="8"/>
    </row>
    <row r="56821" spans="17:17" x14ac:dyDescent="0.25">
      <c r="Q56821" s="8"/>
    </row>
    <row r="56822" spans="17:17" x14ac:dyDescent="0.25">
      <c r="Q56822" s="8"/>
    </row>
    <row r="56823" spans="17:17" x14ac:dyDescent="0.25">
      <c r="Q56823" s="8"/>
    </row>
    <row r="56824" spans="17:17" x14ac:dyDescent="0.25">
      <c r="Q56824" s="8"/>
    </row>
    <row r="56825" spans="17:17" x14ac:dyDescent="0.25">
      <c r="Q56825" s="8"/>
    </row>
    <row r="56826" spans="17:17" x14ac:dyDescent="0.25">
      <c r="Q56826" s="8"/>
    </row>
    <row r="56827" spans="17:17" x14ac:dyDescent="0.25">
      <c r="Q56827" s="8"/>
    </row>
    <row r="56828" spans="17:17" x14ac:dyDescent="0.25">
      <c r="Q56828" s="8"/>
    </row>
    <row r="56829" spans="17:17" x14ac:dyDescent="0.25">
      <c r="Q56829" s="8"/>
    </row>
    <row r="56830" spans="17:17" x14ac:dyDescent="0.25">
      <c r="Q56830" s="8"/>
    </row>
    <row r="56831" spans="17:17" x14ac:dyDescent="0.25">
      <c r="Q56831" s="8"/>
    </row>
    <row r="56832" spans="17:17" x14ac:dyDescent="0.25">
      <c r="Q56832" s="8"/>
    </row>
    <row r="56833" spans="17:17" x14ac:dyDescent="0.25">
      <c r="Q56833" s="8"/>
    </row>
    <row r="56834" spans="17:17" x14ac:dyDescent="0.25">
      <c r="Q56834" s="8"/>
    </row>
    <row r="56835" spans="17:17" x14ac:dyDescent="0.25">
      <c r="Q56835" s="8"/>
    </row>
    <row r="56836" spans="17:17" x14ac:dyDescent="0.25">
      <c r="Q56836" s="8"/>
    </row>
    <row r="56837" spans="17:17" x14ac:dyDescent="0.25">
      <c r="Q56837" s="8"/>
    </row>
    <row r="56838" spans="17:17" x14ac:dyDescent="0.25">
      <c r="Q56838" s="8"/>
    </row>
    <row r="56839" spans="17:17" x14ac:dyDescent="0.25">
      <c r="Q56839" s="8"/>
    </row>
    <row r="56840" spans="17:17" x14ac:dyDescent="0.25">
      <c r="Q56840" s="8"/>
    </row>
    <row r="56841" spans="17:17" x14ac:dyDescent="0.25">
      <c r="Q56841" s="8"/>
    </row>
    <row r="56842" spans="17:17" x14ac:dyDescent="0.25">
      <c r="Q56842" s="8"/>
    </row>
    <row r="56843" spans="17:17" x14ac:dyDescent="0.25">
      <c r="Q56843" s="8"/>
    </row>
    <row r="56844" spans="17:17" x14ac:dyDescent="0.25">
      <c r="Q56844" s="8"/>
    </row>
    <row r="56845" spans="17:17" x14ac:dyDescent="0.25">
      <c r="Q56845" s="8"/>
    </row>
    <row r="56846" spans="17:17" x14ac:dyDescent="0.25">
      <c r="Q56846" s="8"/>
    </row>
    <row r="56847" spans="17:17" x14ac:dyDescent="0.25">
      <c r="Q56847" s="8"/>
    </row>
    <row r="56848" spans="17:17" x14ac:dyDescent="0.25">
      <c r="Q56848" s="8"/>
    </row>
    <row r="56849" spans="17:17" x14ac:dyDescent="0.25">
      <c r="Q56849" s="8"/>
    </row>
    <row r="56850" spans="17:17" x14ac:dyDescent="0.25">
      <c r="Q56850" s="8"/>
    </row>
    <row r="56851" spans="17:17" x14ac:dyDescent="0.25">
      <c r="Q56851" s="8"/>
    </row>
    <row r="56852" spans="17:17" x14ac:dyDescent="0.25">
      <c r="Q56852" s="8"/>
    </row>
    <row r="56853" spans="17:17" x14ac:dyDescent="0.25">
      <c r="Q56853" s="8"/>
    </row>
    <row r="56854" spans="17:17" x14ac:dyDescent="0.25">
      <c r="Q56854" s="8"/>
    </row>
    <row r="56855" spans="17:17" x14ac:dyDescent="0.25">
      <c r="Q56855" s="8"/>
    </row>
    <row r="56856" spans="17:17" x14ac:dyDescent="0.25">
      <c r="Q56856" s="8"/>
    </row>
    <row r="56857" spans="17:17" x14ac:dyDescent="0.25">
      <c r="Q56857" s="8"/>
    </row>
    <row r="56858" spans="17:17" x14ac:dyDescent="0.25">
      <c r="Q56858" s="8"/>
    </row>
    <row r="56859" spans="17:17" x14ac:dyDescent="0.25">
      <c r="Q56859" s="8"/>
    </row>
    <row r="56860" spans="17:17" x14ac:dyDescent="0.25">
      <c r="Q56860" s="8"/>
    </row>
    <row r="56861" spans="17:17" x14ac:dyDescent="0.25">
      <c r="Q56861" s="8"/>
    </row>
    <row r="56862" spans="17:17" x14ac:dyDescent="0.25">
      <c r="Q56862" s="8"/>
    </row>
    <row r="56863" spans="17:17" x14ac:dyDescent="0.25">
      <c r="Q56863" s="8"/>
    </row>
    <row r="56864" spans="17:17" x14ac:dyDescent="0.25">
      <c r="Q56864" s="8"/>
    </row>
    <row r="56865" spans="17:17" x14ac:dyDescent="0.25">
      <c r="Q56865" s="8"/>
    </row>
    <row r="56866" spans="17:17" x14ac:dyDescent="0.25">
      <c r="Q56866" s="8"/>
    </row>
    <row r="56867" spans="17:17" x14ac:dyDescent="0.25">
      <c r="Q56867" s="8"/>
    </row>
    <row r="56868" spans="17:17" x14ac:dyDescent="0.25">
      <c r="Q56868" s="8"/>
    </row>
    <row r="56869" spans="17:17" x14ac:dyDescent="0.25">
      <c r="Q56869" s="8"/>
    </row>
    <row r="56870" spans="17:17" x14ac:dyDescent="0.25">
      <c r="Q56870" s="8"/>
    </row>
    <row r="56871" spans="17:17" x14ac:dyDescent="0.25">
      <c r="Q56871" s="8"/>
    </row>
    <row r="56872" spans="17:17" x14ac:dyDescent="0.25">
      <c r="Q56872" s="8"/>
    </row>
    <row r="56873" spans="17:17" x14ac:dyDescent="0.25">
      <c r="Q56873" s="8"/>
    </row>
    <row r="56874" spans="17:17" x14ac:dyDescent="0.25">
      <c r="Q56874" s="8"/>
    </row>
    <row r="56875" spans="17:17" x14ac:dyDescent="0.25">
      <c r="Q56875" s="8"/>
    </row>
    <row r="56876" spans="17:17" x14ac:dyDescent="0.25">
      <c r="Q56876" s="8"/>
    </row>
    <row r="56877" spans="17:17" x14ac:dyDescent="0.25">
      <c r="Q56877" s="8"/>
    </row>
    <row r="56878" spans="17:17" x14ac:dyDescent="0.25">
      <c r="Q56878" s="8"/>
    </row>
    <row r="56879" spans="17:17" x14ac:dyDescent="0.25">
      <c r="Q56879" s="8"/>
    </row>
    <row r="56880" spans="17:17" x14ac:dyDescent="0.25">
      <c r="Q56880" s="8"/>
    </row>
    <row r="56881" spans="17:17" x14ac:dyDescent="0.25">
      <c r="Q56881" s="8"/>
    </row>
    <row r="56882" spans="17:17" x14ac:dyDescent="0.25">
      <c r="Q56882" s="8"/>
    </row>
    <row r="56883" spans="17:17" x14ac:dyDescent="0.25">
      <c r="Q56883" s="8"/>
    </row>
    <row r="56884" spans="17:17" x14ac:dyDescent="0.25">
      <c r="Q56884" s="8"/>
    </row>
    <row r="56885" spans="17:17" x14ac:dyDescent="0.25">
      <c r="Q56885" s="8"/>
    </row>
    <row r="56886" spans="17:17" x14ac:dyDescent="0.25">
      <c r="Q56886" s="8"/>
    </row>
    <row r="56887" spans="17:17" x14ac:dyDescent="0.25">
      <c r="Q56887" s="8"/>
    </row>
    <row r="56888" spans="17:17" x14ac:dyDescent="0.25">
      <c r="Q56888" s="8"/>
    </row>
    <row r="56889" spans="17:17" x14ac:dyDescent="0.25">
      <c r="Q56889" s="8"/>
    </row>
    <row r="56890" spans="17:17" x14ac:dyDescent="0.25">
      <c r="Q56890" s="8"/>
    </row>
    <row r="56891" spans="17:17" x14ac:dyDescent="0.25">
      <c r="Q56891" s="8"/>
    </row>
    <row r="56892" spans="17:17" x14ac:dyDescent="0.25">
      <c r="Q56892" s="8"/>
    </row>
    <row r="56893" spans="17:17" x14ac:dyDescent="0.25">
      <c r="Q56893" s="8"/>
    </row>
    <row r="56894" spans="17:17" x14ac:dyDescent="0.25">
      <c r="Q56894" s="8"/>
    </row>
    <row r="56895" spans="17:17" x14ac:dyDescent="0.25">
      <c r="Q56895" s="8"/>
    </row>
    <row r="56896" spans="17:17" x14ac:dyDescent="0.25">
      <c r="Q56896" s="8"/>
    </row>
    <row r="56897" spans="17:17" x14ac:dyDescent="0.25">
      <c r="Q56897" s="8"/>
    </row>
    <row r="56898" spans="17:17" x14ac:dyDescent="0.25">
      <c r="Q56898" s="8"/>
    </row>
    <row r="56899" spans="17:17" x14ac:dyDescent="0.25">
      <c r="Q56899" s="8"/>
    </row>
    <row r="56900" spans="17:17" x14ac:dyDescent="0.25">
      <c r="Q56900" s="8"/>
    </row>
    <row r="56901" spans="17:17" x14ac:dyDescent="0.25">
      <c r="Q56901" s="8"/>
    </row>
    <row r="56902" spans="17:17" x14ac:dyDescent="0.25">
      <c r="Q56902" s="8"/>
    </row>
    <row r="56903" spans="17:17" x14ac:dyDescent="0.25">
      <c r="Q56903" s="8"/>
    </row>
    <row r="56904" spans="17:17" x14ac:dyDescent="0.25">
      <c r="Q56904" s="8"/>
    </row>
    <row r="56905" spans="17:17" x14ac:dyDescent="0.25">
      <c r="Q56905" s="8"/>
    </row>
    <row r="56906" spans="17:17" x14ac:dyDescent="0.25">
      <c r="Q56906" s="8"/>
    </row>
    <row r="56907" spans="17:17" x14ac:dyDescent="0.25">
      <c r="Q56907" s="8"/>
    </row>
    <row r="56908" spans="17:17" x14ac:dyDescent="0.25">
      <c r="Q56908" s="8"/>
    </row>
    <row r="56909" spans="17:17" x14ac:dyDescent="0.25">
      <c r="Q56909" s="8"/>
    </row>
    <row r="56910" spans="17:17" x14ac:dyDescent="0.25">
      <c r="Q56910" s="8"/>
    </row>
    <row r="56911" spans="17:17" x14ac:dyDescent="0.25">
      <c r="Q56911" s="8"/>
    </row>
    <row r="56912" spans="17:17" x14ac:dyDescent="0.25">
      <c r="Q56912" s="8"/>
    </row>
    <row r="56913" spans="17:17" x14ac:dyDescent="0.25">
      <c r="Q56913" s="8"/>
    </row>
    <row r="56914" spans="17:17" x14ac:dyDescent="0.25">
      <c r="Q56914" s="8"/>
    </row>
    <row r="56915" spans="17:17" x14ac:dyDescent="0.25">
      <c r="Q56915" s="8"/>
    </row>
    <row r="56916" spans="17:17" x14ac:dyDescent="0.25">
      <c r="Q56916" s="8"/>
    </row>
    <row r="56917" spans="17:17" x14ac:dyDescent="0.25">
      <c r="Q56917" s="8"/>
    </row>
    <row r="56918" spans="17:17" x14ac:dyDescent="0.25">
      <c r="Q56918" s="8"/>
    </row>
    <row r="56919" spans="17:17" x14ac:dyDescent="0.25">
      <c r="Q56919" s="8"/>
    </row>
    <row r="56920" spans="17:17" x14ac:dyDescent="0.25">
      <c r="Q56920" s="8"/>
    </row>
    <row r="56921" spans="17:17" x14ac:dyDescent="0.25">
      <c r="Q56921" s="8"/>
    </row>
    <row r="56922" spans="17:17" x14ac:dyDescent="0.25">
      <c r="Q56922" s="8"/>
    </row>
    <row r="56923" spans="17:17" x14ac:dyDescent="0.25">
      <c r="Q56923" s="8"/>
    </row>
    <row r="56924" spans="17:17" x14ac:dyDescent="0.25">
      <c r="Q56924" s="8"/>
    </row>
    <row r="56925" spans="17:17" x14ac:dyDescent="0.25">
      <c r="Q56925" s="8"/>
    </row>
    <row r="56926" spans="17:17" x14ac:dyDescent="0.25">
      <c r="Q56926" s="8"/>
    </row>
    <row r="56927" spans="17:17" x14ac:dyDescent="0.25">
      <c r="Q56927" s="8"/>
    </row>
    <row r="56928" spans="17:17" x14ac:dyDescent="0.25">
      <c r="Q56928" s="8"/>
    </row>
    <row r="56929" spans="17:17" x14ac:dyDescent="0.25">
      <c r="Q56929" s="8"/>
    </row>
    <row r="56930" spans="17:17" x14ac:dyDescent="0.25">
      <c r="Q56930" s="8"/>
    </row>
    <row r="56931" spans="17:17" x14ac:dyDescent="0.25">
      <c r="Q56931" s="8"/>
    </row>
    <row r="56932" spans="17:17" x14ac:dyDescent="0.25">
      <c r="Q56932" s="8"/>
    </row>
    <row r="56933" spans="17:17" x14ac:dyDescent="0.25">
      <c r="Q56933" s="8"/>
    </row>
    <row r="56934" spans="17:17" x14ac:dyDescent="0.25">
      <c r="Q56934" s="8"/>
    </row>
    <row r="56935" spans="17:17" x14ac:dyDescent="0.25">
      <c r="Q56935" s="8"/>
    </row>
    <row r="56936" spans="17:17" x14ac:dyDescent="0.25">
      <c r="Q56936" s="8"/>
    </row>
    <row r="56937" spans="17:17" x14ac:dyDescent="0.25">
      <c r="Q56937" s="8"/>
    </row>
    <row r="56938" spans="17:17" x14ac:dyDescent="0.25">
      <c r="Q56938" s="8"/>
    </row>
    <row r="56939" spans="17:17" x14ac:dyDescent="0.25">
      <c r="Q56939" s="8"/>
    </row>
    <row r="56940" spans="17:17" x14ac:dyDescent="0.25">
      <c r="Q56940" s="8"/>
    </row>
    <row r="56941" spans="17:17" x14ac:dyDescent="0.25">
      <c r="Q56941" s="8"/>
    </row>
    <row r="56942" spans="17:17" x14ac:dyDescent="0.25">
      <c r="Q56942" s="8"/>
    </row>
    <row r="56943" spans="17:17" x14ac:dyDescent="0.25">
      <c r="Q56943" s="8"/>
    </row>
    <row r="56944" spans="17:17" x14ac:dyDescent="0.25">
      <c r="Q56944" s="8"/>
    </row>
    <row r="56945" spans="17:17" x14ac:dyDescent="0.25">
      <c r="Q56945" s="8"/>
    </row>
    <row r="56946" spans="17:17" x14ac:dyDescent="0.25">
      <c r="Q56946" s="8"/>
    </row>
    <row r="56947" spans="17:17" x14ac:dyDescent="0.25">
      <c r="Q56947" s="8"/>
    </row>
    <row r="56948" spans="17:17" x14ac:dyDescent="0.25">
      <c r="Q56948" s="8"/>
    </row>
    <row r="56949" spans="17:17" x14ac:dyDescent="0.25">
      <c r="Q56949" s="8"/>
    </row>
    <row r="56950" spans="17:17" x14ac:dyDescent="0.25">
      <c r="Q56950" s="8"/>
    </row>
    <row r="56951" spans="17:17" x14ac:dyDescent="0.25">
      <c r="Q56951" s="8"/>
    </row>
    <row r="56952" spans="17:17" x14ac:dyDescent="0.25">
      <c r="Q56952" s="8"/>
    </row>
    <row r="56953" spans="17:17" x14ac:dyDescent="0.25">
      <c r="Q56953" s="8"/>
    </row>
    <row r="56954" spans="17:17" x14ac:dyDescent="0.25">
      <c r="Q56954" s="8"/>
    </row>
    <row r="56955" spans="17:17" x14ac:dyDescent="0.25">
      <c r="Q56955" s="8"/>
    </row>
    <row r="56956" spans="17:17" x14ac:dyDescent="0.25">
      <c r="Q56956" s="8"/>
    </row>
    <row r="56957" spans="17:17" x14ac:dyDescent="0.25">
      <c r="Q56957" s="8"/>
    </row>
    <row r="56958" spans="17:17" x14ac:dyDescent="0.25">
      <c r="Q56958" s="8"/>
    </row>
    <row r="56959" spans="17:17" x14ac:dyDescent="0.25">
      <c r="Q56959" s="8"/>
    </row>
    <row r="56960" spans="17:17" x14ac:dyDescent="0.25">
      <c r="Q56960" s="8"/>
    </row>
    <row r="56961" spans="17:17" x14ac:dyDescent="0.25">
      <c r="Q56961" s="8"/>
    </row>
    <row r="56962" spans="17:17" x14ac:dyDescent="0.25">
      <c r="Q56962" s="8"/>
    </row>
    <row r="56963" spans="17:17" x14ac:dyDescent="0.25">
      <c r="Q56963" s="8"/>
    </row>
    <row r="56964" spans="17:17" x14ac:dyDescent="0.25">
      <c r="Q56964" s="8"/>
    </row>
    <row r="56965" spans="17:17" x14ac:dyDescent="0.25">
      <c r="Q56965" s="8"/>
    </row>
    <row r="56966" spans="17:17" x14ac:dyDescent="0.25">
      <c r="Q56966" s="8"/>
    </row>
    <row r="56967" spans="17:17" x14ac:dyDescent="0.25">
      <c r="Q56967" s="8"/>
    </row>
    <row r="56968" spans="17:17" x14ac:dyDescent="0.25">
      <c r="Q56968" s="8"/>
    </row>
    <row r="56969" spans="17:17" x14ac:dyDescent="0.25">
      <c r="Q56969" s="8"/>
    </row>
    <row r="56970" spans="17:17" x14ac:dyDescent="0.25">
      <c r="Q56970" s="8"/>
    </row>
    <row r="56971" spans="17:17" x14ac:dyDescent="0.25">
      <c r="Q56971" s="8"/>
    </row>
    <row r="56972" spans="17:17" x14ac:dyDescent="0.25">
      <c r="Q56972" s="8"/>
    </row>
    <row r="56973" spans="17:17" x14ac:dyDescent="0.25">
      <c r="Q56973" s="8"/>
    </row>
    <row r="56974" spans="17:17" x14ac:dyDescent="0.25">
      <c r="Q56974" s="8"/>
    </row>
    <row r="56975" spans="17:17" x14ac:dyDescent="0.25">
      <c r="Q56975" s="8"/>
    </row>
    <row r="56976" spans="17:17" x14ac:dyDescent="0.25">
      <c r="Q56976" s="8"/>
    </row>
    <row r="56977" spans="17:17" x14ac:dyDescent="0.25">
      <c r="Q56977" s="8"/>
    </row>
    <row r="56978" spans="17:17" x14ac:dyDescent="0.25">
      <c r="Q56978" s="8"/>
    </row>
    <row r="56979" spans="17:17" x14ac:dyDescent="0.25">
      <c r="Q56979" s="8"/>
    </row>
    <row r="56980" spans="17:17" x14ac:dyDescent="0.25">
      <c r="Q56980" s="8"/>
    </row>
    <row r="56981" spans="17:17" x14ac:dyDescent="0.25">
      <c r="Q56981" s="8"/>
    </row>
    <row r="56982" spans="17:17" x14ac:dyDescent="0.25">
      <c r="Q56982" s="8"/>
    </row>
    <row r="56983" spans="17:17" x14ac:dyDescent="0.25">
      <c r="Q56983" s="8"/>
    </row>
    <row r="56984" spans="17:17" x14ac:dyDescent="0.25">
      <c r="Q56984" s="8"/>
    </row>
    <row r="56985" spans="17:17" x14ac:dyDescent="0.25">
      <c r="Q56985" s="8"/>
    </row>
    <row r="56986" spans="17:17" x14ac:dyDescent="0.25">
      <c r="Q56986" s="8"/>
    </row>
    <row r="56987" spans="17:17" x14ac:dyDescent="0.25">
      <c r="Q56987" s="8"/>
    </row>
    <row r="56988" spans="17:17" x14ac:dyDescent="0.25">
      <c r="Q56988" s="8"/>
    </row>
    <row r="56989" spans="17:17" x14ac:dyDescent="0.25">
      <c r="Q56989" s="8"/>
    </row>
    <row r="56990" spans="17:17" x14ac:dyDescent="0.25">
      <c r="Q56990" s="8"/>
    </row>
    <row r="56991" spans="17:17" x14ac:dyDescent="0.25">
      <c r="Q56991" s="8"/>
    </row>
    <row r="56992" spans="17:17" x14ac:dyDescent="0.25">
      <c r="Q56992" s="8"/>
    </row>
    <row r="56993" spans="17:17" x14ac:dyDescent="0.25">
      <c r="Q56993" s="8"/>
    </row>
    <row r="56994" spans="17:17" x14ac:dyDescent="0.25">
      <c r="Q56994" s="8"/>
    </row>
    <row r="56995" spans="17:17" x14ac:dyDescent="0.25">
      <c r="Q56995" s="8"/>
    </row>
    <row r="56996" spans="17:17" x14ac:dyDescent="0.25">
      <c r="Q56996" s="8"/>
    </row>
    <row r="56997" spans="17:17" x14ac:dyDescent="0.25">
      <c r="Q56997" s="8"/>
    </row>
    <row r="56998" spans="17:17" x14ac:dyDescent="0.25">
      <c r="Q56998" s="8"/>
    </row>
    <row r="56999" spans="17:17" x14ac:dyDescent="0.25">
      <c r="Q56999" s="8"/>
    </row>
    <row r="57000" spans="17:17" x14ac:dyDescent="0.25">
      <c r="Q57000" s="8"/>
    </row>
    <row r="57001" spans="17:17" x14ac:dyDescent="0.25">
      <c r="Q57001" s="8"/>
    </row>
    <row r="57002" spans="17:17" x14ac:dyDescent="0.25">
      <c r="Q57002" s="8"/>
    </row>
    <row r="57003" spans="17:17" x14ac:dyDescent="0.25">
      <c r="Q57003" s="8"/>
    </row>
    <row r="57004" spans="17:17" x14ac:dyDescent="0.25">
      <c r="Q57004" s="8"/>
    </row>
    <row r="57005" spans="17:17" x14ac:dyDescent="0.25">
      <c r="Q57005" s="8"/>
    </row>
    <row r="57006" spans="17:17" x14ac:dyDescent="0.25">
      <c r="Q57006" s="8"/>
    </row>
    <row r="57007" spans="17:17" x14ac:dyDescent="0.25">
      <c r="Q57007" s="8"/>
    </row>
    <row r="57008" spans="17:17" x14ac:dyDescent="0.25">
      <c r="Q57008" s="8"/>
    </row>
    <row r="57009" spans="17:17" x14ac:dyDescent="0.25">
      <c r="Q57009" s="8"/>
    </row>
    <row r="57010" spans="17:17" x14ac:dyDescent="0.25">
      <c r="Q57010" s="8"/>
    </row>
    <row r="57011" spans="17:17" x14ac:dyDescent="0.25">
      <c r="Q57011" s="8"/>
    </row>
    <row r="57012" spans="17:17" x14ac:dyDescent="0.25">
      <c r="Q57012" s="8"/>
    </row>
    <row r="57013" spans="17:17" x14ac:dyDescent="0.25">
      <c r="Q57013" s="8"/>
    </row>
    <row r="57014" spans="17:17" x14ac:dyDescent="0.25">
      <c r="Q57014" s="8"/>
    </row>
    <row r="57015" spans="17:17" x14ac:dyDescent="0.25">
      <c r="Q57015" s="8"/>
    </row>
    <row r="57016" spans="17:17" x14ac:dyDescent="0.25">
      <c r="Q57016" s="8"/>
    </row>
    <row r="57017" spans="17:17" x14ac:dyDescent="0.25">
      <c r="Q57017" s="8"/>
    </row>
    <row r="57018" spans="17:17" x14ac:dyDescent="0.25">
      <c r="Q57018" s="8"/>
    </row>
    <row r="57019" spans="17:17" x14ac:dyDescent="0.25">
      <c r="Q57019" s="8"/>
    </row>
    <row r="57020" spans="17:17" x14ac:dyDescent="0.25">
      <c r="Q57020" s="8"/>
    </row>
    <row r="57021" spans="17:17" x14ac:dyDescent="0.25">
      <c r="Q57021" s="8"/>
    </row>
    <row r="57022" spans="17:17" x14ac:dyDescent="0.25">
      <c r="Q57022" s="8"/>
    </row>
    <row r="57023" spans="17:17" x14ac:dyDescent="0.25">
      <c r="Q57023" s="8"/>
    </row>
    <row r="57024" spans="17:17" x14ac:dyDescent="0.25">
      <c r="Q57024" s="8"/>
    </row>
    <row r="57025" spans="17:17" x14ac:dyDescent="0.25">
      <c r="Q57025" s="8"/>
    </row>
    <row r="57026" spans="17:17" x14ac:dyDescent="0.25">
      <c r="Q57026" s="8"/>
    </row>
    <row r="57027" spans="17:17" x14ac:dyDescent="0.25">
      <c r="Q57027" s="8"/>
    </row>
    <row r="57028" spans="17:17" x14ac:dyDescent="0.25">
      <c r="Q57028" s="8"/>
    </row>
    <row r="57029" spans="17:17" x14ac:dyDescent="0.25">
      <c r="Q57029" s="8"/>
    </row>
    <row r="57030" spans="17:17" x14ac:dyDescent="0.25">
      <c r="Q57030" s="8"/>
    </row>
    <row r="57031" spans="17:17" x14ac:dyDescent="0.25">
      <c r="Q57031" s="8"/>
    </row>
    <row r="57032" spans="17:17" x14ac:dyDescent="0.25">
      <c r="Q57032" s="8"/>
    </row>
    <row r="57033" spans="17:17" x14ac:dyDescent="0.25">
      <c r="Q57033" s="8"/>
    </row>
    <row r="57034" spans="17:17" x14ac:dyDescent="0.25">
      <c r="Q57034" s="8"/>
    </row>
    <row r="57035" spans="17:17" x14ac:dyDescent="0.25">
      <c r="Q57035" s="8"/>
    </row>
    <row r="57036" spans="17:17" x14ac:dyDescent="0.25">
      <c r="Q57036" s="8"/>
    </row>
    <row r="57037" spans="17:17" x14ac:dyDescent="0.25">
      <c r="Q57037" s="8"/>
    </row>
    <row r="57038" spans="17:17" x14ac:dyDescent="0.25">
      <c r="Q57038" s="8"/>
    </row>
    <row r="57039" spans="17:17" x14ac:dyDescent="0.25">
      <c r="Q57039" s="8"/>
    </row>
    <row r="57040" spans="17:17" x14ac:dyDescent="0.25">
      <c r="Q57040" s="8"/>
    </row>
    <row r="57041" spans="17:17" x14ac:dyDescent="0.25">
      <c r="Q57041" s="8"/>
    </row>
    <row r="57042" spans="17:17" x14ac:dyDescent="0.25">
      <c r="Q57042" s="8"/>
    </row>
    <row r="57043" spans="17:17" x14ac:dyDescent="0.25">
      <c r="Q57043" s="8"/>
    </row>
    <row r="57044" spans="17:17" x14ac:dyDescent="0.25">
      <c r="Q57044" s="8"/>
    </row>
    <row r="57045" spans="17:17" x14ac:dyDescent="0.25">
      <c r="Q57045" s="8"/>
    </row>
    <row r="57046" spans="17:17" x14ac:dyDescent="0.25">
      <c r="Q57046" s="8"/>
    </row>
    <row r="57047" spans="17:17" x14ac:dyDescent="0.25">
      <c r="Q57047" s="8"/>
    </row>
    <row r="57048" spans="17:17" x14ac:dyDescent="0.25">
      <c r="Q57048" s="8"/>
    </row>
    <row r="57049" spans="17:17" x14ac:dyDescent="0.25">
      <c r="Q57049" s="8"/>
    </row>
    <row r="57050" spans="17:17" x14ac:dyDescent="0.25">
      <c r="Q57050" s="8"/>
    </row>
    <row r="57051" spans="17:17" x14ac:dyDescent="0.25">
      <c r="Q57051" s="8"/>
    </row>
    <row r="57052" spans="17:17" x14ac:dyDescent="0.25">
      <c r="Q57052" s="8"/>
    </row>
    <row r="57053" spans="17:17" x14ac:dyDescent="0.25">
      <c r="Q57053" s="8"/>
    </row>
    <row r="57054" spans="17:17" x14ac:dyDescent="0.25">
      <c r="Q57054" s="8"/>
    </row>
    <row r="57055" spans="17:17" x14ac:dyDescent="0.25">
      <c r="Q57055" s="8"/>
    </row>
    <row r="57056" spans="17:17" x14ac:dyDescent="0.25">
      <c r="Q57056" s="8"/>
    </row>
    <row r="57057" spans="17:17" x14ac:dyDescent="0.25">
      <c r="Q57057" s="8"/>
    </row>
    <row r="57058" spans="17:17" x14ac:dyDescent="0.25">
      <c r="Q57058" s="8"/>
    </row>
    <row r="57059" spans="17:17" x14ac:dyDescent="0.25">
      <c r="Q57059" s="8"/>
    </row>
    <row r="57060" spans="17:17" x14ac:dyDescent="0.25">
      <c r="Q57060" s="8"/>
    </row>
    <row r="57061" spans="17:17" x14ac:dyDescent="0.25">
      <c r="Q57061" s="8"/>
    </row>
    <row r="57062" spans="17:17" x14ac:dyDescent="0.25">
      <c r="Q57062" s="8"/>
    </row>
    <row r="57063" spans="17:17" x14ac:dyDescent="0.25">
      <c r="Q57063" s="8"/>
    </row>
    <row r="57064" spans="17:17" x14ac:dyDescent="0.25">
      <c r="Q57064" s="8"/>
    </row>
    <row r="57065" spans="17:17" x14ac:dyDescent="0.25">
      <c r="Q57065" s="8"/>
    </row>
    <row r="57066" spans="17:17" x14ac:dyDescent="0.25">
      <c r="Q57066" s="8"/>
    </row>
    <row r="57067" spans="17:17" x14ac:dyDescent="0.25">
      <c r="Q57067" s="8"/>
    </row>
    <row r="57068" spans="17:17" x14ac:dyDescent="0.25">
      <c r="Q57068" s="8"/>
    </row>
    <row r="57069" spans="17:17" x14ac:dyDescent="0.25">
      <c r="Q57069" s="8"/>
    </row>
    <row r="57070" spans="17:17" x14ac:dyDescent="0.25">
      <c r="Q57070" s="8"/>
    </row>
    <row r="57071" spans="17:17" x14ac:dyDescent="0.25">
      <c r="Q57071" s="8"/>
    </row>
    <row r="57072" spans="17:17" x14ac:dyDescent="0.25">
      <c r="Q57072" s="8"/>
    </row>
    <row r="57073" spans="17:17" x14ac:dyDescent="0.25">
      <c r="Q57073" s="8"/>
    </row>
    <row r="57074" spans="17:17" x14ac:dyDescent="0.25">
      <c r="Q57074" s="8"/>
    </row>
    <row r="57075" spans="17:17" x14ac:dyDescent="0.25">
      <c r="Q57075" s="8"/>
    </row>
    <row r="57076" spans="17:17" x14ac:dyDescent="0.25">
      <c r="Q57076" s="8"/>
    </row>
    <row r="57077" spans="17:17" x14ac:dyDescent="0.25">
      <c r="Q57077" s="8"/>
    </row>
    <row r="57078" spans="17:17" x14ac:dyDescent="0.25">
      <c r="Q57078" s="8"/>
    </row>
    <row r="57079" spans="17:17" x14ac:dyDescent="0.25">
      <c r="Q57079" s="8"/>
    </row>
    <row r="57080" spans="17:17" x14ac:dyDescent="0.25">
      <c r="Q57080" s="8"/>
    </row>
    <row r="57081" spans="17:17" x14ac:dyDescent="0.25">
      <c r="Q57081" s="8"/>
    </row>
    <row r="57082" spans="17:17" x14ac:dyDescent="0.25">
      <c r="Q57082" s="8"/>
    </row>
    <row r="57083" spans="17:17" x14ac:dyDescent="0.25">
      <c r="Q57083" s="8"/>
    </row>
    <row r="57084" spans="17:17" x14ac:dyDescent="0.25">
      <c r="Q57084" s="8"/>
    </row>
    <row r="57085" spans="17:17" x14ac:dyDescent="0.25">
      <c r="Q57085" s="8"/>
    </row>
    <row r="57086" spans="17:17" x14ac:dyDescent="0.25">
      <c r="Q57086" s="8"/>
    </row>
    <row r="57087" spans="17:17" x14ac:dyDescent="0.25">
      <c r="Q57087" s="8"/>
    </row>
    <row r="57088" spans="17:17" x14ac:dyDescent="0.25">
      <c r="Q57088" s="8"/>
    </row>
    <row r="57089" spans="17:17" x14ac:dyDescent="0.25">
      <c r="Q57089" s="8"/>
    </row>
    <row r="57090" spans="17:17" x14ac:dyDescent="0.25">
      <c r="Q57090" s="8"/>
    </row>
    <row r="57091" spans="17:17" x14ac:dyDescent="0.25">
      <c r="Q57091" s="8"/>
    </row>
    <row r="57092" spans="17:17" x14ac:dyDescent="0.25">
      <c r="Q57092" s="8"/>
    </row>
    <row r="57093" spans="17:17" x14ac:dyDescent="0.25">
      <c r="Q57093" s="8"/>
    </row>
    <row r="57094" spans="17:17" x14ac:dyDescent="0.25">
      <c r="Q57094" s="8"/>
    </row>
    <row r="57095" spans="17:17" x14ac:dyDescent="0.25">
      <c r="Q57095" s="8"/>
    </row>
    <row r="57096" spans="17:17" x14ac:dyDescent="0.25">
      <c r="Q57096" s="8"/>
    </row>
    <row r="57097" spans="17:17" x14ac:dyDescent="0.25">
      <c r="Q57097" s="8"/>
    </row>
    <row r="57098" spans="17:17" x14ac:dyDescent="0.25">
      <c r="Q57098" s="8"/>
    </row>
    <row r="57099" spans="17:17" x14ac:dyDescent="0.25">
      <c r="Q57099" s="8"/>
    </row>
    <row r="57100" spans="17:17" x14ac:dyDescent="0.25">
      <c r="Q57100" s="8"/>
    </row>
    <row r="57101" spans="17:17" x14ac:dyDescent="0.25">
      <c r="Q57101" s="8"/>
    </row>
    <row r="57102" spans="17:17" x14ac:dyDescent="0.25">
      <c r="Q57102" s="8"/>
    </row>
    <row r="57103" spans="17:17" x14ac:dyDescent="0.25">
      <c r="Q57103" s="8"/>
    </row>
    <row r="57104" spans="17:17" x14ac:dyDescent="0.25">
      <c r="Q57104" s="8"/>
    </row>
    <row r="57105" spans="17:17" x14ac:dyDescent="0.25">
      <c r="Q57105" s="8"/>
    </row>
    <row r="57106" spans="17:17" x14ac:dyDescent="0.25">
      <c r="Q57106" s="8"/>
    </row>
    <row r="57107" spans="17:17" x14ac:dyDescent="0.25">
      <c r="Q57107" s="8"/>
    </row>
    <row r="57108" spans="17:17" x14ac:dyDescent="0.25">
      <c r="Q57108" s="8"/>
    </row>
    <row r="57109" spans="17:17" x14ac:dyDescent="0.25">
      <c r="Q57109" s="8"/>
    </row>
    <row r="57110" spans="17:17" x14ac:dyDescent="0.25">
      <c r="Q57110" s="8"/>
    </row>
    <row r="57111" spans="17:17" x14ac:dyDescent="0.25">
      <c r="Q57111" s="8"/>
    </row>
    <row r="57112" spans="17:17" x14ac:dyDescent="0.25">
      <c r="Q57112" s="8"/>
    </row>
    <row r="57113" spans="17:17" x14ac:dyDescent="0.25">
      <c r="Q57113" s="8"/>
    </row>
    <row r="57114" spans="17:17" x14ac:dyDescent="0.25">
      <c r="Q57114" s="8"/>
    </row>
    <row r="57115" spans="17:17" x14ac:dyDescent="0.25">
      <c r="Q57115" s="8"/>
    </row>
    <row r="57116" spans="17:17" x14ac:dyDescent="0.25">
      <c r="Q57116" s="8"/>
    </row>
    <row r="57117" spans="17:17" x14ac:dyDescent="0.25">
      <c r="Q57117" s="8"/>
    </row>
    <row r="57118" spans="17:17" x14ac:dyDescent="0.25">
      <c r="Q57118" s="8"/>
    </row>
    <row r="57119" spans="17:17" x14ac:dyDescent="0.25">
      <c r="Q57119" s="8"/>
    </row>
    <row r="57120" spans="17:17" x14ac:dyDescent="0.25">
      <c r="Q57120" s="8"/>
    </row>
    <row r="57121" spans="17:17" x14ac:dyDescent="0.25">
      <c r="Q57121" s="8"/>
    </row>
    <row r="57122" spans="17:17" x14ac:dyDescent="0.25">
      <c r="Q57122" s="8"/>
    </row>
    <row r="57123" spans="17:17" x14ac:dyDescent="0.25">
      <c r="Q57123" s="8"/>
    </row>
    <row r="57124" spans="17:17" x14ac:dyDescent="0.25">
      <c r="Q57124" s="8"/>
    </row>
    <row r="57125" spans="17:17" x14ac:dyDescent="0.25">
      <c r="Q57125" s="8"/>
    </row>
    <row r="57126" spans="17:17" x14ac:dyDescent="0.25">
      <c r="Q57126" s="8"/>
    </row>
    <row r="57127" spans="17:17" x14ac:dyDescent="0.25">
      <c r="Q57127" s="8"/>
    </row>
    <row r="57128" spans="17:17" x14ac:dyDescent="0.25">
      <c r="Q57128" s="8"/>
    </row>
    <row r="57129" spans="17:17" x14ac:dyDescent="0.25">
      <c r="Q57129" s="8"/>
    </row>
    <row r="57130" spans="17:17" x14ac:dyDescent="0.25">
      <c r="Q57130" s="8"/>
    </row>
    <row r="57131" spans="17:17" x14ac:dyDescent="0.25">
      <c r="Q57131" s="8"/>
    </row>
    <row r="57132" spans="17:17" x14ac:dyDescent="0.25">
      <c r="Q57132" s="8"/>
    </row>
    <row r="57133" spans="17:17" x14ac:dyDescent="0.25">
      <c r="Q57133" s="8"/>
    </row>
    <row r="57134" spans="17:17" x14ac:dyDescent="0.25">
      <c r="Q57134" s="8"/>
    </row>
    <row r="57135" spans="17:17" x14ac:dyDescent="0.25">
      <c r="Q57135" s="8"/>
    </row>
    <row r="57136" spans="17:17" x14ac:dyDescent="0.25">
      <c r="Q57136" s="8"/>
    </row>
    <row r="57137" spans="17:17" x14ac:dyDescent="0.25">
      <c r="Q57137" s="8"/>
    </row>
    <row r="57138" spans="17:17" x14ac:dyDescent="0.25">
      <c r="Q57138" s="8"/>
    </row>
    <row r="57139" spans="17:17" x14ac:dyDescent="0.25">
      <c r="Q57139" s="8"/>
    </row>
    <row r="57140" spans="17:17" x14ac:dyDescent="0.25">
      <c r="Q57140" s="8"/>
    </row>
    <row r="57141" spans="17:17" x14ac:dyDescent="0.25">
      <c r="Q57141" s="8"/>
    </row>
    <row r="57142" spans="17:17" x14ac:dyDescent="0.25">
      <c r="Q57142" s="8"/>
    </row>
    <row r="57143" spans="17:17" x14ac:dyDescent="0.25">
      <c r="Q57143" s="8"/>
    </row>
    <row r="57144" spans="17:17" x14ac:dyDescent="0.25">
      <c r="Q57144" s="8"/>
    </row>
    <row r="57145" spans="17:17" x14ac:dyDescent="0.25">
      <c r="Q57145" s="8"/>
    </row>
    <row r="57146" spans="17:17" x14ac:dyDescent="0.25">
      <c r="Q57146" s="8"/>
    </row>
    <row r="57147" spans="17:17" x14ac:dyDescent="0.25">
      <c r="Q57147" s="8"/>
    </row>
    <row r="57148" spans="17:17" x14ac:dyDescent="0.25">
      <c r="Q57148" s="8"/>
    </row>
    <row r="57149" spans="17:17" x14ac:dyDescent="0.25">
      <c r="Q57149" s="8"/>
    </row>
    <row r="57150" spans="17:17" x14ac:dyDescent="0.25">
      <c r="Q57150" s="8"/>
    </row>
    <row r="57151" spans="17:17" x14ac:dyDescent="0.25">
      <c r="Q57151" s="8"/>
    </row>
    <row r="57152" spans="17:17" x14ac:dyDescent="0.25">
      <c r="Q57152" s="8"/>
    </row>
    <row r="57153" spans="17:17" x14ac:dyDescent="0.25">
      <c r="Q57153" s="8"/>
    </row>
    <row r="57154" spans="17:17" x14ac:dyDescent="0.25">
      <c r="Q57154" s="8"/>
    </row>
    <row r="57155" spans="17:17" x14ac:dyDescent="0.25">
      <c r="Q57155" s="8"/>
    </row>
    <row r="57156" spans="17:17" x14ac:dyDescent="0.25">
      <c r="Q57156" s="8"/>
    </row>
    <row r="57157" spans="17:17" x14ac:dyDescent="0.25">
      <c r="Q57157" s="8"/>
    </row>
    <row r="57158" spans="17:17" x14ac:dyDescent="0.25">
      <c r="Q57158" s="8"/>
    </row>
    <row r="57159" spans="17:17" x14ac:dyDescent="0.25">
      <c r="Q57159" s="8"/>
    </row>
    <row r="57160" spans="17:17" x14ac:dyDescent="0.25">
      <c r="Q57160" s="8"/>
    </row>
    <row r="57161" spans="17:17" x14ac:dyDescent="0.25">
      <c r="Q57161" s="8"/>
    </row>
    <row r="57162" spans="17:17" x14ac:dyDescent="0.25">
      <c r="Q57162" s="8"/>
    </row>
    <row r="57163" spans="17:17" x14ac:dyDescent="0.25">
      <c r="Q57163" s="8"/>
    </row>
    <row r="57164" spans="17:17" x14ac:dyDescent="0.25">
      <c r="Q57164" s="8"/>
    </row>
    <row r="57165" spans="17:17" x14ac:dyDescent="0.25">
      <c r="Q57165" s="8"/>
    </row>
    <row r="57166" spans="17:17" x14ac:dyDescent="0.25">
      <c r="Q57166" s="8"/>
    </row>
    <row r="57167" spans="17:17" x14ac:dyDescent="0.25">
      <c r="Q57167" s="8"/>
    </row>
    <row r="57168" spans="17:17" x14ac:dyDescent="0.25">
      <c r="Q57168" s="8"/>
    </row>
    <row r="57169" spans="17:17" x14ac:dyDescent="0.25">
      <c r="Q57169" s="8"/>
    </row>
    <row r="57170" spans="17:17" x14ac:dyDescent="0.25">
      <c r="Q57170" s="8"/>
    </row>
    <row r="57171" spans="17:17" x14ac:dyDescent="0.25">
      <c r="Q57171" s="8"/>
    </row>
    <row r="57172" spans="17:17" x14ac:dyDescent="0.25">
      <c r="Q57172" s="8"/>
    </row>
    <row r="57173" spans="17:17" x14ac:dyDescent="0.25">
      <c r="Q57173" s="8"/>
    </row>
    <row r="57174" spans="17:17" x14ac:dyDescent="0.25">
      <c r="Q57174" s="8"/>
    </row>
    <row r="57175" spans="17:17" x14ac:dyDescent="0.25">
      <c r="Q57175" s="8"/>
    </row>
    <row r="57176" spans="17:17" x14ac:dyDescent="0.25">
      <c r="Q57176" s="8"/>
    </row>
    <row r="57177" spans="17:17" x14ac:dyDescent="0.25">
      <c r="Q57177" s="8"/>
    </row>
    <row r="57178" spans="17:17" x14ac:dyDescent="0.25">
      <c r="Q57178" s="8"/>
    </row>
    <row r="57179" spans="17:17" x14ac:dyDescent="0.25">
      <c r="Q57179" s="8"/>
    </row>
    <row r="57180" spans="17:17" x14ac:dyDescent="0.25">
      <c r="Q57180" s="8"/>
    </row>
    <row r="57181" spans="17:17" x14ac:dyDescent="0.25">
      <c r="Q57181" s="8"/>
    </row>
    <row r="57182" spans="17:17" x14ac:dyDescent="0.25">
      <c r="Q57182" s="8"/>
    </row>
    <row r="57183" spans="17:17" x14ac:dyDescent="0.25">
      <c r="Q57183" s="8"/>
    </row>
    <row r="57184" spans="17:17" x14ac:dyDescent="0.25">
      <c r="Q57184" s="8"/>
    </row>
    <row r="57185" spans="17:17" x14ac:dyDescent="0.25">
      <c r="Q57185" s="8"/>
    </row>
    <row r="57186" spans="17:17" x14ac:dyDescent="0.25">
      <c r="Q57186" s="8"/>
    </row>
    <row r="57187" spans="17:17" x14ac:dyDescent="0.25">
      <c r="Q57187" s="8"/>
    </row>
    <row r="57188" spans="17:17" x14ac:dyDescent="0.25">
      <c r="Q57188" s="8"/>
    </row>
    <row r="57189" spans="17:17" x14ac:dyDescent="0.25">
      <c r="Q57189" s="8"/>
    </row>
    <row r="57190" spans="17:17" x14ac:dyDescent="0.25">
      <c r="Q57190" s="8"/>
    </row>
    <row r="57191" spans="17:17" x14ac:dyDescent="0.25">
      <c r="Q57191" s="8"/>
    </row>
    <row r="57192" spans="17:17" x14ac:dyDescent="0.25">
      <c r="Q57192" s="8"/>
    </row>
    <row r="57193" spans="17:17" x14ac:dyDescent="0.25">
      <c r="Q57193" s="8"/>
    </row>
    <row r="57194" spans="17:17" x14ac:dyDescent="0.25">
      <c r="Q57194" s="8"/>
    </row>
    <row r="57195" spans="17:17" x14ac:dyDescent="0.25">
      <c r="Q57195" s="8"/>
    </row>
    <row r="57196" spans="17:17" x14ac:dyDescent="0.25">
      <c r="Q57196" s="8"/>
    </row>
    <row r="57197" spans="17:17" x14ac:dyDescent="0.25">
      <c r="Q57197" s="8"/>
    </row>
    <row r="57198" spans="17:17" x14ac:dyDescent="0.25">
      <c r="Q57198" s="8"/>
    </row>
    <row r="57199" spans="17:17" x14ac:dyDescent="0.25">
      <c r="Q57199" s="8"/>
    </row>
    <row r="57200" spans="17:17" x14ac:dyDescent="0.25">
      <c r="Q57200" s="8"/>
    </row>
    <row r="57201" spans="17:17" x14ac:dyDescent="0.25">
      <c r="Q57201" s="8"/>
    </row>
    <row r="57202" spans="17:17" x14ac:dyDescent="0.25">
      <c r="Q57202" s="8"/>
    </row>
    <row r="57203" spans="17:17" x14ac:dyDescent="0.25">
      <c r="Q57203" s="8"/>
    </row>
    <row r="57204" spans="17:17" x14ac:dyDescent="0.25">
      <c r="Q57204" s="8"/>
    </row>
    <row r="57205" spans="17:17" x14ac:dyDescent="0.25">
      <c r="Q57205" s="8"/>
    </row>
    <row r="57206" spans="17:17" x14ac:dyDescent="0.25">
      <c r="Q57206" s="8"/>
    </row>
    <row r="57207" spans="17:17" x14ac:dyDescent="0.25">
      <c r="Q57207" s="8"/>
    </row>
    <row r="57208" spans="17:17" x14ac:dyDescent="0.25">
      <c r="Q57208" s="8"/>
    </row>
    <row r="57209" spans="17:17" x14ac:dyDescent="0.25">
      <c r="Q57209" s="8"/>
    </row>
    <row r="57210" spans="17:17" x14ac:dyDescent="0.25">
      <c r="Q57210" s="8"/>
    </row>
    <row r="57211" spans="17:17" x14ac:dyDescent="0.25">
      <c r="Q57211" s="8"/>
    </row>
    <row r="57212" spans="17:17" x14ac:dyDescent="0.25">
      <c r="Q57212" s="8"/>
    </row>
    <row r="57213" spans="17:17" x14ac:dyDescent="0.25">
      <c r="Q57213" s="8"/>
    </row>
    <row r="57214" spans="17:17" x14ac:dyDescent="0.25">
      <c r="Q57214" s="8"/>
    </row>
    <row r="57215" spans="17:17" x14ac:dyDescent="0.25">
      <c r="Q57215" s="8"/>
    </row>
    <row r="57216" spans="17:17" x14ac:dyDescent="0.25">
      <c r="Q57216" s="8"/>
    </row>
    <row r="57217" spans="17:17" x14ac:dyDescent="0.25">
      <c r="Q57217" s="8"/>
    </row>
    <row r="57218" spans="17:17" x14ac:dyDescent="0.25">
      <c r="Q57218" s="8"/>
    </row>
    <row r="57219" spans="17:17" x14ac:dyDescent="0.25">
      <c r="Q57219" s="8"/>
    </row>
    <row r="57220" spans="17:17" x14ac:dyDescent="0.25">
      <c r="Q57220" s="8"/>
    </row>
    <row r="57221" spans="17:17" x14ac:dyDescent="0.25">
      <c r="Q57221" s="8"/>
    </row>
    <row r="57222" spans="17:17" x14ac:dyDescent="0.25">
      <c r="Q57222" s="8"/>
    </row>
    <row r="57223" spans="17:17" x14ac:dyDescent="0.25">
      <c r="Q57223" s="8"/>
    </row>
    <row r="57224" spans="17:17" x14ac:dyDescent="0.25">
      <c r="Q57224" s="8"/>
    </row>
    <row r="57225" spans="17:17" x14ac:dyDescent="0.25">
      <c r="Q57225" s="8"/>
    </row>
    <row r="57226" spans="17:17" x14ac:dyDescent="0.25">
      <c r="Q57226" s="8"/>
    </row>
    <row r="57227" spans="17:17" x14ac:dyDescent="0.25">
      <c r="Q57227" s="8"/>
    </row>
    <row r="57228" spans="17:17" x14ac:dyDescent="0.25">
      <c r="Q57228" s="8"/>
    </row>
    <row r="57229" spans="17:17" x14ac:dyDescent="0.25">
      <c r="Q57229" s="8"/>
    </row>
    <row r="57230" spans="17:17" x14ac:dyDescent="0.25">
      <c r="Q57230" s="8"/>
    </row>
    <row r="57231" spans="17:17" x14ac:dyDescent="0.25">
      <c r="Q57231" s="8"/>
    </row>
    <row r="57232" spans="17:17" x14ac:dyDescent="0.25">
      <c r="Q57232" s="8"/>
    </row>
    <row r="57233" spans="17:17" x14ac:dyDescent="0.25">
      <c r="Q57233" s="8"/>
    </row>
    <row r="57234" spans="17:17" x14ac:dyDescent="0.25">
      <c r="Q57234" s="8"/>
    </row>
    <row r="57235" spans="17:17" x14ac:dyDescent="0.25">
      <c r="Q57235" s="8"/>
    </row>
    <row r="57236" spans="17:17" x14ac:dyDescent="0.25">
      <c r="Q57236" s="8"/>
    </row>
    <row r="57237" spans="17:17" x14ac:dyDescent="0.25">
      <c r="Q57237" s="8"/>
    </row>
    <row r="57238" spans="17:17" x14ac:dyDescent="0.25">
      <c r="Q57238" s="8"/>
    </row>
    <row r="57239" spans="17:17" x14ac:dyDescent="0.25">
      <c r="Q57239" s="8"/>
    </row>
    <row r="57240" spans="17:17" x14ac:dyDescent="0.25">
      <c r="Q57240" s="8"/>
    </row>
    <row r="57241" spans="17:17" x14ac:dyDescent="0.25">
      <c r="Q57241" s="8"/>
    </row>
    <row r="57242" spans="17:17" x14ac:dyDescent="0.25">
      <c r="Q57242" s="8"/>
    </row>
    <row r="57243" spans="17:17" x14ac:dyDescent="0.25">
      <c r="Q57243" s="8"/>
    </row>
    <row r="57244" spans="17:17" x14ac:dyDescent="0.25">
      <c r="Q57244" s="8"/>
    </row>
    <row r="57245" spans="17:17" x14ac:dyDescent="0.25">
      <c r="Q57245" s="8"/>
    </row>
    <row r="57246" spans="17:17" x14ac:dyDescent="0.25">
      <c r="Q57246" s="8"/>
    </row>
    <row r="57247" spans="17:17" x14ac:dyDescent="0.25">
      <c r="Q57247" s="8"/>
    </row>
    <row r="57248" spans="17:17" x14ac:dyDescent="0.25">
      <c r="Q57248" s="8"/>
    </row>
    <row r="57249" spans="17:17" x14ac:dyDescent="0.25">
      <c r="Q57249" s="8"/>
    </row>
    <row r="57250" spans="17:17" x14ac:dyDescent="0.25">
      <c r="Q57250" s="8"/>
    </row>
    <row r="57251" spans="17:17" x14ac:dyDescent="0.25">
      <c r="Q57251" s="8"/>
    </row>
    <row r="57252" spans="17:17" x14ac:dyDescent="0.25">
      <c r="Q57252" s="8"/>
    </row>
    <row r="57253" spans="17:17" x14ac:dyDescent="0.25">
      <c r="Q57253" s="8"/>
    </row>
    <row r="57254" spans="17:17" x14ac:dyDescent="0.25">
      <c r="Q57254" s="8"/>
    </row>
    <row r="57255" spans="17:17" x14ac:dyDescent="0.25">
      <c r="Q57255" s="8"/>
    </row>
    <row r="57256" spans="17:17" x14ac:dyDescent="0.25">
      <c r="Q57256" s="8"/>
    </row>
    <row r="57257" spans="17:17" x14ac:dyDescent="0.25">
      <c r="Q57257" s="8"/>
    </row>
    <row r="57258" spans="17:17" x14ac:dyDescent="0.25">
      <c r="Q57258" s="8"/>
    </row>
    <row r="57259" spans="17:17" x14ac:dyDescent="0.25">
      <c r="Q57259" s="8"/>
    </row>
    <row r="57260" spans="17:17" x14ac:dyDescent="0.25">
      <c r="Q57260" s="8"/>
    </row>
    <row r="57261" spans="17:17" x14ac:dyDescent="0.25">
      <c r="Q57261" s="8"/>
    </row>
    <row r="57262" spans="17:17" x14ac:dyDescent="0.25">
      <c r="Q57262" s="8"/>
    </row>
    <row r="57263" spans="17:17" x14ac:dyDescent="0.25">
      <c r="Q57263" s="8"/>
    </row>
    <row r="57264" spans="17:17" x14ac:dyDescent="0.25">
      <c r="Q57264" s="8"/>
    </row>
    <row r="57265" spans="17:17" x14ac:dyDescent="0.25">
      <c r="Q57265" s="8"/>
    </row>
    <row r="57266" spans="17:17" x14ac:dyDescent="0.25">
      <c r="Q57266" s="8"/>
    </row>
    <row r="57267" spans="17:17" x14ac:dyDescent="0.25">
      <c r="Q57267" s="8"/>
    </row>
    <row r="57268" spans="17:17" x14ac:dyDescent="0.25">
      <c r="Q57268" s="8"/>
    </row>
    <row r="57269" spans="17:17" x14ac:dyDescent="0.25">
      <c r="Q57269" s="8"/>
    </row>
    <row r="57270" spans="17:17" x14ac:dyDescent="0.25">
      <c r="Q57270" s="8"/>
    </row>
    <row r="57271" spans="17:17" x14ac:dyDescent="0.25">
      <c r="Q57271" s="8"/>
    </row>
    <row r="57272" spans="17:17" x14ac:dyDescent="0.25">
      <c r="Q57272" s="8"/>
    </row>
    <row r="57273" spans="17:17" x14ac:dyDescent="0.25">
      <c r="Q57273" s="8"/>
    </row>
    <row r="57274" spans="17:17" x14ac:dyDescent="0.25">
      <c r="Q57274" s="8"/>
    </row>
    <row r="57275" spans="17:17" x14ac:dyDescent="0.25">
      <c r="Q57275" s="8"/>
    </row>
    <row r="57276" spans="17:17" x14ac:dyDescent="0.25">
      <c r="Q57276" s="8"/>
    </row>
    <row r="57277" spans="17:17" x14ac:dyDescent="0.25">
      <c r="Q57277" s="8"/>
    </row>
    <row r="57278" spans="17:17" x14ac:dyDescent="0.25">
      <c r="Q57278" s="8"/>
    </row>
    <row r="57279" spans="17:17" x14ac:dyDescent="0.25">
      <c r="Q57279" s="8"/>
    </row>
    <row r="57280" spans="17:17" x14ac:dyDescent="0.25">
      <c r="Q57280" s="8"/>
    </row>
    <row r="57281" spans="17:17" x14ac:dyDescent="0.25">
      <c r="Q57281" s="8"/>
    </row>
    <row r="57282" spans="17:17" x14ac:dyDescent="0.25">
      <c r="Q57282" s="8"/>
    </row>
    <row r="57283" spans="17:17" x14ac:dyDescent="0.25">
      <c r="Q57283" s="8"/>
    </row>
    <row r="57284" spans="17:17" x14ac:dyDescent="0.25">
      <c r="Q57284" s="8"/>
    </row>
    <row r="57285" spans="17:17" x14ac:dyDescent="0.25">
      <c r="Q57285" s="8"/>
    </row>
    <row r="57286" spans="17:17" x14ac:dyDescent="0.25">
      <c r="Q57286" s="8"/>
    </row>
    <row r="57287" spans="17:17" x14ac:dyDescent="0.25">
      <c r="Q57287" s="8"/>
    </row>
    <row r="57288" spans="17:17" x14ac:dyDescent="0.25">
      <c r="Q57288" s="8"/>
    </row>
    <row r="57289" spans="17:17" x14ac:dyDescent="0.25">
      <c r="Q57289" s="8"/>
    </row>
    <row r="57290" spans="17:17" x14ac:dyDescent="0.25">
      <c r="Q57290" s="8"/>
    </row>
    <row r="57291" spans="17:17" x14ac:dyDescent="0.25">
      <c r="Q57291" s="8"/>
    </row>
    <row r="57292" spans="17:17" x14ac:dyDescent="0.25">
      <c r="Q57292" s="8"/>
    </row>
    <row r="57293" spans="17:17" x14ac:dyDescent="0.25">
      <c r="Q57293" s="8"/>
    </row>
    <row r="57294" spans="17:17" x14ac:dyDescent="0.25">
      <c r="Q57294" s="8"/>
    </row>
    <row r="57295" spans="17:17" x14ac:dyDescent="0.25">
      <c r="Q57295" s="8"/>
    </row>
    <row r="57296" spans="17:17" x14ac:dyDescent="0.25">
      <c r="Q57296" s="8"/>
    </row>
    <row r="57297" spans="17:17" x14ac:dyDescent="0.25">
      <c r="Q57297" s="8"/>
    </row>
    <row r="57298" spans="17:17" x14ac:dyDescent="0.25">
      <c r="Q57298" s="8"/>
    </row>
    <row r="57299" spans="17:17" x14ac:dyDescent="0.25">
      <c r="Q57299" s="8"/>
    </row>
    <row r="57300" spans="17:17" x14ac:dyDescent="0.25">
      <c r="Q57300" s="8"/>
    </row>
    <row r="57301" spans="17:17" x14ac:dyDescent="0.25">
      <c r="Q57301" s="8"/>
    </row>
    <row r="57302" spans="17:17" x14ac:dyDescent="0.25">
      <c r="Q57302" s="8"/>
    </row>
    <row r="57303" spans="17:17" x14ac:dyDescent="0.25">
      <c r="Q57303" s="8"/>
    </row>
    <row r="57304" spans="17:17" x14ac:dyDescent="0.25">
      <c r="Q57304" s="8"/>
    </row>
    <row r="57305" spans="17:17" x14ac:dyDescent="0.25">
      <c r="Q57305" s="8"/>
    </row>
    <row r="57306" spans="17:17" x14ac:dyDescent="0.25">
      <c r="Q57306" s="8"/>
    </row>
    <row r="57307" spans="17:17" x14ac:dyDescent="0.25">
      <c r="Q57307" s="8"/>
    </row>
    <row r="57308" spans="17:17" x14ac:dyDescent="0.25">
      <c r="Q57308" s="8"/>
    </row>
    <row r="57309" spans="17:17" x14ac:dyDescent="0.25">
      <c r="Q57309" s="8"/>
    </row>
    <row r="57310" spans="17:17" x14ac:dyDescent="0.25">
      <c r="Q57310" s="8"/>
    </row>
    <row r="57311" spans="17:17" x14ac:dyDescent="0.25">
      <c r="Q57311" s="8"/>
    </row>
    <row r="57312" spans="17:17" x14ac:dyDescent="0.25">
      <c r="Q57312" s="8"/>
    </row>
    <row r="57313" spans="17:17" x14ac:dyDescent="0.25">
      <c r="Q57313" s="8"/>
    </row>
    <row r="57314" spans="17:17" x14ac:dyDescent="0.25">
      <c r="Q57314" s="8"/>
    </row>
    <row r="57315" spans="17:17" x14ac:dyDescent="0.25">
      <c r="Q57315" s="8"/>
    </row>
    <row r="57316" spans="17:17" x14ac:dyDescent="0.25">
      <c r="Q57316" s="8"/>
    </row>
    <row r="57317" spans="17:17" x14ac:dyDescent="0.25">
      <c r="Q57317" s="8"/>
    </row>
    <row r="57318" spans="17:17" x14ac:dyDescent="0.25">
      <c r="Q57318" s="8"/>
    </row>
    <row r="57319" spans="17:17" x14ac:dyDescent="0.25">
      <c r="Q57319" s="8"/>
    </row>
    <row r="57320" spans="17:17" x14ac:dyDescent="0.25">
      <c r="Q57320" s="8"/>
    </row>
    <row r="57321" spans="17:17" x14ac:dyDescent="0.25">
      <c r="Q57321" s="8"/>
    </row>
    <row r="57322" spans="17:17" x14ac:dyDescent="0.25">
      <c r="Q57322" s="8"/>
    </row>
    <row r="57323" spans="17:17" x14ac:dyDescent="0.25">
      <c r="Q57323" s="8"/>
    </row>
    <row r="57324" spans="17:17" x14ac:dyDescent="0.25">
      <c r="Q57324" s="8"/>
    </row>
    <row r="57325" spans="17:17" x14ac:dyDescent="0.25">
      <c r="Q57325" s="8"/>
    </row>
    <row r="57326" spans="17:17" x14ac:dyDescent="0.25">
      <c r="Q57326" s="8"/>
    </row>
    <row r="57327" spans="17:17" x14ac:dyDescent="0.25">
      <c r="Q57327" s="8"/>
    </row>
    <row r="57328" spans="17:17" x14ac:dyDescent="0.25">
      <c r="Q57328" s="8"/>
    </row>
    <row r="57329" spans="17:17" x14ac:dyDescent="0.25">
      <c r="Q57329" s="8"/>
    </row>
    <row r="57330" spans="17:17" x14ac:dyDescent="0.25">
      <c r="Q57330" s="8"/>
    </row>
    <row r="57331" spans="17:17" x14ac:dyDescent="0.25">
      <c r="Q57331" s="8"/>
    </row>
    <row r="57332" spans="17:17" x14ac:dyDescent="0.25">
      <c r="Q57332" s="8"/>
    </row>
    <row r="57333" spans="17:17" x14ac:dyDescent="0.25">
      <c r="Q57333" s="8"/>
    </row>
    <row r="57334" spans="17:17" x14ac:dyDescent="0.25">
      <c r="Q57334" s="8"/>
    </row>
    <row r="57335" spans="17:17" x14ac:dyDescent="0.25">
      <c r="Q57335" s="8"/>
    </row>
    <row r="57336" spans="17:17" x14ac:dyDescent="0.25">
      <c r="Q57336" s="8"/>
    </row>
    <row r="57337" spans="17:17" x14ac:dyDescent="0.25">
      <c r="Q57337" s="8"/>
    </row>
    <row r="57338" spans="17:17" x14ac:dyDescent="0.25">
      <c r="Q57338" s="8"/>
    </row>
    <row r="57339" spans="17:17" x14ac:dyDescent="0.25">
      <c r="Q57339" s="8"/>
    </row>
    <row r="57340" spans="17:17" x14ac:dyDescent="0.25">
      <c r="Q57340" s="8"/>
    </row>
    <row r="57341" spans="17:17" x14ac:dyDescent="0.25">
      <c r="Q57341" s="8"/>
    </row>
    <row r="57342" spans="17:17" x14ac:dyDescent="0.25">
      <c r="Q57342" s="8"/>
    </row>
    <row r="57343" spans="17:17" x14ac:dyDescent="0.25">
      <c r="Q57343" s="8"/>
    </row>
    <row r="57344" spans="17:17" x14ac:dyDescent="0.25">
      <c r="Q57344" s="8"/>
    </row>
    <row r="57345" spans="17:17" x14ac:dyDescent="0.25">
      <c r="Q57345" s="8"/>
    </row>
    <row r="57346" spans="17:17" x14ac:dyDescent="0.25">
      <c r="Q57346" s="8"/>
    </row>
    <row r="57347" spans="17:17" x14ac:dyDescent="0.25">
      <c r="Q57347" s="8"/>
    </row>
    <row r="57348" spans="17:17" x14ac:dyDescent="0.25">
      <c r="Q57348" s="8"/>
    </row>
    <row r="57349" spans="17:17" x14ac:dyDescent="0.25">
      <c r="Q57349" s="8"/>
    </row>
    <row r="57350" spans="17:17" x14ac:dyDescent="0.25">
      <c r="Q57350" s="8"/>
    </row>
    <row r="57351" spans="17:17" x14ac:dyDescent="0.25">
      <c r="Q57351" s="8"/>
    </row>
    <row r="57352" spans="17:17" x14ac:dyDescent="0.25">
      <c r="Q57352" s="8"/>
    </row>
    <row r="57353" spans="17:17" x14ac:dyDescent="0.25">
      <c r="Q57353" s="8"/>
    </row>
    <row r="57354" spans="17:17" x14ac:dyDescent="0.25">
      <c r="Q57354" s="8"/>
    </row>
    <row r="57355" spans="17:17" x14ac:dyDescent="0.25">
      <c r="Q57355" s="8"/>
    </row>
    <row r="57356" spans="17:17" x14ac:dyDescent="0.25">
      <c r="Q57356" s="8"/>
    </row>
    <row r="57357" spans="17:17" x14ac:dyDescent="0.25">
      <c r="Q57357" s="8"/>
    </row>
    <row r="57358" spans="17:17" x14ac:dyDescent="0.25">
      <c r="Q57358" s="8"/>
    </row>
    <row r="57359" spans="17:17" x14ac:dyDescent="0.25">
      <c r="Q57359" s="8"/>
    </row>
    <row r="57360" spans="17:17" x14ac:dyDescent="0.25">
      <c r="Q57360" s="8"/>
    </row>
    <row r="57361" spans="17:17" x14ac:dyDescent="0.25">
      <c r="Q57361" s="8"/>
    </row>
    <row r="57362" spans="17:17" x14ac:dyDescent="0.25">
      <c r="Q57362" s="8"/>
    </row>
    <row r="57363" spans="17:17" x14ac:dyDescent="0.25">
      <c r="Q57363" s="8"/>
    </row>
    <row r="57364" spans="17:17" x14ac:dyDescent="0.25">
      <c r="Q57364" s="8"/>
    </row>
    <row r="57365" spans="17:17" x14ac:dyDescent="0.25">
      <c r="Q57365" s="8"/>
    </row>
    <row r="57366" spans="17:17" x14ac:dyDescent="0.25">
      <c r="Q57366" s="8"/>
    </row>
    <row r="57367" spans="17:17" x14ac:dyDescent="0.25">
      <c r="Q57367" s="8"/>
    </row>
    <row r="57368" spans="17:17" x14ac:dyDescent="0.25">
      <c r="Q57368" s="8"/>
    </row>
    <row r="57369" spans="17:17" x14ac:dyDescent="0.25">
      <c r="Q57369" s="8"/>
    </row>
    <row r="57370" spans="17:17" x14ac:dyDescent="0.25">
      <c r="Q57370" s="8"/>
    </row>
    <row r="57371" spans="17:17" x14ac:dyDescent="0.25">
      <c r="Q57371" s="8"/>
    </row>
    <row r="57372" spans="17:17" x14ac:dyDescent="0.25">
      <c r="Q57372" s="8"/>
    </row>
    <row r="57373" spans="17:17" x14ac:dyDescent="0.25">
      <c r="Q57373" s="8"/>
    </row>
    <row r="57374" spans="17:17" x14ac:dyDescent="0.25">
      <c r="Q57374" s="8"/>
    </row>
    <row r="57375" spans="17:17" x14ac:dyDescent="0.25">
      <c r="Q57375" s="8"/>
    </row>
    <row r="57376" spans="17:17" x14ac:dyDescent="0.25">
      <c r="Q57376" s="8"/>
    </row>
    <row r="57377" spans="17:17" x14ac:dyDescent="0.25">
      <c r="Q57377" s="8"/>
    </row>
    <row r="57378" spans="17:17" x14ac:dyDescent="0.25">
      <c r="Q57378" s="8"/>
    </row>
    <row r="57379" spans="17:17" x14ac:dyDescent="0.25">
      <c r="Q57379" s="8"/>
    </row>
    <row r="57380" spans="17:17" x14ac:dyDescent="0.25">
      <c r="Q57380" s="8"/>
    </row>
    <row r="57381" spans="17:17" x14ac:dyDescent="0.25">
      <c r="Q57381" s="8"/>
    </row>
    <row r="57382" spans="17:17" x14ac:dyDescent="0.25">
      <c r="Q57382" s="8"/>
    </row>
    <row r="57383" spans="17:17" x14ac:dyDescent="0.25">
      <c r="Q57383" s="8"/>
    </row>
    <row r="57384" spans="17:17" x14ac:dyDescent="0.25">
      <c r="Q57384" s="8"/>
    </row>
    <row r="57385" spans="17:17" x14ac:dyDescent="0.25">
      <c r="Q57385" s="8"/>
    </row>
    <row r="57386" spans="17:17" x14ac:dyDescent="0.25">
      <c r="Q57386" s="8"/>
    </row>
    <row r="57387" spans="17:17" x14ac:dyDescent="0.25">
      <c r="Q57387" s="8"/>
    </row>
    <row r="57388" spans="17:17" x14ac:dyDescent="0.25">
      <c r="Q57388" s="8"/>
    </row>
    <row r="57389" spans="17:17" x14ac:dyDescent="0.25">
      <c r="Q57389" s="8"/>
    </row>
    <row r="57390" spans="17:17" x14ac:dyDescent="0.25">
      <c r="Q57390" s="8"/>
    </row>
    <row r="57391" spans="17:17" x14ac:dyDescent="0.25">
      <c r="Q57391" s="8"/>
    </row>
    <row r="57392" spans="17:17" x14ac:dyDescent="0.25">
      <c r="Q57392" s="8"/>
    </row>
    <row r="57393" spans="17:17" x14ac:dyDescent="0.25">
      <c r="Q57393" s="8"/>
    </row>
    <row r="57394" spans="17:17" x14ac:dyDescent="0.25">
      <c r="Q57394" s="8"/>
    </row>
    <row r="57395" spans="17:17" x14ac:dyDescent="0.25">
      <c r="Q57395" s="8"/>
    </row>
    <row r="57396" spans="17:17" x14ac:dyDescent="0.25">
      <c r="Q57396" s="8"/>
    </row>
    <row r="57397" spans="17:17" x14ac:dyDescent="0.25">
      <c r="Q57397" s="8"/>
    </row>
    <row r="57398" spans="17:17" x14ac:dyDescent="0.25">
      <c r="Q57398" s="8"/>
    </row>
    <row r="57399" spans="17:17" x14ac:dyDescent="0.25">
      <c r="Q57399" s="8"/>
    </row>
    <row r="57400" spans="17:17" x14ac:dyDescent="0.25">
      <c r="Q57400" s="8"/>
    </row>
    <row r="57401" spans="17:17" x14ac:dyDescent="0.25">
      <c r="Q57401" s="8"/>
    </row>
    <row r="57402" spans="17:17" x14ac:dyDescent="0.25">
      <c r="Q57402" s="8"/>
    </row>
    <row r="57403" spans="17:17" x14ac:dyDescent="0.25">
      <c r="Q57403" s="8"/>
    </row>
    <row r="57404" spans="17:17" x14ac:dyDescent="0.25">
      <c r="Q57404" s="8"/>
    </row>
    <row r="57405" spans="17:17" x14ac:dyDescent="0.25">
      <c r="Q57405" s="8"/>
    </row>
    <row r="57406" spans="17:17" x14ac:dyDescent="0.25">
      <c r="Q57406" s="8"/>
    </row>
    <row r="57407" spans="17:17" x14ac:dyDescent="0.25">
      <c r="Q57407" s="8"/>
    </row>
    <row r="57408" spans="17:17" x14ac:dyDescent="0.25">
      <c r="Q57408" s="8"/>
    </row>
    <row r="57409" spans="17:17" x14ac:dyDescent="0.25">
      <c r="Q57409" s="8"/>
    </row>
    <row r="57410" spans="17:17" x14ac:dyDescent="0.25">
      <c r="Q57410" s="8"/>
    </row>
    <row r="57411" spans="17:17" x14ac:dyDescent="0.25">
      <c r="Q57411" s="8"/>
    </row>
    <row r="57412" spans="17:17" x14ac:dyDescent="0.25">
      <c r="Q57412" s="8"/>
    </row>
    <row r="57413" spans="17:17" x14ac:dyDescent="0.25">
      <c r="Q57413" s="8"/>
    </row>
    <row r="57414" spans="17:17" x14ac:dyDescent="0.25">
      <c r="Q57414" s="8"/>
    </row>
    <row r="57415" spans="17:17" x14ac:dyDescent="0.25">
      <c r="Q57415" s="8"/>
    </row>
    <row r="57416" spans="17:17" x14ac:dyDescent="0.25">
      <c r="Q57416" s="8"/>
    </row>
    <row r="57417" spans="17:17" x14ac:dyDescent="0.25">
      <c r="Q57417" s="8"/>
    </row>
    <row r="57418" spans="17:17" x14ac:dyDescent="0.25">
      <c r="Q57418" s="8"/>
    </row>
    <row r="57419" spans="17:17" x14ac:dyDescent="0.25">
      <c r="Q57419" s="8"/>
    </row>
    <row r="57420" spans="17:17" x14ac:dyDescent="0.25">
      <c r="Q57420" s="8"/>
    </row>
    <row r="57421" spans="17:17" x14ac:dyDescent="0.25">
      <c r="Q57421" s="8"/>
    </row>
    <row r="57422" spans="17:17" x14ac:dyDescent="0.25">
      <c r="Q57422" s="8"/>
    </row>
    <row r="57423" spans="17:17" x14ac:dyDescent="0.25">
      <c r="Q57423" s="8"/>
    </row>
    <row r="57424" spans="17:17" x14ac:dyDescent="0.25">
      <c r="Q57424" s="8"/>
    </row>
    <row r="57425" spans="17:17" x14ac:dyDescent="0.25">
      <c r="Q57425" s="8"/>
    </row>
    <row r="57426" spans="17:17" x14ac:dyDescent="0.25">
      <c r="Q57426" s="8"/>
    </row>
    <row r="57427" spans="17:17" x14ac:dyDescent="0.25">
      <c r="Q57427" s="8"/>
    </row>
    <row r="57428" spans="17:17" x14ac:dyDescent="0.25">
      <c r="Q57428" s="8"/>
    </row>
    <row r="57429" spans="17:17" x14ac:dyDescent="0.25">
      <c r="Q57429" s="8"/>
    </row>
    <row r="57430" spans="17:17" x14ac:dyDescent="0.25">
      <c r="Q57430" s="8"/>
    </row>
    <row r="57431" spans="17:17" x14ac:dyDescent="0.25">
      <c r="Q57431" s="8"/>
    </row>
    <row r="57432" spans="17:17" x14ac:dyDescent="0.25">
      <c r="Q57432" s="8"/>
    </row>
    <row r="57433" spans="17:17" x14ac:dyDescent="0.25">
      <c r="Q57433" s="8"/>
    </row>
    <row r="57434" spans="17:17" x14ac:dyDescent="0.25">
      <c r="Q57434" s="8"/>
    </row>
    <row r="57435" spans="17:17" x14ac:dyDescent="0.25">
      <c r="Q57435" s="8"/>
    </row>
    <row r="57436" spans="17:17" x14ac:dyDescent="0.25">
      <c r="Q57436" s="8"/>
    </row>
    <row r="57437" spans="17:17" x14ac:dyDescent="0.25">
      <c r="Q57437" s="8"/>
    </row>
    <row r="57438" spans="17:17" x14ac:dyDescent="0.25">
      <c r="Q57438" s="8"/>
    </row>
    <row r="57439" spans="17:17" x14ac:dyDescent="0.25">
      <c r="Q57439" s="8"/>
    </row>
    <row r="57440" spans="17:17" x14ac:dyDescent="0.25">
      <c r="Q57440" s="8"/>
    </row>
    <row r="57441" spans="17:17" x14ac:dyDescent="0.25">
      <c r="Q57441" s="8"/>
    </row>
    <row r="57442" spans="17:17" x14ac:dyDescent="0.25">
      <c r="Q57442" s="8"/>
    </row>
    <row r="57443" spans="17:17" x14ac:dyDescent="0.25">
      <c r="Q57443" s="8"/>
    </row>
    <row r="57444" spans="17:17" x14ac:dyDescent="0.25">
      <c r="Q57444" s="8"/>
    </row>
    <row r="57445" spans="17:17" x14ac:dyDescent="0.25">
      <c r="Q57445" s="8"/>
    </row>
    <row r="57446" spans="17:17" x14ac:dyDescent="0.25">
      <c r="Q57446" s="8"/>
    </row>
    <row r="57447" spans="17:17" x14ac:dyDescent="0.25">
      <c r="Q57447" s="8"/>
    </row>
    <row r="57448" spans="17:17" x14ac:dyDescent="0.25">
      <c r="Q57448" s="8"/>
    </row>
    <row r="57449" spans="17:17" x14ac:dyDescent="0.25">
      <c r="Q57449" s="8"/>
    </row>
    <row r="57450" spans="17:17" x14ac:dyDescent="0.25">
      <c r="Q57450" s="8"/>
    </row>
    <row r="57451" spans="17:17" x14ac:dyDescent="0.25">
      <c r="Q57451" s="8"/>
    </row>
    <row r="57452" spans="17:17" x14ac:dyDescent="0.25">
      <c r="Q57452" s="8"/>
    </row>
    <row r="57453" spans="17:17" x14ac:dyDescent="0.25">
      <c r="Q57453" s="8"/>
    </row>
    <row r="57454" spans="17:17" x14ac:dyDescent="0.25">
      <c r="Q57454" s="8"/>
    </row>
    <row r="57455" spans="17:17" x14ac:dyDescent="0.25">
      <c r="Q57455" s="8"/>
    </row>
    <row r="57456" spans="17:17" x14ac:dyDescent="0.25">
      <c r="Q57456" s="8"/>
    </row>
    <row r="57457" spans="17:17" x14ac:dyDescent="0.25">
      <c r="Q57457" s="8"/>
    </row>
    <row r="57458" spans="17:17" x14ac:dyDescent="0.25">
      <c r="Q57458" s="8"/>
    </row>
    <row r="57459" spans="17:17" x14ac:dyDescent="0.25">
      <c r="Q57459" s="8"/>
    </row>
    <row r="57460" spans="17:17" x14ac:dyDescent="0.25">
      <c r="Q57460" s="8"/>
    </row>
    <row r="57461" spans="17:17" x14ac:dyDescent="0.25">
      <c r="Q57461" s="8"/>
    </row>
    <row r="57462" spans="17:17" x14ac:dyDescent="0.25">
      <c r="Q57462" s="8"/>
    </row>
    <row r="57463" spans="17:17" x14ac:dyDescent="0.25">
      <c r="Q57463" s="8"/>
    </row>
    <row r="57464" spans="17:17" x14ac:dyDescent="0.25">
      <c r="Q57464" s="8"/>
    </row>
    <row r="57465" spans="17:17" x14ac:dyDescent="0.25">
      <c r="Q57465" s="8"/>
    </row>
    <row r="57466" spans="17:17" x14ac:dyDescent="0.25">
      <c r="Q57466" s="8"/>
    </row>
    <row r="57467" spans="17:17" x14ac:dyDescent="0.25">
      <c r="Q57467" s="8"/>
    </row>
    <row r="57468" spans="17:17" x14ac:dyDescent="0.25">
      <c r="Q57468" s="8"/>
    </row>
    <row r="57469" spans="17:17" x14ac:dyDescent="0.25">
      <c r="Q57469" s="8"/>
    </row>
    <row r="57470" spans="17:17" x14ac:dyDescent="0.25">
      <c r="Q57470" s="8"/>
    </row>
    <row r="57471" spans="17:17" x14ac:dyDescent="0.25">
      <c r="Q57471" s="8"/>
    </row>
    <row r="57472" spans="17:17" x14ac:dyDescent="0.25">
      <c r="Q57472" s="8"/>
    </row>
    <row r="57473" spans="17:17" x14ac:dyDescent="0.25">
      <c r="Q57473" s="8"/>
    </row>
    <row r="57474" spans="17:17" x14ac:dyDescent="0.25">
      <c r="Q57474" s="8"/>
    </row>
    <row r="57475" spans="17:17" x14ac:dyDescent="0.25">
      <c r="Q57475" s="8"/>
    </row>
    <row r="57476" spans="17:17" x14ac:dyDescent="0.25">
      <c r="Q57476" s="8"/>
    </row>
    <row r="57477" spans="17:17" x14ac:dyDescent="0.25">
      <c r="Q57477" s="8"/>
    </row>
    <row r="57478" spans="17:17" x14ac:dyDescent="0.25">
      <c r="Q57478" s="8"/>
    </row>
    <row r="57479" spans="17:17" x14ac:dyDescent="0.25">
      <c r="Q57479" s="8"/>
    </row>
    <row r="57480" spans="17:17" x14ac:dyDescent="0.25">
      <c r="Q57480" s="8"/>
    </row>
    <row r="57481" spans="17:17" x14ac:dyDescent="0.25">
      <c r="Q57481" s="8"/>
    </row>
    <row r="57482" spans="17:17" x14ac:dyDescent="0.25">
      <c r="Q57482" s="8"/>
    </row>
    <row r="57483" spans="17:17" x14ac:dyDescent="0.25">
      <c r="Q57483" s="8"/>
    </row>
    <row r="57484" spans="17:17" x14ac:dyDescent="0.25">
      <c r="Q57484" s="8"/>
    </row>
    <row r="57485" spans="17:17" x14ac:dyDescent="0.25">
      <c r="Q57485" s="8"/>
    </row>
    <row r="57486" spans="17:17" x14ac:dyDescent="0.25">
      <c r="Q57486" s="8"/>
    </row>
    <row r="57487" spans="17:17" x14ac:dyDescent="0.25">
      <c r="Q57487" s="8"/>
    </row>
    <row r="57488" spans="17:17" x14ac:dyDescent="0.25">
      <c r="Q57488" s="8"/>
    </row>
    <row r="57489" spans="17:17" x14ac:dyDescent="0.25">
      <c r="Q57489" s="8"/>
    </row>
    <row r="57490" spans="17:17" x14ac:dyDescent="0.25">
      <c r="Q57490" s="8"/>
    </row>
    <row r="57491" spans="17:17" x14ac:dyDescent="0.25">
      <c r="Q57491" s="8"/>
    </row>
    <row r="57492" spans="17:17" x14ac:dyDescent="0.25">
      <c r="Q57492" s="8"/>
    </row>
    <row r="57493" spans="17:17" x14ac:dyDescent="0.25">
      <c r="Q57493" s="8"/>
    </row>
    <row r="57494" spans="17:17" x14ac:dyDescent="0.25">
      <c r="Q57494" s="8"/>
    </row>
    <row r="57495" spans="17:17" x14ac:dyDescent="0.25">
      <c r="Q57495" s="8"/>
    </row>
    <row r="57496" spans="17:17" x14ac:dyDescent="0.25">
      <c r="Q57496" s="8"/>
    </row>
    <row r="57497" spans="17:17" x14ac:dyDescent="0.25">
      <c r="Q57497" s="8"/>
    </row>
    <row r="57498" spans="17:17" x14ac:dyDescent="0.25">
      <c r="Q57498" s="8"/>
    </row>
    <row r="57499" spans="17:17" x14ac:dyDescent="0.25">
      <c r="Q57499" s="8"/>
    </row>
    <row r="57500" spans="17:17" x14ac:dyDescent="0.25">
      <c r="Q57500" s="8"/>
    </row>
    <row r="57501" spans="17:17" x14ac:dyDescent="0.25">
      <c r="Q57501" s="8"/>
    </row>
    <row r="57502" spans="17:17" x14ac:dyDescent="0.25">
      <c r="Q57502" s="8"/>
    </row>
    <row r="57503" spans="17:17" x14ac:dyDescent="0.25">
      <c r="Q57503" s="8"/>
    </row>
    <row r="57504" spans="17:17" x14ac:dyDescent="0.25">
      <c r="Q57504" s="8"/>
    </row>
    <row r="57505" spans="17:17" x14ac:dyDescent="0.25">
      <c r="Q57505" s="8"/>
    </row>
    <row r="57506" spans="17:17" x14ac:dyDescent="0.25">
      <c r="Q57506" s="8"/>
    </row>
    <row r="57507" spans="17:17" x14ac:dyDescent="0.25">
      <c r="Q57507" s="8"/>
    </row>
    <row r="57508" spans="17:17" x14ac:dyDescent="0.25">
      <c r="Q57508" s="8"/>
    </row>
    <row r="57509" spans="17:17" x14ac:dyDescent="0.25">
      <c r="Q57509" s="8"/>
    </row>
    <row r="57510" spans="17:17" x14ac:dyDescent="0.25">
      <c r="Q57510" s="8"/>
    </row>
    <row r="57511" spans="17:17" x14ac:dyDescent="0.25">
      <c r="Q57511" s="8"/>
    </row>
    <row r="57512" spans="17:17" x14ac:dyDescent="0.25">
      <c r="Q57512" s="8"/>
    </row>
    <row r="57513" spans="17:17" x14ac:dyDescent="0.25">
      <c r="Q57513" s="8"/>
    </row>
    <row r="57514" spans="17:17" x14ac:dyDescent="0.25">
      <c r="Q57514" s="8"/>
    </row>
    <row r="57515" spans="17:17" x14ac:dyDescent="0.25">
      <c r="Q57515" s="8"/>
    </row>
    <row r="57516" spans="17:17" x14ac:dyDescent="0.25">
      <c r="Q57516" s="8"/>
    </row>
    <row r="57517" spans="17:17" x14ac:dyDescent="0.25">
      <c r="Q57517" s="8"/>
    </row>
    <row r="57518" spans="17:17" x14ac:dyDescent="0.25">
      <c r="Q57518" s="8"/>
    </row>
    <row r="57519" spans="17:17" x14ac:dyDescent="0.25">
      <c r="Q57519" s="8"/>
    </row>
    <row r="57520" spans="17:17" x14ac:dyDescent="0.25">
      <c r="Q57520" s="8"/>
    </row>
    <row r="57521" spans="17:17" x14ac:dyDescent="0.25">
      <c r="Q57521" s="8"/>
    </row>
    <row r="57522" spans="17:17" x14ac:dyDescent="0.25">
      <c r="Q57522" s="8"/>
    </row>
    <row r="57523" spans="17:17" x14ac:dyDescent="0.25">
      <c r="Q57523" s="8"/>
    </row>
    <row r="57524" spans="17:17" x14ac:dyDescent="0.25">
      <c r="Q57524" s="8"/>
    </row>
    <row r="57525" spans="17:17" x14ac:dyDescent="0.25">
      <c r="Q57525" s="8"/>
    </row>
    <row r="57526" spans="17:17" x14ac:dyDescent="0.25">
      <c r="Q57526" s="8"/>
    </row>
    <row r="57527" spans="17:17" x14ac:dyDescent="0.25">
      <c r="Q57527" s="8"/>
    </row>
    <row r="57528" spans="17:17" x14ac:dyDescent="0.25">
      <c r="Q57528" s="8"/>
    </row>
    <row r="57529" spans="17:17" x14ac:dyDescent="0.25">
      <c r="Q57529" s="8"/>
    </row>
    <row r="57530" spans="17:17" x14ac:dyDescent="0.25">
      <c r="Q57530" s="8"/>
    </row>
    <row r="57531" spans="17:17" x14ac:dyDescent="0.25">
      <c r="Q57531" s="8"/>
    </row>
    <row r="57532" spans="17:17" x14ac:dyDescent="0.25">
      <c r="Q57532" s="8"/>
    </row>
    <row r="57533" spans="17:17" x14ac:dyDescent="0.25">
      <c r="Q57533" s="8"/>
    </row>
    <row r="57534" spans="17:17" x14ac:dyDescent="0.25">
      <c r="Q57534" s="8"/>
    </row>
    <row r="57535" spans="17:17" x14ac:dyDescent="0.25">
      <c r="Q57535" s="8"/>
    </row>
    <row r="57536" spans="17:17" x14ac:dyDescent="0.25">
      <c r="Q57536" s="8"/>
    </row>
    <row r="57537" spans="17:17" x14ac:dyDescent="0.25">
      <c r="Q57537" s="8"/>
    </row>
    <row r="57538" spans="17:17" x14ac:dyDescent="0.25">
      <c r="Q57538" s="8"/>
    </row>
    <row r="57539" spans="17:17" x14ac:dyDescent="0.25">
      <c r="Q57539" s="8"/>
    </row>
    <row r="57540" spans="17:17" x14ac:dyDescent="0.25">
      <c r="Q57540" s="8"/>
    </row>
    <row r="57541" spans="17:17" x14ac:dyDescent="0.25">
      <c r="Q57541" s="8"/>
    </row>
    <row r="57542" spans="17:17" x14ac:dyDescent="0.25">
      <c r="Q57542" s="8"/>
    </row>
    <row r="57543" spans="17:17" x14ac:dyDescent="0.25">
      <c r="Q57543" s="8"/>
    </row>
    <row r="57544" spans="17:17" x14ac:dyDescent="0.25">
      <c r="Q57544" s="8"/>
    </row>
    <row r="57545" spans="17:17" x14ac:dyDescent="0.25">
      <c r="Q57545" s="8"/>
    </row>
    <row r="57546" spans="17:17" x14ac:dyDescent="0.25">
      <c r="Q57546" s="8"/>
    </row>
    <row r="57547" spans="17:17" x14ac:dyDescent="0.25">
      <c r="Q57547" s="8"/>
    </row>
    <row r="57548" spans="17:17" x14ac:dyDescent="0.25">
      <c r="Q57548" s="8"/>
    </row>
    <row r="57549" spans="17:17" x14ac:dyDescent="0.25">
      <c r="Q57549" s="8"/>
    </row>
    <row r="57550" spans="17:17" x14ac:dyDescent="0.25">
      <c r="Q57550" s="8"/>
    </row>
    <row r="57551" spans="17:17" x14ac:dyDescent="0.25">
      <c r="Q57551" s="8"/>
    </row>
    <row r="57552" spans="17:17" x14ac:dyDescent="0.25">
      <c r="Q57552" s="8"/>
    </row>
    <row r="57553" spans="17:17" x14ac:dyDescent="0.25">
      <c r="Q57553" s="8"/>
    </row>
    <row r="57554" spans="17:17" x14ac:dyDescent="0.25">
      <c r="Q57554" s="8"/>
    </row>
    <row r="57555" spans="17:17" x14ac:dyDescent="0.25">
      <c r="Q57555" s="8"/>
    </row>
    <row r="57556" spans="17:17" x14ac:dyDescent="0.25">
      <c r="Q57556" s="8"/>
    </row>
    <row r="57557" spans="17:17" x14ac:dyDescent="0.25">
      <c r="Q57557" s="8"/>
    </row>
    <row r="57558" spans="17:17" x14ac:dyDescent="0.25">
      <c r="Q57558" s="8"/>
    </row>
    <row r="57559" spans="17:17" x14ac:dyDescent="0.25">
      <c r="Q57559" s="8"/>
    </row>
    <row r="57560" spans="17:17" x14ac:dyDescent="0.25">
      <c r="Q57560" s="8"/>
    </row>
    <row r="57561" spans="17:17" x14ac:dyDescent="0.25">
      <c r="Q57561" s="8"/>
    </row>
    <row r="57562" spans="17:17" x14ac:dyDescent="0.25">
      <c r="Q57562" s="8"/>
    </row>
    <row r="57563" spans="17:17" x14ac:dyDescent="0.25">
      <c r="Q57563" s="8"/>
    </row>
    <row r="57564" spans="17:17" x14ac:dyDescent="0.25">
      <c r="Q57564" s="8"/>
    </row>
    <row r="57565" spans="17:17" x14ac:dyDescent="0.25">
      <c r="Q57565" s="8"/>
    </row>
    <row r="57566" spans="17:17" x14ac:dyDescent="0.25">
      <c r="Q57566" s="8"/>
    </row>
    <row r="57567" spans="17:17" x14ac:dyDescent="0.25">
      <c r="Q57567" s="8"/>
    </row>
    <row r="57568" spans="17:17" x14ac:dyDescent="0.25">
      <c r="Q57568" s="8"/>
    </row>
    <row r="57569" spans="17:17" x14ac:dyDescent="0.25">
      <c r="Q57569" s="8"/>
    </row>
    <row r="57570" spans="17:17" x14ac:dyDescent="0.25">
      <c r="Q57570" s="8"/>
    </row>
    <row r="57571" spans="17:17" x14ac:dyDescent="0.25">
      <c r="Q57571" s="8"/>
    </row>
    <row r="57572" spans="17:17" x14ac:dyDescent="0.25">
      <c r="Q57572" s="8"/>
    </row>
    <row r="57573" spans="17:17" x14ac:dyDescent="0.25">
      <c r="Q57573" s="8"/>
    </row>
    <row r="57574" spans="17:17" x14ac:dyDescent="0.25">
      <c r="Q57574" s="8"/>
    </row>
    <row r="57575" spans="17:17" x14ac:dyDescent="0.25">
      <c r="Q57575" s="8"/>
    </row>
    <row r="57576" spans="17:17" x14ac:dyDescent="0.25">
      <c r="Q57576" s="8"/>
    </row>
    <row r="57577" spans="17:17" x14ac:dyDescent="0.25">
      <c r="Q57577" s="8"/>
    </row>
    <row r="57578" spans="17:17" x14ac:dyDescent="0.25">
      <c r="Q57578" s="8"/>
    </row>
    <row r="57579" spans="17:17" x14ac:dyDescent="0.25">
      <c r="Q57579" s="8"/>
    </row>
    <row r="57580" spans="17:17" x14ac:dyDescent="0.25">
      <c r="Q57580" s="8"/>
    </row>
    <row r="57581" spans="17:17" x14ac:dyDescent="0.25">
      <c r="Q57581" s="8"/>
    </row>
    <row r="57582" spans="17:17" x14ac:dyDescent="0.25">
      <c r="Q57582" s="8"/>
    </row>
    <row r="57583" spans="17:17" x14ac:dyDescent="0.25">
      <c r="Q57583" s="8"/>
    </row>
    <row r="57584" spans="17:17" x14ac:dyDescent="0.25">
      <c r="Q57584" s="8"/>
    </row>
    <row r="57585" spans="17:17" x14ac:dyDescent="0.25">
      <c r="Q57585" s="8"/>
    </row>
    <row r="57586" spans="17:17" x14ac:dyDescent="0.25">
      <c r="Q57586" s="8"/>
    </row>
    <row r="57587" spans="17:17" x14ac:dyDescent="0.25">
      <c r="Q57587" s="8"/>
    </row>
    <row r="57588" spans="17:17" x14ac:dyDescent="0.25">
      <c r="Q57588" s="8"/>
    </row>
    <row r="57589" spans="17:17" x14ac:dyDescent="0.25">
      <c r="Q57589" s="8"/>
    </row>
    <row r="57590" spans="17:17" x14ac:dyDescent="0.25">
      <c r="Q57590" s="8"/>
    </row>
    <row r="57591" spans="17:17" x14ac:dyDescent="0.25">
      <c r="Q57591" s="8"/>
    </row>
    <row r="57592" spans="17:17" x14ac:dyDescent="0.25">
      <c r="Q57592" s="8"/>
    </row>
    <row r="57593" spans="17:17" x14ac:dyDescent="0.25">
      <c r="Q57593" s="8"/>
    </row>
    <row r="57594" spans="17:17" x14ac:dyDescent="0.25">
      <c r="Q57594" s="8"/>
    </row>
    <row r="57595" spans="17:17" x14ac:dyDescent="0.25">
      <c r="Q57595" s="8"/>
    </row>
    <row r="57596" spans="17:17" x14ac:dyDescent="0.25">
      <c r="Q57596" s="8"/>
    </row>
    <row r="57597" spans="17:17" x14ac:dyDescent="0.25">
      <c r="Q57597" s="8"/>
    </row>
    <row r="57598" spans="17:17" x14ac:dyDescent="0.25">
      <c r="Q57598" s="8"/>
    </row>
    <row r="57599" spans="17:17" x14ac:dyDescent="0.25">
      <c r="Q57599" s="8"/>
    </row>
    <row r="57600" spans="17:17" x14ac:dyDescent="0.25">
      <c r="Q57600" s="8"/>
    </row>
    <row r="57601" spans="17:17" x14ac:dyDescent="0.25">
      <c r="Q57601" s="8"/>
    </row>
    <row r="57602" spans="17:17" x14ac:dyDescent="0.25">
      <c r="Q57602" s="8"/>
    </row>
    <row r="57603" spans="17:17" x14ac:dyDescent="0.25">
      <c r="Q57603" s="8"/>
    </row>
    <row r="57604" spans="17:17" x14ac:dyDescent="0.25">
      <c r="Q57604" s="8"/>
    </row>
    <row r="57605" spans="17:17" x14ac:dyDescent="0.25">
      <c r="Q57605" s="8"/>
    </row>
    <row r="57606" spans="17:17" x14ac:dyDescent="0.25">
      <c r="Q57606" s="8"/>
    </row>
    <row r="57607" spans="17:17" x14ac:dyDescent="0.25">
      <c r="Q57607" s="8"/>
    </row>
    <row r="57608" spans="17:17" x14ac:dyDescent="0.25">
      <c r="Q57608" s="8"/>
    </row>
    <row r="57609" spans="17:17" x14ac:dyDescent="0.25">
      <c r="Q57609" s="8"/>
    </row>
    <row r="57610" spans="17:17" x14ac:dyDescent="0.25">
      <c r="Q57610" s="8"/>
    </row>
    <row r="57611" spans="17:17" x14ac:dyDescent="0.25">
      <c r="Q57611" s="8"/>
    </row>
    <row r="57612" spans="17:17" x14ac:dyDescent="0.25">
      <c r="Q57612" s="8"/>
    </row>
    <row r="57613" spans="17:17" x14ac:dyDescent="0.25">
      <c r="Q57613" s="8"/>
    </row>
    <row r="57614" spans="17:17" x14ac:dyDescent="0.25">
      <c r="Q57614" s="8"/>
    </row>
    <row r="57615" spans="17:17" x14ac:dyDescent="0.25">
      <c r="Q57615" s="8"/>
    </row>
    <row r="57616" spans="17:17" x14ac:dyDescent="0.25">
      <c r="Q57616" s="8"/>
    </row>
    <row r="57617" spans="17:17" x14ac:dyDescent="0.25">
      <c r="Q57617" s="8"/>
    </row>
    <row r="57618" spans="17:17" x14ac:dyDescent="0.25">
      <c r="Q57618" s="8"/>
    </row>
    <row r="57619" spans="17:17" x14ac:dyDescent="0.25">
      <c r="Q57619" s="8"/>
    </row>
    <row r="57620" spans="17:17" x14ac:dyDescent="0.25">
      <c r="Q57620" s="8"/>
    </row>
    <row r="57621" spans="17:17" x14ac:dyDescent="0.25">
      <c r="Q57621" s="8"/>
    </row>
    <row r="57622" spans="17:17" x14ac:dyDescent="0.25">
      <c r="Q57622" s="8"/>
    </row>
    <row r="57623" spans="17:17" x14ac:dyDescent="0.25">
      <c r="Q57623" s="8"/>
    </row>
    <row r="57624" spans="17:17" x14ac:dyDescent="0.25">
      <c r="Q57624" s="8"/>
    </row>
    <row r="57625" spans="17:17" x14ac:dyDescent="0.25">
      <c r="Q57625" s="8"/>
    </row>
    <row r="57626" spans="17:17" x14ac:dyDescent="0.25">
      <c r="Q57626" s="8"/>
    </row>
    <row r="57627" spans="17:17" x14ac:dyDescent="0.25">
      <c r="Q57627" s="8"/>
    </row>
    <row r="57628" spans="17:17" x14ac:dyDescent="0.25">
      <c r="Q57628" s="8"/>
    </row>
    <row r="57629" spans="17:17" x14ac:dyDescent="0.25">
      <c r="Q57629" s="8"/>
    </row>
    <row r="57630" spans="17:17" x14ac:dyDescent="0.25">
      <c r="Q57630" s="8"/>
    </row>
    <row r="57631" spans="17:17" x14ac:dyDescent="0.25">
      <c r="Q57631" s="8"/>
    </row>
    <row r="57632" spans="17:17" x14ac:dyDescent="0.25">
      <c r="Q57632" s="8"/>
    </row>
    <row r="57633" spans="17:17" x14ac:dyDescent="0.25">
      <c r="Q57633" s="8"/>
    </row>
    <row r="57634" spans="17:17" x14ac:dyDescent="0.25">
      <c r="Q57634" s="8"/>
    </row>
    <row r="57635" spans="17:17" x14ac:dyDescent="0.25">
      <c r="Q57635" s="8"/>
    </row>
    <row r="57636" spans="17:17" x14ac:dyDescent="0.25">
      <c r="Q57636" s="8"/>
    </row>
    <row r="57637" spans="17:17" x14ac:dyDescent="0.25">
      <c r="Q57637" s="8"/>
    </row>
    <row r="57638" spans="17:17" x14ac:dyDescent="0.25">
      <c r="Q57638" s="8"/>
    </row>
    <row r="57639" spans="17:17" x14ac:dyDescent="0.25">
      <c r="Q57639" s="8"/>
    </row>
    <row r="57640" spans="17:17" x14ac:dyDescent="0.25">
      <c r="Q57640" s="8"/>
    </row>
    <row r="57641" spans="17:17" x14ac:dyDescent="0.25">
      <c r="Q57641" s="8"/>
    </row>
    <row r="57642" spans="17:17" x14ac:dyDescent="0.25">
      <c r="Q57642" s="8"/>
    </row>
    <row r="57643" spans="17:17" x14ac:dyDescent="0.25">
      <c r="Q57643" s="8"/>
    </row>
    <row r="57644" spans="17:17" x14ac:dyDescent="0.25">
      <c r="Q57644" s="8"/>
    </row>
    <row r="57645" spans="17:17" x14ac:dyDescent="0.25">
      <c r="Q57645" s="8"/>
    </row>
    <row r="57646" spans="17:17" x14ac:dyDescent="0.25">
      <c r="Q57646" s="8"/>
    </row>
    <row r="57647" spans="17:17" x14ac:dyDescent="0.25">
      <c r="Q57647" s="8"/>
    </row>
    <row r="57648" spans="17:17" x14ac:dyDescent="0.25">
      <c r="Q57648" s="8"/>
    </row>
    <row r="57649" spans="17:17" x14ac:dyDescent="0.25">
      <c r="Q57649" s="8"/>
    </row>
    <row r="57650" spans="17:17" x14ac:dyDescent="0.25">
      <c r="Q57650" s="8"/>
    </row>
    <row r="57651" spans="17:17" x14ac:dyDescent="0.25">
      <c r="Q57651" s="8"/>
    </row>
    <row r="57652" spans="17:17" x14ac:dyDescent="0.25">
      <c r="Q57652" s="8"/>
    </row>
    <row r="57653" spans="17:17" x14ac:dyDescent="0.25">
      <c r="Q57653" s="8"/>
    </row>
    <row r="57654" spans="17:17" x14ac:dyDescent="0.25">
      <c r="Q57654" s="8"/>
    </row>
    <row r="57655" spans="17:17" x14ac:dyDescent="0.25">
      <c r="Q57655" s="8"/>
    </row>
    <row r="57656" spans="17:17" x14ac:dyDescent="0.25">
      <c r="Q57656" s="8"/>
    </row>
    <row r="57657" spans="17:17" x14ac:dyDescent="0.25">
      <c r="Q57657" s="8"/>
    </row>
    <row r="57658" spans="17:17" x14ac:dyDescent="0.25">
      <c r="Q57658" s="8"/>
    </row>
    <row r="57659" spans="17:17" x14ac:dyDescent="0.25">
      <c r="Q57659" s="8"/>
    </row>
    <row r="57660" spans="17:17" x14ac:dyDescent="0.25">
      <c r="Q57660" s="8"/>
    </row>
    <row r="57661" spans="17:17" x14ac:dyDescent="0.25">
      <c r="Q57661" s="8"/>
    </row>
    <row r="57662" spans="17:17" x14ac:dyDescent="0.25">
      <c r="Q57662" s="8"/>
    </row>
    <row r="57663" spans="17:17" x14ac:dyDescent="0.25">
      <c r="Q57663" s="8"/>
    </row>
    <row r="57664" spans="17:17" x14ac:dyDescent="0.25">
      <c r="Q57664" s="8"/>
    </row>
    <row r="57665" spans="17:17" x14ac:dyDescent="0.25">
      <c r="Q57665" s="8"/>
    </row>
    <row r="57666" spans="17:17" x14ac:dyDescent="0.25">
      <c r="Q57666" s="8"/>
    </row>
    <row r="57667" spans="17:17" x14ac:dyDescent="0.25">
      <c r="Q57667" s="8"/>
    </row>
    <row r="57668" spans="17:17" x14ac:dyDescent="0.25">
      <c r="Q57668" s="8"/>
    </row>
    <row r="57669" spans="17:17" x14ac:dyDescent="0.25">
      <c r="Q57669" s="8"/>
    </row>
    <row r="57670" spans="17:17" x14ac:dyDescent="0.25">
      <c r="Q57670" s="8"/>
    </row>
    <row r="57671" spans="17:17" x14ac:dyDescent="0.25">
      <c r="Q57671" s="8"/>
    </row>
    <row r="57672" spans="17:17" x14ac:dyDescent="0.25">
      <c r="Q57672" s="8"/>
    </row>
    <row r="57673" spans="17:17" x14ac:dyDescent="0.25">
      <c r="Q57673" s="8"/>
    </row>
    <row r="57674" spans="17:17" x14ac:dyDescent="0.25">
      <c r="Q57674" s="8"/>
    </row>
    <row r="57675" spans="17:17" x14ac:dyDescent="0.25">
      <c r="Q57675" s="8"/>
    </row>
    <row r="57676" spans="17:17" x14ac:dyDescent="0.25">
      <c r="Q57676" s="8"/>
    </row>
    <row r="57677" spans="17:17" x14ac:dyDescent="0.25">
      <c r="Q57677" s="8"/>
    </row>
    <row r="57678" spans="17:17" x14ac:dyDescent="0.25">
      <c r="Q57678" s="8"/>
    </row>
    <row r="57679" spans="17:17" x14ac:dyDescent="0.25">
      <c r="Q57679" s="8"/>
    </row>
    <row r="57680" spans="17:17" x14ac:dyDescent="0.25">
      <c r="Q57680" s="8"/>
    </row>
    <row r="57681" spans="17:17" x14ac:dyDescent="0.25">
      <c r="Q57681" s="8"/>
    </row>
    <row r="57682" spans="17:17" x14ac:dyDescent="0.25">
      <c r="Q57682" s="8"/>
    </row>
    <row r="57683" spans="17:17" x14ac:dyDescent="0.25">
      <c r="Q57683" s="8"/>
    </row>
    <row r="57684" spans="17:17" x14ac:dyDescent="0.25">
      <c r="Q57684" s="8"/>
    </row>
    <row r="57685" spans="17:17" x14ac:dyDescent="0.25">
      <c r="Q57685" s="8"/>
    </row>
    <row r="57686" spans="17:17" x14ac:dyDescent="0.25">
      <c r="Q57686" s="8"/>
    </row>
    <row r="57687" spans="17:17" x14ac:dyDescent="0.25">
      <c r="Q57687" s="8"/>
    </row>
    <row r="57688" spans="17:17" x14ac:dyDescent="0.25">
      <c r="Q57688" s="8"/>
    </row>
    <row r="57689" spans="17:17" x14ac:dyDescent="0.25">
      <c r="Q57689" s="8"/>
    </row>
    <row r="57690" spans="17:17" x14ac:dyDescent="0.25">
      <c r="Q57690" s="8"/>
    </row>
    <row r="57691" spans="17:17" x14ac:dyDescent="0.25">
      <c r="Q57691" s="8"/>
    </row>
    <row r="57692" spans="17:17" x14ac:dyDescent="0.25">
      <c r="Q57692" s="8"/>
    </row>
    <row r="57693" spans="17:17" x14ac:dyDescent="0.25">
      <c r="Q57693" s="8"/>
    </row>
    <row r="57694" spans="17:17" x14ac:dyDescent="0.25">
      <c r="Q57694" s="8"/>
    </row>
    <row r="57695" spans="17:17" x14ac:dyDescent="0.25">
      <c r="Q57695" s="8"/>
    </row>
    <row r="57696" spans="17:17" x14ac:dyDescent="0.25">
      <c r="Q57696" s="8"/>
    </row>
    <row r="57697" spans="17:17" x14ac:dyDescent="0.25">
      <c r="Q57697" s="8"/>
    </row>
    <row r="57698" spans="17:17" x14ac:dyDescent="0.25">
      <c r="Q57698" s="8"/>
    </row>
    <row r="57699" spans="17:17" x14ac:dyDescent="0.25">
      <c r="Q57699" s="8"/>
    </row>
    <row r="57700" spans="17:17" x14ac:dyDescent="0.25">
      <c r="Q57700" s="8"/>
    </row>
    <row r="57701" spans="17:17" x14ac:dyDescent="0.25">
      <c r="Q57701" s="8"/>
    </row>
    <row r="57702" spans="17:17" x14ac:dyDescent="0.25">
      <c r="Q57702" s="8"/>
    </row>
    <row r="57703" spans="17:17" x14ac:dyDescent="0.25">
      <c r="Q57703" s="8"/>
    </row>
    <row r="57704" spans="17:17" x14ac:dyDescent="0.25">
      <c r="Q57704" s="8"/>
    </row>
    <row r="57705" spans="17:17" x14ac:dyDescent="0.25">
      <c r="Q57705" s="8"/>
    </row>
    <row r="57706" spans="17:17" x14ac:dyDescent="0.25">
      <c r="Q57706" s="8"/>
    </row>
    <row r="57707" spans="17:17" x14ac:dyDescent="0.25">
      <c r="Q57707" s="8"/>
    </row>
    <row r="57708" spans="17:17" x14ac:dyDescent="0.25">
      <c r="Q57708" s="8"/>
    </row>
    <row r="57709" spans="17:17" x14ac:dyDescent="0.25">
      <c r="Q57709" s="8"/>
    </row>
    <row r="57710" spans="17:17" x14ac:dyDescent="0.25">
      <c r="Q57710" s="8"/>
    </row>
    <row r="57711" spans="17:17" x14ac:dyDescent="0.25">
      <c r="Q57711" s="8"/>
    </row>
    <row r="57712" spans="17:17" x14ac:dyDescent="0.25">
      <c r="Q57712" s="8"/>
    </row>
    <row r="57713" spans="17:17" x14ac:dyDescent="0.25">
      <c r="Q57713" s="8"/>
    </row>
    <row r="57714" spans="17:17" x14ac:dyDescent="0.25">
      <c r="Q57714" s="8"/>
    </row>
    <row r="57715" spans="17:17" x14ac:dyDescent="0.25">
      <c r="Q57715" s="8"/>
    </row>
    <row r="57716" spans="17:17" x14ac:dyDescent="0.25">
      <c r="Q57716" s="8"/>
    </row>
    <row r="57717" spans="17:17" x14ac:dyDescent="0.25">
      <c r="Q57717" s="8"/>
    </row>
    <row r="57718" spans="17:17" x14ac:dyDescent="0.25">
      <c r="Q57718" s="8"/>
    </row>
    <row r="57719" spans="17:17" x14ac:dyDescent="0.25">
      <c r="Q57719" s="8"/>
    </row>
    <row r="57720" spans="17:17" x14ac:dyDescent="0.25">
      <c r="Q57720" s="8"/>
    </row>
    <row r="57721" spans="17:17" x14ac:dyDescent="0.25">
      <c r="Q57721" s="8"/>
    </row>
    <row r="57722" spans="17:17" x14ac:dyDescent="0.25">
      <c r="Q57722" s="8"/>
    </row>
    <row r="57723" spans="17:17" x14ac:dyDescent="0.25">
      <c r="Q57723" s="8"/>
    </row>
    <row r="57724" spans="17:17" x14ac:dyDescent="0.25">
      <c r="Q57724" s="8"/>
    </row>
    <row r="57725" spans="17:17" x14ac:dyDescent="0.25">
      <c r="Q57725" s="8"/>
    </row>
    <row r="57726" spans="17:17" x14ac:dyDescent="0.25">
      <c r="Q57726" s="8"/>
    </row>
    <row r="57727" spans="17:17" x14ac:dyDescent="0.25">
      <c r="Q57727" s="8"/>
    </row>
    <row r="57728" spans="17:17" x14ac:dyDescent="0.25">
      <c r="Q57728" s="8"/>
    </row>
    <row r="57729" spans="17:17" x14ac:dyDescent="0.25">
      <c r="Q57729" s="8"/>
    </row>
    <row r="57730" spans="17:17" x14ac:dyDescent="0.25">
      <c r="Q57730" s="8"/>
    </row>
    <row r="57731" spans="17:17" x14ac:dyDescent="0.25">
      <c r="Q57731" s="8"/>
    </row>
    <row r="57732" spans="17:17" x14ac:dyDescent="0.25">
      <c r="Q57732" s="8"/>
    </row>
    <row r="57733" spans="17:17" x14ac:dyDescent="0.25">
      <c r="Q57733" s="8"/>
    </row>
    <row r="57734" spans="17:17" x14ac:dyDescent="0.25">
      <c r="Q57734" s="8"/>
    </row>
    <row r="57735" spans="17:17" x14ac:dyDescent="0.25">
      <c r="Q57735" s="8"/>
    </row>
    <row r="57736" spans="17:17" x14ac:dyDescent="0.25">
      <c r="Q57736" s="8"/>
    </row>
    <row r="57737" spans="17:17" x14ac:dyDescent="0.25">
      <c r="Q57737" s="8"/>
    </row>
    <row r="57738" spans="17:17" x14ac:dyDescent="0.25">
      <c r="Q57738" s="8"/>
    </row>
    <row r="57739" spans="17:17" x14ac:dyDescent="0.25">
      <c r="Q57739" s="8"/>
    </row>
    <row r="57740" spans="17:17" x14ac:dyDescent="0.25">
      <c r="Q57740" s="8"/>
    </row>
    <row r="57741" spans="17:17" x14ac:dyDescent="0.25">
      <c r="Q57741" s="8"/>
    </row>
    <row r="57742" spans="17:17" x14ac:dyDescent="0.25">
      <c r="Q57742" s="8"/>
    </row>
    <row r="57743" spans="17:17" x14ac:dyDescent="0.25">
      <c r="Q57743" s="8"/>
    </row>
    <row r="57744" spans="17:17" x14ac:dyDescent="0.25">
      <c r="Q57744" s="8"/>
    </row>
    <row r="57745" spans="17:17" x14ac:dyDescent="0.25">
      <c r="Q57745" s="8"/>
    </row>
    <row r="57746" spans="17:17" x14ac:dyDescent="0.25">
      <c r="Q57746" s="8"/>
    </row>
    <row r="57747" spans="17:17" x14ac:dyDescent="0.25">
      <c r="Q57747" s="8"/>
    </row>
    <row r="57748" spans="17:17" x14ac:dyDescent="0.25">
      <c r="Q57748" s="8"/>
    </row>
    <row r="57749" spans="17:17" x14ac:dyDescent="0.25">
      <c r="Q57749" s="8"/>
    </row>
    <row r="57750" spans="17:17" x14ac:dyDescent="0.25">
      <c r="Q57750" s="8"/>
    </row>
    <row r="57751" spans="17:17" x14ac:dyDescent="0.25">
      <c r="Q57751" s="8"/>
    </row>
    <row r="57752" spans="17:17" x14ac:dyDescent="0.25">
      <c r="Q57752" s="8"/>
    </row>
    <row r="57753" spans="17:17" x14ac:dyDescent="0.25">
      <c r="Q57753" s="8"/>
    </row>
    <row r="57754" spans="17:17" x14ac:dyDescent="0.25">
      <c r="Q57754" s="8"/>
    </row>
    <row r="57755" spans="17:17" x14ac:dyDescent="0.25">
      <c r="Q57755" s="8"/>
    </row>
    <row r="57756" spans="17:17" x14ac:dyDescent="0.25">
      <c r="Q57756" s="8"/>
    </row>
    <row r="57757" spans="17:17" x14ac:dyDescent="0.25">
      <c r="Q57757" s="8"/>
    </row>
    <row r="57758" spans="17:17" x14ac:dyDescent="0.25">
      <c r="Q57758" s="8"/>
    </row>
    <row r="57759" spans="17:17" x14ac:dyDescent="0.25">
      <c r="Q57759" s="8"/>
    </row>
    <row r="57760" spans="17:17" x14ac:dyDescent="0.25">
      <c r="Q57760" s="8"/>
    </row>
    <row r="57761" spans="17:17" x14ac:dyDescent="0.25">
      <c r="Q57761" s="8"/>
    </row>
    <row r="57762" spans="17:17" x14ac:dyDescent="0.25">
      <c r="Q57762" s="8"/>
    </row>
    <row r="57763" spans="17:17" x14ac:dyDescent="0.25">
      <c r="Q57763" s="8"/>
    </row>
    <row r="57764" spans="17:17" x14ac:dyDescent="0.25">
      <c r="Q57764" s="8"/>
    </row>
    <row r="57765" spans="17:17" x14ac:dyDescent="0.25">
      <c r="Q57765" s="8"/>
    </row>
    <row r="57766" spans="17:17" x14ac:dyDescent="0.25">
      <c r="Q57766" s="8"/>
    </row>
    <row r="57767" spans="17:17" x14ac:dyDescent="0.25">
      <c r="Q57767" s="8"/>
    </row>
    <row r="57768" spans="17:17" x14ac:dyDescent="0.25">
      <c r="Q57768" s="8"/>
    </row>
    <row r="57769" spans="17:17" x14ac:dyDescent="0.25">
      <c r="Q57769" s="8"/>
    </row>
    <row r="57770" spans="17:17" x14ac:dyDescent="0.25">
      <c r="Q57770" s="8"/>
    </row>
    <row r="57771" spans="17:17" x14ac:dyDescent="0.25">
      <c r="Q57771" s="8"/>
    </row>
    <row r="57772" spans="17:17" x14ac:dyDescent="0.25">
      <c r="Q57772" s="8"/>
    </row>
    <row r="57773" spans="17:17" x14ac:dyDescent="0.25">
      <c r="Q57773" s="8"/>
    </row>
    <row r="57774" spans="17:17" x14ac:dyDescent="0.25">
      <c r="Q57774" s="8"/>
    </row>
    <row r="57775" spans="17:17" x14ac:dyDescent="0.25">
      <c r="Q57775" s="8"/>
    </row>
    <row r="57776" spans="17:17" x14ac:dyDescent="0.25">
      <c r="Q57776" s="8"/>
    </row>
    <row r="57777" spans="17:17" x14ac:dyDescent="0.25">
      <c r="Q57777" s="8"/>
    </row>
    <row r="57778" spans="17:17" x14ac:dyDescent="0.25">
      <c r="Q57778" s="8"/>
    </row>
    <row r="57779" spans="17:17" x14ac:dyDescent="0.25">
      <c r="Q57779" s="8"/>
    </row>
    <row r="57780" spans="17:17" x14ac:dyDescent="0.25">
      <c r="Q57780" s="8"/>
    </row>
    <row r="57781" spans="17:17" x14ac:dyDescent="0.25">
      <c r="Q57781" s="8"/>
    </row>
    <row r="57782" spans="17:17" x14ac:dyDescent="0.25">
      <c r="Q57782" s="8"/>
    </row>
    <row r="57783" spans="17:17" x14ac:dyDescent="0.25">
      <c r="Q57783" s="8"/>
    </row>
    <row r="57784" spans="17:17" x14ac:dyDescent="0.25">
      <c r="Q57784" s="8"/>
    </row>
    <row r="57785" spans="17:17" x14ac:dyDescent="0.25">
      <c r="Q57785" s="8"/>
    </row>
    <row r="57786" spans="17:17" x14ac:dyDescent="0.25">
      <c r="Q57786" s="8"/>
    </row>
    <row r="57787" spans="17:17" x14ac:dyDescent="0.25">
      <c r="Q57787" s="8"/>
    </row>
    <row r="57788" spans="17:17" x14ac:dyDescent="0.25">
      <c r="Q57788" s="8"/>
    </row>
    <row r="57789" spans="17:17" x14ac:dyDescent="0.25">
      <c r="Q57789" s="8"/>
    </row>
    <row r="57790" spans="17:17" x14ac:dyDescent="0.25">
      <c r="Q57790" s="8"/>
    </row>
    <row r="57791" spans="17:17" x14ac:dyDescent="0.25">
      <c r="Q57791" s="8"/>
    </row>
    <row r="57792" spans="17:17" x14ac:dyDescent="0.25">
      <c r="Q57792" s="8"/>
    </row>
    <row r="57793" spans="17:17" x14ac:dyDescent="0.25">
      <c r="Q57793" s="8"/>
    </row>
    <row r="57794" spans="17:17" x14ac:dyDescent="0.25">
      <c r="Q57794" s="8"/>
    </row>
    <row r="57795" spans="17:17" x14ac:dyDescent="0.25">
      <c r="Q57795" s="8"/>
    </row>
    <row r="57796" spans="17:17" x14ac:dyDescent="0.25">
      <c r="Q57796" s="8"/>
    </row>
    <row r="57797" spans="17:17" x14ac:dyDescent="0.25">
      <c r="Q57797" s="8"/>
    </row>
    <row r="57798" spans="17:17" x14ac:dyDescent="0.25">
      <c r="Q57798" s="8"/>
    </row>
    <row r="57799" spans="17:17" x14ac:dyDescent="0.25">
      <c r="Q57799" s="8"/>
    </row>
    <row r="57800" spans="17:17" x14ac:dyDescent="0.25">
      <c r="Q57800" s="8"/>
    </row>
    <row r="57801" spans="17:17" x14ac:dyDescent="0.25">
      <c r="Q57801" s="8"/>
    </row>
    <row r="57802" spans="17:17" x14ac:dyDescent="0.25">
      <c r="Q57802" s="8"/>
    </row>
    <row r="57803" spans="17:17" x14ac:dyDescent="0.25">
      <c r="Q57803" s="8"/>
    </row>
    <row r="57804" spans="17:17" x14ac:dyDescent="0.25">
      <c r="Q57804" s="8"/>
    </row>
    <row r="57805" spans="17:17" x14ac:dyDescent="0.25">
      <c r="Q57805" s="8"/>
    </row>
    <row r="57806" spans="17:17" x14ac:dyDescent="0.25">
      <c r="Q57806" s="8"/>
    </row>
    <row r="57807" spans="17:17" x14ac:dyDescent="0.25">
      <c r="Q57807" s="8"/>
    </row>
    <row r="57808" spans="17:17" x14ac:dyDescent="0.25">
      <c r="Q57808" s="8"/>
    </row>
    <row r="57809" spans="17:17" x14ac:dyDescent="0.25">
      <c r="Q57809" s="8"/>
    </row>
    <row r="57810" spans="17:17" x14ac:dyDescent="0.25">
      <c r="Q57810" s="8"/>
    </row>
    <row r="57811" spans="17:17" x14ac:dyDescent="0.25">
      <c r="Q57811" s="8"/>
    </row>
    <row r="57812" spans="17:17" x14ac:dyDescent="0.25">
      <c r="Q57812" s="8"/>
    </row>
    <row r="57813" spans="17:17" x14ac:dyDescent="0.25">
      <c r="Q57813" s="8"/>
    </row>
    <row r="57814" spans="17:17" x14ac:dyDescent="0.25">
      <c r="Q57814" s="8"/>
    </row>
    <row r="57815" spans="17:17" x14ac:dyDescent="0.25">
      <c r="Q57815" s="8"/>
    </row>
    <row r="57816" spans="17:17" x14ac:dyDescent="0.25">
      <c r="Q57816" s="8"/>
    </row>
    <row r="57817" spans="17:17" x14ac:dyDescent="0.25">
      <c r="Q57817" s="8"/>
    </row>
    <row r="57818" spans="17:17" x14ac:dyDescent="0.25">
      <c r="Q57818" s="8"/>
    </row>
    <row r="57819" spans="17:17" x14ac:dyDescent="0.25">
      <c r="Q57819" s="8"/>
    </row>
    <row r="57820" spans="17:17" x14ac:dyDescent="0.25">
      <c r="Q57820" s="8"/>
    </row>
    <row r="57821" spans="17:17" x14ac:dyDescent="0.25">
      <c r="Q57821" s="8"/>
    </row>
    <row r="57822" spans="17:17" x14ac:dyDescent="0.25">
      <c r="Q57822" s="8"/>
    </row>
    <row r="57823" spans="17:17" x14ac:dyDescent="0.25">
      <c r="Q57823" s="8"/>
    </row>
    <row r="57824" spans="17:17" x14ac:dyDescent="0.25">
      <c r="Q57824" s="8"/>
    </row>
    <row r="57825" spans="17:17" x14ac:dyDescent="0.25">
      <c r="Q57825" s="8"/>
    </row>
    <row r="57826" spans="17:17" x14ac:dyDescent="0.25">
      <c r="Q57826" s="8"/>
    </row>
    <row r="57827" spans="17:17" x14ac:dyDescent="0.25">
      <c r="Q57827" s="8"/>
    </row>
    <row r="57828" spans="17:17" x14ac:dyDescent="0.25">
      <c r="Q57828" s="8"/>
    </row>
    <row r="57829" spans="17:17" x14ac:dyDescent="0.25">
      <c r="Q57829" s="8"/>
    </row>
    <row r="57830" spans="17:17" x14ac:dyDescent="0.25">
      <c r="Q57830" s="8"/>
    </row>
    <row r="57831" spans="17:17" x14ac:dyDescent="0.25">
      <c r="Q57831" s="8"/>
    </row>
    <row r="57832" spans="17:17" x14ac:dyDescent="0.25">
      <c r="Q57832" s="8"/>
    </row>
    <row r="57833" spans="17:17" x14ac:dyDescent="0.25">
      <c r="Q57833" s="8"/>
    </row>
    <row r="57834" spans="17:17" x14ac:dyDescent="0.25">
      <c r="Q57834" s="8"/>
    </row>
    <row r="57835" spans="17:17" x14ac:dyDescent="0.25">
      <c r="Q57835" s="8"/>
    </row>
    <row r="57836" spans="17:17" x14ac:dyDescent="0.25">
      <c r="Q57836" s="8"/>
    </row>
    <row r="57837" spans="17:17" x14ac:dyDescent="0.25">
      <c r="Q57837" s="8"/>
    </row>
    <row r="57838" spans="17:17" x14ac:dyDescent="0.25">
      <c r="Q57838" s="8"/>
    </row>
    <row r="57839" spans="17:17" x14ac:dyDescent="0.25">
      <c r="Q57839" s="8"/>
    </row>
    <row r="57840" spans="17:17" x14ac:dyDescent="0.25">
      <c r="Q57840" s="8"/>
    </row>
    <row r="57841" spans="17:17" x14ac:dyDescent="0.25">
      <c r="Q57841" s="8"/>
    </row>
    <row r="57842" spans="17:17" x14ac:dyDescent="0.25">
      <c r="Q57842" s="8"/>
    </row>
    <row r="57843" spans="17:17" x14ac:dyDescent="0.25">
      <c r="Q57843" s="8"/>
    </row>
    <row r="57844" spans="17:17" x14ac:dyDescent="0.25">
      <c r="Q57844" s="8"/>
    </row>
    <row r="57845" spans="17:17" x14ac:dyDescent="0.25">
      <c r="Q57845" s="8"/>
    </row>
    <row r="57846" spans="17:17" x14ac:dyDescent="0.25">
      <c r="Q57846" s="8"/>
    </row>
    <row r="57847" spans="17:17" x14ac:dyDescent="0.25">
      <c r="Q57847" s="8"/>
    </row>
    <row r="57848" spans="17:17" x14ac:dyDescent="0.25">
      <c r="Q57848" s="8"/>
    </row>
    <row r="57849" spans="17:17" x14ac:dyDescent="0.25">
      <c r="Q57849" s="8"/>
    </row>
    <row r="57850" spans="17:17" x14ac:dyDescent="0.25">
      <c r="Q57850" s="8"/>
    </row>
    <row r="57851" spans="17:17" x14ac:dyDescent="0.25">
      <c r="Q57851" s="8"/>
    </row>
    <row r="57852" spans="17:17" x14ac:dyDescent="0.25">
      <c r="Q57852" s="8"/>
    </row>
    <row r="57853" spans="17:17" x14ac:dyDescent="0.25">
      <c r="Q57853" s="8"/>
    </row>
    <row r="57854" spans="17:17" x14ac:dyDescent="0.25">
      <c r="Q57854" s="8"/>
    </row>
    <row r="57855" spans="17:17" x14ac:dyDescent="0.25">
      <c r="Q57855" s="8"/>
    </row>
    <row r="57856" spans="17:17" x14ac:dyDescent="0.25">
      <c r="Q57856" s="8"/>
    </row>
    <row r="57857" spans="17:17" x14ac:dyDescent="0.25">
      <c r="Q57857" s="8"/>
    </row>
    <row r="57858" spans="17:17" x14ac:dyDescent="0.25">
      <c r="Q57858" s="8"/>
    </row>
    <row r="57859" spans="17:17" x14ac:dyDescent="0.25">
      <c r="Q57859" s="8"/>
    </row>
    <row r="57860" spans="17:17" x14ac:dyDescent="0.25">
      <c r="Q57860" s="8"/>
    </row>
    <row r="57861" spans="17:17" x14ac:dyDescent="0.25">
      <c r="Q57861" s="8"/>
    </row>
    <row r="57862" spans="17:17" x14ac:dyDescent="0.25">
      <c r="Q57862" s="8"/>
    </row>
    <row r="57863" spans="17:17" x14ac:dyDescent="0.25">
      <c r="Q57863" s="8"/>
    </row>
    <row r="57864" spans="17:17" x14ac:dyDescent="0.25">
      <c r="Q57864" s="8"/>
    </row>
    <row r="57865" spans="17:17" x14ac:dyDescent="0.25">
      <c r="Q57865" s="8"/>
    </row>
    <row r="57866" spans="17:17" x14ac:dyDescent="0.25">
      <c r="Q57866" s="8"/>
    </row>
    <row r="57867" spans="17:17" x14ac:dyDescent="0.25">
      <c r="Q57867" s="8"/>
    </row>
    <row r="57868" spans="17:17" x14ac:dyDescent="0.25">
      <c r="Q57868" s="8"/>
    </row>
    <row r="57869" spans="17:17" x14ac:dyDescent="0.25">
      <c r="Q57869" s="8"/>
    </row>
    <row r="57870" spans="17:17" x14ac:dyDescent="0.25">
      <c r="Q57870" s="8"/>
    </row>
    <row r="57871" spans="17:17" x14ac:dyDescent="0.25">
      <c r="Q57871" s="8"/>
    </row>
    <row r="57872" spans="17:17" x14ac:dyDescent="0.25">
      <c r="Q57872" s="8"/>
    </row>
    <row r="57873" spans="17:17" x14ac:dyDescent="0.25">
      <c r="Q57873" s="8"/>
    </row>
    <row r="57874" spans="17:17" x14ac:dyDescent="0.25">
      <c r="Q57874" s="8"/>
    </row>
    <row r="57875" spans="17:17" x14ac:dyDescent="0.25">
      <c r="Q57875" s="8"/>
    </row>
    <row r="57876" spans="17:17" x14ac:dyDescent="0.25">
      <c r="Q57876" s="8"/>
    </row>
    <row r="57877" spans="17:17" x14ac:dyDescent="0.25">
      <c r="Q57877" s="8"/>
    </row>
    <row r="57878" spans="17:17" x14ac:dyDescent="0.25">
      <c r="Q57878" s="8"/>
    </row>
    <row r="57879" spans="17:17" x14ac:dyDescent="0.25">
      <c r="Q57879" s="8"/>
    </row>
    <row r="57880" spans="17:17" x14ac:dyDescent="0.25">
      <c r="Q57880" s="8"/>
    </row>
    <row r="57881" spans="17:17" x14ac:dyDescent="0.25">
      <c r="Q57881" s="8"/>
    </row>
    <row r="57882" spans="17:17" x14ac:dyDescent="0.25">
      <c r="Q57882" s="8"/>
    </row>
    <row r="57883" spans="17:17" x14ac:dyDescent="0.25">
      <c r="Q57883" s="8"/>
    </row>
    <row r="57884" spans="17:17" x14ac:dyDescent="0.25">
      <c r="Q57884" s="8"/>
    </row>
    <row r="57885" spans="17:17" x14ac:dyDescent="0.25">
      <c r="Q57885" s="8"/>
    </row>
    <row r="57886" spans="17:17" x14ac:dyDescent="0.25">
      <c r="Q57886" s="8"/>
    </row>
    <row r="57887" spans="17:17" x14ac:dyDescent="0.25">
      <c r="Q57887" s="8"/>
    </row>
    <row r="57888" spans="17:17" x14ac:dyDescent="0.25">
      <c r="Q57888" s="8"/>
    </row>
    <row r="57889" spans="17:17" x14ac:dyDescent="0.25">
      <c r="Q57889" s="8"/>
    </row>
    <row r="57890" spans="17:17" x14ac:dyDescent="0.25">
      <c r="Q57890" s="8"/>
    </row>
    <row r="57891" spans="17:17" x14ac:dyDescent="0.25">
      <c r="Q57891" s="8"/>
    </row>
    <row r="57892" spans="17:17" x14ac:dyDescent="0.25">
      <c r="Q57892" s="8"/>
    </row>
    <row r="57893" spans="17:17" x14ac:dyDescent="0.25">
      <c r="Q57893" s="8"/>
    </row>
    <row r="57894" spans="17:17" x14ac:dyDescent="0.25">
      <c r="Q57894" s="8"/>
    </row>
    <row r="57895" spans="17:17" x14ac:dyDescent="0.25">
      <c r="Q57895" s="8"/>
    </row>
    <row r="57896" spans="17:17" x14ac:dyDescent="0.25">
      <c r="Q57896" s="8"/>
    </row>
    <row r="57897" spans="17:17" x14ac:dyDescent="0.25">
      <c r="Q57897" s="8"/>
    </row>
    <row r="57898" spans="17:17" x14ac:dyDescent="0.25">
      <c r="Q57898" s="8"/>
    </row>
    <row r="57899" spans="17:17" x14ac:dyDescent="0.25">
      <c r="Q57899" s="8"/>
    </row>
    <row r="57900" spans="17:17" x14ac:dyDescent="0.25">
      <c r="Q57900" s="8"/>
    </row>
    <row r="57901" spans="17:17" x14ac:dyDescent="0.25">
      <c r="Q57901" s="8"/>
    </row>
    <row r="57902" spans="17:17" x14ac:dyDescent="0.25">
      <c r="Q57902" s="8"/>
    </row>
    <row r="57903" spans="17:17" x14ac:dyDescent="0.25">
      <c r="Q57903" s="8"/>
    </row>
    <row r="57904" spans="17:17" x14ac:dyDescent="0.25">
      <c r="Q57904" s="8"/>
    </row>
    <row r="57905" spans="17:17" x14ac:dyDescent="0.25">
      <c r="Q57905" s="8"/>
    </row>
    <row r="57906" spans="17:17" x14ac:dyDescent="0.25">
      <c r="Q57906" s="8"/>
    </row>
    <row r="57907" spans="17:17" x14ac:dyDescent="0.25">
      <c r="Q57907" s="8"/>
    </row>
    <row r="57908" spans="17:17" x14ac:dyDescent="0.25">
      <c r="Q57908" s="8"/>
    </row>
    <row r="57909" spans="17:17" x14ac:dyDescent="0.25">
      <c r="Q57909" s="8"/>
    </row>
    <row r="57910" spans="17:17" x14ac:dyDescent="0.25">
      <c r="Q57910" s="8"/>
    </row>
    <row r="57911" spans="17:17" x14ac:dyDescent="0.25">
      <c r="Q57911" s="8"/>
    </row>
    <row r="57912" spans="17:17" x14ac:dyDescent="0.25">
      <c r="Q57912" s="8"/>
    </row>
    <row r="57913" spans="17:17" x14ac:dyDescent="0.25">
      <c r="Q57913" s="8"/>
    </row>
    <row r="57914" spans="17:17" x14ac:dyDescent="0.25">
      <c r="Q57914" s="8"/>
    </row>
    <row r="57915" spans="17:17" x14ac:dyDescent="0.25">
      <c r="Q57915" s="8"/>
    </row>
    <row r="57916" spans="17:17" x14ac:dyDescent="0.25">
      <c r="Q57916" s="8"/>
    </row>
    <row r="57917" spans="17:17" x14ac:dyDescent="0.25">
      <c r="Q57917" s="8"/>
    </row>
    <row r="57918" spans="17:17" x14ac:dyDescent="0.25">
      <c r="Q57918" s="8"/>
    </row>
    <row r="57919" spans="17:17" x14ac:dyDescent="0.25">
      <c r="Q57919" s="8"/>
    </row>
    <row r="57920" spans="17:17" x14ac:dyDescent="0.25">
      <c r="Q57920" s="8"/>
    </row>
    <row r="57921" spans="17:17" x14ac:dyDescent="0.25">
      <c r="Q57921" s="8"/>
    </row>
    <row r="57922" spans="17:17" x14ac:dyDescent="0.25">
      <c r="Q57922" s="8"/>
    </row>
    <row r="57923" spans="17:17" x14ac:dyDescent="0.25">
      <c r="Q57923" s="8"/>
    </row>
    <row r="57924" spans="17:17" x14ac:dyDescent="0.25">
      <c r="Q57924" s="8"/>
    </row>
    <row r="57925" spans="17:17" x14ac:dyDescent="0.25">
      <c r="Q57925" s="8"/>
    </row>
    <row r="57926" spans="17:17" x14ac:dyDescent="0.25">
      <c r="Q57926" s="8"/>
    </row>
    <row r="57927" spans="17:17" x14ac:dyDescent="0.25">
      <c r="Q57927" s="8"/>
    </row>
    <row r="57928" spans="17:17" x14ac:dyDescent="0.25">
      <c r="Q57928" s="8"/>
    </row>
    <row r="57929" spans="17:17" x14ac:dyDescent="0.25">
      <c r="Q57929" s="8"/>
    </row>
    <row r="57930" spans="17:17" x14ac:dyDescent="0.25">
      <c r="Q57930" s="8"/>
    </row>
    <row r="57931" spans="17:17" x14ac:dyDescent="0.25">
      <c r="Q57931" s="8"/>
    </row>
    <row r="57932" spans="17:17" x14ac:dyDescent="0.25">
      <c r="Q57932" s="8"/>
    </row>
    <row r="57933" spans="17:17" x14ac:dyDescent="0.25">
      <c r="Q57933" s="8"/>
    </row>
    <row r="57934" spans="17:17" x14ac:dyDescent="0.25">
      <c r="Q57934" s="8"/>
    </row>
    <row r="57935" spans="17:17" x14ac:dyDescent="0.25">
      <c r="Q57935" s="8"/>
    </row>
    <row r="57936" spans="17:17" x14ac:dyDescent="0.25">
      <c r="Q57936" s="8"/>
    </row>
    <row r="57937" spans="17:17" x14ac:dyDescent="0.25">
      <c r="Q57937" s="8"/>
    </row>
    <row r="57938" spans="17:17" x14ac:dyDescent="0.25">
      <c r="Q57938" s="8"/>
    </row>
    <row r="57939" spans="17:17" x14ac:dyDescent="0.25">
      <c r="Q57939" s="8"/>
    </row>
    <row r="57940" spans="17:17" x14ac:dyDescent="0.25">
      <c r="Q57940" s="8"/>
    </row>
    <row r="57941" spans="17:17" x14ac:dyDescent="0.25">
      <c r="Q57941" s="8"/>
    </row>
    <row r="57942" spans="17:17" x14ac:dyDescent="0.25">
      <c r="Q57942" s="8"/>
    </row>
    <row r="57943" spans="17:17" x14ac:dyDescent="0.25">
      <c r="Q57943" s="8"/>
    </row>
    <row r="57944" spans="17:17" x14ac:dyDescent="0.25">
      <c r="Q57944" s="8"/>
    </row>
    <row r="57945" spans="17:17" x14ac:dyDescent="0.25">
      <c r="Q57945" s="8"/>
    </row>
    <row r="57946" spans="17:17" x14ac:dyDescent="0.25">
      <c r="Q57946" s="8"/>
    </row>
    <row r="57947" spans="17:17" x14ac:dyDescent="0.25">
      <c r="Q57947" s="8"/>
    </row>
    <row r="57948" spans="17:17" x14ac:dyDescent="0.25">
      <c r="Q57948" s="8"/>
    </row>
    <row r="57949" spans="17:17" x14ac:dyDescent="0.25">
      <c r="Q57949" s="8"/>
    </row>
    <row r="57950" spans="17:17" x14ac:dyDescent="0.25">
      <c r="Q57950" s="8"/>
    </row>
    <row r="57951" spans="17:17" x14ac:dyDescent="0.25">
      <c r="Q57951" s="8"/>
    </row>
    <row r="57952" spans="17:17" x14ac:dyDescent="0.25">
      <c r="Q57952" s="8"/>
    </row>
    <row r="57953" spans="17:17" x14ac:dyDescent="0.25">
      <c r="Q57953" s="8"/>
    </row>
    <row r="57954" spans="17:17" x14ac:dyDescent="0.25">
      <c r="Q57954" s="8"/>
    </row>
    <row r="57955" spans="17:17" x14ac:dyDescent="0.25">
      <c r="Q57955" s="8"/>
    </row>
    <row r="57956" spans="17:17" x14ac:dyDescent="0.25">
      <c r="Q57956" s="8"/>
    </row>
    <row r="57957" spans="17:17" x14ac:dyDescent="0.25">
      <c r="Q57957" s="8"/>
    </row>
    <row r="57958" spans="17:17" x14ac:dyDescent="0.25">
      <c r="Q57958" s="8"/>
    </row>
    <row r="57959" spans="17:17" x14ac:dyDescent="0.25">
      <c r="Q57959" s="8"/>
    </row>
    <row r="57960" spans="17:17" x14ac:dyDescent="0.25">
      <c r="Q57960" s="8"/>
    </row>
    <row r="57961" spans="17:17" x14ac:dyDescent="0.25">
      <c r="Q57961" s="8"/>
    </row>
    <row r="57962" spans="17:17" x14ac:dyDescent="0.25">
      <c r="Q57962" s="8"/>
    </row>
    <row r="57963" spans="17:17" x14ac:dyDescent="0.25">
      <c r="Q57963" s="8"/>
    </row>
    <row r="57964" spans="17:17" x14ac:dyDescent="0.25">
      <c r="Q57964" s="8"/>
    </row>
    <row r="57965" spans="17:17" x14ac:dyDescent="0.25">
      <c r="Q57965" s="8"/>
    </row>
    <row r="57966" spans="17:17" x14ac:dyDescent="0.25">
      <c r="Q57966" s="8"/>
    </row>
    <row r="57967" spans="17:17" x14ac:dyDescent="0.25">
      <c r="Q57967" s="8"/>
    </row>
    <row r="57968" spans="17:17" x14ac:dyDescent="0.25">
      <c r="Q57968" s="8"/>
    </row>
    <row r="57969" spans="17:17" x14ac:dyDescent="0.25">
      <c r="Q57969" s="8"/>
    </row>
    <row r="57970" spans="17:17" x14ac:dyDescent="0.25">
      <c r="Q57970" s="8"/>
    </row>
    <row r="57971" spans="17:17" x14ac:dyDescent="0.25">
      <c r="Q57971" s="8"/>
    </row>
    <row r="57972" spans="17:17" x14ac:dyDescent="0.25">
      <c r="Q57972" s="8"/>
    </row>
    <row r="57973" spans="17:17" x14ac:dyDescent="0.25">
      <c r="Q57973" s="8"/>
    </row>
    <row r="57974" spans="17:17" x14ac:dyDescent="0.25">
      <c r="Q57974" s="8"/>
    </row>
    <row r="57975" spans="17:17" x14ac:dyDescent="0.25">
      <c r="Q57975" s="8"/>
    </row>
    <row r="57976" spans="17:17" x14ac:dyDescent="0.25">
      <c r="Q57976" s="8"/>
    </row>
    <row r="57977" spans="17:17" x14ac:dyDescent="0.25">
      <c r="Q57977" s="8"/>
    </row>
    <row r="57978" spans="17:17" x14ac:dyDescent="0.25">
      <c r="Q57978" s="8"/>
    </row>
    <row r="57979" spans="17:17" x14ac:dyDescent="0.25">
      <c r="Q57979" s="8"/>
    </row>
    <row r="57980" spans="17:17" x14ac:dyDescent="0.25">
      <c r="Q57980" s="8"/>
    </row>
    <row r="57981" spans="17:17" x14ac:dyDescent="0.25">
      <c r="Q57981" s="8"/>
    </row>
    <row r="57982" spans="17:17" x14ac:dyDescent="0.25">
      <c r="Q57982" s="8"/>
    </row>
    <row r="57983" spans="17:17" x14ac:dyDescent="0.25">
      <c r="Q57983" s="8"/>
    </row>
    <row r="57984" spans="17:17" x14ac:dyDescent="0.25">
      <c r="Q57984" s="8"/>
    </row>
    <row r="57985" spans="17:17" x14ac:dyDescent="0.25">
      <c r="Q57985" s="8"/>
    </row>
    <row r="57986" spans="17:17" x14ac:dyDescent="0.25">
      <c r="Q57986" s="8"/>
    </row>
    <row r="57987" spans="17:17" x14ac:dyDescent="0.25">
      <c r="Q57987" s="8"/>
    </row>
    <row r="57988" spans="17:17" x14ac:dyDescent="0.25">
      <c r="Q57988" s="8"/>
    </row>
    <row r="57989" spans="17:17" x14ac:dyDescent="0.25">
      <c r="Q57989" s="8"/>
    </row>
    <row r="57990" spans="17:17" x14ac:dyDescent="0.25">
      <c r="Q57990" s="8"/>
    </row>
    <row r="57991" spans="17:17" x14ac:dyDescent="0.25">
      <c r="Q57991" s="8"/>
    </row>
    <row r="57992" spans="17:17" x14ac:dyDescent="0.25">
      <c r="Q57992" s="8"/>
    </row>
    <row r="57993" spans="17:17" x14ac:dyDescent="0.25">
      <c r="Q57993" s="8"/>
    </row>
    <row r="57994" spans="17:17" x14ac:dyDescent="0.25">
      <c r="Q57994" s="8"/>
    </row>
    <row r="57995" spans="17:17" x14ac:dyDescent="0.25">
      <c r="Q57995" s="8"/>
    </row>
    <row r="57996" spans="17:17" x14ac:dyDescent="0.25">
      <c r="Q57996" s="8"/>
    </row>
    <row r="57997" spans="17:17" x14ac:dyDescent="0.25">
      <c r="Q57997" s="8"/>
    </row>
    <row r="57998" spans="17:17" x14ac:dyDescent="0.25">
      <c r="Q57998" s="8"/>
    </row>
    <row r="57999" spans="17:17" x14ac:dyDescent="0.25">
      <c r="Q57999" s="8"/>
    </row>
    <row r="58000" spans="17:17" x14ac:dyDescent="0.25">
      <c r="Q58000" s="8"/>
    </row>
    <row r="58001" spans="17:17" x14ac:dyDescent="0.25">
      <c r="Q58001" s="8"/>
    </row>
    <row r="58002" spans="17:17" x14ac:dyDescent="0.25">
      <c r="Q58002" s="8"/>
    </row>
    <row r="58003" spans="17:17" x14ac:dyDescent="0.25">
      <c r="Q58003" s="8"/>
    </row>
    <row r="58004" spans="17:17" x14ac:dyDescent="0.25">
      <c r="Q58004" s="8"/>
    </row>
    <row r="58005" spans="17:17" x14ac:dyDescent="0.25">
      <c r="Q58005" s="8"/>
    </row>
    <row r="58006" spans="17:17" x14ac:dyDescent="0.25">
      <c r="Q58006" s="8"/>
    </row>
    <row r="58007" spans="17:17" x14ac:dyDescent="0.25">
      <c r="Q58007" s="8"/>
    </row>
    <row r="58008" spans="17:17" x14ac:dyDescent="0.25">
      <c r="Q58008" s="8"/>
    </row>
    <row r="58009" spans="17:17" x14ac:dyDescent="0.25">
      <c r="Q58009" s="8"/>
    </row>
    <row r="58010" spans="17:17" x14ac:dyDescent="0.25">
      <c r="Q58010" s="8"/>
    </row>
    <row r="58011" spans="17:17" x14ac:dyDescent="0.25">
      <c r="Q58011" s="8"/>
    </row>
    <row r="58012" spans="17:17" x14ac:dyDescent="0.25">
      <c r="Q58012" s="8"/>
    </row>
    <row r="58013" spans="17:17" x14ac:dyDescent="0.25">
      <c r="Q58013" s="8"/>
    </row>
    <row r="58014" spans="17:17" x14ac:dyDescent="0.25">
      <c r="Q58014" s="8"/>
    </row>
    <row r="58015" spans="17:17" x14ac:dyDescent="0.25">
      <c r="Q58015" s="8"/>
    </row>
    <row r="58016" spans="17:17" x14ac:dyDescent="0.25">
      <c r="Q58016" s="8"/>
    </row>
    <row r="58017" spans="17:17" x14ac:dyDescent="0.25">
      <c r="Q58017" s="8"/>
    </row>
    <row r="58018" spans="17:17" x14ac:dyDescent="0.25">
      <c r="Q58018" s="8"/>
    </row>
    <row r="58019" spans="17:17" x14ac:dyDescent="0.25">
      <c r="Q58019" s="8"/>
    </row>
    <row r="58020" spans="17:17" x14ac:dyDescent="0.25">
      <c r="Q58020" s="8"/>
    </row>
    <row r="58021" spans="17:17" x14ac:dyDescent="0.25">
      <c r="Q58021" s="8"/>
    </row>
    <row r="58022" spans="17:17" x14ac:dyDescent="0.25">
      <c r="Q58022" s="8"/>
    </row>
    <row r="58023" spans="17:17" x14ac:dyDescent="0.25">
      <c r="Q58023" s="8"/>
    </row>
    <row r="58024" spans="17:17" x14ac:dyDescent="0.25">
      <c r="Q58024" s="8"/>
    </row>
    <row r="58025" spans="17:17" x14ac:dyDescent="0.25">
      <c r="Q58025" s="8"/>
    </row>
    <row r="58026" spans="17:17" x14ac:dyDescent="0.25">
      <c r="Q58026" s="8"/>
    </row>
    <row r="58027" spans="17:17" x14ac:dyDescent="0.25">
      <c r="Q58027" s="8"/>
    </row>
    <row r="58028" spans="17:17" x14ac:dyDescent="0.25">
      <c r="Q58028" s="8"/>
    </row>
    <row r="58029" spans="17:17" x14ac:dyDescent="0.25">
      <c r="Q58029" s="8"/>
    </row>
    <row r="58030" spans="17:17" x14ac:dyDescent="0.25">
      <c r="Q58030" s="8"/>
    </row>
    <row r="58031" spans="17:17" x14ac:dyDescent="0.25">
      <c r="Q58031" s="8"/>
    </row>
    <row r="58032" spans="17:17" x14ac:dyDescent="0.25">
      <c r="Q58032" s="8"/>
    </row>
    <row r="58033" spans="17:17" x14ac:dyDescent="0.25">
      <c r="Q58033" s="8"/>
    </row>
    <row r="58034" spans="17:17" x14ac:dyDescent="0.25">
      <c r="Q58034" s="8"/>
    </row>
    <row r="58035" spans="17:17" x14ac:dyDescent="0.25">
      <c r="Q58035" s="8"/>
    </row>
    <row r="58036" spans="17:17" x14ac:dyDescent="0.25">
      <c r="Q58036" s="8"/>
    </row>
    <row r="58037" spans="17:17" x14ac:dyDescent="0.25">
      <c r="Q58037" s="8"/>
    </row>
    <row r="58038" spans="17:17" x14ac:dyDescent="0.25">
      <c r="Q58038" s="8"/>
    </row>
    <row r="58039" spans="17:17" x14ac:dyDescent="0.25">
      <c r="Q58039" s="8"/>
    </row>
    <row r="58040" spans="17:17" x14ac:dyDescent="0.25">
      <c r="Q58040" s="8"/>
    </row>
    <row r="58041" spans="17:17" x14ac:dyDescent="0.25">
      <c r="Q58041" s="8"/>
    </row>
    <row r="58042" spans="17:17" x14ac:dyDescent="0.25">
      <c r="Q58042" s="8"/>
    </row>
    <row r="58043" spans="17:17" x14ac:dyDescent="0.25">
      <c r="Q58043" s="8"/>
    </row>
    <row r="58044" spans="17:17" x14ac:dyDescent="0.25">
      <c r="Q58044" s="8"/>
    </row>
    <row r="58045" spans="17:17" x14ac:dyDescent="0.25">
      <c r="Q58045" s="8"/>
    </row>
    <row r="58046" spans="17:17" x14ac:dyDescent="0.25">
      <c r="Q58046" s="8"/>
    </row>
    <row r="58047" spans="17:17" x14ac:dyDescent="0.25">
      <c r="Q58047" s="8"/>
    </row>
    <row r="58048" spans="17:17" x14ac:dyDescent="0.25">
      <c r="Q58048" s="8"/>
    </row>
    <row r="58049" spans="17:17" x14ac:dyDescent="0.25">
      <c r="Q58049" s="8"/>
    </row>
    <row r="58050" spans="17:17" x14ac:dyDescent="0.25">
      <c r="Q58050" s="8"/>
    </row>
    <row r="58051" spans="17:17" x14ac:dyDescent="0.25">
      <c r="Q58051" s="8"/>
    </row>
    <row r="58052" spans="17:17" x14ac:dyDescent="0.25">
      <c r="Q58052" s="8"/>
    </row>
    <row r="58053" spans="17:17" x14ac:dyDescent="0.25">
      <c r="Q58053" s="8"/>
    </row>
    <row r="58054" spans="17:17" x14ac:dyDescent="0.25">
      <c r="Q58054" s="8"/>
    </row>
    <row r="58055" spans="17:17" x14ac:dyDescent="0.25">
      <c r="Q58055" s="8"/>
    </row>
    <row r="58056" spans="17:17" x14ac:dyDescent="0.25">
      <c r="Q58056" s="8"/>
    </row>
    <row r="58057" spans="17:17" x14ac:dyDescent="0.25">
      <c r="Q58057" s="8"/>
    </row>
    <row r="58058" spans="17:17" x14ac:dyDescent="0.25">
      <c r="Q58058" s="8"/>
    </row>
    <row r="58059" spans="17:17" x14ac:dyDescent="0.25">
      <c r="Q58059" s="8"/>
    </row>
    <row r="58060" spans="17:17" x14ac:dyDescent="0.25">
      <c r="Q58060" s="8"/>
    </row>
    <row r="58061" spans="17:17" x14ac:dyDescent="0.25">
      <c r="Q58061" s="8"/>
    </row>
    <row r="58062" spans="17:17" x14ac:dyDescent="0.25">
      <c r="Q58062" s="8"/>
    </row>
    <row r="58063" spans="17:17" x14ac:dyDescent="0.25">
      <c r="Q58063" s="8"/>
    </row>
    <row r="58064" spans="17:17" x14ac:dyDescent="0.25">
      <c r="Q58064" s="8"/>
    </row>
    <row r="58065" spans="17:17" x14ac:dyDescent="0.25">
      <c r="Q58065" s="8"/>
    </row>
    <row r="58066" spans="17:17" x14ac:dyDescent="0.25">
      <c r="Q58066" s="8"/>
    </row>
    <row r="58067" spans="17:17" x14ac:dyDescent="0.25">
      <c r="Q58067" s="8"/>
    </row>
    <row r="58068" spans="17:17" x14ac:dyDescent="0.25">
      <c r="Q58068" s="8"/>
    </row>
    <row r="58069" spans="17:17" x14ac:dyDescent="0.25">
      <c r="Q58069" s="8"/>
    </row>
    <row r="58070" spans="17:17" x14ac:dyDescent="0.25">
      <c r="Q58070" s="8"/>
    </row>
    <row r="58071" spans="17:17" x14ac:dyDescent="0.25">
      <c r="Q58071" s="8"/>
    </row>
    <row r="58072" spans="17:17" x14ac:dyDescent="0.25">
      <c r="Q58072" s="8"/>
    </row>
    <row r="58073" spans="17:17" x14ac:dyDescent="0.25">
      <c r="Q58073" s="8"/>
    </row>
    <row r="58074" spans="17:17" x14ac:dyDescent="0.25">
      <c r="Q58074" s="8"/>
    </row>
    <row r="58075" spans="17:17" x14ac:dyDescent="0.25">
      <c r="Q58075" s="8"/>
    </row>
    <row r="58076" spans="17:17" x14ac:dyDescent="0.25">
      <c r="Q58076" s="8"/>
    </row>
    <row r="58077" spans="17:17" x14ac:dyDescent="0.25">
      <c r="Q58077" s="8"/>
    </row>
    <row r="58078" spans="17:17" x14ac:dyDescent="0.25">
      <c r="Q58078" s="8"/>
    </row>
    <row r="58079" spans="17:17" x14ac:dyDescent="0.25">
      <c r="Q58079" s="8"/>
    </row>
    <row r="58080" spans="17:17" x14ac:dyDescent="0.25">
      <c r="Q58080" s="8"/>
    </row>
    <row r="58081" spans="17:17" x14ac:dyDescent="0.25">
      <c r="Q58081" s="8"/>
    </row>
    <row r="58082" spans="17:17" x14ac:dyDescent="0.25">
      <c r="Q58082" s="8"/>
    </row>
    <row r="58083" spans="17:17" x14ac:dyDescent="0.25">
      <c r="Q58083" s="8"/>
    </row>
    <row r="58084" spans="17:17" x14ac:dyDescent="0.25">
      <c r="Q58084" s="8"/>
    </row>
    <row r="58085" spans="17:17" x14ac:dyDescent="0.25">
      <c r="Q58085" s="8"/>
    </row>
    <row r="58086" spans="17:17" x14ac:dyDescent="0.25">
      <c r="Q58086" s="8"/>
    </row>
    <row r="58087" spans="17:17" x14ac:dyDescent="0.25">
      <c r="Q58087" s="8"/>
    </row>
    <row r="58088" spans="17:17" x14ac:dyDescent="0.25">
      <c r="Q58088" s="8"/>
    </row>
    <row r="58089" spans="17:17" x14ac:dyDescent="0.25">
      <c r="Q58089" s="8"/>
    </row>
    <row r="58090" spans="17:17" x14ac:dyDescent="0.25">
      <c r="Q58090" s="8"/>
    </row>
    <row r="58091" spans="17:17" x14ac:dyDescent="0.25">
      <c r="Q58091" s="8"/>
    </row>
    <row r="58092" spans="17:17" x14ac:dyDescent="0.25">
      <c r="Q58092" s="8"/>
    </row>
    <row r="58093" spans="17:17" x14ac:dyDescent="0.25">
      <c r="Q58093" s="8"/>
    </row>
    <row r="58094" spans="17:17" x14ac:dyDescent="0.25">
      <c r="Q58094" s="8"/>
    </row>
    <row r="58095" spans="17:17" x14ac:dyDescent="0.25">
      <c r="Q58095" s="8"/>
    </row>
    <row r="58096" spans="17:17" x14ac:dyDescent="0.25">
      <c r="Q58096" s="8"/>
    </row>
    <row r="58097" spans="17:17" x14ac:dyDescent="0.25">
      <c r="Q58097" s="8"/>
    </row>
    <row r="58098" spans="17:17" x14ac:dyDescent="0.25">
      <c r="Q58098" s="8"/>
    </row>
    <row r="58099" spans="17:17" x14ac:dyDescent="0.25">
      <c r="Q58099" s="8"/>
    </row>
    <row r="58100" spans="17:17" x14ac:dyDescent="0.25">
      <c r="Q58100" s="8"/>
    </row>
    <row r="58101" spans="17:17" x14ac:dyDescent="0.25">
      <c r="Q58101" s="8"/>
    </row>
    <row r="58102" spans="17:17" x14ac:dyDescent="0.25">
      <c r="Q58102" s="8"/>
    </row>
    <row r="58103" spans="17:17" x14ac:dyDescent="0.25">
      <c r="Q58103" s="8"/>
    </row>
    <row r="58104" spans="17:17" x14ac:dyDescent="0.25">
      <c r="Q58104" s="8"/>
    </row>
    <row r="58105" spans="17:17" x14ac:dyDescent="0.25">
      <c r="Q58105" s="8"/>
    </row>
    <row r="58106" spans="17:17" x14ac:dyDescent="0.25">
      <c r="Q58106" s="8"/>
    </row>
    <row r="58107" spans="17:17" x14ac:dyDescent="0.25">
      <c r="Q58107" s="8"/>
    </row>
    <row r="58108" spans="17:17" x14ac:dyDescent="0.25">
      <c r="Q58108" s="8"/>
    </row>
    <row r="58109" spans="17:17" x14ac:dyDescent="0.25">
      <c r="Q58109" s="8"/>
    </row>
    <row r="58110" spans="17:17" x14ac:dyDescent="0.25">
      <c r="Q58110" s="8"/>
    </row>
    <row r="58111" spans="17:17" x14ac:dyDescent="0.25">
      <c r="Q58111" s="8"/>
    </row>
    <row r="58112" spans="17:17" x14ac:dyDescent="0.25">
      <c r="Q58112" s="8"/>
    </row>
    <row r="58113" spans="17:17" x14ac:dyDescent="0.25">
      <c r="Q58113" s="8"/>
    </row>
    <row r="58114" spans="17:17" x14ac:dyDescent="0.25">
      <c r="Q58114" s="8"/>
    </row>
    <row r="58115" spans="17:17" x14ac:dyDescent="0.25">
      <c r="Q58115" s="8"/>
    </row>
    <row r="58116" spans="17:17" x14ac:dyDescent="0.25">
      <c r="Q58116" s="8"/>
    </row>
    <row r="58117" spans="17:17" x14ac:dyDescent="0.25">
      <c r="Q58117" s="8"/>
    </row>
    <row r="58118" spans="17:17" x14ac:dyDescent="0.25">
      <c r="Q58118" s="8"/>
    </row>
    <row r="58119" spans="17:17" x14ac:dyDescent="0.25">
      <c r="Q58119" s="8"/>
    </row>
    <row r="58120" spans="17:17" x14ac:dyDescent="0.25">
      <c r="Q58120" s="8"/>
    </row>
    <row r="58121" spans="17:17" x14ac:dyDescent="0.25">
      <c r="Q58121" s="8"/>
    </row>
    <row r="58122" spans="17:17" x14ac:dyDescent="0.25">
      <c r="Q58122" s="8"/>
    </row>
    <row r="58123" spans="17:17" x14ac:dyDescent="0.25">
      <c r="Q58123" s="8"/>
    </row>
    <row r="58124" spans="17:17" x14ac:dyDescent="0.25">
      <c r="Q58124" s="8"/>
    </row>
    <row r="58125" spans="17:17" x14ac:dyDescent="0.25">
      <c r="Q58125" s="8"/>
    </row>
    <row r="58126" spans="17:17" x14ac:dyDescent="0.25">
      <c r="Q58126" s="8"/>
    </row>
    <row r="58127" spans="17:17" x14ac:dyDescent="0.25">
      <c r="Q58127" s="8"/>
    </row>
    <row r="58128" spans="17:17" x14ac:dyDescent="0.25">
      <c r="Q58128" s="8"/>
    </row>
    <row r="58129" spans="17:17" x14ac:dyDescent="0.25">
      <c r="Q58129" s="8"/>
    </row>
    <row r="58130" spans="17:17" x14ac:dyDescent="0.25">
      <c r="Q58130" s="8"/>
    </row>
    <row r="58131" spans="17:17" x14ac:dyDescent="0.25">
      <c r="Q58131" s="8"/>
    </row>
    <row r="58132" spans="17:17" x14ac:dyDescent="0.25">
      <c r="Q58132" s="8"/>
    </row>
    <row r="58133" spans="17:17" x14ac:dyDescent="0.25">
      <c r="Q58133" s="8"/>
    </row>
    <row r="58134" spans="17:17" x14ac:dyDescent="0.25">
      <c r="Q58134" s="8"/>
    </row>
    <row r="58135" spans="17:17" x14ac:dyDescent="0.25">
      <c r="Q58135" s="8"/>
    </row>
    <row r="58136" spans="17:17" x14ac:dyDescent="0.25">
      <c r="Q58136" s="8"/>
    </row>
    <row r="58137" spans="17:17" x14ac:dyDescent="0.25">
      <c r="Q58137" s="8"/>
    </row>
    <row r="58138" spans="17:17" x14ac:dyDescent="0.25">
      <c r="Q58138" s="8"/>
    </row>
    <row r="58139" spans="17:17" x14ac:dyDescent="0.25">
      <c r="Q58139" s="8"/>
    </row>
    <row r="58140" spans="17:17" x14ac:dyDescent="0.25">
      <c r="Q58140" s="8"/>
    </row>
    <row r="58141" spans="17:17" x14ac:dyDescent="0.25">
      <c r="Q58141" s="8"/>
    </row>
    <row r="58142" spans="17:17" x14ac:dyDescent="0.25">
      <c r="Q58142" s="8"/>
    </row>
    <row r="58143" spans="17:17" x14ac:dyDescent="0.25">
      <c r="Q58143" s="8"/>
    </row>
    <row r="58144" spans="17:17" x14ac:dyDescent="0.25">
      <c r="Q58144" s="8"/>
    </row>
    <row r="58145" spans="17:17" x14ac:dyDescent="0.25">
      <c r="Q58145" s="8"/>
    </row>
    <row r="58146" spans="17:17" x14ac:dyDescent="0.25">
      <c r="Q58146" s="8"/>
    </row>
    <row r="58147" spans="17:17" x14ac:dyDescent="0.25">
      <c r="Q58147" s="8"/>
    </row>
    <row r="58148" spans="17:17" x14ac:dyDescent="0.25">
      <c r="Q58148" s="8"/>
    </row>
    <row r="58149" spans="17:17" x14ac:dyDescent="0.25">
      <c r="Q58149" s="8"/>
    </row>
    <row r="58150" spans="17:17" x14ac:dyDescent="0.25">
      <c r="Q58150" s="8"/>
    </row>
    <row r="58151" spans="17:17" x14ac:dyDescent="0.25">
      <c r="Q58151" s="8"/>
    </row>
    <row r="58152" spans="17:17" x14ac:dyDescent="0.25">
      <c r="Q58152" s="8"/>
    </row>
    <row r="58153" spans="17:17" x14ac:dyDescent="0.25">
      <c r="Q58153" s="8"/>
    </row>
    <row r="58154" spans="17:17" x14ac:dyDescent="0.25">
      <c r="Q58154" s="8"/>
    </row>
    <row r="58155" spans="17:17" x14ac:dyDescent="0.25">
      <c r="Q58155" s="8"/>
    </row>
    <row r="58156" spans="17:17" x14ac:dyDescent="0.25">
      <c r="Q58156" s="8"/>
    </row>
    <row r="58157" spans="17:17" x14ac:dyDescent="0.25">
      <c r="Q58157" s="8"/>
    </row>
    <row r="58158" spans="17:17" x14ac:dyDescent="0.25">
      <c r="Q58158" s="8"/>
    </row>
    <row r="58159" spans="17:17" x14ac:dyDescent="0.25">
      <c r="Q58159" s="8"/>
    </row>
    <row r="58160" spans="17:17" x14ac:dyDescent="0.25">
      <c r="Q58160" s="8"/>
    </row>
    <row r="58161" spans="17:17" x14ac:dyDescent="0.25">
      <c r="Q58161" s="8"/>
    </row>
    <row r="58162" spans="17:17" x14ac:dyDescent="0.25">
      <c r="Q58162" s="8"/>
    </row>
    <row r="58163" spans="17:17" x14ac:dyDescent="0.25">
      <c r="Q58163" s="8"/>
    </row>
    <row r="58164" spans="17:17" x14ac:dyDescent="0.25">
      <c r="Q58164" s="8"/>
    </row>
    <row r="58165" spans="17:17" x14ac:dyDescent="0.25">
      <c r="Q58165" s="8"/>
    </row>
    <row r="58166" spans="17:17" x14ac:dyDescent="0.25">
      <c r="Q58166" s="8"/>
    </row>
    <row r="58167" spans="17:17" x14ac:dyDescent="0.25">
      <c r="Q58167" s="8"/>
    </row>
    <row r="58168" spans="17:17" x14ac:dyDescent="0.25">
      <c r="Q58168" s="8"/>
    </row>
    <row r="58169" spans="17:17" x14ac:dyDescent="0.25">
      <c r="Q58169" s="8"/>
    </row>
    <row r="58170" spans="17:17" x14ac:dyDescent="0.25">
      <c r="Q58170" s="8"/>
    </row>
    <row r="58171" spans="17:17" x14ac:dyDescent="0.25">
      <c r="Q58171" s="8"/>
    </row>
    <row r="58172" spans="17:17" x14ac:dyDescent="0.25">
      <c r="Q58172" s="8"/>
    </row>
    <row r="58173" spans="17:17" x14ac:dyDescent="0.25">
      <c r="Q58173" s="8"/>
    </row>
    <row r="58174" spans="17:17" x14ac:dyDescent="0.25">
      <c r="Q58174" s="8"/>
    </row>
    <row r="58175" spans="17:17" x14ac:dyDescent="0.25">
      <c r="Q58175" s="8"/>
    </row>
    <row r="58176" spans="17:17" x14ac:dyDescent="0.25">
      <c r="Q58176" s="8"/>
    </row>
    <row r="58177" spans="17:17" x14ac:dyDescent="0.25">
      <c r="Q58177" s="8"/>
    </row>
    <row r="58178" spans="17:17" x14ac:dyDescent="0.25">
      <c r="Q58178" s="8"/>
    </row>
    <row r="58179" spans="17:17" x14ac:dyDescent="0.25">
      <c r="Q58179" s="8"/>
    </row>
    <row r="58180" spans="17:17" x14ac:dyDescent="0.25">
      <c r="Q58180" s="8"/>
    </row>
    <row r="58181" spans="17:17" x14ac:dyDescent="0.25">
      <c r="Q58181" s="8"/>
    </row>
    <row r="58182" spans="17:17" x14ac:dyDescent="0.25">
      <c r="Q58182" s="8"/>
    </row>
    <row r="58183" spans="17:17" x14ac:dyDescent="0.25">
      <c r="Q58183" s="8"/>
    </row>
    <row r="58184" spans="17:17" x14ac:dyDescent="0.25">
      <c r="Q58184" s="8"/>
    </row>
    <row r="58185" spans="17:17" x14ac:dyDescent="0.25">
      <c r="Q58185" s="8"/>
    </row>
    <row r="58186" spans="17:17" x14ac:dyDescent="0.25">
      <c r="Q58186" s="8"/>
    </row>
    <row r="58187" spans="17:17" x14ac:dyDescent="0.25">
      <c r="Q58187" s="8"/>
    </row>
    <row r="58188" spans="17:17" x14ac:dyDescent="0.25">
      <c r="Q58188" s="8"/>
    </row>
    <row r="58189" spans="17:17" x14ac:dyDescent="0.25">
      <c r="Q58189" s="8"/>
    </row>
    <row r="58190" spans="17:17" x14ac:dyDescent="0.25">
      <c r="Q58190" s="8"/>
    </row>
    <row r="58191" spans="17:17" x14ac:dyDescent="0.25">
      <c r="Q58191" s="8"/>
    </row>
    <row r="58192" spans="17:17" x14ac:dyDescent="0.25">
      <c r="Q58192" s="8"/>
    </row>
    <row r="58193" spans="17:17" x14ac:dyDescent="0.25">
      <c r="Q58193" s="8"/>
    </row>
    <row r="58194" spans="17:17" x14ac:dyDescent="0.25">
      <c r="Q58194" s="8"/>
    </row>
    <row r="58195" spans="17:17" x14ac:dyDescent="0.25">
      <c r="Q58195" s="8"/>
    </row>
    <row r="58196" spans="17:17" x14ac:dyDescent="0.25">
      <c r="Q58196" s="8"/>
    </row>
    <row r="58197" spans="17:17" x14ac:dyDescent="0.25">
      <c r="Q58197" s="8"/>
    </row>
    <row r="58198" spans="17:17" x14ac:dyDescent="0.25">
      <c r="Q58198" s="8"/>
    </row>
    <row r="58199" spans="17:17" x14ac:dyDescent="0.25">
      <c r="Q58199" s="8"/>
    </row>
    <row r="58200" spans="17:17" x14ac:dyDescent="0.25">
      <c r="Q58200" s="8"/>
    </row>
    <row r="58201" spans="17:17" x14ac:dyDescent="0.25">
      <c r="Q58201" s="8"/>
    </row>
    <row r="58202" spans="17:17" x14ac:dyDescent="0.25">
      <c r="Q58202" s="8"/>
    </row>
    <row r="58203" spans="17:17" x14ac:dyDescent="0.25">
      <c r="Q58203" s="8"/>
    </row>
    <row r="58204" spans="17:17" x14ac:dyDescent="0.25">
      <c r="Q58204" s="8"/>
    </row>
    <row r="58205" spans="17:17" x14ac:dyDescent="0.25">
      <c r="Q58205" s="8"/>
    </row>
    <row r="58206" spans="17:17" x14ac:dyDescent="0.25">
      <c r="Q58206" s="8"/>
    </row>
    <row r="58207" spans="17:17" x14ac:dyDescent="0.25">
      <c r="Q58207" s="8"/>
    </row>
    <row r="58208" spans="17:17" x14ac:dyDescent="0.25">
      <c r="Q58208" s="8"/>
    </row>
    <row r="58209" spans="17:17" x14ac:dyDescent="0.25">
      <c r="Q58209" s="8"/>
    </row>
    <row r="58210" spans="17:17" x14ac:dyDescent="0.25">
      <c r="Q58210" s="8"/>
    </row>
    <row r="58211" spans="17:17" x14ac:dyDescent="0.25">
      <c r="Q58211" s="8"/>
    </row>
    <row r="58212" spans="17:17" x14ac:dyDescent="0.25">
      <c r="Q58212" s="8"/>
    </row>
    <row r="58213" spans="17:17" x14ac:dyDescent="0.25">
      <c r="Q58213" s="8"/>
    </row>
    <row r="58214" spans="17:17" x14ac:dyDescent="0.25">
      <c r="Q58214" s="8"/>
    </row>
    <row r="58215" spans="17:17" x14ac:dyDescent="0.25">
      <c r="Q58215" s="8"/>
    </row>
    <row r="58216" spans="17:17" x14ac:dyDescent="0.25">
      <c r="Q58216" s="8"/>
    </row>
    <row r="58217" spans="17:17" x14ac:dyDescent="0.25">
      <c r="Q58217" s="8"/>
    </row>
    <row r="58218" spans="17:17" x14ac:dyDescent="0.25">
      <c r="Q58218" s="8"/>
    </row>
    <row r="58219" spans="17:17" x14ac:dyDescent="0.25">
      <c r="Q58219" s="8"/>
    </row>
    <row r="58220" spans="17:17" x14ac:dyDescent="0.25">
      <c r="Q58220" s="8"/>
    </row>
    <row r="58221" spans="17:17" x14ac:dyDescent="0.25">
      <c r="Q58221" s="8"/>
    </row>
    <row r="58222" spans="17:17" x14ac:dyDescent="0.25">
      <c r="Q58222" s="8"/>
    </row>
    <row r="58223" spans="17:17" x14ac:dyDescent="0.25">
      <c r="Q58223" s="8"/>
    </row>
    <row r="58224" spans="17:17" x14ac:dyDescent="0.25">
      <c r="Q58224" s="8"/>
    </row>
    <row r="58225" spans="17:17" x14ac:dyDescent="0.25">
      <c r="Q58225" s="8"/>
    </row>
    <row r="58226" spans="17:17" x14ac:dyDescent="0.25">
      <c r="Q58226" s="8"/>
    </row>
    <row r="58227" spans="17:17" x14ac:dyDescent="0.25">
      <c r="Q58227" s="8"/>
    </row>
    <row r="58228" spans="17:17" x14ac:dyDescent="0.25">
      <c r="Q58228" s="8"/>
    </row>
    <row r="58229" spans="17:17" x14ac:dyDescent="0.25">
      <c r="Q58229" s="8"/>
    </row>
    <row r="58230" spans="17:17" x14ac:dyDescent="0.25">
      <c r="Q58230" s="8"/>
    </row>
    <row r="58231" spans="17:17" x14ac:dyDescent="0.25">
      <c r="Q58231" s="8"/>
    </row>
    <row r="58232" spans="17:17" x14ac:dyDescent="0.25">
      <c r="Q58232" s="8"/>
    </row>
    <row r="58233" spans="17:17" x14ac:dyDescent="0.25">
      <c r="Q58233" s="8"/>
    </row>
    <row r="58234" spans="17:17" x14ac:dyDescent="0.25">
      <c r="Q58234" s="8"/>
    </row>
    <row r="58235" spans="17:17" x14ac:dyDescent="0.25">
      <c r="Q58235" s="8"/>
    </row>
    <row r="58236" spans="17:17" x14ac:dyDescent="0.25">
      <c r="Q58236" s="8"/>
    </row>
    <row r="58237" spans="17:17" x14ac:dyDescent="0.25">
      <c r="Q58237" s="8"/>
    </row>
    <row r="58238" spans="17:17" x14ac:dyDescent="0.25">
      <c r="Q58238" s="8"/>
    </row>
    <row r="58239" spans="17:17" x14ac:dyDescent="0.25">
      <c r="Q58239" s="8"/>
    </row>
    <row r="58240" spans="17:17" x14ac:dyDescent="0.25">
      <c r="Q58240" s="8"/>
    </row>
    <row r="58241" spans="17:17" x14ac:dyDescent="0.25">
      <c r="Q58241" s="8"/>
    </row>
    <row r="58242" spans="17:17" x14ac:dyDescent="0.25">
      <c r="Q58242" s="8"/>
    </row>
    <row r="58243" spans="17:17" x14ac:dyDescent="0.25">
      <c r="Q58243" s="8"/>
    </row>
    <row r="58244" spans="17:17" x14ac:dyDescent="0.25">
      <c r="Q58244" s="8"/>
    </row>
    <row r="58245" spans="17:17" x14ac:dyDescent="0.25">
      <c r="Q58245" s="8"/>
    </row>
    <row r="58246" spans="17:17" x14ac:dyDescent="0.25">
      <c r="Q58246" s="8"/>
    </row>
    <row r="58247" spans="17:17" x14ac:dyDescent="0.25">
      <c r="Q58247" s="8"/>
    </row>
    <row r="58248" spans="17:17" x14ac:dyDescent="0.25">
      <c r="Q58248" s="8"/>
    </row>
    <row r="58249" spans="17:17" x14ac:dyDescent="0.25">
      <c r="Q58249" s="8"/>
    </row>
    <row r="58250" spans="17:17" x14ac:dyDescent="0.25">
      <c r="Q58250" s="8"/>
    </row>
    <row r="58251" spans="17:17" x14ac:dyDescent="0.25">
      <c r="Q58251" s="8"/>
    </row>
    <row r="58252" spans="17:17" x14ac:dyDescent="0.25">
      <c r="Q58252" s="8"/>
    </row>
    <row r="58253" spans="17:17" x14ac:dyDescent="0.25">
      <c r="Q58253" s="8"/>
    </row>
    <row r="58254" spans="17:17" x14ac:dyDescent="0.25">
      <c r="Q58254" s="8"/>
    </row>
    <row r="58255" spans="17:17" x14ac:dyDescent="0.25">
      <c r="Q58255" s="8"/>
    </row>
    <row r="58256" spans="17:17" x14ac:dyDescent="0.25">
      <c r="Q58256" s="8"/>
    </row>
    <row r="58257" spans="17:17" x14ac:dyDescent="0.25">
      <c r="Q58257" s="8"/>
    </row>
    <row r="58258" spans="17:17" x14ac:dyDescent="0.25">
      <c r="Q58258" s="8"/>
    </row>
    <row r="58259" spans="17:17" x14ac:dyDescent="0.25">
      <c r="Q58259" s="8"/>
    </row>
    <row r="58260" spans="17:17" x14ac:dyDescent="0.25">
      <c r="Q58260" s="8"/>
    </row>
    <row r="58261" spans="17:17" x14ac:dyDescent="0.25">
      <c r="Q58261" s="8"/>
    </row>
    <row r="58262" spans="17:17" x14ac:dyDescent="0.25">
      <c r="Q58262" s="8"/>
    </row>
    <row r="58263" spans="17:17" x14ac:dyDescent="0.25">
      <c r="Q58263" s="8"/>
    </row>
    <row r="58264" spans="17:17" x14ac:dyDescent="0.25">
      <c r="Q58264" s="8"/>
    </row>
    <row r="58265" spans="17:17" x14ac:dyDescent="0.25">
      <c r="Q58265" s="8"/>
    </row>
    <row r="58266" spans="17:17" x14ac:dyDescent="0.25">
      <c r="Q58266" s="8"/>
    </row>
    <row r="58267" spans="17:17" x14ac:dyDescent="0.25">
      <c r="Q58267" s="8"/>
    </row>
    <row r="58268" spans="17:17" x14ac:dyDescent="0.25">
      <c r="Q58268" s="8"/>
    </row>
    <row r="58269" spans="17:17" x14ac:dyDescent="0.25">
      <c r="Q58269" s="8"/>
    </row>
    <row r="58270" spans="17:17" x14ac:dyDescent="0.25">
      <c r="Q58270" s="8"/>
    </row>
    <row r="58271" spans="17:17" x14ac:dyDescent="0.25">
      <c r="Q58271" s="8"/>
    </row>
    <row r="58272" spans="17:17" x14ac:dyDescent="0.25">
      <c r="Q58272" s="8"/>
    </row>
    <row r="58273" spans="17:17" x14ac:dyDescent="0.25">
      <c r="Q58273" s="8"/>
    </row>
    <row r="58274" spans="17:17" x14ac:dyDescent="0.25">
      <c r="Q58274" s="8"/>
    </row>
    <row r="58275" spans="17:17" x14ac:dyDescent="0.25">
      <c r="Q58275" s="8"/>
    </row>
    <row r="58276" spans="17:17" x14ac:dyDescent="0.25">
      <c r="Q58276" s="8"/>
    </row>
    <row r="58277" spans="17:17" x14ac:dyDescent="0.25">
      <c r="Q58277" s="8"/>
    </row>
    <row r="58278" spans="17:17" x14ac:dyDescent="0.25">
      <c r="Q58278" s="8"/>
    </row>
    <row r="58279" spans="17:17" x14ac:dyDescent="0.25">
      <c r="Q58279" s="8"/>
    </row>
    <row r="58280" spans="17:17" x14ac:dyDescent="0.25">
      <c r="Q58280" s="8"/>
    </row>
    <row r="58281" spans="17:17" x14ac:dyDescent="0.25">
      <c r="Q58281" s="8"/>
    </row>
    <row r="58282" spans="17:17" x14ac:dyDescent="0.25">
      <c r="Q58282" s="8"/>
    </row>
    <row r="58283" spans="17:17" x14ac:dyDescent="0.25">
      <c r="Q58283" s="8"/>
    </row>
    <row r="58284" spans="17:17" x14ac:dyDescent="0.25">
      <c r="Q58284" s="8"/>
    </row>
    <row r="58285" spans="17:17" x14ac:dyDescent="0.25">
      <c r="Q58285" s="8"/>
    </row>
    <row r="58286" spans="17:17" x14ac:dyDescent="0.25">
      <c r="Q58286" s="8"/>
    </row>
    <row r="58287" spans="17:17" x14ac:dyDescent="0.25">
      <c r="Q58287" s="8"/>
    </row>
    <row r="58288" spans="17:17" x14ac:dyDescent="0.25">
      <c r="Q58288" s="8"/>
    </row>
    <row r="58289" spans="17:17" x14ac:dyDescent="0.25">
      <c r="Q58289" s="8"/>
    </row>
    <row r="58290" spans="17:17" x14ac:dyDescent="0.25">
      <c r="Q58290" s="8"/>
    </row>
    <row r="58291" spans="17:17" x14ac:dyDescent="0.25">
      <c r="Q58291" s="8"/>
    </row>
    <row r="58292" spans="17:17" x14ac:dyDescent="0.25">
      <c r="Q58292" s="8"/>
    </row>
    <row r="58293" spans="17:17" x14ac:dyDescent="0.25">
      <c r="Q58293" s="8"/>
    </row>
    <row r="58294" spans="17:17" x14ac:dyDescent="0.25">
      <c r="Q58294" s="8"/>
    </row>
    <row r="58295" spans="17:17" x14ac:dyDescent="0.25">
      <c r="Q58295" s="8"/>
    </row>
    <row r="58296" spans="17:17" x14ac:dyDescent="0.25">
      <c r="Q58296" s="8"/>
    </row>
    <row r="58297" spans="17:17" x14ac:dyDescent="0.25">
      <c r="Q58297" s="8"/>
    </row>
    <row r="58298" spans="17:17" x14ac:dyDescent="0.25">
      <c r="Q58298" s="8"/>
    </row>
    <row r="58299" spans="17:17" x14ac:dyDescent="0.25">
      <c r="Q58299" s="8"/>
    </row>
    <row r="58300" spans="17:17" x14ac:dyDescent="0.25">
      <c r="Q58300" s="8"/>
    </row>
    <row r="58301" spans="17:17" x14ac:dyDescent="0.25">
      <c r="Q58301" s="8"/>
    </row>
    <row r="58302" spans="17:17" x14ac:dyDescent="0.25">
      <c r="Q58302" s="8"/>
    </row>
    <row r="58303" spans="17:17" x14ac:dyDescent="0.25">
      <c r="Q58303" s="8"/>
    </row>
    <row r="58304" spans="17:17" x14ac:dyDescent="0.25">
      <c r="Q58304" s="8"/>
    </row>
    <row r="58305" spans="17:17" x14ac:dyDescent="0.25">
      <c r="Q58305" s="8"/>
    </row>
    <row r="58306" spans="17:17" x14ac:dyDescent="0.25">
      <c r="Q58306" s="8"/>
    </row>
    <row r="58307" spans="17:17" x14ac:dyDescent="0.25">
      <c r="Q58307" s="8"/>
    </row>
    <row r="58308" spans="17:17" x14ac:dyDescent="0.25">
      <c r="Q58308" s="8"/>
    </row>
    <row r="58309" spans="17:17" x14ac:dyDescent="0.25">
      <c r="Q58309" s="8"/>
    </row>
    <row r="58310" spans="17:17" x14ac:dyDescent="0.25">
      <c r="Q58310" s="8"/>
    </row>
    <row r="58311" spans="17:17" x14ac:dyDescent="0.25">
      <c r="Q58311" s="8"/>
    </row>
    <row r="58312" spans="17:17" x14ac:dyDescent="0.25">
      <c r="Q58312" s="8"/>
    </row>
    <row r="58313" spans="17:17" x14ac:dyDescent="0.25">
      <c r="Q58313" s="8"/>
    </row>
    <row r="58314" spans="17:17" x14ac:dyDescent="0.25">
      <c r="Q58314" s="8"/>
    </row>
    <row r="58315" spans="17:17" x14ac:dyDescent="0.25">
      <c r="Q58315" s="8"/>
    </row>
    <row r="58316" spans="17:17" x14ac:dyDescent="0.25">
      <c r="Q58316" s="8"/>
    </row>
    <row r="58317" spans="17:17" x14ac:dyDescent="0.25">
      <c r="Q58317" s="8"/>
    </row>
    <row r="58318" spans="17:17" x14ac:dyDescent="0.25">
      <c r="Q58318" s="8"/>
    </row>
    <row r="58319" spans="17:17" x14ac:dyDescent="0.25">
      <c r="Q58319" s="8"/>
    </row>
    <row r="58320" spans="17:17" x14ac:dyDescent="0.25">
      <c r="Q58320" s="8"/>
    </row>
    <row r="58321" spans="17:17" x14ac:dyDescent="0.25">
      <c r="Q58321" s="8"/>
    </row>
    <row r="58322" spans="17:17" x14ac:dyDescent="0.25">
      <c r="Q58322" s="8"/>
    </row>
    <row r="58323" spans="17:17" x14ac:dyDescent="0.25">
      <c r="Q58323" s="8"/>
    </row>
    <row r="58324" spans="17:17" x14ac:dyDescent="0.25">
      <c r="Q58324" s="8"/>
    </row>
    <row r="58325" spans="17:17" x14ac:dyDescent="0.25">
      <c r="Q58325" s="8"/>
    </row>
    <row r="58326" spans="17:17" x14ac:dyDescent="0.25">
      <c r="Q58326" s="8"/>
    </row>
    <row r="58327" spans="17:17" x14ac:dyDescent="0.25">
      <c r="Q58327" s="8"/>
    </row>
    <row r="58328" spans="17:17" x14ac:dyDescent="0.25">
      <c r="Q58328" s="8"/>
    </row>
    <row r="58329" spans="17:17" x14ac:dyDescent="0.25">
      <c r="Q58329" s="8"/>
    </row>
    <row r="58330" spans="17:17" x14ac:dyDescent="0.25">
      <c r="Q58330" s="8"/>
    </row>
    <row r="58331" spans="17:17" x14ac:dyDescent="0.25">
      <c r="Q58331" s="8"/>
    </row>
    <row r="58332" spans="17:17" x14ac:dyDescent="0.25">
      <c r="Q58332" s="8"/>
    </row>
    <row r="58333" spans="17:17" x14ac:dyDescent="0.25">
      <c r="Q58333" s="8"/>
    </row>
    <row r="58334" spans="17:17" x14ac:dyDescent="0.25">
      <c r="Q58334" s="8"/>
    </row>
    <row r="58335" spans="17:17" x14ac:dyDescent="0.25">
      <c r="Q58335" s="8"/>
    </row>
    <row r="58336" spans="17:17" x14ac:dyDescent="0.25">
      <c r="Q58336" s="8"/>
    </row>
    <row r="58337" spans="17:17" x14ac:dyDescent="0.25">
      <c r="Q58337" s="8"/>
    </row>
    <row r="58338" spans="17:17" x14ac:dyDescent="0.25">
      <c r="Q58338" s="8"/>
    </row>
    <row r="58339" spans="17:17" x14ac:dyDescent="0.25">
      <c r="Q58339" s="8"/>
    </row>
    <row r="58340" spans="17:17" x14ac:dyDescent="0.25">
      <c r="Q58340" s="8"/>
    </row>
    <row r="58341" spans="17:17" x14ac:dyDescent="0.25">
      <c r="Q58341" s="8"/>
    </row>
    <row r="58342" spans="17:17" x14ac:dyDescent="0.25">
      <c r="Q58342" s="8"/>
    </row>
    <row r="58343" spans="17:17" x14ac:dyDescent="0.25">
      <c r="Q58343" s="8"/>
    </row>
    <row r="58344" spans="17:17" x14ac:dyDescent="0.25">
      <c r="Q58344" s="8"/>
    </row>
    <row r="58345" spans="17:17" x14ac:dyDescent="0.25">
      <c r="Q58345" s="8"/>
    </row>
    <row r="58346" spans="17:17" x14ac:dyDescent="0.25">
      <c r="Q58346" s="8"/>
    </row>
    <row r="58347" spans="17:17" x14ac:dyDescent="0.25">
      <c r="Q58347" s="8"/>
    </row>
    <row r="58348" spans="17:17" x14ac:dyDescent="0.25">
      <c r="Q58348" s="8"/>
    </row>
    <row r="58349" spans="17:17" x14ac:dyDescent="0.25">
      <c r="Q58349" s="8"/>
    </row>
    <row r="58350" spans="17:17" x14ac:dyDescent="0.25">
      <c r="Q58350" s="8"/>
    </row>
    <row r="58351" spans="17:17" x14ac:dyDescent="0.25">
      <c r="Q58351" s="8"/>
    </row>
    <row r="58352" spans="17:17" x14ac:dyDescent="0.25">
      <c r="Q58352" s="8"/>
    </row>
    <row r="58353" spans="17:17" x14ac:dyDescent="0.25">
      <c r="Q58353" s="8"/>
    </row>
    <row r="58354" spans="17:17" x14ac:dyDescent="0.25">
      <c r="Q58354" s="8"/>
    </row>
    <row r="58355" spans="17:17" x14ac:dyDescent="0.25">
      <c r="Q58355" s="8"/>
    </row>
    <row r="58356" spans="17:17" x14ac:dyDescent="0.25">
      <c r="Q58356" s="8"/>
    </row>
    <row r="58357" spans="17:17" x14ac:dyDescent="0.25">
      <c r="Q58357" s="8"/>
    </row>
    <row r="58358" spans="17:17" x14ac:dyDescent="0.25">
      <c r="Q58358" s="8"/>
    </row>
    <row r="58359" spans="17:17" x14ac:dyDescent="0.25">
      <c r="Q58359" s="8"/>
    </row>
    <row r="58360" spans="17:17" x14ac:dyDescent="0.25">
      <c r="Q58360" s="8"/>
    </row>
    <row r="58361" spans="17:17" x14ac:dyDescent="0.25">
      <c r="Q58361" s="8"/>
    </row>
    <row r="58362" spans="17:17" x14ac:dyDescent="0.25">
      <c r="Q58362" s="8"/>
    </row>
    <row r="58363" spans="17:17" x14ac:dyDescent="0.25">
      <c r="Q58363" s="8"/>
    </row>
    <row r="58364" spans="17:17" x14ac:dyDescent="0.25">
      <c r="Q58364" s="8"/>
    </row>
    <row r="58365" spans="17:17" x14ac:dyDescent="0.25">
      <c r="Q58365" s="8"/>
    </row>
    <row r="58366" spans="17:17" x14ac:dyDescent="0.25">
      <c r="Q58366" s="8"/>
    </row>
    <row r="58367" spans="17:17" x14ac:dyDescent="0.25">
      <c r="Q58367" s="8"/>
    </row>
    <row r="58368" spans="17:17" x14ac:dyDescent="0.25">
      <c r="Q58368" s="8"/>
    </row>
    <row r="58369" spans="17:17" x14ac:dyDescent="0.25">
      <c r="Q58369" s="8"/>
    </row>
    <row r="58370" spans="17:17" x14ac:dyDescent="0.25">
      <c r="Q58370" s="8"/>
    </row>
    <row r="58371" spans="17:17" x14ac:dyDescent="0.25">
      <c r="Q58371" s="8"/>
    </row>
    <row r="58372" spans="17:17" x14ac:dyDescent="0.25">
      <c r="Q58372" s="8"/>
    </row>
    <row r="58373" spans="17:17" x14ac:dyDescent="0.25">
      <c r="Q58373" s="8"/>
    </row>
    <row r="58374" spans="17:17" x14ac:dyDescent="0.25">
      <c r="Q58374" s="8"/>
    </row>
    <row r="58375" spans="17:17" x14ac:dyDescent="0.25">
      <c r="Q58375" s="8"/>
    </row>
    <row r="58376" spans="17:17" x14ac:dyDescent="0.25">
      <c r="Q58376" s="8"/>
    </row>
    <row r="58377" spans="17:17" x14ac:dyDescent="0.25">
      <c r="Q58377" s="8"/>
    </row>
    <row r="58378" spans="17:17" x14ac:dyDescent="0.25">
      <c r="Q58378" s="8"/>
    </row>
    <row r="58379" spans="17:17" x14ac:dyDescent="0.25">
      <c r="Q58379" s="8"/>
    </row>
    <row r="58380" spans="17:17" x14ac:dyDescent="0.25">
      <c r="Q58380" s="8"/>
    </row>
    <row r="58381" spans="17:17" x14ac:dyDescent="0.25">
      <c r="Q58381" s="8"/>
    </row>
    <row r="58382" spans="17:17" x14ac:dyDescent="0.25">
      <c r="Q58382" s="8"/>
    </row>
    <row r="58383" spans="17:17" x14ac:dyDescent="0.25">
      <c r="Q58383" s="8"/>
    </row>
    <row r="58384" spans="17:17" x14ac:dyDescent="0.25">
      <c r="Q58384" s="8"/>
    </row>
    <row r="58385" spans="17:17" x14ac:dyDescent="0.25">
      <c r="Q58385" s="8"/>
    </row>
    <row r="58386" spans="17:17" x14ac:dyDescent="0.25">
      <c r="Q58386" s="8"/>
    </row>
    <row r="58387" spans="17:17" x14ac:dyDescent="0.25">
      <c r="Q58387" s="8"/>
    </row>
    <row r="58388" spans="17:17" x14ac:dyDescent="0.25">
      <c r="Q58388" s="8"/>
    </row>
    <row r="58389" spans="17:17" x14ac:dyDescent="0.25">
      <c r="Q58389" s="8"/>
    </row>
    <row r="58390" spans="17:17" x14ac:dyDescent="0.25">
      <c r="Q58390" s="8"/>
    </row>
    <row r="58391" spans="17:17" x14ac:dyDescent="0.25">
      <c r="Q58391" s="8"/>
    </row>
    <row r="58392" spans="17:17" x14ac:dyDescent="0.25">
      <c r="Q58392" s="8"/>
    </row>
    <row r="58393" spans="17:17" x14ac:dyDescent="0.25">
      <c r="Q58393" s="8"/>
    </row>
    <row r="58394" spans="17:17" x14ac:dyDescent="0.25">
      <c r="Q58394" s="8"/>
    </row>
    <row r="58395" spans="17:17" x14ac:dyDescent="0.25">
      <c r="Q58395" s="8"/>
    </row>
    <row r="58396" spans="17:17" x14ac:dyDescent="0.25">
      <c r="Q58396" s="8"/>
    </row>
    <row r="58397" spans="17:17" x14ac:dyDescent="0.25">
      <c r="Q58397" s="8"/>
    </row>
    <row r="58398" spans="17:17" x14ac:dyDescent="0.25">
      <c r="Q58398" s="8"/>
    </row>
    <row r="58399" spans="17:17" x14ac:dyDescent="0.25">
      <c r="Q58399" s="8"/>
    </row>
    <row r="58400" spans="17:17" x14ac:dyDescent="0.25">
      <c r="Q58400" s="8"/>
    </row>
    <row r="58401" spans="17:17" x14ac:dyDescent="0.25">
      <c r="Q58401" s="8"/>
    </row>
    <row r="58402" spans="17:17" x14ac:dyDescent="0.25">
      <c r="Q58402" s="8"/>
    </row>
    <row r="58403" spans="17:17" x14ac:dyDescent="0.25">
      <c r="Q58403" s="8"/>
    </row>
    <row r="58404" spans="17:17" x14ac:dyDescent="0.25">
      <c r="Q58404" s="8"/>
    </row>
    <row r="58405" spans="17:17" x14ac:dyDescent="0.25">
      <c r="Q58405" s="8"/>
    </row>
    <row r="58406" spans="17:17" x14ac:dyDescent="0.25">
      <c r="Q58406" s="8"/>
    </row>
    <row r="58407" spans="17:17" x14ac:dyDescent="0.25">
      <c r="Q58407" s="8"/>
    </row>
    <row r="58408" spans="17:17" x14ac:dyDescent="0.25">
      <c r="Q58408" s="8"/>
    </row>
    <row r="58409" spans="17:17" x14ac:dyDescent="0.25">
      <c r="Q58409" s="8"/>
    </row>
    <row r="58410" spans="17:17" x14ac:dyDescent="0.25">
      <c r="Q58410" s="8"/>
    </row>
    <row r="58411" spans="17:17" x14ac:dyDescent="0.25">
      <c r="Q58411" s="8"/>
    </row>
    <row r="58412" spans="17:17" x14ac:dyDescent="0.25">
      <c r="Q58412" s="8"/>
    </row>
    <row r="58413" spans="17:17" x14ac:dyDescent="0.25">
      <c r="Q58413" s="8"/>
    </row>
    <row r="58414" spans="17:17" x14ac:dyDescent="0.25">
      <c r="Q58414" s="8"/>
    </row>
    <row r="58415" spans="17:17" x14ac:dyDescent="0.25">
      <c r="Q58415" s="8"/>
    </row>
    <row r="58416" spans="17:17" x14ac:dyDescent="0.25">
      <c r="Q58416" s="8"/>
    </row>
    <row r="58417" spans="17:17" x14ac:dyDescent="0.25">
      <c r="Q58417" s="8"/>
    </row>
    <row r="58418" spans="17:17" x14ac:dyDescent="0.25">
      <c r="Q58418" s="8"/>
    </row>
    <row r="58419" spans="17:17" x14ac:dyDescent="0.25">
      <c r="Q58419" s="8"/>
    </row>
    <row r="58420" spans="17:17" x14ac:dyDescent="0.25">
      <c r="Q58420" s="8"/>
    </row>
    <row r="58421" spans="17:17" x14ac:dyDescent="0.25">
      <c r="Q58421" s="8"/>
    </row>
    <row r="58422" spans="17:17" x14ac:dyDescent="0.25">
      <c r="Q58422" s="8"/>
    </row>
    <row r="58423" spans="17:17" x14ac:dyDescent="0.25">
      <c r="Q58423" s="8"/>
    </row>
    <row r="58424" spans="17:17" x14ac:dyDescent="0.25">
      <c r="Q58424" s="8"/>
    </row>
    <row r="58425" spans="17:17" x14ac:dyDescent="0.25">
      <c r="Q58425" s="8"/>
    </row>
    <row r="58426" spans="17:17" x14ac:dyDescent="0.25">
      <c r="Q58426" s="8"/>
    </row>
    <row r="58427" spans="17:17" x14ac:dyDescent="0.25">
      <c r="Q58427" s="8"/>
    </row>
    <row r="58428" spans="17:17" x14ac:dyDescent="0.25">
      <c r="Q58428" s="8"/>
    </row>
    <row r="58429" spans="17:17" x14ac:dyDescent="0.25">
      <c r="Q58429" s="8"/>
    </row>
    <row r="58430" spans="17:17" x14ac:dyDescent="0.25">
      <c r="Q58430" s="8"/>
    </row>
    <row r="58431" spans="17:17" x14ac:dyDescent="0.25">
      <c r="Q58431" s="8"/>
    </row>
    <row r="58432" spans="17:17" x14ac:dyDescent="0.25">
      <c r="Q58432" s="8"/>
    </row>
    <row r="58433" spans="17:17" x14ac:dyDescent="0.25">
      <c r="Q58433" s="8"/>
    </row>
    <row r="58434" spans="17:17" x14ac:dyDescent="0.25">
      <c r="Q58434" s="8"/>
    </row>
    <row r="58435" spans="17:17" x14ac:dyDescent="0.25">
      <c r="Q58435" s="8"/>
    </row>
    <row r="58436" spans="17:17" x14ac:dyDescent="0.25">
      <c r="Q58436" s="8"/>
    </row>
    <row r="58437" spans="17:17" x14ac:dyDescent="0.25">
      <c r="Q58437" s="8"/>
    </row>
    <row r="58438" spans="17:17" x14ac:dyDescent="0.25">
      <c r="Q58438" s="8"/>
    </row>
    <row r="58439" spans="17:17" x14ac:dyDescent="0.25">
      <c r="Q58439" s="8"/>
    </row>
    <row r="58440" spans="17:17" x14ac:dyDescent="0.25">
      <c r="Q58440" s="8"/>
    </row>
    <row r="58441" spans="17:17" x14ac:dyDescent="0.25">
      <c r="Q58441" s="8"/>
    </row>
    <row r="58442" spans="17:17" x14ac:dyDescent="0.25">
      <c r="Q58442" s="8"/>
    </row>
    <row r="58443" spans="17:17" x14ac:dyDescent="0.25">
      <c r="Q58443" s="8"/>
    </row>
    <row r="58444" spans="17:17" x14ac:dyDescent="0.25">
      <c r="Q58444" s="8"/>
    </row>
    <row r="58445" spans="17:17" x14ac:dyDescent="0.25">
      <c r="Q58445" s="8"/>
    </row>
    <row r="58446" spans="17:17" x14ac:dyDescent="0.25">
      <c r="Q58446" s="8"/>
    </row>
    <row r="58447" spans="17:17" x14ac:dyDescent="0.25">
      <c r="Q58447" s="8"/>
    </row>
    <row r="58448" spans="17:17" x14ac:dyDescent="0.25">
      <c r="Q58448" s="8"/>
    </row>
    <row r="58449" spans="17:17" x14ac:dyDescent="0.25">
      <c r="Q58449" s="8"/>
    </row>
    <row r="58450" spans="17:17" x14ac:dyDescent="0.25">
      <c r="Q58450" s="8"/>
    </row>
    <row r="58451" spans="17:17" x14ac:dyDescent="0.25">
      <c r="Q58451" s="8"/>
    </row>
    <row r="58452" spans="17:17" x14ac:dyDescent="0.25">
      <c r="Q58452" s="8"/>
    </row>
    <row r="58453" spans="17:17" x14ac:dyDescent="0.25">
      <c r="Q58453" s="8"/>
    </row>
    <row r="58454" spans="17:17" x14ac:dyDescent="0.25">
      <c r="Q58454" s="8"/>
    </row>
    <row r="58455" spans="17:17" x14ac:dyDescent="0.25">
      <c r="Q58455" s="8"/>
    </row>
    <row r="58456" spans="17:17" x14ac:dyDescent="0.25">
      <c r="Q58456" s="8"/>
    </row>
    <row r="58457" spans="17:17" x14ac:dyDescent="0.25">
      <c r="Q58457" s="8"/>
    </row>
    <row r="58458" spans="17:17" x14ac:dyDescent="0.25">
      <c r="Q58458" s="8"/>
    </row>
    <row r="58459" spans="17:17" x14ac:dyDescent="0.25">
      <c r="Q58459" s="8"/>
    </row>
    <row r="58460" spans="17:17" x14ac:dyDescent="0.25">
      <c r="Q58460" s="8"/>
    </row>
    <row r="58461" spans="17:17" x14ac:dyDescent="0.25">
      <c r="Q58461" s="8"/>
    </row>
    <row r="58462" spans="17:17" x14ac:dyDescent="0.25">
      <c r="Q58462" s="8"/>
    </row>
    <row r="58463" spans="17:17" x14ac:dyDescent="0.25">
      <c r="Q58463" s="8"/>
    </row>
    <row r="58464" spans="17:17" x14ac:dyDescent="0.25">
      <c r="Q58464" s="8"/>
    </row>
    <row r="58465" spans="17:17" x14ac:dyDescent="0.25">
      <c r="Q58465" s="8"/>
    </row>
    <row r="58466" spans="17:17" x14ac:dyDescent="0.25">
      <c r="Q58466" s="8"/>
    </row>
    <row r="58467" spans="17:17" x14ac:dyDescent="0.25">
      <c r="Q58467" s="8"/>
    </row>
    <row r="58468" spans="17:17" x14ac:dyDescent="0.25">
      <c r="Q58468" s="8"/>
    </row>
    <row r="58469" spans="17:17" x14ac:dyDescent="0.25">
      <c r="Q58469" s="8"/>
    </row>
    <row r="58470" spans="17:17" x14ac:dyDescent="0.25">
      <c r="Q58470" s="8"/>
    </row>
    <row r="58471" spans="17:17" x14ac:dyDescent="0.25">
      <c r="Q58471" s="8"/>
    </row>
    <row r="58472" spans="17:17" x14ac:dyDescent="0.25">
      <c r="Q58472" s="8"/>
    </row>
    <row r="58473" spans="17:17" x14ac:dyDescent="0.25">
      <c r="Q58473" s="8"/>
    </row>
    <row r="58474" spans="17:17" x14ac:dyDescent="0.25">
      <c r="Q58474" s="8"/>
    </row>
    <row r="58475" spans="17:17" x14ac:dyDescent="0.25">
      <c r="Q58475" s="8"/>
    </row>
    <row r="58476" spans="17:17" x14ac:dyDescent="0.25">
      <c r="Q58476" s="8"/>
    </row>
    <row r="58477" spans="17:17" x14ac:dyDescent="0.25">
      <c r="Q58477" s="8"/>
    </row>
    <row r="58478" spans="17:17" x14ac:dyDescent="0.25">
      <c r="Q58478" s="8"/>
    </row>
    <row r="58479" spans="17:17" x14ac:dyDescent="0.25">
      <c r="Q58479" s="8"/>
    </row>
    <row r="58480" spans="17:17" x14ac:dyDescent="0.25">
      <c r="Q58480" s="8"/>
    </row>
    <row r="58481" spans="17:17" x14ac:dyDescent="0.25">
      <c r="Q58481" s="8"/>
    </row>
    <row r="58482" spans="17:17" x14ac:dyDescent="0.25">
      <c r="Q58482" s="8"/>
    </row>
    <row r="58483" spans="17:17" x14ac:dyDescent="0.25">
      <c r="Q58483" s="8"/>
    </row>
    <row r="58484" spans="17:17" x14ac:dyDescent="0.25">
      <c r="Q58484" s="8"/>
    </row>
    <row r="58485" spans="17:17" x14ac:dyDescent="0.25">
      <c r="Q58485" s="8"/>
    </row>
    <row r="58486" spans="17:17" x14ac:dyDescent="0.25">
      <c r="Q58486" s="8"/>
    </row>
    <row r="58487" spans="17:17" x14ac:dyDescent="0.25">
      <c r="Q58487" s="8"/>
    </row>
    <row r="58488" spans="17:17" x14ac:dyDescent="0.25">
      <c r="Q58488" s="8"/>
    </row>
    <row r="58489" spans="17:17" x14ac:dyDescent="0.25">
      <c r="Q58489" s="8"/>
    </row>
    <row r="58490" spans="17:17" x14ac:dyDescent="0.25">
      <c r="Q58490" s="8"/>
    </row>
    <row r="58491" spans="17:17" x14ac:dyDescent="0.25">
      <c r="Q58491" s="8"/>
    </row>
    <row r="58492" spans="17:17" x14ac:dyDescent="0.25">
      <c r="Q58492" s="8"/>
    </row>
    <row r="58493" spans="17:17" x14ac:dyDescent="0.25">
      <c r="Q58493" s="8"/>
    </row>
    <row r="58494" spans="17:17" x14ac:dyDescent="0.25">
      <c r="Q58494" s="8"/>
    </row>
    <row r="58495" spans="17:17" x14ac:dyDescent="0.25">
      <c r="Q58495" s="8"/>
    </row>
    <row r="58496" spans="17:17" x14ac:dyDescent="0.25">
      <c r="Q58496" s="8"/>
    </row>
    <row r="58497" spans="17:17" x14ac:dyDescent="0.25">
      <c r="Q58497" s="8"/>
    </row>
    <row r="58498" spans="17:17" x14ac:dyDescent="0.25">
      <c r="Q58498" s="8"/>
    </row>
    <row r="58499" spans="17:17" x14ac:dyDescent="0.25">
      <c r="Q58499" s="8"/>
    </row>
    <row r="58500" spans="17:17" x14ac:dyDescent="0.25">
      <c r="Q58500" s="8"/>
    </row>
    <row r="58501" spans="17:17" x14ac:dyDescent="0.25">
      <c r="Q58501" s="8"/>
    </row>
    <row r="58502" spans="17:17" x14ac:dyDescent="0.25">
      <c r="Q58502" s="8"/>
    </row>
    <row r="58503" spans="17:17" x14ac:dyDescent="0.25">
      <c r="Q58503" s="8"/>
    </row>
    <row r="58504" spans="17:17" x14ac:dyDescent="0.25">
      <c r="Q58504" s="8"/>
    </row>
    <row r="58505" spans="17:17" x14ac:dyDescent="0.25">
      <c r="Q58505" s="8"/>
    </row>
    <row r="58506" spans="17:17" x14ac:dyDescent="0.25">
      <c r="Q58506" s="8"/>
    </row>
    <row r="58507" spans="17:17" x14ac:dyDescent="0.25">
      <c r="Q58507" s="8"/>
    </row>
    <row r="58508" spans="17:17" x14ac:dyDescent="0.25">
      <c r="Q58508" s="8"/>
    </row>
    <row r="58509" spans="17:17" x14ac:dyDescent="0.25">
      <c r="Q58509" s="8"/>
    </row>
    <row r="58510" spans="17:17" x14ac:dyDescent="0.25">
      <c r="Q58510" s="8"/>
    </row>
    <row r="58511" spans="17:17" x14ac:dyDescent="0.25">
      <c r="Q58511" s="8"/>
    </row>
    <row r="58512" spans="17:17" x14ac:dyDescent="0.25">
      <c r="Q58512" s="8"/>
    </row>
    <row r="58513" spans="17:17" x14ac:dyDescent="0.25">
      <c r="Q58513" s="8"/>
    </row>
    <row r="58514" spans="17:17" x14ac:dyDescent="0.25">
      <c r="Q58514" s="8"/>
    </row>
    <row r="58515" spans="17:17" x14ac:dyDescent="0.25">
      <c r="Q58515" s="8"/>
    </row>
    <row r="58516" spans="17:17" x14ac:dyDescent="0.25">
      <c r="Q58516" s="8"/>
    </row>
    <row r="58517" spans="17:17" x14ac:dyDescent="0.25">
      <c r="Q58517" s="8"/>
    </row>
    <row r="58518" spans="17:17" x14ac:dyDescent="0.25">
      <c r="Q58518" s="8"/>
    </row>
    <row r="58519" spans="17:17" x14ac:dyDescent="0.25">
      <c r="Q58519" s="8"/>
    </row>
    <row r="58520" spans="17:17" x14ac:dyDescent="0.25">
      <c r="Q58520" s="8"/>
    </row>
    <row r="58521" spans="17:17" x14ac:dyDescent="0.25">
      <c r="Q58521" s="8"/>
    </row>
    <row r="58522" spans="17:17" x14ac:dyDescent="0.25">
      <c r="Q58522" s="8"/>
    </row>
    <row r="58523" spans="17:17" x14ac:dyDescent="0.25">
      <c r="Q58523" s="8"/>
    </row>
    <row r="58524" spans="17:17" x14ac:dyDescent="0.25">
      <c r="Q58524" s="8"/>
    </row>
    <row r="58525" spans="17:17" x14ac:dyDescent="0.25">
      <c r="Q58525" s="8"/>
    </row>
    <row r="58526" spans="17:17" x14ac:dyDescent="0.25">
      <c r="Q58526" s="8"/>
    </row>
    <row r="58527" spans="17:17" x14ac:dyDescent="0.25">
      <c r="Q58527" s="8"/>
    </row>
    <row r="58528" spans="17:17" x14ac:dyDescent="0.25">
      <c r="Q58528" s="8"/>
    </row>
    <row r="58529" spans="17:17" x14ac:dyDescent="0.25">
      <c r="Q58529" s="8"/>
    </row>
    <row r="58530" spans="17:17" x14ac:dyDescent="0.25">
      <c r="Q58530" s="8"/>
    </row>
    <row r="58531" spans="17:17" x14ac:dyDescent="0.25">
      <c r="Q58531" s="8"/>
    </row>
    <row r="58532" spans="17:17" x14ac:dyDescent="0.25">
      <c r="Q58532" s="8"/>
    </row>
    <row r="58533" spans="17:17" x14ac:dyDescent="0.25">
      <c r="Q58533" s="8"/>
    </row>
    <row r="58534" spans="17:17" x14ac:dyDescent="0.25">
      <c r="Q58534" s="8"/>
    </row>
    <row r="58535" spans="17:17" x14ac:dyDescent="0.25">
      <c r="Q58535" s="8"/>
    </row>
    <row r="58536" spans="17:17" x14ac:dyDescent="0.25">
      <c r="Q58536" s="8"/>
    </row>
    <row r="58537" spans="17:17" x14ac:dyDescent="0.25">
      <c r="Q58537" s="8"/>
    </row>
    <row r="58538" spans="17:17" x14ac:dyDescent="0.25">
      <c r="Q58538" s="8"/>
    </row>
    <row r="58539" spans="17:17" x14ac:dyDescent="0.25">
      <c r="Q58539" s="8"/>
    </row>
    <row r="58540" spans="17:17" x14ac:dyDescent="0.25">
      <c r="Q58540" s="8"/>
    </row>
    <row r="58541" spans="17:17" x14ac:dyDescent="0.25">
      <c r="Q58541" s="8"/>
    </row>
    <row r="58542" spans="17:17" x14ac:dyDescent="0.25">
      <c r="Q58542" s="8"/>
    </row>
    <row r="58543" spans="17:17" x14ac:dyDescent="0.25">
      <c r="Q58543" s="8"/>
    </row>
    <row r="58544" spans="17:17" x14ac:dyDescent="0.25">
      <c r="Q58544" s="8"/>
    </row>
    <row r="58545" spans="17:17" x14ac:dyDescent="0.25">
      <c r="Q58545" s="8"/>
    </row>
    <row r="58546" spans="17:17" x14ac:dyDescent="0.25">
      <c r="Q58546" s="8"/>
    </row>
    <row r="58547" spans="17:17" x14ac:dyDescent="0.25">
      <c r="Q58547" s="8"/>
    </row>
    <row r="58548" spans="17:17" x14ac:dyDescent="0.25">
      <c r="Q58548" s="8"/>
    </row>
    <row r="58549" spans="17:17" x14ac:dyDescent="0.25">
      <c r="Q58549" s="8"/>
    </row>
    <row r="58550" spans="17:17" x14ac:dyDescent="0.25">
      <c r="Q58550" s="8"/>
    </row>
    <row r="58551" spans="17:17" x14ac:dyDescent="0.25">
      <c r="Q58551" s="8"/>
    </row>
    <row r="58552" spans="17:17" x14ac:dyDescent="0.25">
      <c r="Q58552" s="8"/>
    </row>
    <row r="58553" spans="17:17" x14ac:dyDescent="0.25">
      <c r="Q58553" s="8"/>
    </row>
    <row r="58554" spans="17:17" x14ac:dyDescent="0.25">
      <c r="Q58554" s="8"/>
    </row>
    <row r="58555" spans="17:17" x14ac:dyDescent="0.25">
      <c r="Q58555" s="8"/>
    </row>
    <row r="58556" spans="17:17" x14ac:dyDescent="0.25">
      <c r="Q58556" s="8"/>
    </row>
    <row r="58557" spans="17:17" x14ac:dyDescent="0.25">
      <c r="Q58557" s="8"/>
    </row>
    <row r="58558" spans="17:17" x14ac:dyDescent="0.25">
      <c r="Q58558" s="8"/>
    </row>
    <row r="58559" spans="17:17" x14ac:dyDescent="0.25">
      <c r="Q58559" s="8"/>
    </row>
    <row r="58560" spans="17:17" x14ac:dyDescent="0.25">
      <c r="Q58560" s="8"/>
    </row>
    <row r="58561" spans="17:17" x14ac:dyDescent="0.25">
      <c r="Q58561" s="8"/>
    </row>
    <row r="58562" spans="17:17" x14ac:dyDescent="0.25">
      <c r="Q58562" s="8"/>
    </row>
    <row r="58563" spans="17:17" x14ac:dyDescent="0.25">
      <c r="Q58563" s="8"/>
    </row>
    <row r="58564" spans="17:17" x14ac:dyDescent="0.25">
      <c r="Q58564" s="8"/>
    </row>
    <row r="58565" spans="17:17" x14ac:dyDescent="0.25">
      <c r="Q58565" s="8"/>
    </row>
    <row r="58566" spans="17:17" x14ac:dyDescent="0.25">
      <c r="Q58566" s="8"/>
    </row>
    <row r="58567" spans="17:17" x14ac:dyDescent="0.25">
      <c r="Q58567" s="8"/>
    </row>
    <row r="58568" spans="17:17" x14ac:dyDescent="0.25">
      <c r="Q58568" s="8"/>
    </row>
    <row r="58569" spans="17:17" x14ac:dyDescent="0.25">
      <c r="Q58569" s="8"/>
    </row>
    <row r="58570" spans="17:17" x14ac:dyDescent="0.25">
      <c r="Q58570" s="8"/>
    </row>
    <row r="58571" spans="17:17" x14ac:dyDescent="0.25">
      <c r="Q58571" s="8"/>
    </row>
    <row r="58572" spans="17:17" x14ac:dyDescent="0.25">
      <c r="Q58572" s="8"/>
    </row>
    <row r="58573" spans="17:17" x14ac:dyDescent="0.25">
      <c r="Q58573" s="8"/>
    </row>
    <row r="58574" spans="17:17" x14ac:dyDescent="0.25">
      <c r="Q58574" s="8"/>
    </row>
    <row r="58575" spans="17:17" x14ac:dyDescent="0.25">
      <c r="Q58575" s="8"/>
    </row>
    <row r="58576" spans="17:17" x14ac:dyDescent="0.25">
      <c r="Q58576" s="8"/>
    </row>
    <row r="58577" spans="17:17" x14ac:dyDescent="0.25">
      <c r="Q58577" s="8"/>
    </row>
    <row r="58578" spans="17:17" x14ac:dyDescent="0.25">
      <c r="Q58578" s="8"/>
    </row>
    <row r="58579" spans="17:17" x14ac:dyDescent="0.25">
      <c r="Q58579" s="8"/>
    </row>
    <row r="58580" spans="17:17" x14ac:dyDescent="0.25">
      <c r="Q58580" s="8"/>
    </row>
    <row r="58581" spans="17:17" x14ac:dyDescent="0.25">
      <c r="Q58581" s="8"/>
    </row>
    <row r="58582" spans="17:17" x14ac:dyDescent="0.25">
      <c r="Q58582" s="8"/>
    </row>
    <row r="58583" spans="17:17" x14ac:dyDescent="0.25">
      <c r="Q58583" s="8"/>
    </row>
    <row r="58584" spans="17:17" x14ac:dyDescent="0.25">
      <c r="Q58584" s="8"/>
    </row>
    <row r="58585" spans="17:17" x14ac:dyDescent="0.25">
      <c r="Q58585" s="8"/>
    </row>
    <row r="58586" spans="17:17" x14ac:dyDescent="0.25">
      <c r="Q58586" s="8"/>
    </row>
    <row r="58587" spans="17:17" x14ac:dyDescent="0.25">
      <c r="Q58587" s="8"/>
    </row>
    <row r="58588" spans="17:17" x14ac:dyDescent="0.25">
      <c r="Q58588" s="8"/>
    </row>
    <row r="58589" spans="17:17" x14ac:dyDescent="0.25">
      <c r="Q58589" s="8"/>
    </row>
    <row r="58590" spans="17:17" x14ac:dyDescent="0.25">
      <c r="Q58590" s="8"/>
    </row>
    <row r="58591" spans="17:17" x14ac:dyDescent="0.25">
      <c r="Q58591" s="8"/>
    </row>
    <row r="58592" spans="17:17" x14ac:dyDescent="0.25">
      <c r="Q58592" s="8"/>
    </row>
    <row r="58593" spans="17:17" x14ac:dyDescent="0.25">
      <c r="Q58593" s="8"/>
    </row>
    <row r="58594" spans="17:17" x14ac:dyDescent="0.25">
      <c r="Q58594" s="8"/>
    </row>
    <row r="58595" spans="17:17" x14ac:dyDescent="0.25">
      <c r="Q58595" s="8"/>
    </row>
    <row r="58596" spans="17:17" x14ac:dyDescent="0.25">
      <c r="Q58596" s="8"/>
    </row>
    <row r="58597" spans="17:17" x14ac:dyDescent="0.25">
      <c r="Q58597" s="8"/>
    </row>
    <row r="58598" spans="17:17" x14ac:dyDescent="0.25">
      <c r="Q58598" s="8"/>
    </row>
    <row r="58599" spans="17:17" x14ac:dyDescent="0.25">
      <c r="Q58599" s="8"/>
    </row>
    <row r="58600" spans="17:17" x14ac:dyDescent="0.25">
      <c r="Q58600" s="8"/>
    </row>
    <row r="58601" spans="17:17" x14ac:dyDescent="0.25">
      <c r="Q58601" s="8"/>
    </row>
    <row r="58602" spans="17:17" x14ac:dyDescent="0.25">
      <c r="Q58602" s="8"/>
    </row>
    <row r="58603" spans="17:17" x14ac:dyDescent="0.25">
      <c r="Q58603" s="8"/>
    </row>
    <row r="58604" spans="17:17" x14ac:dyDescent="0.25">
      <c r="Q58604" s="8"/>
    </row>
    <row r="58605" spans="17:17" x14ac:dyDescent="0.25">
      <c r="Q58605" s="8"/>
    </row>
    <row r="58606" spans="17:17" x14ac:dyDescent="0.25">
      <c r="Q58606" s="8"/>
    </row>
    <row r="58607" spans="17:17" x14ac:dyDescent="0.25">
      <c r="Q58607" s="8"/>
    </row>
    <row r="58608" spans="17:17" x14ac:dyDescent="0.25">
      <c r="Q58608" s="8"/>
    </row>
    <row r="58609" spans="17:17" x14ac:dyDescent="0.25">
      <c r="Q58609" s="8"/>
    </row>
    <row r="58610" spans="17:17" x14ac:dyDescent="0.25">
      <c r="Q58610" s="8"/>
    </row>
    <row r="58611" spans="17:17" x14ac:dyDescent="0.25">
      <c r="Q58611" s="8"/>
    </row>
    <row r="58612" spans="17:17" x14ac:dyDescent="0.25">
      <c r="Q58612" s="8"/>
    </row>
    <row r="58613" spans="17:17" x14ac:dyDescent="0.25">
      <c r="Q58613" s="8"/>
    </row>
    <row r="58614" spans="17:17" x14ac:dyDescent="0.25">
      <c r="Q58614" s="8"/>
    </row>
    <row r="58615" spans="17:17" x14ac:dyDescent="0.25">
      <c r="Q58615" s="8"/>
    </row>
    <row r="58616" spans="17:17" x14ac:dyDescent="0.25">
      <c r="Q58616" s="8"/>
    </row>
    <row r="58617" spans="17:17" x14ac:dyDescent="0.25">
      <c r="Q58617" s="8"/>
    </row>
    <row r="58618" spans="17:17" x14ac:dyDescent="0.25">
      <c r="Q58618" s="8"/>
    </row>
    <row r="58619" spans="17:17" x14ac:dyDescent="0.25">
      <c r="Q58619" s="8"/>
    </row>
    <row r="58620" spans="17:17" x14ac:dyDescent="0.25">
      <c r="Q58620" s="8"/>
    </row>
    <row r="58621" spans="17:17" x14ac:dyDescent="0.25">
      <c r="Q58621" s="8"/>
    </row>
    <row r="58622" spans="17:17" x14ac:dyDescent="0.25">
      <c r="Q58622" s="8"/>
    </row>
    <row r="58623" spans="17:17" x14ac:dyDescent="0.25">
      <c r="Q58623" s="8"/>
    </row>
    <row r="58624" spans="17:17" x14ac:dyDescent="0.25">
      <c r="Q58624" s="8"/>
    </row>
    <row r="58625" spans="17:17" x14ac:dyDescent="0.25">
      <c r="Q58625" s="8"/>
    </row>
    <row r="58626" spans="17:17" x14ac:dyDescent="0.25">
      <c r="Q58626" s="8"/>
    </row>
    <row r="58627" spans="17:17" x14ac:dyDescent="0.25">
      <c r="Q58627" s="8"/>
    </row>
    <row r="58628" spans="17:17" x14ac:dyDescent="0.25">
      <c r="Q58628" s="8"/>
    </row>
    <row r="58629" spans="17:17" x14ac:dyDescent="0.25">
      <c r="Q58629" s="8"/>
    </row>
    <row r="58630" spans="17:17" x14ac:dyDescent="0.25">
      <c r="Q58630" s="8"/>
    </row>
    <row r="58631" spans="17:17" x14ac:dyDescent="0.25">
      <c r="Q58631" s="8"/>
    </row>
    <row r="58632" spans="17:17" x14ac:dyDescent="0.25">
      <c r="Q58632" s="8"/>
    </row>
    <row r="58633" spans="17:17" x14ac:dyDescent="0.25">
      <c r="Q58633" s="8"/>
    </row>
    <row r="58634" spans="17:17" x14ac:dyDescent="0.25">
      <c r="Q58634" s="8"/>
    </row>
    <row r="58635" spans="17:17" x14ac:dyDescent="0.25">
      <c r="Q58635" s="8"/>
    </row>
    <row r="58636" spans="17:17" x14ac:dyDescent="0.25">
      <c r="Q58636" s="8"/>
    </row>
    <row r="58637" spans="17:17" x14ac:dyDescent="0.25">
      <c r="Q58637" s="8"/>
    </row>
    <row r="58638" spans="17:17" x14ac:dyDescent="0.25">
      <c r="Q58638" s="8"/>
    </row>
    <row r="58639" spans="17:17" x14ac:dyDescent="0.25">
      <c r="Q58639" s="8"/>
    </row>
    <row r="58640" spans="17:17" x14ac:dyDescent="0.25">
      <c r="Q58640" s="8"/>
    </row>
    <row r="58641" spans="17:17" x14ac:dyDescent="0.25">
      <c r="Q58641" s="8"/>
    </row>
    <row r="58642" spans="17:17" x14ac:dyDescent="0.25">
      <c r="Q58642" s="8"/>
    </row>
    <row r="58643" spans="17:17" x14ac:dyDescent="0.25">
      <c r="Q58643" s="8"/>
    </row>
    <row r="58644" spans="17:17" x14ac:dyDescent="0.25">
      <c r="Q58644" s="8"/>
    </row>
    <row r="58645" spans="17:17" x14ac:dyDescent="0.25">
      <c r="Q58645" s="8"/>
    </row>
    <row r="58646" spans="17:17" x14ac:dyDescent="0.25">
      <c r="Q58646" s="8"/>
    </row>
    <row r="58647" spans="17:17" x14ac:dyDescent="0.25">
      <c r="Q58647" s="8"/>
    </row>
    <row r="58648" spans="17:17" x14ac:dyDescent="0.25">
      <c r="Q58648" s="8"/>
    </row>
    <row r="58649" spans="17:17" x14ac:dyDescent="0.25">
      <c r="Q58649" s="8"/>
    </row>
    <row r="58650" spans="17:17" x14ac:dyDescent="0.25">
      <c r="Q58650" s="8"/>
    </row>
    <row r="58651" spans="17:17" x14ac:dyDescent="0.25">
      <c r="Q58651" s="8"/>
    </row>
    <row r="58652" spans="17:17" x14ac:dyDescent="0.25">
      <c r="Q58652" s="8"/>
    </row>
    <row r="58653" spans="17:17" x14ac:dyDescent="0.25">
      <c r="Q58653" s="8"/>
    </row>
    <row r="58654" spans="17:17" x14ac:dyDescent="0.25">
      <c r="Q58654" s="8"/>
    </row>
    <row r="58655" spans="17:17" x14ac:dyDescent="0.25">
      <c r="Q58655" s="8"/>
    </row>
    <row r="58656" spans="17:17" x14ac:dyDescent="0.25">
      <c r="Q58656" s="8"/>
    </row>
    <row r="58657" spans="17:17" x14ac:dyDescent="0.25">
      <c r="Q58657" s="8"/>
    </row>
    <row r="58658" spans="17:17" x14ac:dyDescent="0.25">
      <c r="Q58658" s="8"/>
    </row>
    <row r="58659" spans="17:17" x14ac:dyDescent="0.25">
      <c r="Q58659" s="8"/>
    </row>
    <row r="58660" spans="17:17" x14ac:dyDescent="0.25">
      <c r="Q58660" s="8"/>
    </row>
    <row r="58661" spans="17:17" x14ac:dyDescent="0.25">
      <c r="Q58661" s="8"/>
    </row>
    <row r="58662" spans="17:17" x14ac:dyDescent="0.25">
      <c r="Q58662" s="8"/>
    </row>
    <row r="58663" spans="17:17" x14ac:dyDescent="0.25">
      <c r="Q58663" s="8"/>
    </row>
    <row r="58664" spans="17:17" x14ac:dyDescent="0.25">
      <c r="Q58664" s="8"/>
    </row>
    <row r="58665" spans="17:17" x14ac:dyDescent="0.25">
      <c r="Q58665" s="8"/>
    </row>
    <row r="58666" spans="17:17" x14ac:dyDescent="0.25">
      <c r="Q58666" s="8"/>
    </row>
    <row r="58667" spans="17:17" x14ac:dyDescent="0.25">
      <c r="Q58667" s="8"/>
    </row>
    <row r="58668" spans="17:17" x14ac:dyDescent="0.25">
      <c r="Q58668" s="8"/>
    </row>
    <row r="58669" spans="17:17" x14ac:dyDescent="0.25">
      <c r="Q58669" s="8"/>
    </row>
    <row r="58670" spans="17:17" x14ac:dyDescent="0.25">
      <c r="Q58670" s="8"/>
    </row>
    <row r="58671" spans="17:17" x14ac:dyDescent="0.25">
      <c r="Q58671" s="8"/>
    </row>
    <row r="58672" spans="17:17" x14ac:dyDescent="0.25">
      <c r="Q58672" s="8"/>
    </row>
    <row r="58673" spans="17:17" x14ac:dyDescent="0.25">
      <c r="Q58673" s="8"/>
    </row>
    <row r="58674" spans="17:17" x14ac:dyDescent="0.25">
      <c r="Q58674" s="8"/>
    </row>
    <row r="58675" spans="17:17" x14ac:dyDescent="0.25">
      <c r="Q58675" s="8"/>
    </row>
    <row r="58676" spans="17:17" x14ac:dyDescent="0.25">
      <c r="Q58676" s="8"/>
    </row>
    <row r="58677" spans="17:17" x14ac:dyDescent="0.25">
      <c r="Q58677" s="8"/>
    </row>
    <row r="58678" spans="17:17" x14ac:dyDescent="0.25">
      <c r="Q58678" s="8"/>
    </row>
    <row r="58679" spans="17:17" x14ac:dyDescent="0.25">
      <c r="Q58679" s="8"/>
    </row>
    <row r="58680" spans="17:17" x14ac:dyDescent="0.25">
      <c r="Q58680" s="8"/>
    </row>
    <row r="58681" spans="17:17" x14ac:dyDescent="0.25">
      <c r="Q58681" s="8"/>
    </row>
    <row r="58682" spans="17:17" x14ac:dyDescent="0.25">
      <c r="Q58682" s="8"/>
    </row>
    <row r="58683" spans="17:17" x14ac:dyDescent="0.25">
      <c r="Q58683" s="8"/>
    </row>
    <row r="58684" spans="17:17" x14ac:dyDescent="0.25">
      <c r="Q58684" s="8"/>
    </row>
    <row r="58685" spans="17:17" x14ac:dyDescent="0.25">
      <c r="Q58685" s="8"/>
    </row>
    <row r="58686" spans="17:17" x14ac:dyDescent="0.25">
      <c r="Q58686" s="8"/>
    </row>
    <row r="58687" spans="17:17" x14ac:dyDescent="0.25">
      <c r="Q58687" s="8"/>
    </row>
    <row r="58688" spans="17:17" x14ac:dyDescent="0.25">
      <c r="Q58688" s="8"/>
    </row>
    <row r="58689" spans="17:17" x14ac:dyDescent="0.25">
      <c r="Q58689" s="8"/>
    </row>
    <row r="58690" spans="17:17" x14ac:dyDescent="0.25">
      <c r="Q58690" s="8"/>
    </row>
    <row r="58691" spans="17:17" x14ac:dyDescent="0.25">
      <c r="Q58691" s="8"/>
    </row>
    <row r="58692" spans="17:17" x14ac:dyDescent="0.25">
      <c r="Q58692" s="8"/>
    </row>
    <row r="58693" spans="17:17" x14ac:dyDescent="0.25">
      <c r="Q58693" s="8"/>
    </row>
    <row r="58694" spans="17:17" x14ac:dyDescent="0.25">
      <c r="Q58694" s="8"/>
    </row>
    <row r="58695" spans="17:17" x14ac:dyDescent="0.25">
      <c r="Q58695" s="8"/>
    </row>
    <row r="58696" spans="17:17" x14ac:dyDescent="0.25">
      <c r="Q58696" s="8"/>
    </row>
    <row r="58697" spans="17:17" x14ac:dyDescent="0.25">
      <c r="Q58697" s="8"/>
    </row>
    <row r="58698" spans="17:17" x14ac:dyDescent="0.25">
      <c r="Q58698" s="8"/>
    </row>
    <row r="58699" spans="17:17" x14ac:dyDescent="0.25">
      <c r="Q58699" s="8"/>
    </row>
    <row r="58700" spans="17:17" x14ac:dyDescent="0.25">
      <c r="Q58700" s="8"/>
    </row>
    <row r="58701" spans="17:17" x14ac:dyDescent="0.25">
      <c r="Q58701" s="8"/>
    </row>
    <row r="58702" spans="17:17" x14ac:dyDescent="0.25">
      <c r="Q58702" s="8"/>
    </row>
    <row r="58703" spans="17:17" x14ac:dyDescent="0.25">
      <c r="Q58703" s="8"/>
    </row>
    <row r="58704" spans="17:17" x14ac:dyDescent="0.25">
      <c r="Q58704" s="8"/>
    </row>
    <row r="58705" spans="17:17" x14ac:dyDescent="0.25">
      <c r="Q58705" s="8"/>
    </row>
    <row r="58706" spans="17:17" x14ac:dyDescent="0.25">
      <c r="Q58706" s="8"/>
    </row>
    <row r="58707" spans="17:17" x14ac:dyDescent="0.25">
      <c r="Q58707" s="8"/>
    </row>
    <row r="58708" spans="17:17" x14ac:dyDescent="0.25">
      <c r="Q58708" s="8"/>
    </row>
    <row r="58709" spans="17:17" x14ac:dyDescent="0.25">
      <c r="Q58709" s="8"/>
    </row>
    <row r="58710" spans="17:17" x14ac:dyDescent="0.25">
      <c r="Q58710" s="8"/>
    </row>
    <row r="58711" spans="17:17" x14ac:dyDescent="0.25">
      <c r="Q58711" s="8"/>
    </row>
    <row r="58712" spans="17:17" x14ac:dyDescent="0.25">
      <c r="Q58712" s="8"/>
    </row>
    <row r="58713" spans="17:17" x14ac:dyDescent="0.25">
      <c r="Q58713" s="8"/>
    </row>
    <row r="58714" spans="17:17" x14ac:dyDescent="0.25">
      <c r="Q58714" s="8"/>
    </row>
    <row r="58715" spans="17:17" x14ac:dyDescent="0.25">
      <c r="Q58715" s="8"/>
    </row>
    <row r="58716" spans="17:17" x14ac:dyDescent="0.25">
      <c r="Q58716" s="8"/>
    </row>
    <row r="58717" spans="17:17" x14ac:dyDescent="0.25">
      <c r="Q58717" s="8"/>
    </row>
    <row r="58718" spans="17:17" x14ac:dyDescent="0.25">
      <c r="Q58718" s="8"/>
    </row>
    <row r="58719" spans="17:17" x14ac:dyDescent="0.25">
      <c r="Q58719" s="8"/>
    </row>
    <row r="58720" spans="17:17" x14ac:dyDescent="0.25">
      <c r="Q58720" s="8"/>
    </row>
    <row r="58721" spans="17:17" x14ac:dyDescent="0.25">
      <c r="Q58721" s="8"/>
    </row>
    <row r="58722" spans="17:17" x14ac:dyDescent="0.25">
      <c r="Q58722" s="8"/>
    </row>
    <row r="58723" spans="17:17" x14ac:dyDescent="0.25">
      <c r="Q58723" s="8"/>
    </row>
    <row r="58724" spans="17:17" x14ac:dyDescent="0.25">
      <c r="Q58724" s="8"/>
    </row>
    <row r="58725" spans="17:17" x14ac:dyDescent="0.25">
      <c r="Q58725" s="8"/>
    </row>
    <row r="58726" spans="17:17" x14ac:dyDescent="0.25">
      <c r="Q58726" s="8"/>
    </row>
    <row r="58727" spans="17:17" x14ac:dyDescent="0.25">
      <c r="Q58727" s="8"/>
    </row>
    <row r="58728" spans="17:17" x14ac:dyDescent="0.25">
      <c r="Q58728" s="8"/>
    </row>
    <row r="58729" spans="17:17" x14ac:dyDescent="0.25">
      <c r="Q58729" s="8"/>
    </row>
    <row r="58730" spans="17:17" x14ac:dyDescent="0.25">
      <c r="Q58730" s="8"/>
    </row>
    <row r="58731" spans="17:17" x14ac:dyDescent="0.25">
      <c r="Q58731" s="8"/>
    </row>
    <row r="58732" spans="17:17" x14ac:dyDescent="0.25">
      <c r="Q58732" s="8"/>
    </row>
    <row r="58733" spans="17:17" x14ac:dyDescent="0.25">
      <c r="Q58733" s="8"/>
    </row>
    <row r="58734" spans="17:17" x14ac:dyDescent="0.25">
      <c r="Q58734" s="8"/>
    </row>
    <row r="58735" spans="17:17" x14ac:dyDescent="0.25">
      <c r="Q58735" s="8"/>
    </row>
    <row r="58736" spans="17:17" x14ac:dyDescent="0.25">
      <c r="Q58736" s="8"/>
    </row>
    <row r="58737" spans="17:17" x14ac:dyDescent="0.25">
      <c r="Q58737" s="8"/>
    </row>
    <row r="58738" spans="17:17" x14ac:dyDescent="0.25">
      <c r="Q58738" s="8"/>
    </row>
    <row r="58739" spans="17:17" x14ac:dyDescent="0.25">
      <c r="Q58739" s="8"/>
    </row>
    <row r="58740" spans="17:17" x14ac:dyDescent="0.25">
      <c r="Q58740" s="8"/>
    </row>
    <row r="58741" spans="17:17" x14ac:dyDescent="0.25">
      <c r="Q58741" s="8"/>
    </row>
    <row r="58742" spans="17:17" x14ac:dyDescent="0.25">
      <c r="Q58742" s="8"/>
    </row>
    <row r="58743" spans="17:17" x14ac:dyDescent="0.25">
      <c r="Q58743" s="8"/>
    </row>
    <row r="58744" spans="17:17" x14ac:dyDescent="0.25">
      <c r="Q58744" s="8"/>
    </row>
    <row r="58745" spans="17:17" x14ac:dyDescent="0.25">
      <c r="Q58745" s="8"/>
    </row>
    <row r="58746" spans="17:17" x14ac:dyDescent="0.25">
      <c r="Q58746" s="8"/>
    </row>
    <row r="58747" spans="17:17" x14ac:dyDescent="0.25">
      <c r="Q58747" s="8"/>
    </row>
    <row r="58748" spans="17:17" x14ac:dyDescent="0.25">
      <c r="Q58748" s="8"/>
    </row>
    <row r="58749" spans="17:17" x14ac:dyDescent="0.25">
      <c r="Q58749" s="8"/>
    </row>
    <row r="58750" spans="17:17" x14ac:dyDescent="0.25">
      <c r="Q58750" s="8"/>
    </row>
    <row r="58751" spans="17:17" x14ac:dyDescent="0.25">
      <c r="Q58751" s="8"/>
    </row>
    <row r="58752" spans="17:17" x14ac:dyDescent="0.25">
      <c r="Q58752" s="8"/>
    </row>
    <row r="58753" spans="17:17" x14ac:dyDescent="0.25">
      <c r="Q58753" s="8"/>
    </row>
    <row r="58754" spans="17:17" x14ac:dyDescent="0.25">
      <c r="Q58754" s="8"/>
    </row>
    <row r="58755" spans="17:17" x14ac:dyDescent="0.25">
      <c r="Q58755" s="8"/>
    </row>
    <row r="58756" spans="17:17" x14ac:dyDescent="0.25">
      <c r="Q58756" s="8"/>
    </row>
    <row r="58757" spans="17:17" x14ac:dyDescent="0.25">
      <c r="Q58757" s="8"/>
    </row>
    <row r="58758" spans="17:17" x14ac:dyDescent="0.25">
      <c r="Q58758" s="8"/>
    </row>
    <row r="58759" spans="17:17" x14ac:dyDescent="0.25">
      <c r="Q58759" s="8"/>
    </row>
    <row r="58760" spans="17:17" x14ac:dyDescent="0.25">
      <c r="Q58760" s="8"/>
    </row>
    <row r="58761" spans="17:17" x14ac:dyDescent="0.25">
      <c r="Q58761" s="8"/>
    </row>
    <row r="58762" spans="17:17" x14ac:dyDescent="0.25">
      <c r="Q58762" s="8"/>
    </row>
    <row r="58763" spans="17:17" x14ac:dyDescent="0.25">
      <c r="Q58763" s="8"/>
    </row>
    <row r="58764" spans="17:17" x14ac:dyDescent="0.25">
      <c r="Q58764" s="8"/>
    </row>
    <row r="58765" spans="17:17" x14ac:dyDescent="0.25">
      <c r="Q58765" s="8"/>
    </row>
    <row r="58766" spans="17:17" x14ac:dyDescent="0.25">
      <c r="Q58766" s="8"/>
    </row>
    <row r="58767" spans="17:17" x14ac:dyDescent="0.25">
      <c r="Q58767" s="8"/>
    </row>
    <row r="58768" spans="17:17" x14ac:dyDescent="0.25">
      <c r="Q58768" s="8"/>
    </row>
    <row r="58769" spans="17:17" x14ac:dyDescent="0.25">
      <c r="Q58769" s="8"/>
    </row>
    <row r="58770" spans="17:17" x14ac:dyDescent="0.25">
      <c r="Q58770" s="8"/>
    </row>
    <row r="58771" spans="17:17" x14ac:dyDescent="0.25">
      <c r="Q58771" s="8"/>
    </row>
    <row r="58772" spans="17:17" x14ac:dyDescent="0.25">
      <c r="Q58772" s="8"/>
    </row>
    <row r="58773" spans="17:17" x14ac:dyDescent="0.25">
      <c r="Q58773" s="8"/>
    </row>
    <row r="58774" spans="17:17" x14ac:dyDescent="0.25">
      <c r="Q58774" s="8"/>
    </row>
    <row r="58775" spans="17:17" x14ac:dyDescent="0.25">
      <c r="Q58775" s="8"/>
    </row>
    <row r="58776" spans="17:17" x14ac:dyDescent="0.25">
      <c r="Q58776" s="8"/>
    </row>
    <row r="58777" spans="17:17" x14ac:dyDescent="0.25">
      <c r="Q58777" s="8"/>
    </row>
    <row r="58778" spans="17:17" x14ac:dyDescent="0.25">
      <c r="Q58778" s="8"/>
    </row>
    <row r="58779" spans="17:17" x14ac:dyDescent="0.25">
      <c r="Q58779" s="8"/>
    </row>
    <row r="58780" spans="17:17" x14ac:dyDescent="0.25">
      <c r="Q58780" s="8"/>
    </row>
    <row r="58781" spans="17:17" x14ac:dyDescent="0.25">
      <c r="Q58781" s="8"/>
    </row>
    <row r="58782" spans="17:17" x14ac:dyDescent="0.25">
      <c r="Q58782" s="8"/>
    </row>
    <row r="58783" spans="17:17" x14ac:dyDescent="0.25">
      <c r="Q58783" s="8"/>
    </row>
    <row r="58784" spans="17:17" x14ac:dyDescent="0.25">
      <c r="Q58784" s="8"/>
    </row>
    <row r="58785" spans="17:17" x14ac:dyDescent="0.25">
      <c r="Q58785" s="8"/>
    </row>
    <row r="58786" spans="17:17" x14ac:dyDescent="0.25">
      <c r="Q58786" s="8"/>
    </row>
    <row r="58787" spans="17:17" x14ac:dyDescent="0.25">
      <c r="Q58787" s="8"/>
    </row>
    <row r="58788" spans="17:17" x14ac:dyDescent="0.25">
      <c r="Q58788" s="8"/>
    </row>
    <row r="58789" spans="17:17" x14ac:dyDescent="0.25">
      <c r="Q58789" s="8"/>
    </row>
    <row r="58790" spans="17:17" x14ac:dyDescent="0.25">
      <c r="Q58790" s="8"/>
    </row>
    <row r="58791" spans="17:17" x14ac:dyDescent="0.25">
      <c r="Q58791" s="8"/>
    </row>
    <row r="58792" spans="17:17" x14ac:dyDescent="0.25">
      <c r="Q58792" s="8"/>
    </row>
    <row r="58793" spans="17:17" x14ac:dyDescent="0.25">
      <c r="Q58793" s="8"/>
    </row>
    <row r="58794" spans="17:17" x14ac:dyDescent="0.25">
      <c r="Q58794" s="8"/>
    </row>
    <row r="58795" spans="17:17" x14ac:dyDescent="0.25">
      <c r="Q58795" s="8"/>
    </row>
    <row r="58796" spans="17:17" x14ac:dyDescent="0.25">
      <c r="Q58796" s="8"/>
    </row>
    <row r="58797" spans="17:17" x14ac:dyDescent="0.25">
      <c r="Q58797" s="8"/>
    </row>
    <row r="58798" spans="17:17" x14ac:dyDescent="0.25">
      <c r="Q58798" s="8"/>
    </row>
    <row r="58799" spans="17:17" x14ac:dyDescent="0.25">
      <c r="Q58799" s="8"/>
    </row>
    <row r="58800" spans="17:17" x14ac:dyDescent="0.25">
      <c r="Q58800" s="8"/>
    </row>
    <row r="58801" spans="17:17" x14ac:dyDescent="0.25">
      <c r="Q58801" s="8"/>
    </row>
    <row r="58802" spans="17:17" x14ac:dyDescent="0.25">
      <c r="Q58802" s="8"/>
    </row>
    <row r="58803" spans="17:17" x14ac:dyDescent="0.25">
      <c r="Q58803" s="8"/>
    </row>
    <row r="58804" spans="17:17" x14ac:dyDescent="0.25">
      <c r="Q58804" s="8"/>
    </row>
    <row r="58805" spans="17:17" x14ac:dyDescent="0.25">
      <c r="Q58805" s="8"/>
    </row>
    <row r="58806" spans="17:17" x14ac:dyDescent="0.25">
      <c r="Q58806" s="8"/>
    </row>
    <row r="58807" spans="17:17" x14ac:dyDescent="0.25">
      <c r="Q58807" s="8"/>
    </row>
    <row r="58808" spans="17:17" x14ac:dyDescent="0.25">
      <c r="Q58808" s="8"/>
    </row>
    <row r="58809" spans="17:17" x14ac:dyDescent="0.25">
      <c r="Q58809" s="8"/>
    </row>
    <row r="58810" spans="17:17" x14ac:dyDescent="0.25">
      <c r="Q58810" s="8"/>
    </row>
    <row r="58811" spans="17:17" x14ac:dyDescent="0.25">
      <c r="Q58811" s="8"/>
    </row>
    <row r="58812" spans="17:17" x14ac:dyDescent="0.25">
      <c r="Q58812" s="8"/>
    </row>
    <row r="58813" spans="17:17" x14ac:dyDescent="0.25">
      <c r="Q58813" s="8"/>
    </row>
    <row r="58814" spans="17:17" x14ac:dyDescent="0.25">
      <c r="Q58814" s="8"/>
    </row>
    <row r="58815" spans="17:17" x14ac:dyDescent="0.25">
      <c r="Q58815" s="8"/>
    </row>
    <row r="58816" spans="17:17" x14ac:dyDescent="0.25">
      <c r="Q58816" s="8"/>
    </row>
    <row r="58817" spans="17:17" x14ac:dyDescent="0.25">
      <c r="Q58817" s="8"/>
    </row>
    <row r="58818" spans="17:17" x14ac:dyDescent="0.25">
      <c r="Q58818" s="8"/>
    </row>
    <row r="58819" spans="17:17" x14ac:dyDescent="0.25">
      <c r="Q58819" s="8"/>
    </row>
    <row r="58820" spans="17:17" x14ac:dyDescent="0.25">
      <c r="Q58820" s="8"/>
    </row>
    <row r="58821" spans="17:17" x14ac:dyDescent="0.25">
      <c r="Q58821" s="8"/>
    </row>
    <row r="58822" spans="17:17" x14ac:dyDescent="0.25">
      <c r="Q58822" s="8"/>
    </row>
    <row r="58823" spans="17:17" x14ac:dyDescent="0.25">
      <c r="Q58823" s="8"/>
    </row>
    <row r="58824" spans="17:17" x14ac:dyDescent="0.25">
      <c r="Q58824" s="8"/>
    </row>
    <row r="58825" spans="17:17" x14ac:dyDescent="0.25">
      <c r="Q58825" s="8"/>
    </row>
    <row r="58826" spans="17:17" x14ac:dyDescent="0.25">
      <c r="Q58826" s="8"/>
    </row>
    <row r="58827" spans="17:17" x14ac:dyDescent="0.25">
      <c r="Q58827" s="8"/>
    </row>
    <row r="58828" spans="17:17" x14ac:dyDescent="0.25">
      <c r="Q58828" s="8"/>
    </row>
    <row r="58829" spans="17:17" x14ac:dyDescent="0.25">
      <c r="Q58829" s="8"/>
    </row>
    <row r="58830" spans="17:17" x14ac:dyDescent="0.25">
      <c r="Q58830" s="8"/>
    </row>
    <row r="58831" spans="17:17" x14ac:dyDescent="0.25">
      <c r="Q58831" s="8"/>
    </row>
    <row r="58832" spans="17:17" x14ac:dyDescent="0.25">
      <c r="Q58832" s="8"/>
    </row>
    <row r="58833" spans="17:17" x14ac:dyDescent="0.25">
      <c r="Q58833" s="8"/>
    </row>
    <row r="58834" spans="17:17" x14ac:dyDescent="0.25">
      <c r="Q58834" s="8"/>
    </row>
    <row r="58835" spans="17:17" x14ac:dyDescent="0.25">
      <c r="Q58835" s="8"/>
    </row>
    <row r="58836" spans="17:17" x14ac:dyDescent="0.25">
      <c r="Q58836" s="8"/>
    </row>
    <row r="58837" spans="17:17" x14ac:dyDescent="0.25">
      <c r="Q58837" s="8"/>
    </row>
    <row r="58838" spans="17:17" x14ac:dyDescent="0.25">
      <c r="Q58838" s="8"/>
    </row>
    <row r="58839" spans="17:17" x14ac:dyDescent="0.25">
      <c r="Q58839" s="8"/>
    </row>
    <row r="58840" spans="17:17" x14ac:dyDescent="0.25">
      <c r="Q58840" s="8"/>
    </row>
    <row r="58841" spans="17:17" x14ac:dyDescent="0.25">
      <c r="Q58841" s="8"/>
    </row>
    <row r="58842" spans="17:17" x14ac:dyDescent="0.25">
      <c r="Q58842" s="8"/>
    </row>
    <row r="58843" spans="17:17" x14ac:dyDescent="0.25">
      <c r="Q58843" s="8"/>
    </row>
    <row r="58844" spans="17:17" x14ac:dyDescent="0.25">
      <c r="Q58844" s="8"/>
    </row>
    <row r="58845" spans="17:17" x14ac:dyDescent="0.25">
      <c r="Q58845" s="8"/>
    </row>
    <row r="58846" spans="17:17" x14ac:dyDescent="0.25">
      <c r="Q58846" s="8"/>
    </row>
    <row r="58847" spans="17:17" x14ac:dyDescent="0.25">
      <c r="Q58847" s="8"/>
    </row>
    <row r="58848" spans="17:17" x14ac:dyDescent="0.25">
      <c r="Q58848" s="8"/>
    </row>
    <row r="58849" spans="17:17" x14ac:dyDescent="0.25">
      <c r="Q58849" s="8"/>
    </row>
    <row r="58850" spans="17:17" x14ac:dyDescent="0.25">
      <c r="Q58850" s="8"/>
    </row>
    <row r="58851" spans="17:17" x14ac:dyDescent="0.25">
      <c r="Q58851" s="8"/>
    </row>
    <row r="58852" spans="17:17" x14ac:dyDescent="0.25">
      <c r="Q58852" s="8"/>
    </row>
    <row r="58853" spans="17:17" x14ac:dyDescent="0.25">
      <c r="Q58853" s="8"/>
    </row>
    <row r="58854" spans="17:17" x14ac:dyDescent="0.25">
      <c r="Q58854" s="8"/>
    </row>
    <row r="58855" spans="17:17" x14ac:dyDescent="0.25">
      <c r="Q58855" s="8"/>
    </row>
    <row r="58856" spans="17:17" x14ac:dyDescent="0.25">
      <c r="Q58856" s="8"/>
    </row>
    <row r="58857" spans="17:17" x14ac:dyDescent="0.25">
      <c r="Q58857" s="8"/>
    </row>
    <row r="58858" spans="17:17" x14ac:dyDescent="0.25">
      <c r="Q58858" s="8"/>
    </row>
    <row r="58859" spans="17:17" x14ac:dyDescent="0.25">
      <c r="Q58859" s="8"/>
    </row>
    <row r="58860" spans="17:17" x14ac:dyDescent="0.25">
      <c r="Q58860" s="8"/>
    </row>
    <row r="58861" spans="17:17" x14ac:dyDescent="0.25">
      <c r="Q58861" s="8"/>
    </row>
    <row r="58862" spans="17:17" x14ac:dyDescent="0.25">
      <c r="Q58862" s="8"/>
    </row>
    <row r="58863" spans="17:17" x14ac:dyDescent="0.25">
      <c r="Q58863" s="8"/>
    </row>
    <row r="58864" spans="17:17" x14ac:dyDescent="0.25">
      <c r="Q58864" s="8"/>
    </row>
    <row r="58865" spans="17:17" x14ac:dyDescent="0.25">
      <c r="Q58865" s="8"/>
    </row>
    <row r="58866" spans="17:17" x14ac:dyDescent="0.25">
      <c r="Q58866" s="8"/>
    </row>
    <row r="58867" spans="17:17" x14ac:dyDescent="0.25">
      <c r="Q58867" s="8"/>
    </row>
    <row r="58868" spans="17:17" x14ac:dyDescent="0.25">
      <c r="Q58868" s="8"/>
    </row>
    <row r="58869" spans="17:17" x14ac:dyDescent="0.25">
      <c r="Q58869" s="8"/>
    </row>
    <row r="58870" spans="17:17" x14ac:dyDescent="0.25">
      <c r="Q58870" s="8"/>
    </row>
    <row r="58871" spans="17:17" x14ac:dyDescent="0.25">
      <c r="Q58871" s="8"/>
    </row>
    <row r="58872" spans="17:17" x14ac:dyDescent="0.25">
      <c r="Q58872" s="8"/>
    </row>
    <row r="58873" spans="17:17" x14ac:dyDescent="0.25">
      <c r="Q58873" s="8"/>
    </row>
    <row r="58874" spans="17:17" x14ac:dyDescent="0.25">
      <c r="Q58874" s="8"/>
    </row>
    <row r="58875" spans="17:17" x14ac:dyDescent="0.25">
      <c r="Q58875" s="8"/>
    </row>
    <row r="58876" spans="17:17" x14ac:dyDescent="0.25">
      <c r="Q58876" s="8"/>
    </row>
    <row r="58877" spans="17:17" x14ac:dyDescent="0.25">
      <c r="Q58877" s="8"/>
    </row>
    <row r="58878" spans="17:17" x14ac:dyDescent="0.25">
      <c r="Q58878" s="8"/>
    </row>
    <row r="58879" spans="17:17" x14ac:dyDescent="0.25">
      <c r="Q58879" s="8"/>
    </row>
    <row r="58880" spans="17:17" x14ac:dyDescent="0.25">
      <c r="Q58880" s="8"/>
    </row>
    <row r="58881" spans="17:17" x14ac:dyDescent="0.25">
      <c r="Q58881" s="8"/>
    </row>
    <row r="58882" spans="17:17" x14ac:dyDescent="0.25">
      <c r="Q58882" s="8"/>
    </row>
    <row r="58883" spans="17:17" x14ac:dyDescent="0.25">
      <c r="Q58883" s="8"/>
    </row>
    <row r="58884" spans="17:17" x14ac:dyDescent="0.25">
      <c r="Q58884" s="8"/>
    </row>
    <row r="58885" spans="17:17" x14ac:dyDescent="0.25">
      <c r="Q58885" s="8"/>
    </row>
    <row r="58886" spans="17:17" x14ac:dyDescent="0.25">
      <c r="Q58886" s="8"/>
    </row>
    <row r="58887" spans="17:17" x14ac:dyDescent="0.25">
      <c r="Q58887" s="8"/>
    </row>
    <row r="58888" spans="17:17" x14ac:dyDescent="0.25">
      <c r="Q58888" s="8"/>
    </row>
    <row r="58889" spans="17:17" x14ac:dyDescent="0.25">
      <c r="Q58889" s="8"/>
    </row>
    <row r="58890" spans="17:17" x14ac:dyDescent="0.25">
      <c r="Q58890" s="8"/>
    </row>
    <row r="58891" spans="17:17" x14ac:dyDescent="0.25">
      <c r="Q58891" s="8"/>
    </row>
    <row r="58892" spans="17:17" x14ac:dyDescent="0.25">
      <c r="Q58892" s="8"/>
    </row>
    <row r="58893" spans="17:17" x14ac:dyDescent="0.25">
      <c r="Q58893" s="8"/>
    </row>
    <row r="58894" spans="17:17" x14ac:dyDescent="0.25">
      <c r="Q58894" s="8"/>
    </row>
    <row r="58895" spans="17:17" x14ac:dyDescent="0.25">
      <c r="Q58895" s="8"/>
    </row>
    <row r="58896" spans="17:17" x14ac:dyDescent="0.25">
      <c r="Q58896" s="8"/>
    </row>
    <row r="58897" spans="17:17" x14ac:dyDescent="0.25">
      <c r="Q58897" s="8"/>
    </row>
    <row r="58898" spans="17:17" x14ac:dyDescent="0.25">
      <c r="Q58898" s="8"/>
    </row>
    <row r="58899" spans="17:17" x14ac:dyDescent="0.25">
      <c r="Q58899" s="8"/>
    </row>
    <row r="58900" spans="17:17" x14ac:dyDescent="0.25">
      <c r="Q58900" s="8"/>
    </row>
    <row r="58901" spans="17:17" x14ac:dyDescent="0.25">
      <c r="Q58901" s="8"/>
    </row>
    <row r="58902" spans="17:17" x14ac:dyDescent="0.25">
      <c r="Q58902" s="8"/>
    </row>
    <row r="58903" spans="17:17" x14ac:dyDescent="0.25">
      <c r="Q58903" s="8"/>
    </row>
    <row r="58904" spans="17:17" x14ac:dyDescent="0.25">
      <c r="Q58904" s="8"/>
    </row>
    <row r="58905" spans="17:17" x14ac:dyDescent="0.25">
      <c r="Q58905" s="8"/>
    </row>
    <row r="58906" spans="17:17" x14ac:dyDescent="0.25">
      <c r="Q58906" s="8"/>
    </row>
    <row r="58907" spans="17:17" x14ac:dyDescent="0.25">
      <c r="Q58907" s="8"/>
    </row>
    <row r="58908" spans="17:17" x14ac:dyDescent="0.25">
      <c r="Q58908" s="8"/>
    </row>
    <row r="58909" spans="17:17" x14ac:dyDescent="0.25">
      <c r="Q58909" s="8"/>
    </row>
    <row r="58910" spans="17:17" x14ac:dyDescent="0.25">
      <c r="Q58910" s="8"/>
    </row>
    <row r="58911" spans="17:17" x14ac:dyDescent="0.25">
      <c r="Q58911" s="8"/>
    </row>
    <row r="58912" spans="17:17" x14ac:dyDescent="0.25">
      <c r="Q58912" s="8"/>
    </row>
    <row r="58913" spans="17:17" x14ac:dyDescent="0.25">
      <c r="Q58913" s="8"/>
    </row>
    <row r="58914" spans="17:17" x14ac:dyDescent="0.25">
      <c r="Q58914" s="8"/>
    </row>
    <row r="58915" spans="17:17" x14ac:dyDescent="0.25">
      <c r="Q58915" s="8"/>
    </row>
    <row r="58916" spans="17:17" x14ac:dyDescent="0.25">
      <c r="Q58916" s="8"/>
    </row>
    <row r="58917" spans="17:17" x14ac:dyDescent="0.25">
      <c r="Q58917" s="8"/>
    </row>
    <row r="58918" spans="17:17" x14ac:dyDescent="0.25">
      <c r="Q58918" s="8"/>
    </row>
    <row r="58919" spans="17:17" x14ac:dyDescent="0.25">
      <c r="Q58919" s="8"/>
    </row>
    <row r="58920" spans="17:17" x14ac:dyDescent="0.25">
      <c r="Q58920" s="8"/>
    </row>
    <row r="58921" spans="17:17" x14ac:dyDescent="0.25">
      <c r="Q58921" s="8"/>
    </row>
    <row r="58922" spans="17:17" x14ac:dyDescent="0.25">
      <c r="Q58922" s="8"/>
    </row>
    <row r="58923" spans="17:17" x14ac:dyDescent="0.25">
      <c r="Q58923" s="8"/>
    </row>
    <row r="58924" spans="17:17" x14ac:dyDescent="0.25">
      <c r="Q58924" s="8"/>
    </row>
    <row r="58925" spans="17:17" x14ac:dyDescent="0.25">
      <c r="Q58925" s="8"/>
    </row>
    <row r="58926" spans="17:17" x14ac:dyDescent="0.25">
      <c r="Q58926" s="8"/>
    </row>
    <row r="58927" spans="17:17" x14ac:dyDescent="0.25">
      <c r="Q58927" s="8"/>
    </row>
    <row r="58928" spans="17:17" x14ac:dyDescent="0.25">
      <c r="Q58928" s="8"/>
    </row>
    <row r="58929" spans="17:17" x14ac:dyDescent="0.25">
      <c r="Q58929" s="8"/>
    </row>
    <row r="58930" spans="17:17" x14ac:dyDescent="0.25">
      <c r="Q58930" s="8"/>
    </row>
    <row r="58931" spans="17:17" x14ac:dyDescent="0.25">
      <c r="Q58931" s="8"/>
    </row>
    <row r="58932" spans="17:17" x14ac:dyDescent="0.25">
      <c r="Q58932" s="8"/>
    </row>
    <row r="58933" spans="17:17" x14ac:dyDescent="0.25">
      <c r="Q58933" s="8"/>
    </row>
    <row r="58934" spans="17:17" x14ac:dyDescent="0.25">
      <c r="Q58934" s="8"/>
    </row>
    <row r="58935" spans="17:17" x14ac:dyDescent="0.25">
      <c r="Q58935" s="8"/>
    </row>
    <row r="58936" spans="17:17" x14ac:dyDescent="0.25">
      <c r="Q58936" s="8"/>
    </row>
    <row r="58937" spans="17:17" x14ac:dyDescent="0.25">
      <c r="Q58937" s="8"/>
    </row>
    <row r="58938" spans="17:17" x14ac:dyDescent="0.25">
      <c r="Q58938" s="8"/>
    </row>
    <row r="58939" spans="17:17" x14ac:dyDescent="0.25">
      <c r="Q58939" s="8"/>
    </row>
    <row r="58940" spans="17:17" x14ac:dyDescent="0.25">
      <c r="Q58940" s="8"/>
    </row>
    <row r="58941" spans="17:17" x14ac:dyDescent="0.25">
      <c r="Q58941" s="8"/>
    </row>
    <row r="58942" spans="17:17" x14ac:dyDescent="0.25">
      <c r="Q58942" s="8"/>
    </row>
    <row r="58943" spans="17:17" x14ac:dyDescent="0.25">
      <c r="Q58943" s="8"/>
    </row>
    <row r="58944" spans="17:17" x14ac:dyDescent="0.25">
      <c r="Q58944" s="8"/>
    </row>
    <row r="58945" spans="17:17" x14ac:dyDescent="0.25">
      <c r="Q58945" s="8"/>
    </row>
    <row r="58946" spans="17:17" x14ac:dyDescent="0.25">
      <c r="Q58946" s="8"/>
    </row>
    <row r="58947" spans="17:17" x14ac:dyDescent="0.25">
      <c r="Q58947" s="8"/>
    </row>
    <row r="58948" spans="17:17" x14ac:dyDescent="0.25">
      <c r="Q58948" s="8"/>
    </row>
    <row r="58949" spans="17:17" x14ac:dyDescent="0.25">
      <c r="Q58949" s="8"/>
    </row>
    <row r="58950" spans="17:17" x14ac:dyDescent="0.25">
      <c r="Q58950" s="8"/>
    </row>
    <row r="58951" spans="17:17" x14ac:dyDescent="0.25">
      <c r="Q58951" s="8"/>
    </row>
    <row r="58952" spans="17:17" x14ac:dyDescent="0.25">
      <c r="Q58952" s="8"/>
    </row>
    <row r="58953" spans="17:17" x14ac:dyDescent="0.25">
      <c r="Q58953" s="8"/>
    </row>
    <row r="58954" spans="17:17" x14ac:dyDescent="0.25">
      <c r="Q58954" s="8"/>
    </row>
    <row r="58955" spans="17:17" x14ac:dyDescent="0.25">
      <c r="Q58955" s="8"/>
    </row>
    <row r="58956" spans="17:17" x14ac:dyDescent="0.25">
      <c r="Q58956" s="8"/>
    </row>
    <row r="58957" spans="17:17" x14ac:dyDescent="0.25">
      <c r="Q58957" s="8"/>
    </row>
    <row r="58958" spans="17:17" x14ac:dyDescent="0.25">
      <c r="Q58958" s="8"/>
    </row>
    <row r="58959" spans="17:17" x14ac:dyDescent="0.25">
      <c r="Q58959" s="8"/>
    </row>
    <row r="58960" spans="17:17" x14ac:dyDescent="0.25">
      <c r="Q58960" s="8"/>
    </row>
    <row r="58961" spans="17:17" x14ac:dyDescent="0.25">
      <c r="Q58961" s="8"/>
    </row>
    <row r="58962" spans="17:17" x14ac:dyDescent="0.25">
      <c r="Q58962" s="8"/>
    </row>
    <row r="58963" spans="17:17" x14ac:dyDescent="0.25">
      <c r="Q58963" s="8"/>
    </row>
    <row r="58964" spans="17:17" x14ac:dyDescent="0.25">
      <c r="Q58964" s="8"/>
    </row>
    <row r="58965" spans="17:17" x14ac:dyDescent="0.25">
      <c r="Q58965" s="8"/>
    </row>
    <row r="58966" spans="17:17" x14ac:dyDescent="0.25">
      <c r="Q58966" s="8"/>
    </row>
    <row r="58967" spans="17:17" x14ac:dyDescent="0.25">
      <c r="Q58967" s="8"/>
    </row>
    <row r="58968" spans="17:17" x14ac:dyDescent="0.25">
      <c r="Q58968" s="8"/>
    </row>
    <row r="58969" spans="17:17" x14ac:dyDescent="0.25">
      <c r="Q58969" s="8"/>
    </row>
    <row r="58970" spans="17:17" x14ac:dyDescent="0.25">
      <c r="Q58970" s="8"/>
    </row>
    <row r="58971" spans="17:17" x14ac:dyDescent="0.25">
      <c r="Q58971" s="8"/>
    </row>
    <row r="58972" spans="17:17" x14ac:dyDescent="0.25">
      <c r="Q58972" s="8"/>
    </row>
    <row r="58973" spans="17:17" x14ac:dyDescent="0.25">
      <c r="Q58973" s="8"/>
    </row>
    <row r="58974" spans="17:17" x14ac:dyDescent="0.25">
      <c r="Q58974" s="8"/>
    </row>
    <row r="58975" spans="17:17" x14ac:dyDescent="0.25">
      <c r="Q58975" s="8"/>
    </row>
    <row r="58976" spans="17:17" x14ac:dyDescent="0.25">
      <c r="Q58976" s="8"/>
    </row>
    <row r="58977" spans="17:17" x14ac:dyDescent="0.25">
      <c r="Q58977" s="8"/>
    </row>
    <row r="58978" spans="17:17" x14ac:dyDescent="0.25">
      <c r="Q58978" s="8"/>
    </row>
    <row r="58979" spans="17:17" x14ac:dyDescent="0.25">
      <c r="Q58979" s="8"/>
    </row>
    <row r="58980" spans="17:17" x14ac:dyDescent="0.25">
      <c r="Q58980" s="8"/>
    </row>
    <row r="58981" spans="17:17" x14ac:dyDescent="0.25">
      <c r="Q58981" s="8"/>
    </row>
    <row r="58982" spans="17:17" x14ac:dyDescent="0.25">
      <c r="Q58982" s="8"/>
    </row>
    <row r="58983" spans="17:17" x14ac:dyDescent="0.25">
      <c r="Q58983" s="8"/>
    </row>
    <row r="58984" spans="17:17" x14ac:dyDescent="0.25">
      <c r="Q58984" s="8"/>
    </row>
    <row r="58985" spans="17:17" x14ac:dyDescent="0.25">
      <c r="Q58985" s="8"/>
    </row>
    <row r="58986" spans="17:17" x14ac:dyDescent="0.25">
      <c r="Q58986" s="8"/>
    </row>
    <row r="58987" spans="17:17" x14ac:dyDescent="0.25">
      <c r="Q58987" s="8"/>
    </row>
    <row r="58988" spans="17:17" x14ac:dyDescent="0.25">
      <c r="Q58988" s="8"/>
    </row>
    <row r="58989" spans="17:17" x14ac:dyDescent="0.25">
      <c r="Q58989" s="8"/>
    </row>
    <row r="58990" spans="17:17" x14ac:dyDescent="0.25">
      <c r="Q58990" s="8"/>
    </row>
    <row r="58991" spans="17:17" x14ac:dyDescent="0.25">
      <c r="Q58991" s="8"/>
    </row>
    <row r="58992" spans="17:17" x14ac:dyDescent="0.25">
      <c r="Q58992" s="8"/>
    </row>
    <row r="58993" spans="17:17" x14ac:dyDescent="0.25">
      <c r="Q58993" s="8"/>
    </row>
    <row r="58994" spans="17:17" x14ac:dyDescent="0.25">
      <c r="Q58994" s="8"/>
    </row>
    <row r="58995" spans="17:17" x14ac:dyDescent="0.25">
      <c r="Q58995" s="8"/>
    </row>
    <row r="58996" spans="17:17" x14ac:dyDescent="0.25">
      <c r="Q58996" s="8"/>
    </row>
    <row r="58997" spans="17:17" x14ac:dyDescent="0.25">
      <c r="Q58997" s="8"/>
    </row>
    <row r="58998" spans="17:17" x14ac:dyDescent="0.25">
      <c r="Q58998" s="8"/>
    </row>
    <row r="58999" spans="17:17" x14ac:dyDescent="0.25">
      <c r="Q58999" s="8"/>
    </row>
    <row r="59000" spans="17:17" x14ac:dyDescent="0.25">
      <c r="Q59000" s="8"/>
    </row>
    <row r="59001" spans="17:17" x14ac:dyDescent="0.25">
      <c r="Q59001" s="8"/>
    </row>
    <row r="59002" spans="17:17" x14ac:dyDescent="0.25">
      <c r="Q59002" s="8"/>
    </row>
    <row r="59003" spans="17:17" x14ac:dyDescent="0.25">
      <c r="Q59003" s="8"/>
    </row>
    <row r="59004" spans="17:17" x14ac:dyDescent="0.25">
      <c r="Q59004" s="8"/>
    </row>
    <row r="59005" spans="17:17" x14ac:dyDescent="0.25">
      <c r="Q59005" s="8"/>
    </row>
    <row r="59006" spans="17:17" x14ac:dyDescent="0.25">
      <c r="Q59006" s="8"/>
    </row>
    <row r="59007" spans="17:17" x14ac:dyDescent="0.25">
      <c r="Q59007" s="8"/>
    </row>
    <row r="59008" spans="17:17" x14ac:dyDescent="0.25">
      <c r="Q59008" s="8"/>
    </row>
    <row r="59009" spans="17:17" x14ac:dyDescent="0.25">
      <c r="Q59009" s="8"/>
    </row>
    <row r="59010" spans="17:17" x14ac:dyDescent="0.25">
      <c r="Q59010" s="8"/>
    </row>
    <row r="59011" spans="17:17" x14ac:dyDescent="0.25">
      <c r="Q59011" s="8"/>
    </row>
    <row r="59012" spans="17:17" x14ac:dyDescent="0.25">
      <c r="Q59012" s="8"/>
    </row>
    <row r="59013" spans="17:17" x14ac:dyDescent="0.25">
      <c r="Q59013" s="8"/>
    </row>
    <row r="59014" spans="17:17" x14ac:dyDescent="0.25">
      <c r="Q59014" s="8"/>
    </row>
    <row r="59015" spans="17:17" x14ac:dyDescent="0.25">
      <c r="Q59015" s="8"/>
    </row>
    <row r="59016" spans="17:17" x14ac:dyDescent="0.25">
      <c r="Q59016" s="8"/>
    </row>
    <row r="59017" spans="17:17" x14ac:dyDescent="0.25">
      <c r="Q59017" s="8"/>
    </row>
    <row r="59018" spans="17:17" x14ac:dyDescent="0.25">
      <c r="Q59018" s="8"/>
    </row>
    <row r="59019" spans="17:17" x14ac:dyDescent="0.25">
      <c r="Q59019" s="8"/>
    </row>
    <row r="59020" spans="17:17" x14ac:dyDescent="0.25">
      <c r="Q59020" s="8"/>
    </row>
    <row r="59021" spans="17:17" x14ac:dyDescent="0.25">
      <c r="Q59021" s="8"/>
    </row>
    <row r="59022" spans="17:17" x14ac:dyDescent="0.25">
      <c r="Q59022" s="8"/>
    </row>
    <row r="59023" spans="17:17" x14ac:dyDescent="0.25">
      <c r="Q59023" s="8"/>
    </row>
    <row r="59024" spans="17:17" x14ac:dyDescent="0.25">
      <c r="Q59024" s="8"/>
    </row>
    <row r="59025" spans="17:17" x14ac:dyDescent="0.25">
      <c r="Q59025" s="8"/>
    </row>
    <row r="59026" spans="17:17" x14ac:dyDescent="0.25">
      <c r="Q59026" s="8"/>
    </row>
    <row r="59027" spans="17:17" x14ac:dyDescent="0.25">
      <c r="Q59027" s="8"/>
    </row>
    <row r="59028" spans="17:17" x14ac:dyDescent="0.25">
      <c r="Q59028" s="8"/>
    </row>
    <row r="59029" spans="17:17" x14ac:dyDescent="0.25">
      <c r="Q59029" s="8"/>
    </row>
    <row r="59030" spans="17:17" x14ac:dyDescent="0.25">
      <c r="Q59030" s="8"/>
    </row>
    <row r="59031" spans="17:17" x14ac:dyDescent="0.25">
      <c r="Q59031" s="8"/>
    </row>
    <row r="59032" spans="17:17" x14ac:dyDescent="0.25">
      <c r="Q59032" s="8"/>
    </row>
    <row r="59033" spans="17:17" x14ac:dyDescent="0.25">
      <c r="Q59033" s="8"/>
    </row>
    <row r="59034" spans="17:17" x14ac:dyDescent="0.25">
      <c r="Q59034" s="8"/>
    </row>
    <row r="59035" spans="17:17" x14ac:dyDescent="0.25">
      <c r="Q59035" s="8"/>
    </row>
    <row r="59036" spans="17:17" x14ac:dyDescent="0.25">
      <c r="Q59036" s="8"/>
    </row>
    <row r="59037" spans="17:17" x14ac:dyDescent="0.25">
      <c r="Q59037" s="8"/>
    </row>
    <row r="59038" spans="17:17" x14ac:dyDescent="0.25">
      <c r="Q59038" s="8"/>
    </row>
    <row r="59039" spans="17:17" x14ac:dyDescent="0.25">
      <c r="Q59039" s="8"/>
    </row>
    <row r="59040" spans="17:17" x14ac:dyDescent="0.25">
      <c r="Q59040" s="8"/>
    </row>
    <row r="59041" spans="17:17" x14ac:dyDescent="0.25">
      <c r="Q59041" s="8"/>
    </row>
    <row r="59042" spans="17:17" x14ac:dyDescent="0.25">
      <c r="Q59042" s="8"/>
    </row>
    <row r="59043" spans="17:17" x14ac:dyDescent="0.25">
      <c r="Q59043" s="8"/>
    </row>
    <row r="59044" spans="17:17" x14ac:dyDescent="0.25">
      <c r="Q59044" s="8"/>
    </row>
    <row r="59045" spans="17:17" x14ac:dyDescent="0.25">
      <c r="Q59045" s="8"/>
    </row>
    <row r="59046" spans="17:17" x14ac:dyDescent="0.25">
      <c r="Q59046" s="8"/>
    </row>
    <row r="59047" spans="17:17" x14ac:dyDescent="0.25">
      <c r="Q59047" s="8"/>
    </row>
    <row r="59048" spans="17:17" x14ac:dyDescent="0.25">
      <c r="Q59048" s="8"/>
    </row>
    <row r="59049" spans="17:17" x14ac:dyDescent="0.25">
      <c r="Q59049" s="8"/>
    </row>
    <row r="59050" spans="17:17" x14ac:dyDescent="0.25">
      <c r="Q59050" s="8"/>
    </row>
    <row r="59051" spans="17:17" x14ac:dyDescent="0.25">
      <c r="Q59051" s="8"/>
    </row>
    <row r="59052" spans="17:17" x14ac:dyDescent="0.25">
      <c r="Q59052" s="8"/>
    </row>
    <row r="59053" spans="17:17" x14ac:dyDescent="0.25">
      <c r="Q59053" s="8"/>
    </row>
    <row r="59054" spans="17:17" x14ac:dyDescent="0.25">
      <c r="Q59054" s="8"/>
    </row>
    <row r="59055" spans="17:17" x14ac:dyDescent="0.25">
      <c r="Q59055" s="8"/>
    </row>
    <row r="59056" spans="17:17" x14ac:dyDescent="0.25">
      <c r="Q59056" s="8"/>
    </row>
    <row r="59057" spans="17:17" x14ac:dyDescent="0.25">
      <c r="Q59057" s="8"/>
    </row>
    <row r="59058" spans="17:17" x14ac:dyDescent="0.25">
      <c r="Q59058" s="8"/>
    </row>
    <row r="59059" spans="17:17" x14ac:dyDescent="0.25">
      <c r="Q59059" s="8"/>
    </row>
    <row r="59060" spans="17:17" x14ac:dyDescent="0.25">
      <c r="Q59060" s="8"/>
    </row>
    <row r="59061" spans="17:17" x14ac:dyDescent="0.25">
      <c r="Q59061" s="8"/>
    </row>
    <row r="59062" spans="17:17" x14ac:dyDescent="0.25">
      <c r="Q59062" s="8"/>
    </row>
    <row r="59063" spans="17:17" x14ac:dyDescent="0.25">
      <c r="Q59063" s="8"/>
    </row>
    <row r="59064" spans="17:17" x14ac:dyDescent="0.25">
      <c r="Q59064" s="8"/>
    </row>
    <row r="59065" spans="17:17" x14ac:dyDescent="0.25">
      <c r="Q59065" s="8"/>
    </row>
    <row r="59066" spans="17:17" x14ac:dyDescent="0.25">
      <c r="Q59066" s="8"/>
    </row>
    <row r="59067" spans="17:17" x14ac:dyDescent="0.25">
      <c r="Q59067" s="8"/>
    </row>
    <row r="59068" spans="17:17" x14ac:dyDescent="0.25">
      <c r="Q59068" s="8"/>
    </row>
    <row r="59069" spans="17:17" x14ac:dyDescent="0.25">
      <c r="Q59069" s="8"/>
    </row>
    <row r="59070" spans="17:17" x14ac:dyDescent="0.25">
      <c r="Q59070" s="8"/>
    </row>
    <row r="59071" spans="17:17" x14ac:dyDescent="0.25">
      <c r="Q59071" s="8"/>
    </row>
    <row r="59072" spans="17:17" x14ac:dyDescent="0.25">
      <c r="Q59072" s="8"/>
    </row>
    <row r="59073" spans="17:17" x14ac:dyDescent="0.25">
      <c r="Q59073" s="8"/>
    </row>
    <row r="59074" spans="17:17" x14ac:dyDescent="0.25">
      <c r="Q59074" s="8"/>
    </row>
    <row r="59075" spans="17:17" x14ac:dyDescent="0.25">
      <c r="Q59075" s="8"/>
    </row>
    <row r="59076" spans="17:17" x14ac:dyDescent="0.25">
      <c r="Q59076" s="8"/>
    </row>
    <row r="59077" spans="17:17" x14ac:dyDescent="0.25">
      <c r="Q59077" s="8"/>
    </row>
    <row r="59078" spans="17:17" x14ac:dyDescent="0.25">
      <c r="Q59078" s="8"/>
    </row>
    <row r="59079" spans="17:17" x14ac:dyDescent="0.25">
      <c r="Q59079" s="8"/>
    </row>
    <row r="59080" spans="17:17" x14ac:dyDescent="0.25">
      <c r="Q59080" s="8"/>
    </row>
    <row r="59081" spans="17:17" x14ac:dyDescent="0.25">
      <c r="Q59081" s="8"/>
    </row>
    <row r="59082" spans="17:17" x14ac:dyDescent="0.25">
      <c r="Q59082" s="8"/>
    </row>
    <row r="59083" spans="17:17" x14ac:dyDescent="0.25">
      <c r="Q59083" s="8"/>
    </row>
    <row r="59084" spans="17:17" x14ac:dyDescent="0.25">
      <c r="Q59084" s="8"/>
    </row>
    <row r="59085" spans="17:17" x14ac:dyDescent="0.25">
      <c r="Q59085" s="8"/>
    </row>
    <row r="59086" spans="17:17" x14ac:dyDescent="0.25">
      <c r="Q59086" s="8"/>
    </row>
    <row r="59087" spans="17:17" x14ac:dyDescent="0.25">
      <c r="Q59087" s="8"/>
    </row>
    <row r="59088" spans="17:17" x14ac:dyDescent="0.25">
      <c r="Q59088" s="8"/>
    </row>
    <row r="59089" spans="17:17" x14ac:dyDescent="0.25">
      <c r="Q59089" s="8"/>
    </row>
    <row r="59090" spans="17:17" x14ac:dyDescent="0.25">
      <c r="Q59090" s="8"/>
    </row>
    <row r="59091" spans="17:17" x14ac:dyDescent="0.25">
      <c r="Q59091" s="8"/>
    </row>
    <row r="59092" spans="17:17" x14ac:dyDescent="0.25">
      <c r="Q59092" s="8"/>
    </row>
    <row r="59093" spans="17:17" x14ac:dyDescent="0.25">
      <c r="Q59093" s="8"/>
    </row>
    <row r="59094" spans="17:17" x14ac:dyDescent="0.25">
      <c r="Q59094" s="8"/>
    </row>
    <row r="59095" spans="17:17" x14ac:dyDescent="0.25">
      <c r="Q59095" s="8"/>
    </row>
    <row r="59096" spans="17:17" x14ac:dyDescent="0.25">
      <c r="Q59096" s="8"/>
    </row>
    <row r="59097" spans="17:17" x14ac:dyDescent="0.25">
      <c r="Q59097" s="8"/>
    </row>
    <row r="59098" spans="17:17" x14ac:dyDescent="0.25">
      <c r="Q59098" s="8"/>
    </row>
    <row r="59099" spans="17:17" x14ac:dyDescent="0.25">
      <c r="Q59099" s="8"/>
    </row>
    <row r="59100" spans="17:17" x14ac:dyDescent="0.25">
      <c r="Q59100" s="8"/>
    </row>
    <row r="59101" spans="17:17" x14ac:dyDescent="0.25">
      <c r="Q59101" s="8"/>
    </row>
    <row r="59102" spans="17:17" x14ac:dyDescent="0.25">
      <c r="Q59102" s="8"/>
    </row>
    <row r="59103" spans="17:17" x14ac:dyDescent="0.25">
      <c r="Q59103" s="8"/>
    </row>
    <row r="59104" spans="17:17" x14ac:dyDescent="0.25">
      <c r="Q59104" s="8"/>
    </row>
    <row r="59105" spans="17:17" x14ac:dyDescent="0.25">
      <c r="Q59105" s="8"/>
    </row>
    <row r="59106" spans="17:17" x14ac:dyDescent="0.25">
      <c r="Q59106" s="8"/>
    </row>
    <row r="59107" spans="17:17" x14ac:dyDescent="0.25">
      <c r="Q59107" s="8"/>
    </row>
    <row r="59108" spans="17:17" x14ac:dyDescent="0.25">
      <c r="Q59108" s="8"/>
    </row>
    <row r="59109" spans="17:17" x14ac:dyDescent="0.25">
      <c r="Q59109" s="8"/>
    </row>
    <row r="59110" spans="17:17" x14ac:dyDescent="0.25">
      <c r="Q59110" s="8"/>
    </row>
    <row r="59111" spans="17:17" x14ac:dyDescent="0.25">
      <c r="Q59111" s="8"/>
    </row>
    <row r="59112" spans="17:17" x14ac:dyDescent="0.25">
      <c r="Q59112" s="8"/>
    </row>
    <row r="59113" spans="17:17" x14ac:dyDescent="0.25">
      <c r="Q59113" s="8"/>
    </row>
    <row r="59114" spans="17:17" x14ac:dyDescent="0.25">
      <c r="Q59114" s="8"/>
    </row>
    <row r="59115" spans="17:17" x14ac:dyDescent="0.25">
      <c r="Q59115" s="8"/>
    </row>
    <row r="59116" spans="17:17" x14ac:dyDescent="0.25">
      <c r="Q59116" s="8"/>
    </row>
    <row r="59117" spans="17:17" x14ac:dyDescent="0.25">
      <c r="Q59117" s="8"/>
    </row>
    <row r="59118" spans="17:17" x14ac:dyDescent="0.25">
      <c r="Q59118" s="8"/>
    </row>
    <row r="59119" spans="17:17" x14ac:dyDescent="0.25">
      <c r="Q59119" s="8"/>
    </row>
    <row r="59120" spans="17:17" x14ac:dyDescent="0.25">
      <c r="Q59120" s="8"/>
    </row>
    <row r="59121" spans="17:17" x14ac:dyDescent="0.25">
      <c r="Q59121" s="8"/>
    </row>
    <row r="59122" spans="17:17" x14ac:dyDescent="0.25">
      <c r="Q59122" s="8"/>
    </row>
    <row r="59123" spans="17:17" x14ac:dyDescent="0.25">
      <c r="Q59123" s="8"/>
    </row>
    <row r="59124" spans="17:17" x14ac:dyDescent="0.25">
      <c r="Q59124" s="8"/>
    </row>
    <row r="59125" spans="17:17" x14ac:dyDescent="0.25">
      <c r="Q59125" s="8"/>
    </row>
    <row r="59126" spans="17:17" x14ac:dyDescent="0.25">
      <c r="Q59126" s="8"/>
    </row>
    <row r="59127" spans="17:17" x14ac:dyDescent="0.25">
      <c r="Q59127" s="8"/>
    </row>
    <row r="59128" spans="17:17" x14ac:dyDescent="0.25">
      <c r="Q59128" s="8"/>
    </row>
    <row r="59129" spans="17:17" x14ac:dyDescent="0.25">
      <c r="Q59129" s="8"/>
    </row>
    <row r="59130" spans="17:17" x14ac:dyDescent="0.25">
      <c r="Q59130" s="8"/>
    </row>
    <row r="59131" spans="17:17" x14ac:dyDescent="0.25">
      <c r="Q59131" s="8"/>
    </row>
    <row r="59132" spans="17:17" x14ac:dyDescent="0.25">
      <c r="Q59132" s="8"/>
    </row>
    <row r="59133" spans="17:17" x14ac:dyDescent="0.25">
      <c r="Q59133" s="8"/>
    </row>
    <row r="59134" spans="17:17" x14ac:dyDescent="0.25">
      <c r="Q59134" s="8"/>
    </row>
    <row r="59135" spans="17:17" x14ac:dyDescent="0.25">
      <c r="Q59135" s="8"/>
    </row>
    <row r="59136" spans="17:17" x14ac:dyDescent="0.25">
      <c r="Q59136" s="8"/>
    </row>
    <row r="59137" spans="17:17" x14ac:dyDescent="0.25">
      <c r="Q59137" s="8"/>
    </row>
    <row r="59138" spans="17:17" x14ac:dyDescent="0.25">
      <c r="Q59138" s="8"/>
    </row>
    <row r="59139" spans="17:17" x14ac:dyDescent="0.25">
      <c r="Q59139" s="8"/>
    </row>
    <row r="59140" spans="17:17" x14ac:dyDescent="0.25">
      <c r="Q59140" s="8"/>
    </row>
    <row r="59141" spans="17:17" x14ac:dyDescent="0.25">
      <c r="Q59141" s="8"/>
    </row>
    <row r="59142" spans="17:17" x14ac:dyDescent="0.25">
      <c r="Q59142" s="8"/>
    </row>
    <row r="59143" spans="17:17" x14ac:dyDescent="0.25">
      <c r="Q59143" s="8"/>
    </row>
    <row r="59144" spans="17:17" x14ac:dyDescent="0.25">
      <c r="Q59144" s="8"/>
    </row>
    <row r="59145" spans="17:17" x14ac:dyDescent="0.25">
      <c r="Q59145" s="8"/>
    </row>
    <row r="59146" spans="17:17" x14ac:dyDescent="0.25">
      <c r="Q59146" s="8"/>
    </row>
    <row r="59147" spans="17:17" x14ac:dyDescent="0.25">
      <c r="Q59147" s="8"/>
    </row>
    <row r="59148" spans="17:17" x14ac:dyDescent="0.25">
      <c r="Q59148" s="8"/>
    </row>
    <row r="59149" spans="17:17" x14ac:dyDescent="0.25">
      <c r="Q59149" s="8"/>
    </row>
    <row r="59150" spans="17:17" x14ac:dyDescent="0.25">
      <c r="Q59150" s="8"/>
    </row>
    <row r="59151" spans="17:17" x14ac:dyDescent="0.25">
      <c r="Q59151" s="8"/>
    </row>
    <row r="59152" spans="17:17" x14ac:dyDescent="0.25">
      <c r="Q59152" s="8"/>
    </row>
    <row r="59153" spans="17:17" x14ac:dyDescent="0.25">
      <c r="Q59153" s="8"/>
    </row>
    <row r="59154" spans="17:17" x14ac:dyDescent="0.25">
      <c r="Q59154" s="8"/>
    </row>
    <row r="59155" spans="17:17" x14ac:dyDescent="0.25">
      <c r="Q59155" s="8"/>
    </row>
    <row r="59156" spans="17:17" x14ac:dyDescent="0.25">
      <c r="Q59156" s="8"/>
    </row>
    <row r="59157" spans="17:17" x14ac:dyDescent="0.25">
      <c r="Q59157" s="8"/>
    </row>
    <row r="59158" spans="17:17" x14ac:dyDescent="0.25">
      <c r="Q59158" s="8"/>
    </row>
    <row r="59159" spans="17:17" x14ac:dyDescent="0.25">
      <c r="Q59159" s="8"/>
    </row>
    <row r="59160" spans="17:17" x14ac:dyDescent="0.25">
      <c r="Q59160" s="8"/>
    </row>
    <row r="59161" spans="17:17" x14ac:dyDescent="0.25">
      <c r="Q59161" s="8"/>
    </row>
    <row r="59162" spans="17:17" x14ac:dyDescent="0.25">
      <c r="Q59162" s="8"/>
    </row>
    <row r="59163" spans="17:17" x14ac:dyDescent="0.25">
      <c r="Q59163" s="8"/>
    </row>
    <row r="59164" spans="17:17" x14ac:dyDescent="0.25">
      <c r="Q59164" s="8"/>
    </row>
    <row r="59165" spans="17:17" x14ac:dyDescent="0.25">
      <c r="Q59165" s="8"/>
    </row>
    <row r="59166" spans="17:17" x14ac:dyDescent="0.25">
      <c r="Q59166" s="8"/>
    </row>
    <row r="59167" spans="17:17" x14ac:dyDescent="0.25">
      <c r="Q59167" s="8"/>
    </row>
    <row r="59168" spans="17:17" x14ac:dyDescent="0.25">
      <c r="Q59168" s="8"/>
    </row>
    <row r="59169" spans="17:17" x14ac:dyDescent="0.25">
      <c r="Q59169" s="8"/>
    </row>
    <row r="59170" spans="17:17" x14ac:dyDescent="0.25">
      <c r="Q59170" s="8"/>
    </row>
    <row r="59171" spans="17:17" x14ac:dyDescent="0.25">
      <c r="Q59171" s="8"/>
    </row>
    <row r="59172" spans="17:17" x14ac:dyDescent="0.25">
      <c r="Q59172" s="8"/>
    </row>
    <row r="59173" spans="17:17" x14ac:dyDescent="0.25">
      <c r="Q59173" s="8"/>
    </row>
    <row r="59174" spans="17:17" x14ac:dyDescent="0.25">
      <c r="Q59174" s="8"/>
    </row>
    <row r="59175" spans="17:17" x14ac:dyDescent="0.25">
      <c r="Q59175" s="8"/>
    </row>
    <row r="59176" spans="17:17" x14ac:dyDescent="0.25">
      <c r="Q59176" s="8"/>
    </row>
    <row r="59177" spans="17:17" x14ac:dyDescent="0.25">
      <c r="Q59177" s="8"/>
    </row>
    <row r="59178" spans="17:17" x14ac:dyDescent="0.25">
      <c r="Q59178" s="8"/>
    </row>
    <row r="59179" spans="17:17" x14ac:dyDescent="0.25">
      <c r="Q59179" s="8"/>
    </row>
    <row r="59180" spans="17:17" x14ac:dyDescent="0.25">
      <c r="Q59180" s="8"/>
    </row>
    <row r="59181" spans="17:17" x14ac:dyDescent="0.25">
      <c r="Q59181" s="8"/>
    </row>
    <row r="59182" spans="17:17" x14ac:dyDescent="0.25">
      <c r="Q59182" s="8"/>
    </row>
    <row r="59183" spans="17:17" x14ac:dyDescent="0.25">
      <c r="Q59183" s="8"/>
    </row>
    <row r="59184" spans="17:17" x14ac:dyDescent="0.25">
      <c r="Q59184" s="8"/>
    </row>
    <row r="59185" spans="17:17" x14ac:dyDescent="0.25">
      <c r="Q59185" s="8"/>
    </row>
    <row r="59186" spans="17:17" x14ac:dyDescent="0.25">
      <c r="Q59186" s="8"/>
    </row>
    <row r="59187" spans="17:17" x14ac:dyDescent="0.25">
      <c r="Q59187" s="8"/>
    </row>
    <row r="59188" spans="17:17" x14ac:dyDescent="0.25">
      <c r="Q59188" s="8"/>
    </row>
    <row r="59189" spans="17:17" x14ac:dyDescent="0.25">
      <c r="Q59189" s="8"/>
    </row>
    <row r="59190" spans="17:17" x14ac:dyDescent="0.25">
      <c r="Q59190" s="8"/>
    </row>
    <row r="59191" spans="17:17" x14ac:dyDescent="0.25">
      <c r="Q59191" s="8"/>
    </row>
    <row r="59192" spans="17:17" x14ac:dyDescent="0.25">
      <c r="Q59192" s="8"/>
    </row>
    <row r="59193" spans="17:17" x14ac:dyDescent="0.25">
      <c r="Q59193" s="8"/>
    </row>
    <row r="59194" spans="17:17" x14ac:dyDescent="0.25">
      <c r="Q59194" s="8"/>
    </row>
    <row r="59195" spans="17:17" x14ac:dyDescent="0.25">
      <c r="Q59195" s="8"/>
    </row>
    <row r="59196" spans="17:17" x14ac:dyDescent="0.25">
      <c r="Q59196" s="8"/>
    </row>
    <row r="59197" spans="17:17" x14ac:dyDescent="0.25">
      <c r="Q59197" s="8"/>
    </row>
    <row r="59198" spans="17:17" x14ac:dyDescent="0.25">
      <c r="Q59198" s="8"/>
    </row>
    <row r="59199" spans="17:17" x14ac:dyDescent="0.25">
      <c r="Q59199" s="8"/>
    </row>
    <row r="59200" spans="17:17" x14ac:dyDescent="0.25">
      <c r="Q59200" s="8"/>
    </row>
    <row r="59201" spans="17:17" x14ac:dyDescent="0.25">
      <c r="Q59201" s="8"/>
    </row>
    <row r="59202" spans="17:17" x14ac:dyDescent="0.25">
      <c r="Q59202" s="8"/>
    </row>
    <row r="59203" spans="17:17" x14ac:dyDescent="0.25">
      <c r="Q59203" s="8"/>
    </row>
    <row r="59204" spans="17:17" x14ac:dyDescent="0.25">
      <c r="Q59204" s="8"/>
    </row>
    <row r="59205" spans="17:17" x14ac:dyDescent="0.25">
      <c r="Q59205" s="8"/>
    </row>
    <row r="59206" spans="17:17" x14ac:dyDescent="0.25">
      <c r="Q59206" s="8"/>
    </row>
    <row r="59207" spans="17:17" x14ac:dyDescent="0.25">
      <c r="Q59207" s="8"/>
    </row>
    <row r="59208" spans="17:17" x14ac:dyDescent="0.25">
      <c r="Q59208" s="8"/>
    </row>
    <row r="59209" spans="17:17" x14ac:dyDescent="0.25">
      <c r="Q59209" s="8"/>
    </row>
    <row r="59210" spans="17:17" x14ac:dyDescent="0.25">
      <c r="Q59210" s="8"/>
    </row>
    <row r="59211" spans="17:17" x14ac:dyDescent="0.25">
      <c r="Q59211" s="8"/>
    </row>
    <row r="59212" spans="17:17" x14ac:dyDescent="0.25">
      <c r="Q59212" s="8"/>
    </row>
    <row r="59213" spans="17:17" x14ac:dyDescent="0.25">
      <c r="Q59213" s="8"/>
    </row>
    <row r="59214" spans="17:17" x14ac:dyDescent="0.25">
      <c r="Q59214" s="8"/>
    </row>
    <row r="59215" spans="17:17" x14ac:dyDescent="0.25">
      <c r="Q59215" s="8"/>
    </row>
    <row r="59216" spans="17:17" x14ac:dyDescent="0.25">
      <c r="Q59216" s="8"/>
    </row>
    <row r="59217" spans="17:17" x14ac:dyDescent="0.25">
      <c r="Q59217" s="8"/>
    </row>
    <row r="59218" spans="17:17" x14ac:dyDescent="0.25">
      <c r="Q59218" s="8"/>
    </row>
    <row r="59219" spans="17:17" x14ac:dyDescent="0.25">
      <c r="Q59219" s="8"/>
    </row>
    <row r="59220" spans="17:17" x14ac:dyDescent="0.25">
      <c r="Q59220" s="8"/>
    </row>
    <row r="59221" spans="17:17" x14ac:dyDescent="0.25">
      <c r="Q59221" s="8"/>
    </row>
    <row r="59222" spans="17:17" x14ac:dyDescent="0.25">
      <c r="Q59222" s="8"/>
    </row>
    <row r="59223" spans="17:17" x14ac:dyDescent="0.25">
      <c r="Q59223" s="8"/>
    </row>
    <row r="59224" spans="17:17" x14ac:dyDescent="0.25">
      <c r="Q59224" s="8"/>
    </row>
    <row r="59225" spans="17:17" x14ac:dyDescent="0.25">
      <c r="Q59225" s="8"/>
    </row>
    <row r="59226" spans="17:17" x14ac:dyDescent="0.25">
      <c r="Q59226" s="8"/>
    </row>
    <row r="59227" spans="17:17" x14ac:dyDescent="0.25">
      <c r="Q59227" s="8"/>
    </row>
    <row r="59228" spans="17:17" x14ac:dyDescent="0.25">
      <c r="Q59228" s="8"/>
    </row>
    <row r="59229" spans="17:17" x14ac:dyDescent="0.25">
      <c r="Q59229" s="8"/>
    </row>
    <row r="59230" spans="17:17" x14ac:dyDescent="0.25">
      <c r="Q59230" s="8"/>
    </row>
    <row r="59231" spans="17:17" x14ac:dyDescent="0.25">
      <c r="Q59231" s="8"/>
    </row>
    <row r="59232" spans="17:17" x14ac:dyDescent="0.25">
      <c r="Q59232" s="8"/>
    </row>
    <row r="59233" spans="17:17" x14ac:dyDescent="0.25">
      <c r="Q59233" s="8"/>
    </row>
    <row r="59234" spans="17:17" x14ac:dyDescent="0.25">
      <c r="Q59234" s="8"/>
    </row>
    <row r="59235" spans="17:17" x14ac:dyDescent="0.25">
      <c r="Q59235" s="8"/>
    </row>
    <row r="59236" spans="17:17" x14ac:dyDescent="0.25">
      <c r="Q59236" s="8"/>
    </row>
    <row r="59237" spans="17:17" x14ac:dyDescent="0.25">
      <c r="Q59237" s="8"/>
    </row>
    <row r="59238" spans="17:17" x14ac:dyDescent="0.25">
      <c r="Q59238" s="8"/>
    </row>
    <row r="59239" spans="17:17" x14ac:dyDescent="0.25">
      <c r="Q59239" s="8"/>
    </row>
    <row r="59240" spans="17:17" x14ac:dyDescent="0.25">
      <c r="Q59240" s="8"/>
    </row>
    <row r="59241" spans="17:17" x14ac:dyDescent="0.25">
      <c r="Q59241" s="8"/>
    </row>
    <row r="59242" spans="17:17" x14ac:dyDescent="0.25">
      <c r="Q59242" s="8"/>
    </row>
    <row r="59243" spans="17:17" x14ac:dyDescent="0.25">
      <c r="Q59243" s="8"/>
    </row>
    <row r="59244" spans="17:17" x14ac:dyDescent="0.25">
      <c r="Q59244" s="8"/>
    </row>
    <row r="59245" spans="17:17" x14ac:dyDescent="0.25">
      <c r="Q59245" s="8"/>
    </row>
    <row r="59246" spans="17:17" x14ac:dyDescent="0.25">
      <c r="Q59246" s="8"/>
    </row>
    <row r="59247" spans="17:17" x14ac:dyDescent="0.25">
      <c r="Q59247" s="8"/>
    </row>
    <row r="59248" spans="17:17" x14ac:dyDescent="0.25">
      <c r="Q59248" s="8"/>
    </row>
    <row r="59249" spans="17:17" x14ac:dyDescent="0.25">
      <c r="Q59249" s="8"/>
    </row>
    <row r="59250" spans="17:17" x14ac:dyDescent="0.25">
      <c r="Q59250" s="8"/>
    </row>
    <row r="59251" spans="17:17" x14ac:dyDescent="0.25">
      <c r="Q59251" s="8"/>
    </row>
    <row r="59252" spans="17:17" x14ac:dyDescent="0.25">
      <c r="Q59252" s="8"/>
    </row>
    <row r="59253" spans="17:17" x14ac:dyDescent="0.25">
      <c r="Q59253" s="8"/>
    </row>
    <row r="59254" spans="17:17" x14ac:dyDescent="0.25">
      <c r="Q59254" s="8"/>
    </row>
    <row r="59255" spans="17:17" x14ac:dyDescent="0.25">
      <c r="Q59255" s="8"/>
    </row>
    <row r="59256" spans="17:17" x14ac:dyDescent="0.25">
      <c r="Q59256" s="8"/>
    </row>
    <row r="59257" spans="17:17" x14ac:dyDescent="0.25">
      <c r="Q59257" s="8"/>
    </row>
    <row r="59258" spans="17:17" x14ac:dyDescent="0.25">
      <c r="Q59258" s="8"/>
    </row>
    <row r="59259" spans="17:17" x14ac:dyDescent="0.25">
      <c r="Q59259" s="8"/>
    </row>
    <row r="59260" spans="17:17" x14ac:dyDescent="0.25">
      <c r="Q59260" s="8"/>
    </row>
    <row r="59261" spans="17:17" x14ac:dyDescent="0.25">
      <c r="Q59261" s="8"/>
    </row>
    <row r="59262" spans="17:17" x14ac:dyDescent="0.25">
      <c r="Q59262" s="8"/>
    </row>
    <row r="59263" spans="17:17" x14ac:dyDescent="0.25">
      <c r="Q59263" s="8"/>
    </row>
    <row r="59264" spans="17:17" x14ac:dyDescent="0.25">
      <c r="Q59264" s="8"/>
    </row>
    <row r="59265" spans="17:17" x14ac:dyDescent="0.25">
      <c r="Q59265" s="8"/>
    </row>
    <row r="59266" spans="17:17" x14ac:dyDescent="0.25">
      <c r="Q59266" s="8"/>
    </row>
    <row r="59267" spans="17:17" x14ac:dyDescent="0.25">
      <c r="Q59267" s="8"/>
    </row>
    <row r="59268" spans="17:17" x14ac:dyDescent="0.25">
      <c r="Q59268" s="8"/>
    </row>
    <row r="59269" spans="17:17" x14ac:dyDescent="0.25">
      <c r="Q59269" s="8"/>
    </row>
    <row r="59270" spans="17:17" x14ac:dyDescent="0.25">
      <c r="Q59270" s="8"/>
    </row>
    <row r="59271" spans="17:17" x14ac:dyDescent="0.25">
      <c r="Q59271" s="8"/>
    </row>
    <row r="59272" spans="17:17" x14ac:dyDescent="0.25">
      <c r="Q59272" s="8"/>
    </row>
    <row r="59273" spans="17:17" x14ac:dyDescent="0.25">
      <c r="Q59273" s="8"/>
    </row>
    <row r="59274" spans="17:17" x14ac:dyDescent="0.25">
      <c r="Q59274" s="8"/>
    </row>
    <row r="59275" spans="17:17" x14ac:dyDescent="0.25">
      <c r="Q59275" s="8"/>
    </row>
    <row r="59276" spans="17:17" x14ac:dyDescent="0.25">
      <c r="Q59276" s="8"/>
    </row>
    <row r="59277" spans="17:17" x14ac:dyDescent="0.25">
      <c r="Q59277" s="8"/>
    </row>
    <row r="59278" spans="17:17" x14ac:dyDescent="0.25">
      <c r="Q59278" s="8"/>
    </row>
    <row r="59279" spans="17:17" x14ac:dyDescent="0.25">
      <c r="Q59279" s="8"/>
    </row>
    <row r="59280" spans="17:17" x14ac:dyDescent="0.25">
      <c r="Q59280" s="8"/>
    </row>
    <row r="59281" spans="17:17" x14ac:dyDescent="0.25">
      <c r="Q59281" s="8"/>
    </row>
    <row r="59282" spans="17:17" x14ac:dyDescent="0.25">
      <c r="Q59282" s="8"/>
    </row>
    <row r="59283" spans="17:17" x14ac:dyDescent="0.25">
      <c r="Q59283" s="8"/>
    </row>
    <row r="59284" spans="17:17" x14ac:dyDescent="0.25">
      <c r="Q59284" s="8"/>
    </row>
    <row r="59285" spans="17:17" x14ac:dyDescent="0.25">
      <c r="Q59285" s="8"/>
    </row>
    <row r="59286" spans="17:17" x14ac:dyDescent="0.25">
      <c r="Q59286" s="8"/>
    </row>
    <row r="59287" spans="17:17" x14ac:dyDescent="0.25">
      <c r="Q59287" s="8"/>
    </row>
    <row r="59288" spans="17:17" x14ac:dyDescent="0.25">
      <c r="Q59288" s="8"/>
    </row>
    <row r="59289" spans="17:17" x14ac:dyDescent="0.25">
      <c r="Q59289" s="8"/>
    </row>
    <row r="59290" spans="17:17" x14ac:dyDescent="0.25">
      <c r="Q59290" s="8"/>
    </row>
    <row r="59291" spans="17:17" x14ac:dyDescent="0.25">
      <c r="Q59291" s="8"/>
    </row>
    <row r="59292" spans="17:17" x14ac:dyDescent="0.25">
      <c r="Q59292" s="8"/>
    </row>
    <row r="59293" spans="17:17" x14ac:dyDescent="0.25">
      <c r="Q59293" s="8"/>
    </row>
    <row r="59294" spans="17:17" x14ac:dyDescent="0.25">
      <c r="Q59294" s="8"/>
    </row>
    <row r="59295" spans="17:17" x14ac:dyDescent="0.25">
      <c r="Q59295" s="8"/>
    </row>
    <row r="59296" spans="17:17" x14ac:dyDescent="0.25">
      <c r="Q59296" s="8"/>
    </row>
    <row r="59297" spans="17:17" x14ac:dyDescent="0.25">
      <c r="Q59297" s="8"/>
    </row>
    <row r="59298" spans="17:17" x14ac:dyDescent="0.25">
      <c r="Q59298" s="8"/>
    </row>
    <row r="59299" spans="17:17" x14ac:dyDescent="0.25">
      <c r="Q59299" s="8"/>
    </row>
    <row r="59300" spans="17:17" x14ac:dyDescent="0.25">
      <c r="Q59300" s="8"/>
    </row>
    <row r="59301" spans="17:17" x14ac:dyDescent="0.25">
      <c r="Q59301" s="8"/>
    </row>
    <row r="59302" spans="17:17" x14ac:dyDescent="0.25">
      <c r="Q59302" s="8"/>
    </row>
    <row r="59303" spans="17:17" x14ac:dyDescent="0.25">
      <c r="Q59303" s="8"/>
    </row>
    <row r="59304" spans="17:17" x14ac:dyDescent="0.25">
      <c r="Q59304" s="8"/>
    </row>
    <row r="59305" spans="17:17" x14ac:dyDescent="0.25">
      <c r="Q59305" s="8"/>
    </row>
    <row r="59306" spans="17:17" x14ac:dyDescent="0.25">
      <c r="Q59306" s="8"/>
    </row>
    <row r="59307" spans="17:17" x14ac:dyDescent="0.25">
      <c r="Q59307" s="8"/>
    </row>
    <row r="59308" spans="17:17" x14ac:dyDescent="0.25">
      <c r="Q59308" s="8"/>
    </row>
    <row r="59309" spans="17:17" x14ac:dyDescent="0.25">
      <c r="Q59309" s="8"/>
    </row>
    <row r="59310" spans="17:17" x14ac:dyDescent="0.25">
      <c r="Q59310" s="8"/>
    </row>
    <row r="59311" spans="17:17" x14ac:dyDescent="0.25">
      <c r="Q59311" s="8"/>
    </row>
    <row r="59312" spans="17:17" x14ac:dyDescent="0.25">
      <c r="Q59312" s="8"/>
    </row>
    <row r="59313" spans="17:17" x14ac:dyDescent="0.25">
      <c r="Q59313" s="8"/>
    </row>
    <row r="59314" spans="17:17" x14ac:dyDescent="0.25">
      <c r="Q59314" s="8"/>
    </row>
    <row r="59315" spans="17:17" x14ac:dyDescent="0.25">
      <c r="Q59315" s="8"/>
    </row>
    <row r="59316" spans="17:17" x14ac:dyDescent="0.25">
      <c r="Q59316" s="8"/>
    </row>
    <row r="59317" spans="17:17" x14ac:dyDescent="0.25">
      <c r="Q59317" s="8"/>
    </row>
    <row r="59318" spans="17:17" x14ac:dyDescent="0.25">
      <c r="Q59318" s="8"/>
    </row>
    <row r="59319" spans="17:17" x14ac:dyDescent="0.25">
      <c r="Q59319" s="8"/>
    </row>
    <row r="59320" spans="17:17" x14ac:dyDescent="0.25">
      <c r="Q59320" s="8"/>
    </row>
    <row r="59321" spans="17:17" x14ac:dyDescent="0.25">
      <c r="Q59321" s="8"/>
    </row>
    <row r="59322" spans="17:17" x14ac:dyDescent="0.25">
      <c r="Q59322" s="8"/>
    </row>
    <row r="59323" spans="17:17" x14ac:dyDescent="0.25">
      <c r="Q59323" s="8"/>
    </row>
    <row r="59324" spans="17:17" x14ac:dyDescent="0.25">
      <c r="Q59324" s="8"/>
    </row>
    <row r="59325" spans="17:17" x14ac:dyDescent="0.25">
      <c r="Q59325" s="8"/>
    </row>
    <row r="59326" spans="17:17" x14ac:dyDescent="0.25">
      <c r="Q59326" s="8"/>
    </row>
    <row r="59327" spans="17:17" x14ac:dyDescent="0.25">
      <c r="Q59327" s="8"/>
    </row>
    <row r="59328" spans="17:17" x14ac:dyDescent="0.25">
      <c r="Q59328" s="8"/>
    </row>
    <row r="59329" spans="17:17" x14ac:dyDescent="0.25">
      <c r="Q59329" s="8"/>
    </row>
    <row r="59330" spans="17:17" x14ac:dyDescent="0.25">
      <c r="Q59330" s="8"/>
    </row>
    <row r="59331" spans="17:17" x14ac:dyDescent="0.25">
      <c r="Q59331" s="8"/>
    </row>
    <row r="59332" spans="17:17" x14ac:dyDescent="0.25">
      <c r="Q59332" s="8"/>
    </row>
    <row r="59333" spans="17:17" x14ac:dyDescent="0.25">
      <c r="Q59333" s="8"/>
    </row>
    <row r="59334" spans="17:17" x14ac:dyDescent="0.25">
      <c r="Q59334" s="8"/>
    </row>
    <row r="59335" spans="17:17" x14ac:dyDescent="0.25">
      <c r="Q59335" s="8"/>
    </row>
    <row r="59336" spans="17:17" x14ac:dyDescent="0.25">
      <c r="Q59336" s="8"/>
    </row>
    <row r="59337" spans="17:17" x14ac:dyDescent="0.25">
      <c r="Q59337" s="8"/>
    </row>
    <row r="59338" spans="17:17" x14ac:dyDescent="0.25">
      <c r="Q59338" s="8"/>
    </row>
    <row r="59339" spans="17:17" x14ac:dyDescent="0.25">
      <c r="Q59339" s="8"/>
    </row>
    <row r="59340" spans="17:17" x14ac:dyDescent="0.25">
      <c r="Q59340" s="8"/>
    </row>
    <row r="59341" spans="17:17" x14ac:dyDescent="0.25">
      <c r="Q59341" s="8"/>
    </row>
    <row r="59342" spans="17:17" x14ac:dyDescent="0.25">
      <c r="Q59342" s="8"/>
    </row>
    <row r="59343" spans="17:17" x14ac:dyDescent="0.25">
      <c r="Q59343" s="8"/>
    </row>
    <row r="59344" spans="17:17" x14ac:dyDescent="0.25">
      <c r="Q59344" s="8"/>
    </row>
    <row r="59345" spans="17:17" x14ac:dyDescent="0.25">
      <c r="Q59345" s="8"/>
    </row>
    <row r="59346" spans="17:17" x14ac:dyDescent="0.25">
      <c r="Q59346" s="8"/>
    </row>
    <row r="59347" spans="17:17" x14ac:dyDescent="0.25">
      <c r="Q59347" s="8"/>
    </row>
    <row r="59348" spans="17:17" x14ac:dyDescent="0.25">
      <c r="Q59348" s="8"/>
    </row>
    <row r="59349" spans="17:17" x14ac:dyDescent="0.25">
      <c r="Q59349" s="8"/>
    </row>
    <row r="59350" spans="17:17" x14ac:dyDescent="0.25">
      <c r="Q59350" s="8"/>
    </row>
    <row r="59351" spans="17:17" x14ac:dyDescent="0.25">
      <c r="Q59351" s="8"/>
    </row>
    <row r="59352" spans="17:17" x14ac:dyDescent="0.25">
      <c r="Q59352" s="8"/>
    </row>
    <row r="59353" spans="17:17" x14ac:dyDescent="0.25">
      <c r="Q59353" s="8"/>
    </row>
    <row r="59354" spans="17:17" x14ac:dyDescent="0.25">
      <c r="Q59354" s="8"/>
    </row>
    <row r="59355" spans="17:17" x14ac:dyDescent="0.25">
      <c r="Q59355" s="8"/>
    </row>
    <row r="59356" spans="17:17" x14ac:dyDescent="0.25">
      <c r="Q59356" s="8"/>
    </row>
    <row r="59357" spans="17:17" x14ac:dyDescent="0.25">
      <c r="Q59357" s="8"/>
    </row>
    <row r="59358" spans="17:17" x14ac:dyDescent="0.25">
      <c r="Q59358" s="8"/>
    </row>
    <row r="59359" spans="17:17" x14ac:dyDescent="0.25">
      <c r="Q59359" s="8"/>
    </row>
    <row r="59360" spans="17:17" x14ac:dyDescent="0.25">
      <c r="Q59360" s="8"/>
    </row>
    <row r="59361" spans="17:17" x14ac:dyDescent="0.25">
      <c r="Q59361" s="8"/>
    </row>
    <row r="59362" spans="17:17" x14ac:dyDescent="0.25">
      <c r="Q59362" s="8"/>
    </row>
    <row r="59363" spans="17:17" x14ac:dyDescent="0.25">
      <c r="Q59363" s="8"/>
    </row>
    <row r="59364" spans="17:17" x14ac:dyDescent="0.25">
      <c r="Q59364" s="8"/>
    </row>
    <row r="59365" spans="17:17" x14ac:dyDescent="0.25">
      <c r="Q59365" s="8"/>
    </row>
    <row r="59366" spans="17:17" x14ac:dyDescent="0.25">
      <c r="Q59366" s="8"/>
    </row>
    <row r="59367" spans="17:17" x14ac:dyDescent="0.25">
      <c r="Q59367" s="8"/>
    </row>
    <row r="59368" spans="17:17" x14ac:dyDescent="0.25">
      <c r="Q59368" s="8"/>
    </row>
    <row r="59369" spans="17:17" x14ac:dyDescent="0.25">
      <c r="Q59369" s="8"/>
    </row>
    <row r="59370" spans="17:17" x14ac:dyDescent="0.25">
      <c r="Q59370" s="8"/>
    </row>
    <row r="59371" spans="17:17" x14ac:dyDescent="0.25">
      <c r="Q59371" s="8"/>
    </row>
    <row r="59372" spans="17:17" x14ac:dyDescent="0.25">
      <c r="Q59372" s="8"/>
    </row>
    <row r="59373" spans="17:17" x14ac:dyDescent="0.25">
      <c r="Q59373" s="8"/>
    </row>
    <row r="59374" spans="17:17" x14ac:dyDescent="0.25">
      <c r="Q59374" s="8"/>
    </row>
    <row r="59375" spans="17:17" x14ac:dyDescent="0.25">
      <c r="Q59375" s="8"/>
    </row>
    <row r="59376" spans="17:17" x14ac:dyDescent="0.25">
      <c r="Q59376" s="8"/>
    </row>
    <row r="59377" spans="17:17" x14ac:dyDescent="0.25">
      <c r="Q59377" s="8"/>
    </row>
    <row r="59378" spans="17:17" x14ac:dyDescent="0.25">
      <c r="Q59378" s="8"/>
    </row>
    <row r="59379" spans="17:17" x14ac:dyDescent="0.25">
      <c r="Q59379" s="8"/>
    </row>
    <row r="59380" spans="17:17" x14ac:dyDescent="0.25">
      <c r="Q59380" s="8"/>
    </row>
    <row r="59381" spans="17:17" x14ac:dyDescent="0.25">
      <c r="Q59381" s="8"/>
    </row>
    <row r="59382" spans="17:17" x14ac:dyDescent="0.25">
      <c r="Q59382" s="8"/>
    </row>
    <row r="59383" spans="17:17" x14ac:dyDescent="0.25">
      <c r="Q59383" s="8"/>
    </row>
    <row r="59384" spans="17:17" x14ac:dyDescent="0.25">
      <c r="Q59384" s="8"/>
    </row>
    <row r="59385" spans="17:17" x14ac:dyDescent="0.25">
      <c r="Q59385" s="8"/>
    </row>
    <row r="59386" spans="17:17" x14ac:dyDescent="0.25">
      <c r="Q59386" s="8"/>
    </row>
    <row r="59387" spans="17:17" x14ac:dyDescent="0.25">
      <c r="Q59387" s="8"/>
    </row>
    <row r="59388" spans="17:17" x14ac:dyDescent="0.25">
      <c r="Q59388" s="8"/>
    </row>
    <row r="59389" spans="17:17" x14ac:dyDescent="0.25">
      <c r="Q59389" s="8"/>
    </row>
    <row r="59390" spans="17:17" x14ac:dyDescent="0.25">
      <c r="Q59390" s="8"/>
    </row>
    <row r="59391" spans="17:17" x14ac:dyDescent="0.25">
      <c r="Q59391" s="8"/>
    </row>
    <row r="59392" spans="17:17" x14ac:dyDescent="0.25">
      <c r="Q59392" s="8"/>
    </row>
    <row r="59393" spans="17:17" x14ac:dyDescent="0.25">
      <c r="Q59393" s="8"/>
    </row>
    <row r="59394" spans="17:17" x14ac:dyDescent="0.25">
      <c r="Q59394" s="8"/>
    </row>
    <row r="59395" spans="17:17" x14ac:dyDescent="0.25">
      <c r="Q59395" s="8"/>
    </row>
    <row r="59396" spans="17:17" x14ac:dyDescent="0.25">
      <c r="Q59396" s="8"/>
    </row>
    <row r="59397" spans="17:17" x14ac:dyDescent="0.25">
      <c r="Q59397" s="8"/>
    </row>
    <row r="59398" spans="17:17" x14ac:dyDescent="0.25">
      <c r="Q59398" s="8"/>
    </row>
    <row r="59399" spans="17:17" x14ac:dyDescent="0.25">
      <c r="Q59399" s="8"/>
    </row>
    <row r="59400" spans="17:17" x14ac:dyDescent="0.25">
      <c r="Q59400" s="8"/>
    </row>
    <row r="59401" spans="17:17" x14ac:dyDescent="0.25">
      <c r="Q59401" s="8"/>
    </row>
    <row r="59402" spans="17:17" x14ac:dyDescent="0.25">
      <c r="Q59402" s="8"/>
    </row>
    <row r="59403" spans="17:17" x14ac:dyDescent="0.25">
      <c r="Q59403" s="8"/>
    </row>
    <row r="59404" spans="17:17" x14ac:dyDescent="0.25">
      <c r="Q59404" s="8"/>
    </row>
    <row r="59405" spans="17:17" x14ac:dyDescent="0.25">
      <c r="Q59405" s="8"/>
    </row>
    <row r="59406" spans="17:17" x14ac:dyDescent="0.25">
      <c r="Q59406" s="8"/>
    </row>
    <row r="59407" spans="17:17" x14ac:dyDescent="0.25">
      <c r="Q59407" s="8"/>
    </row>
    <row r="59408" spans="17:17" x14ac:dyDescent="0.25">
      <c r="Q59408" s="8"/>
    </row>
    <row r="59409" spans="17:17" x14ac:dyDescent="0.25">
      <c r="Q59409" s="8"/>
    </row>
    <row r="59410" spans="17:17" x14ac:dyDescent="0.25">
      <c r="Q59410" s="8"/>
    </row>
    <row r="59411" spans="17:17" x14ac:dyDescent="0.25">
      <c r="Q59411" s="8"/>
    </row>
    <row r="59412" spans="17:17" x14ac:dyDescent="0.25">
      <c r="Q59412" s="8"/>
    </row>
    <row r="59413" spans="17:17" x14ac:dyDescent="0.25">
      <c r="Q59413" s="8"/>
    </row>
    <row r="59414" spans="17:17" x14ac:dyDescent="0.25">
      <c r="Q59414" s="8"/>
    </row>
    <row r="59415" spans="17:17" x14ac:dyDescent="0.25">
      <c r="Q59415" s="8"/>
    </row>
    <row r="59416" spans="17:17" x14ac:dyDescent="0.25">
      <c r="Q59416" s="8"/>
    </row>
    <row r="59417" spans="17:17" x14ac:dyDescent="0.25">
      <c r="Q59417" s="8"/>
    </row>
    <row r="59418" spans="17:17" x14ac:dyDescent="0.25">
      <c r="Q59418" s="8"/>
    </row>
    <row r="59419" spans="17:17" x14ac:dyDescent="0.25">
      <c r="Q59419" s="8"/>
    </row>
    <row r="59420" spans="17:17" x14ac:dyDescent="0.25">
      <c r="Q59420" s="8"/>
    </row>
    <row r="59421" spans="17:17" x14ac:dyDescent="0.25">
      <c r="Q59421" s="8"/>
    </row>
    <row r="59422" spans="17:17" x14ac:dyDescent="0.25">
      <c r="Q59422" s="8"/>
    </row>
    <row r="59423" spans="17:17" x14ac:dyDescent="0.25">
      <c r="Q59423" s="8"/>
    </row>
    <row r="59424" spans="17:17" x14ac:dyDescent="0.25">
      <c r="Q59424" s="8"/>
    </row>
    <row r="59425" spans="17:17" x14ac:dyDescent="0.25">
      <c r="Q59425" s="8"/>
    </row>
    <row r="59426" spans="17:17" x14ac:dyDescent="0.25">
      <c r="Q59426" s="8"/>
    </row>
    <row r="59427" spans="17:17" x14ac:dyDescent="0.25">
      <c r="Q59427" s="8"/>
    </row>
    <row r="59428" spans="17:17" x14ac:dyDescent="0.25">
      <c r="Q59428" s="8"/>
    </row>
    <row r="59429" spans="17:17" x14ac:dyDescent="0.25">
      <c r="Q59429" s="8"/>
    </row>
    <row r="59430" spans="17:17" x14ac:dyDescent="0.25">
      <c r="Q59430" s="8"/>
    </row>
    <row r="59431" spans="17:17" x14ac:dyDescent="0.25">
      <c r="Q59431" s="8"/>
    </row>
    <row r="59432" spans="17:17" x14ac:dyDescent="0.25">
      <c r="Q59432" s="8"/>
    </row>
    <row r="59433" spans="17:17" x14ac:dyDescent="0.25">
      <c r="Q59433" s="8"/>
    </row>
    <row r="59434" spans="17:17" x14ac:dyDescent="0.25">
      <c r="Q59434" s="8"/>
    </row>
    <row r="59435" spans="17:17" x14ac:dyDescent="0.25">
      <c r="Q59435" s="8"/>
    </row>
    <row r="59436" spans="17:17" x14ac:dyDescent="0.25">
      <c r="Q59436" s="8"/>
    </row>
    <row r="59437" spans="17:17" x14ac:dyDescent="0.25">
      <c r="Q59437" s="8"/>
    </row>
    <row r="59438" spans="17:17" x14ac:dyDescent="0.25">
      <c r="Q59438" s="8"/>
    </row>
    <row r="59439" spans="17:17" x14ac:dyDescent="0.25">
      <c r="Q59439" s="8"/>
    </row>
    <row r="59440" spans="17:17" x14ac:dyDescent="0.25">
      <c r="Q59440" s="8"/>
    </row>
    <row r="59441" spans="17:17" x14ac:dyDescent="0.25">
      <c r="Q59441" s="8"/>
    </row>
    <row r="59442" spans="17:17" x14ac:dyDescent="0.25">
      <c r="Q59442" s="8"/>
    </row>
    <row r="59443" spans="17:17" x14ac:dyDescent="0.25">
      <c r="Q59443" s="8"/>
    </row>
    <row r="59444" spans="17:17" x14ac:dyDescent="0.25">
      <c r="Q59444" s="8"/>
    </row>
    <row r="59445" spans="17:17" x14ac:dyDescent="0.25">
      <c r="Q59445" s="8"/>
    </row>
    <row r="59446" spans="17:17" x14ac:dyDescent="0.25">
      <c r="Q59446" s="8"/>
    </row>
    <row r="59447" spans="17:17" x14ac:dyDescent="0.25">
      <c r="Q59447" s="8"/>
    </row>
    <row r="59448" spans="17:17" x14ac:dyDescent="0.25">
      <c r="Q59448" s="8"/>
    </row>
    <row r="59449" spans="17:17" x14ac:dyDescent="0.25">
      <c r="Q59449" s="8"/>
    </row>
    <row r="59450" spans="17:17" x14ac:dyDescent="0.25">
      <c r="Q59450" s="8"/>
    </row>
    <row r="59451" spans="17:17" x14ac:dyDescent="0.25">
      <c r="Q59451" s="8"/>
    </row>
    <row r="59452" spans="17:17" x14ac:dyDescent="0.25">
      <c r="Q59452" s="8"/>
    </row>
    <row r="59453" spans="17:17" x14ac:dyDescent="0.25">
      <c r="Q59453" s="8"/>
    </row>
    <row r="59454" spans="17:17" x14ac:dyDescent="0.25">
      <c r="Q59454" s="8"/>
    </row>
    <row r="59455" spans="17:17" x14ac:dyDescent="0.25">
      <c r="Q59455" s="8"/>
    </row>
    <row r="59456" spans="17:17" x14ac:dyDescent="0.25">
      <c r="Q59456" s="8"/>
    </row>
    <row r="59457" spans="17:17" x14ac:dyDescent="0.25">
      <c r="Q59457" s="8"/>
    </row>
    <row r="59458" spans="17:17" x14ac:dyDescent="0.25">
      <c r="Q59458" s="8"/>
    </row>
    <row r="59459" spans="17:17" x14ac:dyDescent="0.25">
      <c r="Q59459" s="8"/>
    </row>
    <row r="59460" spans="17:17" x14ac:dyDescent="0.25">
      <c r="Q59460" s="8"/>
    </row>
    <row r="59461" spans="17:17" x14ac:dyDescent="0.25">
      <c r="Q59461" s="8"/>
    </row>
    <row r="59462" spans="17:17" x14ac:dyDescent="0.25">
      <c r="Q59462" s="8"/>
    </row>
    <row r="59463" spans="17:17" x14ac:dyDescent="0.25">
      <c r="Q59463" s="8"/>
    </row>
    <row r="59464" spans="17:17" x14ac:dyDescent="0.25">
      <c r="Q59464" s="8"/>
    </row>
    <row r="59465" spans="17:17" x14ac:dyDescent="0.25">
      <c r="Q59465" s="8"/>
    </row>
    <row r="59466" spans="17:17" x14ac:dyDescent="0.25">
      <c r="Q59466" s="8"/>
    </row>
    <row r="59467" spans="17:17" x14ac:dyDescent="0.25">
      <c r="Q59467" s="8"/>
    </row>
    <row r="59468" spans="17:17" x14ac:dyDescent="0.25">
      <c r="Q59468" s="8"/>
    </row>
    <row r="59469" spans="17:17" x14ac:dyDescent="0.25">
      <c r="Q59469" s="8"/>
    </row>
    <row r="59470" spans="17:17" x14ac:dyDescent="0.25">
      <c r="Q59470" s="8"/>
    </row>
    <row r="59471" spans="17:17" x14ac:dyDescent="0.25">
      <c r="Q59471" s="8"/>
    </row>
    <row r="59472" spans="17:17" x14ac:dyDescent="0.25">
      <c r="Q59472" s="8"/>
    </row>
    <row r="59473" spans="17:17" x14ac:dyDescent="0.25">
      <c r="Q59473" s="8"/>
    </row>
    <row r="59474" spans="17:17" x14ac:dyDescent="0.25">
      <c r="Q59474" s="8"/>
    </row>
    <row r="59475" spans="17:17" x14ac:dyDescent="0.25">
      <c r="Q59475" s="8"/>
    </row>
    <row r="59476" spans="17:17" x14ac:dyDescent="0.25">
      <c r="Q59476" s="8"/>
    </row>
    <row r="59477" spans="17:17" x14ac:dyDescent="0.25">
      <c r="Q59477" s="8"/>
    </row>
    <row r="59478" spans="17:17" x14ac:dyDescent="0.25">
      <c r="Q59478" s="8"/>
    </row>
    <row r="59479" spans="17:17" x14ac:dyDescent="0.25">
      <c r="Q59479" s="8"/>
    </row>
    <row r="59480" spans="17:17" x14ac:dyDescent="0.25">
      <c r="Q59480" s="8"/>
    </row>
    <row r="59481" spans="17:17" x14ac:dyDescent="0.25">
      <c r="Q59481" s="8"/>
    </row>
    <row r="59482" spans="17:17" x14ac:dyDescent="0.25">
      <c r="Q59482" s="8"/>
    </row>
    <row r="59483" spans="17:17" x14ac:dyDescent="0.25">
      <c r="Q59483" s="8"/>
    </row>
    <row r="59484" spans="17:17" x14ac:dyDescent="0.25">
      <c r="Q59484" s="8"/>
    </row>
    <row r="59485" spans="17:17" x14ac:dyDescent="0.25">
      <c r="Q59485" s="8"/>
    </row>
    <row r="59486" spans="17:17" x14ac:dyDescent="0.25">
      <c r="Q59486" s="8"/>
    </row>
    <row r="59487" spans="17:17" x14ac:dyDescent="0.25">
      <c r="Q59487" s="8"/>
    </row>
    <row r="59488" spans="17:17" x14ac:dyDescent="0.25">
      <c r="Q59488" s="8"/>
    </row>
    <row r="59489" spans="17:17" x14ac:dyDescent="0.25">
      <c r="Q59489" s="8"/>
    </row>
    <row r="59490" spans="17:17" x14ac:dyDescent="0.25">
      <c r="Q59490" s="8"/>
    </row>
    <row r="59491" spans="17:17" x14ac:dyDescent="0.25">
      <c r="Q59491" s="8"/>
    </row>
    <row r="59492" spans="17:17" x14ac:dyDescent="0.25">
      <c r="Q59492" s="8"/>
    </row>
    <row r="59493" spans="17:17" x14ac:dyDescent="0.25">
      <c r="Q59493" s="8"/>
    </row>
    <row r="59494" spans="17:17" x14ac:dyDescent="0.25">
      <c r="Q59494" s="8"/>
    </row>
    <row r="59495" spans="17:17" x14ac:dyDescent="0.25">
      <c r="Q59495" s="8"/>
    </row>
    <row r="59496" spans="17:17" x14ac:dyDescent="0.25">
      <c r="Q59496" s="8"/>
    </row>
    <row r="59497" spans="17:17" x14ac:dyDescent="0.25">
      <c r="Q59497" s="8"/>
    </row>
    <row r="59498" spans="17:17" x14ac:dyDescent="0.25">
      <c r="Q59498" s="8"/>
    </row>
    <row r="59499" spans="17:17" x14ac:dyDescent="0.25">
      <c r="Q59499" s="8"/>
    </row>
    <row r="59500" spans="17:17" x14ac:dyDescent="0.25">
      <c r="Q59500" s="8"/>
    </row>
    <row r="59501" spans="17:17" x14ac:dyDescent="0.25">
      <c r="Q59501" s="8"/>
    </row>
    <row r="59502" spans="17:17" x14ac:dyDescent="0.25">
      <c r="Q59502" s="8"/>
    </row>
    <row r="59503" spans="17:17" x14ac:dyDescent="0.25">
      <c r="Q59503" s="8"/>
    </row>
    <row r="59504" spans="17:17" x14ac:dyDescent="0.25">
      <c r="Q59504" s="8"/>
    </row>
    <row r="59505" spans="17:17" x14ac:dyDescent="0.25">
      <c r="Q59505" s="8"/>
    </row>
    <row r="59506" spans="17:17" x14ac:dyDescent="0.25">
      <c r="Q59506" s="8"/>
    </row>
    <row r="59507" spans="17:17" x14ac:dyDescent="0.25">
      <c r="Q59507" s="8"/>
    </row>
    <row r="59508" spans="17:17" x14ac:dyDescent="0.25">
      <c r="Q59508" s="8"/>
    </row>
    <row r="59509" spans="17:17" x14ac:dyDescent="0.25">
      <c r="Q59509" s="8"/>
    </row>
    <row r="59510" spans="17:17" x14ac:dyDescent="0.25">
      <c r="Q59510" s="8"/>
    </row>
    <row r="59511" spans="17:17" x14ac:dyDescent="0.25">
      <c r="Q59511" s="8"/>
    </row>
    <row r="59512" spans="17:17" x14ac:dyDescent="0.25">
      <c r="Q59512" s="8"/>
    </row>
    <row r="59513" spans="17:17" x14ac:dyDescent="0.25">
      <c r="Q59513" s="8"/>
    </row>
    <row r="59514" spans="17:17" x14ac:dyDescent="0.25">
      <c r="Q59514" s="8"/>
    </row>
    <row r="59515" spans="17:17" x14ac:dyDescent="0.25">
      <c r="Q59515" s="8"/>
    </row>
    <row r="59516" spans="17:17" x14ac:dyDescent="0.25">
      <c r="Q59516" s="8"/>
    </row>
    <row r="59517" spans="17:17" x14ac:dyDescent="0.25">
      <c r="Q59517" s="8"/>
    </row>
    <row r="59518" spans="17:17" x14ac:dyDescent="0.25">
      <c r="Q59518" s="8"/>
    </row>
    <row r="59519" spans="17:17" x14ac:dyDescent="0.25">
      <c r="Q59519" s="8"/>
    </row>
    <row r="59520" spans="17:17" x14ac:dyDescent="0.25">
      <c r="Q59520" s="8"/>
    </row>
    <row r="59521" spans="17:17" x14ac:dyDescent="0.25">
      <c r="Q59521" s="8"/>
    </row>
    <row r="59522" spans="17:17" x14ac:dyDescent="0.25">
      <c r="Q59522" s="8"/>
    </row>
    <row r="59523" spans="17:17" x14ac:dyDescent="0.25">
      <c r="Q59523" s="8"/>
    </row>
    <row r="59524" spans="17:17" x14ac:dyDescent="0.25">
      <c r="Q59524" s="8"/>
    </row>
    <row r="59525" spans="17:17" x14ac:dyDescent="0.25">
      <c r="Q59525" s="8"/>
    </row>
    <row r="59526" spans="17:17" x14ac:dyDescent="0.25">
      <c r="Q59526" s="8"/>
    </row>
    <row r="59527" spans="17:17" x14ac:dyDescent="0.25">
      <c r="Q59527" s="8"/>
    </row>
    <row r="59528" spans="17:17" x14ac:dyDescent="0.25">
      <c r="Q59528" s="8"/>
    </row>
    <row r="59529" spans="17:17" x14ac:dyDescent="0.25">
      <c r="Q59529" s="8"/>
    </row>
    <row r="59530" spans="17:17" x14ac:dyDescent="0.25">
      <c r="Q59530" s="8"/>
    </row>
    <row r="59531" spans="17:17" x14ac:dyDescent="0.25">
      <c r="Q59531" s="8"/>
    </row>
    <row r="59532" spans="17:17" x14ac:dyDescent="0.25">
      <c r="Q59532" s="8"/>
    </row>
    <row r="59533" spans="17:17" x14ac:dyDescent="0.25">
      <c r="Q59533" s="8"/>
    </row>
    <row r="59534" spans="17:17" x14ac:dyDescent="0.25">
      <c r="Q59534" s="8"/>
    </row>
    <row r="59535" spans="17:17" x14ac:dyDescent="0.25">
      <c r="Q59535" s="8"/>
    </row>
    <row r="59536" spans="17:17" x14ac:dyDescent="0.25">
      <c r="Q59536" s="8"/>
    </row>
    <row r="59537" spans="17:17" x14ac:dyDescent="0.25">
      <c r="Q59537" s="8"/>
    </row>
    <row r="59538" spans="17:17" x14ac:dyDescent="0.25">
      <c r="Q59538" s="8"/>
    </row>
    <row r="59539" spans="17:17" x14ac:dyDescent="0.25">
      <c r="Q59539" s="8"/>
    </row>
    <row r="59540" spans="17:17" x14ac:dyDescent="0.25">
      <c r="Q59540" s="8"/>
    </row>
    <row r="59541" spans="17:17" x14ac:dyDescent="0.25">
      <c r="Q59541" s="8"/>
    </row>
    <row r="59542" spans="17:17" x14ac:dyDescent="0.25">
      <c r="Q59542" s="8"/>
    </row>
    <row r="59543" spans="17:17" x14ac:dyDescent="0.25">
      <c r="Q59543" s="8"/>
    </row>
    <row r="59544" spans="17:17" x14ac:dyDescent="0.25">
      <c r="Q59544" s="8"/>
    </row>
    <row r="59545" spans="17:17" x14ac:dyDescent="0.25">
      <c r="Q59545" s="8"/>
    </row>
    <row r="59546" spans="17:17" x14ac:dyDescent="0.25">
      <c r="Q59546" s="8"/>
    </row>
    <row r="59547" spans="17:17" x14ac:dyDescent="0.25">
      <c r="Q59547" s="8"/>
    </row>
    <row r="59548" spans="17:17" x14ac:dyDescent="0.25">
      <c r="Q59548" s="8"/>
    </row>
    <row r="59549" spans="17:17" x14ac:dyDescent="0.25">
      <c r="Q59549" s="8"/>
    </row>
    <row r="59550" spans="17:17" x14ac:dyDescent="0.25">
      <c r="Q59550" s="8"/>
    </row>
    <row r="59551" spans="17:17" x14ac:dyDescent="0.25">
      <c r="Q59551" s="8"/>
    </row>
    <row r="59552" spans="17:17" x14ac:dyDescent="0.25">
      <c r="Q59552" s="8"/>
    </row>
    <row r="59553" spans="17:17" x14ac:dyDescent="0.25">
      <c r="Q59553" s="8"/>
    </row>
    <row r="59554" spans="17:17" x14ac:dyDescent="0.25">
      <c r="Q59554" s="8"/>
    </row>
    <row r="59555" spans="17:17" x14ac:dyDescent="0.25">
      <c r="Q59555" s="8"/>
    </row>
    <row r="59556" spans="17:17" x14ac:dyDescent="0.25">
      <c r="Q59556" s="8"/>
    </row>
    <row r="59557" spans="17:17" x14ac:dyDescent="0.25">
      <c r="Q59557" s="8"/>
    </row>
    <row r="59558" spans="17:17" x14ac:dyDescent="0.25">
      <c r="Q59558" s="8"/>
    </row>
    <row r="59559" spans="17:17" x14ac:dyDescent="0.25">
      <c r="Q59559" s="8"/>
    </row>
    <row r="59560" spans="17:17" x14ac:dyDescent="0.25">
      <c r="Q59560" s="8"/>
    </row>
    <row r="59561" spans="17:17" x14ac:dyDescent="0.25">
      <c r="Q59561" s="8"/>
    </row>
    <row r="59562" spans="17:17" x14ac:dyDescent="0.25">
      <c r="Q59562" s="8"/>
    </row>
    <row r="59563" spans="17:17" x14ac:dyDescent="0.25">
      <c r="Q59563" s="8"/>
    </row>
    <row r="59564" spans="17:17" x14ac:dyDescent="0.25">
      <c r="Q59564" s="8"/>
    </row>
    <row r="59565" spans="17:17" x14ac:dyDescent="0.25">
      <c r="Q59565" s="8"/>
    </row>
    <row r="59566" spans="17:17" x14ac:dyDescent="0.25">
      <c r="Q59566" s="8"/>
    </row>
    <row r="59567" spans="17:17" x14ac:dyDescent="0.25">
      <c r="Q59567" s="8"/>
    </row>
    <row r="59568" spans="17:17" x14ac:dyDescent="0.25">
      <c r="Q59568" s="8"/>
    </row>
    <row r="59569" spans="17:17" x14ac:dyDescent="0.25">
      <c r="Q59569" s="8"/>
    </row>
    <row r="59570" spans="17:17" x14ac:dyDescent="0.25">
      <c r="Q59570" s="8"/>
    </row>
    <row r="59571" spans="17:17" x14ac:dyDescent="0.25">
      <c r="Q59571" s="8"/>
    </row>
    <row r="59572" spans="17:17" x14ac:dyDescent="0.25">
      <c r="Q59572" s="8"/>
    </row>
    <row r="59573" spans="17:17" x14ac:dyDescent="0.25">
      <c r="Q59573" s="8"/>
    </row>
    <row r="59574" spans="17:17" x14ac:dyDescent="0.25">
      <c r="Q59574" s="8"/>
    </row>
    <row r="59575" spans="17:17" x14ac:dyDescent="0.25">
      <c r="Q59575" s="8"/>
    </row>
    <row r="59576" spans="17:17" x14ac:dyDescent="0.25">
      <c r="Q59576" s="8"/>
    </row>
    <row r="59577" spans="17:17" x14ac:dyDescent="0.25">
      <c r="Q59577" s="8"/>
    </row>
    <row r="59578" spans="17:17" x14ac:dyDescent="0.25">
      <c r="Q59578" s="8"/>
    </row>
    <row r="59579" spans="17:17" x14ac:dyDescent="0.25">
      <c r="Q59579" s="8"/>
    </row>
    <row r="59580" spans="17:17" x14ac:dyDescent="0.25">
      <c r="Q59580" s="8"/>
    </row>
    <row r="59581" spans="17:17" x14ac:dyDescent="0.25">
      <c r="Q59581" s="8"/>
    </row>
    <row r="59582" spans="17:17" x14ac:dyDescent="0.25">
      <c r="Q59582" s="8"/>
    </row>
    <row r="59583" spans="17:17" x14ac:dyDescent="0.25">
      <c r="Q59583" s="8"/>
    </row>
    <row r="59584" spans="17:17" x14ac:dyDescent="0.25">
      <c r="Q59584" s="8"/>
    </row>
    <row r="59585" spans="17:17" x14ac:dyDescent="0.25">
      <c r="Q59585" s="8"/>
    </row>
    <row r="59586" spans="17:17" x14ac:dyDescent="0.25">
      <c r="Q59586" s="8"/>
    </row>
    <row r="59587" spans="17:17" x14ac:dyDescent="0.25">
      <c r="Q59587" s="8"/>
    </row>
    <row r="59588" spans="17:17" x14ac:dyDescent="0.25">
      <c r="Q59588" s="8"/>
    </row>
    <row r="59589" spans="17:17" x14ac:dyDescent="0.25">
      <c r="Q59589" s="8"/>
    </row>
    <row r="59590" spans="17:17" x14ac:dyDescent="0.25">
      <c r="Q59590" s="8"/>
    </row>
    <row r="59591" spans="17:17" x14ac:dyDescent="0.25">
      <c r="Q59591" s="8"/>
    </row>
    <row r="59592" spans="17:17" x14ac:dyDescent="0.25">
      <c r="Q59592" s="8"/>
    </row>
    <row r="59593" spans="17:17" x14ac:dyDescent="0.25">
      <c r="Q59593" s="8"/>
    </row>
    <row r="59594" spans="17:17" x14ac:dyDescent="0.25">
      <c r="Q59594" s="8"/>
    </row>
    <row r="59595" spans="17:17" x14ac:dyDescent="0.25">
      <c r="Q59595" s="8"/>
    </row>
    <row r="59596" spans="17:17" x14ac:dyDescent="0.25">
      <c r="Q59596" s="8"/>
    </row>
    <row r="59597" spans="17:17" x14ac:dyDescent="0.25">
      <c r="Q59597" s="8"/>
    </row>
    <row r="59598" spans="17:17" x14ac:dyDescent="0.25">
      <c r="Q59598" s="8"/>
    </row>
    <row r="59599" spans="17:17" x14ac:dyDescent="0.25">
      <c r="Q59599" s="8"/>
    </row>
    <row r="59600" spans="17:17" x14ac:dyDescent="0.25">
      <c r="Q59600" s="8"/>
    </row>
    <row r="59601" spans="17:17" x14ac:dyDescent="0.25">
      <c r="Q59601" s="8"/>
    </row>
    <row r="59602" spans="17:17" x14ac:dyDescent="0.25">
      <c r="Q59602" s="8"/>
    </row>
    <row r="59603" spans="17:17" x14ac:dyDescent="0.25">
      <c r="Q59603" s="8"/>
    </row>
    <row r="59604" spans="17:17" x14ac:dyDescent="0.25">
      <c r="Q59604" s="8"/>
    </row>
    <row r="59605" spans="17:17" x14ac:dyDescent="0.25">
      <c r="Q59605" s="8"/>
    </row>
    <row r="59606" spans="17:17" x14ac:dyDescent="0.25">
      <c r="Q59606" s="8"/>
    </row>
    <row r="59607" spans="17:17" x14ac:dyDescent="0.25">
      <c r="Q59607" s="8"/>
    </row>
    <row r="59608" spans="17:17" x14ac:dyDescent="0.25">
      <c r="Q59608" s="8"/>
    </row>
    <row r="59609" spans="17:17" x14ac:dyDescent="0.25">
      <c r="Q59609" s="8"/>
    </row>
    <row r="59610" spans="17:17" x14ac:dyDescent="0.25">
      <c r="Q59610" s="8"/>
    </row>
    <row r="59611" spans="17:17" x14ac:dyDescent="0.25">
      <c r="Q59611" s="8"/>
    </row>
    <row r="59612" spans="17:17" x14ac:dyDescent="0.25">
      <c r="Q59612" s="8"/>
    </row>
    <row r="59613" spans="17:17" x14ac:dyDescent="0.25">
      <c r="Q59613" s="8"/>
    </row>
    <row r="59614" spans="17:17" x14ac:dyDescent="0.25">
      <c r="Q59614" s="8"/>
    </row>
    <row r="59615" spans="17:17" x14ac:dyDescent="0.25">
      <c r="Q59615" s="8"/>
    </row>
    <row r="59616" spans="17:17" x14ac:dyDescent="0.25">
      <c r="Q59616" s="8"/>
    </row>
    <row r="59617" spans="17:17" x14ac:dyDescent="0.25">
      <c r="Q59617" s="8"/>
    </row>
    <row r="59618" spans="17:17" x14ac:dyDescent="0.25">
      <c r="Q59618" s="8"/>
    </row>
    <row r="59619" spans="17:17" x14ac:dyDescent="0.25">
      <c r="Q59619" s="8"/>
    </row>
    <row r="59620" spans="17:17" x14ac:dyDescent="0.25">
      <c r="Q59620" s="8"/>
    </row>
    <row r="59621" spans="17:17" x14ac:dyDescent="0.25">
      <c r="Q59621" s="8"/>
    </row>
    <row r="59622" spans="17:17" x14ac:dyDescent="0.25">
      <c r="Q59622" s="8"/>
    </row>
    <row r="59623" spans="17:17" x14ac:dyDescent="0.25">
      <c r="Q59623" s="8"/>
    </row>
    <row r="59624" spans="17:17" x14ac:dyDescent="0.25">
      <c r="Q59624" s="8"/>
    </row>
    <row r="59625" spans="17:17" x14ac:dyDescent="0.25">
      <c r="Q59625" s="8"/>
    </row>
    <row r="59626" spans="17:17" x14ac:dyDescent="0.25">
      <c r="Q59626" s="8"/>
    </row>
    <row r="59627" spans="17:17" x14ac:dyDescent="0.25">
      <c r="Q59627" s="8"/>
    </row>
    <row r="59628" spans="17:17" x14ac:dyDescent="0.25">
      <c r="Q59628" s="8"/>
    </row>
    <row r="59629" spans="17:17" x14ac:dyDescent="0.25">
      <c r="Q59629" s="8"/>
    </row>
    <row r="59630" spans="17:17" x14ac:dyDescent="0.25">
      <c r="Q59630" s="8"/>
    </row>
    <row r="59631" spans="17:17" x14ac:dyDescent="0.25">
      <c r="Q59631" s="8"/>
    </row>
    <row r="59632" spans="17:17" x14ac:dyDescent="0.25">
      <c r="Q59632" s="8"/>
    </row>
    <row r="59633" spans="17:17" x14ac:dyDescent="0.25">
      <c r="Q59633" s="8"/>
    </row>
    <row r="59634" spans="17:17" x14ac:dyDescent="0.25">
      <c r="Q59634" s="8"/>
    </row>
    <row r="59635" spans="17:17" x14ac:dyDescent="0.25">
      <c r="Q59635" s="8"/>
    </row>
    <row r="59636" spans="17:17" x14ac:dyDescent="0.25">
      <c r="Q59636" s="8"/>
    </row>
    <row r="59637" spans="17:17" x14ac:dyDescent="0.25">
      <c r="Q59637" s="8"/>
    </row>
    <row r="59638" spans="17:17" x14ac:dyDescent="0.25">
      <c r="Q59638" s="8"/>
    </row>
    <row r="59639" spans="17:17" x14ac:dyDescent="0.25">
      <c r="Q59639" s="8"/>
    </row>
    <row r="59640" spans="17:17" x14ac:dyDescent="0.25">
      <c r="Q59640" s="8"/>
    </row>
    <row r="59641" spans="17:17" x14ac:dyDescent="0.25">
      <c r="Q59641" s="8"/>
    </row>
    <row r="59642" spans="17:17" x14ac:dyDescent="0.25">
      <c r="Q59642" s="8"/>
    </row>
    <row r="59643" spans="17:17" x14ac:dyDescent="0.25">
      <c r="Q59643" s="8"/>
    </row>
    <row r="59644" spans="17:17" x14ac:dyDescent="0.25">
      <c r="Q59644" s="8"/>
    </row>
    <row r="59645" spans="17:17" x14ac:dyDescent="0.25">
      <c r="Q59645" s="8"/>
    </row>
    <row r="59646" spans="17:17" x14ac:dyDescent="0.25">
      <c r="Q59646" s="8"/>
    </row>
    <row r="59647" spans="17:17" x14ac:dyDescent="0.25">
      <c r="Q59647" s="8"/>
    </row>
    <row r="59648" spans="17:17" x14ac:dyDescent="0.25">
      <c r="Q59648" s="8"/>
    </row>
    <row r="59649" spans="17:17" x14ac:dyDescent="0.25">
      <c r="Q59649" s="8"/>
    </row>
    <row r="59650" spans="17:17" x14ac:dyDescent="0.25">
      <c r="Q59650" s="8"/>
    </row>
    <row r="59651" spans="17:17" x14ac:dyDescent="0.25">
      <c r="Q59651" s="8"/>
    </row>
    <row r="59652" spans="17:17" x14ac:dyDescent="0.25">
      <c r="Q59652" s="8"/>
    </row>
    <row r="59653" spans="17:17" x14ac:dyDescent="0.25">
      <c r="Q59653" s="8"/>
    </row>
    <row r="59654" spans="17:17" x14ac:dyDescent="0.25">
      <c r="Q59654" s="8"/>
    </row>
    <row r="59655" spans="17:17" x14ac:dyDescent="0.25">
      <c r="Q59655" s="8"/>
    </row>
    <row r="59656" spans="17:17" x14ac:dyDescent="0.25">
      <c r="Q59656" s="8"/>
    </row>
    <row r="59657" spans="17:17" x14ac:dyDescent="0.25">
      <c r="Q59657" s="8"/>
    </row>
    <row r="59658" spans="17:17" x14ac:dyDescent="0.25">
      <c r="Q59658" s="8"/>
    </row>
    <row r="59659" spans="17:17" x14ac:dyDescent="0.25">
      <c r="Q59659" s="8"/>
    </row>
    <row r="59660" spans="17:17" x14ac:dyDescent="0.25">
      <c r="Q59660" s="8"/>
    </row>
    <row r="59661" spans="17:17" x14ac:dyDescent="0.25">
      <c r="Q59661" s="8"/>
    </row>
    <row r="59662" spans="17:17" x14ac:dyDescent="0.25">
      <c r="Q59662" s="8"/>
    </row>
    <row r="59663" spans="17:17" x14ac:dyDescent="0.25">
      <c r="Q59663" s="8"/>
    </row>
    <row r="59664" spans="17:17" x14ac:dyDescent="0.25">
      <c r="Q59664" s="8"/>
    </row>
    <row r="59665" spans="17:17" x14ac:dyDescent="0.25">
      <c r="Q59665" s="8"/>
    </row>
    <row r="59666" spans="17:17" x14ac:dyDescent="0.25">
      <c r="Q59666" s="8"/>
    </row>
    <row r="59667" spans="17:17" x14ac:dyDescent="0.25">
      <c r="Q59667" s="8"/>
    </row>
    <row r="59668" spans="17:17" x14ac:dyDescent="0.25">
      <c r="Q59668" s="8"/>
    </row>
    <row r="59669" spans="17:17" x14ac:dyDescent="0.25">
      <c r="Q59669" s="8"/>
    </row>
    <row r="59670" spans="17:17" x14ac:dyDescent="0.25">
      <c r="Q59670" s="8"/>
    </row>
    <row r="59671" spans="17:17" x14ac:dyDescent="0.25">
      <c r="Q59671" s="8"/>
    </row>
    <row r="59672" spans="17:17" x14ac:dyDescent="0.25">
      <c r="Q59672" s="8"/>
    </row>
    <row r="59673" spans="17:17" x14ac:dyDescent="0.25">
      <c r="Q59673" s="8"/>
    </row>
    <row r="59674" spans="17:17" x14ac:dyDescent="0.25">
      <c r="Q59674" s="8"/>
    </row>
    <row r="59675" spans="17:17" x14ac:dyDescent="0.25">
      <c r="Q59675" s="8"/>
    </row>
    <row r="59676" spans="17:17" x14ac:dyDescent="0.25">
      <c r="Q59676" s="8"/>
    </row>
    <row r="59677" spans="17:17" x14ac:dyDescent="0.25">
      <c r="Q59677" s="8"/>
    </row>
    <row r="59678" spans="17:17" x14ac:dyDescent="0.25">
      <c r="Q59678" s="8"/>
    </row>
    <row r="59679" spans="17:17" x14ac:dyDescent="0.25">
      <c r="Q59679" s="8"/>
    </row>
    <row r="59680" spans="17:17" x14ac:dyDescent="0.25">
      <c r="Q59680" s="8"/>
    </row>
    <row r="59681" spans="17:17" x14ac:dyDescent="0.25">
      <c r="Q59681" s="8"/>
    </row>
    <row r="59682" spans="17:17" x14ac:dyDescent="0.25">
      <c r="Q59682" s="8"/>
    </row>
    <row r="59683" spans="17:17" x14ac:dyDescent="0.25">
      <c r="Q59683" s="8"/>
    </row>
    <row r="59684" spans="17:17" x14ac:dyDescent="0.25">
      <c r="Q59684" s="8"/>
    </row>
    <row r="59685" spans="17:17" x14ac:dyDescent="0.25">
      <c r="Q59685" s="8"/>
    </row>
    <row r="59686" spans="17:17" x14ac:dyDescent="0.25">
      <c r="Q59686" s="8"/>
    </row>
    <row r="59687" spans="17:17" x14ac:dyDescent="0.25">
      <c r="Q59687" s="8"/>
    </row>
    <row r="59688" spans="17:17" x14ac:dyDescent="0.25">
      <c r="Q59688" s="8"/>
    </row>
    <row r="59689" spans="17:17" x14ac:dyDescent="0.25">
      <c r="Q59689" s="8"/>
    </row>
    <row r="59690" spans="17:17" x14ac:dyDescent="0.25">
      <c r="Q59690" s="8"/>
    </row>
    <row r="59691" spans="17:17" x14ac:dyDescent="0.25">
      <c r="Q59691" s="8"/>
    </row>
    <row r="59692" spans="17:17" x14ac:dyDescent="0.25">
      <c r="Q59692" s="8"/>
    </row>
    <row r="59693" spans="17:17" x14ac:dyDescent="0.25">
      <c r="Q59693" s="8"/>
    </row>
    <row r="59694" spans="17:17" x14ac:dyDescent="0.25">
      <c r="Q59694" s="8"/>
    </row>
    <row r="59695" spans="17:17" x14ac:dyDescent="0.25">
      <c r="Q59695" s="8"/>
    </row>
    <row r="59696" spans="17:17" x14ac:dyDescent="0.25">
      <c r="Q59696" s="8"/>
    </row>
    <row r="59697" spans="17:17" x14ac:dyDescent="0.25">
      <c r="Q59697" s="8"/>
    </row>
    <row r="59698" spans="17:17" x14ac:dyDescent="0.25">
      <c r="Q59698" s="8"/>
    </row>
    <row r="59699" spans="17:17" x14ac:dyDescent="0.25">
      <c r="Q59699" s="8"/>
    </row>
    <row r="59700" spans="17:17" x14ac:dyDescent="0.25">
      <c r="Q59700" s="8"/>
    </row>
    <row r="59701" spans="17:17" x14ac:dyDescent="0.25">
      <c r="Q59701" s="8"/>
    </row>
    <row r="59702" spans="17:17" x14ac:dyDescent="0.25">
      <c r="Q59702" s="8"/>
    </row>
    <row r="59703" spans="17:17" x14ac:dyDescent="0.25">
      <c r="Q59703" s="8"/>
    </row>
    <row r="59704" spans="17:17" x14ac:dyDescent="0.25">
      <c r="Q59704" s="8"/>
    </row>
    <row r="59705" spans="17:17" x14ac:dyDescent="0.25">
      <c r="Q59705" s="8"/>
    </row>
    <row r="59706" spans="17:17" x14ac:dyDescent="0.25">
      <c r="Q59706" s="8"/>
    </row>
    <row r="59707" spans="17:17" x14ac:dyDescent="0.25">
      <c r="Q59707" s="8"/>
    </row>
    <row r="59708" spans="17:17" x14ac:dyDescent="0.25">
      <c r="Q59708" s="8"/>
    </row>
    <row r="59709" spans="17:17" x14ac:dyDescent="0.25">
      <c r="Q59709" s="8"/>
    </row>
    <row r="59710" spans="17:17" x14ac:dyDescent="0.25">
      <c r="Q59710" s="8"/>
    </row>
    <row r="59711" spans="17:17" x14ac:dyDescent="0.25">
      <c r="Q59711" s="8"/>
    </row>
    <row r="59712" spans="17:17" x14ac:dyDescent="0.25">
      <c r="Q59712" s="8"/>
    </row>
    <row r="59713" spans="17:17" x14ac:dyDescent="0.25">
      <c r="Q59713" s="8"/>
    </row>
    <row r="59714" spans="17:17" x14ac:dyDescent="0.25">
      <c r="Q59714" s="8"/>
    </row>
    <row r="59715" spans="17:17" x14ac:dyDescent="0.25">
      <c r="Q59715" s="8"/>
    </row>
    <row r="59716" spans="17:17" x14ac:dyDescent="0.25">
      <c r="Q59716" s="8"/>
    </row>
    <row r="59717" spans="17:17" x14ac:dyDescent="0.25">
      <c r="Q59717" s="8"/>
    </row>
    <row r="59718" spans="17:17" x14ac:dyDescent="0.25">
      <c r="Q59718" s="8"/>
    </row>
    <row r="59719" spans="17:17" x14ac:dyDescent="0.25">
      <c r="Q59719" s="8"/>
    </row>
    <row r="59720" spans="17:17" x14ac:dyDescent="0.25">
      <c r="Q59720" s="8"/>
    </row>
    <row r="59721" spans="17:17" x14ac:dyDescent="0.25">
      <c r="Q59721" s="8"/>
    </row>
    <row r="59722" spans="17:17" x14ac:dyDescent="0.25">
      <c r="Q59722" s="8"/>
    </row>
    <row r="59723" spans="17:17" x14ac:dyDescent="0.25">
      <c r="Q59723" s="8"/>
    </row>
    <row r="59724" spans="17:17" x14ac:dyDescent="0.25">
      <c r="Q59724" s="8"/>
    </row>
    <row r="59725" spans="17:17" x14ac:dyDescent="0.25">
      <c r="Q59725" s="8"/>
    </row>
    <row r="59726" spans="17:17" x14ac:dyDescent="0.25">
      <c r="Q59726" s="8"/>
    </row>
    <row r="59727" spans="17:17" x14ac:dyDescent="0.25">
      <c r="Q59727" s="8"/>
    </row>
    <row r="59728" spans="17:17" x14ac:dyDescent="0.25">
      <c r="Q59728" s="8"/>
    </row>
    <row r="59729" spans="17:17" x14ac:dyDescent="0.25">
      <c r="Q59729" s="8"/>
    </row>
    <row r="59730" spans="17:17" x14ac:dyDescent="0.25">
      <c r="Q59730" s="8"/>
    </row>
    <row r="59731" spans="17:17" x14ac:dyDescent="0.25">
      <c r="Q59731" s="8"/>
    </row>
    <row r="59732" spans="17:17" x14ac:dyDescent="0.25">
      <c r="Q59732" s="8"/>
    </row>
    <row r="59733" spans="17:17" x14ac:dyDescent="0.25">
      <c r="Q59733" s="8"/>
    </row>
    <row r="59734" spans="17:17" x14ac:dyDescent="0.25">
      <c r="Q59734" s="8"/>
    </row>
    <row r="59735" spans="17:17" x14ac:dyDescent="0.25">
      <c r="Q59735" s="8"/>
    </row>
    <row r="59736" spans="17:17" x14ac:dyDescent="0.25">
      <c r="Q59736" s="8"/>
    </row>
    <row r="59737" spans="17:17" x14ac:dyDescent="0.25">
      <c r="Q59737" s="8"/>
    </row>
    <row r="59738" spans="17:17" x14ac:dyDescent="0.25">
      <c r="Q59738" s="8"/>
    </row>
    <row r="59739" spans="17:17" x14ac:dyDescent="0.25">
      <c r="Q59739" s="8"/>
    </row>
    <row r="59740" spans="17:17" x14ac:dyDescent="0.25">
      <c r="Q59740" s="8"/>
    </row>
    <row r="59741" spans="17:17" x14ac:dyDescent="0.25">
      <c r="Q59741" s="8"/>
    </row>
    <row r="59742" spans="17:17" x14ac:dyDescent="0.25">
      <c r="Q59742" s="8"/>
    </row>
    <row r="59743" spans="17:17" x14ac:dyDescent="0.25">
      <c r="Q59743" s="8"/>
    </row>
    <row r="59744" spans="17:17" x14ac:dyDescent="0.25">
      <c r="Q59744" s="8"/>
    </row>
    <row r="59745" spans="17:17" x14ac:dyDescent="0.25">
      <c r="Q59745" s="8"/>
    </row>
    <row r="59746" spans="17:17" x14ac:dyDescent="0.25">
      <c r="Q59746" s="8"/>
    </row>
    <row r="59747" spans="17:17" x14ac:dyDescent="0.25">
      <c r="Q59747" s="8"/>
    </row>
    <row r="59748" spans="17:17" x14ac:dyDescent="0.25">
      <c r="Q59748" s="8"/>
    </row>
    <row r="59749" spans="17:17" x14ac:dyDescent="0.25">
      <c r="Q59749" s="8"/>
    </row>
    <row r="59750" spans="17:17" x14ac:dyDescent="0.25">
      <c r="Q59750" s="8"/>
    </row>
    <row r="59751" spans="17:17" x14ac:dyDescent="0.25">
      <c r="Q59751" s="8"/>
    </row>
    <row r="59752" spans="17:17" x14ac:dyDescent="0.25">
      <c r="Q59752" s="8"/>
    </row>
    <row r="59753" spans="17:17" x14ac:dyDescent="0.25">
      <c r="Q59753" s="8"/>
    </row>
    <row r="59754" spans="17:17" x14ac:dyDescent="0.25">
      <c r="Q59754" s="8"/>
    </row>
    <row r="59755" spans="17:17" x14ac:dyDescent="0.25">
      <c r="Q59755" s="8"/>
    </row>
    <row r="59756" spans="17:17" x14ac:dyDescent="0.25">
      <c r="Q59756" s="8"/>
    </row>
    <row r="59757" spans="17:17" x14ac:dyDescent="0.25">
      <c r="Q59757" s="8"/>
    </row>
    <row r="59758" spans="17:17" x14ac:dyDescent="0.25">
      <c r="Q59758" s="8"/>
    </row>
    <row r="59759" spans="17:17" x14ac:dyDescent="0.25">
      <c r="Q59759" s="8"/>
    </row>
    <row r="59760" spans="17:17" x14ac:dyDescent="0.25">
      <c r="Q59760" s="8"/>
    </row>
    <row r="59761" spans="17:17" x14ac:dyDescent="0.25">
      <c r="Q59761" s="8"/>
    </row>
    <row r="59762" spans="17:17" x14ac:dyDescent="0.25">
      <c r="Q59762" s="8"/>
    </row>
    <row r="59763" spans="17:17" x14ac:dyDescent="0.25">
      <c r="Q59763" s="8"/>
    </row>
    <row r="59764" spans="17:17" x14ac:dyDescent="0.25">
      <c r="Q59764" s="8"/>
    </row>
    <row r="59765" spans="17:17" x14ac:dyDescent="0.25">
      <c r="Q59765" s="8"/>
    </row>
    <row r="59766" spans="17:17" x14ac:dyDescent="0.25">
      <c r="Q59766" s="8"/>
    </row>
    <row r="59767" spans="17:17" x14ac:dyDescent="0.25">
      <c r="Q59767" s="8"/>
    </row>
    <row r="59768" spans="17:17" x14ac:dyDescent="0.25">
      <c r="Q59768" s="8"/>
    </row>
    <row r="59769" spans="17:17" x14ac:dyDescent="0.25">
      <c r="Q59769" s="8"/>
    </row>
    <row r="59770" spans="17:17" x14ac:dyDescent="0.25">
      <c r="Q59770" s="8"/>
    </row>
    <row r="59771" spans="17:17" x14ac:dyDescent="0.25">
      <c r="Q59771" s="8"/>
    </row>
    <row r="59772" spans="17:17" x14ac:dyDescent="0.25">
      <c r="Q59772" s="8"/>
    </row>
    <row r="59773" spans="17:17" x14ac:dyDescent="0.25">
      <c r="Q59773" s="8"/>
    </row>
    <row r="59774" spans="17:17" x14ac:dyDescent="0.25">
      <c r="Q59774" s="8"/>
    </row>
    <row r="59775" spans="17:17" x14ac:dyDescent="0.25">
      <c r="Q59775" s="8"/>
    </row>
    <row r="59776" spans="17:17" x14ac:dyDescent="0.25">
      <c r="Q59776" s="8"/>
    </row>
    <row r="59777" spans="17:17" x14ac:dyDescent="0.25">
      <c r="Q59777" s="8"/>
    </row>
    <row r="59778" spans="17:17" x14ac:dyDescent="0.25">
      <c r="Q59778" s="8"/>
    </row>
    <row r="59779" spans="17:17" x14ac:dyDescent="0.25">
      <c r="Q59779" s="8"/>
    </row>
    <row r="59780" spans="17:17" x14ac:dyDescent="0.25">
      <c r="Q59780" s="8"/>
    </row>
    <row r="59781" spans="17:17" x14ac:dyDescent="0.25">
      <c r="Q59781" s="8"/>
    </row>
    <row r="59782" spans="17:17" x14ac:dyDescent="0.25">
      <c r="Q59782" s="8"/>
    </row>
    <row r="59783" spans="17:17" x14ac:dyDescent="0.25">
      <c r="Q59783" s="8"/>
    </row>
    <row r="59784" spans="17:17" x14ac:dyDescent="0.25">
      <c r="Q59784" s="8"/>
    </row>
    <row r="59785" spans="17:17" x14ac:dyDescent="0.25">
      <c r="Q59785" s="8"/>
    </row>
    <row r="59786" spans="17:17" x14ac:dyDescent="0.25">
      <c r="Q59786" s="8"/>
    </row>
    <row r="59787" spans="17:17" x14ac:dyDescent="0.25">
      <c r="Q59787" s="8"/>
    </row>
    <row r="59788" spans="17:17" x14ac:dyDescent="0.25">
      <c r="Q59788" s="8"/>
    </row>
    <row r="59789" spans="17:17" x14ac:dyDescent="0.25">
      <c r="Q59789" s="8"/>
    </row>
    <row r="59790" spans="17:17" x14ac:dyDescent="0.25">
      <c r="Q59790" s="8"/>
    </row>
    <row r="59791" spans="17:17" x14ac:dyDescent="0.25">
      <c r="Q59791" s="8"/>
    </row>
    <row r="59792" spans="17:17" x14ac:dyDescent="0.25">
      <c r="Q59792" s="8"/>
    </row>
    <row r="59793" spans="17:17" x14ac:dyDescent="0.25">
      <c r="Q59793" s="8"/>
    </row>
    <row r="59794" spans="17:17" x14ac:dyDescent="0.25">
      <c r="Q59794" s="8"/>
    </row>
    <row r="59795" spans="17:17" x14ac:dyDescent="0.25">
      <c r="Q59795" s="8"/>
    </row>
    <row r="59796" spans="17:17" x14ac:dyDescent="0.25">
      <c r="Q59796" s="8"/>
    </row>
    <row r="59797" spans="17:17" x14ac:dyDescent="0.25">
      <c r="Q59797" s="8"/>
    </row>
    <row r="59798" spans="17:17" x14ac:dyDescent="0.25">
      <c r="Q59798" s="8"/>
    </row>
    <row r="59799" spans="17:17" x14ac:dyDescent="0.25">
      <c r="Q59799" s="8"/>
    </row>
    <row r="59800" spans="17:17" x14ac:dyDescent="0.25">
      <c r="Q59800" s="8"/>
    </row>
    <row r="59801" spans="17:17" x14ac:dyDescent="0.25">
      <c r="Q59801" s="8"/>
    </row>
    <row r="59802" spans="17:17" x14ac:dyDescent="0.25">
      <c r="Q59802" s="8"/>
    </row>
    <row r="59803" spans="17:17" x14ac:dyDescent="0.25">
      <c r="Q59803" s="8"/>
    </row>
    <row r="59804" spans="17:17" x14ac:dyDescent="0.25">
      <c r="Q59804" s="8"/>
    </row>
    <row r="59805" spans="17:17" x14ac:dyDescent="0.25">
      <c r="Q59805" s="8"/>
    </row>
    <row r="59806" spans="17:17" x14ac:dyDescent="0.25">
      <c r="Q59806" s="8"/>
    </row>
    <row r="59807" spans="17:17" x14ac:dyDescent="0.25">
      <c r="Q59807" s="8"/>
    </row>
    <row r="59808" spans="17:17" x14ac:dyDescent="0.25">
      <c r="Q59808" s="8"/>
    </row>
    <row r="59809" spans="17:17" x14ac:dyDescent="0.25">
      <c r="Q59809" s="8"/>
    </row>
    <row r="59810" spans="17:17" x14ac:dyDescent="0.25">
      <c r="Q59810" s="8"/>
    </row>
    <row r="59811" spans="17:17" x14ac:dyDescent="0.25">
      <c r="Q59811" s="8"/>
    </row>
    <row r="59812" spans="17:17" x14ac:dyDescent="0.25">
      <c r="Q59812" s="8"/>
    </row>
    <row r="59813" spans="17:17" x14ac:dyDescent="0.25">
      <c r="Q59813" s="8"/>
    </row>
    <row r="59814" spans="17:17" x14ac:dyDescent="0.25">
      <c r="Q59814" s="8"/>
    </row>
    <row r="59815" spans="17:17" x14ac:dyDescent="0.25">
      <c r="Q59815" s="8"/>
    </row>
    <row r="59816" spans="17:17" x14ac:dyDescent="0.25">
      <c r="Q59816" s="8"/>
    </row>
    <row r="59817" spans="17:17" x14ac:dyDescent="0.25">
      <c r="Q59817" s="8"/>
    </row>
    <row r="59818" spans="17:17" x14ac:dyDescent="0.25">
      <c r="Q59818" s="8"/>
    </row>
    <row r="59819" spans="17:17" x14ac:dyDescent="0.25">
      <c r="Q59819" s="8"/>
    </row>
    <row r="59820" spans="17:17" x14ac:dyDescent="0.25">
      <c r="Q59820" s="8"/>
    </row>
    <row r="59821" spans="17:17" x14ac:dyDescent="0.25">
      <c r="Q59821" s="8"/>
    </row>
    <row r="59822" spans="17:17" x14ac:dyDescent="0.25">
      <c r="Q59822" s="8"/>
    </row>
    <row r="59823" spans="17:17" x14ac:dyDescent="0.25">
      <c r="Q59823" s="8"/>
    </row>
    <row r="59824" spans="17:17" x14ac:dyDescent="0.25">
      <c r="Q59824" s="8"/>
    </row>
    <row r="59825" spans="17:17" x14ac:dyDescent="0.25">
      <c r="Q59825" s="8"/>
    </row>
    <row r="59826" spans="17:17" x14ac:dyDescent="0.25">
      <c r="Q59826" s="8"/>
    </row>
    <row r="59827" spans="17:17" x14ac:dyDescent="0.25">
      <c r="Q59827" s="8"/>
    </row>
    <row r="59828" spans="17:17" x14ac:dyDescent="0.25">
      <c r="Q59828" s="8"/>
    </row>
    <row r="59829" spans="17:17" x14ac:dyDescent="0.25">
      <c r="Q59829" s="8"/>
    </row>
    <row r="59830" spans="17:17" x14ac:dyDescent="0.25">
      <c r="Q59830" s="8"/>
    </row>
    <row r="59831" spans="17:17" x14ac:dyDescent="0.25">
      <c r="Q59831" s="8"/>
    </row>
    <row r="59832" spans="17:17" x14ac:dyDescent="0.25">
      <c r="Q59832" s="8"/>
    </row>
    <row r="59833" spans="17:17" x14ac:dyDescent="0.25">
      <c r="Q59833" s="8"/>
    </row>
    <row r="59834" spans="17:17" x14ac:dyDescent="0.25">
      <c r="Q59834" s="8"/>
    </row>
    <row r="59835" spans="17:17" x14ac:dyDescent="0.25">
      <c r="Q59835" s="8"/>
    </row>
    <row r="59836" spans="17:17" x14ac:dyDescent="0.25">
      <c r="Q59836" s="8"/>
    </row>
    <row r="59837" spans="17:17" x14ac:dyDescent="0.25">
      <c r="Q59837" s="8"/>
    </row>
    <row r="59838" spans="17:17" x14ac:dyDescent="0.25">
      <c r="Q59838" s="8"/>
    </row>
    <row r="59839" spans="17:17" x14ac:dyDescent="0.25">
      <c r="Q59839" s="8"/>
    </row>
    <row r="59840" spans="17:17" x14ac:dyDescent="0.25">
      <c r="Q59840" s="8"/>
    </row>
    <row r="59841" spans="17:17" x14ac:dyDescent="0.25">
      <c r="Q59841" s="8"/>
    </row>
    <row r="59842" spans="17:17" x14ac:dyDescent="0.25">
      <c r="Q59842" s="8"/>
    </row>
    <row r="59843" spans="17:17" x14ac:dyDescent="0.25">
      <c r="Q59843" s="8"/>
    </row>
    <row r="59844" spans="17:17" x14ac:dyDescent="0.25">
      <c r="Q59844" s="8"/>
    </row>
    <row r="59845" spans="17:17" x14ac:dyDescent="0.25">
      <c r="Q59845" s="8"/>
    </row>
    <row r="59846" spans="17:17" x14ac:dyDescent="0.25">
      <c r="Q59846" s="8"/>
    </row>
    <row r="59847" spans="17:17" x14ac:dyDescent="0.25">
      <c r="Q59847" s="8"/>
    </row>
    <row r="59848" spans="17:17" x14ac:dyDescent="0.25">
      <c r="Q59848" s="8"/>
    </row>
    <row r="59849" spans="17:17" x14ac:dyDescent="0.25">
      <c r="Q59849" s="8"/>
    </row>
    <row r="59850" spans="17:17" x14ac:dyDescent="0.25">
      <c r="Q59850" s="8"/>
    </row>
    <row r="59851" spans="17:17" x14ac:dyDescent="0.25">
      <c r="Q59851" s="8"/>
    </row>
    <row r="59852" spans="17:17" x14ac:dyDescent="0.25">
      <c r="Q59852" s="8"/>
    </row>
    <row r="59853" spans="17:17" x14ac:dyDescent="0.25">
      <c r="Q59853" s="8"/>
    </row>
    <row r="59854" spans="17:17" x14ac:dyDescent="0.25">
      <c r="Q59854" s="8"/>
    </row>
    <row r="59855" spans="17:17" x14ac:dyDescent="0.25">
      <c r="Q59855" s="8"/>
    </row>
    <row r="59856" spans="17:17" x14ac:dyDescent="0.25">
      <c r="Q59856" s="8"/>
    </row>
    <row r="59857" spans="17:17" x14ac:dyDescent="0.25">
      <c r="Q59857" s="8"/>
    </row>
    <row r="59858" spans="17:17" x14ac:dyDescent="0.25">
      <c r="Q59858" s="8"/>
    </row>
    <row r="59859" spans="17:17" x14ac:dyDescent="0.25">
      <c r="Q59859" s="8"/>
    </row>
    <row r="59860" spans="17:17" x14ac:dyDescent="0.25">
      <c r="Q59860" s="8"/>
    </row>
    <row r="59861" spans="17:17" x14ac:dyDescent="0.25">
      <c r="Q59861" s="8"/>
    </row>
    <row r="59862" spans="17:17" x14ac:dyDescent="0.25">
      <c r="Q59862" s="8"/>
    </row>
    <row r="59863" spans="17:17" x14ac:dyDescent="0.25">
      <c r="Q59863" s="8"/>
    </row>
    <row r="59864" spans="17:17" x14ac:dyDescent="0.25">
      <c r="Q59864" s="8"/>
    </row>
    <row r="59865" spans="17:17" x14ac:dyDescent="0.25">
      <c r="Q59865" s="8"/>
    </row>
    <row r="59866" spans="17:17" x14ac:dyDescent="0.25">
      <c r="Q59866" s="8"/>
    </row>
    <row r="59867" spans="17:17" x14ac:dyDescent="0.25">
      <c r="Q59867" s="8"/>
    </row>
    <row r="59868" spans="17:17" x14ac:dyDescent="0.25">
      <c r="Q59868" s="8"/>
    </row>
    <row r="59869" spans="17:17" x14ac:dyDescent="0.25">
      <c r="Q59869" s="8"/>
    </row>
    <row r="59870" spans="17:17" x14ac:dyDescent="0.25">
      <c r="Q59870" s="8"/>
    </row>
    <row r="59871" spans="17:17" x14ac:dyDescent="0.25">
      <c r="Q59871" s="8"/>
    </row>
    <row r="59872" spans="17:17" x14ac:dyDescent="0.25">
      <c r="Q59872" s="8"/>
    </row>
    <row r="59873" spans="17:17" x14ac:dyDescent="0.25">
      <c r="Q59873" s="8"/>
    </row>
    <row r="59874" spans="17:17" x14ac:dyDescent="0.25">
      <c r="Q59874" s="8"/>
    </row>
    <row r="59875" spans="17:17" x14ac:dyDescent="0.25">
      <c r="Q59875" s="8"/>
    </row>
    <row r="59876" spans="17:17" x14ac:dyDescent="0.25">
      <c r="Q59876" s="8"/>
    </row>
    <row r="59877" spans="17:17" x14ac:dyDescent="0.25">
      <c r="Q59877" s="8"/>
    </row>
    <row r="59878" spans="17:17" x14ac:dyDescent="0.25">
      <c r="Q59878" s="8"/>
    </row>
    <row r="59879" spans="17:17" x14ac:dyDescent="0.25">
      <c r="Q59879" s="8"/>
    </row>
    <row r="59880" spans="17:17" x14ac:dyDescent="0.25">
      <c r="Q59880" s="8"/>
    </row>
    <row r="59881" spans="17:17" x14ac:dyDescent="0.25">
      <c r="Q59881" s="8"/>
    </row>
    <row r="59882" spans="17:17" x14ac:dyDescent="0.25">
      <c r="Q59882" s="8"/>
    </row>
    <row r="59883" spans="17:17" x14ac:dyDescent="0.25">
      <c r="Q59883" s="8"/>
    </row>
    <row r="59884" spans="17:17" x14ac:dyDescent="0.25">
      <c r="Q59884" s="8"/>
    </row>
    <row r="59885" spans="17:17" x14ac:dyDescent="0.25">
      <c r="Q59885" s="8"/>
    </row>
    <row r="59886" spans="17:17" x14ac:dyDescent="0.25">
      <c r="Q59886" s="8"/>
    </row>
    <row r="59887" spans="17:17" x14ac:dyDescent="0.25">
      <c r="Q59887" s="8"/>
    </row>
    <row r="59888" spans="17:17" x14ac:dyDescent="0.25">
      <c r="Q59888" s="8"/>
    </row>
    <row r="59889" spans="17:17" x14ac:dyDescent="0.25">
      <c r="Q59889" s="8"/>
    </row>
    <row r="59890" spans="17:17" x14ac:dyDescent="0.25">
      <c r="Q59890" s="8"/>
    </row>
    <row r="59891" spans="17:17" x14ac:dyDescent="0.25">
      <c r="Q59891" s="8"/>
    </row>
    <row r="59892" spans="17:17" x14ac:dyDescent="0.25">
      <c r="Q59892" s="8"/>
    </row>
    <row r="59893" spans="17:17" x14ac:dyDescent="0.25">
      <c r="Q59893" s="8"/>
    </row>
    <row r="59894" spans="17:17" x14ac:dyDescent="0.25">
      <c r="Q59894" s="8"/>
    </row>
    <row r="59895" spans="17:17" x14ac:dyDescent="0.25">
      <c r="Q59895" s="8"/>
    </row>
    <row r="59896" spans="17:17" x14ac:dyDescent="0.25">
      <c r="Q59896" s="8"/>
    </row>
    <row r="59897" spans="17:17" x14ac:dyDescent="0.25">
      <c r="Q59897" s="8"/>
    </row>
    <row r="59898" spans="17:17" x14ac:dyDescent="0.25">
      <c r="Q59898" s="8"/>
    </row>
    <row r="59899" spans="17:17" x14ac:dyDescent="0.25">
      <c r="Q59899" s="8"/>
    </row>
    <row r="59900" spans="17:17" x14ac:dyDescent="0.25">
      <c r="Q59900" s="8"/>
    </row>
    <row r="59901" spans="17:17" x14ac:dyDescent="0.25">
      <c r="Q59901" s="8"/>
    </row>
    <row r="59902" spans="17:17" x14ac:dyDescent="0.25">
      <c r="Q59902" s="8"/>
    </row>
    <row r="59903" spans="17:17" x14ac:dyDescent="0.25">
      <c r="Q59903" s="8"/>
    </row>
    <row r="59904" spans="17:17" x14ac:dyDescent="0.25">
      <c r="Q59904" s="8"/>
    </row>
    <row r="59905" spans="17:17" x14ac:dyDescent="0.25">
      <c r="Q59905" s="8"/>
    </row>
    <row r="59906" spans="17:17" x14ac:dyDescent="0.25">
      <c r="Q59906" s="8"/>
    </row>
    <row r="59907" spans="17:17" x14ac:dyDescent="0.25">
      <c r="Q59907" s="8"/>
    </row>
    <row r="59908" spans="17:17" x14ac:dyDescent="0.25">
      <c r="Q59908" s="8"/>
    </row>
    <row r="59909" spans="17:17" x14ac:dyDescent="0.25">
      <c r="Q59909" s="8"/>
    </row>
    <row r="59910" spans="17:17" x14ac:dyDescent="0.25">
      <c r="Q59910" s="8"/>
    </row>
    <row r="59911" spans="17:17" x14ac:dyDescent="0.25">
      <c r="Q59911" s="8"/>
    </row>
    <row r="59912" spans="17:17" x14ac:dyDescent="0.25">
      <c r="Q59912" s="8"/>
    </row>
    <row r="59913" spans="17:17" x14ac:dyDescent="0.25">
      <c r="Q59913" s="8"/>
    </row>
    <row r="59914" spans="17:17" x14ac:dyDescent="0.25">
      <c r="Q59914" s="8"/>
    </row>
    <row r="59915" spans="17:17" x14ac:dyDescent="0.25">
      <c r="Q59915" s="8"/>
    </row>
    <row r="59916" spans="17:17" x14ac:dyDescent="0.25">
      <c r="Q59916" s="8"/>
    </row>
    <row r="59917" spans="17:17" x14ac:dyDescent="0.25">
      <c r="Q59917" s="8"/>
    </row>
    <row r="59918" spans="17:17" x14ac:dyDescent="0.25">
      <c r="Q59918" s="8"/>
    </row>
    <row r="59919" spans="17:17" x14ac:dyDescent="0.25">
      <c r="Q59919" s="8"/>
    </row>
    <row r="59920" spans="17:17" x14ac:dyDescent="0.25">
      <c r="Q59920" s="8"/>
    </row>
    <row r="59921" spans="17:17" x14ac:dyDescent="0.25">
      <c r="Q59921" s="8"/>
    </row>
    <row r="59922" spans="17:17" x14ac:dyDescent="0.25">
      <c r="Q59922" s="8"/>
    </row>
    <row r="59923" spans="17:17" x14ac:dyDescent="0.25">
      <c r="Q59923" s="8"/>
    </row>
    <row r="59924" spans="17:17" x14ac:dyDescent="0.25">
      <c r="Q59924" s="8"/>
    </row>
    <row r="59925" spans="17:17" x14ac:dyDescent="0.25">
      <c r="Q59925" s="8"/>
    </row>
    <row r="59926" spans="17:17" x14ac:dyDescent="0.25">
      <c r="Q59926" s="8"/>
    </row>
    <row r="59927" spans="17:17" x14ac:dyDescent="0.25">
      <c r="Q59927" s="8"/>
    </row>
    <row r="59928" spans="17:17" x14ac:dyDescent="0.25">
      <c r="Q59928" s="8"/>
    </row>
    <row r="59929" spans="17:17" x14ac:dyDescent="0.25">
      <c r="Q59929" s="8"/>
    </row>
    <row r="59930" spans="17:17" x14ac:dyDescent="0.25">
      <c r="Q59930" s="8"/>
    </row>
    <row r="59931" spans="17:17" x14ac:dyDescent="0.25">
      <c r="Q59931" s="8"/>
    </row>
    <row r="59932" spans="17:17" x14ac:dyDescent="0.25">
      <c r="Q59932" s="8"/>
    </row>
    <row r="59933" spans="17:17" x14ac:dyDescent="0.25">
      <c r="Q59933" s="8"/>
    </row>
    <row r="59934" spans="17:17" x14ac:dyDescent="0.25">
      <c r="Q59934" s="8"/>
    </row>
    <row r="59935" spans="17:17" x14ac:dyDescent="0.25">
      <c r="Q59935" s="8"/>
    </row>
    <row r="59936" spans="17:17" x14ac:dyDescent="0.25">
      <c r="Q59936" s="8"/>
    </row>
    <row r="59937" spans="17:17" x14ac:dyDescent="0.25">
      <c r="Q59937" s="8"/>
    </row>
    <row r="59938" spans="17:17" x14ac:dyDescent="0.25">
      <c r="Q59938" s="8"/>
    </row>
    <row r="59939" spans="17:17" x14ac:dyDescent="0.25">
      <c r="Q59939" s="8"/>
    </row>
    <row r="59940" spans="17:17" x14ac:dyDescent="0.25">
      <c r="Q59940" s="8"/>
    </row>
    <row r="59941" spans="17:17" x14ac:dyDescent="0.25">
      <c r="Q59941" s="8"/>
    </row>
    <row r="59942" spans="17:17" x14ac:dyDescent="0.25">
      <c r="Q59942" s="8"/>
    </row>
    <row r="59943" spans="17:17" x14ac:dyDescent="0.25">
      <c r="Q59943" s="8"/>
    </row>
    <row r="59944" spans="17:17" x14ac:dyDescent="0.25">
      <c r="Q59944" s="8"/>
    </row>
    <row r="59945" spans="17:17" x14ac:dyDescent="0.25">
      <c r="Q59945" s="8"/>
    </row>
    <row r="59946" spans="17:17" x14ac:dyDescent="0.25">
      <c r="Q59946" s="8"/>
    </row>
    <row r="59947" spans="17:17" x14ac:dyDescent="0.25">
      <c r="Q59947" s="8"/>
    </row>
    <row r="59948" spans="17:17" x14ac:dyDescent="0.25">
      <c r="Q59948" s="8"/>
    </row>
    <row r="59949" spans="17:17" x14ac:dyDescent="0.25">
      <c r="Q59949" s="8"/>
    </row>
    <row r="59950" spans="17:17" x14ac:dyDescent="0.25">
      <c r="Q59950" s="8"/>
    </row>
    <row r="59951" spans="17:17" x14ac:dyDescent="0.25">
      <c r="Q59951" s="8"/>
    </row>
    <row r="59952" spans="17:17" x14ac:dyDescent="0.25">
      <c r="Q59952" s="8"/>
    </row>
    <row r="59953" spans="17:17" x14ac:dyDescent="0.25">
      <c r="Q59953" s="8"/>
    </row>
    <row r="59954" spans="17:17" x14ac:dyDescent="0.25">
      <c r="Q59954" s="8"/>
    </row>
    <row r="59955" spans="17:17" x14ac:dyDescent="0.25">
      <c r="Q59955" s="8"/>
    </row>
    <row r="59956" spans="17:17" x14ac:dyDescent="0.25">
      <c r="Q59956" s="8"/>
    </row>
    <row r="59957" spans="17:17" x14ac:dyDescent="0.25">
      <c r="Q59957" s="8"/>
    </row>
    <row r="59958" spans="17:17" x14ac:dyDescent="0.25">
      <c r="Q59958" s="8"/>
    </row>
    <row r="59959" spans="17:17" x14ac:dyDescent="0.25">
      <c r="Q59959" s="8"/>
    </row>
    <row r="59960" spans="17:17" x14ac:dyDescent="0.25">
      <c r="Q59960" s="8"/>
    </row>
    <row r="59961" spans="17:17" x14ac:dyDescent="0.25">
      <c r="Q59961" s="8"/>
    </row>
    <row r="59962" spans="17:17" x14ac:dyDescent="0.25">
      <c r="Q59962" s="8"/>
    </row>
    <row r="59963" spans="17:17" x14ac:dyDescent="0.25">
      <c r="Q59963" s="8"/>
    </row>
    <row r="59964" spans="17:17" x14ac:dyDescent="0.25">
      <c r="Q59964" s="8"/>
    </row>
    <row r="59965" spans="17:17" x14ac:dyDescent="0.25">
      <c r="Q59965" s="8"/>
    </row>
    <row r="59966" spans="17:17" x14ac:dyDescent="0.25">
      <c r="Q59966" s="8"/>
    </row>
    <row r="59967" spans="17:17" x14ac:dyDescent="0.25">
      <c r="Q59967" s="8"/>
    </row>
    <row r="59968" spans="17:17" x14ac:dyDescent="0.25">
      <c r="Q59968" s="8"/>
    </row>
    <row r="59969" spans="17:17" x14ac:dyDescent="0.25">
      <c r="Q59969" s="8"/>
    </row>
    <row r="59970" spans="17:17" x14ac:dyDescent="0.25">
      <c r="Q59970" s="8"/>
    </row>
    <row r="59971" spans="17:17" x14ac:dyDescent="0.25">
      <c r="Q59971" s="8"/>
    </row>
    <row r="59972" spans="17:17" x14ac:dyDescent="0.25">
      <c r="Q59972" s="8"/>
    </row>
    <row r="59973" spans="17:17" x14ac:dyDescent="0.25">
      <c r="Q59973" s="8"/>
    </row>
    <row r="59974" spans="17:17" x14ac:dyDescent="0.25">
      <c r="Q59974" s="8"/>
    </row>
    <row r="59975" spans="17:17" x14ac:dyDescent="0.25">
      <c r="Q59975" s="8"/>
    </row>
    <row r="59976" spans="17:17" x14ac:dyDescent="0.25">
      <c r="Q59976" s="8"/>
    </row>
    <row r="59977" spans="17:17" x14ac:dyDescent="0.25">
      <c r="Q59977" s="8"/>
    </row>
    <row r="59978" spans="17:17" x14ac:dyDescent="0.25">
      <c r="Q59978" s="8"/>
    </row>
    <row r="59979" spans="17:17" x14ac:dyDescent="0.25">
      <c r="Q59979" s="8"/>
    </row>
    <row r="59980" spans="17:17" x14ac:dyDescent="0.25">
      <c r="Q59980" s="8"/>
    </row>
    <row r="59981" spans="17:17" x14ac:dyDescent="0.25">
      <c r="Q59981" s="8"/>
    </row>
    <row r="59982" spans="17:17" x14ac:dyDescent="0.25">
      <c r="Q59982" s="8"/>
    </row>
    <row r="59983" spans="17:17" x14ac:dyDescent="0.25">
      <c r="Q59983" s="8"/>
    </row>
    <row r="59984" spans="17:17" x14ac:dyDescent="0.25">
      <c r="Q59984" s="8"/>
    </row>
    <row r="59985" spans="17:17" x14ac:dyDescent="0.25">
      <c r="Q59985" s="8"/>
    </row>
    <row r="59986" spans="17:17" x14ac:dyDescent="0.25">
      <c r="Q59986" s="8"/>
    </row>
    <row r="59987" spans="17:17" x14ac:dyDescent="0.25">
      <c r="Q59987" s="8"/>
    </row>
    <row r="59988" spans="17:17" x14ac:dyDescent="0.25">
      <c r="Q59988" s="8"/>
    </row>
    <row r="59989" spans="17:17" x14ac:dyDescent="0.25">
      <c r="Q59989" s="8"/>
    </row>
    <row r="59990" spans="17:17" x14ac:dyDescent="0.25">
      <c r="Q59990" s="8"/>
    </row>
    <row r="59991" spans="17:17" x14ac:dyDescent="0.25">
      <c r="Q59991" s="8"/>
    </row>
    <row r="59992" spans="17:17" x14ac:dyDescent="0.25">
      <c r="Q59992" s="8"/>
    </row>
    <row r="59993" spans="17:17" x14ac:dyDescent="0.25">
      <c r="Q59993" s="8"/>
    </row>
    <row r="59994" spans="17:17" x14ac:dyDescent="0.25">
      <c r="Q59994" s="8"/>
    </row>
    <row r="59995" spans="17:17" x14ac:dyDescent="0.25">
      <c r="Q59995" s="8"/>
    </row>
    <row r="59996" spans="17:17" x14ac:dyDescent="0.25">
      <c r="Q59996" s="8"/>
    </row>
    <row r="59997" spans="17:17" x14ac:dyDescent="0.25">
      <c r="Q59997" s="8"/>
    </row>
    <row r="59998" spans="17:17" x14ac:dyDescent="0.25">
      <c r="Q59998" s="8"/>
    </row>
    <row r="59999" spans="17:17" x14ac:dyDescent="0.25">
      <c r="Q59999" s="8"/>
    </row>
    <row r="60000" spans="17:17" x14ac:dyDescent="0.25">
      <c r="Q60000" s="8"/>
    </row>
    <row r="60001" spans="17:17" x14ac:dyDescent="0.25">
      <c r="Q60001" s="8"/>
    </row>
    <row r="60002" spans="17:17" x14ac:dyDescent="0.25">
      <c r="Q60002" s="8"/>
    </row>
    <row r="60003" spans="17:17" x14ac:dyDescent="0.25">
      <c r="Q60003" s="8"/>
    </row>
    <row r="60004" spans="17:17" x14ac:dyDescent="0.25">
      <c r="Q60004" s="8"/>
    </row>
    <row r="60005" spans="17:17" x14ac:dyDescent="0.25">
      <c r="Q60005" s="8"/>
    </row>
    <row r="60006" spans="17:17" x14ac:dyDescent="0.25">
      <c r="Q60006" s="8"/>
    </row>
    <row r="60007" spans="17:17" x14ac:dyDescent="0.25">
      <c r="Q60007" s="8"/>
    </row>
    <row r="60008" spans="17:17" x14ac:dyDescent="0.25">
      <c r="Q60008" s="8"/>
    </row>
    <row r="60009" spans="17:17" x14ac:dyDescent="0.25">
      <c r="Q60009" s="8"/>
    </row>
    <row r="60010" spans="17:17" x14ac:dyDescent="0.25">
      <c r="Q60010" s="8"/>
    </row>
    <row r="60011" spans="17:17" x14ac:dyDescent="0.25">
      <c r="Q60011" s="8"/>
    </row>
    <row r="60012" spans="17:17" x14ac:dyDescent="0.25">
      <c r="Q60012" s="8"/>
    </row>
    <row r="60013" spans="17:17" x14ac:dyDescent="0.25">
      <c r="Q60013" s="8"/>
    </row>
    <row r="60014" spans="17:17" x14ac:dyDescent="0.25">
      <c r="Q60014" s="8"/>
    </row>
    <row r="60015" spans="17:17" x14ac:dyDescent="0.25">
      <c r="Q60015" s="8"/>
    </row>
    <row r="60016" spans="17:17" x14ac:dyDescent="0.25">
      <c r="Q60016" s="8"/>
    </row>
    <row r="60017" spans="17:17" x14ac:dyDescent="0.25">
      <c r="Q60017" s="8"/>
    </row>
    <row r="60018" spans="17:17" x14ac:dyDescent="0.25">
      <c r="Q60018" s="8"/>
    </row>
    <row r="60019" spans="17:17" x14ac:dyDescent="0.25">
      <c r="Q60019" s="8"/>
    </row>
    <row r="60020" spans="17:17" x14ac:dyDescent="0.25">
      <c r="Q60020" s="8"/>
    </row>
    <row r="60021" spans="17:17" x14ac:dyDescent="0.25">
      <c r="Q60021" s="8"/>
    </row>
    <row r="60022" spans="17:17" x14ac:dyDescent="0.25">
      <c r="Q60022" s="8"/>
    </row>
    <row r="60023" spans="17:17" x14ac:dyDescent="0.25">
      <c r="Q60023" s="8"/>
    </row>
    <row r="60024" spans="17:17" x14ac:dyDescent="0.25">
      <c r="Q60024" s="8"/>
    </row>
    <row r="60025" spans="17:17" x14ac:dyDescent="0.25">
      <c r="Q60025" s="8"/>
    </row>
    <row r="60026" spans="17:17" x14ac:dyDescent="0.25">
      <c r="Q60026" s="8"/>
    </row>
    <row r="60027" spans="17:17" x14ac:dyDescent="0.25">
      <c r="Q60027" s="8"/>
    </row>
    <row r="60028" spans="17:17" x14ac:dyDescent="0.25">
      <c r="Q60028" s="8"/>
    </row>
    <row r="60029" spans="17:17" x14ac:dyDescent="0.25">
      <c r="Q60029" s="8"/>
    </row>
    <row r="60030" spans="17:17" x14ac:dyDescent="0.25">
      <c r="Q60030" s="8"/>
    </row>
    <row r="60031" spans="17:17" x14ac:dyDescent="0.25">
      <c r="Q60031" s="8"/>
    </row>
    <row r="60032" spans="17:17" x14ac:dyDescent="0.25">
      <c r="Q60032" s="8"/>
    </row>
    <row r="60033" spans="17:17" x14ac:dyDescent="0.25">
      <c r="Q60033" s="8"/>
    </row>
    <row r="60034" spans="17:17" x14ac:dyDescent="0.25">
      <c r="Q60034" s="8"/>
    </row>
    <row r="60035" spans="17:17" x14ac:dyDescent="0.25">
      <c r="Q60035" s="8"/>
    </row>
    <row r="60036" spans="17:17" x14ac:dyDescent="0.25">
      <c r="Q60036" s="8"/>
    </row>
    <row r="60037" spans="17:17" x14ac:dyDescent="0.25">
      <c r="Q60037" s="8"/>
    </row>
    <row r="60038" spans="17:17" x14ac:dyDescent="0.25">
      <c r="Q60038" s="8"/>
    </row>
    <row r="60039" spans="17:17" x14ac:dyDescent="0.25">
      <c r="Q60039" s="8"/>
    </row>
    <row r="60040" spans="17:17" x14ac:dyDescent="0.25">
      <c r="Q60040" s="8"/>
    </row>
    <row r="60041" spans="17:17" x14ac:dyDescent="0.25">
      <c r="Q60041" s="8"/>
    </row>
    <row r="60042" spans="17:17" x14ac:dyDescent="0.25">
      <c r="Q60042" s="8"/>
    </row>
    <row r="60043" spans="17:17" x14ac:dyDescent="0.25">
      <c r="Q60043" s="8"/>
    </row>
    <row r="60044" spans="17:17" x14ac:dyDescent="0.25">
      <c r="Q60044" s="8"/>
    </row>
    <row r="60045" spans="17:17" x14ac:dyDescent="0.25">
      <c r="Q60045" s="8"/>
    </row>
    <row r="60046" spans="17:17" x14ac:dyDescent="0.25">
      <c r="Q60046" s="8"/>
    </row>
    <row r="60047" spans="17:17" x14ac:dyDescent="0.25">
      <c r="Q60047" s="8"/>
    </row>
    <row r="60048" spans="17:17" x14ac:dyDescent="0.25">
      <c r="Q60048" s="8"/>
    </row>
    <row r="60049" spans="17:17" x14ac:dyDescent="0.25">
      <c r="Q60049" s="8"/>
    </row>
    <row r="60050" spans="17:17" x14ac:dyDescent="0.25">
      <c r="Q60050" s="8"/>
    </row>
    <row r="60051" spans="17:17" x14ac:dyDescent="0.25">
      <c r="Q60051" s="8"/>
    </row>
    <row r="60052" spans="17:17" x14ac:dyDescent="0.25">
      <c r="Q60052" s="8"/>
    </row>
    <row r="60053" spans="17:17" x14ac:dyDescent="0.25">
      <c r="Q60053" s="8"/>
    </row>
    <row r="60054" spans="17:17" x14ac:dyDescent="0.25">
      <c r="Q60054" s="8"/>
    </row>
    <row r="60055" spans="17:17" x14ac:dyDescent="0.25">
      <c r="Q60055" s="8"/>
    </row>
    <row r="60056" spans="17:17" x14ac:dyDescent="0.25">
      <c r="Q60056" s="8"/>
    </row>
    <row r="60057" spans="17:17" x14ac:dyDescent="0.25">
      <c r="Q60057" s="8"/>
    </row>
    <row r="60058" spans="17:17" x14ac:dyDescent="0.25">
      <c r="Q60058" s="8"/>
    </row>
    <row r="60059" spans="17:17" x14ac:dyDescent="0.25">
      <c r="Q60059" s="8"/>
    </row>
    <row r="60060" spans="17:17" x14ac:dyDescent="0.25">
      <c r="Q60060" s="8"/>
    </row>
    <row r="60061" spans="17:17" x14ac:dyDescent="0.25">
      <c r="Q60061" s="8"/>
    </row>
    <row r="60062" spans="17:17" x14ac:dyDescent="0.25">
      <c r="Q60062" s="8"/>
    </row>
    <row r="60063" spans="17:17" x14ac:dyDescent="0.25">
      <c r="Q60063" s="8"/>
    </row>
    <row r="60064" spans="17:17" x14ac:dyDescent="0.25">
      <c r="Q60064" s="8"/>
    </row>
    <row r="60065" spans="17:17" x14ac:dyDescent="0.25">
      <c r="Q60065" s="8"/>
    </row>
    <row r="60066" spans="17:17" x14ac:dyDescent="0.25">
      <c r="Q60066" s="8"/>
    </row>
    <row r="60067" spans="17:17" x14ac:dyDescent="0.25">
      <c r="Q60067" s="8"/>
    </row>
    <row r="60068" spans="17:17" x14ac:dyDescent="0.25">
      <c r="Q60068" s="8"/>
    </row>
    <row r="60069" spans="17:17" x14ac:dyDescent="0.25">
      <c r="Q60069" s="8"/>
    </row>
    <row r="60070" spans="17:17" x14ac:dyDescent="0.25">
      <c r="Q60070" s="8"/>
    </row>
    <row r="60071" spans="17:17" x14ac:dyDescent="0.25">
      <c r="Q60071" s="8"/>
    </row>
    <row r="60072" spans="17:17" x14ac:dyDescent="0.25">
      <c r="Q60072" s="8"/>
    </row>
    <row r="60073" spans="17:17" x14ac:dyDescent="0.25">
      <c r="Q60073" s="8"/>
    </row>
    <row r="60074" spans="17:17" x14ac:dyDescent="0.25">
      <c r="Q60074" s="8"/>
    </row>
    <row r="60075" spans="17:17" x14ac:dyDescent="0.25">
      <c r="Q60075" s="8"/>
    </row>
    <row r="60076" spans="17:17" x14ac:dyDescent="0.25">
      <c r="Q60076" s="8"/>
    </row>
    <row r="60077" spans="17:17" x14ac:dyDescent="0.25">
      <c r="Q60077" s="8"/>
    </row>
    <row r="60078" spans="17:17" x14ac:dyDescent="0.25">
      <c r="Q60078" s="8"/>
    </row>
    <row r="60079" spans="17:17" x14ac:dyDescent="0.25">
      <c r="Q60079" s="8"/>
    </row>
    <row r="60080" spans="17:17" x14ac:dyDescent="0.25">
      <c r="Q60080" s="8"/>
    </row>
    <row r="60081" spans="17:17" x14ac:dyDescent="0.25">
      <c r="Q60081" s="8"/>
    </row>
    <row r="60082" spans="17:17" x14ac:dyDescent="0.25">
      <c r="Q60082" s="8"/>
    </row>
    <row r="60083" spans="17:17" x14ac:dyDescent="0.25">
      <c r="Q60083" s="8"/>
    </row>
    <row r="60084" spans="17:17" x14ac:dyDescent="0.25">
      <c r="Q60084" s="8"/>
    </row>
    <row r="60085" spans="17:17" x14ac:dyDescent="0.25">
      <c r="Q60085" s="8"/>
    </row>
    <row r="60086" spans="17:17" x14ac:dyDescent="0.25">
      <c r="Q60086" s="8"/>
    </row>
    <row r="60087" spans="17:17" x14ac:dyDescent="0.25">
      <c r="Q60087" s="8"/>
    </row>
    <row r="60088" spans="17:17" x14ac:dyDescent="0.25">
      <c r="Q60088" s="8"/>
    </row>
    <row r="60089" spans="17:17" x14ac:dyDescent="0.25">
      <c r="Q60089" s="8"/>
    </row>
    <row r="60090" spans="17:17" x14ac:dyDescent="0.25">
      <c r="Q60090" s="8"/>
    </row>
    <row r="60091" spans="17:17" x14ac:dyDescent="0.25">
      <c r="Q60091" s="8"/>
    </row>
    <row r="60092" spans="17:17" x14ac:dyDescent="0.25">
      <c r="Q60092" s="8"/>
    </row>
    <row r="60093" spans="17:17" x14ac:dyDescent="0.25">
      <c r="Q60093" s="8"/>
    </row>
    <row r="60094" spans="17:17" x14ac:dyDescent="0.25">
      <c r="Q60094" s="8"/>
    </row>
    <row r="60095" spans="17:17" x14ac:dyDescent="0.25">
      <c r="Q60095" s="8"/>
    </row>
    <row r="60096" spans="17:17" x14ac:dyDescent="0.25">
      <c r="Q60096" s="8"/>
    </row>
    <row r="60097" spans="17:17" x14ac:dyDescent="0.25">
      <c r="Q60097" s="8"/>
    </row>
    <row r="60098" spans="17:17" x14ac:dyDescent="0.25">
      <c r="Q60098" s="8"/>
    </row>
    <row r="60099" spans="17:17" x14ac:dyDescent="0.25">
      <c r="Q60099" s="8"/>
    </row>
    <row r="60100" spans="17:17" x14ac:dyDescent="0.25">
      <c r="Q60100" s="8"/>
    </row>
    <row r="60101" spans="17:17" x14ac:dyDescent="0.25">
      <c r="Q60101" s="8"/>
    </row>
    <row r="60102" spans="17:17" x14ac:dyDescent="0.25">
      <c r="Q60102" s="8"/>
    </row>
    <row r="60103" spans="17:17" x14ac:dyDescent="0.25">
      <c r="Q60103" s="8"/>
    </row>
    <row r="60104" spans="17:17" x14ac:dyDescent="0.25">
      <c r="Q60104" s="8"/>
    </row>
    <row r="60105" spans="17:17" x14ac:dyDescent="0.25">
      <c r="Q60105" s="8"/>
    </row>
    <row r="60106" spans="17:17" x14ac:dyDescent="0.25">
      <c r="Q60106" s="8"/>
    </row>
    <row r="60107" spans="17:17" x14ac:dyDescent="0.25">
      <c r="Q60107" s="8"/>
    </row>
    <row r="60108" spans="17:17" x14ac:dyDescent="0.25">
      <c r="Q60108" s="8"/>
    </row>
    <row r="60109" spans="17:17" x14ac:dyDescent="0.25">
      <c r="Q60109" s="8"/>
    </row>
    <row r="60110" spans="17:17" x14ac:dyDescent="0.25">
      <c r="Q60110" s="8"/>
    </row>
    <row r="60111" spans="17:17" x14ac:dyDescent="0.25">
      <c r="Q60111" s="8"/>
    </row>
    <row r="60112" spans="17:17" x14ac:dyDescent="0.25">
      <c r="Q60112" s="8"/>
    </row>
    <row r="60113" spans="17:17" x14ac:dyDescent="0.25">
      <c r="Q60113" s="8"/>
    </row>
    <row r="60114" spans="17:17" x14ac:dyDescent="0.25">
      <c r="Q60114" s="8"/>
    </row>
    <row r="60115" spans="17:17" x14ac:dyDescent="0.25">
      <c r="Q60115" s="8"/>
    </row>
    <row r="60116" spans="17:17" x14ac:dyDescent="0.25">
      <c r="Q60116" s="8"/>
    </row>
    <row r="60117" spans="17:17" x14ac:dyDescent="0.25">
      <c r="Q60117" s="8"/>
    </row>
    <row r="60118" spans="17:17" x14ac:dyDescent="0.25">
      <c r="Q60118" s="8"/>
    </row>
    <row r="60119" spans="17:17" x14ac:dyDescent="0.25">
      <c r="Q60119" s="8"/>
    </row>
    <row r="60120" spans="17:17" x14ac:dyDescent="0.25">
      <c r="Q60120" s="8"/>
    </row>
    <row r="60121" spans="17:17" x14ac:dyDescent="0.25">
      <c r="Q60121" s="8"/>
    </row>
    <row r="60122" spans="17:17" x14ac:dyDescent="0.25">
      <c r="Q60122" s="8"/>
    </row>
    <row r="60123" spans="17:17" x14ac:dyDescent="0.25">
      <c r="Q60123" s="8"/>
    </row>
    <row r="60124" spans="17:17" x14ac:dyDescent="0.25">
      <c r="Q60124" s="8"/>
    </row>
    <row r="60125" spans="17:17" x14ac:dyDescent="0.25">
      <c r="Q60125" s="8"/>
    </row>
    <row r="60126" spans="17:17" x14ac:dyDescent="0.25">
      <c r="Q60126" s="8"/>
    </row>
    <row r="60127" spans="17:17" x14ac:dyDescent="0.25">
      <c r="Q60127" s="8"/>
    </row>
    <row r="60128" spans="17:17" x14ac:dyDescent="0.25">
      <c r="Q60128" s="8"/>
    </row>
    <row r="60129" spans="17:17" x14ac:dyDescent="0.25">
      <c r="Q60129" s="8"/>
    </row>
    <row r="60130" spans="17:17" x14ac:dyDescent="0.25">
      <c r="Q60130" s="8"/>
    </row>
    <row r="60131" spans="17:17" x14ac:dyDescent="0.25">
      <c r="Q60131" s="8"/>
    </row>
    <row r="60132" spans="17:17" x14ac:dyDescent="0.25">
      <c r="Q60132" s="8"/>
    </row>
    <row r="60133" spans="17:17" x14ac:dyDescent="0.25">
      <c r="Q60133" s="8"/>
    </row>
    <row r="60134" spans="17:17" x14ac:dyDescent="0.25">
      <c r="Q60134" s="8"/>
    </row>
    <row r="60135" spans="17:17" x14ac:dyDescent="0.25">
      <c r="Q60135" s="8"/>
    </row>
    <row r="60136" spans="17:17" x14ac:dyDescent="0.25">
      <c r="Q60136" s="8"/>
    </row>
    <row r="60137" spans="17:17" x14ac:dyDescent="0.25">
      <c r="Q60137" s="8"/>
    </row>
    <row r="60138" spans="17:17" x14ac:dyDescent="0.25">
      <c r="Q60138" s="8"/>
    </row>
    <row r="60139" spans="17:17" x14ac:dyDescent="0.25">
      <c r="Q60139" s="8"/>
    </row>
    <row r="60140" spans="17:17" x14ac:dyDescent="0.25">
      <c r="Q60140" s="8"/>
    </row>
    <row r="60141" spans="17:17" x14ac:dyDescent="0.25">
      <c r="Q60141" s="8"/>
    </row>
    <row r="60142" spans="17:17" x14ac:dyDescent="0.25">
      <c r="Q60142" s="8"/>
    </row>
    <row r="60143" spans="17:17" x14ac:dyDescent="0.25">
      <c r="Q60143" s="8"/>
    </row>
    <row r="60144" spans="17:17" x14ac:dyDescent="0.25">
      <c r="Q60144" s="8"/>
    </row>
    <row r="60145" spans="17:17" x14ac:dyDescent="0.25">
      <c r="Q60145" s="8"/>
    </row>
    <row r="60146" spans="17:17" x14ac:dyDescent="0.25">
      <c r="Q60146" s="8"/>
    </row>
    <row r="60147" spans="17:17" x14ac:dyDescent="0.25">
      <c r="Q60147" s="8"/>
    </row>
    <row r="60148" spans="17:17" x14ac:dyDescent="0.25">
      <c r="Q60148" s="8"/>
    </row>
    <row r="60149" spans="17:17" x14ac:dyDescent="0.25">
      <c r="Q60149" s="8"/>
    </row>
    <row r="60150" spans="17:17" x14ac:dyDescent="0.25">
      <c r="Q60150" s="8"/>
    </row>
    <row r="60151" spans="17:17" x14ac:dyDescent="0.25">
      <c r="Q60151" s="8"/>
    </row>
    <row r="60152" spans="17:17" x14ac:dyDescent="0.25">
      <c r="Q60152" s="8"/>
    </row>
    <row r="60153" spans="17:17" x14ac:dyDescent="0.25">
      <c r="Q60153" s="8"/>
    </row>
    <row r="60154" spans="17:17" x14ac:dyDescent="0.25">
      <c r="Q60154" s="8"/>
    </row>
    <row r="60155" spans="17:17" x14ac:dyDescent="0.25">
      <c r="Q60155" s="8"/>
    </row>
    <row r="60156" spans="17:17" x14ac:dyDescent="0.25">
      <c r="Q60156" s="8"/>
    </row>
    <row r="60157" spans="17:17" x14ac:dyDescent="0.25">
      <c r="Q60157" s="8"/>
    </row>
    <row r="60158" spans="17:17" x14ac:dyDescent="0.25">
      <c r="Q60158" s="8"/>
    </row>
    <row r="60159" spans="17:17" x14ac:dyDescent="0.25">
      <c r="Q60159" s="8"/>
    </row>
    <row r="60160" spans="17:17" x14ac:dyDescent="0.25">
      <c r="Q60160" s="8"/>
    </row>
    <row r="60161" spans="17:17" x14ac:dyDescent="0.25">
      <c r="Q60161" s="8"/>
    </row>
    <row r="60162" spans="17:17" x14ac:dyDescent="0.25">
      <c r="Q60162" s="8"/>
    </row>
    <row r="60163" spans="17:17" x14ac:dyDescent="0.25">
      <c r="Q60163" s="8"/>
    </row>
    <row r="60164" spans="17:17" x14ac:dyDescent="0.25">
      <c r="Q60164" s="8"/>
    </row>
    <row r="60165" spans="17:17" x14ac:dyDescent="0.25">
      <c r="Q60165" s="8"/>
    </row>
    <row r="60166" spans="17:17" x14ac:dyDescent="0.25">
      <c r="Q60166" s="8"/>
    </row>
    <row r="60167" spans="17:17" x14ac:dyDescent="0.25">
      <c r="Q60167" s="8"/>
    </row>
    <row r="60168" spans="17:17" x14ac:dyDescent="0.25">
      <c r="Q60168" s="8"/>
    </row>
    <row r="60169" spans="17:17" x14ac:dyDescent="0.25">
      <c r="Q60169" s="8"/>
    </row>
    <row r="60170" spans="17:17" x14ac:dyDescent="0.25">
      <c r="Q60170" s="8"/>
    </row>
    <row r="60171" spans="17:17" x14ac:dyDescent="0.25">
      <c r="Q60171" s="8"/>
    </row>
    <row r="60172" spans="17:17" x14ac:dyDescent="0.25">
      <c r="Q60172" s="8"/>
    </row>
    <row r="60173" spans="17:17" x14ac:dyDescent="0.25">
      <c r="Q60173" s="8"/>
    </row>
    <row r="60174" spans="17:17" x14ac:dyDescent="0.25">
      <c r="Q60174" s="8"/>
    </row>
    <row r="60175" spans="17:17" x14ac:dyDescent="0.25">
      <c r="Q60175" s="8"/>
    </row>
    <row r="60176" spans="17:17" x14ac:dyDescent="0.25">
      <c r="Q60176" s="8"/>
    </row>
    <row r="60177" spans="17:17" x14ac:dyDescent="0.25">
      <c r="Q60177" s="8"/>
    </row>
    <row r="60178" spans="17:17" x14ac:dyDescent="0.25">
      <c r="Q60178" s="8"/>
    </row>
    <row r="60179" spans="17:17" x14ac:dyDescent="0.25">
      <c r="Q60179" s="8"/>
    </row>
    <row r="60180" spans="17:17" x14ac:dyDescent="0.25">
      <c r="Q60180" s="8"/>
    </row>
    <row r="60181" spans="17:17" x14ac:dyDescent="0.25">
      <c r="Q60181" s="8"/>
    </row>
    <row r="60182" spans="17:17" x14ac:dyDescent="0.25">
      <c r="Q60182" s="8"/>
    </row>
    <row r="60183" spans="17:17" x14ac:dyDescent="0.25">
      <c r="Q60183" s="8"/>
    </row>
    <row r="60184" spans="17:17" x14ac:dyDescent="0.25">
      <c r="Q60184" s="8"/>
    </row>
    <row r="60185" spans="17:17" x14ac:dyDescent="0.25">
      <c r="Q60185" s="8"/>
    </row>
    <row r="60186" spans="17:17" x14ac:dyDescent="0.25">
      <c r="Q60186" s="8"/>
    </row>
    <row r="60187" spans="17:17" x14ac:dyDescent="0.25">
      <c r="Q60187" s="8"/>
    </row>
    <row r="60188" spans="17:17" x14ac:dyDescent="0.25">
      <c r="Q60188" s="8"/>
    </row>
    <row r="60189" spans="17:17" x14ac:dyDescent="0.25">
      <c r="Q60189" s="8"/>
    </row>
    <row r="60190" spans="17:17" x14ac:dyDescent="0.25">
      <c r="Q60190" s="8"/>
    </row>
    <row r="60191" spans="17:17" x14ac:dyDescent="0.25">
      <c r="Q60191" s="8"/>
    </row>
    <row r="60192" spans="17:17" x14ac:dyDescent="0.25">
      <c r="Q60192" s="8"/>
    </row>
    <row r="60193" spans="17:17" x14ac:dyDescent="0.25">
      <c r="Q60193" s="8"/>
    </row>
    <row r="60194" spans="17:17" x14ac:dyDescent="0.25">
      <c r="Q60194" s="8"/>
    </row>
    <row r="60195" spans="17:17" x14ac:dyDescent="0.25">
      <c r="Q60195" s="8"/>
    </row>
    <row r="60196" spans="17:17" x14ac:dyDescent="0.25">
      <c r="Q60196" s="8"/>
    </row>
    <row r="60197" spans="17:17" x14ac:dyDescent="0.25">
      <c r="Q60197" s="8"/>
    </row>
    <row r="60198" spans="17:17" x14ac:dyDescent="0.25">
      <c r="Q60198" s="8"/>
    </row>
    <row r="60199" spans="17:17" x14ac:dyDescent="0.25">
      <c r="Q60199" s="8"/>
    </row>
    <row r="60200" spans="17:17" x14ac:dyDescent="0.25">
      <c r="Q60200" s="8"/>
    </row>
    <row r="60201" spans="17:17" x14ac:dyDescent="0.25">
      <c r="Q60201" s="8"/>
    </row>
    <row r="60202" spans="17:17" x14ac:dyDescent="0.25">
      <c r="Q60202" s="8"/>
    </row>
    <row r="60203" spans="17:17" x14ac:dyDescent="0.25">
      <c r="Q60203" s="8"/>
    </row>
    <row r="60204" spans="17:17" x14ac:dyDescent="0.25">
      <c r="Q60204" s="8"/>
    </row>
    <row r="60205" spans="17:17" x14ac:dyDescent="0.25">
      <c r="Q60205" s="8"/>
    </row>
    <row r="60206" spans="17:17" x14ac:dyDescent="0.25">
      <c r="Q60206" s="8"/>
    </row>
    <row r="60207" spans="17:17" x14ac:dyDescent="0.25">
      <c r="Q60207" s="8"/>
    </row>
    <row r="60208" spans="17:17" x14ac:dyDescent="0.25">
      <c r="Q60208" s="8"/>
    </row>
    <row r="60209" spans="17:17" x14ac:dyDescent="0.25">
      <c r="Q60209" s="8"/>
    </row>
    <row r="60210" spans="17:17" x14ac:dyDescent="0.25">
      <c r="Q60210" s="8"/>
    </row>
    <row r="60211" spans="17:17" x14ac:dyDescent="0.25">
      <c r="Q60211" s="8"/>
    </row>
    <row r="60212" spans="17:17" x14ac:dyDescent="0.25">
      <c r="Q60212" s="8"/>
    </row>
    <row r="60213" spans="17:17" x14ac:dyDescent="0.25">
      <c r="Q60213" s="8"/>
    </row>
    <row r="60214" spans="17:17" x14ac:dyDescent="0.25">
      <c r="Q60214" s="8"/>
    </row>
    <row r="60215" spans="17:17" x14ac:dyDescent="0.25">
      <c r="Q60215" s="8"/>
    </row>
    <row r="60216" spans="17:17" x14ac:dyDescent="0.25">
      <c r="Q60216" s="8"/>
    </row>
    <row r="60217" spans="17:17" x14ac:dyDescent="0.25">
      <c r="Q60217" s="8"/>
    </row>
    <row r="60218" spans="17:17" x14ac:dyDescent="0.25">
      <c r="Q60218" s="8"/>
    </row>
    <row r="60219" spans="17:17" x14ac:dyDescent="0.25">
      <c r="Q60219" s="8"/>
    </row>
    <row r="60220" spans="17:17" x14ac:dyDescent="0.25">
      <c r="Q60220" s="8"/>
    </row>
    <row r="60221" spans="17:17" x14ac:dyDescent="0.25">
      <c r="Q60221" s="8"/>
    </row>
    <row r="60222" spans="17:17" x14ac:dyDescent="0.25">
      <c r="Q60222" s="8"/>
    </row>
    <row r="60223" spans="17:17" x14ac:dyDescent="0.25">
      <c r="Q60223" s="8"/>
    </row>
    <row r="60224" spans="17:17" x14ac:dyDescent="0.25">
      <c r="Q60224" s="8"/>
    </row>
    <row r="60225" spans="17:17" x14ac:dyDescent="0.25">
      <c r="Q60225" s="8"/>
    </row>
    <row r="60226" spans="17:17" x14ac:dyDescent="0.25">
      <c r="Q60226" s="8"/>
    </row>
    <row r="60227" spans="17:17" x14ac:dyDescent="0.25">
      <c r="Q60227" s="8"/>
    </row>
    <row r="60228" spans="17:17" x14ac:dyDescent="0.25">
      <c r="Q60228" s="8"/>
    </row>
    <row r="60229" spans="17:17" x14ac:dyDescent="0.25">
      <c r="Q60229" s="8"/>
    </row>
    <row r="60230" spans="17:17" x14ac:dyDescent="0.25">
      <c r="Q60230" s="8"/>
    </row>
    <row r="60231" spans="17:17" x14ac:dyDescent="0.25">
      <c r="Q60231" s="8"/>
    </row>
    <row r="60232" spans="17:17" x14ac:dyDescent="0.25">
      <c r="Q60232" s="8"/>
    </row>
    <row r="60233" spans="17:17" x14ac:dyDescent="0.25">
      <c r="Q60233" s="8"/>
    </row>
    <row r="60234" spans="17:17" x14ac:dyDescent="0.25">
      <c r="Q60234" s="8"/>
    </row>
    <row r="60235" spans="17:17" x14ac:dyDescent="0.25">
      <c r="Q60235" s="8"/>
    </row>
    <row r="60236" spans="17:17" x14ac:dyDescent="0.25">
      <c r="Q60236" s="8"/>
    </row>
    <row r="60237" spans="17:17" x14ac:dyDescent="0.25">
      <c r="Q60237" s="8"/>
    </row>
    <row r="60238" spans="17:17" x14ac:dyDescent="0.25">
      <c r="Q60238" s="8"/>
    </row>
    <row r="60239" spans="17:17" x14ac:dyDescent="0.25">
      <c r="Q60239" s="8"/>
    </row>
    <row r="60240" spans="17:17" x14ac:dyDescent="0.25">
      <c r="Q60240" s="8"/>
    </row>
    <row r="60241" spans="17:17" x14ac:dyDescent="0.25">
      <c r="Q60241" s="8"/>
    </row>
    <row r="60242" spans="17:17" x14ac:dyDescent="0.25">
      <c r="Q60242" s="8"/>
    </row>
    <row r="60243" spans="17:17" x14ac:dyDescent="0.25">
      <c r="Q60243" s="8"/>
    </row>
    <row r="60244" spans="17:17" x14ac:dyDescent="0.25">
      <c r="Q60244" s="8"/>
    </row>
    <row r="60245" spans="17:17" x14ac:dyDescent="0.25">
      <c r="Q60245" s="8"/>
    </row>
    <row r="60246" spans="17:17" x14ac:dyDescent="0.25">
      <c r="Q60246" s="8"/>
    </row>
    <row r="60247" spans="17:17" x14ac:dyDescent="0.25">
      <c r="Q60247" s="8"/>
    </row>
    <row r="60248" spans="17:17" x14ac:dyDescent="0.25">
      <c r="Q60248" s="8"/>
    </row>
    <row r="60249" spans="17:17" x14ac:dyDescent="0.25">
      <c r="Q60249" s="8"/>
    </row>
    <row r="60250" spans="17:17" x14ac:dyDescent="0.25">
      <c r="Q60250" s="8"/>
    </row>
    <row r="60251" spans="17:17" x14ac:dyDescent="0.25">
      <c r="Q60251" s="8"/>
    </row>
    <row r="60252" spans="17:17" x14ac:dyDescent="0.25">
      <c r="Q60252" s="8"/>
    </row>
    <row r="60253" spans="17:17" x14ac:dyDescent="0.25">
      <c r="Q60253" s="8"/>
    </row>
    <row r="60254" spans="17:17" x14ac:dyDescent="0.25">
      <c r="Q60254" s="8"/>
    </row>
    <row r="60255" spans="17:17" x14ac:dyDescent="0.25">
      <c r="Q60255" s="8"/>
    </row>
    <row r="60256" spans="17:17" x14ac:dyDescent="0.25">
      <c r="Q60256" s="8"/>
    </row>
    <row r="60257" spans="17:17" x14ac:dyDescent="0.25">
      <c r="Q60257" s="8"/>
    </row>
    <row r="60258" spans="17:17" x14ac:dyDescent="0.25">
      <c r="Q60258" s="8"/>
    </row>
    <row r="60259" spans="17:17" x14ac:dyDescent="0.25">
      <c r="Q60259" s="8"/>
    </row>
    <row r="60260" spans="17:17" x14ac:dyDescent="0.25">
      <c r="Q60260" s="8"/>
    </row>
    <row r="60261" spans="17:17" x14ac:dyDescent="0.25">
      <c r="Q60261" s="8"/>
    </row>
    <row r="60262" spans="17:17" x14ac:dyDescent="0.25">
      <c r="Q60262" s="8"/>
    </row>
    <row r="60263" spans="17:17" x14ac:dyDescent="0.25">
      <c r="Q60263" s="8"/>
    </row>
    <row r="60264" spans="17:17" x14ac:dyDescent="0.25">
      <c r="Q60264" s="8"/>
    </row>
    <row r="60265" spans="17:17" x14ac:dyDescent="0.25">
      <c r="Q60265" s="8"/>
    </row>
    <row r="60266" spans="17:17" x14ac:dyDescent="0.25">
      <c r="Q60266" s="8"/>
    </row>
    <row r="60267" spans="17:17" x14ac:dyDescent="0.25">
      <c r="Q60267" s="8"/>
    </row>
    <row r="60268" spans="17:17" x14ac:dyDescent="0.25">
      <c r="Q60268" s="8"/>
    </row>
    <row r="60269" spans="17:17" x14ac:dyDescent="0.25">
      <c r="Q60269" s="8"/>
    </row>
    <row r="60270" spans="17:17" x14ac:dyDescent="0.25">
      <c r="Q60270" s="8"/>
    </row>
    <row r="60271" spans="17:17" x14ac:dyDescent="0.25">
      <c r="Q60271" s="8"/>
    </row>
    <row r="60272" spans="17:17" x14ac:dyDescent="0.25">
      <c r="Q60272" s="8"/>
    </row>
    <row r="60273" spans="17:17" x14ac:dyDescent="0.25">
      <c r="Q60273" s="8"/>
    </row>
    <row r="60274" spans="17:17" x14ac:dyDescent="0.25">
      <c r="Q60274" s="8"/>
    </row>
    <row r="60275" spans="17:17" x14ac:dyDescent="0.25">
      <c r="Q60275" s="8"/>
    </row>
    <row r="60276" spans="17:17" x14ac:dyDescent="0.25">
      <c r="Q60276" s="8"/>
    </row>
    <row r="60277" spans="17:17" x14ac:dyDescent="0.25">
      <c r="Q60277" s="8"/>
    </row>
    <row r="60278" spans="17:17" x14ac:dyDescent="0.25">
      <c r="Q60278" s="8"/>
    </row>
    <row r="60279" spans="17:17" x14ac:dyDescent="0.25">
      <c r="Q60279" s="8"/>
    </row>
    <row r="60280" spans="17:17" x14ac:dyDescent="0.25">
      <c r="Q60280" s="8"/>
    </row>
    <row r="60281" spans="17:17" x14ac:dyDescent="0.25">
      <c r="Q60281" s="8"/>
    </row>
    <row r="60282" spans="17:17" x14ac:dyDescent="0.25">
      <c r="Q60282" s="8"/>
    </row>
    <row r="60283" spans="17:17" x14ac:dyDescent="0.25">
      <c r="Q60283" s="8"/>
    </row>
    <row r="60284" spans="17:17" x14ac:dyDescent="0.25">
      <c r="Q60284" s="8"/>
    </row>
    <row r="60285" spans="17:17" x14ac:dyDescent="0.25">
      <c r="Q60285" s="8"/>
    </row>
    <row r="60286" spans="17:17" x14ac:dyDescent="0.25">
      <c r="Q60286" s="8"/>
    </row>
    <row r="60287" spans="17:17" x14ac:dyDescent="0.25">
      <c r="Q60287" s="8"/>
    </row>
    <row r="60288" spans="17:17" x14ac:dyDescent="0.25">
      <c r="Q60288" s="8"/>
    </row>
    <row r="60289" spans="17:17" x14ac:dyDescent="0.25">
      <c r="Q60289" s="8"/>
    </row>
    <row r="60290" spans="17:17" x14ac:dyDescent="0.25">
      <c r="Q60290" s="8"/>
    </row>
    <row r="60291" spans="17:17" x14ac:dyDescent="0.25">
      <c r="Q60291" s="8"/>
    </row>
    <row r="60292" spans="17:17" x14ac:dyDescent="0.25">
      <c r="Q60292" s="8"/>
    </row>
    <row r="60293" spans="17:17" x14ac:dyDescent="0.25">
      <c r="Q60293" s="8"/>
    </row>
    <row r="60294" spans="17:17" x14ac:dyDescent="0.25">
      <c r="Q60294" s="8"/>
    </row>
    <row r="60295" spans="17:17" x14ac:dyDescent="0.25">
      <c r="Q60295" s="8"/>
    </row>
    <row r="60296" spans="17:17" x14ac:dyDescent="0.25">
      <c r="Q60296" s="8"/>
    </row>
    <row r="60297" spans="17:17" x14ac:dyDescent="0.25">
      <c r="Q60297" s="8"/>
    </row>
    <row r="60298" spans="17:17" x14ac:dyDescent="0.25">
      <c r="Q60298" s="8"/>
    </row>
    <row r="60299" spans="17:17" x14ac:dyDescent="0.25">
      <c r="Q60299" s="8"/>
    </row>
    <row r="60300" spans="17:17" x14ac:dyDescent="0.25">
      <c r="Q60300" s="8"/>
    </row>
    <row r="60301" spans="17:17" x14ac:dyDescent="0.25">
      <c r="Q60301" s="8"/>
    </row>
    <row r="60302" spans="17:17" x14ac:dyDescent="0.25">
      <c r="Q60302" s="8"/>
    </row>
    <row r="60303" spans="17:17" x14ac:dyDescent="0.25">
      <c r="Q60303" s="8"/>
    </row>
    <row r="60304" spans="17:17" x14ac:dyDescent="0.25">
      <c r="Q60304" s="8"/>
    </row>
    <row r="60305" spans="17:17" x14ac:dyDescent="0.25">
      <c r="Q60305" s="8"/>
    </row>
    <row r="60306" spans="17:17" x14ac:dyDescent="0.25">
      <c r="Q60306" s="8"/>
    </row>
    <row r="60307" spans="17:17" x14ac:dyDescent="0.25">
      <c r="Q60307" s="8"/>
    </row>
    <row r="60308" spans="17:17" x14ac:dyDescent="0.25">
      <c r="Q60308" s="8"/>
    </row>
    <row r="60309" spans="17:17" x14ac:dyDescent="0.25">
      <c r="Q60309" s="8"/>
    </row>
    <row r="60310" spans="17:17" x14ac:dyDescent="0.25">
      <c r="Q60310" s="8"/>
    </row>
    <row r="60311" spans="17:17" x14ac:dyDescent="0.25">
      <c r="Q60311" s="8"/>
    </row>
    <row r="60312" spans="17:17" x14ac:dyDescent="0.25">
      <c r="Q60312" s="8"/>
    </row>
    <row r="60313" spans="17:17" x14ac:dyDescent="0.25">
      <c r="Q60313" s="8"/>
    </row>
    <row r="60314" spans="17:17" x14ac:dyDescent="0.25">
      <c r="Q60314" s="8"/>
    </row>
    <row r="60315" spans="17:17" x14ac:dyDescent="0.25">
      <c r="Q60315" s="8"/>
    </row>
    <row r="60316" spans="17:17" x14ac:dyDescent="0.25">
      <c r="Q60316" s="8"/>
    </row>
    <row r="60317" spans="17:17" x14ac:dyDescent="0.25">
      <c r="Q60317" s="8"/>
    </row>
    <row r="60318" spans="17:17" x14ac:dyDescent="0.25">
      <c r="Q60318" s="8"/>
    </row>
    <row r="60319" spans="17:17" x14ac:dyDescent="0.25">
      <c r="Q60319" s="8"/>
    </row>
    <row r="60320" spans="17:17" x14ac:dyDescent="0.25">
      <c r="Q60320" s="8"/>
    </row>
    <row r="60321" spans="17:17" x14ac:dyDescent="0.25">
      <c r="Q60321" s="8"/>
    </row>
    <row r="60322" spans="17:17" x14ac:dyDescent="0.25">
      <c r="Q60322" s="8"/>
    </row>
    <row r="60323" spans="17:17" x14ac:dyDescent="0.25">
      <c r="Q60323" s="8"/>
    </row>
    <row r="60324" spans="17:17" x14ac:dyDescent="0.25">
      <c r="Q60324" s="8"/>
    </row>
    <row r="60325" spans="17:17" x14ac:dyDescent="0.25">
      <c r="Q60325" s="8"/>
    </row>
    <row r="60326" spans="17:17" x14ac:dyDescent="0.25">
      <c r="Q60326" s="8"/>
    </row>
    <row r="60327" spans="17:17" x14ac:dyDescent="0.25">
      <c r="Q60327" s="8"/>
    </row>
    <row r="60328" spans="17:17" x14ac:dyDescent="0.25">
      <c r="Q60328" s="8"/>
    </row>
    <row r="60329" spans="17:17" x14ac:dyDescent="0.25">
      <c r="Q60329" s="8"/>
    </row>
    <row r="60330" spans="17:17" x14ac:dyDescent="0.25">
      <c r="Q60330" s="8"/>
    </row>
    <row r="60331" spans="17:17" x14ac:dyDescent="0.25">
      <c r="Q60331" s="8"/>
    </row>
    <row r="60332" spans="17:17" x14ac:dyDescent="0.25">
      <c r="Q60332" s="8"/>
    </row>
    <row r="60333" spans="17:17" x14ac:dyDescent="0.25">
      <c r="Q60333" s="8"/>
    </row>
    <row r="60334" spans="17:17" x14ac:dyDescent="0.25">
      <c r="Q60334" s="8"/>
    </row>
    <row r="60335" spans="17:17" x14ac:dyDescent="0.25">
      <c r="Q60335" s="8"/>
    </row>
    <row r="60336" spans="17:17" x14ac:dyDescent="0.25">
      <c r="Q60336" s="8"/>
    </row>
    <row r="60337" spans="17:17" x14ac:dyDescent="0.25">
      <c r="Q60337" s="8"/>
    </row>
    <row r="60338" spans="17:17" x14ac:dyDescent="0.25">
      <c r="Q60338" s="8"/>
    </row>
    <row r="60339" spans="17:17" x14ac:dyDescent="0.25">
      <c r="Q60339" s="8"/>
    </row>
    <row r="60340" spans="17:17" x14ac:dyDescent="0.25">
      <c r="Q60340" s="8"/>
    </row>
    <row r="60341" spans="17:17" x14ac:dyDescent="0.25">
      <c r="Q60341" s="8"/>
    </row>
    <row r="60342" spans="17:17" x14ac:dyDescent="0.25">
      <c r="Q60342" s="8"/>
    </row>
    <row r="60343" spans="17:17" x14ac:dyDescent="0.25">
      <c r="Q60343" s="8"/>
    </row>
    <row r="60344" spans="17:17" x14ac:dyDescent="0.25">
      <c r="Q60344" s="8"/>
    </row>
    <row r="60345" spans="17:17" x14ac:dyDescent="0.25">
      <c r="Q60345" s="8"/>
    </row>
    <row r="60346" spans="17:17" x14ac:dyDescent="0.25">
      <c r="Q60346" s="8"/>
    </row>
    <row r="60347" spans="17:17" x14ac:dyDescent="0.25">
      <c r="Q60347" s="8"/>
    </row>
    <row r="60348" spans="17:17" x14ac:dyDescent="0.25">
      <c r="Q60348" s="8"/>
    </row>
    <row r="60349" spans="17:17" x14ac:dyDescent="0.25">
      <c r="Q60349" s="8"/>
    </row>
    <row r="60350" spans="17:17" x14ac:dyDescent="0.25">
      <c r="Q60350" s="8"/>
    </row>
    <row r="60351" spans="17:17" x14ac:dyDescent="0.25">
      <c r="Q60351" s="8"/>
    </row>
    <row r="60352" spans="17:17" x14ac:dyDescent="0.25">
      <c r="Q60352" s="8"/>
    </row>
    <row r="60353" spans="17:17" x14ac:dyDescent="0.25">
      <c r="Q60353" s="8"/>
    </row>
    <row r="60354" spans="17:17" x14ac:dyDescent="0.25">
      <c r="Q60354" s="8"/>
    </row>
    <row r="60355" spans="17:17" x14ac:dyDescent="0.25">
      <c r="Q60355" s="8"/>
    </row>
    <row r="60356" spans="17:17" x14ac:dyDescent="0.25">
      <c r="Q60356" s="8"/>
    </row>
    <row r="60357" spans="17:17" x14ac:dyDescent="0.25">
      <c r="Q60357" s="8"/>
    </row>
    <row r="60358" spans="17:17" x14ac:dyDescent="0.25">
      <c r="Q60358" s="8"/>
    </row>
    <row r="60359" spans="17:17" x14ac:dyDescent="0.25">
      <c r="Q60359" s="8"/>
    </row>
    <row r="60360" spans="17:17" x14ac:dyDescent="0.25">
      <c r="Q60360" s="8"/>
    </row>
    <row r="60361" spans="17:17" x14ac:dyDescent="0.25">
      <c r="Q60361" s="8"/>
    </row>
    <row r="60362" spans="17:17" x14ac:dyDescent="0.25">
      <c r="Q60362" s="8"/>
    </row>
    <row r="60363" spans="17:17" x14ac:dyDescent="0.25">
      <c r="Q60363" s="8"/>
    </row>
    <row r="60364" spans="17:17" x14ac:dyDescent="0.25">
      <c r="Q60364" s="8"/>
    </row>
    <row r="60365" spans="17:17" x14ac:dyDescent="0.25">
      <c r="Q60365" s="8"/>
    </row>
    <row r="60366" spans="17:17" x14ac:dyDescent="0.25">
      <c r="Q60366" s="8"/>
    </row>
    <row r="60367" spans="17:17" x14ac:dyDescent="0.25">
      <c r="Q60367" s="8"/>
    </row>
    <row r="60368" spans="17:17" x14ac:dyDescent="0.25">
      <c r="Q60368" s="8"/>
    </row>
    <row r="60369" spans="17:17" x14ac:dyDescent="0.25">
      <c r="Q60369" s="8"/>
    </row>
    <row r="60370" spans="17:17" x14ac:dyDescent="0.25">
      <c r="Q60370" s="8"/>
    </row>
    <row r="60371" spans="17:17" x14ac:dyDescent="0.25">
      <c r="Q60371" s="8"/>
    </row>
    <row r="60372" spans="17:17" x14ac:dyDescent="0.25">
      <c r="Q60372" s="8"/>
    </row>
    <row r="60373" spans="17:17" x14ac:dyDescent="0.25">
      <c r="Q60373" s="8"/>
    </row>
    <row r="60374" spans="17:17" x14ac:dyDescent="0.25">
      <c r="Q60374" s="8"/>
    </row>
    <row r="60375" spans="17:17" x14ac:dyDescent="0.25">
      <c r="Q60375" s="8"/>
    </row>
    <row r="60376" spans="17:17" x14ac:dyDescent="0.25">
      <c r="Q60376" s="8"/>
    </row>
    <row r="60377" spans="17:17" x14ac:dyDescent="0.25">
      <c r="Q60377" s="8"/>
    </row>
    <row r="60378" spans="17:17" x14ac:dyDescent="0.25">
      <c r="Q60378" s="8"/>
    </row>
    <row r="60379" spans="17:17" x14ac:dyDescent="0.25">
      <c r="Q60379" s="8"/>
    </row>
    <row r="60380" spans="17:17" x14ac:dyDescent="0.25">
      <c r="Q60380" s="8"/>
    </row>
    <row r="60381" spans="17:17" x14ac:dyDescent="0.25">
      <c r="Q60381" s="8"/>
    </row>
    <row r="60382" spans="17:17" x14ac:dyDescent="0.25">
      <c r="Q60382" s="8"/>
    </row>
    <row r="60383" spans="17:17" x14ac:dyDescent="0.25">
      <c r="Q60383" s="8"/>
    </row>
    <row r="60384" spans="17:17" x14ac:dyDescent="0.25">
      <c r="Q60384" s="8"/>
    </row>
    <row r="60385" spans="17:17" x14ac:dyDescent="0.25">
      <c r="Q60385" s="8"/>
    </row>
    <row r="60386" spans="17:17" x14ac:dyDescent="0.25">
      <c r="Q60386" s="8"/>
    </row>
    <row r="60387" spans="17:17" x14ac:dyDescent="0.25">
      <c r="Q60387" s="8"/>
    </row>
    <row r="60388" spans="17:17" x14ac:dyDescent="0.25">
      <c r="Q60388" s="8"/>
    </row>
    <row r="60389" spans="17:17" x14ac:dyDescent="0.25">
      <c r="Q60389" s="8"/>
    </row>
    <row r="60390" spans="17:17" x14ac:dyDescent="0.25">
      <c r="Q60390" s="8"/>
    </row>
    <row r="60391" spans="17:17" x14ac:dyDescent="0.25">
      <c r="Q60391" s="8"/>
    </row>
    <row r="60392" spans="17:17" x14ac:dyDescent="0.25">
      <c r="Q60392" s="8"/>
    </row>
    <row r="60393" spans="17:17" x14ac:dyDescent="0.25">
      <c r="Q60393" s="8"/>
    </row>
    <row r="60394" spans="17:17" x14ac:dyDescent="0.25">
      <c r="Q60394" s="8"/>
    </row>
    <row r="60395" spans="17:17" x14ac:dyDescent="0.25">
      <c r="Q60395" s="8"/>
    </row>
    <row r="60396" spans="17:17" x14ac:dyDescent="0.25">
      <c r="Q60396" s="8"/>
    </row>
    <row r="60397" spans="17:17" x14ac:dyDescent="0.25">
      <c r="Q60397" s="8"/>
    </row>
    <row r="60398" spans="17:17" x14ac:dyDescent="0.25">
      <c r="Q60398" s="8"/>
    </row>
    <row r="60399" spans="17:17" x14ac:dyDescent="0.25">
      <c r="Q60399" s="8"/>
    </row>
    <row r="60400" spans="17:17" x14ac:dyDescent="0.25">
      <c r="Q60400" s="8"/>
    </row>
    <row r="60401" spans="17:17" x14ac:dyDescent="0.25">
      <c r="Q60401" s="8"/>
    </row>
    <row r="60402" spans="17:17" x14ac:dyDescent="0.25">
      <c r="Q60402" s="8"/>
    </row>
    <row r="60403" spans="17:17" x14ac:dyDescent="0.25">
      <c r="Q60403" s="8"/>
    </row>
    <row r="60404" spans="17:17" x14ac:dyDescent="0.25">
      <c r="Q60404" s="8"/>
    </row>
    <row r="60405" spans="17:17" x14ac:dyDescent="0.25">
      <c r="Q60405" s="8"/>
    </row>
    <row r="60406" spans="17:17" x14ac:dyDescent="0.25">
      <c r="Q60406" s="8"/>
    </row>
    <row r="60407" spans="17:17" x14ac:dyDescent="0.25">
      <c r="Q60407" s="8"/>
    </row>
    <row r="60408" spans="17:17" x14ac:dyDescent="0.25">
      <c r="Q60408" s="8"/>
    </row>
    <row r="60409" spans="17:17" x14ac:dyDescent="0.25">
      <c r="Q60409" s="8"/>
    </row>
    <row r="60410" spans="17:17" x14ac:dyDescent="0.25">
      <c r="Q60410" s="8"/>
    </row>
    <row r="60411" spans="17:17" x14ac:dyDescent="0.25">
      <c r="Q60411" s="8"/>
    </row>
    <row r="60412" spans="17:17" x14ac:dyDescent="0.25">
      <c r="Q60412" s="8"/>
    </row>
    <row r="60413" spans="17:17" x14ac:dyDescent="0.25">
      <c r="Q60413" s="8"/>
    </row>
    <row r="60414" spans="17:17" x14ac:dyDescent="0.25">
      <c r="Q60414" s="8"/>
    </row>
    <row r="60415" spans="17:17" x14ac:dyDescent="0.25">
      <c r="Q60415" s="8"/>
    </row>
    <row r="60416" spans="17:17" x14ac:dyDescent="0.25">
      <c r="Q60416" s="8"/>
    </row>
    <row r="60417" spans="17:17" x14ac:dyDescent="0.25">
      <c r="Q60417" s="8"/>
    </row>
    <row r="60418" spans="17:17" x14ac:dyDescent="0.25">
      <c r="Q60418" s="8"/>
    </row>
    <row r="60419" spans="17:17" x14ac:dyDescent="0.25">
      <c r="Q60419" s="8"/>
    </row>
    <row r="60420" spans="17:17" x14ac:dyDescent="0.25">
      <c r="Q60420" s="8"/>
    </row>
    <row r="60421" spans="17:17" x14ac:dyDescent="0.25">
      <c r="Q60421" s="8"/>
    </row>
    <row r="60422" spans="17:17" x14ac:dyDescent="0.25">
      <c r="Q60422" s="8"/>
    </row>
    <row r="60423" spans="17:17" x14ac:dyDescent="0.25">
      <c r="Q60423" s="8"/>
    </row>
    <row r="60424" spans="17:17" x14ac:dyDescent="0.25">
      <c r="Q60424" s="8"/>
    </row>
    <row r="60425" spans="17:17" x14ac:dyDescent="0.25">
      <c r="Q60425" s="8"/>
    </row>
    <row r="60426" spans="17:17" x14ac:dyDescent="0.25">
      <c r="Q60426" s="8"/>
    </row>
    <row r="60427" spans="17:17" x14ac:dyDescent="0.25">
      <c r="Q60427" s="8"/>
    </row>
    <row r="60428" spans="17:17" x14ac:dyDescent="0.25">
      <c r="Q60428" s="8"/>
    </row>
    <row r="60429" spans="17:17" x14ac:dyDescent="0.25">
      <c r="Q60429" s="8"/>
    </row>
    <row r="60430" spans="17:17" x14ac:dyDescent="0.25">
      <c r="Q60430" s="8"/>
    </row>
    <row r="60431" spans="17:17" x14ac:dyDescent="0.25">
      <c r="Q60431" s="8"/>
    </row>
    <row r="60432" spans="17:17" x14ac:dyDescent="0.25">
      <c r="Q60432" s="8"/>
    </row>
    <row r="60433" spans="17:17" x14ac:dyDescent="0.25">
      <c r="Q60433" s="8"/>
    </row>
    <row r="60434" spans="17:17" x14ac:dyDescent="0.25">
      <c r="Q60434" s="8"/>
    </row>
    <row r="60435" spans="17:17" x14ac:dyDescent="0.25">
      <c r="Q60435" s="8"/>
    </row>
    <row r="60436" spans="17:17" x14ac:dyDescent="0.25">
      <c r="Q60436" s="8"/>
    </row>
    <row r="60437" spans="17:17" x14ac:dyDescent="0.25">
      <c r="Q60437" s="8"/>
    </row>
    <row r="60438" spans="17:17" x14ac:dyDescent="0.25">
      <c r="Q60438" s="8"/>
    </row>
    <row r="60439" spans="17:17" x14ac:dyDescent="0.25">
      <c r="Q60439" s="8"/>
    </row>
    <row r="60440" spans="17:17" x14ac:dyDescent="0.25">
      <c r="Q60440" s="8"/>
    </row>
    <row r="60441" spans="17:17" x14ac:dyDescent="0.25">
      <c r="Q60441" s="8"/>
    </row>
    <row r="60442" spans="17:17" x14ac:dyDescent="0.25">
      <c r="Q60442" s="8"/>
    </row>
    <row r="60443" spans="17:17" x14ac:dyDescent="0.25">
      <c r="Q60443" s="8"/>
    </row>
    <row r="60444" spans="17:17" x14ac:dyDescent="0.25">
      <c r="Q60444" s="8"/>
    </row>
    <row r="60445" spans="17:17" x14ac:dyDescent="0.25">
      <c r="Q60445" s="8"/>
    </row>
    <row r="60446" spans="17:17" x14ac:dyDescent="0.25">
      <c r="Q60446" s="8"/>
    </row>
    <row r="60447" spans="17:17" x14ac:dyDescent="0.25">
      <c r="Q60447" s="8"/>
    </row>
    <row r="60448" spans="17:17" x14ac:dyDescent="0.25">
      <c r="Q60448" s="8"/>
    </row>
    <row r="60449" spans="17:17" x14ac:dyDescent="0.25">
      <c r="Q60449" s="8"/>
    </row>
    <row r="60450" spans="17:17" x14ac:dyDescent="0.25">
      <c r="Q60450" s="8"/>
    </row>
    <row r="60451" spans="17:17" x14ac:dyDescent="0.25">
      <c r="Q60451" s="8"/>
    </row>
    <row r="60452" spans="17:17" x14ac:dyDescent="0.25">
      <c r="Q60452" s="8"/>
    </row>
    <row r="60453" spans="17:17" x14ac:dyDescent="0.25">
      <c r="Q60453" s="8"/>
    </row>
    <row r="60454" spans="17:17" x14ac:dyDescent="0.25">
      <c r="Q60454" s="8"/>
    </row>
    <row r="60455" spans="17:17" x14ac:dyDescent="0.25">
      <c r="Q60455" s="8"/>
    </row>
    <row r="60456" spans="17:17" x14ac:dyDescent="0.25">
      <c r="Q60456" s="8"/>
    </row>
    <row r="60457" spans="17:17" x14ac:dyDescent="0.25">
      <c r="Q60457" s="8"/>
    </row>
    <row r="60458" spans="17:17" x14ac:dyDescent="0.25">
      <c r="Q60458" s="8"/>
    </row>
    <row r="60459" spans="17:17" x14ac:dyDescent="0.25">
      <c r="Q60459" s="8"/>
    </row>
    <row r="60460" spans="17:17" x14ac:dyDescent="0.25">
      <c r="Q60460" s="8"/>
    </row>
    <row r="60461" spans="17:17" x14ac:dyDescent="0.25">
      <c r="Q60461" s="8"/>
    </row>
    <row r="60462" spans="17:17" x14ac:dyDescent="0.25">
      <c r="Q60462" s="8"/>
    </row>
    <row r="60463" spans="17:17" x14ac:dyDescent="0.25">
      <c r="Q60463" s="8"/>
    </row>
    <row r="60464" spans="17:17" x14ac:dyDescent="0.25">
      <c r="Q60464" s="8"/>
    </row>
    <row r="60465" spans="17:17" x14ac:dyDescent="0.25">
      <c r="Q60465" s="8"/>
    </row>
    <row r="60466" spans="17:17" x14ac:dyDescent="0.25">
      <c r="Q60466" s="8"/>
    </row>
    <row r="60467" spans="17:17" x14ac:dyDescent="0.25">
      <c r="Q60467" s="8"/>
    </row>
    <row r="60468" spans="17:17" x14ac:dyDescent="0.25">
      <c r="Q60468" s="8"/>
    </row>
    <row r="60469" spans="17:17" x14ac:dyDescent="0.25">
      <c r="Q60469" s="8"/>
    </row>
    <row r="60470" spans="17:17" x14ac:dyDescent="0.25">
      <c r="Q60470" s="8"/>
    </row>
    <row r="60471" spans="17:17" x14ac:dyDescent="0.25">
      <c r="Q60471" s="8"/>
    </row>
    <row r="60472" spans="17:17" x14ac:dyDescent="0.25">
      <c r="Q60472" s="8"/>
    </row>
    <row r="60473" spans="17:17" x14ac:dyDescent="0.25">
      <c r="Q60473" s="8"/>
    </row>
    <row r="60474" spans="17:17" x14ac:dyDescent="0.25">
      <c r="Q60474" s="8"/>
    </row>
    <row r="60475" spans="17:17" x14ac:dyDescent="0.25">
      <c r="Q60475" s="8"/>
    </row>
    <row r="60476" spans="17:17" x14ac:dyDescent="0.25">
      <c r="Q60476" s="8"/>
    </row>
    <row r="60477" spans="17:17" x14ac:dyDescent="0.25">
      <c r="Q60477" s="8"/>
    </row>
    <row r="60478" spans="17:17" x14ac:dyDescent="0.25">
      <c r="Q60478" s="8"/>
    </row>
    <row r="60479" spans="17:17" x14ac:dyDescent="0.25">
      <c r="Q60479" s="8"/>
    </row>
    <row r="60480" spans="17:17" x14ac:dyDescent="0.25">
      <c r="Q60480" s="8"/>
    </row>
    <row r="60481" spans="17:17" x14ac:dyDescent="0.25">
      <c r="Q60481" s="8"/>
    </row>
    <row r="60482" spans="17:17" x14ac:dyDescent="0.25">
      <c r="Q60482" s="8"/>
    </row>
    <row r="60483" spans="17:17" x14ac:dyDescent="0.25">
      <c r="Q60483" s="8"/>
    </row>
    <row r="60484" spans="17:17" x14ac:dyDescent="0.25">
      <c r="Q60484" s="8"/>
    </row>
    <row r="60485" spans="17:17" x14ac:dyDescent="0.25">
      <c r="Q60485" s="8"/>
    </row>
    <row r="60486" spans="17:17" x14ac:dyDescent="0.25">
      <c r="Q60486" s="8"/>
    </row>
    <row r="60487" spans="17:17" x14ac:dyDescent="0.25">
      <c r="Q60487" s="8"/>
    </row>
    <row r="60488" spans="17:17" x14ac:dyDescent="0.25">
      <c r="Q60488" s="8"/>
    </row>
    <row r="60489" spans="17:17" x14ac:dyDescent="0.25">
      <c r="Q60489" s="8"/>
    </row>
    <row r="60490" spans="17:17" x14ac:dyDescent="0.25">
      <c r="Q60490" s="8"/>
    </row>
    <row r="60491" spans="17:17" x14ac:dyDescent="0.25">
      <c r="Q60491" s="8"/>
    </row>
    <row r="60492" spans="17:17" x14ac:dyDescent="0.25">
      <c r="Q60492" s="8"/>
    </row>
    <row r="60493" spans="17:17" x14ac:dyDescent="0.25">
      <c r="Q60493" s="8"/>
    </row>
    <row r="60494" spans="17:17" x14ac:dyDescent="0.25">
      <c r="Q60494" s="8"/>
    </row>
    <row r="60495" spans="17:17" x14ac:dyDescent="0.25">
      <c r="Q60495" s="8"/>
    </row>
    <row r="60496" spans="17:17" x14ac:dyDescent="0.25">
      <c r="Q60496" s="8"/>
    </row>
    <row r="60497" spans="17:17" x14ac:dyDescent="0.25">
      <c r="Q60497" s="8"/>
    </row>
    <row r="60498" spans="17:17" x14ac:dyDescent="0.25">
      <c r="Q60498" s="8"/>
    </row>
    <row r="60499" spans="17:17" x14ac:dyDescent="0.25">
      <c r="Q60499" s="8"/>
    </row>
    <row r="60500" spans="17:17" x14ac:dyDescent="0.25">
      <c r="Q60500" s="8"/>
    </row>
    <row r="60501" spans="17:17" x14ac:dyDescent="0.25">
      <c r="Q60501" s="8"/>
    </row>
    <row r="60502" spans="17:17" x14ac:dyDescent="0.25">
      <c r="Q60502" s="8"/>
    </row>
    <row r="60503" spans="17:17" x14ac:dyDescent="0.25">
      <c r="Q60503" s="8"/>
    </row>
    <row r="60504" spans="17:17" x14ac:dyDescent="0.25">
      <c r="Q60504" s="8"/>
    </row>
    <row r="60505" spans="17:17" x14ac:dyDescent="0.25">
      <c r="Q60505" s="8"/>
    </row>
    <row r="60506" spans="17:17" x14ac:dyDescent="0.25">
      <c r="Q60506" s="8"/>
    </row>
    <row r="60507" spans="17:17" x14ac:dyDescent="0.25">
      <c r="Q60507" s="8"/>
    </row>
    <row r="60508" spans="17:17" x14ac:dyDescent="0.25">
      <c r="Q60508" s="8"/>
    </row>
    <row r="60509" spans="17:17" x14ac:dyDescent="0.25">
      <c r="Q60509" s="8"/>
    </row>
    <row r="60510" spans="17:17" x14ac:dyDescent="0.25">
      <c r="Q60510" s="8"/>
    </row>
    <row r="60511" spans="17:17" x14ac:dyDescent="0.25">
      <c r="Q60511" s="8"/>
    </row>
    <row r="60512" spans="17:17" x14ac:dyDescent="0.25">
      <c r="Q60512" s="8"/>
    </row>
    <row r="60513" spans="17:17" x14ac:dyDescent="0.25">
      <c r="Q60513" s="8"/>
    </row>
    <row r="60514" spans="17:17" x14ac:dyDescent="0.25">
      <c r="Q60514" s="8"/>
    </row>
    <row r="60515" spans="17:17" x14ac:dyDescent="0.25">
      <c r="Q60515" s="8"/>
    </row>
    <row r="60516" spans="17:17" x14ac:dyDescent="0.25">
      <c r="Q60516" s="8"/>
    </row>
    <row r="60517" spans="17:17" x14ac:dyDescent="0.25">
      <c r="Q60517" s="8"/>
    </row>
    <row r="60518" spans="17:17" x14ac:dyDescent="0.25">
      <c r="Q60518" s="8"/>
    </row>
    <row r="60519" spans="17:17" x14ac:dyDescent="0.25">
      <c r="Q60519" s="8"/>
    </row>
    <row r="60520" spans="17:17" x14ac:dyDescent="0.25">
      <c r="Q60520" s="8"/>
    </row>
    <row r="60521" spans="17:17" x14ac:dyDescent="0.25">
      <c r="Q60521" s="8"/>
    </row>
    <row r="60522" spans="17:17" x14ac:dyDescent="0.25">
      <c r="Q60522" s="8"/>
    </row>
    <row r="60523" spans="17:17" x14ac:dyDescent="0.25">
      <c r="Q60523" s="8"/>
    </row>
    <row r="60524" spans="17:17" x14ac:dyDescent="0.25">
      <c r="Q60524" s="8"/>
    </row>
    <row r="60525" spans="17:17" x14ac:dyDescent="0.25">
      <c r="Q60525" s="8"/>
    </row>
    <row r="60526" spans="17:17" x14ac:dyDescent="0.25">
      <c r="Q60526" s="8"/>
    </row>
    <row r="60527" spans="17:17" x14ac:dyDescent="0.25">
      <c r="Q60527" s="8"/>
    </row>
    <row r="60528" spans="17:17" x14ac:dyDescent="0.25">
      <c r="Q60528" s="8"/>
    </row>
    <row r="60529" spans="17:17" x14ac:dyDescent="0.25">
      <c r="Q60529" s="8"/>
    </row>
    <row r="60530" spans="17:17" x14ac:dyDescent="0.25">
      <c r="Q60530" s="8"/>
    </row>
    <row r="60531" spans="17:17" x14ac:dyDescent="0.25">
      <c r="Q60531" s="8"/>
    </row>
    <row r="60532" spans="17:17" x14ac:dyDescent="0.25">
      <c r="Q60532" s="8"/>
    </row>
    <row r="60533" spans="17:17" x14ac:dyDescent="0.25">
      <c r="Q60533" s="8"/>
    </row>
    <row r="60534" spans="17:17" x14ac:dyDescent="0.25">
      <c r="Q60534" s="8"/>
    </row>
    <row r="60535" spans="17:17" x14ac:dyDescent="0.25">
      <c r="Q60535" s="8"/>
    </row>
    <row r="60536" spans="17:17" x14ac:dyDescent="0.25">
      <c r="Q60536" s="8"/>
    </row>
    <row r="60537" spans="17:17" x14ac:dyDescent="0.25">
      <c r="Q60537" s="8"/>
    </row>
    <row r="60538" spans="17:17" x14ac:dyDescent="0.25">
      <c r="Q60538" s="8"/>
    </row>
    <row r="60539" spans="17:17" x14ac:dyDescent="0.25">
      <c r="Q60539" s="8"/>
    </row>
    <row r="60540" spans="17:17" x14ac:dyDescent="0.25">
      <c r="Q60540" s="8"/>
    </row>
    <row r="60541" spans="17:17" x14ac:dyDescent="0.25">
      <c r="Q60541" s="8"/>
    </row>
    <row r="60542" spans="17:17" x14ac:dyDescent="0.25">
      <c r="Q60542" s="8"/>
    </row>
    <row r="60543" spans="17:17" x14ac:dyDescent="0.25">
      <c r="Q60543" s="8"/>
    </row>
    <row r="60544" spans="17:17" x14ac:dyDescent="0.25">
      <c r="Q60544" s="8"/>
    </row>
    <row r="60545" spans="17:17" x14ac:dyDescent="0.25">
      <c r="Q60545" s="8"/>
    </row>
    <row r="60546" spans="17:17" x14ac:dyDescent="0.25">
      <c r="Q60546" s="8"/>
    </row>
    <row r="60547" spans="17:17" x14ac:dyDescent="0.25">
      <c r="Q60547" s="8"/>
    </row>
    <row r="60548" spans="17:17" x14ac:dyDescent="0.25">
      <c r="Q60548" s="8"/>
    </row>
    <row r="60549" spans="17:17" x14ac:dyDescent="0.25">
      <c r="Q60549" s="8"/>
    </row>
    <row r="60550" spans="17:17" x14ac:dyDescent="0.25">
      <c r="Q60550" s="8"/>
    </row>
    <row r="60551" spans="17:17" x14ac:dyDescent="0.25">
      <c r="Q60551" s="8"/>
    </row>
    <row r="60552" spans="17:17" x14ac:dyDescent="0.25">
      <c r="Q60552" s="8"/>
    </row>
    <row r="60553" spans="17:17" x14ac:dyDescent="0.25">
      <c r="Q60553" s="8"/>
    </row>
    <row r="60554" spans="17:17" x14ac:dyDescent="0.25">
      <c r="Q60554" s="8"/>
    </row>
    <row r="60555" spans="17:17" x14ac:dyDescent="0.25">
      <c r="Q60555" s="8"/>
    </row>
    <row r="60556" spans="17:17" x14ac:dyDescent="0.25">
      <c r="Q60556" s="8"/>
    </row>
    <row r="60557" spans="17:17" x14ac:dyDescent="0.25">
      <c r="Q60557" s="8"/>
    </row>
    <row r="60558" spans="17:17" x14ac:dyDescent="0.25">
      <c r="Q60558" s="8"/>
    </row>
    <row r="60559" spans="17:17" x14ac:dyDescent="0.25">
      <c r="Q60559" s="8"/>
    </row>
    <row r="60560" spans="17:17" x14ac:dyDescent="0.25">
      <c r="Q60560" s="8"/>
    </row>
    <row r="60561" spans="17:17" x14ac:dyDescent="0.25">
      <c r="Q60561" s="8"/>
    </row>
    <row r="60562" spans="17:17" x14ac:dyDescent="0.25">
      <c r="Q60562" s="8"/>
    </row>
    <row r="60563" spans="17:17" x14ac:dyDescent="0.25">
      <c r="Q60563" s="8"/>
    </row>
    <row r="60564" spans="17:17" x14ac:dyDescent="0.25">
      <c r="Q60564" s="8"/>
    </row>
    <row r="60565" spans="17:17" x14ac:dyDescent="0.25">
      <c r="Q60565" s="8"/>
    </row>
    <row r="60566" spans="17:17" x14ac:dyDescent="0.25">
      <c r="Q60566" s="8"/>
    </row>
    <row r="60567" spans="17:17" x14ac:dyDescent="0.25">
      <c r="Q60567" s="8"/>
    </row>
    <row r="60568" spans="17:17" x14ac:dyDescent="0.25">
      <c r="Q60568" s="8"/>
    </row>
    <row r="60569" spans="17:17" x14ac:dyDescent="0.25">
      <c r="Q60569" s="8"/>
    </row>
    <row r="60570" spans="17:17" x14ac:dyDescent="0.25">
      <c r="Q60570" s="8"/>
    </row>
    <row r="60571" spans="17:17" x14ac:dyDescent="0.25">
      <c r="Q60571" s="8"/>
    </row>
    <row r="60572" spans="17:17" x14ac:dyDescent="0.25">
      <c r="Q60572" s="8"/>
    </row>
    <row r="60573" spans="17:17" x14ac:dyDescent="0.25">
      <c r="Q60573" s="8"/>
    </row>
    <row r="60574" spans="17:17" x14ac:dyDescent="0.25">
      <c r="Q60574" s="8"/>
    </row>
    <row r="60575" spans="17:17" x14ac:dyDescent="0.25">
      <c r="Q60575" s="8"/>
    </row>
    <row r="60576" spans="17:17" x14ac:dyDescent="0.25">
      <c r="Q60576" s="8"/>
    </row>
    <row r="60577" spans="17:17" x14ac:dyDescent="0.25">
      <c r="Q60577" s="8"/>
    </row>
    <row r="60578" spans="17:17" x14ac:dyDescent="0.25">
      <c r="Q60578" s="8"/>
    </row>
    <row r="60579" spans="17:17" x14ac:dyDescent="0.25">
      <c r="Q60579" s="8"/>
    </row>
    <row r="60580" spans="17:17" x14ac:dyDescent="0.25">
      <c r="Q60580" s="8"/>
    </row>
    <row r="60581" spans="17:17" x14ac:dyDescent="0.25">
      <c r="Q60581" s="8"/>
    </row>
    <row r="60582" spans="17:17" x14ac:dyDescent="0.25">
      <c r="Q60582" s="8"/>
    </row>
    <row r="60583" spans="17:17" x14ac:dyDescent="0.25">
      <c r="Q60583" s="8"/>
    </row>
    <row r="60584" spans="17:17" x14ac:dyDescent="0.25">
      <c r="Q60584" s="8"/>
    </row>
    <row r="60585" spans="17:17" x14ac:dyDescent="0.25">
      <c r="Q60585" s="8"/>
    </row>
    <row r="60586" spans="17:17" x14ac:dyDescent="0.25">
      <c r="Q60586" s="8"/>
    </row>
    <row r="60587" spans="17:17" x14ac:dyDescent="0.25">
      <c r="Q60587" s="8"/>
    </row>
    <row r="60588" spans="17:17" x14ac:dyDescent="0.25">
      <c r="Q60588" s="8"/>
    </row>
    <row r="60589" spans="17:17" x14ac:dyDescent="0.25">
      <c r="Q60589" s="8"/>
    </row>
    <row r="60590" spans="17:17" x14ac:dyDescent="0.25">
      <c r="Q60590" s="8"/>
    </row>
    <row r="60591" spans="17:17" x14ac:dyDescent="0.25">
      <c r="Q60591" s="8"/>
    </row>
    <row r="60592" spans="17:17" x14ac:dyDescent="0.25">
      <c r="Q60592" s="8"/>
    </row>
    <row r="60593" spans="17:17" x14ac:dyDescent="0.25">
      <c r="Q60593" s="8"/>
    </row>
    <row r="60594" spans="17:17" x14ac:dyDescent="0.25">
      <c r="Q60594" s="8"/>
    </row>
    <row r="60595" spans="17:17" x14ac:dyDescent="0.25">
      <c r="Q60595" s="8"/>
    </row>
    <row r="60596" spans="17:17" x14ac:dyDescent="0.25">
      <c r="Q60596" s="8"/>
    </row>
    <row r="60597" spans="17:17" x14ac:dyDescent="0.25">
      <c r="Q60597" s="8"/>
    </row>
    <row r="60598" spans="17:17" x14ac:dyDescent="0.25">
      <c r="Q60598" s="8"/>
    </row>
    <row r="60599" spans="17:17" x14ac:dyDescent="0.25">
      <c r="Q60599" s="8"/>
    </row>
    <row r="60600" spans="17:17" x14ac:dyDescent="0.25">
      <c r="Q60600" s="8"/>
    </row>
    <row r="60601" spans="17:17" x14ac:dyDescent="0.25">
      <c r="Q60601" s="8"/>
    </row>
    <row r="60602" spans="17:17" x14ac:dyDescent="0.25">
      <c r="Q60602" s="8"/>
    </row>
    <row r="60603" spans="17:17" x14ac:dyDescent="0.25">
      <c r="Q60603" s="8"/>
    </row>
    <row r="60604" spans="17:17" x14ac:dyDescent="0.25">
      <c r="Q60604" s="8"/>
    </row>
    <row r="60605" spans="17:17" x14ac:dyDescent="0.25">
      <c r="Q60605" s="8"/>
    </row>
    <row r="60606" spans="17:17" x14ac:dyDescent="0.25">
      <c r="Q60606" s="8"/>
    </row>
    <row r="60607" spans="17:17" x14ac:dyDescent="0.25">
      <c r="Q60607" s="8"/>
    </row>
    <row r="60608" spans="17:17" x14ac:dyDescent="0.25">
      <c r="Q60608" s="8"/>
    </row>
    <row r="60609" spans="17:17" x14ac:dyDescent="0.25">
      <c r="Q60609" s="8"/>
    </row>
    <row r="60610" spans="17:17" x14ac:dyDescent="0.25">
      <c r="Q60610" s="8"/>
    </row>
    <row r="60611" spans="17:17" x14ac:dyDescent="0.25">
      <c r="Q60611" s="8"/>
    </row>
    <row r="60612" spans="17:17" x14ac:dyDescent="0.25">
      <c r="Q60612" s="8"/>
    </row>
    <row r="60613" spans="17:17" x14ac:dyDescent="0.25">
      <c r="Q60613" s="8"/>
    </row>
    <row r="60614" spans="17:17" x14ac:dyDescent="0.25">
      <c r="Q60614" s="8"/>
    </row>
    <row r="60615" spans="17:17" x14ac:dyDescent="0.25">
      <c r="Q60615" s="8"/>
    </row>
    <row r="60616" spans="17:17" x14ac:dyDescent="0.25">
      <c r="Q60616" s="8"/>
    </row>
    <row r="60617" spans="17:17" x14ac:dyDescent="0.25">
      <c r="Q60617" s="8"/>
    </row>
    <row r="60618" spans="17:17" x14ac:dyDescent="0.25">
      <c r="Q60618" s="8"/>
    </row>
    <row r="60619" spans="17:17" x14ac:dyDescent="0.25">
      <c r="Q60619" s="8"/>
    </row>
    <row r="60620" spans="17:17" x14ac:dyDescent="0.25">
      <c r="Q60620" s="8"/>
    </row>
    <row r="60621" spans="17:17" x14ac:dyDescent="0.25">
      <c r="Q60621" s="8"/>
    </row>
    <row r="60622" spans="17:17" x14ac:dyDescent="0.25">
      <c r="Q60622" s="8"/>
    </row>
    <row r="60623" spans="17:17" x14ac:dyDescent="0.25">
      <c r="Q60623" s="8"/>
    </row>
    <row r="60624" spans="17:17" x14ac:dyDescent="0.25">
      <c r="Q60624" s="8"/>
    </row>
    <row r="60625" spans="17:17" x14ac:dyDescent="0.25">
      <c r="Q60625" s="8"/>
    </row>
    <row r="60626" spans="17:17" x14ac:dyDescent="0.25">
      <c r="Q60626" s="8"/>
    </row>
    <row r="60627" spans="17:17" x14ac:dyDescent="0.25">
      <c r="Q60627" s="8"/>
    </row>
    <row r="60628" spans="17:17" x14ac:dyDescent="0.25">
      <c r="Q60628" s="8"/>
    </row>
    <row r="60629" spans="17:17" x14ac:dyDescent="0.25">
      <c r="Q60629" s="8"/>
    </row>
    <row r="60630" spans="17:17" x14ac:dyDescent="0.25">
      <c r="Q60630" s="8"/>
    </row>
    <row r="60631" spans="17:17" x14ac:dyDescent="0.25">
      <c r="Q60631" s="8"/>
    </row>
    <row r="60632" spans="17:17" x14ac:dyDescent="0.25">
      <c r="Q60632" s="8"/>
    </row>
    <row r="60633" spans="17:17" x14ac:dyDescent="0.25">
      <c r="Q60633" s="8"/>
    </row>
    <row r="60634" spans="17:17" x14ac:dyDescent="0.25">
      <c r="Q60634" s="8"/>
    </row>
    <row r="60635" spans="17:17" x14ac:dyDescent="0.25">
      <c r="Q60635" s="8"/>
    </row>
    <row r="60636" spans="17:17" x14ac:dyDescent="0.25">
      <c r="Q60636" s="8"/>
    </row>
    <row r="60637" spans="17:17" x14ac:dyDescent="0.25">
      <c r="Q60637" s="8"/>
    </row>
    <row r="60638" spans="17:17" x14ac:dyDescent="0.25">
      <c r="Q60638" s="8"/>
    </row>
    <row r="60639" spans="17:17" x14ac:dyDescent="0.25">
      <c r="Q60639" s="8"/>
    </row>
    <row r="60640" spans="17:17" x14ac:dyDescent="0.25">
      <c r="Q60640" s="8"/>
    </row>
    <row r="60641" spans="17:17" x14ac:dyDescent="0.25">
      <c r="Q60641" s="8"/>
    </row>
    <row r="60642" spans="17:17" x14ac:dyDescent="0.25">
      <c r="Q60642" s="8"/>
    </row>
    <row r="60643" spans="17:17" x14ac:dyDescent="0.25">
      <c r="Q60643" s="8"/>
    </row>
    <row r="60644" spans="17:17" x14ac:dyDescent="0.25">
      <c r="Q60644" s="8"/>
    </row>
    <row r="60645" spans="17:17" x14ac:dyDescent="0.25">
      <c r="Q60645" s="8"/>
    </row>
    <row r="60646" spans="17:17" x14ac:dyDescent="0.25">
      <c r="Q60646" s="8"/>
    </row>
    <row r="60647" spans="17:17" x14ac:dyDescent="0.25">
      <c r="Q60647" s="8"/>
    </row>
    <row r="60648" spans="17:17" x14ac:dyDescent="0.25">
      <c r="Q60648" s="8"/>
    </row>
    <row r="60649" spans="17:17" x14ac:dyDescent="0.25">
      <c r="Q60649" s="8"/>
    </row>
    <row r="60650" spans="17:17" x14ac:dyDescent="0.25">
      <c r="Q60650" s="8"/>
    </row>
    <row r="60651" spans="17:17" x14ac:dyDescent="0.25">
      <c r="Q60651" s="8"/>
    </row>
    <row r="60652" spans="17:17" x14ac:dyDescent="0.25">
      <c r="Q60652" s="8"/>
    </row>
    <row r="60653" spans="17:17" x14ac:dyDescent="0.25">
      <c r="Q60653" s="8"/>
    </row>
    <row r="60654" spans="17:17" x14ac:dyDescent="0.25">
      <c r="Q60654" s="8"/>
    </row>
    <row r="60655" spans="17:17" x14ac:dyDescent="0.25">
      <c r="Q60655" s="8"/>
    </row>
    <row r="60656" spans="17:17" x14ac:dyDescent="0.25">
      <c r="Q60656" s="8"/>
    </row>
    <row r="60657" spans="17:17" x14ac:dyDescent="0.25">
      <c r="Q60657" s="8"/>
    </row>
    <row r="60658" spans="17:17" x14ac:dyDescent="0.25">
      <c r="Q60658" s="8"/>
    </row>
    <row r="60659" spans="17:17" x14ac:dyDescent="0.25">
      <c r="Q60659" s="8"/>
    </row>
    <row r="60660" spans="17:17" x14ac:dyDescent="0.25">
      <c r="Q60660" s="8"/>
    </row>
    <row r="60661" spans="17:17" x14ac:dyDescent="0.25">
      <c r="Q60661" s="8"/>
    </row>
    <row r="60662" spans="17:17" x14ac:dyDescent="0.25">
      <c r="Q60662" s="8"/>
    </row>
    <row r="60663" spans="17:17" x14ac:dyDescent="0.25">
      <c r="Q60663" s="8"/>
    </row>
    <row r="60664" spans="17:17" x14ac:dyDescent="0.25">
      <c r="Q60664" s="8"/>
    </row>
    <row r="60665" spans="17:17" x14ac:dyDescent="0.25">
      <c r="Q60665" s="8"/>
    </row>
    <row r="60666" spans="17:17" x14ac:dyDescent="0.25">
      <c r="Q60666" s="8"/>
    </row>
    <row r="60667" spans="17:17" x14ac:dyDescent="0.25">
      <c r="Q60667" s="8"/>
    </row>
    <row r="60668" spans="17:17" x14ac:dyDescent="0.25">
      <c r="Q60668" s="8"/>
    </row>
    <row r="60669" spans="17:17" x14ac:dyDescent="0.25">
      <c r="Q60669" s="8"/>
    </row>
    <row r="60670" spans="17:17" x14ac:dyDescent="0.25">
      <c r="Q60670" s="8"/>
    </row>
    <row r="60671" spans="17:17" x14ac:dyDescent="0.25">
      <c r="Q60671" s="8"/>
    </row>
    <row r="60672" spans="17:17" x14ac:dyDescent="0.25">
      <c r="Q60672" s="8"/>
    </row>
    <row r="60673" spans="17:17" x14ac:dyDescent="0.25">
      <c r="Q60673" s="8"/>
    </row>
    <row r="60674" spans="17:17" x14ac:dyDescent="0.25">
      <c r="Q60674" s="8"/>
    </row>
    <row r="60675" spans="17:17" x14ac:dyDescent="0.25">
      <c r="Q60675" s="8"/>
    </row>
    <row r="60676" spans="17:17" x14ac:dyDescent="0.25">
      <c r="Q60676" s="8"/>
    </row>
    <row r="60677" spans="17:17" x14ac:dyDescent="0.25">
      <c r="Q60677" s="8"/>
    </row>
    <row r="60678" spans="17:17" x14ac:dyDescent="0.25">
      <c r="Q60678" s="8"/>
    </row>
    <row r="60679" spans="17:17" x14ac:dyDescent="0.25">
      <c r="Q60679" s="8"/>
    </row>
    <row r="60680" spans="17:17" x14ac:dyDescent="0.25">
      <c r="Q60680" s="8"/>
    </row>
    <row r="60681" spans="17:17" x14ac:dyDescent="0.25">
      <c r="Q60681" s="8"/>
    </row>
    <row r="60682" spans="17:17" x14ac:dyDescent="0.25">
      <c r="Q60682" s="8"/>
    </row>
    <row r="60683" spans="17:17" x14ac:dyDescent="0.25">
      <c r="Q60683" s="8"/>
    </row>
    <row r="60684" spans="17:17" x14ac:dyDescent="0.25">
      <c r="Q60684" s="8"/>
    </row>
    <row r="60685" spans="17:17" x14ac:dyDescent="0.25">
      <c r="Q60685" s="8"/>
    </row>
    <row r="60686" spans="17:17" x14ac:dyDescent="0.25">
      <c r="Q60686" s="8"/>
    </row>
    <row r="60687" spans="17:17" x14ac:dyDescent="0.25">
      <c r="Q60687" s="8"/>
    </row>
    <row r="60688" spans="17:17" x14ac:dyDescent="0.25">
      <c r="Q60688" s="8"/>
    </row>
    <row r="60689" spans="17:17" x14ac:dyDescent="0.25">
      <c r="Q60689" s="8"/>
    </row>
    <row r="60690" spans="17:17" x14ac:dyDescent="0.25">
      <c r="Q60690" s="8"/>
    </row>
    <row r="60691" spans="17:17" x14ac:dyDescent="0.25">
      <c r="Q60691" s="8"/>
    </row>
    <row r="60692" spans="17:17" x14ac:dyDescent="0.25">
      <c r="Q60692" s="8"/>
    </row>
    <row r="60693" spans="17:17" x14ac:dyDescent="0.25">
      <c r="Q60693" s="8"/>
    </row>
    <row r="60694" spans="17:17" x14ac:dyDescent="0.25">
      <c r="Q60694" s="8"/>
    </row>
    <row r="60695" spans="17:17" x14ac:dyDescent="0.25">
      <c r="Q60695" s="8"/>
    </row>
    <row r="60696" spans="17:17" x14ac:dyDescent="0.25">
      <c r="Q60696" s="8"/>
    </row>
    <row r="60697" spans="17:17" x14ac:dyDescent="0.25">
      <c r="Q60697" s="8"/>
    </row>
    <row r="60698" spans="17:17" x14ac:dyDescent="0.25">
      <c r="Q60698" s="8"/>
    </row>
    <row r="60699" spans="17:17" x14ac:dyDescent="0.25">
      <c r="Q60699" s="8"/>
    </row>
    <row r="60700" spans="17:17" x14ac:dyDescent="0.25">
      <c r="Q60700" s="8"/>
    </row>
    <row r="60701" spans="17:17" x14ac:dyDescent="0.25">
      <c r="Q60701" s="8"/>
    </row>
    <row r="60702" spans="17:17" x14ac:dyDescent="0.25">
      <c r="Q60702" s="8"/>
    </row>
    <row r="60703" spans="17:17" x14ac:dyDescent="0.25">
      <c r="Q60703" s="8"/>
    </row>
    <row r="60704" spans="17:17" x14ac:dyDescent="0.25">
      <c r="Q60704" s="8"/>
    </row>
    <row r="60705" spans="17:17" x14ac:dyDescent="0.25">
      <c r="Q60705" s="8"/>
    </row>
    <row r="60706" spans="17:17" x14ac:dyDescent="0.25">
      <c r="Q60706" s="8"/>
    </row>
    <row r="60707" spans="17:17" x14ac:dyDescent="0.25">
      <c r="Q60707" s="8"/>
    </row>
    <row r="60708" spans="17:17" x14ac:dyDescent="0.25">
      <c r="Q60708" s="8"/>
    </row>
    <row r="60709" spans="17:17" x14ac:dyDescent="0.25">
      <c r="Q60709" s="8"/>
    </row>
    <row r="60710" spans="17:17" x14ac:dyDescent="0.25">
      <c r="Q60710" s="8"/>
    </row>
    <row r="60711" spans="17:17" x14ac:dyDescent="0.25">
      <c r="Q60711" s="8"/>
    </row>
    <row r="60712" spans="17:17" x14ac:dyDescent="0.25">
      <c r="Q60712" s="8"/>
    </row>
    <row r="60713" spans="17:17" x14ac:dyDescent="0.25">
      <c r="Q60713" s="8"/>
    </row>
    <row r="60714" spans="17:17" x14ac:dyDescent="0.25">
      <c r="Q60714" s="8"/>
    </row>
    <row r="60715" spans="17:17" x14ac:dyDescent="0.25">
      <c r="Q60715" s="8"/>
    </row>
    <row r="60716" spans="17:17" x14ac:dyDescent="0.25">
      <c r="Q60716" s="8"/>
    </row>
    <row r="60717" spans="17:17" x14ac:dyDescent="0.25">
      <c r="Q60717" s="8"/>
    </row>
    <row r="60718" spans="17:17" x14ac:dyDescent="0.25">
      <c r="Q60718" s="8"/>
    </row>
    <row r="60719" spans="17:17" x14ac:dyDescent="0.25">
      <c r="Q60719" s="8"/>
    </row>
    <row r="60720" spans="17:17" x14ac:dyDescent="0.25">
      <c r="Q60720" s="8"/>
    </row>
    <row r="60721" spans="17:17" x14ac:dyDescent="0.25">
      <c r="Q60721" s="8"/>
    </row>
    <row r="60722" spans="17:17" x14ac:dyDescent="0.25">
      <c r="Q60722" s="8"/>
    </row>
    <row r="60723" spans="17:17" x14ac:dyDescent="0.25">
      <c r="Q60723" s="8"/>
    </row>
    <row r="60724" spans="17:17" x14ac:dyDescent="0.25">
      <c r="Q60724" s="8"/>
    </row>
    <row r="60725" spans="17:17" x14ac:dyDescent="0.25">
      <c r="Q60725" s="8"/>
    </row>
    <row r="60726" spans="17:17" x14ac:dyDescent="0.25">
      <c r="Q60726" s="8"/>
    </row>
    <row r="60727" spans="17:17" x14ac:dyDescent="0.25">
      <c r="Q60727" s="8"/>
    </row>
    <row r="60728" spans="17:17" x14ac:dyDescent="0.25">
      <c r="Q60728" s="8"/>
    </row>
    <row r="60729" spans="17:17" x14ac:dyDescent="0.25">
      <c r="Q60729" s="8"/>
    </row>
    <row r="60730" spans="17:17" x14ac:dyDescent="0.25">
      <c r="Q60730" s="8"/>
    </row>
    <row r="60731" spans="17:17" x14ac:dyDescent="0.25">
      <c r="Q60731" s="8"/>
    </row>
    <row r="60732" spans="17:17" x14ac:dyDescent="0.25">
      <c r="Q60732" s="8"/>
    </row>
    <row r="60733" spans="17:17" x14ac:dyDescent="0.25">
      <c r="Q60733" s="8"/>
    </row>
    <row r="60734" spans="17:17" x14ac:dyDescent="0.25">
      <c r="Q60734" s="8"/>
    </row>
    <row r="60735" spans="17:17" x14ac:dyDescent="0.25">
      <c r="Q60735" s="8"/>
    </row>
    <row r="60736" spans="17:17" x14ac:dyDescent="0.25">
      <c r="Q60736" s="8"/>
    </row>
    <row r="60737" spans="17:17" x14ac:dyDescent="0.25">
      <c r="Q60737" s="8"/>
    </row>
    <row r="60738" spans="17:17" x14ac:dyDescent="0.25">
      <c r="Q60738" s="8"/>
    </row>
    <row r="60739" spans="17:17" x14ac:dyDescent="0.25">
      <c r="Q60739" s="8"/>
    </row>
    <row r="60740" spans="17:17" x14ac:dyDescent="0.25">
      <c r="Q60740" s="8"/>
    </row>
    <row r="60741" spans="17:17" x14ac:dyDescent="0.25">
      <c r="Q60741" s="8"/>
    </row>
    <row r="60742" spans="17:17" x14ac:dyDescent="0.25">
      <c r="Q60742" s="8"/>
    </row>
    <row r="60743" spans="17:17" x14ac:dyDescent="0.25">
      <c r="Q60743" s="8"/>
    </row>
    <row r="60744" spans="17:17" x14ac:dyDescent="0.25">
      <c r="Q60744" s="8"/>
    </row>
    <row r="60745" spans="17:17" x14ac:dyDescent="0.25">
      <c r="Q60745" s="8"/>
    </row>
    <row r="60746" spans="17:17" x14ac:dyDescent="0.25">
      <c r="Q60746" s="8"/>
    </row>
    <row r="60747" spans="17:17" x14ac:dyDescent="0.25">
      <c r="Q60747" s="8"/>
    </row>
    <row r="60748" spans="17:17" x14ac:dyDescent="0.25">
      <c r="Q60748" s="8"/>
    </row>
    <row r="60749" spans="17:17" x14ac:dyDescent="0.25">
      <c r="Q60749" s="8"/>
    </row>
    <row r="60750" spans="17:17" x14ac:dyDescent="0.25">
      <c r="Q60750" s="8"/>
    </row>
    <row r="60751" spans="17:17" x14ac:dyDescent="0.25">
      <c r="Q60751" s="8"/>
    </row>
    <row r="60752" spans="17:17" x14ac:dyDescent="0.25">
      <c r="Q60752" s="8"/>
    </row>
    <row r="60753" spans="17:17" x14ac:dyDescent="0.25">
      <c r="Q60753" s="8"/>
    </row>
    <row r="60754" spans="17:17" x14ac:dyDescent="0.25">
      <c r="Q60754" s="8"/>
    </row>
    <row r="60755" spans="17:17" x14ac:dyDescent="0.25">
      <c r="Q60755" s="8"/>
    </row>
    <row r="60756" spans="17:17" x14ac:dyDescent="0.25">
      <c r="Q60756" s="8"/>
    </row>
    <row r="60757" spans="17:17" x14ac:dyDescent="0.25">
      <c r="Q60757" s="8"/>
    </row>
    <row r="60758" spans="17:17" x14ac:dyDescent="0.25">
      <c r="Q60758" s="8"/>
    </row>
    <row r="60759" spans="17:17" x14ac:dyDescent="0.25">
      <c r="Q60759" s="8"/>
    </row>
    <row r="60760" spans="17:17" x14ac:dyDescent="0.25">
      <c r="Q60760" s="8"/>
    </row>
    <row r="60761" spans="17:17" x14ac:dyDescent="0.25">
      <c r="Q60761" s="8"/>
    </row>
    <row r="60762" spans="17:17" x14ac:dyDescent="0.25">
      <c r="Q60762" s="8"/>
    </row>
    <row r="60763" spans="17:17" x14ac:dyDescent="0.25">
      <c r="Q60763" s="8"/>
    </row>
    <row r="60764" spans="17:17" x14ac:dyDescent="0.25">
      <c r="Q60764" s="8"/>
    </row>
    <row r="60765" spans="17:17" x14ac:dyDescent="0.25">
      <c r="Q60765" s="8"/>
    </row>
    <row r="60766" spans="17:17" x14ac:dyDescent="0.25">
      <c r="Q60766" s="8"/>
    </row>
    <row r="60767" spans="17:17" x14ac:dyDescent="0.25">
      <c r="Q60767" s="8"/>
    </row>
    <row r="60768" spans="17:17" x14ac:dyDescent="0.25">
      <c r="Q60768" s="8"/>
    </row>
    <row r="60769" spans="17:17" x14ac:dyDescent="0.25">
      <c r="Q60769" s="8"/>
    </row>
    <row r="60770" spans="17:17" x14ac:dyDescent="0.25">
      <c r="Q60770" s="8"/>
    </row>
    <row r="60771" spans="17:17" x14ac:dyDescent="0.25">
      <c r="Q60771" s="8"/>
    </row>
    <row r="60772" spans="17:17" x14ac:dyDescent="0.25">
      <c r="Q60772" s="8"/>
    </row>
    <row r="60773" spans="17:17" x14ac:dyDescent="0.25">
      <c r="Q60773" s="8"/>
    </row>
    <row r="60774" spans="17:17" x14ac:dyDescent="0.25">
      <c r="Q60774" s="8"/>
    </row>
    <row r="60775" spans="17:17" x14ac:dyDescent="0.25">
      <c r="Q60775" s="8"/>
    </row>
    <row r="60776" spans="17:17" x14ac:dyDescent="0.25">
      <c r="Q60776" s="8"/>
    </row>
    <row r="60777" spans="17:17" x14ac:dyDescent="0.25">
      <c r="Q60777" s="8"/>
    </row>
    <row r="60778" spans="17:17" x14ac:dyDescent="0.25">
      <c r="Q60778" s="8"/>
    </row>
    <row r="60779" spans="17:17" x14ac:dyDescent="0.25">
      <c r="Q60779" s="8"/>
    </row>
    <row r="60780" spans="17:17" x14ac:dyDescent="0.25">
      <c r="Q60780" s="8"/>
    </row>
    <row r="60781" spans="17:17" x14ac:dyDescent="0.25">
      <c r="Q60781" s="8"/>
    </row>
    <row r="60782" spans="17:17" x14ac:dyDescent="0.25">
      <c r="Q60782" s="8"/>
    </row>
    <row r="60783" spans="17:17" x14ac:dyDescent="0.25">
      <c r="Q60783" s="8"/>
    </row>
    <row r="60784" spans="17:17" x14ac:dyDescent="0.25">
      <c r="Q60784" s="8"/>
    </row>
    <row r="60785" spans="17:17" x14ac:dyDescent="0.25">
      <c r="Q60785" s="8"/>
    </row>
    <row r="60786" spans="17:17" x14ac:dyDescent="0.25">
      <c r="Q60786" s="8"/>
    </row>
    <row r="60787" spans="17:17" x14ac:dyDescent="0.25">
      <c r="Q60787" s="8"/>
    </row>
    <row r="60788" spans="17:17" x14ac:dyDescent="0.25">
      <c r="Q60788" s="8"/>
    </row>
    <row r="60789" spans="17:17" x14ac:dyDescent="0.25">
      <c r="Q60789" s="8"/>
    </row>
    <row r="60790" spans="17:17" x14ac:dyDescent="0.25">
      <c r="Q60790" s="8"/>
    </row>
    <row r="60791" spans="17:17" x14ac:dyDescent="0.25">
      <c r="Q60791" s="8"/>
    </row>
    <row r="60792" spans="17:17" x14ac:dyDescent="0.25">
      <c r="Q60792" s="8"/>
    </row>
    <row r="60793" spans="17:17" x14ac:dyDescent="0.25">
      <c r="Q60793" s="8"/>
    </row>
    <row r="60794" spans="17:17" x14ac:dyDescent="0.25">
      <c r="Q60794" s="8"/>
    </row>
    <row r="60795" spans="17:17" x14ac:dyDescent="0.25">
      <c r="Q60795" s="8"/>
    </row>
    <row r="60796" spans="17:17" x14ac:dyDescent="0.25">
      <c r="Q60796" s="8"/>
    </row>
    <row r="60797" spans="17:17" x14ac:dyDescent="0.25">
      <c r="Q60797" s="8"/>
    </row>
    <row r="60798" spans="17:17" x14ac:dyDescent="0.25">
      <c r="Q60798" s="8"/>
    </row>
    <row r="60799" spans="17:17" x14ac:dyDescent="0.25">
      <c r="Q60799" s="8"/>
    </row>
    <row r="60800" spans="17:17" x14ac:dyDescent="0.25">
      <c r="Q60800" s="8"/>
    </row>
    <row r="60801" spans="17:17" x14ac:dyDescent="0.25">
      <c r="Q60801" s="8"/>
    </row>
    <row r="60802" spans="17:17" x14ac:dyDescent="0.25">
      <c r="Q60802" s="8"/>
    </row>
    <row r="60803" spans="17:17" x14ac:dyDescent="0.25">
      <c r="Q60803" s="8"/>
    </row>
    <row r="60804" spans="17:17" x14ac:dyDescent="0.25">
      <c r="Q60804" s="8"/>
    </row>
    <row r="60805" spans="17:17" x14ac:dyDescent="0.25">
      <c r="Q60805" s="8"/>
    </row>
    <row r="60806" spans="17:17" x14ac:dyDescent="0.25">
      <c r="Q60806" s="8"/>
    </row>
    <row r="60807" spans="17:17" x14ac:dyDescent="0.25">
      <c r="Q60807" s="8"/>
    </row>
    <row r="60808" spans="17:17" x14ac:dyDescent="0.25">
      <c r="Q60808" s="8"/>
    </row>
    <row r="60809" spans="17:17" x14ac:dyDescent="0.25">
      <c r="Q60809" s="8"/>
    </row>
    <row r="60810" spans="17:17" x14ac:dyDescent="0.25">
      <c r="Q60810" s="8"/>
    </row>
    <row r="60811" spans="17:17" x14ac:dyDescent="0.25">
      <c r="Q60811" s="8"/>
    </row>
    <row r="60812" spans="17:17" x14ac:dyDescent="0.25">
      <c r="Q60812" s="8"/>
    </row>
    <row r="60813" spans="17:17" x14ac:dyDescent="0.25">
      <c r="Q60813" s="8"/>
    </row>
    <row r="60814" spans="17:17" x14ac:dyDescent="0.25">
      <c r="Q60814" s="8"/>
    </row>
    <row r="60815" spans="17:17" x14ac:dyDescent="0.25">
      <c r="Q60815" s="8"/>
    </row>
    <row r="60816" spans="17:17" x14ac:dyDescent="0.25">
      <c r="Q60816" s="8"/>
    </row>
    <row r="60817" spans="17:17" x14ac:dyDescent="0.25">
      <c r="Q60817" s="8"/>
    </row>
    <row r="60818" spans="17:17" x14ac:dyDescent="0.25">
      <c r="Q60818" s="8"/>
    </row>
    <row r="60819" spans="17:17" x14ac:dyDescent="0.25">
      <c r="Q60819" s="8"/>
    </row>
    <row r="60820" spans="17:17" x14ac:dyDescent="0.25">
      <c r="Q60820" s="8"/>
    </row>
    <row r="60821" spans="17:17" x14ac:dyDescent="0.25">
      <c r="Q60821" s="8"/>
    </row>
    <row r="60822" spans="17:17" x14ac:dyDescent="0.25">
      <c r="Q60822" s="8"/>
    </row>
    <row r="60823" spans="17:17" x14ac:dyDescent="0.25">
      <c r="Q60823" s="8"/>
    </row>
    <row r="60824" spans="17:17" x14ac:dyDescent="0.25">
      <c r="Q60824" s="8"/>
    </row>
    <row r="60825" spans="17:17" x14ac:dyDescent="0.25">
      <c r="Q60825" s="8"/>
    </row>
    <row r="60826" spans="17:17" x14ac:dyDescent="0.25">
      <c r="Q60826" s="8"/>
    </row>
    <row r="60827" spans="17:17" x14ac:dyDescent="0.25">
      <c r="Q60827" s="8"/>
    </row>
    <row r="60828" spans="17:17" x14ac:dyDescent="0.25">
      <c r="Q60828" s="8"/>
    </row>
    <row r="60829" spans="17:17" x14ac:dyDescent="0.25">
      <c r="Q60829" s="8"/>
    </row>
    <row r="60830" spans="17:17" x14ac:dyDescent="0.25">
      <c r="Q60830" s="8"/>
    </row>
    <row r="60831" spans="17:17" x14ac:dyDescent="0.25">
      <c r="Q60831" s="8"/>
    </row>
    <row r="60832" spans="17:17" x14ac:dyDescent="0.25">
      <c r="Q60832" s="8"/>
    </row>
    <row r="60833" spans="17:17" x14ac:dyDescent="0.25">
      <c r="Q60833" s="8"/>
    </row>
    <row r="60834" spans="17:17" x14ac:dyDescent="0.25">
      <c r="Q60834" s="8"/>
    </row>
    <row r="60835" spans="17:17" x14ac:dyDescent="0.25">
      <c r="Q60835" s="8"/>
    </row>
    <row r="60836" spans="17:17" x14ac:dyDescent="0.25">
      <c r="Q60836" s="8"/>
    </row>
    <row r="60837" spans="17:17" x14ac:dyDescent="0.25">
      <c r="Q60837" s="8"/>
    </row>
    <row r="60838" spans="17:17" x14ac:dyDescent="0.25">
      <c r="Q60838" s="8"/>
    </row>
    <row r="60839" spans="17:17" x14ac:dyDescent="0.25">
      <c r="Q60839" s="8"/>
    </row>
    <row r="60840" spans="17:17" x14ac:dyDescent="0.25">
      <c r="Q60840" s="8"/>
    </row>
    <row r="60841" spans="17:17" x14ac:dyDescent="0.25">
      <c r="Q60841" s="8"/>
    </row>
    <row r="60842" spans="17:17" x14ac:dyDescent="0.25">
      <c r="Q60842" s="8"/>
    </row>
    <row r="60843" spans="17:17" x14ac:dyDescent="0.25">
      <c r="Q60843" s="8"/>
    </row>
    <row r="60844" spans="17:17" x14ac:dyDescent="0.25">
      <c r="Q60844" s="8"/>
    </row>
    <row r="60845" spans="17:17" x14ac:dyDescent="0.25">
      <c r="Q60845" s="8"/>
    </row>
    <row r="60846" spans="17:17" x14ac:dyDescent="0.25">
      <c r="Q60846" s="8"/>
    </row>
    <row r="60847" spans="17:17" x14ac:dyDescent="0.25">
      <c r="Q60847" s="8"/>
    </row>
    <row r="60848" spans="17:17" x14ac:dyDescent="0.25">
      <c r="Q60848" s="8"/>
    </row>
    <row r="60849" spans="17:17" x14ac:dyDescent="0.25">
      <c r="Q60849" s="8"/>
    </row>
    <row r="60850" spans="17:17" x14ac:dyDescent="0.25">
      <c r="Q60850" s="8"/>
    </row>
    <row r="60851" spans="17:17" x14ac:dyDescent="0.25">
      <c r="Q60851" s="8"/>
    </row>
    <row r="60852" spans="17:17" x14ac:dyDescent="0.25">
      <c r="Q60852" s="8"/>
    </row>
    <row r="60853" spans="17:17" x14ac:dyDescent="0.25">
      <c r="Q60853" s="8"/>
    </row>
    <row r="60854" spans="17:17" x14ac:dyDescent="0.25">
      <c r="Q60854" s="8"/>
    </row>
    <row r="60855" spans="17:17" x14ac:dyDescent="0.25">
      <c r="Q60855" s="8"/>
    </row>
    <row r="60856" spans="17:17" x14ac:dyDescent="0.25">
      <c r="Q60856" s="8"/>
    </row>
    <row r="60857" spans="17:17" x14ac:dyDescent="0.25">
      <c r="Q60857" s="8"/>
    </row>
    <row r="60858" spans="17:17" x14ac:dyDescent="0.25">
      <c r="Q60858" s="8"/>
    </row>
    <row r="60859" spans="17:17" x14ac:dyDescent="0.25">
      <c r="Q60859" s="8"/>
    </row>
    <row r="60860" spans="17:17" x14ac:dyDescent="0.25">
      <c r="Q60860" s="8"/>
    </row>
    <row r="60861" spans="17:17" x14ac:dyDescent="0.25">
      <c r="Q60861" s="8"/>
    </row>
    <row r="60862" spans="17:17" x14ac:dyDescent="0.25">
      <c r="Q60862" s="8"/>
    </row>
    <row r="60863" spans="17:17" x14ac:dyDescent="0.25">
      <c r="Q60863" s="8"/>
    </row>
    <row r="60864" spans="17:17" x14ac:dyDescent="0.25">
      <c r="Q60864" s="8"/>
    </row>
    <row r="60865" spans="17:17" x14ac:dyDescent="0.25">
      <c r="Q60865" s="8"/>
    </row>
    <row r="60866" spans="17:17" x14ac:dyDescent="0.25">
      <c r="Q60866" s="8"/>
    </row>
    <row r="60867" spans="17:17" x14ac:dyDescent="0.25">
      <c r="Q60867" s="8"/>
    </row>
    <row r="60868" spans="17:17" x14ac:dyDescent="0.25">
      <c r="Q60868" s="8"/>
    </row>
    <row r="60869" spans="17:17" x14ac:dyDescent="0.25">
      <c r="Q60869" s="8"/>
    </row>
    <row r="60870" spans="17:17" x14ac:dyDescent="0.25">
      <c r="Q60870" s="8"/>
    </row>
    <row r="60871" spans="17:17" x14ac:dyDescent="0.25">
      <c r="Q60871" s="8"/>
    </row>
    <row r="60872" spans="17:17" x14ac:dyDescent="0.25">
      <c r="Q60872" s="8"/>
    </row>
    <row r="60873" spans="17:17" x14ac:dyDescent="0.25">
      <c r="Q60873" s="8"/>
    </row>
    <row r="60874" spans="17:17" x14ac:dyDescent="0.25">
      <c r="Q60874" s="8"/>
    </row>
    <row r="60875" spans="17:17" x14ac:dyDescent="0.25">
      <c r="Q60875" s="8"/>
    </row>
    <row r="60876" spans="17:17" x14ac:dyDescent="0.25">
      <c r="Q60876" s="8"/>
    </row>
    <row r="60877" spans="17:17" x14ac:dyDescent="0.25">
      <c r="Q60877" s="8"/>
    </row>
    <row r="60878" spans="17:17" x14ac:dyDescent="0.25">
      <c r="Q60878" s="8"/>
    </row>
    <row r="60879" spans="17:17" x14ac:dyDescent="0.25">
      <c r="Q60879" s="8"/>
    </row>
    <row r="60880" spans="17:17" x14ac:dyDescent="0.25">
      <c r="Q60880" s="8"/>
    </row>
    <row r="60881" spans="17:17" x14ac:dyDescent="0.25">
      <c r="Q60881" s="8"/>
    </row>
    <row r="60882" spans="17:17" x14ac:dyDescent="0.25">
      <c r="Q60882" s="8"/>
    </row>
    <row r="60883" spans="17:17" x14ac:dyDescent="0.25">
      <c r="Q60883" s="8"/>
    </row>
    <row r="60884" spans="17:17" x14ac:dyDescent="0.25">
      <c r="Q60884" s="8"/>
    </row>
    <row r="60885" spans="17:17" x14ac:dyDescent="0.25">
      <c r="Q60885" s="8"/>
    </row>
    <row r="60886" spans="17:17" x14ac:dyDescent="0.25">
      <c r="Q60886" s="8"/>
    </row>
    <row r="60887" spans="17:17" x14ac:dyDescent="0.25">
      <c r="Q60887" s="8"/>
    </row>
    <row r="60888" spans="17:17" x14ac:dyDescent="0.25">
      <c r="Q60888" s="8"/>
    </row>
    <row r="60889" spans="17:17" x14ac:dyDescent="0.25">
      <c r="Q60889" s="8"/>
    </row>
    <row r="60890" spans="17:17" x14ac:dyDescent="0.25">
      <c r="Q60890" s="8"/>
    </row>
    <row r="60891" spans="17:17" x14ac:dyDescent="0.25">
      <c r="Q60891" s="8"/>
    </row>
    <row r="60892" spans="17:17" x14ac:dyDescent="0.25">
      <c r="Q60892" s="8"/>
    </row>
    <row r="60893" spans="17:17" x14ac:dyDescent="0.25">
      <c r="Q60893" s="8"/>
    </row>
    <row r="60894" spans="17:17" x14ac:dyDescent="0.25">
      <c r="Q60894" s="8"/>
    </row>
    <row r="60895" spans="17:17" x14ac:dyDescent="0.25">
      <c r="Q60895" s="8"/>
    </row>
    <row r="60896" spans="17:17" x14ac:dyDescent="0.25">
      <c r="Q60896" s="8"/>
    </row>
    <row r="60897" spans="17:17" x14ac:dyDescent="0.25">
      <c r="Q60897" s="8"/>
    </row>
    <row r="60898" spans="17:17" x14ac:dyDescent="0.25">
      <c r="Q60898" s="8"/>
    </row>
    <row r="60899" spans="17:17" x14ac:dyDescent="0.25">
      <c r="Q60899" s="8"/>
    </row>
    <row r="60900" spans="17:17" x14ac:dyDescent="0.25">
      <c r="Q60900" s="8"/>
    </row>
    <row r="60901" spans="17:17" x14ac:dyDescent="0.25">
      <c r="Q60901" s="8"/>
    </row>
    <row r="60902" spans="17:17" x14ac:dyDescent="0.25">
      <c r="Q60902" s="8"/>
    </row>
    <row r="60903" spans="17:17" x14ac:dyDescent="0.25">
      <c r="Q60903" s="8"/>
    </row>
    <row r="60904" spans="17:17" x14ac:dyDescent="0.25">
      <c r="Q60904" s="8"/>
    </row>
    <row r="60905" spans="17:17" x14ac:dyDescent="0.25">
      <c r="Q60905" s="8"/>
    </row>
    <row r="60906" spans="17:17" x14ac:dyDescent="0.25">
      <c r="Q60906" s="8"/>
    </row>
    <row r="60907" spans="17:17" x14ac:dyDescent="0.25">
      <c r="Q60907" s="8"/>
    </row>
    <row r="60908" spans="17:17" x14ac:dyDescent="0.25">
      <c r="Q60908" s="8"/>
    </row>
    <row r="60909" spans="17:17" x14ac:dyDescent="0.25">
      <c r="Q60909" s="8"/>
    </row>
    <row r="60910" spans="17:17" x14ac:dyDescent="0.25">
      <c r="Q60910" s="8"/>
    </row>
    <row r="60911" spans="17:17" x14ac:dyDescent="0.25">
      <c r="Q60911" s="8"/>
    </row>
    <row r="60912" spans="17:17" x14ac:dyDescent="0.25">
      <c r="Q60912" s="8"/>
    </row>
    <row r="60913" spans="17:17" x14ac:dyDescent="0.25">
      <c r="Q60913" s="8"/>
    </row>
    <row r="60914" spans="17:17" x14ac:dyDescent="0.25">
      <c r="Q60914" s="8"/>
    </row>
    <row r="60915" spans="17:17" x14ac:dyDescent="0.25">
      <c r="Q60915" s="8"/>
    </row>
    <row r="60916" spans="17:17" x14ac:dyDescent="0.25">
      <c r="Q60916" s="8"/>
    </row>
    <row r="60917" spans="17:17" x14ac:dyDescent="0.25">
      <c r="Q60917" s="8"/>
    </row>
    <row r="60918" spans="17:17" x14ac:dyDescent="0.25">
      <c r="Q60918" s="8"/>
    </row>
    <row r="60919" spans="17:17" x14ac:dyDescent="0.25">
      <c r="Q60919" s="8"/>
    </row>
    <row r="60920" spans="17:17" x14ac:dyDescent="0.25">
      <c r="Q60920" s="8"/>
    </row>
    <row r="60921" spans="17:17" x14ac:dyDescent="0.25">
      <c r="Q60921" s="8"/>
    </row>
    <row r="60922" spans="17:17" x14ac:dyDescent="0.25">
      <c r="Q60922" s="8"/>
    </row>
    <row r="60923" spans="17:17" x14ac:dyDescent="0.25">
      <c r="Q60923" s="8"/>
    </row>
    <row r="60924" spans="17:17" x14ac:dyDescent="0.25">
      <c r="Q60924" s="8"/>
    </row>
    <row r="60925" spans="17:17" x14ac:dyDescent="0.25">
      <c r="Q60925" s="8"/>
    </row>
    <row r="60926" spans="17:17" x14ac:dyDescent="0.25">
      <c r="Q60926" s="8"/>
    </row>
    <row r="60927" spans="17:17" x14ac:dyDescent="0.25">
      <c r="Q60927" s="8"/>
    </row>
    <row r="60928" spans="17:17" x14ac:dyDescent="0.25">
      <c r="Q60928" s="8"/>
    </row>
    <row r="60929" spans="17:17" x14ac:dyDescent="0.25">
      <c r="Q60929" s="8"/>
    </row>
    <row r="60930" spans="17:17" x14ac:dyDescent="0.25">
      <c r="Q60930" s="8"/>
    </row>
    <row r="60931" spans="17:17" x14ac:dyDescent="0.25">
      <c r="Q60931" s="8"/>
    </row>
    <row r="60932" spans="17:17" x14ac:dyDescent="0.25">
      <c r="Q60932" s="8"/>
    </row>
    <row r="60933" spans="17:17" x14ac:dyDescent="0.25">
      <c r="Q60933" s="8"/>
    </row>
    <row r="60934" spans="17:17" x14ac:dyDescent="0.25">
      <c r="Q60934" s="8"/>
    </row>
    <row r="60935" spans="17:17" x14ac:dyDescent="0.25">
      <c r="Q60935" s="8"/>
    </row>
    <row r="60936" spans="17:17" x14ac:dyDescent="0.25">
      <c r="Q60936" s="8"/>
    </row>
    <row r="60937" spans="17:17" x14ac:dyDescent="0.25">
      <c r="Q60937" s="8"/>
    </row>
    <row r="60938" spans="17:17" x14ac:dyDescent="0.25">
      <c r="Q60938" s="8"/>
    </row>
    <row r="60939" spans="17:17" x14ac:dyDescent="0.25">
      <c r="Q60939" s="8"/>
    </row>
    <row r="60940" spans="17:17" x14ac:dyDescent="0.25">
      <c r="Q60940" s="8"/>
    </row>
    <row r="60941" spans="17:17" x14ac:dyDescent="0.25">
      <c r="Q60941" s="8"/>
    </row>
    <row r="60942" spans="17:17" x14ac:dyDescent="0.25">
      <c r="Q60942" s="8"/>
    </row>
    <row r="60943" spans="17:17" x14ac:dyDescent="0.25">
      <c r="Q60943" s="8"/>
    </row>
    <row r="60944" spans="17:17" x14ac:dyDescent="0.25">
      <c r="Q60944" s="8"/>
    </row>
    <row r="60945" spans="17:17" x14ac:dyDescent="0.25">
      <c r="Q60945" s="8"/>
    </row>
    <row r="60946" spans="17:17" x14ac:dyDescent="0.25">
      <c r="Q60946" s="8"/>
    </row>
    <row r="60947" spans="17:17" x14ac:dyDescent="0.25">
      <c r="Q60947" s="8"/>
    </row>
    <row r="60948" spans="17:17" x14ac:dyDescent="0.25">
      <c r="Q60948" s="8"/>
    </row>
    <row r="60949" spans="17:17" x14ac:dyDescent="0.25">
      <c r="Q60949" s="8"/>
    </row>
    <row r="60950" spans="17:17" x14ac:dyDescent="0.25">
      <c r="Q60950" s="8"/>
    </row>
    <row r="60951" spans="17:17" x14ac:dyDescent="0.25">
      <c r="Q60951" s="8"/>
    </row>
    <row r="60952" spans="17:17" x14ac:dyDescent="0.25">
      <c r="Q60952" s="8"/>
    </row>
    <row r="60953" spans="17:17" x14ac:dyDescent="0.25">
      <c r="Q60953" s="8"/>
    </row>
    <row r="60954" spans="17:17" x14ac:dyDescent="0.25">
      <c r="Q60954" s="8"/>
    </row>
    <row r="60955" spans="17:17" x14ac:dyDescent="0.25">
      <c r="Q60955" s="8"/>
    </row>
    <row r="60956" spans="17:17" x14ac:dyDescent="0.25">
      <c r="Q60956" s="8"/>
    </row>
    <row r="60957" spans="17:17" x14ac:dyDescent="0.25">
      <c r="Q60957" s="8"/>
    </row>
    <row r="60958" spans="17:17" x14ac:dyDescent="0.25">
      <c r="Q60958" s="8"/>
    </row>
    <row r="60959" spans="17:17" x14ac:dyDescent="0.25">
      <c r="Q60959" s="8"/>
    </row>
    <row r="60960" spans="17:17" x14ac:dyDescent="0.25">
      <c r="Q60960" s="8"/>
    </row>
    <row r="60961" spans="17:17" x14ac:dyDescent="0.25">
      <c r="Q60961" s="8"/>
    </row>
    <row r="60962" spans="17:17" x14ac:dyDescent="0.25">
      <c r="Q60962" s="8"/>
    </row>
    <row r="60963" spans="17:17" x14ac:dyDescent="0.25">
      <c r="Q60963" s="8"/>
    </row>
    <row r="60964" spans="17:17" x14ac:dyDescent="0.25">
      <c r="Q60964" s="8"/>
    </row>
    <row r="60965" spans="17:17" x14ac:dyDescent="0.25">
      <c r="Q60965" s="8"/>
    </row>
    <row r="60966" spans="17:17" x14ac:dyDescent="0.25">
      <c r="Q60966" s="8"/>
    </row>
    <row r="60967" spans="17:17" x14ac:dyDescent="0.25">
      <c r="Q60967" s="8"/>
    </row>
    <row r="60968" spans="17:17" x14ac:dyDescent="0.25">
      <c r="Q60968" s="8"/>
    </row>
    <row r="60969" spans="17:17" x14ac:dyDescent="0.25">
      <c r="Q60969" s="8"/>
    </row>
    <row r="60970" spans="17:17" x14ac:dyDescent="0.25">
      <c r="Q60970" s="8"/>
    </row>
    <row r="60971" spans="17:17" x14ac:dyDescent="0.25">
      <c r="Q60971" s="8"/>
    </row>
    <row r="60972" spans="17:17" x14ac:dyDescent="0.25">
      <c r="Q60972" s="8"/>
    </row>
    <row r="60973" spans="17:17" x14ac:dyDescent="0.25">
      <c r="Q60973" s="8"/>
    </row>
    <row r="60974" spans="17:17" x14ac:dyDescent="0.25">
      <c r="Q60974" s="8"/>
    </row>
    <row r="60975" spans="17:17" x14ac:dyDescent="0.25">
      <c r="Q60975" s="8"/>
    </row>
    <row r="60976" spans="17:17" x14ac:dyDescent="0.25">
      <c r="Q60976" s="8"/>
    </row>
    <row r="60977" spans="17:17" x14ac:dyDescent="0.25">
      <c r="Q60977" s="8"/>
    </row>
    <row r="60978" spans="17:17" x14ac:dyDescent="0.25">
      <c r="Q60978" s="8"/>
    </row>
    <row r="60979" spans="17:17" x14ac:dyDescent="0.25">
      <c r="Q60979" s="8"/>
    </row>
    <row r="60980" spans="17:17" x14ac:dyDescent="0.25">
      <c r="Q60980" s="8"/>
    </row>
    <row r="60981" spans="17:17" x14ac:dyDescent="0.25">
      <c r="Q60981" s="8"/>
    </row>
    <row r="60982" spans="17:17" x14ac:dyDescent="0.25">
      <c r="Q60982" s="8"/>
    </row>
    <row r="60983" spans="17:17" x14ac:dyDescent="0.25">
      <c r="Q60983" s="8"/>
    </row>
    <row r="60984" spans="17:17" x14ac:dyDescent="0.25">
      <c r="Q60984" s="8"/>
    </row>
    <row r="60985" spans="17:17" x14ac:dyDescent="0.25">
      <c r="Q60985" s="8"/>
    </row>
    <row r="60986" spans="17:17" x14ac:dyDescent="0.25">
      <c r="Q60986" s="8"/>
    </row>
    <row r="60987" spans="17:17" x14ac:dyDescent="0.25">
      <c r="Q60987" s="8"/>
    </row>
    <row r="60988" spans="17:17" x14ac:dyDescent="0.25">
      <c r="Q60988" s="8"/>
    </row>
    <row r="60989" spans="17:17" x14ac:dyDescent="0.25">
      <c r="Q60989" s="8"/>
    </row>
    <row r="60990" spans="17:17" x14ac:dyDescent="0.25">
      <c r="Q60990" s="8"/>
    </row>
    <row r="60991" spans="17:17" x14ac:dyDescent="0.25">
      <c r="Q60991" s="8"/>
    </row>
    <row r="60992" spans="17:17" x14ac:dyDescent="0.25">
      <c r="Q60992" s="8"/>
    </row>
    <row r="60993" spans="17:17" x14ac:dyDescent="0.25">
      <c r="Q60993" s="8"/>
    </row>
    <row r="60994" spans="17:17" x14ac:dyDescent="0.25">
      <c r="Q60994" s="8"/>
    </row>
    <row r="60995" spans="17:17" x14ac:dyDescent="0.25">
      <c r="Q60995" s="8"/>
    </row>
    <row r="60996" spans="17:17" x14ac:dyDescent="0.25">
      <c r="Q60996" s="8"/>
    </row>
    <row r="60997" spans="17:17" x14ac:dyDescent="0.25">
      <c r="Q60997" s="8"/>
    </row>
    <row r="60998" spans="17:17" x14ac:dyDescent="0.25">
      <c r="Q60998" s="8"/>
    </row>
    <row r="60999" spans="17:17" x14ac:dyDescent="0.25">
      <c r="Q60999" s="8"/>
    </row>
    <row r="61000" spans="17:17" x14ac:dyDescent="0.25">
      <c r="Q61000" s="8"/>
    </row>
    <row r="61001" spans="17:17" x14ac:dyDescent="0.25">
      <c r="Q61001" s="8"/>
    </row>
    <row r="61002" spans="17:17" x14ac:dyDescent="0.25">
      <c r="Q61002" s="8"/>
    </row>
    <row r="61003" spans="17:17" x14ac:dyDescent="0.25">
      <c r="Q61003" s="8"/>
    </row>
    <row r="61004" spans="17:17" x14ac:dyDescent="0.25">
      <c r="Q61004" s="8"/>
    </row>
    <row r="61005" spans="17:17" x14ac:dyDescent="0.25">
      <c r="Q61005" s="8"/>
    </row>
    <row r="61006" spans="17:17" x14ac:dyDescent="0.25">
      <c r="Q61006" s="8"/>
    </row>
    <row r="61007" spans="17:17" x14ac:dyDescent="0.25">
      <c r="Q61007" s="8"/>
    </row>
    <row r="61008" spans="17:17" x14ac:dyDescent="0.25">
      <c r="Q61008" s="8"/>
    </row>
    <row r="61009" spans="17:17" x14ac:dyDescent="0.25">
      <c r="Q61009" s="8"/>
    </row>
    <row r="61010" spans="17:17" x14ac:dyDescent="0.25">
      <c r="Q61010" s="8"/>
    </row>
    <row r="61011" spans="17:17" x14ac:dyDescent="0.25">
      <c r="Q61011" s="8"/>
    </row>
    <row r="61012" spans="17:17" x14ac:dyDescent="0.25">
      <c r="Q61012" s="8"/>
    </row>
    <row r="61013" spans="17:17" x14ac:dyDescent="0.25">
      <c r="Q61013" s="8"/>
    </row>
    <row r="61014" spans="17:17" x14ac:dyDescent="0.25">
      <c r="Q61014" s="8"/>
    </row>
    <row r="61015" spans="17:17" x14ac:dyDescent="0.25">
      <c r="Q61015" s="8"/>
    </row>
    <row r="61016" spans="17:17" x14ac:dyDescent="0.25">
      <c r="Q61016" s="8"/>
    </row>
    <row r="61017" spans="17:17" x14ac:dyDescent="0.25">
      <c r="Q61017" s="8"/>
    </row>
    <row r="61018" spans="17:17" x14ac:dyDescent="0.25">
      <c r="Q61018" s="8"/>
    </row>
    <row r="61019" spans="17:17" x14ac:dyDescent="0.25">
      <c r="Q61019" s="8"/>
    </row>
    <row r="61020" spans="17:17" x14ac:dyDescent="0.25">
      <c r="Q61020" s="8"/>
    </row>
    <row r="61021" spans="17:17" x14ac:dyDescent="0.25">
      <c r="Q61021" s="8"/>
    </row>
    <row r="61022" spans="17:17" x14ac:dyDescent="0.25">
      <c r="Q61022" s="8"/>
    </row>
    <row r="61023" spans="17:17" x14ac:dyDescent="0.25">
      <c r="Q61023" s="8"/>
    </row>
    <row r="61024" spans="17:17" x14ac:dyDescent="0.25">
      <c r="Q61024" s="8"/>
    </row>
    <row r="61025" spans="17:17" x14ac:dyDescent="0.25">
      <c r="Q61025" s="8"/>
    </row>
    <row r="61026" spans="17:17" x14ac:dyDescent="0.25">
      <c r="Q61026" s="8"/>
    </row>
    <row r="61027" spans="17:17" x14ac:dyDescent="0.25">
      <c r="Q61027" s="8"/>
    </row>
    <row r="61028" spans="17:17" x14ac:dyDescent="0.25">
      <c r="Q61028" s="8"/>
    </row>
    <row r="61029" spans="17:17" x14ac:dyDescent="0.25">
      <c r="Q61029" s="8"/>
    </row>
    <row r="61030" spans="17:17" x14ac:dyDescent="0.25">
      <c r="Q61030" s="8"/>
    </row>
    <row r="61031" spans="17:17" x14ac:dyDescent="0.25">
      <c r="Q61031" s="8"/>
    </row>
    <row r="61032" spans="17:17" x14ac:dyDescent="0.25">
      <c r="Q61032" s="8"/>
    </row>
    <row r="61033" spans="17:17" x14ac:dyDescent="0.25">
      <c r="Q61033" s="8"/>
    </row>
    <row r="61034" spans="17:17" x14ac:dyDescent="0.25">
      <c r="Q61034" s="8"/>
    </row>
    <row r="61035" spans="17:17" x14ac:dyDescent="0.25">
      <c r="Q61035" s="8"/>
    </row>
    <row r="61036" spans="17:17" x14ac:dyDescent="0.25">
      <c r="Q61036" s="8"/>
    </row>
    <row r="61037" spans="17:17" x14ac:dyDescent="0.25">
      <c r="Q61037" s="8"/>
    </row>
    <row r="61038" spans="17:17" x14ac:dyDescent="0.25">
      <c r="Q61038" s="8"/>
    </row>
    <row r="61039" spans="17:17" x14ac:dyDescent="0.25">
      <c r="Q61039" s="8"/>
    </row>
    <row r="61040" spans="17:17" x14ac:dyDescent="0.25">
      <c r="Q61040" s="8"/>
    </row>
    <row r="61041" spans="17:17" x14ac:dyDescent="0.25">
      <c r="Q61041" s="8"/>
    </row>
    <row r="61042" spans="17:17" x14ac:dyDescent="0.25">
      <c r="Q61042" s="8"/>
    </row>
    <row r="61043" spans="17:17" x14ac:dyDescent="0.25">
      <c r="Q61043" s="8"/>
    </row>
    <row r="61044" spans="17:17" x14ac:dyDescent="0.25">
      <c r="Q61044" s="8"/>
    </row>
    <row r="61045" spans="17:17" x14ac:dyDescent="0.25">
      <c r="Q61045" s="8"/>
    </row>
    <row r="61046" spans="17:17" x14ac:dyDescent="0.25">
      <c r="Q61046" s="8"/>
    </row>
    <row r="61047" spans="17:17" x14ac:dyDescent="0.25">
      <c r="Q61047" s="8"/>
    </row>
    <row r="61048" spans="17:17" x14ac:dyDescent="0.25">
      <c r="Q61048" s="8"/>
    </row>
    <row r="61049" spans="17:17" x14ac:dyDescent="0.25">
      <c r="Q61049" s="8"/>
    </row>
    <row r="61050" spans="17:17" x14ac:dyDescent="0.25">
      <c r="Q61050" s="8"/>
    </row>
    <row r="61051" spans="17:17" x14ac:dyDescent="0.25">
      <c r="Q61051" s="8"/>
    </row>
    <row r="61052" spans="17:17" x14ac:dyDescent="0.25">
      <c r="Q61052" s="8"/>
    </row>
    <row r="61053" spans="17:17" x14ac:dyDescent="0.25">
      <c r="Q61053" s="8"/>
    </row>
    <row r="61054" spans="17:17" x14ac:dyDescent="0.25">
      <c r="Q61054" s="8"/>
    </row>
    <row r="61055" spans="17:17" x14ac:dyDescent="0.25">
      <c r="Q61055" s="8"/>
    </row>
    <row r="61056" spans="17:17" x14ac:dyDescent="0.25">
      <c r="Q61056" s="8"/>
    </row>
    <row r="61057" spans="17:17" x14ac:dyDescent="0.25">
      <c r="Q61057" s="8"/>
    </row>
    <row r="61058" spans="17:17" x14ac:dyDescent="0.25">
      <c r="Q61058" s="8"/>
    </row>
    <row r="61059" spans="17:17" x14ac:dyDescent="0.25">
      <c r="Q61059" s="8"/>
    </row>
    <row r="61060" spans="17:17" x14ac:dyDescent="0.25">
      <c r="Q61060" s="8"/>
    </row>
    <row r="61061" spans="17:17" x14ac:dyDescent="0.25">
      <c r="Q61061" s="8"/>
    </row>
    <row r="61062" spans="17:17" x14ac:dyDescent="0.25">
      <c r="Q61062" s="8"/>
    </row>
    <row r="61063" spans="17:17" x14ac:dyDescent="0.25">
      <c r="Q61063" s="8"/>
    </row>
    <row r="61064" spans="17:17" x14ac:dyDescent="0.25">
      <c r="Q61064" s="8"/>
    </row>
    <row r="61065" spans="17:17" x14ac:dyDescent="0.25">
      <c r="Q61065" s="8"/>
    </row>
    <row r="61066" spans="17:17" x14ac:dyDescent="0.25">
      <c r="Q61066" s="8"/>
    </row>
    <row r="61067" spans="17:17" x14ac:dyDescent="0.25">
      <c r="Q61067" s="8"/>
    </row>
    <row r="61068" spans="17:17" x14ac:dyDescent="0.25">
      <c r="Q61068" s="8"/>
    </row>
    <row r="61069" spans="17:17" x14ac:dyDescent="0.25">
      <c r="Q61069" s="8"/>
    </row>
    <row r="61070" spans="17:17" x14ac:dyDescent="0.25">
      <c r="Q61070" s="8"/>
    </row>
    <row r="61071" spans="17:17" x14ac:dyDescent="0.25">
      <c r="Q61071" s="8"/>
    </row>
    <row r="61072" spans="17:17" x14ac:dyDescent="0.25">
      <c r="Q61072" s="8"/>
    </row>
    <row r="61073" spans="17:17" x14ac:dyDescent="0.25">
      <c r="Q61073" s="8"/>
    </row>
    <row r="61074" spans="17:17" x14ac:dyDescent="0.25">
      <c r="Q61074" s="8"/>
    </row>
    <row r="61075" spans="17:17" x14ac:dyDescent="0.25">
      <c r="Q61075" s="8"/>
    </row>
    <row r="61076" spans="17:17" x14ac:dyDescent="0.25">
      <c r="Q61076" s="8"/>
    </row>
    <row r="61077" spans="17:17" x14ac:dyDescent="0.25">
      <c r="Q61077" s="8"/>
    </row>
    <row r="61078" spans="17:17" x14ac:dyDescent="0.25">
      <c r="Q61078" s="8"/>
    </row>
    <row r="61079" spans="17:17" x14ac:dyDescent="0.25">
      <c r="Q61079" s="8"/>
    </row>
    <row r="61080" spans="17:17" x14ac:dyDescent="0.25">
      <c r="Q61080" s="8"/>
    </row>
    <row r="61081" spans="17:17" x14ac:dyDescent="0.25">
      <c r="Q61081" s="8"/>
    </row>
    <row r="61082" spans="17:17" x14ac:dyDescent="0.25">
      <c r="Q61082" s="8"/>
    </row>
    <row r="61083" spans="17:17" x14ac:dyDescent="0.25">
      <c r="Q61083" s="8"/>
    </row>
    <row r="61084" spans="17:17" x14ac:dyDescent="0.25">
      <c r="Q61084" s="8"/>
    </row>
    <row r="61085" spans="17:17" x14ac:dyDescent="0.25">
      <c r="Q61085" s="8"/>
    </row>
    <row r="61086" spans="17:17" x14ac:dyDescent="0.25">
      <c r="Q61086" s="8"/>
    </row>
    <row r="61087" spans="17:17" x14ac:dyDescent="0.25">
      <c r="Q61087" s="8"/>
    </row>
    <row r="61088" spans="17:17" x14ac:dyDescent="0.25">
      <c r="Q61088" s="8"/>
    </row>
    <row r="61089" spans="17:17" x14ac:dyDescent="0.25">
      <c r="Q61089" s="8"/>
    </row>
    <row r="61090" spans="17:17" x14ac:dyDescent="0.25">
      <c r="Q61090" s="8"/>
    </row>
    <row r="61091" spans="17:17" x14ac:dyDescent="0.25">
      <c r="Q61091" s="8"/>
    </row>
    <row r="61092" spans="17:17" x14ac:dyDescent="0.25">
      <c r="Q61092" s="8"/>
    </row>
    <row r="61093" spans="17:17" x14ac:dyDescent="0.25">
      <c r="Q61093" s="8"/>
    </row>
    <row r="61094" spans="17:17" x14ac:dyDescent="0.25">
      <c r="Q61094" s="8"/>
    </row>
    <row r="61095" spans="17:17" x14ac:dyDescent="0.25">
      <c r="Q61095" s="8"/>
    </row>
    <row r="61096" spans="17:17" x14ac:dyDescent="0.25">
      <c r="Q61096" s="8"/>
    </row>
    <row r="61097" spans="17:17" x14ac:dyDescent="0.25">
      <c r="Q61097" s="8"/>
    </row>
    <row r="61098" spans="17:17" x14ac:dyDescent="0.25">
      <c r="Q61098" s="8"/>
    </row>
    <row r="61099" spans="17:17" x14ac:dyDescent="0.25">
      <c r="Q61099" s="8"/>
    </row>
    <row r="61100" spans="17:17" x14ac:dyDescent="0.25">
      <c r="Q61100" s="8"/>
    </row>
    <row r="61101" spans="17:17" x14ac:dyDescent="0.25">
      <c r="Q61101" s="8"/>
    </row>
    <row r="61102" spans="17:17" x14ac:dyDescent="0.25">
      <c r="Q61102" s="8"/>
    </row>
    <row r="61103" spans="17:17" x14ac:dyDescent="0.25">
      <c r="Q61103" s="8"/>
    </row>
    <row r="61104" spans="17:17" x14ac:dyDescent="0.25">
      <c r="Q61104" s="8"/>
    </row>
    <row r="61105" spans="17:17" x14ac:dyDescent="0.25">
      <c r="Q61105" s="8"/>
    </row>
    <row r="61106" spans="17:17" x14ac:dyDescent="0.25">
      <c r="Q61106" s="8"/>
    </row>
    <row r="61107" spans="17:17" x14ac:dyDescent="0.25">
      <c r="Q61107" s="8"/>
    </row>
    <row r="61108" spans="17:17" x14ac:dyDescent="0.25">
      <c r="Q61108" s="8"/>
    </row>
    <row r="61109" spans="17:17" x14ac:dyDescent="0.25">
      <c r="Q61109" s="8"/>
    </row>
    <row r="61110" spans="17:17" x14ac:dyDescent="0.25">
      <c r="Q61110" s="8"/>
    </row>
    <row r="61111" spans="17:17" x14ac:dyDescent="0.25">
      <c r="Q61111" s="8"/>
    </row>
    <row r="61112" spans="17:17" x14ac:dyDescent="0.25">
      <c r="Q61112" s="8"/>
    </row>
    <row r="61113" spans="17:17" x14ac:dyDescent="0.25">
      <c r="Q61113" s="8"/>
    </row>
    <row r="61114" spans="17:17" x14ac:dyDescent="0.25">
      <c r="Q61114" s="8"/>
    </row>
    <row r="61115" spans="17:17" x14ac:dyDescent="0.25">
      <c r="Q61115" s="8"/>
    </row>
    <row r="61116" spans="17:17" x14ac:dyDescent="0.25">
      <c r="Q61116" s="8"/>
    </row>
    <row r="61117" spans="17:17" x14ac:dyDescent="0.25">
      <c r="Q61117" s="8"/>
    </row>
    <row r="61118" spans="17:17" x14ac:dyDescent="0.25">
      <c r="Q61118" s="8"/>
    </row>
    <row r="61119" spans="17:17" x14ac:dyDescent="0.25">
      <c r="Q61119" s="8"/>
    </row>
    <row r="61120" spans="17:17" x14ac:dyDescent="0.25">
      <c r="Q61120" s="8"/>
    </row>
    <row r="61121" spans="17:17" x14ac:dyDescent="0.25">
      <c r="Q61121" s="8"/>
    </row>
    <row r="61122" spans="17:17" x14ac:dyDescent="0.25">
      <c r="Q61122" s="8"/>
    </row>
    <row r="61123" spans="17:17" x14ac:dyDescent="0.25">
      <c r="Q61123" s="8"/>
    </row>
    <row r="61124" spans="17:17" x14ac:dyDescent="0.25">
      <c r="Q61124" s="8"/>
    </row>
    <row r="61125" spans="17:17" x14ac:dyDescent="0.25">
      <c r="Q61125" s="8"/>
    </row>
    <row r="61126" spans="17:17" x14ac:dyDescent="0.25">
      <c r="Q61126" s="8"/>
    </row>
    <row r="61127" spans="17:17" x14ac:dyDescent="0.25">
      <c r="Q61127" s="8"/>
    </row>
    <row r="61128" spans="17:17" x14ac:dyDescent="0.25">
      <c r="Q61128" s="8"/>
    </row>
    <row r="61129" spans="17:17" x14ac:dyDescent="0.25">
      <c r="Q61129" s="8"/>
    </row>
    <row r="61130" spans="17:17" x14ac:dyDescent="0.25">
      <c r="Q61130" s="8"/>
    </row>
    <row r="61131" spans="17:17" x14ac:dyDescent="0.25">
      <c r="Q61131" s="8"/>
    </row>
    <row r="61132" spans="17:17" x14ac:dyDescent="0.25">
      <c r="Q61132" s="8"/>
    </row>
    <row r="61133" spans="17:17" x14ac:dyDescent="0.25">
      <c r="Q61133" s="8"/>
    </row>
    <row r="61134" spans="17:17" x14ac:dyDescent="0.25">
      <c r="Q61134" s="8"/>
    </row>
    <row r="61135" spans="17:17" x14ac:dyDescent="0.25">
      <c r="Q61135" s="8"/>
    </row>
    <row r="61136" spans="17:17" x14ac:dyDescent="0.25">
      <c r="Q61136" s="8"/>
    </row>
    <row r="61137" spans="17:17" x14ac:dyDescent="0.25">
      <c r="Q61137" s="8"/>
    </row>
    <row r="61138" spans="17:17" x14ac:dyDescent="0.25">
      <c r="Q61138" s="8"/>
    </row>
    <row r="61139" spans="17:17" x14ac:dyDescent="0.25">
      <c r="Q61139" s="8"/>
    </row>
    <row r="61140" spans="17:17" x14ac:dyDescent="0.25">
      <c r="Q61140" s="8"/>
    </row>
    <row r="61141" spans="17:17" x14ac:dyDescent="0.25">
      <c r="Q61141" s="8"/>
    </row>
    <row r="61142" spans="17:17" x14ac:dyDescent="0.25">
      <c r="Q61142" s="8"/>
    </row>
    <row r="61143" spans="17:17" x14ac:dyDescent="0.25">
      <c r="Q61143" s="8"/>
    </row>
    <row r="61144" spans="17:17" x14ac:dyDescent="0.25">
      <c r="Q61144" s="8"/>
    </row>
    <row r="61145" spans="17:17" x14ac:dyDescent="0.25">
      <c r="Q61145" s="8"/>
    </row>
    <row r="61146" spans="17:17" x14ac:dyDescent="0.25">
      <c r="Q61146" s="8"/>
    </row>
    <row r="61147" spans="17:17" x14ac:dyDescent="0.25">
      <c r="Q61147" s="8"/>
    </row>
    <row r="61148" spans="17:17" x14ac:dyDescent="0.25">
      <c r="Q61148" s="8"/>
    </row>
    <row r="61149" spans="17:17" x14ac:dyDescent="0.25">
      <c r="Q61149" s="8"/>
    </row>
    <row r="61150" spans="17:17" x14ac:dyDescent="0.25">
      <c r="Q61150" s="8"/>
    </row>
    <row r="61151" spans="17:17" x14ac:dyDescent="0.25">
      <c r="Q61151" s="8"/>
    </row>
    <row r="61152" spans="17:17" x14ac:dyDescent="0.25">
      <c r="Q61152" s="8"/>
    </row>
    <row r="61153" spans="17:17" x14ac:dyDescent="0.25">
      <c r="Q61153" s="8"/>
    </row>
    <row r="61154" spans="17:17" x14ac:dyDescent="0.25">
      <c r="Q61154" s="8"/>
    </row>
    <row r="61155" spans="17:17" x14ac:dyDescent="0.25">
      <c r="Q61155" s="8"/>
    </row>
    <row r="61156" spans="17:17" x14ac:dyDescent="0.25">
      <c r="Q61156" s="8"/>
    </row>
    <row r="61157" spans="17:17" x14ac:dyDescent="0.25">
      <c r="Q61157" s="8"/>
    </row>
    <row r="61158" spans="17:17" x14ac:dyDescent="0.25">
      <c r="Q61158" s="8"/>
    </row>
    <row r="61159" spans="17:17" x14ac:dyDescent="0.25">
      <c r="Q61159" s="8"/>
    </row>
    <row r="61160" spans="17:17" x14ac:dyDescent="0.25">
      <c r="Q61160" s="8"/>
    </row>
    <row r="61161" spans="17:17" x14ac:dyDescent="0.25">
      <c r="Q61161" s="8"/>
    </row>
    <row r="61162" spans="17:17" x14ac:dyDescent="0.25">
      <c r="Q61162" s="8"/>
    </row>
    <row r="61163" spans="17:17" x14ac:dyDescent="0.25">
      <c r="Q61163" s="8"/>
    </row>
    <row r="61164" spans="17:17" x14ac:dyDescent="0.25">
      <c r="Q61164" s="8"/>
    </row>
    <row r="61165" spans="17:17" x14ac:dyDescent="0.25">
      <c r="Q61165" s="8"/>
    </row>
    <row r="61166" spans="17:17" x14ac:dyDescent="0.25">
      <c r="Q61166" s="8"/>
    </row>
    <row r="61167" spans="17:17" x14ac:dyDescent="0.25">
      <c r="Q61167" s="8"/>
    </row>
    <row r="61168" spans="17:17" x14ac:dyDescent="0.25">
      <c r="Q61168" s="8"/>
    </row>
    <row r="61169" spans="17:17" x14ac:dyDescent="0.25">
      <c r="Q61169" s="8"/>
    </row>
    <row r="61170" spans="17:17" x14ac:dyDescent="0.25">
      <c r="Q61170" s="8"/>
    </row>
    <row r="61171" spans="17:17" x14ac:dyDescent="0.25">
      <c r="Q61171" s="8"/>
    </row>
    <row r="61172" spans="17:17" x14ac:dyDescent="0.25">
      <c r="Q61172" s="8"/>
    </row>
    <row r="61173" spans="17:17" x14ac:dyDescent="0.25">
      <c r="Q61173" s="8"/>
    </row>
    <row r="61174" spans="17:17" x14ac:dyDescent="0.25">
      <c r="Q61174" s="8"/>
    </row>
    <row r="61175" spans="17:17" x14ac:dyDescent="0.25">
      <c r="Q61175" s="8"/>
    </row>
    <row r="61176" spans="17:17" x14ac:dyDescent="0.25">
      <c r="Q61176" s="8"/>
    </row>
    <row r="61177" spans="17:17" x14ac:dyDescent="0.25">
      <c r="Q61177" s="8"/>
    </row>
    <row r="61178" spans="17:17" x14ac:dyDescent="0.25">
      <c r="Q61178" s="8"/>
    </row>
    <row r="61179" spans="17:17" x14ac:dyDescent="0.25">
      <c r="Q61179" s="8"/>
    </row>
    <row r="61180" spans="17:17" x14ac:dyDescent="0.25">
      <c r="Q61180" s="8"/>
    </row>
    <row r="61181" spans="17:17" x14ac:dyDescent="0.25">
      <c r="Q61181" s="8"/>
    </row>
    <row r="61182" spans="17:17" x14ac:dyDescent="0.25">
      <c r="Q61182" s="8"/>
    </row>
    <row r="61183" spans="17:17" x14ac:dyDescent="0.25">
      <c r="Q61183" s="8"/>
    </row>
    <row r="61184" spans="17:17" x14ac:dyDescent="0.25">
      <c r="Q61184" s="8"/>
    </row>
    <row r="61185" spans="17:17" x14ac:dyDescent="0.25">
      <c r="Q61185" s="8"/>
    </row>
    <row r="61186" spans="17:17" x14ac:dyDescent="0.25">
      <c r="Q61186" s="8"/>
    </row>
    <row r="61187" spans="17:17" x14ac:dyDescent="0.25">
      <c r="Q61187" s="8"/>
    </row>
    <row r="61188" spans="17:17" x14ac:dyDescent="0.25">
      <c r="Q61188" s="8"/>
    </row>
    <row r="61189" spans="17:17" x14ac:dyDescent="0.25">
      <c r="Q61189" s="8"/>
    </row>
    <row r="61190" spans="17:17" x14ac:dyDescent="0.25">
      <c r="Q61190" s="8"/>
    </row>
    <row r="61191" spans="17:17" x14ac:dyDescent="0.25">
      <c r="Q61191" s="8"/>
    </row>
    <row r="61192" spans="17:17" x14ac:dyDescent="0.25">
      <c r="Q61192" s="8"/>
    </row>
    <row r="61193" spans="17:17" x14ac:dyDescent="0.25">
      <c r="Q61193" s="8"/>
    </row>
    <row r="61194" spans="17:17" x14ac:dyDescent="0.25">
      <c r="Q61194" s="8"/>
    </row>
    <row r="61195" spans="17:17" x14ac:dyDescent="0.25">
      <c r="Q61195" s="8"/>
    </row>
    <row r="61196" spans="17:17" x14ac:dyDescent="0.25">
      <c r="Q61196" s="8"/>
    </row>
    <row r="61197" spans="17:17" x14ac:dyDescent="0.25">
      <c r="Q61197" s="8"/>
    </row>
    <row r="61198" spans="17:17" x14ac:dyDescent="0.25">
      <c r="Q61198" s="8"/>
    </row>
    <row r="61199" spans="17:17" x14ac:dyDescent="0.25">
      <c r="Q61199" s="8"/>
    </row>
    <row r="61200" spans="17:17" x14ac:dyDescent="0.25">
      <c r="Q61200" s="8"/>
    </row>
    <row r="61201" spans="17:17" x14ac:dyDescent="0.25">
      <c r="Q61201" s="8"/>
    </row>
    <row r="61202" spans="17:17" x14ac:dyDescent="0.25">
      <c r="Q61202" s="8"/>
    </row>
    <row r="61203" spans="17:17" x14ac:dyDescent="0.25">
      <c r="Q61203" s="8"/>
    </row>
    <row r="61204" spans="17:17" x14ac:dyDescent="0.25">
      <c r="Q61204" s="8"/>
    </row>
    <row r="61205" spans="17:17" x14ac:dyDescent="0.25">
      <c r="Q61205" s="8"/>
    </row>
    <row r="61206" spans="17:17" x14ac:dyDescent="0.25">
      <c r="Q61206" s="8"/>
    </row>
    <row r="61207" spans="17:17" x14ac:dyDescent="0.25">
      <c r="Q61207" s="8"/>
    </row>
    <row r="61208" spans="17:17" x14ac:dyDescent="0.25">
      <c r="Q61208" s="8"/>
    </row>
    <row r="61209" spans="17:17" x14ac:dyDescent="0.25">
      <c r="Q61209" s="8"/>
    </row>
    <row r="61210" spans="17:17" x14ac:dyDescent="0.25">
      <c r="Q61210" s="8"/>
    </row>
    <row r="61211" spans="17:17" x14ac:dyDescent="0.25">
      <c r="Q61211" s="8"/>
    </row>
    <row r="61212" spans="17:17" x14ac:dyDescent="0.25">
      <c r="Q61212" s="8"/>
    </row>
    <row r="61213" spans="17:17" x14ac:dyDescent="0.25">
      <c r="Q61213" s="8"/>
    </row>
    <row r="61214" spans="17:17" x14ac:dyDescent="0.25">
      <c r="Q61214" s="8"/>
    </row>
    <row r="61215" spans="17:17" x14ac:dyDescent="0.25">
      <c r="Q61215" s="8"/>
    </row>
    <row r="61216" spans="17:17" x14ac:dyDescent="0.25">
      <c r="Q61216" s="8"/>
    </row>
    <row r="61217" spans="17:17" x14ac:dyDescent="0.25">
      <c r="Q61217" s="8"/>
    </row>
    <row r="61218" spans="17:17" x14ac:dyDescent="0.25">
      <c r="Q61218" s="8"/>
    </row>
    <row r="61219" spans="17:17" x14ac:dyDescent="0.25">
      <c r="Q61219" s="8"/>
    </row>
    <row r="61220" spans="17:17" x14ac:dyDescent="0.25">
      <c r="Q61220" s="8"/>
    </row>
    <row r="61221" spans="17:17" x14ac:dyDescent="0.25">
      <c r="Q61221" s="8"/>
    </row>
    <row r="61222" spans="17:17" x14ac:dyDescent="0.25">
      <c r="Q61222" s="8"/>
    </row>
    <row r="61223" spans="17:17" x14ac:dyDescent="0.25">
      <c r="Q61223" s="8"/>
    </row>
    <row r="61224" spans="17:17" x14ac:dyDescent="0.25">
      <c r="Q61224" s="8"/>
    </row>
    <row r="61225" spans="17:17" x14ac:dyDescent="0.25">
      <c r="Q61225" s="8"/>
    </row>
    <row r="61226" spans="17:17" x14ac:dyDescent="0.25">
      <c r="Q61226" s="8"/>
    </row>
    <row r="61227" spans="17:17" x14ac:dyDescent="0.25">
      <c r="Q61227" s="8"/>
    </row>
    <row r="61228" spans="17:17" x14ac:dyDescent="0.25">
      <c r="Q61228" s="8"/>
    </row>
    <row r="61229" spans="17:17" x14ac:dyDescent="0.25">
      <c r="Q61229" s="8"/>
    </row>
    <row r="61230" spans="17:17" x14ac:dyDescent="0.25">
      <c r="Q61230" s="8"/>
    </row>
    <row r="61231" spans="17:17" x14ac:dyDescent="0.25">
      <c r="Q61231" s="8"/>
    </row>
    <row r="61232" spans="17:17" x14ac:dyDescent="0.25">
      <c r="Q61232" s="8"/>
    </row>
    <row r="61233" spans="17:17" x14ac:dyDescent="0.25">
      <c r="Q61233" s="8"/>
    </row>
    <row r="61234" spans="17:17" x14ac:dyDescent="0.25">
      <c r="Q61234" s="8"/>
    </row>
    <row r="61235" spans="17:17" x14ac:dyDescent="0.25">
      <c r="Q61235" s="8"/>
    </row>
    <row r="61236" spans="17:17" x14ac:dyDescent="0.25">
      <c r="Q61236" s="8"/>
    </row>
    <row r="61237" spans="17:17" x14ac:dyDescent="0.25">
      <c r="Q61237" s="8"/>
    </row>
    <row r="61238" spans="17:17" x14ac:dyDescent="0.25">
      <c r="Q61238" s="8"/>
    </row>
    <row r="61239" spans="17:17" x14ac:dyDescent="0.25">
      <c r="Q61239" s="8"/>
    </row>
    <row r="61240" spans="17:17" x14ac:dyDescent="0.25">
      <c r="Q61240" s="8"/>
    </row>
    <row r="61241" spans="17:17" x14ac:dyDescent="0.25">
      <c r="Q61241" s="8"/>
    </row>
    <row r="61242" spans="17:17" x14ac:dyDescent="0.25">
      <c r="Q61242" s="8"/>
    </row>
    <row r="61243" spans="17:17" x14ac:dyDescent="0.25">
      <c r="Q61243" s="8"/>
    </row>
    <row r="61244" spans="17:17" x14ac:dyDescent="0.25">
      <c r="Q61244" s="8"/>
    </row>
    <row r="61245" spans="17:17" x14ac:dyDescent="0.25">
      <c r="Q61245" s="8"/>
    </row>
    <row r="61246" spans="17:17" x14ac:dyDescent="0.25">
      <c r="Q61246" s="8"/>
    </row>
    <row r="61247" spans="17:17" x14ac:dyDescent="0.25">
      <c r="Q61247" s="8"/>
    </row>
    <row r="61248" spans="17:17" x14ac:dyDescent="0.25">
      <c r="Q61248" s="8"/>
    </row>
    <row r="61249" spans="17:17" x14ac:dyDescent="0.25">
      <c r="Q61249" s="8"/>
    </row>
    <row r="61250" spans="17:17" x14ac:dyDescent="0.25">
      <c r="Q61250" s="8"/>
    </row>
    <row r="61251" spans="17:17" x14ac:dyDescent="0.25">
      <c r="Q61251" s="8"/>
    </row>
    <row r="61252" spans="17:17" x14ac:dyDescent="0.25">
      <c r="Q61252" s="8"/>
    </row>
    <row r="61253" spans="17:17" x14ac:dyDescent="0.25">
      <c r="Q61253" s="8"/>
    </row>
    <row r="61254" spans="17:17" x14ac:dyDescent="0.25">
      <c r="Q61254" s="8"/>
    </row>
    <row r="61255" spans="17:17" x14ac:dyDescent="0.25">
      <c r="Q61255" s="8"/>
    </row>
    <row r="61256" spans="17:17" x14ac:dyDescent="0.25">
      <c r="Q61256" s="8"/>
    </row>
    <row r="61257" spans="17:17" x14ac:dyDescent="0.25">
      <c r="Q61257" s="8"/>
    </row>
    <row r="61258" spans="17:17" x14ac:dyDescent="0.25">
      <c r="Q61258" s="8"/>
    </row>
    <row r="61259" spans="17:17" x14ac:dyDescent="0.25">
      <c r="Q61259" s="8"/>
    </row>
    <row r="61260" spans="17:17" x14ac:dyDescent="0.25">
      <c r="Q61260" s="8"/>
    </row>
    <row r="61261" spans="17:17" x14ac:dyDescent="0.25">
      <c r="Q61261" s="8"/>
    </row>
    <row r="61262" spans="17:17" x14ac:dyDescent="0.25">
      <c r="Q61262" s="8"/>
    </row>
    <row r="61263" spans="17:17" x14ac:dyDescent="0.25">
      <c r="Q61263" s="8"/>
    </row>
    <row r="61264" spans="17:17" x14ac:dyDescent="0.25">
      <c r="Q61264" s="8"/>
    </row>
    <row r="61265" spans="17:17" x14ac:dyDescent="0.25">
      <c r="Q61265" s="8"/>
    </row>
    <row r="61266" spans="17:17" x14ac:dyDescent="0.25">
      <c r="Q61266" s="8"/>
    </row>
    <row r="61267" spans="17:17" x14ac:dyDescent="0.25">
      <c r="Q61267" s="8"/>
    </row>
    <row r="61268" spans="17:17" x14ac:dyDescent="0.25">
      <c r="Q61268" s="8"/>
    </row>
    <row r="61269" spans="17:17" x14ac:dyDescent="0.25">
      <c r="Q61269" s="8"/>
    </row>
    <row r="61270" spans="17:17" x14ac:dyDescent="0.25">
      <c r="Q61270" s="8"/>
    </row>
    <row r="61271" spans="17:17" x14ac:dyDescent="0.25">
      <c r="Q61271" s="8"/>
    </row>
    <row r="61272" spans="17:17" x14ac:dyDescent="0.25">
      <c r="Q61272" s="8"/>
    </row>
    <row r="61273" spans="17:17" x14ac:dyDescent="0.25">
      <c r="Q61273" s="8"/>
    </row>
    <row r="61274" spans="17:17" x14ac:dyDescent="0.25">
      <c r="Q61274" s="8"/>
    </row>
    <row r="61275" spans="17:17" x14ac:dyDescent="0.25">
      <c r="Q61275" s="8"/>
    </row>
    <row r="61276" spans="17:17" x14ac:dyDescent="0.25">
      <c r="Q61276" s="8"/>
    </row>
    <row r="61277" spans="17:17" x14ac:dyDescent="0.25">
      <c r="Q61277" s="8"/>
    </row>
    <row r="61278" spans="17:17" x14ac:dyDescent="0.25">
      <c r="Q61278" s="8"/>
    </row>
    <row r="61279" spans="17:17" x14ac:dyDescent="0.25">
      <c r="Q61279" s="8"/>
    </row>
    <row r="61280" spans="17:17" x14ac:dyDescent="0.25">
      <c r="Q61280" s="8"/>
    </row>
    <row r="61281" spans="17:17" x14ac:dyDescent="0.25">
      <c r="Q61281" s="8"/>
    </row>
    <row r="61282" spans="17:17" x14ac:dyDescent="0.25">
      <c r="Q61282" s="8"/>
    </row>
    <row r="61283" spans="17:17" x14ac:dyDescent="0.25">
      <c r="Q61283" s="8"/>
    </row>
    <row r="61284" spans="17:17" x14ac:dyDescent="0.25">
      <c r="Q61284" s="8"/>
    </row>
    <row r="61285" spans="17:17" x14ac:dyDescent="0.25">
      <c r="Q61285" s="8"/>
    </row>
    <row r="61286" spans="17:17" x14ac:dyDescent="0.25">
      <c r="Q61286" s="8"/>
    </row>
    <row r="61287" spans="17:17" x14ac:dyDescent="0.25">
      <c r="Q61287" s="8"/>
    </row>
    <row r="61288" spans="17:17" x14ac:dyDescent="0.25">
      <c r="Q61288" s="8"/>
    </row>
    <row r="61289" spans="17:17" x14ac:dyDescent="0.25">
      <c r="Q61289" s="8"/>
    </row>
    <row r="61290" spans="17:17" x14ac:dyDescent="0.25">
      <c r="Q61290" s="8"/>
    </row>
    <row r="61291" spans="17:17" x14ac:dyDescent="0.25">
      <c r="Q61291" s="8"/>
    </row>
    <row r="61292" spans="17:17" x14ac:dyDescent="0.25">
      <c r="Q61292" s="8"/>
    </row>
    <row r="61293" spans="17:17" x14ac:dyDescent="0.25">
      <c r="Q61293" s="8"/>
    </row>
    <row r="61294" spans="17:17" x14ac:dyDescent="0.25">
      <c r="Q61294" s="8"/>
    </row>
    <row r="61295" spans="17:17" x14ac:dyDescent="0.25">
      <c r="Q61295" s="8"/>
    </row>
    <row r="61296" spans="17:17" x14ac:dyDescent="0.25">
      <c r="Q61296" s="8"/>
    </row>
    <row r="61297" spans="17:17" x14ac:dyDescent="0.25">
      <c r="Q61297" s="8"/>
    </row>
    <row r="61298" spans="17:17" x14ac:dyDescent="0.25">
      <c r="Q61298" s="8"/>
    </row>
    <row r="61299" spans="17:17" x14ac:dyDescent="0.25">
      <c r="Q61299" s="8"/>
    </row>
    <row r="61300" spans="17:17" x14ac:dyDescent="0.25">
      <c r="Q61300" s="8"/>
    </row>
    <row r="61301" spans="17:17" x14ac:dyDescent="0.25">
      <c r="Q61301" s="8"/>
    </row>
    <row r="61302" spans="17:17" x14ac:dyDescent="0.25">
      <c r="Q61302" s="8"/>
    </row>
    <row r="61303" spans="17:17" x14ac:dyDescent="0.25">
      <c r="Q61303" s="8"/>
    </row>
    <row r="61304" spans="17:17" x14ac:dyDescent="0.25">
      <c r="Q61304" s="8"/>
    </row>
    <row r="61305" spans="17:17" x14ac:dyDescent="0.25">
      <c r="Q61305" s="8"/>
    </row>
    <row r="61306" spans="17:17" x14ac:dyDescent="0.25">
      <c r="Q61306" s="8"/>
    </row>
    <row r="61307" spans="17:17" x14ac:dyDescent="0.25">
      <c r="Q61307" s="8"/>
    </row>
    <row r="61308" spans="17:17" x14ac:dyDescent="0.25">
      <c r="Q61308" s="8"/>
    </row>
    <row r="61309" spans="17:17" x14ac:dyDescent="0.25">
      <c r="Q61309" s="8"/>
    </row>
    <row r="61310" spans="17:17" x14ac:dyDescent="0.25">
      <c r="Q61310" s="8"/>
    </row>
    <row r="61311" spans="17:17" x14ac:dyDescent="0.25">
      <c r="Q61311" s="8"/>
    </row>
    <row r="61312" spans="17:17" x14ac:dyDescent="0.25">
      <c r="Q61312" s="8"/>
    </row>
    <row r="61313" spans="17:17" x14ac:dyDescent="0.25">
      <c r="Q61313" s="8"/>
    </row>
    <row r="61314" spans="17:17" x14ac:dyDescent="0.25">
      <c r="Q61314" s="8"/>
    </row>
    <row r="61315" spans="17:17" x14ac:dyDescent="0.25">
      <c r="Q61315" s="8"/>
    </row>
    <row r="61316" spans="17:17" x14ac:dyDescent="0.25">
      <c r="Q61316" s="8"/>
    </row>
    <row r="61317" spans="17:17" x14ac:dyDescent="0.25">
      <c r="Q61317" s="8"/>
    </row>
    <row r="61318" spans="17:17" x14ac:dyDescent="0.25">
      <c r="Q61318" s="8"/>
    </row>
    <row r="61319" spans="17:17" x14ac:dyDescent="0.25">
      <c r="Q61319" s="8"/>
    </row>
    <row r="61320" spans="17:17" x14ac:dyDescent="0.25">
      <c r="Q61320" s="8"/>
    </row>
    <row r="61321" spans="17:17" x14ac:dyDescent="0.25">
      <c r="Q61321" s="8"/>
    </row>
    <row r="61322" spans="17:17" x14ac:dyDescent="0.25">
      <c r="Q61322" s="8"/>
    </row>
    <row r="61323" spans="17:17" x14ac:dyDescent="0.25">
      <c r="Q61323" s="8"/>
    </row>
    <row r="61324" spans="17:17" x14ac:dyDescent="0.25">
      <c r="Q61324" s="8"/>
    </row>
    <row r="61325" spans="17:17" x14ac:dyDescent="0.25">
      <c r="Q61325" s="8"/>
    </row>
    <row r="61326" spans="17:17" x14ac:dyDescent="0.25">
      <c r="Q61326" s="8"/>
    </row>
    <row r="61327" spans="17:17" x14ac:dyDescent="0.25">
      <c r="Q61327" s="8"/>
    </row>
    <row r="61328" spans="17:17" x14ac:dyDescent="0.25">
      <c r="Q61328" s="8"/>
    </row>
    <row r="61329" spans="17:17" x14ac:dyDescent="0.25">
      <c r="Q61329" s="8"/>
    </row>
    <row r="61330" spans="17:17" x14ac:dyDescent="0.25">
      <c r="Q61330" s="8"/>
    </row>
    <row r="61331" spans="17:17" x14ac:dyDescent="0.25">
      <c r="Q61331" s="8"/>
    </row>
    <row r="61332" spans="17:17" x14ac:dyDescent="0.25">
      <c r="Q61332" s="8"/>
    </row>
    <row r="61333" spans="17:17" x14ac:dyDescent="0.25">
      <c r="Q61333" s="8"/>
    </row>
    <row r="61334" spans="17:17" x14ac:dyDescent="0.25">
      <c r="Q61334" s="8"/>
    </row>
    <row r="61335" spans="17:17" x14ac:dyDescent="0.25">
      <c r="Q61335" s="8"/>
    </row>
    <row r="61336" spans="17:17" x14ac:dyDescent="0.25">
      <c r="Q61336" s="8"/>
    </row>
    <row r="61337" spans="17:17" x14ac:dyDescent="0.25">
      <c r="Q61337" s="8"/>
    </row>
    <row r="61338" spans="17:17" x14ac:dyDescent="0.25">
      <c r="Q61338" s="8"/>
    </row>
    <row r="61339" spans="17:17" x14ac:dyDescent="0.25">
      <c r="Q61339" s="8"/>
    </row>
    <row r="61340" spans="17:17" x14ac:dyDescent="0.25">
      <c r="Q61340" s="8"/>
    </row>
    <row r="61341" spans="17:17" x14ac:dyDescent="0.25">
      <c r="Q61341" s="8"/>
    </row>
    <row r="61342" spans="17:17" x14ac:dyDescent="0.25">
      <c r="Q61342" s="8"/>
    </row>
    <row r="61343" spans="17:17" x14ac:dyDescent="0.25">
      <c r="Q61343" s="8"/>
    </row>
    <row r="61344" spans="17:17" x14ac:dyDescent="0.25">
      <c r="Q61344" s="8"/>
    </row>
    <row r="61345" spans="17:17" x14ac:dyDescent="0.25">
      <c r="Q61345" s="8"/>
    </row>
    <row r="61346" spans="17:17" x14ac:dyDescent="0.25">
      <c r="Q61346" s="8"/>
    </row>
    <row r="61347" spans="17:17" x14ac:dyDescent="0.25">
      <c r="Q61347" s="8"/>
    </row>
    <row r="61348" spans="17:17" x14ac:dyDescent="0.25">
      <c r="Q61348" s="8"/>
    </row>
    <row r="61349" spans="17:17" x14ac:dyDescent="0.25">
      <c r="Q61349" s="8"/>
    </row>
    <row r="61350" spans="17:17" x14ac:dyDescent="0.25">
      <c r="Q61350" s="8"/>
    </row>
    <row r="61351" spans="17:17" x14ac:dyDescent="0.25">
      <c r="Q61351" s="8"/>
    </row>
    <row r="61352" spans="17:17" x14ac:dyDescent="0.25">
      <c r="Q61352" s="8"/>
    </row>
    <row r="61353" spans="17:17" x14ac:dyDescent="0.25">
      <c r="Q61353" s="8"/>
    </row>
    <row r="61354" spans="17:17" x14ac:dyDescent="0.25">
      <c r="Q61354" s="8"/>
    </row>
    <row r="61355" spans="17:17" x14ac:dyDescent="0.25">
      <c r="Q61355" s="8"/>
    </row>
    <row r="61356" spans="17:17" x14ac:dyDescent="0.25">
      <c r="Q61356" s="8"/>
    </row>
    <row r="61357" spans="17:17" x14ac:dyDescent="0.25">
      <c r="Q61357" s="8"/>
    </row>
    <row r="61358" spans="17:17" x14ac:dyDescent="0.25">
      <c r="Q61358" s="8"/>
    </row>
    <row r="61359" spans="17:17" x14ac:dyDescent="0.25">
      <c r="Q61359" s="8"/>
    </row>
    <row r="61360" spans="17:17" x14ac:dyDescent="0.25">
      <c r="Q61360" s="8"/>
    </row>
    <row r="61361" spans="17:17" x14ac:dyDescent="0.25">
      <c r="Q61361" s="8"/>
    </row>
    <row r="61362" spans="17:17" x14ac:dyDescent="0.25">
      <c r="Q61362" s="8"/>
    </row>
    <row r="61363" spans="17:17" x14ac:dyDescent="0.25">
      <c r="Q61363" s="8"/>
    </row>
    <row r="61364" spans="17:17" x14ac:dyDescent="0.25">
      <c r="Q61364" s="8"/>
    </row>
    <row r="61365" spans="17:17" x14ac:dyDescent="0.25">
      <c r="Q61365" s="8"/>
    </row>
    <row r="61366" spans="17:17" x14ac:dyDescent="0.25">
      <c r="Q61366" s="8"/>
    </row>
    <row r="61367" spans="17:17" x14ac:dyDescent="0.25">
      <c r="Q61367" s="8"/>
    </row>
    <row r="61368" spans="17:17" x14ac:dyDescent="0.25">
      <c r="Q61368" s="8"/>
    </row>
    <row r="61369" spans="17:17" x14ac:dyDescent="0.25">
      <c r="Q61369" s="8"/>
    </row>
    <row r="61370" spans="17:17" x14ac:dyDescent="0.25">
      <c r="Q61370" s="8"/>
    </row>
    <row r="61371" spans="17:17" x14ac:dyDescent="0.25">
      <c r="Q61371" s="8"/>
    </row>
    <row r="61372" spans="17:17" x14ac:dyDescent="0.25">
      <c r="Q61372" s="8"/>
    </row>
    <row r="61373" spans="17:17" x14ac:dyDescent="0.25">
      <c r="Q61373" s="8"/>
    </row>
    <row r="61374" spans="17:17" x14ac:dyDescent="0.25">
      <c r="Q61374" s="8"/>
    </row>
    <row r="61375" spans="17:17" x14ac:dyDescent="0.25">
      <c r="Q61375" s="8"/>
    </row>
    <row r="61376" spans="17:17" x14ac:dyDescent="0.25">
      <c r="Q61376" s="8"/>
    </row>
    <row r="61377" spans="17:17" x14ac:dyDescent="0.25">
      <c r="Q61377" s="8"/>
    </row>
    <row r="61378" spans="17:17" x14ac:dyDescent="0.25">
      <c r="Q61378" s="8"/>
    </row>
    <row r="61379" spans="17:17" x14ac:dyDescent="0.25">
      <c r="Q61379" s="8"/>
    </row>
    <row r="61380" spans="17:17" x14ac:dyDescent="0.25">
      <c r="Q61380" s="8"/>
    </row>
    <row r="61381" spans="17:17" x14ac:dyDescent="0.25">
      <c r="Q61381" s="8"/>
    </row>
    <row r="61382" spans="17:17" x14ac:dyDescent="0.25">
      <c r="Q61382" s="8"/>
    </row>
    <row r="61383" spans="17:17" x14ac:dyDescent="0.25">
      <c r="Q61383" s="8"/>
    </row>
    <row r="61384" spans="17:17" x14ac:dyDescent="0.25">
      <c r="Q61384" s="8"/>
    </row>
    <row r="61385" spans="17:17" x14ac:dyDescent="0.25">
      <c r="Q61385" s="8"/>
    </row>
    <row r="61386" spans="17:17" x14ac:dyDescent="0.25">
      <c r="Q61386" s="8"/>
    </row>
    <row r="61387" spans="17:17" x14ac:dyDescent="0.25">
      <c r="Q61387" s="8"/>
    </row>
    <row r="61388" spans="17:17" x14ac:dyDescent="0.25">
      <c r="Q61388" s="8"/>
    </row>
    <row r="61389" spans="17:17" x14ac:dyDescent="0.25">
      <c r="Q61389" s="8"/>
    </row>
    <row r="61390" spans="17:17" x14ac:dyDescent="0.25">
      <c r="Q61390" s="8"/>
    </row>
    <row r="61391" spans="17:17" x14ac:dyDescent="0.25">
      <c r="Q61391" s="8"/>
    </row>
    <row r="61392" spans="17:17" x14ac:dyDescent="0.25">
      <c r="Q61392" s="8"/>
    </row>
    <row r="61393" spans="17:17" x14ac:dyDescent="0.25">
      <c r="Q61393" s="8"/>
    </row>
    <row r="61394" spans="17:17" x14ac:dyDescent="0.25">
      <c r="Q61394" s="8"/>
    </row>
    <row r="61395" spans="17:17" x14ac:dyDescent="0.25">
      <c r="Q61395" s="8"/>
    </row>
    <row r="61396" spans="17:17" x14ac:dyDescent="0.25">
      <c r="Q61396" s="8"/>
    </row>
    <row r="61397" spans="17:17" x14ac:dyDescent="0.25">
      <c r="Q61397" s="8"/>
    </row>
    <row r="61398" spans="17:17" x14ac:dyDescent="0.25">
      <c r="Q61398" s="8"/>
    </row>
    <row r="61399" spans="17:17" x14ac:dyDescent="0.25">
      <c r="Q61399" s="8"/>
    </row>
    <row r="61400" spans="17:17" x14ac:dyDescent="0.25">
      <c r="Q61400" s="8"/>
    </row>
    <row r="61401" spans="17:17" x14ac:dyDescent="0.25">
      <c r="Q61401" s="8"/>
    </row>
    <row r="61402" spans="17:17" x14ac:dyDescent="0.25">
      <c r="Q61402" s="8"/>
    </row>
    <row r="61403" spans="17:17" x14ac:dyDescent="0.25">
      <c r="Q61403" s="8"/>
    </row>
    <row r="61404" spans="17:17" x14ac:dyDescent="0.25">
      <c r="Q61404" s="8"/>
    </row>
    <row r="61405" spans="17:17" x14ac:dyDescent="0.25">
      <c r="Q61405" s="8"/>
    </row>
    <row r="61406" spans="17:17" x14ac:dyDescent="0.25">
      <c r="Q61406" s="8"/>
    </row>
    <row r="61407" spans="17:17" x14ac:dyDescent="0.25">
      <c r="Q61407" s="8"/>
    </row>
    <row r="61408" spans="17:17" x14ac:dyDescent="0.25">
      <c r="Q61408" s="8"/>
    </row>
    <row r="61409" spans="17:17" x14ac:dyDescent="0.25">
      <c r="Q61409" s="8"/>
    </row>
    <row r="61410" spans="17:17" x14ac:dyDescent="0.25">
      <c r="Q61410" s="8"/>
    </row>
    <row r="61411" spans="17:17" x14ac:dyDescent="0.25">
      <c r="Q61411" s="8"/>
    </row>
    <row r="61412" spans="17:17" x14ac:dyDescent="0.25">
      <c r="Q61412" s="8"/>
    </row>
    <row r="61413" spans="17:17" x14ac:dyDescent="0.25">
      <c r="Q61413" s="8"/>
    </row>
    <row r="61414" spans="17:17" x14ac:dyDescent="0.25">
      <c r="Q61414" s="8"/>
    </row>
    <row r="61415" spans="17:17" x14ac:dyDescent="0.25">
      <c r="Q61415" s="8"/>
    </row>
    <row r="61416" spans="17:17" x14ac:dyDescent="0.25">
      <c r="Q61416" s="8"/>
    </row>
    <row r="61417" spans="17:17" x14ac:dyDescent="0.25">
      <c r="Q61417" s="8"/>
    </row>
    <row r="61418" spans="17:17" x14ac:dyDescent="0.25">
      <c r="Q61418" s="8"/>
    </row>
    <row r="61419" spans="17:17" x14ac:dyDescent="0.25">
      <c r="Q61419" s="8"/>
    </row>
    <row r="61420" spans="17:17" x14ac:dyDescent="0.25">
      <c r="Q61420" s="8"/>
    </row>
    <row r="61421" spans="17:17" x14ac:dyDescent="0.25">
      <c r="Q61421" s="8"/>
    </row>
    <row r="61422" spans="17:17" x14ac:dyDescent="0.25">
      <c r="Q61422" s="8"/>
    </row>
    <row r="61423" spans="17:17" x14ac:dyDescent="0.25">
      <c r="Q61423" s="8"/>
    </row>
    <row r="61424" spans="17:17" x14ac:dyDescent="0.25">
      <c r="Q61424" s="8"/>
    </row>
    <row r="61425" spans="17:17" x14ac:dyDescent="0.25">
      <c r="Q61425" s="8"/>
    </row>
    <row r="61426" spans="17:17" x14ac:dyDescent="0.25">
      <c r="Q61426" s="8"/>
    </row>
    <row r="61427" spans="17:17" x14ac:dyDescent="0.25">
      <c r="Q61427" s="8"/>
    </row>
    <row r="61428" spans="17:17" x14ac:dyDescent="0.25">
      <c r="Q61428" s="8"/>
    </row>
    <row r="61429" spans="17:17" x14ac:dyDescent="0.25">
      <c r="Q61429" s="8"/>
    </row>
    <row r="61430" spans="17:17" x14ac:dyDescent="0.25">
      <c r="Q61430" s="8"/>
    </row>
    <row r="61431" spans="17:17" x14ac:dyDescent="0.25">
      <c r="Q61431" s="8"/>
    </row>
    <row r="61432" spans="17:17" x14ac:dyDescent="0.25">
      <c r="Q61432" s="8"/>
    </row>
    <row r="61433" spans="17:17" x14ac:dyDescent="0.25">
      <c r="Q61433" s="8"/>
    </row>
    <row r="61434" spans="17:17" x14ac:dyDescent="0.25">
      <c r="Q61434" s="8"/>
    </row>
    <row r="61435" spans="17:17" x14ac:dyDescent="0.25">
      <c r="Q61435" s="8"/>
    </row>
    <row r="61436" spans="17:17" x14ac:dyDescent="0.25">
      <c r="Q61436" s="8"/>
    </row>
    <row r="61437" spans="17:17" x14ac:dyDescent="0.25">
      <c r="Q61437" s="8"/>
    </row>
    <row r="61438" spans="17:17" x14ac:dyDescent="0.25">
      <c r="Q61438" s="8"/>
    </row>
    <row r="61439" spans="17:17" x14ac:dyDescent="0.25">
      <c r="Q61439" s="8"/>
    </row>
    <row r="61440" spans="17:17" x14ac:dyDescent="0.25">
      <c r="Q61440" s="8"/>
    </row>
    <row r="61441" spans="17:17" x14ac:dyDescent="0.25">
      <c r="Q61441" s="8"/>
    </row>
    <row r="61442" spans="17:17" x14ac:dyDescent="0.25">
      <c r="Q61442" s="8"/>
    </row>
    <row r="61443" spans="17:17" x14ac:dyDescent="0.25">
      <c r="Q61443" s="8"/>
    </row>
    <row r="61444" spans="17:17" x14ac:dyDescent="0.25">
      <c r="Q61444" s="8"/>
    </row>
    <row r="61445" spans="17:17" x14ac:dyDescent="0.25">
      <c r="Q61445" s="8"/>
    </row>
    <row r="61446" spans="17:17" x14ac:dyDescent="0.25">
      <c r="Q61446" s="8"/>
    </row>
    <row r="61447" spans="17:17" x14ac:dyDescent="0.25">
      <c r="Q61447" s="8"/>
    </row>
    <row r="61448" spans="17:17" x14ac:dyDescent="0.25">
      <c r="Q61448" s="8"/>
    </row>
    <row r="61449" spans="17:17" x14ac:dyDescent="0.25">
      <c r="Q61449" s="8"/>
    </row>
    <row r="61450" spans="17:17" x14ac:dyDescent="0.25">
      <c r="Q61450" s="8"/>
    </row>
    <row r="61451" spans="17:17" x14ac:dyDescent="0.25">
      <c r="Q61451" s="8"/>
    </row>
    <row r="61452" spans="17:17" x14ac:dyDescent="0.25">
      <c r="Q61452" s="8"/>
    </row>
    <row r="61453" spans="17:17" x14ac:dyDescent="0.25">
      <c r="Q61453" s="8"/>
    </row>
    <row r="61454" spans="17:17" x14ac:dyDescent="0.25">
      <c r="Q61454" s="8"/>
    </row>
    <row r="61455" spans="17:17" x14ac:dyDescent="0.25">
      <c r="Q61455" s="8"/>
    </row>
    <row r="61456" spans="17:17" x14ac:dyDescent="0.25">
      <c r="Q61456" s="8"/>
    </row>
    <row r="61457" spans="17:17" x14ac:dyDescent="0.25">
      <c r="Q61457" s="8"/>
    </row>
    <row r="61458" spans="17:17" x14ac:dyDescent="0.25">
      <c r="Q61458" s="8"/>
    </row>
    <row r="61459" spans="17:17" x14ac:dyDescent="0.25">
      <c r="Q61459" s="8"/>
    </row>
    <row r="61460" spans="17:17" x14ac:dyDescent="0.25">
      <c r="Q61460" s="8"/>
    </row>
    <row r="61461" spans="17:17" x14ac:dyDescent="0.25">
      <c r="Q61461" s="8"/>
    </row>
    <row r="61462" spans="17:17" x14ac:dyDescent="0.25">
      <c r="Q61462" s="8"/>
    </row>
    <row r="61463" spans="17:17" x14ac:dyDescent="0.25">
      <c r="Q61463" s="8"/>
    </row>
    <row r="61464" spans="17:17" x14ac:dyDescent="0.25">
      <c r="Q61464" s="8"/>
    </row>
    <row r="61465" spans="17:17" x14ac:dyDescent="0.25">
      <c r="Q61465" s="8"/>
    </row>
    <row r="61466" spans="17:17" x14ac:dyDescent="0.25">
      <c r="Q61466" s="8"/>
    </row>
    <row r="61467" spans="17:17" x14ac:dyDescent="0.25">
      <c r="Q61467" s="8"/>
    </row>
    <row r="61468" spans="17:17" x14ac:dyDescent="0.25">
      <c r="Q61468" s="8"/>
    </row>
    <row r="61469" spans="17:17" x14ac:dyDescent="0.25">
      <c r="Q61469" s="8"/>
    </row>
    <row r="61470" spans="17:17" x14ac:dyDescent="0.25">
      <c r="Q61470" s="8"/>
    </row>
    <row r="61471" spans="17:17" x14ac:dyDescent="0.25">
      <c r="Q61471" s="8"/>
    </row>
    <row r="61472" spans="17:17" x14ac:dyDescent="0.25">
      <c r="Q61472" s="8"/>
    </row>
    <row r="61473" spans="17:17" x14ac:dyDescent="0.25">
      <c r="Q61473" s="8"/>
    </row>
    <row r="61474" spans="17:17" x14ac:dyDescent="0.25">
      <c r="Q61474" s="8"/>
    </row>
    <row r="61475" spans="17:17" x14ac:dyDescent="0.25">
      <c r="Q61475" s="8"/>
    </row>
    <row r="61476" spans="17:17" x14ac:dyDescent="0.25">
      <c r="Q61476" s="8"/>
    </row>
    <row r="61477" spans="17:17" x14ac:dyDescent="0.25">
      <c r="Q61477" s="8"/>
    </row>
    <row r="61478" spans="17:17" x14ac:dyDescent="0.25">
      <c r="Q61478" s="8"/>
    </row>
    <row r="61479" spans="17:17" x14ac:dyDescent="0.25">
      <c r="Q61479" s="8"/>
    </row>
    <row r="61480" spans="17:17" x14ac:dyDescent="0.25">
      <c r="Q61480" s="8"/>
    </row>
    <row r="61481" spans="17:17" x14ac:dyDescent="0.25">
      <c r="Q61481" s="8"/>
    </row>
    <row r="61482" spans="17:17" x14ac:dyDescent="0.25">
      <c r="Q61482" s="8"/>
    </row>
    <row r="61483" spans="17:17" x14ac:dyDescent="0.25">
      <c r="Q61483" s="8"/>
    </row>
    <row r="61484" spans="17:17" x14ac:dyDescent="0.25">
      <c r="Q61484" s="8"/>
    </row>
    <row r="61485" spans="17:17" x14ac:dyDescent="0.25">
      <c r="Q61485" s="8"/>
    </row>
    <row r="61486" spans="17:17" x14ac:dyDescent="0.25">
      <c r="Q61486" s="8"/>
    </row>
    <row r="61487" spans="17:17" x14ac:dyDescent="0.25">
      <c r="Q61487" s="8"/>
    </row>
    <row r="61488" spans="17:17" x14ac:dyDescent="0.25">
      <c r="Q61488" s="8"/>
    </row>
    <row r="61489" spans="17:17" x14ac:dyDescent="0.25">
      <c r="Q61489" s="8"/>
    </row>
    <row r="61490" spans="17:17" x14ac:dyDescent="0.25">
      <c r="Q61490" s="8"/>
    </row>
    <row r="61491" spans="17:17" x14ac:dyDescent="0.25">
      <c r="Q61491" s="8"/>
    </row>
    <row r="61492" spans="17:17" x14ac:dyDescent="0.25">
      <c r="Q61492" s="8"/>
    </row>
    <row r="61493" spans="17:17" x14ac:dyDescent="0.25">
      <c r="Q61493" s="8"/>
    </row>
    <row r="61494" spans="17:17" x14ac:dyDescent="0.25">
      <c r="Q61494" s="8"/>
    </row>
    <row r="61495" spans="17:17" x14ac:dyDescent="0.25">
      <c r="Q61495" s="8"/>
    </row>
    <row r="61496" spans="17:17" x14ac:dyDescent="0.25">
      <c r="Q61496" s="8"/>
    </row>
    <row r="61497" spans="17:17" x14ac:dyDescent="0.25">
      <c r="Q61497" s="8"/>
    </row>
    <row r="61498" spans="17:17" x14ac:dyDescent="0.25">
      <c r="Q61498" s="8"/>
    </row>
    <row r="61499" spans="17:17" x14ac:dyDescent="0.25">
      <c r="Q61499" s="8"/>
    </row>
    <row r="61500" spans="17:17" x14ac:dyDescent="0.25">
      <c r="Q61500" s="8"/>
    </row>
    <row r="61501" spans="17:17" x14ac:dyDescent="0.25">
      <c r="Q61501" s="8"/>
    </row>
    <row r="61502" spans="17:17" x14ac:dyDescent="0.25">
      <c r="Q61502" s="8"/>
    </row>
    <row r="61503" spans="17:17" x14ac:dyDescent="0.25">
      <c r="Q61503" s="8"/>
    </row>
    <row r="61504" spans="17:17" x14ac:dyDescent="0.25">
      <c r="Q61504" s="8"/>
    </row>
    <row r="61505" spans="17:17" x14ac:dyDescent="0.25">
      <c r="Q61505" s="8"/>
    </row>
    <row r="61506" spans="17:17" x14ac:dyDescent="0.25">
      <c r="Q61506" s="8"/>
    </row>
    <row r="61507" spans="17:17" x14ac:dyDescent="0.25">
      <c r="Q61507" s="8"/>
    </row>
    <row r="61508" spans="17:17" x14ac:dyDescent="0.25">
      <c r="Q61508" s="8"/>
    </row>
    <row r="61509" spans="17:17" x14ac:dyDescent="0.25">
      <c r="Q61509" s="8"/>
    </row>
    <row r="61510" spans="17:17" x14ac:dyDescent="0.25">
      <c r="Q61510" s="8"/>
    </row>
    <row r="61511" spans="17:17" x14ac:dyDescent="0.25">
      <c r="Q61511" s="8"/>
    </row>
    <row r="61512" spans="17:17" x14ac:dyDescent="0.25">
      <c r="Q61512" s="8"/>
    </row>
    <row r="61513" spans="17:17" x14ac:dyDescent="0.25">
      <c r="Q61513" s="8"/>
    </row>
    <row r="61514" spans="17:17" x14ac:dyDescent="0.25">
      <c r="Q61514" s="8"/>
    </row>
    <row r="61515" spans="17:17" x14ac:dyDescent="0.25">
      <c r="Q61515" s="8"/>
    </row>
    <row r="61516" spans="17:17" x14ac:dyDescent="0.25">
      <c r="Q61516" s="8"/>
    </row>
    <row r="61517" spans="17:17" x14ac:dyDescent="0.25">
      <c r="Q61517" s="8"/>
    </row>
    <row r="61518" spans="17:17" x14ac:dyDescent="0.25">
      <c r="Q61518" s="8"/>
    </row>
    <row r="61519" spans="17:17" x14ac:dyDescent="0.25">
      <c r="Q61519" s="8"/>
    </row>
    <row r="61520" spans="17:17" x14ac:dyDescent="0.25">
      <c r="Q61520" s="8"/>
    </row>
    <row r="61521" spans="17:17" x14ac:dyDescent="0.25">
      <c r="Q61521" s="8"/>
    </row>
    <row r="61522" spans="17:17" x14ac:dyDescent="0.25">
      <c r="Q61522" s="8"/>
    </row>
    <row r="61523" spans="17:17" x14ac:dyDescent="0.25">
      <c r="Q61523" s="8"/>
    </row>
    <row r="61524" spans="17:17" x14ac:dyDescent="0.25">
      <c r="Q61524" s="8"/>
    </row>
    <row r="61525" spans="17:17" x14ac:dyDescent="0.25">
      <c r="Q61525" s="8"/>
    </row>
    <row r="61526" spans="17:17" x14ac:dyDescent="0.25">
      <c r="Q61526" s="8"/>
    </row>
    <row r="61527" spans="17:17" x14ac:dyDescent="0.25">
      <c r="Q61527" s="8"/>
    </row>
    <row r="61528" spans="17:17" x14ac:dyDescent="0.25">
      <c r="Q61528" s="8"/>
    </row>
    <row r="61529" spans="17:17" x14ac:dyDescent="0.25">
      <c r="Q61529" s="8"/>
    </row>
    <row r="61530" spans="17:17" x14ac:dyDescent="0.25">
      <c r="Q61530" s="8"/>
    </row>
    <row r="61531" spans="17:17" x14ac:dyDescent="0.25">
      <c r="Q61531" s="8"/>
    </row>
    <row r="61532" spans="17:17" x14ac:dyDescent="0.25">
      <c r="Q61532" s="8"/>
    </row>
    <row r="61533" spans="17:17" x14ac:dyDescent="0.25">
      <c r="Q61533" s="8"/>
    </row>
    <row r="61534" spans="17:17" x14ac:dyDescent="0.25">
      <c r="Q61534" s="8"/>
    </row>
    <row r="61535" spans="17:17" x14ac:dyDescent="0.25">
      <c r="Q61535" s="8"/>
    </row>
    <row r="61536" spans="17:17" x14ac:dyDescent="0.25">
      <c r="Q61536" s="8"/>
    </row>
    <row r="61537" spans="17:17" x14ac:dyDescent="0.25">
      <c r="Q61537" s="8"/>
    </row>
    <row r="61538" spans="17:17" x14ac:dyDescent="0.25">
      <c r="Q61538" s="8"/>
    </row>
    <row r="61539" spans="17:17" x14ac:dyDescent="0.25">
      <c r="Q61539" s="8"/>
    </row>
    <row r="61540" spans="17:17" x14ac:dyDescent="0.25">
      <c r="Q61540" s="8"/>
    </row>
    <row r="61541" spans="17:17" x14ac:dyDescent="0.25">
      <c r="Q61541" s="8"/>
    </row>
    <row r="61542" spans="17:17" x14ac:dyDescent="0.25">
      <c r="Q61542" s="8"/>
    </row>
    <row r="61543" spans="17:17" x14ac:dyDescent="0.25">
      <c r="Q61543" s="8"/>
    </row>
    <row r="61544" spans="17:17" x14ac:dyDescent="0.25">
      <c r="Q61544" s="8"/>
    </row>
    <row r="61545" spans="17:17" x14ac:dyDescent="0.25">
      <c r="Q61545" s="8"/>
    </row>
    <row r="61546" spans="17:17" x14ac:dyDescent="0.25">
      <c r="Q61546" s="8"/>
    </row>
    <row r="61547" spans="17:17" x14ac:dyDescent="0.25">
      <c r="Q61547" s="8"/>
    </row>
    <row r="61548" spans="17:17" x14ac:dyDescent="0.25">
      <c r="Q61548" s="8"/>
    </row>
    <row r="61549" spans="17:17" x14ac:dyDescent="0.25">
      <c r="Q61549" s="8"/>
    </row>
    <row r="61550" spans="17:17" x14ac:dyDescent="0.25">
      <c r="Q61550" s="8"/>
    </row>
    <row r="61551" spans="17:17" x14ac:dyDescent="0.25">
      <c r="Q61551" s="8"/>
    </row>
    <row r="61552" spans="17:17" x14ac:dyDescent="0.25">
      <c r="Q61552" s="8"/>
    </row>
    <row r="61553" spans="17:17" x14ac:dyDescent="0.25">
      <c r="Q61553" s="8"/>
    </row>
    <row r="61554" spans="17:17" x14ac:dyDescent="0.25">
      <c r="Q61554" s="8"/>
    </row>
    <row r="61555" spans="17:17" x14ac:dyDescent="0.25">
      <c r="Q61555" s="8"/>
    </row>
    <row r="61556" spans="17:17" x14ac:dyDescent="0.25">
      <c r="Q61556" s="8"/>
    </row>
    <row r="61557" spans="17:17" x14ac:dyDescent="0.25">
      <c r="Q61557" s="8"/>
    </row>
    <row r="61558" spans="17:17" x14ac:dyDescent="0.25">
      <c r="Q61558" s="8"/>
    </row>
    <row r="61559" spans="17:17" x14ac:dyDescent="0.25">
      <c r="Q61559" s="8"/>
    </row>
    <row r="61560" spans="17:17" x14ac:dyDescent="0.25">
      <c r="Q61560" s="8"/>
    </row>
    <row r="61561" spans="17:17" x14ac:dyDescent="0.25">
      <c r="Q61561" s="8"/>
    </row>
    <row r="61562" spans="17:17" x14ac:dyDescent="0.25">
      <c r="Q61562" s="8"/>
    </row>
    <row r="61563" spans="17:17" x14ac:dyDescent="0.25">
      <c r="Q61563" s="8"/>
    </row>
    <row r="61564" spans="17:17" x14ac:dyDescent="0.25">
      <c r="Q61564" s="8"/>
    </row>
    <row r="61565" spans="17:17" x14ac:dyDescent="0.25">
      <c r="Q61565" s="8"/>
    </row>
    <row r="61566" spans="17:17" x14ac:dyDescent="0.25">
      <c r="Q61566" s="8"/>
    </row>
    <row r="61567" spans="17:17" x14ac:dyDescent="0.25">
      <c r="Q61567" s="8"/>
    </row>
    <row r="61568" spans="17:17" x14ac:dyDescent="0.25">
      <c r="Q61568" s="8"/>
    </row>
    <row r="61569" spans="17:17" x14ac:dyDescent="0.25">
      <c r="Q61569" s="8"/>
    </row>
    <row r="61570" spans="17:17" x14ac:dyDescent="0.25">
      <c r="Q61570" s="8"/>
    </row>
    <row r="61571" spans="17:17" x14ac:dyDescent="0.25">
      <c r="Q61571" s="8"/>
    </row>
    <row r="61572" spans="17:17" x14ac:dyDescent="0.25">
      <c r="Q61572" s="8"/>
    </row>
    <row r="61573" spans="17:17" x14ac:dyDescent="0.25">
      <c r="Q61573" s="8"/>
    </row>
    <row r="61574" spans="17:17" x14ac:dyDescent="0.25">
      <c r="Q61574" s="8"/>
    </row>
    <row r="61575" spans="17:17" x14ac:dyDescent="0.25">
      <c r="Q61575" s="8"/>
    </row>
    <row r="61576" spans="17:17" x14ac:dyDescent="0.25">
      <c r="Q61576" s="8"/>
    </row>
    <row r="61577" spans="17:17" x14ac:dyDescent="0.25">
      <c r="Q61577" s="8"/>
    </row>
    <row r="61578" spans="17:17" x14ac:dyDescent="0.25">
      <c r="Q61578" s="8"/>
    </row>
    <row r="61579" spans="17:17" x14ac:dyDescent="0.25">
      <c r="Q61579" s="8"/>
    </row>
    <row r="61580" spans="17:17" x14ac:dyDescent="0.25">
      <c r="Q61580" s="8"/>
    </row>
    <row r="61581" spans="17:17" x14ac:dyDescent="0.25">
      <c r="Q61581" s="8"/>
    </row>
    <row r="61582" spans="17:17" x14ac:dyDescent="0.25">
      <c r="Q61582" s="8"/>
    </row>
    <row r="61583" spans="17:17" x14ac:dyDescent="0.25">
      <c r="Q61583" s="8"/>
    </row>
    <row r="61584" spans="17:17" x14ac:dyDescent="0.25">
      <c r="Q61584" s="8"/>
    </row>
    <row r="61585" spans="17:17" x14ac:dyDescent="0.25">
      <c r="Q61585" s="8"/>
    </row>
    <row r="61586" spans="17:17" x14ac:dyDescent="0.25">
      <c r="Q61586" s="8"/>
    </row>
    <row r="61587" spans="17:17" x14ac:dyDescent="0.25">
      <c r="Q61587" s="8"/>
    </row>
    <row r="61588" spans="17:17" x14ac:dyDescent="0.25">
      <c r="Q61588" s="8"/>
    </row>
    <row r="61589" spans="17:17" x14ac:dyDescent="0.25">
      <c r="Q61589" s="8"/>
    </row>
    <row r="61590" spans="17:17" x14ac:dyDescent="0.25">
      <c r="Q61590" s="8"/>
    </row>
    <row r="61591" spans="17:17" x14ac:dyDescent="0.25">
      <c r="Q61591" s="8"/>
    </row>
    <row r="61592" spans="17:17" x14ac:dyDescent="0.25">
      <c r="Q61592" s="8"/>
    </row>
    <row r="61593" spans="17:17" x14ac:dyDescent="0.25">
      <c r="Q61593" s="8"/>
    </row>
    <row r="61594" spans="17:17" x14ac:dyDescent="0.25">
      <c r="Q61594" s="8"/>
    </row>
    <row r="61595" spans="17:17" x14ac:dyDescent="0.25">
      <c r="Q61595" s="8"/>
    </row>
    <row r="61596" spans="17:17" x14ac:dyDescent="0.25">
      <c r="Q61596" s="8"/>
    </row>
    <row r="61597" spans="17:17" x14ac:dyDescent="0.25">
      <c r="Q61597" s="8"/>
    </row>
    <row r="61598" spans="17:17" x14ac:dyDescent="0.25">
      <c r="Q61598" s="8"/>
    </row>
    <row r="61599" spans="17:17" x14ac:dyDescent="0.25">
      <c r="Q61599" s="8"/>
    </row>
    <row r="61600" spans="17:17" x14ac:dyDescent="0.25">
      <c r="Q61600" s="8"/>
    </row>
    <row r="61601" spans="17:17" x14ac:dyDescent="0.25">
      <c r="Q61601" s="8"/>
    </row>
    <row r="61602" spans="17:17" x14ac:dyDescent="0.25">
      <c r="Q61602" s="8"/>
    </row>
    <row r="61603" spans="17:17" x14ac:dyDescent="0.25">
      <c r="Q61603" s="8"/>
    </row>
    <row r="61604" spans="17:17" x14ac:dyDescent="0.25">
      <c r="Q61604" s="8"/>
    </row>
    <row r="61605" spans="17:17" x14ac:dyDescent="0.25">
      <c r="Q61605" s="8"/>
    </row>
    <row r="61606" spans="17:17" x14ac:dyDescent="0.25">
      <c r="Q61606" s="8"/>
    </row>
    <row r="61607" spans="17:17" x14ac:dyDescent="0.25">
      <c r="Q61607" s="8"/>
    </row>
    <row r="61608" spans="17:17" x14ac:dyDescent="0.25">
      <c r="Q61608" s="8"/>
    </row>
    <row r="61609" spans="17:17" x14ac:dyDescent="0.25">
      <c r="Q61609" s="8"/>
    </row>
    <row r="61610" spans="17:17" x14ac:dyDescent="0.25">
      <c r="Q61610" s="8"/>
    </row>
    <row r="61611" spans="17:17" x14ac:dyDescent="0.25">
      <c r="Q61611" s="8"/>
    </row>
    <row r="61612" spans="17:17" x14ac:dyDescent="0.25">
      <c r="Q61612" s="8"/>
    </row>
    <row r="61613" spans="17:17" x14ac:dyDescent="0.25">
      <c r="Q61613" s="8"/>
    </row>
    <row r="61614" spans="17:17" x14ac:dyDescent="0.25">
      <c r="Q61614" s="8"/>
    </row>
    <row r="61615" spans="17:17" x14ac:dyDescent="0.25">
      <c r="Q61615" s="8"/>
    </row>
    <row r="61616" spans="17:17" x14ac:dyDescent="0.25">
      <c r="Q61616" s="8"/>
    </row>
    <row r="61617" spans="17:17" x14ac:dyDescent="0.25">
      <c r="Q61617" s="8"/>
    </row>
    <row r="61618" spans="17:17" x14ac:dyDescent="0.25">
      <c r="Q61618" s="8"/>
    </row>
    <row r="61619" spans="17:17" x14ac:dyDescent="0.25">
      <c r="Q61619" s="8"/>
    </row>
    <row r="61620" spans="17:17" x14ac:dyDescent="0.25">
      <c r="Q61620" s="8"/>
    </row>
    <row r="61621" spans="17:17" x14ac:dyDescent="0.25">
      <c r="Q61621" s="8"/>
    </row>
    <row r="61622" spans="17:17" x14ac:dyDescent="0.25">
      <c r="Q61622" s="8"/>
    </row>
    <row r="61623" spans="17:17" x14ac:dyDescent="0.25">
      <c r="Q61623" s="8"/>
    </row>
    <row r="61624" spans="17:17" x14ac:dyDescent="0.25">
      <c r="Q61624" s="8"/>
    </row>
    <row r="61625" spans="17:17" x14ac:dyDescent="0.25">
      <c r="Q61625" s="8"/>
    </row>
    <row r="61626" spans="17:17" x14ac:dyDescent="0.25">
      <c r="Q61626" s="8"/>
    </row>
    <row r="61627" spans="17:17" x14ac:dyDescent="0.25">
      <c r="Q61627" s="8"/>
    </row>
    <row r="61628" spans="17:17" x14ac:dyDescent="0.25">
      <c r="Q61628" s="8"/>
    </row>
    <row r="61629" spans="17:17" x14ac:dyDescent="0.25">
      <c r="Q61629" s="8"/>
    </row>
    <row r="61630" spans="17:17" x14ac:dyDescent="0.25">
      <c r="Q61630" s="8"/>
    </row>
    <row r="61631" spans="17:17" x14ac:dyDescent="0.25">
      <c r="Q61631" s="8"/>
    </row>
    <row r="61632" spans="17:17" x14ac:dyDescent="0.25">
      <c r="Q61632" s="8"/>
    </row>
    <row r="61633" spans="17:17" x14ac:dyDescent="0.25">
      <c r="Q61633" s="8"/>
    </row>
    <row r="61634" spans="17:17" x14ac:dyDescent="0.25">
      <c r="Q61634" s="8"/>
    </row>
    <row r="61635" spans="17:17" x14ac:dyDescent="0.25">
      <c r="Q61635" s="8"/>
    </row>
    <row r="61636" spans="17:17" x14ac:dyDescent="0.25">
      <c r="Q61636" s="8"/>
    </row>
    <row r="61637" spans="17:17" x14ac:dyDescent="0.25">
      <c r="Q61637" s="8"/>
    </row>
    <row r="61638" spans="17:17" x14ac:dyDescent="0.25">
      <c r="Q61638" s="8"/>
    </row>
    <row r="61639" spans="17:17" x14ac:dyDescent="0.25">
      <c r="Q61639" s="8"/>
    </row>
    <row r="61640" spans="17:17" x14ac:dyDescent="0.25">
      <c r="Q61640" s="8"/>
    </row>
    <row r="61641" spans="17:17" x14ac:dyDescent="0.25">
      <c r="Q61641" s="8"/>
    </row>
    <row r="61642" spans="17:17" x14ac:dyDescent="0.25">
      <c r="Q61642" s="8"/>
    </row>
    <row r="61643" spans="17:17" x14ac:dyDescent="0.25">
      <c r="Q61643" s="8"/>
    </row>
    <row r="61644" spans="17:17" x14ac:dyDescent="0.25">
      <c r="Q61644" s="8"/>
    </row>
    <row r="61645" spans="17:17" x14ac:dyDescent="0.25">
      <c r="Q61645" s="8"/>
    </row>
    <row r="61646" spans="17:17" x14ac:dyDescent="0.25">
      <c r="Q61646" s="8"/>
    </row>
    <row r="61647" spans="17:17" x14ac:dyDescent="0.25">
      <c r="Q61647" s="8"/>
    </row>
    <row r="61648" spans="17:17" x14ac:dyDescent="0.25">
      <c r="Q61648" s="8"/>
    </row>
    <row r="61649" spans="17:17" x14ac:dyDescent="0.25">
      <c r="Q61649" s="8"/>
    </row>
    <row r="61650" spans="17:17" x14ac:dyDescent="0.25">
      <c r="Q61650" s="8"/>
    </row>
    <row r="61651" spans="17:17" x14ac:dyDescent="0.25">
      <c r="Q61651" s="8"/>
    </row>
    <row r="61652" spans="17:17" x14ac:dyDescent="0.25">
      <c r="Q61652" s="8"/>
    </row>
    <row r="61653" spans="17:17" x14ac:dyDescent="0.25">
      <c r="Q61653" s="8"/>
    </row>
    <row r="61654" spans="17:17" x14ac:dyDescent="0.25">
      <c r="Q61654" s="8"/>
    </row>
    <row r="61655" spans="17:17" x14ac:dyDescent="0.25">
      <c r="Q61655" s="8"/>
    </row>
    <row r="61656" spans="17:17" x14ac:dyDescent="0.25">
      <c r="Q61656" s="8"/>
    </row>
    <row r="61657" spans="17:17" x14ac:dyDescent="0.25">
      <c r="Q61657" s="8"/>
    </row>
    <row r="61658" spans="17:17" x14ac:dyDescent="0.25">
      <c r="Q61658" s="8"/>
    </row>
    <row r="61659" spans="17:17" x14ac:dyDescent="0.25">
      <c r="Q61659" s="8"/>
    </row>
    <row r="61660" spans="17:17" x14ac:dyDescent="0.25">
      <c r="Q61660" s="8"/>
    </row>
    <row r="61661" spans="17:17" x14ac:dyDescent="0.25">
      <c r="Q61661" s="8"/>
    </row>
    <row r="61662" spans="17:17" x14ac:dyDescent="0.25">
      <c r="Q61662" s="8"/>
    </row>
    <row r="61663" spans="17:17" x14ac:dyDescent="0.25">
      <c r="Q61663" s="8"/>
    </row>
    <row r="61664" spans="17:17" x14ac:dyDescent="0.25">
      <c r="Q61664" s="8"/>
    </row>
    <row r="61665" spans="17:17" x14ac:dyDescent="0.25">
      <c r="Q61665" s="8"/>
    </row>
    <row r="61666" spans="17:17" x14ac:dyDescent="0.25">
      <c r="Q61666" s="8"/>
    </row>
    <row r="61667" spans="17:17" x14ac:dyDescent="0.25">
      <c r="Q61667" s="8"/>
    </row>
    <row r="61668" spans="17:17" x14ac:dyDescent="0.25">
      <c r="Q61668" s="8"/>
    </row>
    <row r="61669" spans="17:17" x14ac:dyDescent="0.25">
      <c r="Q61669" s="8"/>
    </row>
    <row r="61670" spans="17:17" x14ac:dyDescent="0.25">
      <c r="Q61670" s="8"/>
    </row>
    <row r="61671" spans="17:17" x14ac:dyDescent="0.25">
      <c r="Q61671" s="8"/>
    </row>
    <row r="61672" spans="17:17" x14ac:dyDescent="0.25">
      <c r="Q61672" s="8"/>
    </row>
    <row r="61673" spans="17:17" x14ac:dyDescent="0.25">
      <c r="Q61673" s="8"/>
    </row>
    <row r="61674" spans="17:17" x14ac:dyDescent="0.25">
      <c r="Q61674" s="8"/>
    </row>
    <row r="61675" spans="17:17" x14ac:dyDescent="0.25">
      <c r="Q61675" s="8"/>
    </row>
    <row r="61676" spans="17:17" x14ac:dyDescent="0.25">
      <c r="Q61676" s="8"/>
    </row>
    <row r="61677" spans="17:17" x14ac:dyDescent="0.25">
      <c r="Q61677" s="8"/>
    </row>
    <row r="61678" spans="17:17" x14ac:dyDescent="0.25">
      <c r="Q61678" s="8"/>
    </row>
    <row r="61679" spans="17:17" x14ac:dyDescent="0.25">
      <c r="Q61679" s="8"/>
    </row>
    <row r="61680" spans="17:17" x14ac:dyDescent="0.25">
      <c r="Q61680" s="8"/>
    </row>
    <row r="61681" spans="17:17" x14ac:dyDescent="0.25">
      <c r="Q61681" s="8"/>
    </row>
    <row r="61682" spans="17:17" x14ac:dyDescent="0.25">
      <c r="Q61682" s="8"/>
    </row>
    <row r="61683" spans="17:17" x14ac:dyDescent="0.25">
      <c r="Q61683" s="8"/>
    </row>
    <row r="61684" spans="17:17" x14ac:dyDescent="0.25">
      <c r="Q61684" s="8"/>
    </row>
    <row r="61685" spans="17:17" x14ac:dyDescent="0.25">
      <c r="Q61685" s="8"/>
    </row>
    <row r="61686" spans="17:17" x14ac:dyDescent="0.25">
      <c r="Q61686" s="8"/>
    </row>
    <row r="61687" spans="17:17" x14ac:dyDescent="0.25">
      <c r="Q61687" s="8"/>
    </row>
    <row r="61688" spans="17:17" x14ac:dyDescent="0.25">
      <c r="Q61688" s="8"/>
    </row>
    <row r="61689" spans="17:17" x14ac:dyDescent="0.25">
      <c r="Q61689" s="8"/>
    </row>
    <row r="61690" spans="17:17" x14ac:dyDescent="0.25">
      <c r="Q61690" s="8"/>
    </row>
    <row r="61691" spans="17:17" x14ac:dyDescent="0.25">
      <c r="Q61691" s="8"/>
    </row>
    <row r="61692" spans="17:17" x14ac:dyDescent="0.25">
      <c r="Q61692" s="8"/>
    </row>
    <row r="61693" spans="17:17" x14ac:dyDescent="0.25">
      <c r="Q61693" s="8"/>
    </row>
    <row r="61694" spans="17:17" x14ac:dyDescent="0.25">
      <c r="Q61694" s="8"/>
    </row>
    <row r="61695" spans="17:17" x14ac:dyDescent="0.25">
      <c r="Q61695" s="8"/>
    </row>
    <row r="61696" spans="17:17" x14ac:dyDescent="0.25">
      <c r="Q61696" s="8"/>
    </row>
    <row r="61697" spans="17:17" x14ac:dyDescent="0.25">
      <c r="Q61697" s="8"/>
    </row>
    <row r="61698" spans="17:17" x14ac:dyDescent="0.25">
      <c r="Q61698" s="8"/>
    </row>
    <row r="61699" spans="17:17" x14ac:dyDescent="0.25">
      <c r="Q61699" s="8"/>
    </row>
    <row r="61700" spans="17:17" x14ac:dyDescent="0.25">
      <c r="Q61700" s="8"/>
    </row>
    <row r="61701" spans="17:17" x14ac:dyDescent="0.25">
      <c r="Q61701" s="8"/>
    </row>
    <row r="61702" spans="17:17" x14ac:dyDescent="0.25">
      <c r="Q61702" s="8"/>
    </row>
    <row r="61703" spans="17:17" x14ac:dyDescent="0.25">
      <c r="Q61703" s="8"/>
    </row>
    <row r="61704" spans="17:17" x14ac:dyDescent="0.25">
      <c r="Q61704" s="8"/>
    </row>
    <row r="61705" spans="17:17" x14ac:dyDescent="0.25">
      <c r="Q61705" s="8"/>
    </row>
    <row r="61706" spans="17:17" x14ac:dyDescent="0.25">
      <c r="Q61706" s="8"/>
    </row>
    <row r="61707" spans="17:17" x14ac:dyDescent="0.25">
      <c r="Q61707" s="8"/>
    </row>
    <row r="61708" spans="17:17" x14ac:dyDescent="0.25">
      <c r="Q61708" s="8"/>
    </row>
    <row r="61709" spans="17:17" x14ac:dyDescent="0.25">
      <c r="Q61709" s="8"/>
    </row>
    <row r="61710" spans="17:17" x14ac:dyDescent="0.25">
      <c r="Q61710" s="8"/>
    </row>
    <row r="61711" spans="17:17" x14ac:dyDescent="0.25">
      <c r="Q61711" s="8"/>
    </row>
    <row r="61712" spans="17:17" x14ac:dyDescent="0.25">
      <c r="Q61712" s="8"/>
    </row>
    <row r="61713" spans="17:17" x14ac:dyDescent="0.25">
      <c r="Q61713" s="8"/>
    </row>
    <row r="61714" spans="17:17" x14ac:dyDescent="0.25">
      <c r="Q61714" s="8"/>
    </row>
    <row r="61715" spans="17:17" x14ac:dyDescent="0.25">
      <c r="Q61715" s="8"/>
    </row>
    <row r="61716" spans="17:17" x14ac:dyDescent="0.25">
      <c r="Q61716" s="8"/>
    </row>
    <row r="61717" spans="17:17" x14ac:dyDescent="0.25">
      <c r="Q61717" s="8"/>
    </row>
    <row r="61718" spans="17:17" x14ac:dyDescent="0.25">
      <c r="Q61718" s="8"/>
    </row>
    <row r="61719" spans="17:17" x14ac:dyDescent="0.25">
      <c r="Q61719" s="8"/>
    </row>
    <row r="61720" spans="17:17" x14ac:dyDescent="0.25">
      <c r="Q61720" s="8"/>
    </row>
    <row r="61721" spans="17:17" x14ac:dyDescent="0.25">
      <c r="Q61721" s="8"/>
    </row>
    <row r="61722" spans="17:17" x14ac:dyDescent="0.25">
      <c r="Q61722" s="8"/>
    </row>
    <row r="61723" spans="17:17" x14ac:dyDescent="0.25">
      <c r="Q61723" s="8"/>
    </row>
    <row r="61724" spans="17:17" x14ac:dyDescent="0.25">
      <c r="Q61724" s="8"/>
    </row>
    <row r="61725" spans="17:17" x14ac:dyDescent="0.25">
      <c r="Q61725" s="8"/>
    </row>
    <row r="61726" spans="17:17" x14ac:dyDescent="0.25">
      <c r="Q61726" s="8"/>
    </row>
    <row r="61727" spans="17:17" x14ac:dyDescent="0.25">
      <c r="Q61727" s="8"/>
    </row>
    <row r="61728" spans="17:17" x14ac:dyDescent="0.25">
      <c r="Q61728" s="8"/>
    </row>
    <row r="61729" spans="17:17" x14ac:dyDescent="0.25">
      <c r="Q61729" s="8"/>
    </row>
    <row r="61730" spans="17:17" x14ac:dyDescent="0.25">
      <c r="Q61730" s="8"/>
    </row>
    <row r="61731" spans="17:17" x14ac:dyDescent="0.25">
      <c r="Q61731" s="8"/>
    </row>
    <row r="61732" spans="17:17" x14ac:dyDescent="0.25">
      <c r="Q61732" s="8"/>
    </row>
    <row r="61733" spans="17:17" x14ac:dyDescent="0.25">
      <c r="Q61733" s="8"/>
    </row>
    <row r="61734" spans="17:17" x14ac:dyDescent="0.25">
      <c r="Q61734" s="8"/>
    </row>
    <row r="61735" spans="17:17" x14ac:dyDescent="0.25">
      <c r="Q61735" s="8"/>
    </row>
    <row r="61736" spans="17:17" x14ac:dyDescent="0.25">
      <c r="Q61736" s="8"/>
    </row>
    <row r="61737" spans="17:17" x14ac:dyDescent="0.25">
      <c r="Q61737" s="8"/>
    </row>
    <row r="61738" spans="17:17" x14ac:dyDescent="0.25">
      <c r="Q61738" s="8"/>
    </row>
    <row r="61739" spans="17:17" x14ac:dyDescent="0.25">
      <c r="Q61739" s="8"/>
    </row>
    <row r="61740" spans="17:17" x14ac:dyDescent="0.25">
      <c r="Q61740" s="8"/>
    </row>
    <row r="61741" spans="17:17" x14ac:dyDescent="0.25">
      <c r="Q61741" s="8"/>
    </row>
    <row r="61742" spans="17:17" x14ac:dyDescent="0.25">
      <c r="Q61742" s="8"/>
    </row>
    <row r="61743" spans="17:17" x14ac:dyDescent="0.25">
      <c r="Q61743" s="8"/>
    </row>
    <row r="61744" spans="17:17" x14ac:dyDescent="0.25">
      <c r="Q61744" s="8"/>
    </row>
    <row r="61745" spans="17:17" x14ac:dyDescent="0.25">
      <c r="Q61745" s="8"/>
    </row>
    <row r="61746" spans="17:17" x14ac:dyDescent="0.25">
      <c r="Q61746" s="8"/>
    </row>
    <row r="61747" spans="17:17" x14ac:dyDescent="0.25">
      <c r="Q61747" s="8"/>
    </row>
    <row r="61748" spans="17:17" x14ac:dyDescent="0.25">
      <c r="Q61748" s="8"/>
    </row>
    <row r="61749" spans="17:17" x14ac:dyDescent="0.25">
      <c r="Q61749" s="8"/>
    </row>
    <row r="61750" spans="17:17" x14ac:dyDescent="0.25">
      <c r="Q61750" s="8"/>
    </row>
    <row r="61751" spans="17:17" x14ac:dyDescent="0.25">
      <c r="Q61751" s="8"/>
    </row>
    <row r="61752" spans="17:17" x14ac:dyDescent="0.25">
      <c r="Q61752" s="8"/>
    </row>
    <row r="61753" spans="17:17" x14ac:dyDescent="0.25">
      <c r="Q61753" s="8"/>
    </row>
    <row r="61754" spans="17:17" x14ac:dyDescent="0.25">
      <c r="Q61754" s="8"/>
    </row>
    <row r="61755" spans="17:17" x14ac:dyDescent="0.25">
      <c r="Q61755" s="8"/>
    </row>
    <row r="61756" spans="17:17" x14ac:dyDescent="0.25">
      <c r="Q61756" s="8"/>
    </row>
    <row r="61757" spans="17:17" x14ac:dyDescent="0.25">
      <c r="Q61757" s="8"/>
    </row>
    <row r="61758" spans="17:17" x14ac:dyDescent="0.25">
      <c r="Q61758" s="8"/>
    </row>
    <row r="61759" spans="17:17" x14ac:dyDescent="0.25">
      <c r="Q61759" s="8"/>
    </row>
    <row r="61760" spans="17:17" x14ac:dyDescent="0.25">
      <c r="Q61760" s="8"/>
    </row>
    <row r="61761" spans="17:17" x14ac:dyDescent="0.25">
      <c r="Q61761" s="8"/>
    </row>
    <row r="61762" spans="17:17" x14ac:dyDescent="0.25">
      <c r="Q61762" s="8"/>
    </row>
    <row r="61763" spans="17:17" x14ac:dyDescent="0.25">
      <c r="Q61763" s="8"/>
    </row>
    <row r="61764" spans="17:17" x14ac:dyDescent="0.25">
      <c r="Q61764" s="8"/>
    </row>
    <row r="61765" spans="17:17" x14ac:dyDescent="0.25">
      <c r="Q61765" s="8"/>
    </row>
    <row r="61766" spans="17:17" x14ac:dyDescent="0.25">
      <c r="Q61766" s="8"/>
    </row>
    <row r="61767" spans="17:17" x14ac:dyDescent="0.25">
      <c r="Q61767" s="8"/>
    </row>
    <row r="61768" spans="17:17" x14ac:dyDescent="0.25">
      <c r="Q61768" s="8"/>
    </row>
    <row r="61769" spans="17:17" x14ac:dyDescent="0.25">
      <c r="Q61769" s="8"/>
    </row>
    <row r="61770" spans="17:17" x14ac:dyDescent="0.25">
      <c r="Q61770" s="8"/>
    </row>
    <row r="61771" spans="17:17" x14ac:dyDescent="0.25">
      <c r="Q61771" s="8"/>
    </row>
    <row r="61772" spans="17:17" x14ac:dyDescent="0.25">
      <c r="Q61772" s="8"/>
    </row>
    <row r="61773" spans="17:17" x14ac:dyDescent="0.25">
      <c r="Q61773" s="8"/>
    </row>
    <row r="61774" spans="17:17" x14ac:dyDescent="0.25">
      <c r="Q61774" s="8"/>
    </row>
    <row r="61775" spans="17:17" x14ac:dyDescent="0.25">
      <c r="Q61775" s="8"/>
    </row>
    <row r="61776" spans="17:17" x14ac:dyDescent="0.25">
      <c r="Q61776" s="8"/>
    </row>
    <row r="61777" spans="17:17" x14ac:dyDescent="0.25">
      <c r="Q61777" s="8"/>
    </row>
    <row r="61778" spans="17:17" x14ac:dyDescent="0.25">
      <c r="Q61778" s="8"/>
    </row>
    <row r="61779" spans="17:17" x14ac:dyDescent="0.25">
      <c r="Q61779" s="8"/>
    </row>
    <row r="61780" spans="17:17" x14ac:dyDescent="0.25">
      <c r="Q61780" s="8"/>
    </row>
    <row r="61781" spans="17:17" x14ac:dyDescent="0.25">
      <c r="Q61781" s="8"/>
    </row>
    <row r="61782" spans="17:17" x14ac:dyDescent="0.25">
      <c r="Q61782" s="8"/>
    </row>
    <row r="61783" spans="17:17" x14ac:dyDescent="0.25">
      <c r="Q61783" s="8"/>
    </row>
    <row r="61784" spans="17:17" x14ac:dyDescent="0.25">
      <c r="Q61784" s="8"/>
    </row>
    <row r="61785" spans="17:17" x14ac:dyDescent="0.25">
      <c r="Q61785" s="8"/>
    </row>
    <row r="61786" spans="17:17" x14ac:dyDescent="0.25">
      <c r="Q61786" s="8"/>
    </row>
    <row r="61787" spans="17:17" x14ac:dyDescent="0.25">
      <c r="Q61787" s="8"/>
    </row>
    <row r="61788" spans="17:17" x14ac:dyDescent="0.25">
      <c r="Q61788" s="8"/>
    </row>
    <row r="61789" spans="17:17" x14ac:dyDescent="0.25">
      <c r="Q61789" s="8"/>
    </row>
    <row r="61790" spans="17:17" x14ac:dyDescent="0.25">
      <c r="Q61790" s="8"/>
    </row>
    <row r="61791" spans="17:17" x14ac:dyDescent="0.25">
      <c r="Q61791" s="8"/>
    </row>
    <row r="61792" spans="17:17" x14ac:dyDescent="0.25">
      <c r="Q61792" s="8"/>
    </row>
    <row r="61793" spans="17:17" x14ac:dyDescent="0.25">
      <c r="Q61793" s="8"/>
    </row>
    <row r="61794" spans="17:17" x14ac:dyDescent="0.25">
      <c r="Q61794" s="8"/>
    </row>
    <row r="61795" spans="17:17" x14ac:dyDescent="0.25">
      <c r="Q61795" s="8"/>
    </row>
    <row r="61796" spans="17:17" x14ac:dyDescent="0.25">
      <c r="Q61796" s="8"/>
    </row>
    <row r="61797" spans="17:17" x14ac:dyDescent="0.25">
      <c r="Q61797" s="8"/>
    </row>
    <row r="61798" spans="17:17" x14ac:dyDescent="0.25">
      <c r="Q61798" s="8"/>
    </row>
    <row r="61799" spans="17:17" x14ac:dyDescent="0.25">
      <c r="Q61799" s="8"/>
    </row>
    <row r="61800" spans="17:17" x14ac:dyDescent="0.25">
      <c r="Q61800" s="8"/>
    </row>
    <row r="61801" spans="17:17" x14ac:dyDescent="0.25">
      <c r="Q61801" s="8"/>
    </row>
    <row r="61802" spans="17:17" x14ac:dyDescent="0.25">
      <c r="Q61802" s="8"/>
    </row>
    <row r="61803" spans="17:17" x14ac:dyDescent="0.25">
      <c r="Q61803" s="8"/>
    </row>
    <row r="61804" spans="17:17" x14ac:dyDescent="0.25">
      <c r="Q61804" s="8"/>
    </row>
    <row r="61805" spans="17:17" x14ac:dyDescent="0.25">
      <c r="Q61805" s="8"/>
    </row>
    <row r="61806" spans="17:17" x14ac:dyDescent="0.25">
      <c r="Q61806" s="8"/>
    </row>
    <row r="61807" spans="17:17" x14ac:dyDescent="0.25">
      <c r="Q61807" s="8"/>
    </row>
    <row r="61808" spans="17:17" x14ac:dyDescent="0.25">
      <c r="Q61808" s="8"/>
    </row>
    <row r="61809" spans="17:17" x14ac:dyDescent="0.25">
      <c r="Q61809" s="8"/>
    </row>
    <row r="61810" spans="17:17" x14ac:dyDescent="0.25">
      <c r="Q61810" s="8"/>
    </row>
    <row r="61811" spans="17:17" x14ac:dyDescent="0.25">
      <c r="Q61811" s="8"/>
    </row>
    <row r="61812" spans="17:17" x14ac:dyDescent="0.25">
      <c r="Q61812" s="8"/>
    </row>
    <row r="61813" spans="17:17" x14ac:dyDescent="0.25">
      <c r="Q61813" s="8"/>
    </row>
    <row r="61814" spans="17:17" x14ac:dyDescent="0.25">
      <c r="Q61814" s="8"/>
    </row>
    <row r="61815" spans="17:17" x14ac:dyDescent="0.25">
      <c r="Q61815" s="8"/>
    </row>
    <row r="61816" spans="17:17" x14ac:dyDescent="0.25">
      <c r="Q61816" s="8"/>
    </row>
    <row r="61817" spans="17:17" x14ac:dyDescent="0.25">
      <c r="Q61817" s="8"/>
    </row>
    <row r="61818" spans="17:17" x14ac:dyDescent="0.25">
      <c r="Q61818" s="8"/>
    </row>
    <row r="61819" spans="17:17" x14ac:dyDescent="0.25">
      <c r="Q61819" s="8"/>
    </row>
    <row r="61820" spans="17:17" x14ac:dyDescent="0.25">
      <c r="Q61820" s="8"/>
    </row>
    <row r="61821" spans="17:17" x14ac:dyDescent="0.25">
      <c r="Q61821" s="8"/>
    </row>
    <row r="61822" spans="17:17" x14ac:dyDescent="0.25">
      <c r="Q61822" s="8"/>
    </row>
    <row r="61823" spans="17:17" x14ac:dyDescent="0.25">
      <c r="Q61823" s="8"/>
    </row>
    <row r="61824" spans="17:17" x14ac:dyDescent="0.25">
      <c r="Q61824" s="8"/>
    </row>
    <row r="61825" spans="17:17" x14ac:dyDescent="0.25">
      <c r="Q61825" s="8"/>
    </row>
    <row r="61826" spans="17:17" x14ac:dyDescent="0.25">
      <c r="Q61826" s="8"/>
    </row>
    <row r="61827" spans="17:17" x14ac:dyDescent="0.25">
      <c r="Q61827" s="8"/>
    </row>
    <row r="61828" spans="17:17" x14ac:dyDescent="0.25">
      <c r="Q61828" s="8"/>
    </row>
    <row r="61829" spans="17:17" x14ac:dyDescent="0.25">
      <c r="Q61829" s="8"/>
    </row>
    <row r="61830" spans="17:17" x14ac:dyDescent="0.25">
      <c r="Q61830" s="8"/>
    </row>
    <row r="61831" spans="17:17" x14ac:dyDescent="0.25">
      <c r="Q61831" s="8"/>
    </row>
    <row r="61832" spans="17:17" x14ac:dyDescent="0.25">
      <c r="Q61832" s="8"/>
    </row>
    <row r="61833" spans="17:17" x14ac:dyDescent="0.25">
      <c r="Q61833" s="8"/>
    </row>
    <row r="61834" spans="17:17" x14ac:dyDescent="0.25">
      <c r="Q61834" s="8"/>
    </row>
    <row r="61835" spans="17:17" x14ac:dyDescent="0.25">
      <c r="Q61835" s="8"/>
    </row>
    <row r="61836" spans="17:17" x14ac:dyDescent="0.25">
      <c r="Q61836" s="8"/>
    </row>
    <row r="61837" spans="17:17" x14ac:dyDescent="0.25">
      <c r="Q61837" s="8"/>
    </row>
    <row r="61838" spans="17:17" x14ac:dyDescent="0.25">
      <c r="Q61838" s="8"/>
    </row>
    <row r="61839" spans="17:17" x14ac:dyDescent="0.25">
      <c r="Q61839" s="8"/>
    </row>
    <row r="61840" spans="17:17" x14ac:dyDescent="0.25">
      <c r="Q61840" s="8"/>
    </row>
    <row r="61841" spans="17:17" x14ac:dyDescent="0.25">
      <c r="Q61841" s="8"/>
    </row>
    <row r="61842" spans="17:17" x14ac:dyDescent="0.25">
      <c r="Q61842" s="8"/>
    </row>
    <row r="61843" spans="17:17" x14ac:dyDescent="0.25">
      <c r="Q61843" s="8"/>
    </row>
    <row r="61844" spans="17:17" x14ac:dyDescent="0.25">
      <c r="Q61844" s="8"/>
    </row>
    <row r="61845" spans="17:17" x14ac:dyDescent="0.25">
      <c r="Q61845" s="8"/>
    </row>
    <row r="61846" spans="17:17" x14ac:dyDescent="0.25">
      <c r="Q61846" s="8"/>
    </row>
    <row r="61847" spans="17:17" x14ac:dyDescent="0.25">
      <c r="Q61847" s="8"/>
    </row>
    <row r="61848" spans="17:17" x14ac:dyDescent="0.25">
      <c r="Q61848" s="8"/>
    </row>
    <row r="61849" spans="17:17" x14ac:dyDescent="0.25">
      <c r="Q61849" s="8"/>
    </row>
    <row r="61850" spans="17:17" x14ac:dyDescent="0.25">
      <c r="Q61850" s="8"/>
    </row>
    <row r="61851" spans="17:17" x14ac:dyDescent="0.25">
      <c r="Q61851" s="8"/>
    </row>
    <row r="61852" spans="17:17" x14ac:dyDescent="0.25">
      <c r="Q61852" s="8"/>
    </row>
    <row r="61853" spans="17:17" x14ac:dyDescent="0.25">
      <c r="Q61853" s="8"/>
    </row>
    <row r="61854" spans="17:17" x14ac:dyDescent="0.25">
      <c r="Q61854" s="8"/>
    </row>
    <row r="61855" spans="17:17" x14ac:dyDescent="0.25">
      <c r="Q61855" s="8"/>
    </row>
    <row r="61856" spans="17:17" x14ac:dyDescent="0.25">
      <c r="Q61856" s="8"/>
    </row>
    <row r="61857" spans="17:17" x14ac:dyDescent="0.25">
      <c r="Q61857" s="8"/>
    </row>
    <row r="61858" spans="17:17" x14ac:dyDescent="0.25">
      <c r="Q61858" s="8"/>
    </row>
    <row r="61859" spans="17:17" x14ac:dyDescent="0.25">
      <c r="Q61859" s="8"/>
    </row>
    <row r="61860" spans="17:17" x14ac:dyDescent="0.25">
      <c r="Q61860" s="8"/>
    </row>
    <row r="61861" spans="17:17" x14ac:dyDescent="0.25">
      <c r="Q61861" s="8"/>
    </row>
    <row r="61862" spans="17:17" x14ac:dyDescent="0.25">
      <c r="Q61862" s="8"/>
    </row>
    <row r="61863" spans="17:17" x14ac:dyDescent="0.25">
      <c r="Q61863" s="8"/>
    </row>
    <row r="61864" spans="17:17" x14ac:dyDescent="0.25">
      <c r="Q61864" s="8"/>
    </row>
    <row r="61865" spans="17:17" x14ac:dyDescent="0.25">
      <c r="Q61865" s="8"/>
    </row>
    <row r="61866" spans="17:17" x14ac:dyDescent="0.25">
      <c r="Q61866" s="8"/>
    </row>
    <row r="61867" spans="17:17" x14ac:dyDescent="0.25">
      <c r="Q61867" s="8"/>
    </row>
    <row r="61868" spans="17:17" x14ac:dyDescent="0.25">
      <c r="Q61868" s="8"/>
    </row>
    <row r="61869" spans="17:17" x14ac:dyDescent="0.25">
      <c r="Q61869" s="8"/>
    </row>
    <row r="61870" spans="17:17" x14ac:dyDescent="0.25">
      <c r="Q61870" s="8"/>
    </row>
    <row r="61871" spans="17:17" x14ac:dyDescent="0.25">
      <c r="Q61871" s="8"/>
    </row>
    <row r="61872" spans="17:17" x14ac:dyDescent="0.25">
      <c r="Q61872" s="8"/>
    </row>
    <row r="61873" spans="17:17" x14ac:dyDescent="0.25">
      <c r="Q61873" s="8"/>
    </row>
    <row r="61874" spans="17:17" x14ac:dyDescent="0.25">
      <c r="Q61874" s="8"/>
    </row>
    <row r="61875" spans="17:17" x14ac:dyDescent="0.25">
      <c r="Q61875" s="8"/>
    </row>
    <row r="61876" spans="17:17" x14ac:dyDescent="0.25">
      <c r="Q61876" s="8"/>
    </row>
    <row r="61877" spans="17:17" x14ac:dyDescent="0.25">
      <c r="Q61877" s="8"/>
    </row>
    <row r="61878" spans="17:17" x14ac:dyDescent="0.25">
      <c r="Q61878" s="8"/>
    </row>
    <row r="61879" spans="17:17" x14ac:dyDescent="0.25">
      <c r="Q61879" s="8"/>
    </row>
    <row r="61880" spans="17:17" x14ac:dyDescent="0.25">
      <c r="Q61880" s="8"/>
    </row>
    <row r="61881" spans="17:17" x14ac:dyDescent="0.25">
      <c r="Q61881" s="8"/>
    </row>
    <row r="61882" spans="17:17" x14ac:dyDescent="0.25">
      <c r="Q61882" s="8"/>
    </row>
    <row r="61883" spans="17:17" x14ac:dyDescent="0.25">
      <c r="Q61883" s="8"/>
    </row>
    <row r="61884" spans="17:17" x14ac:dyDescent="0.25">
      <c r="Q61884" s="8"/>
    </row>
    <row r="61885" spans="17:17" x14ac:dyDescent="0.25">
      <c r="Q61885" s="8"/>
    </row>
    <row r="61886" spans="17:17" x14ac:dyDescent="0.25">
      <c r="Q61886" s="8"/>
    </row>
    <row r="61887" spans="17:17" x14ac:dyDescent="0.25">
      <c r="Q61887" s="8"/>
    </row>
    <row r="61888" spans="17:17" x14ac:dyDescent="0.25">
      <c r="Q61888" s="8"/>
    </row>
    <row r="61889" spans="17:17" x14ac:dyDescent="0.25">
      <c r="Q61889" s="8"/>
    </row>
    <row r="61890" spans="17:17" x14ac:dyDescent="0.25">
      <c r="Q61890" s="8"/>
    </row>
    <row r="61891" spans="17:17" x14ac:dyDescent="0.25">
      <c r="Q61891" s="8"/>
    </row>
    <row r="61892" spans="17:17" x14ac:dyDescent="0.25">
      <c r="Q61892" s="8"/>
    </row>
    <row r="61893" spans="17:17" x14ac:dyDescent="0.25">
      <c r="Q61893" s="8"/>
    </row>
    <row r="61894" spans="17:17" x14ac:dyDescent="0.25">
      <c r="Q61894" s="8"/>
    </row>
    <row r="61895" spans="17:17" x14ac:dyDescent="0.25">
      <c r="Q61895" s="8"/>
    </row>
    <row r="61896" spans="17:17" x14ac:dyDescent="0.25">
      <c r="Q61896" s="8"/>
    </row>
    <row r="61897" spans="17:17" x14ac:dyDescent="0.25">
      <c r="Q61897" s="8"/>
    </row>
    <row r="61898" spans="17:17" x14ac:dyDescent="0.25">
      <c r="Q61898" s="8"/>
    </row>
    <row r="61899" spans="17:17" x14ac:dyDescent="0.25">
      <c r="Q61899" s="8"/>
    </row>
    <row r="61900" spans="17:17" x14ac:dyDescent="0.25">
      <c r="Q61900" s="8"/>
    </row>
    <row r="61901" spans="17:17" x14ac:dyDescent="0.25">
      <c r="Q61901" s="8"/>
    </row>
    <row r="61902" spans="17:17" x14ac:dyDescent="0.25">
      <c r="Q61902" s="8"/>
    </row>
    <row r="61903" spans="17:17" x14ac:dyDescent="0.25">
      <c r="Q61903" s="8"/>
    </row>
    <row r="61904" spans="17:17" x14ac:dyDescent="0.25">
      <c r="Q61904" s="8"/>
    </row>
    <row r="61905" spans="17:17" x14ac:dyDescent="0.25">
      <c r="Q61905" s="8"/>
    </row>
    <row r="61906" spans="17:17" x14ac:dyDescent="0.25">
      <c r="Q61906" s="8"/>
    </row>
    <row r="61907" spans="17:17" x14ac:dyDescent="0.25">
      <c r="Q61907" s="8"/>
    </row>
    <row r="61908" spans="17:17" x14ac:dyDescent="0.25">
      <c r="Q61908" s="8"/>
    </row>
    <row r="61909" spans="17:17" x14ac:dyDescent="0.25">
      <c r="Q61909" s="8"/>
    </row>
    <row r="61910" spans="17:17" x14ac:dyDescent="0.25">
      <c r="Q61910" s="8"/>
    </row>
    <row r="61911" spans="17:17" x14ac:dyDescent="0.25">
      <c r="Q61911" s="8"/>
    </row>
    <row r="61912" spans="17:17" x14ac:dyDescent="0.25">
      <c r="Q61912" s="8"/>
    </row>
    <row r="61913" spans="17:17" x14ac:dyDescent="0.25">
      <c r="Q61913" s="8"/>
    </row>
    <row r="61914" spans="17:17" x14ac:dyDescent="0.25">
      <c r="Q61914" s="8"/>
    </row>
    <row r="61915" spans="17:17" x14ac:dyDescent="0.25">
      <c r="Q61915" s="8"/>
    </row>
    <row r="61916" spans="17:17" x14ac:dyDescent="0.25">
      <c r="Q61916" s="8"/>
    </row>
    <row r="61917" spans="17:17" x14ac:dyDescent="0.25">
      <c r="Q61917" s="8"/>
    </row>
    <row r="61918" spans="17:17" x14ac:dyDescent="0.25">
      <c r="Q61918" s="8"/>
    </row>
    <row r="61919" spans="17:17" x14ac:dyDescent="0.25">
      <c r="Q61919" s="8"/>
    </row>
    <row r="61920" spans="17:17" x14ac:dyDescent="0.25">
      <c r="Q61920" s="8"/>
    </row>
    <row r="61921" spans="17:17" x14ac:dyDescent="0.25">
      <c r="Q61921" s="8"/>
    </row>
    <row r="61922" spans="17:17" x14ac:dyDescent="0.25">
      <c r="Q61922" s="8"/>
    </row>
    <row r="61923" spans="17:17" x14ac:dyDescent="0.25">
      <c r="Q61923" s="8"/>
    </row>
    <row r="61924" spans="17:17" x14ac:dyDescent="0.25">
      <c r="Q61924" s="8"/>
    </row>
    <row r="61925" spans="17:17" x14ac:dyDescent="0.25">
      <c r="Q61925" s="8"/>
    </row>
    <row r="61926" spans="17:17" x14ac:dyDescent="0.25">
      <c r="Q61926" s="8"/>
    </row>
    <row r="61927" spans="17:17" x14ac:dyDescent="0.25">
      <c r="Q61927" s="8"/>
    </row>
    <row r="61928" spans="17:17" x14ac:dyDescent="0.25">
      <c r="Q61928" s="8"/>
    </row>
    <row r="61929" spans="17:17" x14ac:dyDescent="0.25">
      <c r="Q61929" s="8"/>
    </row>
    <row r="61930" spans="17:17" x14ac:dyDescent="0.25">
      <c r="Q61930" s="8"/>
    </row>
    <row r="61931" spans="17:17" x14ac:dyDescent="0.25">
      <c r="Q61931" s="8"/>
    </row>
    <row r="61932" spans="17:17" x14ac:dyDescent="0.25">
      <c r="Q61932" s="8"/>
    </row>
    <row r="61933" spans="17:17" x14ac:dyDescent="0.25">
      <c r="Q61933" s="8"/>
    </row>
    <row r="61934" spans="17:17" x14ac:dyDescent="0.25">
      <c r="Q61934" s="8"/>
    </row>
    <row r="61935" spans="17:17" x14ac:dyDescent="0.25">
      <c r="Q61935" s="8"/>
    </row>
    <row r="61936" spans="17:17" x14ac:dyDescent="0.25">
      <c r="Q61936" s="8"/>
    </row>
    <row r="61937" spans="17:17" x14ac:dyDescent="0.25">
      <c r="Q61937" s="8"/>
    </row>
    <row r="61938" spans="17:17" x14ac:dyDescent="0.25">
      <c r="Q61938" s="8"/>
    </row>
    <row r="61939" spans="17:17" x14ac:dyDescent="0.25">
      <c r="Q61939" s="8"/>
    </row>
    <row r="61940" spans="17:17" x14ac:dyDescent="0.25">
      <c r="Q61940" s="8"/>
    </row>
    <row r="61941" spans="17:17" x14ac:dyDescent="0.25">
      <c r="Q61941" s="8"/>
    </row>
    <row r="61942" spans="17:17" x14ac:dyDescent="0.25">
      <c r="Q61942" s="8"/>
    </row>
    <row r="61943" spans="17:17" x14ac:dyDescent="0.25">
      <c r="Q61943" s="8"/>
    </row>
    <row r="61944" spans="17:17" x14ac:dyDescent="0.25">
      <c r="Q61944" s="8"/>
    </row>
    <row r="61945" spans="17:17" x14ac:dyDescent="0.25">
      <c r="Q61945" s="8"/>
    </row>
    <row r="61946" spans="17:17" x14ac:dyDescent="0.25">
      <c r="Q61946" s="8"/>
    </row>
    <row r="61947" spans="17:17" x14ac:dyDescent="0.25">
      <c r="Q61947" s="8"/>
    </row>
    <row r="61948" spans="17:17" x14ac:dyDescent="0.25">
      <c r="Q61948" s="8"/>
    </row>
    <row r="61949" spans="17:17" x14ac:dyDescent="0.25">
      <c r="Q61949" s="8"/>
    </row>
    <row r="61950" spans="17:17" x14ac:dyDescent="0.25">
      <c r="Q61950" s="8"/>
    </row>
    <row r="61951" spans="17:17" x14ac:dyDescent="0.25">
      <c r="Q61951" s="8"/>
    </row>
    <row r="61952" spans="17:17" x14ac:dyDescent="0.25">
      <c r="Q61952" s="8"/>
    </row>
    <row r="61953" spans="17:17" x14ac:dyDescent="0.25">
      <c r="Q61953" s="8"/>
    </row>
    <row r="61954" spans="17:17" x14ac:dyDescent="0.25">
      <c r="Q61954" s="8"/>
    </row>
    <row r="61955" spans="17:17" x14ac:dyDescent="0.25">
      <c r="Q61955" s="8"/>
    </row>
    <row r="61956" spans="17:17" x14ac:dyDescent="0.25">
      <c r="Q61956" s="8"/>
    </row>
    <row r="61957" spans="17:17" x14ac:dyDescent="0.25">
      <c r="Q61957" s="8"/>
    </row>
    <row r="61958" spans="17:17" x14ac:dyDescent="0.25">
      <c r="Q61958" s="8"/>
    </row>
    <row r="61959" spans="17:17" x14ac:dyDescent="0.25">
      <c r="Q61959" s="8"/>
    </row>
    <row r="61960" spans="17:17" x14ac:dyDescent="0.25">
      <c r="Q61960" s="8"/>
    </row>
    <row r="61961" spans="17:17" x14ac:dyDescent="0.25">
      <c r="Q61961" s="8"/>
    </row>
    <row r="61962" spans="17:17" x14ac:dyDescent="0.25">
      <c r="Q61962" s="8"/>
    </row>
    <row r="61963" spans="17:17" x14ac:dyDescent="0.25">
      <c r="Q61963" s="8"/>
    </row>
    <row r="61964" spans="17:17" x14ac:dyDescent="0.25">
      <c r="Q61964" s="8"/>
    </row>
    <row r="61965" spans="17:17" x14ac:dyDescent="0.25">
      <c r="Q61965" s="8"/>
    </row>
    <row r="61966" spans="17:17" x14ac:dyDescent="0.25">
      <c r="Q61966" s="8"/>
    </row>
    <row r="61967" spans="17:17" x14ac:dyDescent="0.25">
      <c r="Q61967" s="8"/>
    </row>
    <row r="61968" spans="17:17" x14ac:dyDescent="0.25">
      <c r="Q61968" s="8"/>
    </row>
    <row r="61969" spans="17:17" x14ac:dyDescent="0.25">
      <c r="Q61969" s="8"/>
    </row>
    <row r="61970" spans="17:17" x14ac:dyDescent="0.25">
      <c r="Q61970" s="8"/>
    </row>
    <row r="61971" spans="17:17" x14ac:dyDescent="0.25">
      <c r="Q61971" s="8"/>
    </row>
    <row r="61972" spans="17:17" x14ac:dyDescent="0.25">
      <c r="Q61972" s="8"/>
    </row>
    <row r="61973" spans="17:17" x14ac:dyDescent="0.25">
      <c r="Q61973" s="8"/>
    </row>
    <row r="61974" spans="17:17" x14ac:dyDescent="0.25">
      <c r="Q61974" s="8"/>
    </row>
    <row r="61975" spans="17:17" x14ac:dyDescent="0.25">
      <c r="Q61975" s="8"/>
    </row>
    <row r="61976" spans="17:17" x14ac:dyDescent="0.25">
      <c r="Q61976" s="8"/>
    </row>
    <row r="61977" spans="17:17" x14ac:dyDescent="0.25">
      <c r="Q61977" s="8"/>
    </row>
    <row r="61978" spans="17:17" x14ac:dyDescent="0.25">
      <c r="Q61978" s="8"/>
    </row>
    <row r="61979" spans="17:17" x14ac:dyDescent="0.25">
      <c r="Q61979" s="8"/>
    </row>
    <row r="61980" spans="17:17" x14ac:dyDescent="0.25">
      <c r="Q61980" s="8"/>
    </row>
    <row r="61981" spans="17:17" x14ac:dyDescent="0.25">
      <c r="Q61981" s="8"/>
    </row>
    <row r="61982" spans="17:17" x14ac:dyDescent="0.25">
      <c r="Q61982" s="8"/>
    </row>
    <row r="61983" spans="17:17" x14ac:dyDescent="0.25">
      <c r="Q61983" s="8"/>
    </row>
    <row r="61984" spans="17:17" x14ac:dyDescent="0.25">
      <c r="Q61984" s="8"/>
    </row>
    <row r="61985" spans="17:17" x14ac:dyDescent="0.25">
      <c r="Q61985" s="8"/>
    </row>
    <row r="61986" spans="17:17" x14ac:dyDescent="0.25">
      <c r="Q61986" s="8"/>
    </row>
    <row r="61987" spans="17:17" x14ac:dyDescent="0.25">
      <c r="Q61987" s="8"/>
    </row>
    <row r="61988" spans="17:17" x14ac:dyDescent="0.25">
      <c r="Q61988" s="8"/>
    </row>
    <row r="61989" spans="17:17" x14ac:dyDescent="0.25">
      <c r="Q61989" s="8"/>
    </row>
    <row r="61990" spans="17:17" x14ac:dyDescent="0.25">
      <c r="Q61990" s="8"/>
    </row>
    <row r="61991" spans="17:17" x14ac:dyDescent="0.25">
      <c r="Q61991" s="8"/>
    </row>
    <row r="61992" spans="17:17" x14ac:dyDescent="0.25">
      <c r="Q61992" s="8"/>
    </row>
    <row r="61993" spans="17:17" x14ac:dyDescent="0.25">
      <c r="Q61993" s="8"/>
    </row>
    <row r="61994" spans="17:17" x14ac:dyDescent="0.25">
      <c r="Q61994" s="8"/>
    </row>
    <row r="61995" spans="17:17" x14ac:dyDescent="0.25">
      <c r="Q61995" s="8"/>
    </row>
    <row r="61996" spans="17:17" x14ac:dyDescent="0.25">
      <c r="Q61996" s="8"/>
    </row>
    <row r="61997" spans="17:17" x14ac:dyDescent="0.25">
      <c r="Q61997" s="8"/>
    </row>
    <row r="61998" spans="17:17" x14ac:dyDescent="0.25">
      <c r="Q61998" s="8"/>
    </row>
    <row r="61999" spans="17:17" x14ac:dyDescent="0.25">
      <c r="Q61999" s="8"/>
    </row>
    <row r="62000" spans="17:17" x14ac:dyDescent="0.25">
      <c r="Q62000" s="8"/>
    </row>
    <row r="62001" spans="17:17" x14ac:dyDescent="0.25">
      <c r="Q62001" s="8"/>
    </row>
    <row r="62002" spans="17:17" x14ac:dyDescent="0.25">
      <c r="Q62002" s="8"/>
    </row>
    <row r="62003" spans="17:17" x14ac:dyDescent="0.25">
      <c r="Q62003" s="8"/>
    </row>
    <row r="62004" spans="17:17" x14ac:dyDescent="0.25">
      <c r="Q62004" s="8"/>
    </row>
    <row r="62005" spans="17:17" x14ac:dyDescent="0.25">
      <c r="Q62005" s="8"/>
    </row>
    <row r="62006" spans="17:17" x14ac:dyDescent="0.25">
      <c r="Q62006" s="8"/>
    </row>
    <row r="62007" spans="17:17" x14ac:dyDescent="0.25">
      <c r="Q62007" s="8"/>
    </row>
    <row r="62008" spans="17:17" x14ac:dyDescent="0.25">
      <c r="Q62008" s="8"/>
    </row>
    <row r="62009" spans="17:17" x14ac:dyDescent="0.25">
      <c r="Q62009" s="8"/>
    </row>
    <row r="62010" spans="17:17" x14ac:dyDescent="0.25">
      <c r="Q62010" s="8"/>
    </row>
    <row r="62011" spans="17:17" x14ac:dyDescent="0.25">
      <c r="Q62011" s="8"/>
    </row>
    <row r="62012" spans="17:17" x14ac:dyDescent="0.25">
      <c r="Q62012" s="8"/>
    </row>
    <row r="62013" spans="17:17" x14ac:dyDescent="0.25">
      <c r="Q62013" s="8"/>
    </row>
    <row r="62014" spans="17:17" x14ac:dyDescent="0.25">
      <c r="Q62014" s="8"/>
    </row>
    <row r="62015" spans="17:17" x14ac:dyDescent="0.25">
      <c r="Q62015" s="8"/>
    </row>
    <row r="62016" spans="17:17" x14ac:dyDescent="0.25">
      <c r="Q62016" s="8"/>
    </row>
    <row r="62017" spans="17:17" x14ac:dyDescent="0.25">
      <c r="Q62017" s="8"/>
    </row>
    <row r="62018" spans="17:17" x14ac:dyDescent="0.25">
      <c r="Q62018" s="8"/>
    </row>
    <row r="62019" spans="17:17" x14ac:dyDescent="0.25">
      <c r="Q62019" s="8"/>
    </row>
    <row r="62020" spans="17:17" x14ac:dyDescent="0.25">
      <c r="Q62020" s="8"/>
    </row>
    <row r="62021" spans="17:17" x14ac:dyDescent="0.25">
      <c r="Q62021" s="8"/>
    </row>
    <row r="62022" spans="17:17" x14ac:dyDescent="0.25">
      <c r="Q62022" s="8"/>
    </row>
    <row r="62023" spans="17:17" x14ac:dyDescent="0.25">
      <c r="Q62023" s="8"/>
    </row>
    <row r="62024" spans="17:17" x14ac:dyDescent="0.25">
      <c r="Q62024" s="8"/>
    </row>
    <row r="62025" spans="17:17" x14ac:dyDescent="0.25">
      <c r="Q62025" s="8"/>
    </row>
    <row r="62026" spans="17:17" x14ac:dyDescent="0.25">
      <c r="Q62026" s="8"/>
    </row>
    <row r="62027" spans="17:17" x14ac:dyDescent="0.25">
      <c r="Q62027" s="8"/>
    </row>
    <row r="62028" spans="17:17" x14ac:dyDescent="0.25">
      <c r="Q62028" s="8"/>
    </row>
    <row r="62029" spans="17:17" x14ac:dyDescent="0.25">
      <c r="Q62029" s="8"/>
    </row>
    <row r="62030" spans="17:17" x14ac:dyDescent="0.25">
      <c r="Q62030" s="8"/>
    </row>
    <row r="62031" spans="17:17" x14ac:dyDescent="0.25">
      <c r="Q62031" s="8"/>
    </row>
    <row r="62032" spans="17:17" x14ac:dyDescent="0.25">
      <c r="Q62032" s="8"/>
    </row>
    <row r="62033" spans="17:17" x14ac:dyDescent="0.25">
      <c r="Q62033" s="8"/>
    </row>
    <row r="62034" spans="17:17" x14ac:dyDescent="0.25">
      <c r="Q62034" s="8"/>
    </row>
    <row r="62035" spans="17:17" x14ac:dyDescent="0.25">
      <c r="Q62035" s="8"/>
    </row>
    <row r="62036" spans="17:17" x14ac:dyDescent="0.25">
      <c r="Q62036" s="8"/>
    </row>
    <row r="62037" spans="17:17" x14ac:dyDescent="0.25">
      <c r="Q62037" s="8"/>
    </row>
    <row r="62038" spans="17:17" x14ac:dyDescent="0.25">
      <c r="Q62038" s="8"/>
    </row>
    <row r="62039" spans="17:17" x14ac:dyDescent="0.25">
      <c r="Q62039" s="8"/>
    </row>
    <row r="62040" spans="17:17" x14ac:dyDescent="0.25">
      <c r="Q62040" s="8"/>
    </row>
    <row r="62041" spans="17:17" x14ac:dyDescent="0.25">
      <c r="Q62041" s="8"/>
    </row>
    <row r="62042" spans="17:17" x14ac:dyDescent="0.25">
      <c r="Q62042" s="8"/>
    </row>
    <row r="62043" spans="17:17" x14ac:dyDescent="0.25">
      <c r="Q62043" s="8"/>
    </row>
    <row r="62044" spans="17:17" x14ac:dyDescent="0.25">
      <c r="Q62044" s="8"/>
    </row>
    <row r="62045" spans="17:17" x14ac:dyDescent="0.25">
      <c r="Q62045" s="8"/>
    </row>
    <row r="62046" spans="17:17" x14ac:dyDescent="0.25">
      <c r="Q62046" s="8"/>
    </row>
    <row r="62047" spans="17:17" x14ac:dyDescent="0.25">
      <c r="Q62047" s="8"/>
    </row>
    <row r="62048" spans="17:17" x14ac:dyDescent="0.25">
      <c r="Q62048" s="8"/>
    </row>
    <row r="62049" spans="17:17" x14ac:dyDescent="0.25">
      <c r="Q62049" s="8"/>
    </row>
    <row r="62050" spans="17:17" x14ac:dyDescent="0.25">
      <c r="Q62050" s="8"/>
    </row>
    <row r="62051" spans="17:17" x14ac:dyDescent="0.25">
      <c r="Q62051" s="8"/>
    </row>
    <row r="62052" spans="17:17" x14ac:dyDescent="0.25">
      <c r="Q62052" s="8"/>
    </row>
    <row r="62053" spans="17:17" x14ac:dyDescent="0.25">
      <c r="Q62053" s="8"/>
    </row>
    <row r="62054" spans="17:17" x14ac:dyDescent="0.25">
      <c r="Q62054" s="8"/>
    </row>
    <row r="62055" spans="17:17" x14ac:dyDescent="0.25">
      <c r="Q62055" s="8"/>
    </row>
    <row r="62056" spans="17:17" x14ac:dyDescent="0.25">
      <c r="Q62056" s="8"/>
    </row>
    <row r="62057" spans="17:17" x14ac:dyDescent="0.25">
      <c r="Q62057" s="8"/>
    </row>
    <row r="62058" spans="17:17" x14ac:dyDescent="0.25">
      <c r="Q62058" s="8"/>
    </row>
    <row r="62059" spans="17:17" x14ac:dyDescent="0.25">
      <c r="Q62059" s="8"/>
    </row>
    <row r="62060" spans="17:17" x14ac:dyDescent="0.25">
      <c r="Q62060" s="8"/>
    </row>
    <row r="62061" spans="17:17" x14ac:dyDescent="0.25">
      <c r="Q62061" s="8"/>
    </row>
    <row r="62062" spans="17:17" x14ac:dyDescent="0.25">
      <c r="Q62062" s="8"/>
    </row>
    <row r="62063" spans="17:17" x14ac:dyDescent="0.25">
      <c r="Q62063" s="8"/>
    </row>
    <row r="62064" spans="17:17" x14ac:dyDescent="0.25">
      <c r="Q62064" s="8"/>
    </row>
    <row r="62065" spans="17:17" x14ac:dyDescent="0.25">
      <c r="Q62065" s="8"/>
    </row>
    <row r="62066" spans="17:17" x14ac:dyDescent="0.25">
      <c r="Q62066" s="8"/>
    </row>
    <row r="62067" spans="17:17" x14ac:dyDescent="0.25">
      <c r="Q62067" s="8"/>
    </row>
    <row r="62068" spans="17:17" x14ac:dyDescent="0.25">
      <c r="Q62068" s="8"/>
    </row>
    <row r="62069" spans="17:17" x14ac:dyDescent="0.25">
      <c r="Q62069" s="8"/>
    </row>
    <row r="62070" spans="17:17" x14ac:dyDescent="0.25">
      <c r="Q62070" s="8"/>
    </row>
    <row r="62071" spans="17:17" x14ac:dyDescent="0.25">
      <c r="Q62071" s="8"/>
    </row>
    <row r="62072" spans="17:17" x14ac:dyDescent="0.25">
      <c r="Q62072" s="8"/>
    </row>
    <row r="62073" spans="17:17" x14ac:dyDescent="0.25">
      <c r="Q62073" s="8"/>
    </row>
    <row r="62074" spans="17:17" x14ac:dyDescent="0.25">
      <c r="Q62074" s="8"/>
    </row>
    <row r="62075" spans="17:17" x14ac:dyDescent="0.25">
      <c r="Q62075" s="8"/>
    </row>
    <row r="62076" spans="17:17" x14ac:dyDescent="0.25">
      <c r="Q62076" s="8"/>
    </row>
    <row r="62077" spans="17:17" x14ac:dyDescent="0.25">
      <c r="Q62077" s="8"/>
    </row>
    <row r="62078" spans="17:17" x14ac:dyDescent="0.25">
      <c r="Q62078" s="8"/>
    </row>
    <row r="62079" spans="17:17" x14ac:dyDescent="0.25">
      <c r="Q62079" s="8"/>
    </row>
    <row r="62080" spans="17:17" x14ac:dyDescent="0.25">
      <c r="Q62080" s="8"/>
    </row>
    <row r="62081" spans="17:17" x14ac:dyDescent="0.25">
      <c r="Q62081" s="8"/>
    </row>
    <row r="62082" spans="17:17" x14ac:dyDescent="0.25">
      <c r="Q62082" s="8"/>
    </row>
    <row r="62083" spans="17:17" x14ac:dyDescent="0.25">
      <c r="Q62083" s="8"/>
    </row>
    <row r="62084" spans="17:17" x14ac:dyDescent="0.25">
      <c r="Q62084" s="8"/>
    </row>
    <row r="62085" spans="17:17" x14ac:dyDescent="0.25">
      <c r="Q62085" s="8"/>
    </row>
    <row r="62086" spans="17:17" x14ac:dyDescent="0.25">
      <c r="Q62086" s="8"/>
    </row>
    <row r="62087" spans="17:17" x14ac:dyDescent="0.25">
      <c r="Q62087" s="8"/>
    </row>
    <row r="62088" spans="17:17" x14ac:dyDescent="0.25">
      <c r="Q62088" s="8"/>
    </row>
    <row r="62089" spans="17:17" x14ac:dyDescent="0.25">
      <c r="Q62089" s="8"/>
    </row>
    <row r="62090" spans="17:17" x14ac:dyDescent="0.25">
      <c r="Q62090" s="8"/>
    </row>
    <row r="62091" spans="17:17" x14ac:dyDescent="0.25">
      <c r="Q62091" s="8"/>
    </row>
    <row r="62092" spans="17:17" x14ac:dyDescent="0.25">
      <c r="Q62092" s="8"/>
    </row>
    <row r="62093" spans="17:17" x14ac:dyDescent="0.25">
      <c r="Q62093" s="8"/>
    </row>
    <row r="62094" spans="17:17" x14ac:dyDescent="0.25">
      <c r="Q62094" s="8"/>
    </row>
    <row r="62095" spans="17:17" x14ac:dyDescent="0.25">
      <c r="Q62095" s="8"/>
    </row>
    <row r="62096" spans="17:17" x14ac:dyDescent="0.25">
      <c r="Q62096" s="8"/>
    </row>
    <row r="62097" spans="17:17" x14ac:dyDescent="0.25">
      <c r="Q62097" s="8"/>
    </row>
    <row r="62098" spans="17:17" x14ac:dyDescent="0.25">
      <c r="Q62098" s="8"/>
    </row>
    <row r="62099" spans="17:17" x14ac:dyDescent="0.25">
      <c r="Q62099" s="8"/>
    </row>
    <row r="62100" spans="17:17" x14ac:dyDescent="0.25">
      <c r="Q62100" s="8"/>
    </row>
    <row r="62101" spans="17:17" x14ac:dyDescent="0.25">
      <c r="Q62101" s="8"/>
    </row>
    <row r="62102" spans="17:17" x14ac:dyDescent="0.25">
      <c r="Q62102" s="8"/>
    </row>
    <row r="62103" spans="17:17" x14ac:dyDescent="0.25">
      <c r="Q62103" s="8"/>
    </row>
    <row r="62104" spans="17:17" x14ac:dyDescent="0.25">
      <c r="Q62104" s="8"/>
    </row>
    <row r="62105" spans="17:17" x14ac:dyDescent="0.25">
      <c r="Q62105" s="8"/>
    </row>
    <row r="62106" spans="17:17" x14ac:dyDescent="0.25">
      <c r="Q62106" s="8"/>
    </row>
    <row r="62107" spans="17:17" x14ac:dyDescent="0.25">
      <c r="Q62107" s="8"/>
    </row>
    <row r="62108" spans="17:17" x14ac:dyDescent="0.25">
      <c r="Q62108" s="8"/>
    </row>
    <row r="62109" spans="17:17" x14ac:dyDescent="0.25">
      <c r="Q62109" s="8"/>
    </row>
    <row r="62110" spans="17:17" x14ac:dyDescent="0.25">
      <c r="Q62110" s="8"/>
    </row>
    <row r="62111" spans="17:17" x14ac:dyDescent="0.25">
      <c r="Q62111" s="8"/>
    </row>
    <row r="62112" spans="17:17" x14ac:dyDescent="0.25">
      <c r="Q62112" s="8"/>
    </row>
    <row r="62113" spans="17:17" x14ac:dyDescent="0.25">
      <c r="Q62113" s="8"/>
    </row>
    <row r="62114" spans="17:17" x14ac:dyDescent="0.25">
      <c r="Q62114" s="8"/>
    </row>
    <row r="62115" spans="17:17" x14ac:dyDescent="0.25">
      <c r="Q62115" s="8"/>
    </row>
    <row r="62116" spans="17:17" x14ac:dyDescent="0.25">
      <c r="Q62116" s="8"/>
    </row>
    <row r="62117" spans="17:17" x14ac:dyDescent="0.25">
      <c r="Q62117" s="8"/>
    </row>
    <row r="62118" spans="17:17" x14ac:dyDescent="0.25">
      <c r="Q62118" s="8"/>
    </row>
    <row r="62119" spans="17:17" x14ac:dyDescent="0.25">
      <c r="Q62119" s="8"/>
    </row>
    <row r="62120" spans="17:17" x14ac:dyDescent="0.25">
      <c r="Q62120" s="8"/>
    </row>
    <row r="62121" spans="17:17" x14ac:dyDescent="0.25">
      <c r="Q62121" s="8"/>
    </row>
    <row r="62122" spans="17:17" x14ac:dyDescent="0.25">
      <c r="Q62122" s="8"/>
    </row>
    <row r="62123" spans="17:17" x14ac:dyDescent="0.25">
      <c r="Q62123" s="8"/>
    </row>
    <row r="62124" spans="17:17" x14ac:dyDescent="0.25">
      <c r="Q62124" s="8"/>
    </row>
    <row r="62125" spans="17:17" x14ac:dyDescent="0.25">
      <c r="Q62125" s="8"/>
    </row>
    <row r="62126" spans="17:17" x14ac:dyDescent="0.25">
      <c r="Q62126" s="8"/>
    </row>
    <row r="62127" spans="17:17" x14ac:dyDescent="0.25">
      <c r="Q62127" s="8"/>
    </row>
    <row r="62128" spans="17:17" x14ac:dyDescent="0.25">
      <c r="Q62128" s="8"/>
    </row>
    <row r="62129" spans="17:17" x14ac:dyDescent="0.25">
      <c r="Q62129" s="8"/>
    </row>
    <row r="62130" spans="17:17" x14ac:dyDescent="0.25">
      <c r="Q62130" s="8"/>
    </row>
    <row r="62131" spans="17:17" x14ac:dyDescent="0.25">
      <c r="Q62131" s="8"/>
    </row>
    <row r="62132" spans="17:17" x14ac:dyDescent="0.25">
      <c r="Q62132" s="8"/>
    </row>
    <row r="62133" spans="17:17" x14ac:dyDescent="0.25">
      <c r="Q62133" s="8"/>
    </row>
    <row r="62134" spans="17:17" x14ac:dyDescent="0.25">
      <c r="Q62134" s="8"/>
    </row>
    <row r="62135" spans="17:17" x14ac:dyDescent="0.25">
      <c r="Q62135" s="8"/>
    </row>
    <row r="62136" spans="17:17" x14ac:dyDescent="0.25">
      <c r="Q62136" s="8"/>
    </row>
    <row r="62137" spans="17:17" x14ac:dyDescent="0.25">
      <c r="Q62137" s="8"/>
    </row>
    <row r="62138" spans="17:17" x14ac:dyDescent="0.25">
      <c r="Q62138" s="8"/>
    </row>
    <row r="62139" spans="17:17" x14ac:dyDescent="0.25">
      <c r="Q62139" s="8"/>
    </row>
    <row r="62140" spans="17:17" x14ac:dyDescent="0.25">
      <c r="Q62140" s="8"/>
    </row>
    <row r="62141" spans="17:17" x14ac:dyDescent="0.25">
      <c r="Q62141" s="8"/>
    </row>
    <row r="62142" spans="17:17" x14ac:dyDescent="0.25">
      <c r="Q62142" s="8"/>
    </row>
    <row r="62143" spans="17:17" x14ac:dyDescent="0.25">
      <c r="Q62143" s="8"/>
    </row>
    <row r="62144" spans="17:17" x14ac:dyDescent="0.25">
      <c r="Q62144" s="8"/>
    </row>
    <row r="62145" spans="17:17" x14ac:dyDescent="0.25">
      <c r="Q62145" s="8"/>
    </row>
    <row r="62146" spans="17:17" x14ac:dyDescent="0.25">
      <c r="Q62146" s="8"/>
    </row>
    <row r="62147" spans="17:17" x14ac:dyDescent="0.25">
      <c r="Q62147" s="8"/>
    </row>
    <row r="62148" spans="17:17" x14ac:dyDescent="0.25">
      <c r="Q62148" s="8"/>
    </row>
    <row r="62149" spans="17:17" x14ac:dyDescent="0.25">
      <c r="Q62149" s="8"/>
    </row>
    <row r="62150" spans="17:17" x14ac:dyDescent="0.25">
      <c r="Q62150" s="8"/>
    </row>
    <row r="62151" spans="17:17" x14ac:dyDescent="0.25">
      <c r="Q62151" s="8"/>
    </row>
    <row r="62152" spans="17:17" x14ac:dyDescent="0.25">
      <c r="Q62152" s="8"/>
    </row>
    <row r="62153" spans="17:17" x14ac:dyDescent="0.25">
      <c r="Q62153" s="8"/>
    </row>
    <row r="62154" spans="17:17" x14ac:dyDescent="0.25">
      <c r="Q62154" s="8"/>
    </row>
    <row r="62155" spans="17:17" x14ac:dyDescent="0.25">
      <c r="Q62155" s="8"/>
    </row>
    <row r="62156" spans="17:17" x14ac:dyDescent="0.25">
      <c r="Q62156" s="8"/>
    </row>
    <row r="62157" spans="17:17" x14ac:dyDescent="0.25">
      <c r="Q62157" s="8"/>
    </row>
    <row r="62158" spans="17:17" x14ac:dyDescent="0.25">
      <c r="Q62158" s="8"/>
    </row>
    <row r="62159" spans="17:17" x14ac:dyDescent="0.25">
      <c r="Q62159" s="8"/>
    </row>
    <row r="62160" spans="17:17" x14ac:dyDescent="0.25">
      <c r="Q62160" s="8"/>
    </row>
    <row r="62161" spans="17:17" x14ac:dyDescent="0.25">
      <c r="Q62161" s="8"/>
    </row>
    <row r="62162" spans="17:17" x14ac:dyDescent="0.25">
      <c r="Q62162" s="8"/>
    </row>
    <row r="62163" spans="17:17" x14ac:dyDescent="0.25">
      <c r="Q62163" s="8"/>
    </row>
    <row r="62164" spans="17:17" x14ac:dyDescent="0.25">
      <c r="Q62164" s="8"/>
    </row>
    <row r="62165" spans="17:17" x14ac:dyDescent="0.25">
      <c r="Q62165" s="8"/>
    </row>
    <row r="62166" spans="17:17" x14ac:dyDescent="0.25">
      <c r="Q62166" s="8"/>
    </row>
    <row r="62167" spans="17:17" x14ac:dyDescent="0.25">
      <c r="Q62167" s="8"/>
    </row>
    <row r="62168" spans="17:17" x14ac:dyDescent="0.25">
      <c r="Q62168" s="8"/>
    </row>
    <row r="62169" spans="17:17" x14ac:dyDescent="0.25">
      <c r="Q62169" s="8"/>
    </row>
    <row r="62170" spans="17:17" x14ac:dyDescent="0.25">
      <c r="Q62170" s="8"/>
    </row>
    <row r="62171" spans="17:17" x14ac:dyDescent="0.25">
      <c r="Q62171" s="8"/>
    </row>
    <row r="62172" spans="17:17" x14ac:dyDescent="0.25">
      <c r="Q62172" s="8"/>
    </row>
    <row r="62173" spans="17:17" x14ac:dyDescent="0.25">
      <c r="Q62173" s="8"/>
    </row>
    <row r="62174" spans="17:17" x14ac:dyDescent="0.25">
      <c r="Q62174" s="8"/>
    </row>
    <row r="62175" spans="17:17" x14ac:dyDescent="0.25">
      <c r="Q62175" s="8"/>
    </row>
    <row r="62176" spans="17:17" x14ac:dyDescent="0.25">
      <c r="Q62176" s="8"/>
    </row>
    <row r="62177" spans="17:17" x14ac:dyDescent="0.25">
      <c r="Q62177" s="8"/>
    </row>
    <row r="62178" spans="17:17" x14ac:dyDescent="0.25">
      <c r="Q62178" s="8"/>
    </row>
    <row r="62179" spans="17:17" x14ac:dyDescent="0.25">
      <c r="Q62179" s="8"/>
    </row>
    <row r="62180" spans="17:17" x14ac:dyDescent="0.25">
      <c r="Q62180" s="8"/>
    </row>
    <row r="62181" spans="17:17" x14ac:dyDescent="0.25">
      <c r="Q62181" s="8"/>
    </row>
    <row r="62182" spans="17:17" x14ac:dyDescent="0.25">
      <c r="Q62182" s="8"/>
    </row>
    <row r="62183" spans="17:17" x14ac:dyDescent="0.25">
      <c r="Q62183" s="8"/>
    </row>
    <row r="62184" spans="17:17" x14ac:dyDescent="0.25">
      <c r="Q62184" s="8"/>
    </row>
    <row r="62185" spans="17:17" x14ac:dyDescent="0.25">
      <c r="Q62185" s="8"/>
    </row>
    <row r="62186" spans="17:17" x14ac:dyDescent="0.25">
      <c r="Q62186" s="8"/>
    </row>
    <row r="62187" spans="17:17" x14ac:dyDescent="0.25">
      <c r="Q62187" s="8"/>
    </row>
    <row r="62188" spans="17:17" x14ac:dyDescent="0.25">
      <c r="Q62188" s="8"/>
    </row>
    <row r="62189" spans="17:17" x14ac:dyDescent="0.25">
      <c r="Q62189" s="8"/>
    </row>
    <row r="62190" spans="17:17" x14ac:dyDescent="0.25">
      <c r="Q62190" s="8"/>
    </row>
    <row r="62191" spans="17:17" x14ac:dyDescent="0.25">
      <c r="Q62191" s="8"/>
    </row>
    <row r="62192" spans="17:17" x14ac:dyDescent="0.25">
      <c r="Q62192" s="8"/>
    </row>
    <row r="62193" spans="17:17" x14ac:dyDescent="0.25">
      <c r="Q62193" s="8"/>
    </row>
    <row r="62194" spans="17:17" x14ac:dyDescent="0.25">
      <c r="Q62194" s="8"/>
    </row>
    <row r="62195" spans="17:17" x14ac:dyDescent="0.25">
      <c r="Q62195" s="8"/>
    </row>
    <row r="62196" spans="17:17" x14ac:dyDescent="0.25">
      <c r="Q62196" s="8"/>
    </row>
    <row r="62197" spans="17:17" x14ac:dyDescent="0.25">
      <c r="Q62197" s="8"/>
    </row>
    <row r="62198" spans="17:17" x14ac:dyDescent="0.25">
      <c r="Q62198" s="8"/>
    </row>
    <row r="62199" spans="17:17" x14ac:dyDescent="0.25">
      <c r="Q62199" s="8"/>
    </row>
    <row r="62200" spans="17:17" x14ac:dyDescent="0.25">
      <c r="Q62200" s="8"/>
    </row>
    <row r="62201" spans="17:17" x14ac:dyDescent="0.25">
      <c r="Q62201" s="8"/>
    </row>
    <row r="62202" spans="17:17" x14ac:dyDescent="0.25">
      <c r="Q62202" s="8"/>
    </row>
    <row r="62203" spans="17:17" x14ac:dyDescent="0.25">
      <c r="Q62203" s="8"/>
    </row>
    <row r="62204" spans="17:17" x14ac:dyDescent="0.25">
      <c r="Q62204" s="8"/>
    </row>
    <row r="62205" spans="17:17" x14ac:dyDescent="0.25">
      <c r="Q62205" s="8"/>
    </row>
    <row r="62206" spans="17:17" x14ac:dyDescent="0.25">
      <c r="Q62206" s="8"/>
    </row>
    <row r="62207" spans="17:17" x14ac:dyDescent="0.25">
      <c r="Q62207" s="8"/>
    </row>
    <row r="62208" spans="17:17" x14ac:dyDescent="0.25">
      <c r="Q62208" s="8"/>
    </row>
    <row r="62209" spans="17:17" x14ac:dyDescent="0.25">
      <c r="Q62209" s="8"/>
    </row>
    <row r="62210" spans="17:17" x14ac:dyDescent="0.25">
      <c r="Q62210" s="8"/>
    </row>
    <row r="62211" spans="17:17" x14ac:dyDescent="0.25">
      <c r="Q62211" s="8"/>
    </row>
    <row r="62212" spans="17:17" x14ac:dyDescent="0.25">
      <c r="Q62212" s="8"/>
    </row>
    <row r="62213" spans="17:17" x14ac:dyDescent="0.25">
      <c r="Q62213" s="8"/>
    </row>
    <row r="62214" spans="17:17" x14ac:dyDescent="0.25">
      <c r="Q62214" s="8"/>
    </row>
    <row r="62215" spans="17:17" x14ac:dyDescent="0.25">
      <c r="Q62215" s="8"/>
    </row>
    <row r="62216" spans="17:17" x14ac:dyDescent="0.25">
      <c r="Q62216" s="8"/>
    </row>
    <row r="62217" spans="17:17" x14ac:dyDescent="0.25">
      <c r="Q62217" s="8"/>
    </row>
    <row r="62218" spans="17:17" x14ac:dyDescent="0.25">
      <c r="Q62218" s="8"/>
    </row>
    <row r="62219" spans="17:17" x14ac:dyDescent="0.25">
      <c r="Q62219" s="8"/>
    </row>
    <row r="62220" spans="17:17" x14ac:dyDescent="0.25">
      <c r="Q62220" s="8"/>
    </row>
    <row r="62221" spans="17:17" x14ac:dyDescent="0.25">
      <c r="Q62221" s="8"/>
    </row>
    <row r="62222" spans="17:17" x14ac:dyDescent="0.25">
      <c r="Q62222" s="8"/>
    </row>
    <row r="62223" spans="17:17" x14ac:dyDescent="0.25">
      <c r="Q62223" s="8"/>
    </row>
    <row r="62224" spans="17:17" x14ac:dyDescent="0.25">
      <c r="Q62224" s="8"/>
    </row>
    <row r="62225" spans="17:17" x14ac:dyDescent="0.25">
      <c r="Q62225" s="8"/>
    </row>
    <row r="62226" spans="17:17" x14ac:dyDescent="0.25">
      <c r="Q62226" s="8"/>
    </row>
    <row r="62227" spans="17:17" x14ac:dyDescent="0.25">
      <c r="Q62227" s="8"/>
    </row>
    <row r="62228" spans="17:17" x14ac:dyDescent="0.25">
      <c r="Q62228" s="8"/>
    </row>
    <row r="62229" spans="17:17" x14ac:dyDescent="0.25">
      <c r="Q62229" s="8"/>
    </row>
    <row r="62230" spans="17:17" x14ac:dyDescent="0.25">
      <c r="Q62230" s="8"/>
    </row>
    <row r="62231" spans="17:17" x14ac:dyDescent="0.25">
      <c r="Q62231" s="8"/>
    </row>
    <row r="62232" spans="17:17" x14ac:dyDescent="0.25">
      <c r="Q62232" s="8"/>
    </row>
    <row r="62233" spans="17:17" x14ac:dyDescent="0.25">
      <c r="Q62233" s="8"/>
    </row>
    <row r="62234" spans="17:17" x14ac:dyDescent="0.25">
      <c r="Q62234" s="8"/>
    </row>
    <row r="62235" spans="17:17" x14ac:dyDescent="0.25">
      <c r="Q62235" s="8"/>
    </row>
    <row r="62236" spans="17:17" x14ac:dyDescent="0.25">
      <c r="Q62236" s="8"/>
    </row>
    <row r="62237" spans="17:17" x14ac:dyDescent="0.25">
      <c r="Q62237" s="8"/>
    </row>
    <row r="62238" spans="17:17" x14ac:dyDescent="0.25">
      <c r="Q62238" s="8"/>
    </row>
    <row r="62239" spans="17:17" x14ac:dyDescent="0.25">
      <c r="Q62239" s="8"/>
    </row>
    <row r="62240" spans="17:17" x14ac:dyDescent="0.25">
      <c r="Q62240" s="8"/>
    </row>
    <row r="62241" spans="17:17" x14ac:dyDescent="0.25">
      <c r="Q62241" s="8"/>
    </row>
    <row r="62242" spans="17:17" x14ac:dyDescent="0.25">
      <c r="Q62242" s="8"/>
    </row>
    <row r="62243" spans="17:17" x14ac:dyDescent="0.25">
      <c r="Q62243" s="8"/>
    </row>
    <row r="62244" spans="17:17" x14ac:dyDescent="0.25">
      <c r="Q62244" s="8"/>
    </row>
    <row r="62245" spans="17:17" x14ac:dyDescent="0.25">
      <c r="Q62245" s="8"/>
    </row>
    <row r="62246" spans="17:17" x14ac:dyDescent="0.25">
      <c r="Q62246" s="8"/>
    </row>
    <row r="62247" spans="17:17" x14ac:dyDescent="0.25">
      <c r="Q62247" s="8"/>
    </row>
    <row r="62248" spans="17:17" x14ac:dyDescent="0.25">
      <c r="Q62248" s="8"/>
    </row>
    <row r="62249" spans="17:17" x14ac:dyDescent="0.25">
      <c r="Q62249" s="8"/>
    </row>
    <row r="62250" spans="17:17" x14ac:dyDescent="0.25">
      <c r="Q62250" s="8"/>
    </row>
    <row r="62251" spans="17:17" x14ac:dyDescent="0.25">
      <c r="Q62251" s="8"/>
    </row>
    <row r="62252" spans="17:17" x14ac:dyDescent="0.25">
      <c r="Q62252" s="8"/>
    </row>
    <row r="62253" spans="17:17" x14ac:dyDescent="0.25">
      <c r="Q62253" s="8"/>
    </row>
    <row r="62254" spans="17:17" x14ac:dyDescent="0.25">
      <c r="Q62254" s="8"/>
    </row>
    <row r="62255" spans="17:17" x14ac:dyDescent="0.25">
      <c r="Q62255" s="8"/>
    </row>
    <row r="62256" spans="17:17" x14ac:dyDescent="0.25">
      <c r="Q62256" s="8"/>
    </row>
    <row r="62257" spans="17:17" x14ac:dyDescent="0.25">
      <c r="Q62257" s="8"/>
    </row>
    <row r="62258" spans="17:17" x14ac:dyDescent="0.25">
      <c r="Q62258" s="8"/>
    </row>
    <row r="62259" spans="17:17" x14ac:dyDescent="0.25">
      <c r="Q62259" s="8"/>
    </row>
    <row r="62260" spans="17:17" x14ac:dyDescent="0.25">
      <c r="Q62260" s="8"/>
    </row>
    <row r="62261" spans="17:17" x14ac:dyDescent="0.25">
      <c r="Q62261" s="8"/>
    </row>
    <row r="62262" spans="17:17" x14ac:dyDescent="0.25">
      <c r="Q62262" s="8"/>
    </row>
    <row r="62263" spans="17:17" x14ac:dyDescent="0.25">
      <c r="Q62263" s="8"/>
    </row>
    <row r="62264" spans="17:17" x14ac:dyDescent="0.25">
      <c r="Q62264" s="8"/>
    </row>
    <row r="62265" spans="17:17" x14ac:dyDescent="0.25">
      <c r="Q62265" s="8"/>
    </row>
    <row r="62266" spans="17:17" x14ac:dyDescent="0.25">
      <c r="Q62266" s="8"/>
    </row>
    <row r="62267" spans="17:17" x14ac:dyDescent="0.25">
      <c r="Q62267" s="8"/>
    </row>
    <row r="62268" spans="17:17" x14ac:dyDescent="0.25">
      <c r="Q62268" s="8"/>
    </row>
    <row r="62269" spans="17:17" x14ac:dyDescent="0.25">
      <c r="Q62269" s="8"/>
    </row>
    <row r="62270" spans="17:17" x14ac:dyDescent="0.25">
      <c r="Q62270" s="8"/>
    </row>
    <row r="62271" spans="17:17" x14ac:dyDescent="0.25">
      <c r="Q62271" s="8"/>
    </row>
    <row r="62272" spans="17:17" x14ac:dyDescent="0.25">
      <c r="Q62272" s="8"/>
    </row>
    <row r="62273" spans="17:17" x14ac:dyDescent="0.25">
      <c r="Q62273" s="8"/>
    </row>
    <row r="62274" spans="17:17" x14ac:dyDescent="0.25">
      <c r="Q62274" s="8"/>
    </row>
    <row r="62275" spans="17:17" x14ac:dyDescent="0.25">
      <c r="Q62275" s="8"/>
    </row>
    <row r="62276" spans="17:17" x14ac:dyDescent="0.25">
      <c r="Q62276" s="8"/>
    </row>
    <row r="62277" spans="17:17" x14ac:dyDescent="0.25">
      <c r="Q62277" s="8"/>
    </row>
    <row r="62278" spans="17:17" x14ac:dyDescent="0.25">
      <c r="Q62278" s="8"/>
    </row>
    <row r="62279" spans="17:17" x14ac:dyDescent="0.25">
      <c r="Q62279" s="8"/>
    </row>
    <row r="62280" spans="17:17" x14ac:dyDescent="0.25">
      <c r="Q62280" s="8"/>
    </row>
    <row r="62281" spans="17:17" x14ac:dyDescent="0.25">
      <c r="Q62281" s="8"/>
    </row>
    <row r="62282" spans="17:17" x14ac:dyDescent="0.25">
      <c r="Q62282" s="8"/>
    </row>
    <row r="62283" spans="17:17" x14ac:dyDescent="0.25">
      <c r="Q62283" s="8"/>
    </row>
    <row r="62284" spans="17:17" x14ac:dyDescent="0.25">
      <c r="Q62284" s="8"/>
    </row>
    <row r="62285" spans="17:17" x14ac:dyDescent="0.25">
      <c r="Q62285" s="8"/>
    </row>
    <row r="62286" spans="17:17" x14ac:dyDescent="0.25">
      <c r="Q62286" s="8"/>
    </row>
    <row r="62287" spans="17:17" x14ac:dyDescent="0.25">
      <c r="Q62287" s="8"/>
    </row>
    <row r="62288" spans="17:17" x14ac:dyDescent="0.25">
      <c r="Q62288" s="8"/>
    </row>
    <row r="62289" spans="17:17" x14ac:dyDescent="0.25">
      <c r="Q62289" s="8"/>
    </row>
    <row r="62290" spans="17:17" x14ac:dyDescent="0.25">
      <c r="Q62290" s="8"/>
    </row>
    <row r="62291" spans="17:17" x14ac:dyDescent="0.25">
      <c r="Q62291" s="8"/>
    </row>
    <row r="62292" spans="17:17" x14ac:dyDescent="0.25">
      <c r="Q62292" s="8"/>
    </row>
    <row r="62293" spans="17:17" x14ac:dyDescent="0.25">
      <c r="Q62293" s="8"/>
    </row>
    <row r="62294" spans="17:17" x14ac:dyDescent="0.25">
      <c r="Q62294" s="8"/>
    </row>
    <row r="62295" spans="17:17" x14ac:dyDescent="0.25">
      <c r="Q62295" s="8"/>
    </row>
    <row r="62296" spans="17:17" x14ac:dyDescent="0.25">
      <c r="Q62296" s="8"/>
    </row>
    <row r="62297" spans="17:17" x14ac:dyDescent="0.25">
      <c r="Q62297" s="8"/>
    </row>
    <row r="62298" spans="17:17" x14ac:dyDescent="0.25">
      <c r="Q62298" s="8"/>
    </row>
    <row r="62299" spans="17:17" x14ac:dyDescent="0.25">
      <c r="Q62299" s="8"/>
    </row>
    <row r="62300" spans="17:17" x14ac:dyDescent="0.25">
      <c r="Q62300" s="8"/>
    </row>
    <row r="62301" spans="17:17" x14ac:dyDescent="0.25">
      <c r="Q62301" s="8"/>
    </row>
    <row r="62302" spans="17:17" x14ac:dyDescent="0.25">
      <c r="Q62302" s="8"/>
    </row>
    <row r="62303" spans="17:17" x14ac:dyDescent="0.25">
      <c r="Q62303" s="8"/>
    </row>
    <row r="62304" spans="17:17" x14ac:dyDescent="0.25">
      <c r="Q62304" s="8"/>
    </row>
    <row r="62305" spans="17:17" x14ac:dyDescent="0.25">
      <c r="Q62305" s="8"/>
    </row>
    <row r="62306" spans="17:17" x14ac:dyDescent="0.25">
      <c r="Q62306" s="8"/>
    </row>
    <row r="62307" spans="17:17" x14ac:dyDescent="0.25">
      <c r="Q62307" s="8"/>
    </row>
    <row r="62308" spans="17:17" x14ac:dyDescent="0.25">
      <c r="Q62308" s="8"/>
    </row>
    <row r="62309" spans="17:17" x14ac:dyDescent="0.25">
      <c r="Q62309" s="8"/>
    </row>
    <row r="62310" spans="17:17" x14ac:dyDescent="0.25">
      <c r="Q62310" s="8"/>
    </row>
    <row r="62311" spans="17:17" x14ac:dyDescent="0.25">
      <c r="Q62311" s="8"/>
    </row>
    <row r="62312" spans="17:17" x14ac:dyDescent="0.25">
      <c r="Q62312" s="8"/>
    </row>
    <row r="62313" spans="17:17" x14ac:dyDescent="0.25">
      <c r="Q62313" s="8"/>
    </row>
    <row r="62314" spans="17:17" x14ac:dyDescent="0.25">
      <c r="Q62314" s="8"/>
    </row>
    <row r="62315" spans="17:17" x14ac:dyDescent="0.25">
      <c r="Q62315" s="8"/>
    </row>
    <row r="62316" spans="17:17" x14ac:dyDescent="0.25">
      <c r="Q62316" s="8"/>
    </row>
    <row r="62317" spans="17:17" x14ac:dyDescent="0.25">
      <c r="Q62317" s="8"/>
    </row>
    <row r="62318" spans="17:17" x14ac:dyDescent="0.25">
      <c r="Q62318" s="8"/>
    </row>
    <row r="62319" spans="17:17" x14ac:dyDescent="0.25">
      <c r="Q62319" s="8"/>
    </row>
    <row r="62320" spans="17:17" x14ac:dyDescent="0.25">
      <c r="Q62320" s="8"/>
    </row>
    <row r="62321" spans="17:17" x14ac:dyDescent="0.25">
      <c r="Q62321" s="8"/>
    </row>
    <row r="62322" spans="17:17" x14ac:dyDescent="0.25">
      <c r="Q62322" s="8"/>
    </row>
    <row r="62323" spans="17:17" x14ac:dyDescent="0.25">
      <c r="Q62323" s="8"/>
    </row>
    <row r="62324" spans="17:17" x14ac:dyDescent="0.25">
      <c r="Q62324" s="8"/>
    </row>
    <row r="62325" spans="17:17" x14ac:dyDescent="0.25">
      <c r="Q62325" s="8"/>
    </row>
    <row r="62326" spans="17:17" x14ac:dyDescent="0.25">
      <c r="Q62326" s="8"/>
    </row>
    <row r="62327" spans="17:17" x14ac:dyDescent="0.25">
      <c r="Q62327" s="8"/>
    </row>
    <row r="62328" spans="17:17" x14ac:dyDescent="0.25">
      <c r="Q62328" s="8"/>
    </row>
    <row r="62329" spans="17:17" x14ac:dyDescent="0.25">
      <c r="Q62329" s="8"/>
    </row>
    <row r="62330" spans="17:17" x14ac:dyDescent="0.25">
      <c r="Q62330" s="8"/>
    </row>
    <row r="62331" spans="17:17" x14ac:dyDescent="0.25">
      <c r="Q62331" s="8"/>
    </row>
    <row r="62332" spans="17:17" x14ac:dyDescent="0.25">
      <c r="Q62332" s="8"/>
    </row>
    <row r="62333" spans="17:17" x14ac:dyDescent="0.25">
      <c r="Q62333" s="8"/>
    </row>
    <row r="62334" spans="17:17" x14ac:dyDescent="0.25">
      <c r="Q62334" s="8"/>
    </row>
    <row r="62335" spans="17:17" x14ac:dyDescent="0.25">
      <c r="Q62335" s="8"/>
    </row>
    <row r="62336" spans="17:17" x14ac:dyDescent="0.25">
      <c r="Q62336" s="8"/>
    </row>
    <row r="62337" spans="17:17" x14ac:dyDescent="0.25">
      <c r="Q62337" s="8"/>
    </row>
    <row r="62338" spans="17:17" x14ac:dyDescent="0.25">
      <c r="Q62338" s="8"/>
    </row>
    <row r="62339" spans="17:17" x14ac:dyDescent="0.25">
      <c r="Q62339" s="8"/>
    </row>
    <row r="62340" spans="17:17" x14ac:dyDescent="0.25">
      <c r="Q62340" s="8"/>
    </row>
    <row r="62341" spans="17:17" x14ac:dyDescent="0.25">
      <c r="Q62341" s="8"/>
    </row>
    <row r="62342" spans="17:17" x14ac:dyDescent="0.25">
      <c r="Q62342" s="8"/>
    </row>
    <row r="62343" spans="17:17" x14ac:dyDescent="0.25">
      <c r="Q62343" s="8"/>
    </row>
    <row r="62344" spans="17:17" x14ac:dyDescent="0.25">
      <c r="Q62344" s="8"/>
    </row>
    <row r="62345" spans="17:17" x14ac:dyDescent="0.25">
      <c r="Q62345" s="8"/>
    </row>
    <row r="62346" spans="17:17" x14ac:dyDescent="0.25">
      <c r="Q62346" s="8"/>
    </row>
    <row r="62347" spans="17:17" x14ac:dyDescent="0.25">
      <c r="Q62347" s="8"/>
    </row>
    <row r="62348" spans="17:17" x14ac:dyDescent="0.25">
      <c r="Q62348" s="8"/>
    </row>
    <row r="62349" spans="17:17" x14ac:dyDescent="0.25">
      <c r="Q62349" s="8"/>
    </row>
    <row r="62350" spans="17:17" x14ac:dyDescent="0.25">
      <c r="Q62350" s="8"/>
    </row>
    <row r="62351" spans="17:17" x14ac:dyDescent="0.25">
      <c r="Q62351" s="8"/>
    </row>
    <row r="62352" spans="17:17" x14ac:dyDescent="0.25">
      <c r="Q62352" s="8"/>
    </row>
    <row r="62353" spans="17:17" x14ac:dyDescent="0.25">
      <c r="Q62353" s="8"/>
    </row>
    <row r="62354" spans="17:17" x14ac:dyDescent="0.25">
      <c r="Q62354" s="8"/>
    </row>
    <row r="62355" spans="17:17" x14ac:dyDescent="0.25">
      <c r="Q62355" s="8"/>
    </row>
    <row r="62356" spans="17:17" x14ac:dyDescent="0.25">
      <c r="Q62356" s="8"/>
    </row>
    <row r="62357" spans="17:17" x14ac:dyDescent="0.25">
      <c r="Q62357" s="8"/>
    </row>
    <row r="62358" spans="17:17" x14ac:dyDescent="0.25">
      <c r="Q62358" s="8"/>
    </row>
    <row r="62359" spans="17:17" x14ac:dyDescent="0.25">
      <c r="Q62359" s="8"/>
    </row>
    <row r="62360" spans="17:17" x14ac:dyDescent="0.25">
      <c r="Q62360" s="8"/>
    </row>
    <row r="62361" spans="17:17" x14ac:dyDescent="0.25">
      <c r="Q62361" s="8"/>
    </row>
    <row r="62362" spans="17:17" x14ac:dyDescent="0.25">
      <c r="Q62362" s="8"/>
    </row>
    <row r="62363" spans="17:17" x14ac:dyDescent="0.25">
      <c r="Q62363" s="8"/>
    </row>
    <row r="62364" spans="17:17" x14ac:dyDescent="0.25">
      <c r="Q62364" s="8"/>
    </row>
    <row r="62365" spans="17:17" x14ac:dyDescent="0.25">
      <c r="Q62365" s="8"/>
    </row>
    <row r="62366" spans="17:17" x14ac:dyDescent="0.25">
      <c r="Q62366" s="8"/>
    </row>
    <row r="62367" spans="17:17" x14ac:dyDescent="0.25">
      <c r="Q62367" s="8"/>
    </row>
    <row r="62368" spans="17:17" x14ac:dyDescent="0.25">
      <c r="Q62368" s="8"/>
    </row>
    <row r="62369" spans="17:17" x14ac:dyDescent="0.25">
      <c r="Q62369" s="8"/>
    </row>
    <row r="62370" spans="17:17" x14ac:dyDescent="0.25">
      <c r="Q62370" s="8"/>
    </row>
    <row r="62371" spans="17:17" x14ac:dyDescent="0.25">
      <c r="Q62371" s="8"/>
    </row>
    <row r="62372" spans="17:17" x14ac:dyDescent="0.25">
      <c r="Q62372" s="8"/>
    </row>
    <row r="62373" spans="17:17" x14ac:dyDescent="0.25">
      <c r="Q62373" s="8"/>
    </row>
    <row r="62374" spans="17:17" x14ac:dyDescent="0.25">
      <c r="Q62374" s="8"/>
    </row>
    <row r="62375" spans="17:17" x14ac:dyDescent="0.25">
      <c r="Q62375" s="8"/>
    </row>
    <row r="62376" spans="17:17" x14ac:dyDescent="0.25">
      <c r="Q62376" s="8"/>
    </row>
    <row r="62377" spans="17:17" x14ac:dyDescent="0.25">
      <c r="Q62377" s="8"/>
    </row>
    <row r="62378" spans="17:17" x14ac:dyDescent="0.25">
      <c r="Q62378" s="8"/>
    </row>
    <row r="62379" spans="17:17" x14ac:dyDescent="0.25">
      <c r="Q62379" s="8"/>
    </row>
    <row r="62380" spans="17:17" x14ac:dyDescent="0.25">
      <c r="Q62380" s="8"/>
    </row>
    <row r="62381" spans="17:17" x14ac:dyDescent="0.25">
      <c r="Q62381" s="8"/>
    </row>
    <row r="62382" spans="17:17" x14ac:dyDescent="0.25">
      <c r="Q62382" s="8"/>
    </row>
    <row r="62383" spans="17:17" x14ac:dyDescent="0.25">
      <c r="Q62383" s="8"/>
    </row>
    <row r="62384" spans="17:17" x14ac:dyDescent="0.25">
      <c r="Q62384" s="8"/>
    </row>
    <row r="62385" spans="17:17" x14ac:dyDescent="0.25">
      <c r="Q62385" s="8"/>
    </row>
    <row r="62386" spans="17:17" x14ac:dyDescent="0.25">
      <c r="Q62386" s="8"/>
    </row>
    <row r="62387" spans="17:17" x14ac:dyDescent="0.25">
      <c r="Q62387" s="8"/>
    </row>
    <row r="62388" spans="17:17" x14ac:dyDescent="0.25">
      <c r="Q62388" s="8"/>
    </row>
    <row r="62389" spans="17:17" x14ac:dyDescent="0.25">
      <c r="Q62389" s="8"/>
    </row>
    <row r="62390" spans="17:17" x14ac:dyDescent="0.25">
      <c r="Q62390" s="8"/>
    </row>
    <row r="62391" spans="17:17" x14ac:dyDescent="0.25">
      <c r="Q62391" s="8"/>
    </row>
    <row r="62392" spans="17:17" x14ac:dyDescent="0.25">
      <c r="Q62392" s="8"/>
    </row>
    <row r="62393" spans="17:17" x14ac:dyDescent="0.25">
      <c r="Q62393" s="8"/>
    </row>
    <row r="62394" spans="17:17" x14ac:dyDescent="0.25">
      <c r="Q62394" s="8"/>
    </row>
    <row r="62395" spans="17:17" x14ac:dyDescent="0.25">
      <c r="Q62395" s="8"/>
    </row>
    <row r="62396" spans="17:17" x14ac:dyDescent="0.25">
      <c r="Q62396" s="8"/>
    </row>
    <row r="62397" spans="17:17" x14ac:dyDescent="0.25">
      <c r="Q62397" s="8"/>
    </row>
    <row r="62398" spans="17:17" x14ac:dyDescent="0.25">
      <c r="Q62398" s="8"/>
    </row>
    <row r="62399" spans="17:17" x14ac:dyDescent="0.25">
      <c r="Q62399" s="8"/>
    </row>
    <row r="62400" spans="17:17" x14ac:dyDescent="0.25">
      <c r="Q62400" s="8"/>
    </row>
    <row r="62401" spans="17:17" x14ac:dyDescent="0.25">
      <c r="Q62401" s="8"/>
    </row>
    <row r="62402" spans="17:17" x14ac:dyDescent="0.25">
      <c r="Q62402" s="8"/>
    </row>
    <row r="62403" spans="17:17" x14ac:dyDescent="0.25">
      <c r="Q62403" s="8"/>
    </row>
    <row r="62404" spans="17:17" x14ac:dyDescent="0.25">
      <c r="Q62404" s="8"/>
    </row>
    <row r="62405" spans="17:17" x14ac:dyDescent="0.25">
      <c r="Q62405" s="8"/>
    </row>
    <row r="62406" spans="17:17" x14ac:dyDescent="0.25">
      <c r="Q62406" s="8"/>
    </row>
    <row r="62407" spans="17:17" x14ac:dyDescent="0.25">
      <c r="Q62407" s="8"/>
    </row>
    <row r="62408" spans="17:17" x14ac:dyDescent="0.25">
      <c r="Q62408" s="8"/>
    </row>
    <row r="62409" spans="17:17" x14ac:dyDescent="0.25">
      <c r="Q62409" s="8"/>
    </row>
    <row r="62410" spans="17:17" x14ac:dyDescent="0.25">
      <c r="Q62410" s="8"/>
    </row>
    <row r="62411" spans="17:17" x14ac:dyDescent="0.25">
      <c r="Q62411" s="8"/>
    </row>
    <row r="62412" spans="17:17" x14ac:dyDescent="0.25">
      <c r="Q62412" s="8"/>
    </row>
    <row r="62413" spans="17:17" x14ac:dyDescent="0.25">
      <c r="Q62413" s="8"/>
    </row>
    <row r="62414" spans="17:17" x14ac:dyDescent="0.25">
      <c r="Q62414" s="8"/>
    </row>
    <row r="62415" spans="17:17" x14ac:dyDescent="0.25">
      <c r="Q62415" s="8"/>
    </row>
    <row r="62416" spans="17:17" x14ac:dyDescent="0.25">
      <c r="Q62416" s="8"/>
    </row>
    <row r="62417" spans="17:17" x14ac:dyDescent="0.25">
      <c r="Q62417" s="8"/>
    </row>
    <row r="62418" spans="17:17" x14ac:dyDescent="0.25">
      <c r="Q62418" s="8"/>
    </row>
    <row r="62419" spans="17:17" x14ac:dyDescent="0.25">
      <c r="Q62419" s="8"/>
    </row>
    <row r="62420" spans="17:17" x14ac:dyDescent="0.25">
      <c r="Q62420" s="8"/>
    </row>
    <row r="62421" spans="17:17" x14ac:dyDescent="0.25">
      <c r="Q62421" s="8"/>
    </row>
    <row r="62422" spans="17:17" x14ac:dyDescent="0.25">
      <c r="Q62422" s="8"/>
    </row>
    <row r="62423" spans="17:17" x14ac:dyDescent="0.25">
      <c r="Q62423" s="8"/>
    </row>
    <row r="62424" spans="17:17" x14ac:dyDescent="0.25">
      <c r="Q62424" s="8"/>
    </row>
    <row r="62425" spans="17:17" x14ac:dyDescent="0.25">
      <c r="Q62425" s="8"/>
    </row>
    <row r="62426" spans="17:17" x14ac:dyDescent="0.25">
      <c r="Q62426" s="8"/>
    </row>
    <row r="62427" spans="17:17" x14ac:dyDescent="0.25">
      <c r="Q62427" s="8"/>
    </row>
    <row r="62428" spans="17:17" x14ac:dyDescent="0.25">
      <c r="Q62428" s="8"/>
    </row>
    <row r="62429" spans="17:17" x14ac:dyDescent="0.25">
      <c r="Q62429" s="8"/>
    </row>
    <row r="62430" spans="17:17" x14ac:dyDescent="0.25">
      <c r="Q62430" s="8"/>
    </row>
    <row r="62431" spans="17:17" x14ac:dyDescent="0.25">
      <c r="Q62431" s="8"/>
    </row>
    <row r="62432" spans="17:17" x14ac:dyDescent="0.25">
      <c r="Q62432" s="8"/>
    </row>
    <row r="62433" spans="17:17" x14ac:dyDescent="0.25">
      <c r="Q62433" s="8"/>
    </row>
    <row r="62434" spans="17:17" x14ac:dyDescent="0.25">
      <c r="Q62434" s="8"/>
    </row>
    <row r="62435" spans="17:17" x14ac:dyDescent="0.25">
      <c r="Q62435" s="8"/>
    </row>
    <row r="62436" spans="17:17" x14ac:dyDescent="0.25">
      <c r="Q62436" s="8"/>
    </row>
    <row r="62437" spans="17:17" x14ac:dyDescent="0.25">
      <c r="Q62437" s="8"/>
    </row>
    <row r="62438" spans="17:17" x14ac:dyDescent="0.25">
      <c r="Q62438" s="8"/>
    </row>
    <row r="62439" spans="17:17" x14ac:dyDescent="0.25">
      <c r="Q62439" s="8"/>
    </row>
    <row r="62440" spans="17:17" x14ac:dyDescent="0.25">
      <c r="Q62440" s="8"/>
    </row>
    <row r="62441" spans="17:17" x14ac:dyDescent="0.25">
      <c r="Q62441" s="8"/>
    </row>
    <row r="62442" spans="17:17" x14ac:dyDescent="0.25">
      <c r="Q62442" s="8"/>
    </row>
    <row r="62443" spans="17:17" x14ac:dyDescent="0.25">
      <c r="Q62443" s="8"/>
    </row>
    <row r="62444" spans="17:17" x14ac:dyDescent="0.25">
      <c r="Q62444" s="8"/>
    </row>
    <row r="62445" spans="17:17" x14ac:dyDescent="0.25">
      <c r="Q62445" s="8"/>
    </row>
    <row r="62446" spans="17:17" x14ac:dyDescent="0.25">
      <c r="Q62446" s="8"/>
    </row>
    <row r="62447" spans="17:17" x14ac:dyDescent="0.25">
      <c r="Q62447" s="8"/>
    </row>
    <row r="62448" spans="17:17" x14ac:dyDescent="0.25">
      <c r="Q62448" s="8"/>
    </row>
    <row r="62449" spans="17:17" x14ac:dyDescent="0.25">
      <c r="Q62449" s="8"/>
    </row>
    <row r="62450" spans="17:17" x14ac:dyDescent="0.25">
      <c r="Q62450" s="8"/>
    </row>
    <row r="62451" spans="17:17" x14ac:dyDescent="0.25">
      <c r="Q62451" s="8"/>
    </row>
    <row r="62452" spans="17:17" x14ac:dyDescent="0.25">
      <c r="Q62452" s="8"/>
    </row>
    <row r="62453" spans="17:17" x14ac:dyDescent="0.25">
      <c r="Q62453" s="8"/>
    </row>
    <row r="62454" spans="17:17" x14ac:dyDescent="0.25">
      <c r="Q62454" s="8"/>
    </row>
    <row r="62455" spans="17:17" x14ac:dyDescent="0.25">
      <c r="Q62455" s="8"/>
    </row>
    <row r="62456" spans="17:17" x14ac:dyDescent="0.25">
      <c r="Q62456" s="8"/>
    </row>
    <row r="62457" spans="17:17" x14ac:dyDescent="0.25">
      <c r="Q62457" s="8"/>
    </row>
    <row r="62458" spans="17:17" x14ac:dyDescent="0.25">
      <c r="Q62458" s="8"/>
    </row>
    <row r="62459" spans="17:17" x14ac:dyDescent="0.25">
      <c r="Q62459" s="8"/>
    </row>
    <row r="62460" spans="17:17" x14ac:dyDescent="0.25">
      <c r="Q62460" s="8"/>
    </row>
    <row r="62461" spans="17:17" x14ac:dyDescent="0.25">
      <c r="Q62461" s="8"/>
    </row>
    <row r="62462" spans="17:17" x14ac:dyDescent="0.25">
      <c r="Q62462" s="8"/>
    </row>
    <row r="62463" spans="17:17" x14ac:dyDescent="0.25">
      <c r="Q62463" s="8"/>
    </row>
    <row r="62464" spans="17:17" x14ac:dyDescent="0.25">
      <c r="Q62464" s="8"/>
    </row>
    <row r="62465" spans="17:17" x14ac:dyDescent="0.25">
      <c r="Q62465" s="8"/>
    </row>
    <row r="62466" spans="17:17" x14ac:dyDescent="0.25">
      <c r="Q62466" s="8"/>
    </row>
    <row r="62467" spans="17:17" x14ac:dyDescent="0.25">
      <c r="Q62467" s="8"/>
    </row>
    <row r="62468" spans="17:17" x14ac:dyDescent="0.25">
      <c r="Q62468" s="8"/>
    </row>
    <row r="62469" spans="17:17" x14ac:dyDescent="0.25">
      <c r="Q62469" s="8"/>
    </row>
    <row r="62470" spans="17:17" x14ac:dyDescent="0.25">
      <c r="Q62470" s="8"/>
    </row>
    <row r="62471" spans="17:17" x14ac:dyDescent="0.25">
      <c r="Q62471" s="8"/>
    </row>
    <row r="62472" spans="17:17" x14ac:dyDescent="0.25">
      <c r="Q62472" s="8"/>
    </row>
    <row r="62473" spans="17:17" x14ac:dyDescent="0.25">
      <c r="Q62473" s="8"/>
    </row>
    <row r="62474" spans="17:17" x14ac:dyDescent="0.25">
      <c r="Q62474" s="8"/>
    </row>
    <row r="62475" spans="17:17" x14ac:dyDescent="0.25">
      <c r="Q62475" s="8"/>
    </row>
    <row r="62476" spans="17:17" x14ac:dyDescent="0.25">
      <c r="Q62476" s="8"/>
    </row>
    <row r="62477" spans="17:17" x14ac:dyDescent="0.25">
      <c r="Q62477" s="8"/>
    </row>
    <row r="62478" spans="17:17" x14ac:dyDescent="0.25">
      <c r="Q62478" s="8"/>
    </row>
    <row r="62479" spans="17:17" x14ac:dyDescent="0.25">
      <c r="Q62479" s="8"/>
    </row>
    <row r="62480" spans="17:17" x14ac:dyDescent="0.25">
      <c r="Q62480" s="8"/>
    </row>
    <row r="62481" spans="17:17" x14ac:dyDescent="0.25">
      <c r="Q62481" s="8"/>
    </row>
    <row r="62482" spans="17:17" x14ac:dyDescent="0.25">
      <c r="Q62482" s="8"/>
    </row>
    <row r="62483" spans="17:17" x14ac:dyDescent="0.25">
      <c r="Q62483" s="8"/>
    </row>
    <row r="62484" spans="17:17" x14ac:dyDescent="0.25">
      <c r="Q62484" s="8"/>
    </row>
    <row r="62485" spans="17:17" x14ac:dyDescent="0.25">
      <c r="Q62485" s="8"/>
    </row>
    <row r="62486" spans="17:17" x14ac:dyDescent="0.25">
      <c r="Q62486" s="8"/>
    </row>
    <row r="62487" spans="17:17" x14ac:dyDescent="0.25">
      <c r="Q62487" s="8"/>
    </row>
    <row r="62488" spans="17:17" x14ac:dyDescent="0.25">
      <c r="Q62488" s="8"/>
    </row>
    <row r="62489" spans="17:17" x14ac:dyDescent="0.25">
      <c r="Q62489" s="8"/>
    </row>
    <row r="62490" spans="17:17" x14ac:dyDescent="0.25">
      <c r="Q62490" s="8"/>
    </row>
    <row r="62491" spans="17:17" x14ac:dyDescent="0.25">
      <c r="Q62491" s="8"/>
    </row>
    <row r="62492" spans="17:17" x14ac:dyDescent="0.25">
      <c r="Q62492" s="8"/>
    </row>
    <row r="62493" spans="17:17" x14ac:dyDescent="0.25">
      <c r="Q62493" s="8"/>
    </row>
    <row r="62494" spans="17:17" x14ac:dyDescent="0.25">
      <c r="Q62494" s="8"/>
    </row>
    <row r="62495" spans="17:17" x14ac:dyDescent="0.25">
      <c r="Q62495" s="8"/>
    </row>
    <row r="62496" spans="17:17" x14ac:dyDescent="0.25">
      <c r="Q62496" s="8"/>
    </row>
    <row r="62497" spans="17:17" x14ac:dyDescent="0.25">
      <c r="Q62497" s="8"/>
    </row>
    <row r="62498" spans="17:17" x14ac:dyDescent="0.25">
      <c r="Q62498" s="8"/>
    </row>
    <row r="62499" spans="17:17" x14ac:dyDescent="0.25">
      <c r="Q62499" s="8"/>
    </row>
    <row r="62500" spans="17:17" x14ac:dyDescent="0.25">
      <c r="Q62500" s="8"/>
    </row>
    <row r="62501" spans="17:17" x14ac:dyDescent="0.25">
      <c r="Q62501" s="8"/>
    </row>
    <row r="62502" spans="17:17" x14ac:dyDescent="0.25">
      <c r="Q62502" s="8"/>
    </row>
    <row r="62503" spans="17:17" x14ac:dyDescent="0.25">
      <c r="Q62503" s="8"/>
    </row>
    <row r="62504" spans="17:17" x14ac:dyDescent="0.25">
      <c r="Q62504" s="8"/>
    </row>
    <row r="62505" spans="17:17" x14ac:dyDescent="0.25">
      <c r="Q62505" s="8"/>
    </row>
    <row r="62506" spans="17:17" x14ac:dyDescent="0.25">
      <c r="Q62506" s="8"/>
    </row>
    <row r="62507" spans="17:17" x14ac:dyDescent="0.25">
      <c r="Q62507" s="8"/>
    </row>
    <row r="62508" spans="17:17" x14ac:dyDescent="0.25">
      <c r="Q62508" s="8"/>
    </row>
    <row r="62509" spans="17:17" x14ac:dyDescent="0.25">
      <c r="Q62509" s="8"/>
    </row>
    <row r="62510" spans="17:17" x14ac:dyDescent="0.25">
      <c r="Q62510" s="8"/>
    </row>
    <row r="62511" spans="17:17" x14ac:dyDescent="0.25">
      <c r="Q62511" s="8"/>
    </row>
    <row r="62512" spans="17:17" x14ac:dyDescent="0.25">
      <c r="Q62512" s="8"/>
    </row>
    <row r="62513" spans="17:17" x14ac:dyDescent="0.25">
      <c r="Q62513" s="8"/>
    </row>
    <row r="62514" spans="17:17" x14ac:dyDescent="0.25">
      <c r="Q62514" s="8"/>
    </row>
    <row r="62515" spans="17:17" x14ac:dyDescent="0.25">
      <c r="Q62515" s="8"/>
    </row>
    <row r="62516" spans="17:17" x14ac:dyDescent="0.25">
      <c r="Q62516" s="8"/>
    </row>
    <row r="62517" spans="17:17" x14ac:dyDescent="0.25">
      <c r="Q62517" s="8"/>
    </row>
    <row r="62518" spans="17:17" x14ac:dyDescent="0.25">
      <c r="Q62518" s="8"/>
    </row>
    <row r="62519" spans="17:17" x14ac:dyDescent="0.25">
      <c r="Q62519" s="8"/>
    </row>
    <row r="62520" spans="17:17" x14ac:dyDescent="0.25">
      <c r="Q62520" s="8"/>
    </row>
    <row r="62521" spans="17:17" x14ac:dyDescent="0.25">
      <c r="Q62521" s="8"/>
    </row>
    <row r="62522" spans="17:17" x14ac:dyDescent="0.25">
      <c r="Q62522" s="8"/>
    </row>
    <row r="62523" spans="17:17" x14ac:dyDescent="0.25">
      <c r="Q62523" s="8"/>
    </row>
    <row r="62524" spans="17:17" x14ac:dyDescent="0.25">
      <c r="Q62524" s="8"/>
    </row>
    <row r="62525" spans="17:17" x14ac:dyDescent="0.25">
      <c r="Q62525" s="8"/>
    </row>
    <row r="62526" spans="17:17" x14ac:dyDescent="0.25">
      <c r="Q62526" s="8"/>
    </row>
    <row r="62527" spans="17:17" x14ac:dyDescent="0.25">
      <c r="Q62527" s="8"/>
    </row>
    <row r="62528" spans="17:17" x14ac:dyDescent="0.25">
      <c r="Q62528" s="8"/>
    </row>
    <row r="62529" spans="17:17" x14ac:dyDescent="0.25">
      <c r="Q62529" s="8"/>
    </row>
    <row r="62530" spans="17:17" x14ac:dyDescent="0.25">
      <c r="Q62530" s="8"/>
    </row>
    <row r="62531" spans="17:17" x14ac:dyDescent="0.25">
      <c r="Q62531" s="8"/>
    </row>
    <row r="62532" spans="17:17" x14ac:dyDescent="0.25">
      <c r="Q62532" s="8"/>
    </row>
    <row r="62533" spans="17:17" x14ac:dyDescent="0.25">
      <c r="Q62533" s="8"/>
    </row>
    <row r="62534" spans="17:17" x14ac:dyDescent="0.25">
      <c r="Q62534" s="8"/>
    </row>
    <row r="62535" spans="17:17" x14ac:dyDescent="0.25">
      <c r="Q62535" s="8"/>
    </row>
    <row r="62536" spans="17:17" x14ac:dyDescent="0.25">
      <c r="Q62536" s="8"/>
    </row>
    <row r="62537" spans="17:17" x14ac:dyDescent="0.25">
      <c r="Q62537" s="8"/>
    </row>
    <row r="62538" spans="17:17" x14ac:dyDescent="0.25">
      <c r="Q62538" s="8"/>
    </row>
    <row r="62539" spans="17:17" x14ac:dyDescent="0.25">
      <c r="Q62539" s="8"/>
    </row>
    <row r="62540" spans="17:17" x14ac:dyDescent="0.25">
      <c r="Q62540" s="8"/>
    </row>
    <row r="62541" spans="17:17" x14ac:dyDescent="0.25">
      <c r="Q62541" s="8"/>
    </row>
    <row r="62542" spans="17:17" x14ac:dyDescent="0.25">
      <c r="Q62542" s="8"/>
    </row>
    <row r="62543" spans="17:17" x14ac:dyDescent="0.25">
      <c r="Q62543" s="8"/>
    </row>
    <row r="62544" spans="17:17" x14ac:dyDescent="0.25">
      <c r="Q62544" s="8"/>
    </row>
    <row r="62545" spans="17:17" x14ac:dyDescent="0.25">
      <c r="Q62545" s="8"/>
    </row>
    <row r="62546" spans="17:17" x14ac:dyDescent="0.25">
      <c r="Q62546" s="8"/>
    </row>
    <row r="62547" spans="17:17" x14ac:dyDescent="0.25">
      <c r="Q62547" s="8"/>
    </row>
    <row r="62548" spans="17:17" x14ac:dyDescent="0.25">
      <c r="Q62548" s="8"/>
    </row>
    <row r="62549" spans="17:17" x14ac:dyDescent="0.25">
      <c r="Q62549" s="8"/>
    </row>
    <row r="62550" spans="17:17" x14ac:dyDescent="0.25">
      <c r="Q62550" s="8"/>
    </row>
    <row r="62551" spans="17:17" x14ac:dyDescent="0.25">
      <c r="Q62551" s="8"/>
    </row>
    <row r="62552" spans="17:17" x14ac:dyDescent="0.25">
      <c r="Q62552" s="8"/>
    </row>
    <row r="62553" spans="17:17" x14ac:dyDescent="0.25">
      <c r="Q62553" s="8"/>
    </row>
    <row r="62554" spans="17:17" x14ac:dyDescent="0.25">
      <c r="Q62554" s="8"/>
    </row>
    <row r="62555" spans="17:17" x14ac:dyDescent="0.25">
      <c r="Q62555" s="8"/>
    </row>
    <row r="62556" spans="17:17" x14ac:dyDescent="0.25">
      <c r="Q62556" s="8"/>
    </row>
    <row r="62557" spans="17:17" x14ac:dyDescent="0.25">
      <c r="Q62557" s="8"/>
    </row>
    <row r="62558" spans="17:17" x14ac:dyDescent="0.25">
      <c r="Q62558" s="8"/>
    </row>
    <row r="62559" spans="17:17" x14ac:dyDescent="0.25">
      <c r="Q62559" s="8"/>
    </row>
    <row r="62560" spans="17:17" x14ac:dyDescent="0.25">
      <c r="Q62560" s="8"/>
    </row>
    <row r="62561" spans="17:17" x14ac:dyDescent="0.25">
      <c r="Q62561" s="8"/>
    </row>
    <row r="62562" spans="17:17" x14ac:dyDescent="0.25">
      <c r="Q62562" s="8"/>
    </row>
    <row r="62563" spans="17:17" x14ac:dyDescent="0.25">
      <c r="Q62563" s="8"/>
    </row>
    <row r="62564" spans="17:17" x14ac:dyDescent="0.25">
      <c r="Q62564" s="8"/>
    </row>
    <row r="62565" spans="17:17" x14ac:dyDescent="0.25">
      <c r="Q62565" s="8"/>
    </row>
    <row r="62566" spans="17:17" x14ac:dyDescent="0.25">
      <c r="Q62566" s="8"/>
    </row>
    <row r="62567" spans="17:17" x14ac:dyDescent="0.25">
      <c r="Q62567" s="8"/>
    </row>
    <row r="62568" spans="17:17" x14ac:dyDescent="0.25">
      <c r="Q62568" s="8"/>
    </row>
    <row r="62569" spans="17:17" x14ac:dyDescent="0.25">
      <c r="Q62569" s="8"/>
    </row>
    <row r="62570" spans="17:17" x14ac:dyDescent="0.25">
      <c r="Q62570" s="8"/>
    </row>
    <row r="62571" spans="17:17" x14ac:dyDescent="0.25">
      <c r="Q62571" s="8"/>
    </row>
    <row r="62572" spans="17:17" x14ac:dyDescent="0.25">
      <c r="Q62572" s="8"/>
    </row>
    <row r="62573" spans="17:17" x14ac:dyDescent="0.25">
      <c r="Q62573" s="8"/>
    </row>
    <row r="62574" spans="17:17" x14ac:dyDescent="0.25">
      <c r="Q62574" s="8"/>
    </row>
    <row r="62575" spans="17:17" x14ac:dyDescent="0.25">
      <c r="Q62575" s="8"/>
    </row>
    <row r="62576" spans="17:17" x14ac:dyDescent="0.25">
      <c r="Q62576" s="8"/>
    </row>
    <row r="62577" spans="17:17" x14ac:dyDescent="0.25">
      <c r="Q62577" s="8"/>
    </row>
    <row r="62578" spans="17:17" x14ac:dyDescent="0.25">
      <c r="Q62578" s="8"/>
    </row>
    <row r="62579" spans="17:17" x14ac:dyDescent="0.25">
      <c r="Q62579" s="8"/>
    </row>
    <row r="62580" spans="17:17" x14ac:dyDescent="0.25">
      <c r="Q62580" s="8"/>
    </row>
    <row r="62581" spans="17:17" x14ac:dyDescent="0.25">
      <c r="Q62581" s="8"/>
    </row>
    <row r="62582" spans="17:17" x14ac:dyDescent="0.25">
      <c r="Q62582" s="8"/>
    </row>
    <row r="62583" spans="17:17" x14ac:dyDescent="0.25">
      <c r="Q62583" s="8"/>
    </row>
    <row r="62584" spans="17:17" x14ac:dyDescent="0.25">
      <c r="Q62584" s="8"/>
    </row>
    <row r="62585" spans="17:17" x14ac:dyDescent="0.25">
      <c r="Q62585" s="8"/>
    </row>
    <row r="62586" spans="17:17" x14ac:dyDescent="0.25">
      <c r="Q62586" s="8"/>
    </row>
    <row r="62587" spans="17:17" x14ac:dyDescent="0.25">
      <c r="Q62587" s="8"/>
    </row>
    <row r="62588" spans="17:17" x14ac:dyDescent="0.25">
      <c r="Q62588" s="8"/>
    </row>
    <row r="62589" spans="17:17" x14ac:dyDescent="0.25">
      <c r="Q62589" s="8"/>
    </row>
    <row r="62590" spans="17:17" x14ac:dyDescent="0.25">
      <c r="Q62590" s="8"/>
    </row>
    <row r="62591" spans="17:17" x14ac:dyDescent="0.25">
      <c r="Q62591" s="8"/>
    </row>
    <row r="62592" spans="17:17" x14ac:dyDescent="0.25">
      <c r="Q62592" s="8"/>
    </row>
    <row r="62593" spans="17:17" x14ac:dyDescent="0.25">
      <c r="Q62593" s="8"/>
    </row>
    <row r="62594" spans="17:17" x14ac:dyDescent="0.25">
      <c r="Q62594" s="8"/>
    </row>
    <row r="62595" spans="17:17" x14ac:dyDescent="0.25">
      <c r="Q62595" s="8"/>
    </row>
    <row r="62596" spans="17:17" x14ac:dyDescent="0.25">
      <c r="Q62596" s="8"/>
    </row>
    <row r="62597" spans="17:17" x14ac:dyDescent="0.25">
      <c r="Q62597" s="8"/>
    </row>
    <row r="62598" spans="17:17" x14ac:dyDescent="0.25">
      <c r="Q62598" s="8"/>
    </row>
    <row r="62599" spans="17:17" x14ac:dyDescent="0.25">
      <c r="Q62599" s="8"/>
    </row>
    <row r="62600" spans="17:17" x14ac:dyDescent="0.25">
      <c r="Q62600" s="8"/>
    </row>
    <row r="62601" spans="17:17" x14ac:dyDescent="0.25">
      <c r="Q62601" s="8"/>
    </row>
    <row r="62602" spans="17:17" x14ac:dyDescent="0.25">
      <c r="Q62602" s="8"/>
    </row>
    <row r="62603" spans="17:17" x14ac:dyDescent="0.25">
      <c r="Q62603" s="8"/>
    </row>
    <row r="62604" spans="17:17" x14ac:dyDescent="0.25">
      <c r="Q62604" s="8"/>
    </row>
    <row r="62605" spans="17:17" x14ac:dyDescent="0.25">
      <c r="Q62605" s="8"/>
    </row>
    <row r="62606" spans="17:17" x14ac:dyDescent="0.25">
      <c r="Q62606" s="8"/>
    </row>
    <row r="62607" spans="17:17" x14ac:dyDescent="0.25">
      <c r="Q62607" s="8"/>
    </row>
    <row r="62608" spans="17:17" x14ac:dyDescent="0.25">
      <c r="Q62608" s="8"/>
    </row>
    <row r="62609" spans="17:17" x14ac:dyDescent="0.25">
      <c r="Q62609" s="8"/>
    </row>
    <row r="62610" spans="17:17" x14ac:dyDescent="0.25">
      <c r="Q62610" s="8"/>
    </row>
    <row r="62611" spans="17:17" x14ac:dyDescent="0.25">
      <c r="Q62611" s="8"/>
    </row>
    <row r="62612" spans="17:17" x14ac:dyDescent="0.25">
      <c r="Q62612" s="8"/>
    </row>
    <row r="62613" spans="17:17" x14ac:dyDescent="0.25">
      <c r="Q62613" s="8"/>
    </row>
    <row r="62614" spans="17:17" x14ac:dyDescent="0.25">
      <c r="Q62614" s="8"/>
    </row>
    <row r="62615" spans="17:17" x14ac:dyDescent="0.25">
      <c r="Q62615" s="8"/>
    </row>
    <row r="62616" spans="17:17" x14ac:dyDescent="0.25">
      <c r="Q62616" s="8"/>
    </row>
    <row r="62617" spans="17:17" x14ac:dyDescent="0.25">
      <c r="Q62617" s="8"/>
    </row>
    <row r="62618" spans="17:17" x14ac:dyDescent="0.25">
      <c r="Q62618" s="8"/>
    </row>
    <row r="62619" spans="17:17" x14ac:dyDescent="0.25">
      <c r="Q62619" s="8"/>
    </row>
    <row r="62620" spans="17:17" x14ac:dyDescent="0.25">
      <c r="Q62620" s="8"/>
    </row>
    <row r="62621" spans="17:17" x14ac:dyDescent="0.25">
      <c r="Q62621" s="8"/>
    </row>
    <row r="62622" spans="17:17" x14ac:dyDescent="0.25">
      <c r="Q62622" s="8"/>
    </row>
    <row r="62623" spans="17:17" x14ac:dyDescent="0.25">
      <c r="Q62623" s="8"/>
    </row>
    <row r="62624" spans="17:17" x14ac:dyDescent="0.25">
      <c r="Q62624" s="8"/>
    </row>
    <row r="62625" spans="17:17" x14ac:dyDescent="0.25">
      <c r="Q62625" s="8"/>
    </row>
    <row r="62626" spans="17:17" x14ac:dyDescent="0.25">
      <c r="Q62626" s="8"/>
    </row>
    <row r="62627" spans="17:17" x14ac:dyDescent="0.25">
      <c r="Q62627" s="8"/>
    </row>
    <row r="62628" spans="17:17" x14ac:dyDescent="0.25">
      <c r="Q62628" s="8"/>
    </row>
    <row r="62629" spans="17:17" x14ac:dyDescent="0.25">
      <c r="Q62629" s="8"/>
    </row>
    <row r="62630" spans="17:17" x14ac:dyDescent="0.25">
      <c r="Q62630" s="8"/>
    </row>
    <row r="62631" spans="17:17" x14ac:dyDescent="0.25">
      <c r="Q62631" s="8"/>
    </row>
    <row r="62632" spans="17:17" x14ac:dyDescent="0.25">
      <c r="Q62632" s="8"/>
    </row>
    <row r="62633" spans="17:17" x14ac:dyDescent="0.25">
      <c r="Q62633" s="8"/>
    </row>
    <row r="62634" spans="17:17" x14ac:dyDescent="0.25">
      <c r="Q62634" s="8"/>
    </row>
    <row r="62635" spans="17:17" x14ac:dyDescent="0.25">
      <c r="Q62635" s="8"/>
    </row>
    <row r="62636" spans="17:17" x14ac:dyDescent="0.25">
      <c r="Q62636" s="8"/>
    </row>
    <row r="62637" spans="17:17" x14ac:dyDescent="0.25">
      <c r="Q62637" s="8"/>
    </row>
    <row r="62638" spans="17:17" x14ac:dyDescent="0.25">
      <c r="Q62638" s="8"/>
    </row>
    <row r="62639" spans="17:17" x14ac:dyDescent="0.25">
      <c r="Q62639" s="8"/>
    </row>
    <row r="62640" spans="17:17" x14ac:dyDescent="0.25">
      <c r="Q62640" s="8"/>
    </row>
    <row r="62641" spans="17:17" x14ac:dyDescent="0.25">
      <c r="Q62641" s="8"/>
    </row>
    <row r="62642" spans="17:17" x14ac:dyDescent="0.25">
      <c r="Q62642" s="8"/>
    </row>
    <row r="62643" spans="17:17" x14ac:dyDescent="0.25">
      <c r="Q62643" s="8"/>
    </row>
    <row r="62644" spans="17:17" x14ac:dyDescent="0.25">
      <c r="Q62644" s="8"/>
    </row>
    <row r="62645" spans="17:17" x14ac:dyDescent="0.25">
      <c r="Q62645" s="8"/>
    </row>
    <row r="62646" spans="17:17" x14ac:dyDescent="0.25">
      <c r="Q62646" s="8"/>
    </row>
    <row r="62647" spans="17:17" x14ac:dyDescent="0.25">
      <c r="Q62647" s="8"/>
    </row>
    <row r="62648" spans="17:17" x14ac:dyDescent="0.25">
      <c r="Q62648" s="8"/>
    </row>
    <row r="62649" spans="17:17" x14ac:dyDescent="0.25">
      <c r="Q62649" s="8"/>
    </row>
    <row r="62650" spans="17:17" x14ac:dyDescent="0.25">
      <c r="Q62650" s="8"/>
    </row>
    <row r="62651" spans="17:17" x14ac:dyDescent="0.25">
      <c r="Q62651" s="8"/>
    </row>
    <row r="62652" spans="17:17" x14ac:dyDescent="0.25">
      <c r="Q62652" s="8"/>
    </row>
    <row r="62653" spans="17:17" x14ac:dyDescent="0.25">
      <c r="Q62653" s="8"/>
    </row>
    <row r="62654" spans="17:17" x14ac:dyDescent="0.25">
      <c r="Q62654" s="8"/>
    </row>
    <row r="62655" spans="17:17" x14ac:dyDescent="0.25">
      <c r="Q62655" s="8"/>
    </row>
    <row r="62656" spans="17:17" x14ac:dyDescent="0.25">
      <c r="Q62656" s="8"/>
    </row>
    <row r="62657" spans="17:17" x14ac:dyDescent="0.25">
      <c r="Q62657" s="8"/>
    </row>
    <row r="62658" spans="17:17" x14ac:dyDescent="0.25">
      <c r="Q62658" s="8"/>
    </row>
    <row r="62659" spans="17:17" x14ac:dyDescent="0.25">
      <c r="Q62659" s="8"/>
    </row>
    <row r="62660" spans="17:17" x14ac:dyDescent="0.25">
      <c r="Q62660" s="8"/>
    </row>
    <row r="62661" spans="17:17" x14ac:dyDescent="0.25">
      <c r="Q62661" s="8"/>
    </row>
    <row r="62662" spans="17:17" x14ac:dyDescent="0.25">
      <c r="Q62662" s="8"/>
    </row>
    <row r="62663" spans="17:17" x14ac:dyDescent="0.25">
      <c r="Q62663" s="8"/>
    </row>
    <row r="62664" spans="17:17" x14ac:dyDescent="0.25">
      <c r="Q62664" s="8"/>
    </row>
    <row r="62665" spans="17:17" x14ac:dyDescent="0.25">
      <c r="Q62665" s="8"/>
    </row>
    <row r="62666" spans="17:17" x14ac:dyDescent="0.25">
      <c r="Q62666" s="8"/>
    </row>
    <row r="62667" spans="17:17" x14ac:dyDescent="0.25">
      <c r="Q62667" s="8"/>
    </row>
    <row r="62668" spans="17:17" x14ac:dyDescent="0.25">
      <c r="Q62668" s="8"/>
    </row>
    <row r="62669" spans="17:17" x14ac:dyDescent="0.25">
      <c r="Q62669" s="8"/>
    </row>
    <row r="62670" spans="17:17" x14ac:dyDescent="0.25">
      <c r="Q62670" s="8"/>
    </row>
    <row r="62671" spans="17:17" x14ac:dyDescent="0.25">
      <c r="Q62671" s="8"/>
    </row>
    <row r="62672" spans="17:17" x14ac:dyDescent="0.25">
      <c r="Q62672" s="8"/>
    </row>
    <row r="62673" spans="17:17" x14ac:dyDescent="0.25">
      <c r="Q62673" s="8"/>
    </row>
    <row r="62674" spans="17:17" x14ac:dyDescent="0.25">
      <c r="Q62674" s="8"/>
    </row>
    <row r="62675" spans="17:17" x14ac:dyDescent="0.25">
      <c r="Q62675" s="8"/>
    </row>
    <row r="62676" spans="17:17" x14ac:dyDescent="0.25">
      <c r="Q62676" s="8"/>
    </row>
    <row r="62677" spans="17:17" x14ac:dyDescent="0.25">
      <c r="Q62677" s="8"/>
    </row>
    <row r="62678" spans="17:17" x14ac:dyDescent="0.25">
      <c r="Q62678" s="8"/>
    </row>
    <row r="62679" spans="17:17" x14ac:dyDescent="0.25">
      <c r="Q62679" s="8"/>
    </row>
    <row r="62680" spans="17:17" x14ac:dyDescent="0.25">
      <c r="Q62680" s="8"/>
    </row>
    <row r="62681" spans="17:17" x14ac:dyDescent="0.25">
      <c r="Q62681" s="8"/>
    </row>
    <row r="62682" spans="17:17" x14ac:dyDescent="0.25">
      <c r="Q62682" s="8"/>
    </row>
    <row r="62683" spans="17:17" x14ac:dyDescent="0.25">
      <c r="Q62683" s="8"/>
    </row>
    <row r="62684" spans="17:17" x14ac:dyDescent="0.25">
      <c r="Q62684" s="8"/>
    </row>
    <row r="62685" spans="17:17" x14ac:dyDescent="0.25">
      <c r="Q62685" s="8"/>
    </row>
    <row r="62686" spans="17:17" x14ac:dyDescent="0.25">
      <c r="Q62686" s="8"/>
    </row>
    <row r="62687" spans="17:17" x14ac:dyDescent="0.25">
      <c r="Q62687" s="8"/>
    </row>
    <row r="62688" spans="17:17" x14ac:dyDescent="0.25">
      <c r="Q62688" s="8"/>
    </row>
    <row r="62689" spans="17:17" x14ac:dyDescent="0.25">
      <c r="Q62689" s="8"/>
    </row>
    <row r="62690" spans="17:17" x14ac:dyDescent="0.25">
      <c r="Q62690" s="8"/>
    </row>
    <row r="62691" spans="17:17" x14ac:dyDescent="0.25">
      <c r="Q62691" s="8"/>
    </row>
    <row r="62692" spans="17:17" x14ac:dyDescent="0.25">
      <c r="Q62692" s="8"/>
    </row>
    <row r="62693" spans="17:17" x14ac:dyDescent="0.25">
      <c r="Q62693" s="8"/>
    </row>
    <row r="62694" spans="17:17" x14ac:dyDescent="0.25">
      <c r="Q62694" s="8"/>
    </row>
    <row r="62695" spans="17:17" x14ac:dyDescent="0.25">
      <c r="Q62695" s="8"/>
    </row>
    <row r="62696" spans="17:17" x14ac:dyDescent="0.25">
      <c r="Q62696" s="8"/>
    </row>
    <row r="62697" spans="17:17" x14ac:dyDescent="0.25">
      <c r="Q62697" s="8"/>
    </row>
    <row r="62698" spans="17:17" x14ac:dyDescent="0.25">
      <c r="Q62698" s="8"/>
    </row>
    <row r="62699" spans="17:17" x14ac:dyDescent="0.25">
      <c r="Q62699" s="8"/>
    </row>
    <row r="62700" spans="17:17" x14ac:dyDescent="0.25">
      <c r="Q62700" s="8"/>
    </row>
    <row r="62701" spans="17:17" x14ac:dyDescent="0.25">
      <c r="Q62701" s="8"/>
    </row>
    <row r="62702" spans="17:17" x14ac:dyDescent="0.25">
      <c r="Q62702" s="8"/>
    </row>
    <row r="62703" spans="17:17" x14ac:dyDescent="0.25">
      <c r="Q62703" s="8"/>
    </row>
    <row r="62704" spans="17:17" x14ac:dyDescent="0.25">
      <c r="Q62704" s="8"/>
    </row>
    <row r="62705" spans="17:17" x14ac:dyDescent="0.25">
      <c r="Q62705" s="8"/>
    </row>
    <row r="62706" spans="17:17" x14ac:dyDescent="0.25">
      <c r="Q62706" s="8"/>
    </row>
    <row r="62707" spans="17:17" x14ac:dyDescent="0.25">
      <c r="Q62707" s="8"/>
    </row>
    <row r="62708" spans="17:17" x14ac:dyDescent="0.25">
      <c r="Q62708" s="8"/>
    </row>
    <row r="62709" spans="17:17" x14ac:dyDescent="0.25">
      <c r="Q62709" s="8"/>
    </row>
    <row r="62710" spans="17:17" x14ac:dyDescent="0.25">
      <c r="Q62710" s="8"/>
    </row>
    <row r="62711" spans="17:17" x14ac:dyDescent="0.25">
      <c r="Q62711" s="8"/>
    </row>
    <row r="62712" spans="17:17" x14ac:dyDescent="0.25">
      <c r="Q62712" s="8"/>
    </row>
    <row r="62713" spans="17:17" x14ac:dyDescent="0.25">
      <c r="Q62713" s="8"/>
    </row>
    <row r="62714" spans="17:17" x14ac:dyDescent="0.25">
      <c r="Q62714" s="8"/>
    </row>
    <row r="62715" spans="17:17" x14ac:dyDescent="0.25">
      <c r="Q62715" s="8"/>
    </row>
    <row r="62716" spans="17:17" x14ac:dyDescent="0.25">
      <c r="Q62716" s="8"/>
    </row>
    <row r="62717" spans="17:17" x14ac:dyDescent="0.25">
      <c r="Q62717" s="8"/>
    </row>
    <row r="62718" spans="17:17" x14ac:dyDescent="0.25">
      <c r="Q62718" s="8"/>
    </row>
    <row r="62719" spans="17:17" x14ac:dyDescent="0.25">
      <c r="Q62719" s="8"/>
    </row>
    <row r="62720" spans="17:17" x14ac:dyDescent="0.25">
      <c r="Q62720" s="8"/>
    </row>
    <row r="62721" spans="17:17" x14ac:dyDescent="0.25">
      <c r="Q62721" s="8"/>
    </row>
    <row r="62722" spans="17:17" x14ac:dyDescent="0.25">
      <c r="Q62722" s="8"/>
    </row>
    <row r="62723" spans="17:17" x14ac:dyDescent="0.25">
      <c r="Q62723" s="8"/>
    </row>
    <row r="62724" spans="17:17" x14ac:dyDescent="0.25">
      <c r="Q62724" s="8"/>
    </row>
    <row r="62725" spans="17:17" x14ac:dyDescent="0.25">
      <c r="Q62725" s="8"/>
    </row>
    <row r="62726" spans="17:17" x14ac:dyDescent="0.25">
      <c r="Q62726" s="8"/>
    </row>
    <row r="62727" spans="17:17" x14ac:dyDescent="0.25">
      <c r="Q62727" s="8"/>
    </row>
    <row r="62728" spans="17:17" x14ac:dyDescent="0.25">
      <c r="Q62728" s="8"/>
    </row>
    <row r="62729" spans="17:17" x14ac:dyDescent="0.25">
      <c r="Q62729" s="8"/>
    </row>
    <row r="62730" spans="17:17" x14ac:dyDescent="0.25">
      <c r="Q62730" s="8"/>
    </row>
    <row r="62731" spans="17:17" x14ac:dyDescent="0.25">
      <c r="Q62731" s="8"/>
    </row>
    <row r="62732" spans="17:17" x14ac:dyDescent="0.25">
      <c r="Q62732" s="8"/>
    </row>
    <row r="62733" spans="17:17" x14ac:dyDescent="0.25">
      <c r="Q62733" s="8"/>
    </row>
    <row r="62734" spans="17:17" x14ac:dyDescent="0.25">
      <c r="Q62734" s="8"/>
    </row>
    <row r="62735" spans="17:17" x14ac:dyDescent="0.25">
      <c r="Q62735" s="8"/>
    </row>
    <row r="62736" spans="17:17" x14ac:dyDescent="0.25">
      <c r="Q62736" s="8"/>
    </row>
    <row r="62737" spans="17:17" x14ac:dyDescent="0.25">
      <c r="Q62737" s="8"/>
    </row>
    <row r="62738" spans="17:17" x14ac:dyDescent="0.25">
      <c r="Q62738" s="8"/>
    </row>
    <row r="62739" spans="17:17" x14ac:dyDescent="0.25">
      <c r="Q62739" s="8"/>
    </row>
    <row r="62740" spans="17:17" x14ac:dyDescent="0.25">
      <c r="Q62740" s="8"/>
    </row>
    <row r="62741" spans="17:17" x14ac:dyDescent="0.25">
      <c r="Q62741" s="8"/>
    </row>
    <row r="62742" spans="17:17" x14ac:dyDescent="0.25">
      <c r="Q62742" s="8"/>
    </row>
    <row r="62743" spans="17:17" x14ac:dyDescent="0.25">
      <c r="Q62743" s="8"/>
    </row>
    <row r="62744" spans="17:17" x14ac:dyDescent="0.25">
      <c r="Q62744" s="8"/>
    </row>
    <row r="62745" spans="17:17" x14ac:dyDescent="0.25">
      <c r="Q62745" s="8"/>
    </row>
    <row r="62746" spans="17:17" x14ac:dyDescent="0.25">
      <c r="Q62746" s="8"/>
    </row>
    <row r="62747" spans="17:17" x14ac:dyDescent="0.25">
      <c r="Q62747" s="8"/>
    </row>
    <row r="62748" spans="17:17" x14ac:dyDescent="0.25">
      <c r="Q62748" s="8"/>
    </row>
    <row r="62749" spans="17:17" x14ac:dyDescent="0.25">
      <c r="Q62749" s="8"/>
    </row>
    <row r="62750" spans="17:17" x14ac:dyDescent="0.25">
      <c r="Q62750" s="8"/>
    </row>
    <row r="62751" spans="17:17" x14ac:dyDescent="0.25">
      <c r="Q62751" s="8"/>
    </row>
    <row r="62752" spans="17:17" x14ac:dyDescent="0.25">
      <c r="Q62752" s="8"/>
    </row>
    <row r="62753" spans="17:17" x14ac:dyDescent="0.25">
      <c r="Q62753" s="8"/>
    </row>
    <row r="62754" spans="17:17" x14ac:dyDescent="0.25">
      <c r="Q62754" s="8"/>
    </row>
    <row r="62755" spans="17:17" x14ac:dyDescent="0.25">
      <c r="Q62755" s="8"/>
    </row>
    <row r="62756" spans="17:17" x14ac:dyDescent="0.25">
      <c r="Q62756" s="8"/>
    </row>
    <row r="62757" spans="17:17" x14ac:dyDescent="0.25">
      <c r="Q62757" s="8"/>
    </row>
    <row r="62758" spans="17:17" x14ac:dyDescent="0.25">
      <c r="Q62758" s="8"/>
    </row>
    <row r="62759" spans="17:17" x14ac:dyDescent="0.25">
      <c r="Q62759" s="8"/>
    </row>
    <row r="62760" spans="17:17" x14ac:dyDescent="0.25">
      <c r="Q62760" s="8"/>
    </row>
    <row r="62761" spans="17:17" x14ac:dyDescent="0.25">
      <c r="Q62761" s="8"/>
    </row>
    <row r="62762" spans="17:17" x14ac:dyDescent="0.25">
      <c r="Q62762" s="8"/>
    </row>
    <row r="62763" spans="17:17" x14ac:dyDescent="0.25">
      <c r="Q62763" s="8"/>
    </row>
    <row r="62764" spans="17:17" x14ac:dyDescent="0.25">
      <c r="Q62764" s="8"/>
    </row>
    <row r="62765" spans="17:17" x14ac:dyDescent="0.25">
      <c r="Q62765" s="8"/>
    </row>
    <row r="62766" spans="17:17" x14ac:dyDescent="0.25">
      <c r="Q62766" s="8"/>
    </row>
    <row r="62767" spans="17:17" x14ac:dyDescent="0.25">
      <c r="Q62767" s="8"/>
    </row>
    <row r="62768" spans="17:17" x14ac:dyDescent="0.25">
      <c r="Q62768" s="8"/>
    </row>
    <row r="62769" spans="17:17" x14ac:dyDescent="0.25">
      <c r="Q62769" s="8"/>
    </row>
    <row r="62770" spans="17:17" x14ac:dyDescent="0.25">
      <c r="Q62770" s="8"/>
    </row>
    <row r="62771" spans="17:17" x14ac:dyDescent="0.25">
      <c r="Q62771" s="8"/>
    </row>
    <row r="62772" spans="17:17" x14ac:dyDescent="0.25">
      <c r="Q62772" s="8"/>
    </row>
    <row r="62773" spans="17:17" x14ac:dyDescent="0.25">
      <c r="Q62773" s="8"/>
    </row>
    <row r="62774" spans="17:17" x14ac:dyDescent="0.25">
      <c r="Q62774" s="8"/>
    </row>
    <row r="62775" spans="17:17" x14ac:dyDescent="0.25">
      <c r="Q62775" s="8"/>
    </row>
    <row r="62776" spans="17:17" x14ac:dyDescent="0.25">
      <c r="Q62776" s="8"/>
    </row>
    <row r="62777" spans="17:17" x14ac:dyDescent="0.25">
      <c r="Q62777" s="8"/>
    </row>
    <row r="62778" spans="17:17" x14ac:dyDescent="0.25">
      <c r="Q62778" s="8"/>
    </row>
    <row r="62779" spans="17:17" x14ac:dyDescent="0.25">
      <c r="Q62779" s="8"/>
    </row>
    <row r="62780" spans="17:17" x14ac:dyDescent="0.25">
      <c r="Q62780" s="8"/>
    </row>
    <row r="62781" spans="17:17" x14ac:dyDescent="0.25">
      <c r="Q62781" s="8"/>
    </row>
    <row r="62782" spans="17:17" x14ac:dyDescent="0.25">
      <c r="Q62782" s="8"/>
    </row>
    <row r="62783" spans="17:17" x14ac:dyDescent="0.25">
      <c r="Q62783" s="8"/>
    </row>
    <row r="62784" spans="17:17" x14ac:dyDescent="0.25">
      <c r="Q62784" s="8"/>
    </row>
    <row r="62785" spans="17:17" x14ac:dyDescent="0.25">
      <c r="Q62785" s="8"/>
    </row>
    <row r="62786" spans="17:17" x14ac:dyDescent="0.25">
      <c r="Q62786" s="8"/>
    </row>
    <row r="62787" spans="17:17" x14ac:dyDescent="0.25">
      <c r="Q62787" s="8"/>
    </row>
    <row r="62788" spans="17:17" x14ac:dyDescent="0.25">
      <c r="Q62788" s="8"/>
    </row>
    <row r="62789" spans="17:17" x14ac:dyDescent="0.25">
      <c r="Q62789" s="8"/>
    </row>
    <row r="62790" spans="17:17" x14ac:dyDescent="0.25">
      <c r="Q62790" s="8"/>
    </row>
    <row r="62791" spans="17:17" x14ac:dyDescent="0.25">
      <c r="Q62791" s="8"/>
    </row>
    <row r="62792" spans="17:17" x14ac:dyDescent="0.25">
      <c r="Q62792" s="8"/>
    </row>
    <row r="62793" spans="17:17" x14ac:dyDescent="0.25">
      <c r="Q62793" s="8"/>
    </row>
    <row r="62794" spans="17:17" x14ac:dyDescent="0.25">
      <c r="Q62794" s="8"/>
    </row>
    <row r="62795" spans="17:17" x14ac:dyDescent="0.25">
      <c r="Q62795" s="8"/>
    </row>
    <row r="62796" spans="17:17" x14ac:dyDescent="0.25">
      <c r="Q62796" s="8"/>
    </row>
    <row r="62797" spans="17:17" x14ac:dyDescent="0.25">
      <c r="Q62797" s="8"/>
    </row>
    <row r="62798" spans="17:17" x14ac:dyDescent="0.25">
      <c r="Q62798" s="8"/>
    </row>
    <row r="62799" spans="17:17" x14ac:dyDescent="0.25">
      <c r="Q62799" s="8"/>
    </row>
    <row r="62800" spans="17:17" x14ac:dyDescent="0.25">
      <c r="Q62800" s="8"/>
    </row>
    <row r="62801" spans="17:17" x14ac:dyDescent="0.25">
      <c r="Q62801" s="8"/>
    </row>
    <row r="62802" spans="17:17" x14ac:dyDescent="0.25">
      <c r="Q62802" s="8"/>
    </row>
    <row r="62803" spans="17:17" x14ac:dyDescent="0.25">
      <c r="Q62803" s="8"/>
    </row>
    <row r="62804" spans="17:17" x14ac:dyDescent="0.25">
      <c r="Q62804" s="8"/>
    </row>
    <row r="62805" spans="17:17" x14ac:dyDescent="0.25">
      <c r="Q62805" s="8"/>
    </row>
    <row r="62806" spans="17:17" x14ac:dyDescent="0.25">
      <c r="Q62806" s="8"/>
    </row>
    <row r="62807" spans="17:17" x14ac:dyDescent="0.25">
      <c r="Q62807" s="8"/>
    </row>
    <row r="62808" spans="17:17" x14ac:dyDescent="0.25">
      <c r="Q62808" s="8"/>
    </row>
    <row r="62809" spans="17:17" x14ac:dyDescent="0.25">
      <c r="Q62809" s="8"/>
    </row>
    <row r="62810" spans="17:17" x14ac:dyDescent="0.25">
      <c r="Q62810" s="8"/>
    </row>
    <row r="62811" spans="17:17" x14ac:dyDescent="0.25">
      <c r="Q62811" s="8"/>
    </row>
    <row r="62812" spans="17:17" x14ac:dyDescent="0.25">
      <c r="Q62812" s="8"/>
    </row>
    <row r="62813" spans="17:17" x14ac:dyDescent="0.25">
      <c r="Q62813" s="8"/>
    </row>
    <row r="62814" spans="17:17" x14ac:dyDescent="0.25">
      <c r="Q62814" s="8"/>
    </row>
    <row r="62815" spans="17:17" x14ac:dyDescent="0.25">
      <c r="Q62815" s="8"/>
    </row>
    <row r="62816" spans="17:17" x14ac:dyDescent="0.25">
      <c r="Q62816" s="8"/>
    </row>
    <row r="62817" spans="17:17" x14ac:dyDescent="0.25">
      <c r="Q62817" s="8"/>
    </row>
    <row r="62818" spans="17:17" x14ac:dyDescent="0.25">
      <c r="Q62818" s="8"/>
    </row>
    <row r="62819" spans="17:17" x14ac:dyDescent="0.25">
      <c r="Q62819" s="8"/>
    </row>
    <row r="62820" spans="17:17" x14ac:dyDescent="0.25">
      <c r="Q62820" s="8"/>
    </row>
    <row r="62821" spans="17:17" x14ac:dyDescent="0.25">
      <c r="Q62821" s="8"/>
    </row>
    <row r="62822" spans="17:17" x14ac:dyDescent="0.25">
      <c r="Q62822" s="8"/>
    </row>
    <row r="62823" spans="17:17" x14ac:dyDescent="0.25">
      <c r="Q62823" s="8"/>
    </row>
    <row r="62824" spans="17:17" x14ac:dyDescent="0.25">
      <c r="Q62824" s="8"/>
    </row>
    <row r="62825" spans="17:17" x14ac:dyDescent="0.25">
      <c r="Q62825" s="8"/>
    </row>
    <row r="62826" spans="17:17" x14ac:dyDescent="0.25">
      <c r="Q62826" s="8"/>
    </row>
    <row r="62827" spans="17:17" x14ac:dyDescent="0.25">
      <c r="Q62827" s="8"/>
    </row>
    <row r="62828" spans="17:17" x14ac:dyDescent="0.25">
      <c r="Q62828" s="8"/>
    </row>
    <row r="62829" spans="17:17" x14ac:dyDescent="0.25">
      <c r="Q62829" s="8"/>
    </row>
    <row r="62830" spans="17:17" x14ac:dyDescent="0.25">
      <c r="Q62830" s="8"/>
    </row>
    <row r="62831" spans="17:17" x14ac:dyDescent="0.25">
      <c r="Q62831" s="8"/>
    </row>
    <row r="62832" spans="17:17" x14ac:dyDescent="0.25">
      <c r="Q62832" s="8"/>
    </row>
    <row r="62833" spans="17:17" x14ac:dyDescent="0.25">
      <c r="Q62833" s="8"/>
    </row>
    <row r="62834" spans="17:17" x14ac:dyDescent="0.25">
      <c r="Q62834" s="8"/>
    </row>
    <row r="62835" spans="17:17" x14ac:dyDescent="0.25">
      <c r="Q62835" s="8"/>
    </row>
    <row r="62836" spans="17:17" x14ac:dyDescent="0.25">
      <c r="Q62836" s="8"/>
    </row>
    <row r="62837" spans="17:17" x14ac:dyDescent="0.25">
      <c r="Q62837" s="8"/>
    </row>
    <row r="62838" spans="17:17" x14ac:dyDescent="0.25">
      <c r="Q62838" s="8"/>
    </row>
    <row r="62839" spans="17:17" x14ac:dyDescent="0.25">
      <c r="Q62839" s="8"/>
    </row>
    <row r="62840" spans="17:17" x14ac:dyDescent="0.25">
      <c r="Q62840" s="8"/>
    </row>
    <row r="62841" spans="17:17" x14ac:dyDescent="0.25">
      <c r="Q62841" s="8"/>
    </row>
    <row r="62842" spans="17:17" x14ac:dyDescent="0.25">
      <c r="Q62842" s="8"/>
    </row>
    <row r="62843" spans="17:17" x14ac:dyDescent="0.25">
      <c r="Q62843" s="8"/>
    </row>
    <row r="62844" spans="17:17" x14ac:dyDescent="0.25">
      <c r="Q62844" s="8"/>
    </row>
    <row r="62845" spans="17:17" x14ac:dyDescent="0.25">
      <c r="Q62845" s="8"/>
    </row>
    <row r="62846" spans="17:17" x14ac:dyDescent="0.25">
      <c r="Q62846" s="8"/>
    </row>
    <row r="62847" spans="17:17" x14ac:dyDescent="0.25">
      <c r="Q62847" s="8"/>
    </row>
    <row r="62848" spans="17:17" x14ac:dyDescent="0.25">
      <c r="Q62848" s="8"/>
    </row>
    <row r="62849" spans="17:17" x14ac:dyDescent="0.25">
      <c r="Q62849" s="8"/>
    </row>
    <row r="62850" spans="17:17" x14ac:dyDescent="0.25">
      <c r="Q62850" s="8"/>
    </row>
    <row r="62851" spans="17:17" x14ac:dyDescent="0.25">
      <c r="Q62851" s="8"/>
    </row>
    <row r="62852" spans="17:17" x14ac:dyDescent="0.25">
      <c r="Q62852" s="8"/>
    </row>
    <row r="62853" spans="17:17" x14ac:dyDescent="0.25">
      <c r="Q62853" s="8"/>
    </row>
    <row r="62854" spans="17:17" x14ac:dyDescent="0.25">
      <c r="Q62854" s="8"/>
    </row>
    <row r="62855" spans="17:17" x14ac:dyDescent="0.25">
      <c r="Q62855" s="8"/>
    </row>
    <row r="62856" spans="17:17" x14ac:dyDescent="0.25">
      <c r="Q62856" s="8"/>
    </row>
    <row r="62857" spans="17:17" x14ac:dyDescent="0.25">
      <c r="Q62857" s="8"/>
    </row>
    <row r="62858" spans="17:17" x14ac:dyDescent="0.25">
      <c r="Q62858" s="8"/>
    </row>
    <row r="62859" spans="17:17" x14ac:dyDescent="0.25">
      <c r="Q62859" s="8"/>
    </row>
    <row r="62860" spans="17:17" x14ac:dyDescent="0.25">
      <c r="Q62860" s="8"/>
    </row>
    <row r="62861" spans="17:17" x14ac:dyDescent="0.25">
      <c r="Q62861" s="8"/>
    </row>
    <row r="62862" spans="17:17" x14ac:dyDescent="0.25">
      <c r="Q62862" s="8"/>
    </row>
    <row r="62863" spans="17:17" x14ac:dyDescent="0.25">
      <c r="Q62863" s="8"/>
    </row>
    <row r="62864" spans="17:17" x14ac:dyDescent="0.25">
      <c r="Q62864" s="8"/>
    </row>
    <row r="62865" spans="17:17" x14ac:dyDescent="0.25">
      <c r="Q62865" s="8"/>
    </row>
    <row r="62866" spans="17:17" x14ac:dyDescent="0.25">
      <c r="Q62866" s="8"/>
    </row>
    <row r="62867" spans="17:17" x14ac:dyDescent="0.25">
      <c r="Q62867" s="8"/>
    </row>
    <row r="62868" spans="17:17" x14ac:dyDescent="0.25">
      <c r="Q62868" s="8"/>
    </row>
    <row r="62869" spans="17:17" x14ac:dyDescent="0.25">
      <c r="Q62869" s="8"/>
    </row>
    <row r="62870" spans="17:17" x14ac:dyDescent="0.25">
      <c r="Q62870" s="8"/>
    </row>
    <row r="62871" spans="17:17" x14ac:dyDescent="0.25">
      <c r="Q62871" s="8"/>
    </row>
    <row r="62872" spans="17:17" x14ac:dyDescent="0.25">
      <c r="Q62872" s="8"/>
    </row>
    <row r="62873" spans="17:17" x14ac:dyDescent="0.25">
      <c r="Q62873" s="8"/>
    </row>
    <row r="62874" spans="17:17" x14ac:dyDescent="0.25">
      <c r="Q62874" s="8"/>
    </row>
    <row r="62875" spans="17:17" x14ac:dyDescent="0.25">
      <c r="Q62875" s="8"/>
    </row>
    <row r="62876" spans="17:17" x14ac:dyDescent="0.25">
      <c r="Q62876" s="8"/>
    </row>
    <row r="62877" spans="17:17" x14ac:dyDescent="0.25">
      <c r="Q62877" s="8"/>
    </row>
    <row r="62878" spans="17:17" x14ac:dyDescent="0.25">
      <c r="Q62878" s="8"/>
    </row>
    <row r="62879" spans="17:17" x14ac:dyDescent="0.25">
      <c r="Q62879" s="8"/>
    </row>
    <row r="62880" spans="17:17" x14ac:dyDescent="0.25">
      <c r="Q62880" s="8"/>
    </row>
    <row r="62881" spans="17:17" x14ac:dyDescent="0.25">
      <c r="Q62881" s="8"/>
    </row>
    <row r="62882" spans="17:17" x14ac:dyDescent="0.25">
      <c r="Q62882" s="8"/>
    </row>
    <row r="62883" spans="17:17" x14ac:dyDescent="0.25">
      <c r="Q62883" s="8"/>
    </row>
    <row r="62884" spans="17:17" x14ac:dyDescent="0.25">
      <c r="Q62884" s="8"/>
    </row>
    <row r="62885" spans="17:17" x14ac:dyDescent="0.25">
      <c r="Q62885" s="8"/>
    </row>
    <row r="62886" spans="17:17" x14ac:dyDescent="0.25">
      <c r="Q62886" s="8"/>
    </row>
    <row r="62887" spans="17:17" x14ac:dyDescent="0.25">
      <c r="Q62887" s="8"/>
    </row>
    <row r="62888" spans="17:17" x14ac:dyDescent="0.25">
      <c r="Q62888" s="8"/>
    </row>
    <row r="62889" spans="17:17" x14ac:dyDescent="0.25">
      <c r="Q62889" s="8"/>
    </row>
    <row r="62890" spans="17:17" x14ac:dyDescent="0.25">
      <c r="Q62890" s="8"/>
    </row>
    <row r="62891" spans="17:17" x14ac:dyDescent="0.25">
      <c r="Q62891" s="8"/>
    </row>
    <row r="62892" spans="17:17" x14ac:dyDescent="0.25">
      <c r="Q62892" s="8"/>
    </row>
    <row r="62893" spans="17:17" x14ac:dyDescent="0.25">
      <c r="Q62893" s="8"/>
    </row>
    <row r="62894" spans="17:17" x14ac:dyDescent="0.25">
      <c r="Q62894" s="8"/>
    </row>
    <row r="62895" spans="17:17" x14ac:dyDescent="0.25">
      <c r="Q62895" s="8"/>
    </row>
    <row r="62896" spans="17:17" x14ac:dyDescent="0.25">
      <c r="Q62896" s="8"/>
    </row>
    <row r="62897" spans="17:17" x14ac:dyDescent="0.25">
      <c r="Q62897" s="8"/>
    </row>
    <row r="62898" spans="17:17" x14ac:dyDescent="0.25">
      <c r="Q62898" s="8"/>
    </row>
    <row r="62899" spans="17:17" x14ac:dyDescent="0.25">
      <c r="Q62899" s="8"/>
    </row>
    <row r="62900" spans="17:17" x14ac:dyDescent="0.25">
      <c r="Q62900" s="8"/>
    </row>
    <row r="62901" spans="17:17" x14ac:dyDescent="0.25">
      <c r="Q62901" s="8"/>
    </row>
    <row r="62902" spans="17:17" x14ac:dyDescent="0.25">
      <c r="Q62902" s="8"/>
    </row>
    <row r="62903" spans="17:17" x14ac:dyDescent="0.25">
      <c r="Q62903" s="8"/>
    </row>
    <row r="62904" spans="17:17" x14ac:dyDescent="0.25">
      <c r="Q62904" s="8"/>
    </row>
    <row r="62905" spans="17:17" x14ac:dyDescent="0.25">
      <c r="Q62905" s="8"/>
    </row>
    <row r="62906" spans="17:17" x14ac:dyDescent="0.25">
      <c r="Q62906" s="8"/>
    </row>
    <row r="62907" spans="17:17" x14ac:dyDescent="0.25">
      <c r="Q62907" s="8"/>
    </row>
    <row r="62908" spans="17:17" x14ac:dyDescent="0.25">
      <c r="Q62908" s="8"/>
    </row>
    <row r="62909" spans="17:17" x14ac:dyDescent="0.25">
      <c r="Q62909" s="8"/>
    </row>
    <row r="62910" spans="17:17" x14ac:dyDescent="0.25">
      <c r="Q62910" s="8"/>
    </row>
    <row r="62911" spans="17:17" x14ac:dyDescent="0.25">
      <c r="Q62911" s="8"/>
    </row>
    <row r="62912" spans="17:17" x14ac:dyDescent="0.25">
      <c r="Q62912" s="8"/>
    </row>
    <row r="62913" spans="17:17" x14ac:dyDescent="0.25">
      <c r="Q62913" s="8"/>
    </row>
    <row r="62914" spans="17:17" x14ac:dyDescent="0.25">
      <c r="Q62914" s="8"/>
    </row>
    <row r="62915" spans="17:17" x14ac:dyDescent="0.25">
      <c r="Q62915" s="8"/>
    </row>
    <row r="62916" spans="17:17" x14ac:dyDescent="0.25">
      <c r="Q62916" s="8"/>
    </row>
    <row r="62917" spans="17:17" x14ac:dyDescent="0.25">
      <c r="Q62917" s="8"/>
    </row>
    <row r="62918" spans="17:17" x14ac:dyDescent="0.25">
      <c r="Q62918" s="8"/>
    </row>
    <row r="62919" spans="17:17" x14ac:dyDescent="0.25">
      <c r="Q62919" s="8"/>
    </row>
    <row r="62920" spans="17:17" x14ac:dyDescent="0.25">
      <c r="Q62920" s="8"/>
    </row>
    <row r="62921" spans="17:17" x14ac:dyDescent="0.25">
      <c r="Q62921" s="8"/>
    </row>
    <row r="62922" spans="17:17" x14ac:dyDescent="0.25">
      <c r="Q62922" s="8"/>
    </row>
    <row r="62923" spans="17:17" x14ac:dyDescent="0.25">
      <c r="Q62923" s="8"/>
    </row>
    <row r="62924" spans="17:17" x14ac:dyDescent="0.25">
      <c r="Q62924" s="8"/>
    </row>
    <row r="62925" spans="17:17" x14ac:dyDescent="0.25">
      <c r="Q62925" s="8"/>
    </row>
    <row r="62926" spans="17:17" x14ac:dyDescent="0.25">
      <c r="Q62926" s="8"/>
    </row>
    <row r="62927" spans="17:17" x14ac:dyDescent="0.25">
      <c r="Q62927" s="8"/>
    </row>
    <row r="62928" spans="17:17" x14ac:dyDescent="0.25">
      <c r="Q62928" s="8"/>
    </row>
    <row r="62929" spans="17:17" x14ac:dyDescent="0.25">
      <c r="Q62929" s="8"/>
    </row>
    <row r="62930" spans="17:17" x14ac:dyDescent="0.25">
      <c r="Q62930" s="8"/>
    </row>
    <row r="62931" spans="17:17" x14ac:dyDescent="0.25">
      <c r="Q62931" s="8"/>
    </row>
    <row r="62932" spans="17:17" x14ac:dyDescent="0.25">
      <c r="Q62932" s="8"/>
    </row>
    <row r="62933" spans="17:17" x14ac:dyDescent="0.25">
      <c r="Q62933" s="8"/>
    </row>
    <row r="62934" spans="17:17" x14ac:dyDescent="0.25">
      <c r="Q62934" s="8"/>
    </row>
    <row r="62935" spans="17:17" x14ac:dyDescent="0.25">
      <c r="Q62935" s="8"/>
    </row>
    <row r="62936" spans="17:17" x14ac:dyDescent="0.25">
      <c r="Q62936" s="8"/>
    </row>
    <row r="62937" spans="17:17" x14ac:dyDescent="0.25">
      <c r="Q62937" s="8"/>
    </row>
    <row r="62938" spans="17:17" x14ac:dyDescent="0.25">
      <c r="Q62938" s="8"/>
    </row>
    <row r="62939" spans="17:17" x14ac:dyDescent="0.25">
      <c r="Q62939" s="8"/>
    </row>
    <row r="62940" spans="17:17" x14ac:dyDescent="0.25">
      <c r="Q62940" s="8"/>
    </row>
    <row r="62941" spans="17:17" x14ac:dyDescent="0.25">
      <c r="Q62941" s="8"/>
    </row>
    <row r="62942" spans="17:17" x14ac:dyDescent="0.25">
      <c r="Q62942" s="8"/>
    </row>
    <row r="62943" spans="17:17" x14ac:dyDescent="0.25">
      <c r="Q62943" s="8"/>
    </row>
    <row r="62944" spans="17:17" x14ac:dyDescent="0.25">
      <c r="Q62944" s="8"/>
    </row>
    <row r="62945" spans="17:17" x14ac:dyDescent="0.25">
      <c r="Q62945" s="8"/>
    </row>
    <row r="62946" spans="17:17" x14ac:dyDescent="0.25">
      <c r="Q62946" s="8"/>
    </row>
    <row r="62947" spans="17:17" x14ac:dyDescent="0.25">
      <c r="Q62947" s="8"/>
    </row>
    <row r="62948" spans="17:17" x14ac:dyDescent="0.25">
      <c r="Q62948" s="8"/>
    </row>
    <row r="62949" spans="17:17" x14ac:dyDescent="0.25">
      <c r="Q62949" s="8"/>
    </row>
    <row r="62950" spans="17:17" x14ac:dyDescent="0.25">
      <c r="Q62950" s="8"/>
    </row>
    <row r="62951" spans="17:17" x14ac:dyDescent="0.25">
      <c r="Q62951" s="8"/>
    </row>
    <row r="62952" spans="17:17" x14ac:dyDescent="0.25">
      <c r="Q62952" s="8"/>
    </row>
    <row r="62953" spans="17:17" x14ac:dyDescent="0.25">
      <c r="Q62953" s="8"/>
    </row>
    <row r="62954" spans="17:17" x14ac:dyDescent="0.25">
      <c r="Q62954" s="8"/>
    </row>
    <row r="62955" spans="17:17" x14ac:dyDescent="0.25">
      <c r="Q62955" s="8"/>
    </row>
    <row r="62956" spans="17:17" x14ac:dyDescent="0.25">
      <c r="Q62956" s="8"/>
    </row>
    <row r="62957" spans="17:17" x14ac:dyDescent="0.25">
      <c r="Q62957" s="8"/>
    </row>
    <row r="62958" spans="17:17" x14ac:dyDescent="0.25">
      <c r="Q62958" s="8"/>
    </row>
    <row r="62959" spans="17:17" x14ac:dyDescent="0.25">
      <c r="Q62959" s="8"/>
    </row>
    <row r="62960" spans="17:17" x14ac:dyDescent="0.25">
      <c r="Q62960" s="8"/>
    </row>
    <row r="62961" spans="17:17" x14ac:dyDescent="0.25">
      <c r="Q62961" s="8"/>
    </row>
    <row r="62962" spans="17:17" x14ac:dyDescent="0.25">
      <c r="Q62962" s="8"/>
    </row>
    <row r="62963" spans="17:17" x14ac:dyDescent="0.25">
      <c r="Q62963" s="8"/>
    </row>
    <row r="62964" spans="17:17" x14ac:dyDescent="0.25">
      <c r="Q62964" s="8"/>
    </row>
    <row r="62965" spans="17:17" x14ac:dyDescent="0.25">
      <c r="Q62965" s="8"/>
    </row>
    <row r="62966" spans="17:17" x14ac:dyDescent="0.25">
      <c r="Q62966" s="8"/>
    </row>
    <row r="62967" spans="17:17" x14ac:dyDescent="0.25">
      <c r="Q62967" s="8"/>
    </row>
    <row r="62968" spans="17:17" x14ac:dyDescent="0.25">
      <c r="Q62968" s="8"/>
    </row>
    <row r="62969" spans="17:17" x14ac:dyDescent="0.25">
      <c r="Q62969" s="8"/>
    </row>
    <row r="62970" spans="17:17" x14ac:dyDescent="0.25">
      <c r="Q62970" s="8"/>
    </row>
    <row r="62971" spans="17:17" x14ac:dyDescent="0.25">
      <c r="Q62971" s="8"/>
    </row>
    <row r="62972" spans="17:17" x14ac:dyDescent="0.25">
      <c r="Q62972" s="8"/>
    </row>
    <row r="62973" spans="17:17" x14ac:dyDescent="0.25">
      <c r="Q62973" s="8"/>
    </row>
    <row r="62974" spans="17:17" x14ac:dyDescent="0.25">
      <c r="Q62974" s="8"/>
    </row>
    <row r="62975" spans="17:17" x14ac:dyDescent="0.25">
      <c r="Q62975" s="8"/>
    </row>
    <row r="62976" spans="17:17" x14ac:dyDescent="0.25">
      <c r="Q62976" s="8"/>
    </row>
    <row r="62977" spans="17:17" x14ac:dyDescent="0.25">
      <c r="Q62977" s="8"/>
    </row>
    <row r="62978" spans="17:17" x14ac:dyDescent="0.25">
      <c r="Q62978" s="8"/>
    </row>
    <row r="62979" spans="17:17" x14ac:dyDescent="0.25">
      <c r="Q62979" s="8"/>
    </row>
    <row r="62980" spans="17:17" x14ac:dyDescent="0.25">
      <c r="Q62980" s="8"/>
    </row>
    <row r="62981" spans="17:17" x14ac:dyDescent="0.25">
      <c r="Q62981" s="8"/>
    </row>
    <row r="62982" spans="17:17" x14ac:dyDescent="0.25">
      <c r="Q62982" s="8"/>
    </row>
    <row r="62983" spans="17:17" x14ac:dyDescent="0.25">
      <c r="Q62983" s="8"/>
    </row>
    <row r="62984" spans="17:17" x14ac:dyDescent="0.25">
      <c r="Q62984" s="8"/>
    </row>
    <row r="62985" spans="17:17" x14ac:dyDescent="0.25">
      <c r="Q62985" s="8"/>
    </row>
    <row r="62986" spans="17:17" x14ac:dyDescent="0.25">
      <c r="Q62986" s="8"/>
    </row>
    <row r="62987" spans="17:17" x14ac:dyDescent="0.25">
      <c r="Q62987" s="8"/>
    </row>
    <row r="62988" spans="17:17" x14ac:dyDescent="0.25">
      <c r="Q62988" s="8"/>
    </row>
    <row r="62989" spans="17:17" x14ac:dyDescent="0.25">
      <c r="Q62989" s="8"/>
    </row>
    <row r="62990" spans="17:17" x14ac:dyDescent="0.25">
      <c r="Q62990" s="8"/>
    </row>
    <row r="62991" spans="17:17" x14ac:dyDescent="0.25">
      <c r="Q62991" s="8"/>
    </row>
    <row r="62992" spans="17:17" x14ac:dyDescent="0.25">
      <c r="Q62992" s="8"/>
    </row>
    <row r="62993" spans="17:17" x14ac:dyDescent="0.25">
      <c r="Q62993" s="8"/>
    </row>
    <row r="62994" spans="17:17" x14ac:dyDescent="0.25">
      <c r="Q62994" s="8"/>
    </row>
    <row r="62995" spans="17:17" x14ac:dyDescent="0.25">
      <c r="Q62995" s="8"/>
    </row>
    <row r="62996" spans="17:17" x14ac:dyDescent="0.25">
      <c r="Q62996" s="8"/>
    </row>
    <row r="62997" spans="17:17" x14ac:dyDescent="0.25">
      <c r="Q62997" s="8"/>
    </row>
    <row r="62998" spans="17:17" x14ac:dyDescent="0.25">
      <c r="Q62998" s="8"/>
    </row>
    <row r="62999" spans="17:17" x14ac:dyDescent="0.25">
      <c r="Q62999" s="8"/>
    </row>
    <row r="63000" spans="17:17" x14ac:dyDescent="0.25">
      <c r="Q63000" s="8"/>
    </row>
    <row r="63001" spans="17:17" x14ac:dyDescent="0.25">
      <c r="Q63001" s="8"/>
    </row>
    <row r="63002" spans="17:17" x14ac:dyDescent="0.25">
      <c r="Q63002" s="8"/>
    </row>
    <row r="63003" spans="17:17" x14ac:dyDescent="0.25">
      <c r="Q63003" s="8"/>
    </row>
    <row r="63004" spans="17:17" x14ac:dyDescent="0.25">
      <c r="Q63004" s="8"/>
    </row>
    <row r="63005" spans="17:17" x14ac:dyDescent="0.25">
      <c r="Q63005" s="8"/>
    </row>
    <row r="63006" spans="17:17" x14ac:dyDescent="0.25">
      <c r="Q63006" s="8"/>
    </row>
    <row r="63007" spans="17:17" x14ac:dyDescent="0.25">
      <c r="Q63007" s="8"/>
    </row>
    <row r="63008" spans="17:17" x14ac:dyDescent="0.25">
      <c r="Q63008" s="8"/>
    </row>
    <row r="63009" spans="17:17" x14ac:dyDescent="0.25">
      <c r="Q63009" s="8"/>
    </row>
    <row r="63010" spans="17:17" x14ac:dyDescent="0.25">
      <c r="Q63010" s="8"/>
    </row>
    <row r="63011" spans="17:17" x14ac:dyDescent="0.25">
      <c r="Q63011" s="8"/>
    </row>
    <row r="63012" spans="17:17" x14ac:dyDescent="0.25">
      <c r="Q63012" s="8"/>
    </row>
    <row r="63013" spans="17:17" x14ac:dyDescent="0.25">
      <c r="Q63013" s="8"/>
    </row>
    <row r="63014" spans="17:17" x14ac:dyDescent="0.25">
      <c r="Q63014" s="8"/>
    </row>
    <row r="63015" spans="17:17" x14ac:dyDescent="0.25">
      <c r="Q63015" s="8"/>
    </row>
    <row r="63016" spans="17:17" x14ac:dyDescent="0.25">
      <c r="Q63016" s="8"/>
    </row>
    <row r="63017" spans="17:17" x14ac:dyDescent="0.25">
      <c r="Q63017" s="8"/>
    </row>
    <row r="63018" spans="17:17" x14ac:dyDescent="0.25">
      <c r="Q63018" s="8"/>
    </row>
    <row r="63019" spans="17:17" x14ac:dyDescent="0.25">
      <c r="Q63019" s="8"/>
    </row>
    <row r="63020" spans="17:17" x14ac:dyDescent="0.25">
      <c r="Q63020" s="8"/>
    </row>
    <row r="63021" spans="17:17" x14ac:dyDescent="0.25">
      <c r="Q63021" s="8"/>
    </row>
    <row r="63022" spans="17:17" x14ac:dyDescent="0.25">
      <c r="Q63022" s="8"/>
    </row>
    <row r="63023" spans="17:17" x14ac:dyDescent="0.25">
      <c r="Q63023" s="8"/>
    </row>
    <row r="63024" spans="17:17" x14ac:dyDescent="0.25">
      <c r="Q63024" s="8"/>
    </row>
    <row r="63025" spans="17:17" x14ac:dyDescent="0.25">
      <c r="Q63025" s="8"/>
    </row>
    <row r="63026" spans="17:17" x14ac:dyDescent="0.25">
      <c r="Q63026" s="8"/>
    </row>
    <row r="63027" spans="17:17" x14ac:dyDescent="0.25">
      <c r="Q63027" s="8"/>
    </row>
    <row r="63028" spans="17:17" x14ac:dyDescent="0.25">
      <c r="Q63028" s="8"/>
    </row>
    <row r="63029" spans="17:17" x14ac:dyDescent="0.25">
      <c r="Q63029" s="8"/>
    </row>
    <row r="63030" spans="17:17" x14ac:dyDescent="0.25">
      <c r="Q63030" s="8"/>
    </row>
    <row r="63031" spans="17:17" x14ac:dyDescent="0.25">
      <c r="Q63031" s="8"/>
    </row>
    <row r="63032" spans="17:17" x14ac:dyDescent="0.25">
      <c r="Q63032" s="8"/>
    </row>
    <row r="63033" spans="17:17" x14ac:dyDescent="0.25">
      <c r="Q63033" s="8"/>
    </row>
    <row r="63034" spans="17:17" x14ac:dyDescent="0.25">
      <c r="Q63034" s="8"/>
    </row>
    <row r="63035" spans="17:17" x14ac:dyDescent="0.25">
      <c r="Q63035" s="8"/>
    </row>
    <row r="63036" spans="17:17" x14ac:dyDescent="0.25">
      <c r="Q63036" s="8"/>
    </row>
    <row r="63037" spans="17:17" x14ac:dyDescent="0.25">
      <c r="Q63037" s="8"/>
    </row>
    <row r="63038" spans="17:17" x14ac:dyDescent="0.25">
      <c r="Q63038" s="8"/>
    </row>
    <row r="63039" spans="17:17" x14ac:dyDescent="0.25">
      <c r="Q63039" s="8"/>
    </row>
    <row r="63040" spans="17:17" x14ac:dyDescent="0.25">
      <c r="Q63040" s="8"/>
    </row>
    <row r="63041" spans="17:17" x14ac:dyDescent="0.25">
      <c r="Q63041" s="8"/>
    </row>
    <row r="63042" spans="17:17" x14ac:dyDescent="0.25">
      <c r="Q63042" s="8"/>
    </row>
    <row r="63043" spans="17:17" x14ac:dyDescent="0.25">
      <c r="Q63043" s="8"/>
    </row>
    <row r="63044" spans="17:17" x14ac:dyDescent="0.25">
      <c r="Q63044" s="8"/>
    </row>
    <row r="63045" spans="17:17" x14ac:dyDescent="0.25">
      <c r="Q63045" s="8"/>
    </row>
    <row r="63046" spans="17:17" x14ac:dyDescent="0.25">
      <c r="Q63046" s="8"/>
    </row>
    <row r="63047" spans="17:17" x14ac:dyDescent="0.25">
      <c r="Q63047" s="8"/>
    </row>
    <row r="63048" spans="17:17" x14ac:dyDescent="0.25">
      <c r="Q63048" s="8"/>
    </row>
    <row r="63049" spans="17:17" x14ac:dyDescent="0.25">
      <c r="Q63049" s="8"/>
    </row>
    <row r="63050" spans="17:17" x14ac:dyDescent="0.25">
      <c r="Q63050" s="8"/>
    </row>
    <row r="63051" spans="17:17" x14ac:dyDescent="0.25">
      <c r="Q63051" s="8"/>
    </row>
    <row r="63052" spans="17:17" x14ac:dyDescent="0.25">
      <c r="Q63052" s="8"/>
    </row>
    <row r="63053" spans="17:17" x14ac:dyDescent="0.25">
      <c r="Q63053" s="8"/>
    </row>
    <row r="63054" spans="17:17" x14ac:dyDescent="0.25">
      <c r="Q63054" s="8"/>
    </row>
    <row r="63055" spans="17:17" x14ac:dyDescent="0.25">
      <c r="Q63055" s="8"/>
    </row>
    <row r="63056" spans="17:17" x14ac:dyDescent="0.25">
      <c r="Q63056" s="8"/>
    </row>
    <row r="63057" spans="17:17" x14ac:dyDescent="0.25">
      <c r="Q63057" s="8"/>
    </row>
    <row r="63058" spans="17:17" x14ac:dyDescent="0.25">
      <c r="Q63058" s="8"/>
    </row>
    <row r="63059" spans="17:17" x14ac:dyDescent="0.25">
      <c r="Q63059" s="8"/>
    </row>
    <row r="63060" spans="17:17" x14ac:dyDescent="0.25">
      <c r="Q63060" s="8"/>
    </row>
    <row r="63061" spans="17:17" x14ac:dyDescent="0.25">
      <c r="Q63061" s="8"/>
    </row>
    <row r="63062" spans="17:17" x14ac:dyDescent="0.25">
      <c r="Q63062" s="8"/>
    </row>
    <row r="63063" spans="17:17" x14ac:dyDescent="0.25">
      <c r="Q63063" s="8"/>
    </row>
    <row r="63064" spans="17:17" x14ac:dyDescent="0.25">
      <c r="Q63064" s="8"/>
    </row>
    <row r="63065" spans="17:17" x14ac:dyDescent="0.25">
      <c r="Q63065" s="8"/>
    </row>
    <row r="63066" spans="17:17" x14ac:dyDescent="0.25">
      <c r="Q63066" s="8"/>
    </row>
    <row r="63067" spans="17:17" x14ac:dyDescent="0.25">
      <c r="Q63067" s="8"/>
    </row>
    <row r="63068" spans="17:17" x14ac:dyDescent="0.25">
      <c r="Q63068" s="8"/>
    </row>
    <row r="63069" spans="17:17" x14ac:dyDescent="0.25">
      <c r="Q63069" s="8"/>
    </row>
    <row r="63070" spans="17:17" x14ac:dyDescent="0.25">
      <c r="Q63070" s="8"/>
    </row>
    <row r="63071" spans="17:17" x14ac:dyDescent="0.25">
      <c r="Q63071" s="8"/>
    </row>
    <row r="63072" spans="17:17" x14ac:dyDescent="0.25">
      <c r="Q63072" s="8"/>
    </row>
    <row r="63073" spans="17:17" x14ac:dyDescent="0.25">
      <c r="Q63073" s="8"/>
    </row>
    <row r="63074" spans="17:17" x14ac:dyDescent="0.25">
      <c r="Q63074" s="8"/>
    </row>
    <row r="63075" spans="17:17" x14ac:dyDescent="0.25">
      <c r="Q63075" s="8"/>
    </row>
    <row r="63076" spans="17:17" x14ac:dyDescent="0.25">
      <c r="Q63076" s="8"/>
    </row>
    <row r="63077" spans="17:17" x14ac:dyDescent="0.25">
      <c r="Q63077" s="8"/>
    </row>
    <row r="63078" spans="17:17" x14ac:dyDescent="0.25">
      <c r="Q63078" s="8"/>
    </row>
    <row r="63079" spans="17:17" x14ac:dyDescent="0.25">
      <c r="Q63079" s="8"/>
    </row>
    <row r="63080" spans="17:17" x14ac:dyDescent="0.25">
      <c r="Q63080" s="8"/>
    </row>
    <row r="63081" spans="17:17" x14ac:dyDescent="0.25">
      <c r="Q63081" s="8"/>
    </row>
    <row r="63082" spans="17:17" x14ac:dyDescent="0.25">
      <c r="Q63082" s="8"/>
    </row>
    <row r="63083" spans="17:17" x14ac:dyDescent="0.25">
      <c r="Q63083" s="8"/>
    </row>
    <row r="63084" spans="17:17" x14ac:dyDescent="0.25">
      <c r="Q63084" s="8"/>
    </row>
    <row r="63085" spans="17:17" x14ac:dyDescent="0.25">
      <c r="Q63085" s="8"/>
    </row>
    <row r="63086" spans="17:17" x14ac:dyDescent="0.25">
      <c r="Q63086" s="8"/>
    </row>
    <row r="63087" spans="17:17" x14ac:dyDescent="0.25">
      <c r="Q63087" s="8"/>
    </row>
    <row r="63088" spans="17:17" x14ac:dyDescent="0.25">
      <c r="Q63088" s="8"/>
    </row>
    <row r="63089" spans="17:17" x14ac:dyDescent="0.25">
      <c r="Q63089" s="8"/>
    </row>
    <row r="63090" spans="17:17" x14ac:dyDescent="0.25">
      <c r="Q63090" s="8"/>
    </row>
    <row r="63091" spans="17:17" x14ac:dyDescent="0.25">
      <c r="Q63091" s="8"/>
    </row>
    <row r="63092" spans="17:17" x14ac:dyDescent="0.25">
      <c r="Q63092" s="8"/>
    </row>
    <row r="63093" spans="17:17" x14ac:dyDescent="0.25">
      <c r="Q63093" s="8"/>
    </row>
    <row r="63094" spans="17:17" x14ac:dyDescent="0.25">
      <c r="Q63094" s="8"/>
    </row>
    <row r="63095" spans="17:17" x14ac:dyDescent="0.25">
      <c r="Q63095" s="8"/>
    </row>
    <row r="63096" spans="17:17" x14ac:dyDescent="0.25">
      <c r="Q63096" s="8"/>
    </row>
    <row r="63097" spans="17:17" x14ac:dyDescent="0.25">
      <c r="Q63097" s="8"/>
    </row>
    <row r="63098" spans="17:17" x14ac:dyDescent="0.25">
      <c r="Q63098" s="8"/>
    </row>
    <row r="63099" spans="17:17" x14ac:dyDescent="0.25">
      <c r="Q63099" s="8"/>
    </row>
    <row r="63100" spans="17:17" x14ac:dyDescent="0.25">
      <c r="Q63100" s="8"/>
    </row>
    <row r="63101" spans="17:17" x14ac:dyDescent="0.25">
      <c r="Q63101" s="8"/>
    </row>
    <row r="63102" spans="17:17" x14ac:dyDescent="0.25">
      <c r="Q63102" s="8"/>
    </row>
    <row r="63103" spans="17:17" x14ac:dyDescent="0.25">
      <c r="Q63103" s="8"/>
    </row>
    <row r="63104" spans="17:17" x14ac:dyDescent="0.25">
      <c r="Q63104" s="8"/>
    </row>
    <row r="63105" spans="17:17" x14ac:dyDescent="0.25">
      <c r="Q63105" s="8"/>
    </row>
    <row r="63106" spans="17:17" x14ac:dyDescent="0.25">
      <c r="Q63106" s="8"/>
    </row>
    <row r="63107" spans="17:17" x14ac:dyDescent="0.25">
      <c r="Q63107" s="8"/>
    </row>
    <row r="63108" spans="17:17" x14ac:dyDescent="0.25">
      <c r="Q63108" s="8"/>
    </row>
    <row r="63109" spans="17:17" x14ac:dyDescent="0.25">
      <c r="Q63109" s="8"/>
    </row>
    <row r="63110" spans="17:17" x14ac:dyDescent="0.25">
      <c r="Q63110" s="8"/>
    </row>
    <row r="63111" spans="17:17" x14ac:dyDescent="0.25">
      <c r="Q63111" s="8"/>
    </row>
    <row r="63112" spans="17:17" x14ac:dyDescent="0.25">
      <c r="Q63112" s="8"/>
    </row>
    <row r="63113" spans="17:17" x14ac:dyDescent="0.25">
      <c r="Q63113" s="8"/>
    </row>
    <row r="63114" spans="17:17" x14ac:dyDescent="0.25">
      <c r="Q63114" s="8"/>
    </row>
    <row r="63115" spans="17:17" x14ac:dyDescent="0.25">
      <c r="Q63115" s="8"/>
    </row>
    <row r="63116" spans="17:17" x14ac:dyDescent="0.25">
      <c r="Q63116" s="8"/>
    </row>
    <row r="63117" spans="17:17" x14ac:dyDescent="0.25">
      <c r="Q63117" s="8"/>
    </row>
    <row r="63118" spans="17:17" x14ac:dyDescent="0.25">
      <c r="Q63118" s="8"/>
    </row>
    <row r="63119" spans="17:17" x14ac:dyDescent="0.25">
      <c r="Q63119" s="8"/>
    </row>
    <row r="63120" spans="17:17" x14ac:dyDescent="0.25">
      <c r="Q63120" s="8"/>
    </row>
    <row r="63121" spans="17:17" x14ac:dyDescent="0.25">
      <c r="Q63121" s="8"/>
    </row>
    <row r="63122" spans="17:17" x14ac:dyDescent="0.25">
      <c r="Q63122" s="8"/>
    </row>
    <row r="63123" spans="17:17" x14ac:dyDescent="0.25">
      <c r="Q63123" s="8"/>
    </row>
    <row r="63124" spans="17:17" x14ac:dyDescent="0.25">
      <c r="Q63124" s="8"/>
    </row>
    <row r="63125" spans="17:17" x14ac:dyDescent="0.25">
      <c r="Q63125" s="8"/>
    </row>
    <row r="63126" spans="17:17" x14ac:dyDescent="0.25">
      <c r="Q63126" s="8"/>
    </row>
    <row r="63127" spans="17:17" x14ac:dyDescent="0.25">
      <c r="Q63127" s="8"/>
    </row>
    <row r="63128" spans="17:17" x14ac:dyDescent="0.25">
      <c r="Q63128" s="8"/>
    </row>
    <row r="63129" spans="17:17" x14ac:dyDescent="0.25">
      <c r="Q63129" s="8"/>
    </row>
    <row r="63130" spans="17:17" x14ac:dyDescent="0.25">
      <c r="Q63130" s="8"/>
    </row>
    <row r="63131" spans="17:17" x14ac:dyDescent="0.25">
      <c r="Q63131" s="8"/>
    </row>
    <row r="63132" spans="17:17" x14ac:dyDescent="0.25">
      <c r="Q63132" s="8"/>
    </row>
    <row r="63133" spans="17:17" x14ac:dyDescent="0.25">
      <c r="Q63133" s="8"/>
    </row>
    <row r="63134" spans="17:17" x14ac:dyDescent="0.25">
      <c r="Q63134" s="8"/>
    </row>
    <row r="63135" spans="17:17" x14ac:dyDescent="0.25">
      <c r="Q63135" s="8"/>
    </row>
    <row r="63136" spans="17:17" x14ac:dyDescent="0.25">
      <c r="Q63136" s="8"/>
    </row>
    <row r="63137" spans="17:17" x14ac:dyDescent="0.25">
      <c r="Q63137" s="8"/>
    </row>
    <row r="63138" spans="17:17" x14ac:dyDescent="0.25">
      <c r="Q63138" s="8"/>
    </row>
    <row r="63139" spans="17:17" x14ac:dyDescent="0.25">
      <c r="Q63139" s="8"/>
    </row>
    <row r="63140" spans="17:17" x14ac:dyDescent="0.25">
      <c r="Q63140" s="8"/>
    </row>
    <row r="63141" spans="17:17" x14ac:dyDescent="0.25">
      <c r="Q63141" s="8"/>
    </row>
    <row r="63142" spans="17:17" x14ac:dyDescent="0.25">
      <c r="Q63142" s="8"/>
    </row>
    <row r="63143" spans="17:17" x14ac:dyDescent="0.25">
      <c r="Q63143" s="8"/>
    </row>
    <row r="63144" spans="17:17" x14ac:dyDescent="0.25">
      <c r="Q63144" s="8"/>
    </row>
    <row r="63145" spans="17:17" x14ac:dyDescent="0.25">
      <c r="Q63145" s="8"/>
    </row>
    <row r="63146" spans="17:17" x14ac:dyDescent="0.25">
      <c r="Q63146" s="8"/>
    </row>
    <row r="63147" spans="17:17" x14ac:dyDescent="0.25">
      <c r="Q63147" s="8"/>
    </row>
    <row r="63148" spans="17:17" x14ac:dyDescent="0.25">
      <c r="Q63148" s="8"/>
    </row>
    <row r="63149" spans="17:17" x14ac:dyDescent="0.25">
      <c r="Q63149" s="8"/>
    </row>
    <row r="63150" spans="17:17" x14ac:dyDescent="0.25">
      <c r="Q63150" s="8"/>
    </row>
    <row r="63151" spans="17:17" x14ac:dyDescent="0.25">
      <c r="Q63151" s="8"/>
    </row>
    <row r="63152" spans="17:17" x14ac:dyDescent="0.25">
      <c r="Q63152" s="8"/>
    </row>
    <row r="63153" spans="17:17" x14ac:dyDescent="0.25">
      <c r="Q63153" s="8"/>
    </row>
    <row r="63154" spans="17:17" x14ac:dyDescent="0.25">
      <c r="Q63154" s="8"/>
    </row>
    <row r="63155" spans="17:17" x14ac:dyDescent="0.25">
      <c r="Q63155" s="8"/>
    </row>
    <row r="63156" spans="17:17" x14ac:dyDescent="0.25">
      <c r="Q63156" s="8"/>
    </row>
    <row r="63157" spans="17:17" x14ac:dyDescent="0.25">
      <c r="Q63157" s="8"/>
    </row>
    <row r="63158" spans="17:17" x14ac:dyDescent="0.25">
      <c r="Q63158" s="8"/>
    </row>
    <row r="63159" spans="17:17" x14ac:dyDescent="0.25">
      <c r="Q63159" s="8"/>
    </row>
    <row r="63160" spans="17:17" x14ac:dyDescent="0.25">
      <c r="Q63160" s="8"/>
    </row>
    <row r="63161" spans="17:17" x14ac:dyDescent="0.25">
      <c r="Q63161" s="8"/>
    </row>
    <row r="63162" spans="17:17" x14ac:dyDescent="0.25">
      <c r="Q63162" s="8"/>
    </row>
    <row r="63163" spans="17:17" x14ac:dyDescent="0.25">
      <c r="Q63163" s="8"/>
    </row>
    <row r="63164" spans="17:17" x14ac:dyDescent="0.25">
      <c r="Q63164" s="8"/>
    </row>
    <row r="63165" spans="17:17" x14ac:dyDescent="0.25">
      <c r="Q63165" s="8"/>
    </row>
    <row r="63166" spans="17:17" x14ac:dyDescent="0.25">
      <c r="Q63166" s="8"/>
    </row>
    <row r="63167" spans="17:17" x14ac:dyDescent="0.25">
      <c r="Q63167" s="8"/>
    </row>
    <row r="63168" spans="17:17" x14ac:dyDescent="0.25">
      <c r="Q63168" s="8"/>
    </row>
    <row r="63169" spans="17:17" x14ac:dyDescent="0.25">
      <c r="Q63169" s="8"/>
    </row>
    <row r="63170" spans="17:17" x14ac:dyDescent="0.25">
      <c r="Q63170" s="8"/>
    </row>
    <row r="63171" spans="17:17" x14ac:dyDescent="0.25">
      <c r="Q63171" s="8"/>
    </row>
    <row r="63172" spans="17:17" x14ac:dyDescent="0.25">
      <c r="Q63172" s="8"/>
    </row>
    <row r="63173" spans="17:17" x14ac:dyDescent="0.25">
      <c r="Q63173" s="8"/>
    </row>
    <row r="63174" spans="17:17" x14ac:dyDescent="0.25">
      <c r="Q63174" s="8"/>
    </row>
    <row r="63175" spans="17:17" x14ac:dyDescent="0.25">
      <c r="Q63175" s="8"/>
    </row>
    <row r="63176" spans="17:17" x14ac:dyDescent="0.25">
      <c r="Q63176" s="8"/>
    </row>
    <row r="63177" spans="17:17" x14ac:dyDescent="0.25">
      <c r="Q63177" s="8"/>
    </row>
    <row r="63178" spans="17:17" x14ac:dyDescent="0.25">
      <c r="Q63178" s="8"/>
    </row>
    <row r="63179" spans="17:17" x14ac:dyDescent="0.25">
      <c r="Q63179" s="8"/>
    </row>
    <row r="63180" spans="17:17" x14ac:dyDescent="0.25">
      <c r="Q63180" s="8"/>
    </row>
    <row r="63181" spans="17:17" x14ac:dyDescent="0.25">
      <c r="Q63181" s="8"/>
    </row>
    <row r="63182" spans="17:17" x14ac:dyDescent="0.25">
      <c r="Q63182" s="8"/>
    </row>
    <row r="63183" spans="17:17" x14ac:dyDescent="0.25">
      <c r="Q63183" s="8"/>
    </row>
    <row r="63184" spans="17:17" x14ac:dyDescent="0.25">
      <c r="Q63184" s="8"/>
    </row>
    <row r="63185" spans="17:17" x14ac:dyDescent="0.25">
      <c r="Q63185" s="8"/>
    </row>
    <row r="63186" spans="17:17" x14ac:dyDescent="0.25">
      <c r="Q63186" s="8"/>
    </row>
    <row r="63187" spans="17:17" x14ac:dyDescent="0.25">
      <c r="Q63187" s="8"/>
    </row>
    <row r="63188" spans="17:17" x14ac:dyDescent="0.25">
      <c r="Q63188" s="8"/>
    </row>
    <row r="63189" spans="17:17" x14ac:dyDescent="0.25">
      <c r="Q63189" s="8"/>
    </row>
    <row r="63190" spans="17:17" x14ac:dyDescent="0.25">
      <c r="Q63190" s="8"/>
    </row>
    <row r="63191" spans="17:17" x14ac:dyDescent="0.25">
      <c r="Q63191" s="8"/>
    </row>
    <row r="63192" spans="17:17" x14ac:dyDescent="0.25">
      <c r="Q63192" s="8"/>
    </row>
    <row r="63193" spans="17:17" x14ac:dyDescent="0.25">
      <c r="Q63193" s="8"/>
    </row>
    <row r="63194" spans="17:17" x14ac:dyDescent="0.25">
      <c r="Q63194" s="8"/>
    </row>
    <row r="63195" spans="17:17" x14ac:dyDescent="0.25">
      <c r="Q63195" s="8"/>
    </row>
    <row r="63196" spans="17:17" x14ac:dyDescent="0.25">
      <c r="Q63196" s="8"/>
    </row>
    <row r="63197" spans="17:17" x14ac:dyDescent="0.25">
      <c r="Q63197" s="8"/>
    </row>
    <row r="63198" spans="17:17" x14ac:dyDescent="0.25">
      <c r="Q63198" s="8"/>
    </row>
    <row r="63199" spans="17:17" x14ac:dyDescent="0.25">
      <c r="Q63199" s="8"/>
    </row>
    <row r="63200" spans="17:17" x14ac:dyDescent="0.25">
      <c r="Q63200" s="8"/>
    </row>
    <row r="63201" spans="17:17" x14ac:dyDescent="0.25">
      <c r="Q63201" s="8"/>
    </row>
    <row r="63202" spans="17:17" x14ac:dyDescent="0.25">
      <c r="Q63202" s="8"/>
    </row>
    <row r="63203" spans="17:17" x14ac:dyDescent="0.25">
      <c r="Q63203" s="8"/>
    </row>
    <row r="63204" spans="17:17" x14ac:dyDescent="0.25">
      <c r="Q63204" s="8"/>
    </row>
    <row r="63205" spans="17:17" x14ac:dyDescent="0.25">
      <c r="Q63205" s="8"/>
    </row>
    <row r="63206" spans="17:17" x14ac:dyDescent="0.25">
      <c r="Q63206" s="8"/>
    </row>
    <row r="63207" spans="17:17" x14ac:dyDescent="0.25">
      <c r="Q63207" s="8"/>
    </row>
    <row r="63208" spans="17:17" x14ac:dyDescent="0.25">
      <c r="Q63208" s="8"/>
    </row>
    <row r="63209" spans="17:17" x14ac:dyDescent="0.25">
      <c r="Q63209" s="8"/>
    </row>
    <row r="63210" spans="17:17" x14ac:dyDescent="0.25">
      <c r="Q63210" s="8"/>
    </row>
    <row r="63211" spans="17:17" x14ac:dyDescent="0.25">
      <c r="Q63211" s="8"/>
    </row>
    <row r="63212" spans="17:17" x14ac:dyDescent="0.25">
      <c r="Q63212" s="8"/>
    </row>
    <row r="63213" spans="17:17" x14ac:dyDescent="0.25">
      <c r="Q63213" s="8"/>
    </row>
    <row r="63214" spans="17:17" x14ac:dyDescent="0.25">
      <c r="Q63214" s="8"/>
    </row>
    <row r="63215" spans="17:17" x14ac:dyDescent="0.25">
      <c r="Q63215" s="8"/>
    </row>
    <row r="63216" spans="17:17" x14ac:dyDescent="0.25">
      <c r="Q63216" s="8"/>
    </row>
    <row r="63217" spans="17:17" x14ac:dyDescent="0.25">
      <c r="Q63217" s="8"/>
    </row>
    <row r="63218" spans="17:17" x14ac:dyDescent="0.25">
      <c r="Q63218" s="8"/>
    </row>
    <row r="63219" spans="17:17" x14ac:dyDescent="0.25">
      <c r="Q63219" s="8"/>
    </row>
    <row r="63220" spans="17:17" x14ac:dyDescent="0.25">
      <c r="Q63220" s="8"/>
    </row>
    <row r="63221" spans="17:17" x14ac:dyDescent="0.25">
      <c r="Q63221" s="8"/>
    </row>
    <row r="63222" spans="17:17" x14ac:dyDescent="0.25">
      <c r="Q63222" s="8"/>
    </row>
    <row r="63223" spans="17:17" x14ac:dyDescent="0.25">
      <c r="Q63223" s="8"/>
    </row>
    <row r="63224" spans="17:17" x14ac:dyDescent="0.25">
      <c r="Q63224" s="8"/>
    </row>
    <row r="63225" spans="17:17" x14ac:dyDescent="0.25">
      <c r="Q63225" s="8"/>
    </row>
    <row r="63226" spans="17:17" x14ac:dyDescent="0.25">
      <c r="Q63226" s="8"/>
    </row>
    <row r="63227" spans="17:17" x14ac:dyDescent="0.25">
      <c r="Q63227" s="8"/>
    </row>
    <row r="63228" spans="17:17" x14ac:dyDescent="0.25">
      <c r="Q63228" s="8"/>
    </row>
    <row r="63229" spans="17:17" x14ac:dyDescent="0.25">
      <c r="Q63229" s="8"/>
    </row>
    <row r="63230" spans="17:17" x14ac:dyDescent="0.25">
      <c r="Q63230" s="8"/>
    </row>
    <row r="63231" spans="17:17" x14ac:dyDescent="0.25">
      <c r="Q63231" s="8"/>
    </row>
    <row r="63232" spans="17:17" x14ac:dyDescent="0.25">
      <c r="Q63232" s="8"/>
    </row>
    <row r="63233" spans="17:17" x14ac:dyDescent="0.25">
      <c r="Q63233" s="8"/>
    </row>
    <row r="63234" spans="17:17" x14ac:dyDescent="0.25">
      <c r="Q63234" s="8"/>
    </row>
    <row r="63235" spans="17:17" x14ac:dyDescent="0.25">
      <c r="Q63235" s="8"/>
    </row>
    <row r="63236" spans="17:17" x14ac:dyDescent="0.25">
      <c r="Q63236" s="8"/>
    </row>
    <row r="63237" spans="17:17" x14ac:dyDescent="0.25">
      <c r="Q63237" s="8"/>
    </row>
    <row r="63238" spans="17:17" x14ac:dyDescent="0.25">
      <c r="Q63238" s="8"/>
    </row>
    <row r="63239" spans="17:17" x14ac:dyDescent="0.25">
      <c r="Q63239" s="8"/>
    </row>
    <row r="63240" spans="17:17" x14ac:dyDescent="0.25">
      <c r="Q63240" s="8"/>
    </row>
    <row r="63241" spans="17:17" x14ac:dyDescent="0.25">
      <c r="Q63241" s="8"/>
    </row>
    <row r="63242" spans="17:17" x14ac:dyDescent="0.25">
      <c r="Q63242" s="8"/>
    </row>
    <row r="63243" spans="17:17" x14ac:dyDescent="0.25">
      <c r="Q63243" s="8"/>
    </row>
    <row r="63244" spans="17:17" x14ac:dyDescent="0.25">
      <c r="Q63244" s="8"/>
    </row>
    <row r="63245" spans="17:17" x14ac:dyDescent="0.25">
      <c r="Q63245" s="8"/>
    </row>
    <row r="63246" spans="17:17" x14ac:dyDescent="0.25">
      <c r="Q63246" s="8"/>
    </row>
    <row r="63247" spans="17:17" x14ac:dyDescent="0.25">
      <c r="Q63247" s="8"/>
    </row>
    <row r="63248" spans="17:17" x14ac:dyDescent="0.25">
      <c r="Q63248" s="8"/>
    </row>
    <row r="63249" spans="17:17" x14ac:dyDescent="0.25">
      <c r="Q63249" s="8"/>
    </row>
    <row r="63250" spans="17:17" x14ac:dyDescent="0.25">
      <c r="Q63250" s="8"/>
    </row>
    <row r="63251" spans="17:17" x14ac:dyDescent="0.25">
      <c r="Q63251" s="8"/>
    </row>
    <row r="63252" spans="17:17" x14ac:dyDescent="0.25">
      <c r="Q63252" s="8"/>
    </row>
    <row r="63253" spans="17:17" x14ac:dyDescent="0.25">
      <c r="Q63253" s="8"/>
    </row>
    <row r="63254" spans="17:17" x14ac:dyDescent="0.25">
      <c r="Q63254" s="8"/>
    </row>
    <row r="63255" spans="17:17" x14ac:dyDescent="0.25">
      <c r="Q63255" s="8"/>
    </row>
    <row r="63256" spans="17:17" x14ac:dyDescent="0.25">
      <c r="Q63256" s="8"/>
    </row>
    <row r="63257" spans="17:17" x14ac:dyDescent="0.25">
      <c r="Q63257" s="8"/>
    </row>
    <row r="63258" spans="17:17" x14ac:dyDescent="0.25">
      <c r="Q63258" s="8"/>
    </row>
    <row r="63259" spans="17:17" x14ac:dyDescent="0.25">
      <c r="Q63259" s="8"/>
    </row>
    <row r="63260" spans="17:17" x14ac:dyDescent="0.25">
      <c r="Q63260" s="8"/>
    </row>
    <row r="63261" spans="17:17" x14ac:dyDescent="0.25">
      <c r="Q63261" s="8"/>
    </row>
    <row r="63262" spans="17:17" x14ac:dyDescent="0.25">
      <c r="Q63262" s="8"/>
    </row>
    <row r="63263" spans="17:17" x14ac:dyDescent="0.25">
      <c r="Q63263" s="8"/>
    </row>
    <row r="63264" spans="17:17" x14ac:dyDescent="0.25">
      <c r="Q63264" s="8"/>
    </row>
    <row r="63265" spans="17:17" x14ac:dyDescent="0.25">
      <c r="Q63265" s="8"/>
    </row>
    <row r="63266" spans="17:17" x14ac:dyDescent="0.25">
      <c r="Q63266" s="8"/>
    </row>
    <row r="63267" spans="17:17" x14ac:dyDescent="0.25">
      <c r="Q63267" s="8"/>
    </row>
    <row r="63268" spans="17:17" x14ac:dyDescent="0.25">
      <c r="Q63268" s="8"/>
    </row>
    <row r="63269" spans="17:17" x14ac:dyDescent="0.25">
      <c r="Q63269" s="8"/>
    </row>
    <row r="63270" spans="17:17" x14ac:dyDescent="0.25">
      <c r="Q63270" s="8"/>
    </row>
    <row r="63271" spans="17:17" x14ac:dyDescent="0.25">
      <c r="Q63271" s="8"/>
    </row>
    <row r="63272" spans="17:17" x14ac:dyDescent="0.25">
      <c r="Q63272" s="8"/>
    </row>
    <row r="63273" spans="17:17" x14ac:dyDescent="0.25">
      <c r="Q63273" s="8"/>
    </row>
    <row r="63274" spans="17:17" x14ac:dyDescent="0.25">
      <c r="Q63274" s="8"/>
    </row>
    <row r="63275" spans="17:17" x14ac:dyDescent="0.25">
      <c r="Q63275" s="8"/>
    </row>
    <row r="63276" spans="17:17" x14ac:dyDescent="0.25">
      <c r="Q63276" s="8"/>
    </row>
    <row r="63277" spans="17:17" x14ac:dyDescent="0.25">
      <c r="Q63277" s="8"/>
    </row>
    <row r="63278" spans="17:17" x14ac:dyDescent="0.25">
      <c r="Q63278" s="8"/>
    </row>
    <row r="63279" spans="17:17" x14ac:dyDescent="0.25">
      <c r="Q63279" s="8"/>
    </row>
    <row r="63280" spans="17:17" x14ac:dyDescent="0.25">
      <c r="Q63280" s="8"/>
    </row>
    <row r="63281" spans="17:17" x14ac:dyDescent="0.25">
      <c r="Q63281" s="8"/>
    </row>
    <row r="63282" spans="17:17" x14ac:dyDescent="0.25">
      <c r="Q63282" s="8"/>
    </row>
    <row r="63283" spans="17:17" x14ac:dyDescent="0.25">
      <c r="Q63283" s="8"/>
    </row>
    <row r="63284" spans="17:17" x14ac:dyDescent="0.25">
      <c r="Q63284" s="8"/>
    </row>
    <row r="63285" spans="17:17" x14ac:dyDescent="0.25">
      <c r="Q63285" s="8"/>
    </row>
    <row r="63286" spans="17:17" x14ac:dyDescent="0.25">
      <c r="Q63286" s="8"/>
    </row>
    <row r="63287" spans="17:17" x14ac:dyDescent="0.25">
      <c r="Q63287" s="8"/>
    </row>
    <row r="63288" spans="17:17" x14ac:dyDescent="0.25">
      <c r="Q63288" s="8"/>
    </row>
    <row r="63289" spans="17:17" x14ac:dyDescent="0.25">
      <c r="Q63289" s="8"/>
    </row>
    <row r="63290" spans="17:17" x14ac:dyDescent="0.25">
      <c r="Q63290" s="8"/>
    </row>
    <row r="63291" spans="17:17" x14ac:dyDescent="0.25">
      <c r="Q63291" s="8"/>
    </row>
    <row r="63292" spans="17:17" x14ac:dyDescent="0.25">
      <c r="Q63292" s="8"/>
    </row>
    <row r="63293" spans="17:17" x14ac:dyDescent="0.25">
      <c r="Q63293" s="8"/>
    </row>
    <row r="63294" spans="17:17" x14ac:dyDescent="0.25">
      <c r="Q63294" s="8"/>
    </row>
    <row r="63295" spans="17:17" x14ac:dyDescent="0.25">
      <c r="Q63295" s="8"/>
    </row>
    <row r="63296" spans="17:17" x14ac:dyDescent="0.25">
      <c r="Q63296" s="8"/>
    </row>
    <row r="63297" spans="17:17" x14ac:dyDescent="0.25">
      <c r="Q63297" s="8"/>
    </row>
    <row r="63298" spans="17:17" x14ac:dyDescent="0.25">
      <c r="Q63298" s="8"/>
    </row>
    <row r="63299" spans="17:17" x14ac:dyDescent="0.25">
      <c r="Q63299" s="8"/>
    </row>
    <row r="63300" spans="17:17" x14ac:dyDescent="0.25">
      <c r="Q63300" s="8"/>
    </row>
    <row r="63301" spans="17:17" x14ac:dyDescent="0.25">
      <c r="Q63301" s="8"/>
    </row>
    <row r="63302" spans="17:17" x14ac:dyDescent="0.25">
      <c r="Q63302" s="8"/>
    </row>
    <row r="63303" spans="17:17" x14ac:dyDescent="0.25">
      <c r="Q63303" s="8"/>
    </row>
    <row r="63304" spans="17:17" x14ac:dyDescent="0.25">
      <c r="Q63304" s="8"/>
    </row>
    <row r="63305" spans="17:17" x14ac:dyDescent="0.25">
      <c r="Q63305" s="8"/>
    </row>
    <row r="63306" spans="17:17" x14ac:dyDescent="0.25">
      <c r="Q63306" s="8"/>
    </row>
    <row r="63307" spans="17:17" x14ac:dyDescent="0.25">
      <c r="Q63307" s="8"/>
    </row>
    <row r="63308" spans="17:17" x14ac:dyDescent="0.25">
      <c r="Q63308" s="8"/>
    </row>
    <row r="63309" spans="17:17" x14ac:dyDescent="0.25">
      <c r="Q63309" s="8"/>
    </row>
    <row r="63310" spans="17:17" x14ac:dyDescent="0.25">
      <c r="Q63310" s="8"/>
    </row>
    <row r="63311" spans="17:17" x14ac:dyDescent="0.25">
      <c r="Q63311" s="8"/>
    </row>
    <row r="63312" spans="17:17" x14ac:dyDescent="0.25">
      <c r="Q63312" s="8"/>
    </row>
    <row r="63313" spans="17:17" x14ac:dyDescent="0.25">
      <c r="Q63313" s="8"/>
    </row>
    <row r="63314" spans="17:17" x14ac:dyDescent="0.25">
      <c r="Q63314" s="8"/>
    </row>
    <row r="63315" spans="17:17" x14ac:dyDescent="0.25">
      <c r="Q63315" s="8"/>
    </row>
    <row r="63316" spans="17:17" x14ac:dyDescent="0.25">
      <c r="Q63316" s="8"/>
    </row>
    <row r="63317" spans="17:17" x14ac:dyDescent="0.25">
      <c r="Q63317" s="8"/>
    </row>
    <row r="63318" spans="17:17" x14ac:dyDescent="0.25">
      <c r="Q63318" s="8"/>
    </row>
    <row r="63319" spans="17:17" x14ac:dyDescent="0.25">
      <c r="Q63319" s="8"/>
    </row>
    <row r="63320" spans="17:17" x14ac:dyDescent="0.25">
      <c r="Q63320" s="8"/>
    </row>
    <row r="63321" spans="17:17" x14ac:dyDescent="0.25">
      <c r="Q63321" s="8"/>
    </row>
    <row r="63322" spans="17:17" x14ac:dyDescent="0.25">
      <c r="Q63322" s="8"/>
    </row>
    <row r="63323" spans="17:17" x14ac:dyDescent="0.25">
      <c r="Q63323" s="8"/>
    </row>
    <row r="63324" spans="17:17" x14ac:dyDescent="0.25">
      <c r="Q63324" s="8"/>
    </row>
    <row r="63325" spans="17:17" x14ac:dyDescent="0.25">
      <c r="Q63325" s="8"/>
    </row>
    <row r="63326" spans="17:17" x14ac:dyDescent="0.25">
      <c r="Q63326" s="8"/>
    </row>
    <row r="63327" spans="17:17" x14ac:dyDescent="0.25">
      <c r="Q63327" s="8"/>
    </row>
    <row r="63328" spans="17:17" x14ac:dyDescent="0.25">
      <c r="Q63328" s="8"/>
    </row>
    <row r="63329" spans="17:17" x14ac:dyDescent="0.25">
      <c r="Q63329" s="8"/>
    </row>
    <row r="63330" spans="17:17" x14ac:dyDescent="0.25">
      <c r="Q63330" s="8"/>
    </row>
    <row r="63331" spans="17:17" x14ac:dyDescent="0.25">
      <c r="Q63331" s="8"/>
    </row>
    <row r="63332" spans="17:17" x14ac:dyDescent="0.25">
      <c r="Q63332" s="8"/>
    </row>
    <row r="63333" spans="17:17" x14ac:dyDescent="0.25">
      <c r="Q63333" s="8"/>
    </row>
    <row r="63334" spans="17:17" x14ac:dyDescent="0.25">
      <c r="Q63334" s="8"/>
    </row>
    <row r="63335" spans="17:17" x14ac:dyDescent="0.25">
      <c r="Q63335" s="8"/>
    </row>
    <row r="63336" spans="17:17" x14ac:dyDescent="0.25">
      <c r="Q63336" s="8"/>
    </row>
    <row r="63337" spans="17:17" x14ac:dyDescent="0.25">
      <c r="Q63337" s="8"/>
    </row>
    <row r="63338" spans="17:17" x14ac:dyDescent="0.25">
      <c r="Q63338" s="8"/>
    </row>
    <row r="63339" spans="17:17" x14ac:dyDescent="0.25">
      <c r="Q63339" s="8"/>
    </row>
    <row r="63340" spans="17:17" x14ac:dyDescent="0.25">
      <c r="Q63340" s="8"/>
    </row>
    <row r="63341" spans="17:17" x14ac:dyDescent="0.25">
      <c r="Q63341" s="8"/>
    </row>
    <row r="63342" spans="17:17" x14ac:dyDescent="0.25">
      <c r="Q63342" s="8"/>
    </row>
    <row r="63343" spans="17:17" x14ac:dyDescent="0.25">
      <c r="Q63343" s="8"/>
    </row>
    <row r="63344" spans="17:17" x14ac:dyDescent="0.25">
      <c r="Q63344" s="8"/>
    </row>
    <row r="63345" spans="17:17" x14ac:dyDescent="0.25">
      <c r="Q63345" s="8"/>
    </row>
    <row r="63346" spans="17:17" x14ac:dyDescent="0.25">
      <c r="Q63346" s="8"/>
    </row>
    <row r="63347" spans="17:17" x14ac:dyDescent="0.25">
      <c r="Q63347" s="8"/>
    </row>
    <row r="63348" spans="17:17" x14ac:dyDescent="0.25">
      <c r="Q63348" s="8"/>
    </row>
    <row r="63349" spans="17:17" x14ac:dyDescent="0.25">
      <c r="Q63349" s="8"/>
    </row>
    <row r="63350" spans="17:17" x14ac:dyDescent="0.25">
      <c r="Q63350" s="8"/>
    </row>
    <row r="63351" spans="17:17" x14ac:dyDescent="0.25">
      <c r="Q63351" s="8"/>
    </row>
    <row r="63352" spans="17:17" x14ac:dyDescent="0.25">
      <c r="Q63352" s="8"/>
    </row>
    <row r="63353" spans="17:17" x14ac:dyDescent="0.25">
      <c r="Q63353" s="8"/>
    </row>
    <row r="63354" spans="17:17" x14ac:dyDescent="0.25">
      <c r="Q63354" s="8"/>
    </row>
    <row r="63355" spans="17:17" x14ac:dyDescent="0.25">
      <c r="Q63355" s="8"/>
    </row>
    <row r="63356" spans="17:17" x14ac:dyDescent="0.25">
      <c r="Q63356" s="8"/>
    </row>
    <row r="63357" spans="17:17" x14ac:dyDescent="0.25">
      <c r="Q63357" s="8"/>
    </row>
    <row r="63358" spans="17:17" x14ac:dyDescent="0.25">
      <c r="Q63358" s="8"/>
    </row>
    <row r="63359" spans="17:17" x14ac:dyDescent="0.25">
      <c r="Q63359" s="8"/>
    </row>
    <row r="63360" spans="17:17" x14ac:dyDescent="0.25">
      <c r="Q63360" s="8"/>
    </row>
    <row r="63361" spans="17:17" x14ac:dyDescent="0.25">
      <c r="Q63361" s="8"/>
    </row>
    <row r="63362" spans="17:17" x14ac:dyDescent="0.25">
      <c r="Q63362" s="8"/>
    </row>
    <row r="63363" spans="17:17" x14ac:dyDescent="0.25">
      <c r="Q63363" s="8"/>
    </row>
    <row r="63364" spans="17:17" x14ac:dyDescent="0.25">
      <c r="Q63364" s="8"/>
    </row>
    <row r="63365" spans="17:17" x14ac:dyDescent="0.25">
      <c r="Q63365" s="8"/>
    </row>
    <row r="63366" spans="17:17" x14ac:dyDescent="0.25">
      <c r="Q63366" s="8"/>
    </row>
    <row r="63367" spans="17:17" x14ac:dyDescent="0.25">
      <c r="Q63367" s="8"/>
    </row>
    <row r="63368" spans="17:17" x14ac:dyDescent="0.25">
      <c r="Q63368" s="8"/>
    </row>
    <row r="63369" spans="17:17" x14ac:dyDescent="0.25">
      <c r="Q63369" s="8"/>
    </row>
    <row r="63370" spans="17:17" x14ac:dyDescent="0.25">
      <c r="Q63370" s="8"/>
    </row>
    <row r="63371" spans="17:17" x14ac:dyDescent="0.25">
      <c r="Q63371" s="8"/>
    </row>
    <row r="63372" spans="17:17" x14ac:dyDescent="0.25">
      <c r="Q63372" s="8"/>
    </row>
    <row r="63373" spans="17:17" x14ac:dyDescent="0.25">
      <c r="Q63373" s="8"/>
    </row>
    <row r="63374" spans="17:17" x14ac:dyDescent="0.25">
      <c r="Q63374" s="8"/>
    </row>
    <row r="63375" spans="17:17" x14ac:dyDescent="0.25">
      <c r="Q63375" s="8"/>
    </row>
    <row r="63376" spans="17:17" x14ac:dyDescent="0.25">
      <c r="Q63376" s="8"/>
    </row>
    <row r="63377" spans="17:17" x14ac:dyDescent="0.25">
      <c r="Q63377" s="8"/>
    </row>
    <row r="63378" spans="17:17" x14ac:dyDescent="0.25">
      <c r="Q63378" s="8"/>
    </row>
    <row r="63379" spans="17:17" x14ac:dyDescent="0.25">
      <c r="Q63379" s="8"/>
    </row>
    <row r="63380" spans="17:17" x14ac:dyDescent="0.25">
      <c r="Q63380" s="8"/>
    </row>
    <row r="63381" spans="17:17" x14ac:dyDescent="0.25">
      <c r="Q63381" s="8"/>
    </row>
    <row r="63382" spans="17:17" x14ac:dyDescent="0.25">
      <c r="Q63382" s="8"/>
    </row>
    <row r="63383" spans="17:17" x14ac:dyDescent="0.25">
      <c r="Q63383" s="8"/>
    </row>
    <row r="63384" spans="17:17" x14ac:dyDescent="0.25">
      <c r="Q63384" s="8"/>
    </row>
    <row r="63385" spans="17:17" x14ac:dyDescent="0.25">
      <c r="Q63385" s="8"/>
    </row>
    <row r="63386" spans="17:17" x14ac:dyDescent="0.25">
      <c r="Q63386" s="8"/>
    </row>
    <row r="63387" spans="17:17" x14ac:dyDescent="0.25">
      <c r="Q63387" s="8"/>
    </row>
    <row r="63388" spans="17:17" x14ac:dyDescent="0.25">
      <c r="Q63388" s="8"/>
    </row>
    <row r="63389" spans="17:17" x14ac:dyDescent="0.25">
      <c r="Q63389" s="8"/>
    </row>
    <row r="63390" spans="17:17" x14ac:dyDescent="0.25">
      <c r="Q63390" s="8"/>
    </row>
    <row r="63391" spans="17:17" x14ac:dyDescent="0.25">
      <c r="Q63391" s="8"/>
    </row>
    <row r="63392" spans="17:17" x14ac:dyDescent="0.25">
      <c r="Q63392" s="8"/>
    </row>
    <row r="63393" spans="17:17" x14ac:dyDescent="0.25">
      <c r="Q63393" s="8"/>
    </row>
    <row r="63394" spans="17:17" x14ac:dyDescent="0.25">
      <c r="Q63394" s="8"/>
    </row>
    <row r="63395" spans="17:17" x14ac:dyDescent="0.25">
      <c r="Q63395" s="8"/>
    </row>
    <row r="63396" spans="17:17" x14ac:dyDescent="0.25">
      <c r="Q63396" s="8"/>
    </row>
    <row r="63397" spans="17:17" x14ac:dyDescent="0.25">
      <c r="Q63397" s="8"/>
    </row>
    <row r="63398" spans="17:17" x14ac:dyDescent="0.25">
      <c r="Q63398" s="8"/>
    </row>
    <row r="63399" spans="17:17" x14ac:dyDescent="0.25">
      <c r="Q63399" s="8"/>
    </row>
    <row r="63400" spans="17:17" x14ac:dyDescent="0.25">
      <c r="Q63400" s="8"/>
    </row>
    <row r="63401" spans="17:17" x14ac:dyDescent="0.25">
      <c r="Q63401" s="8"/>
    </row>
    <row r="63402" spans="17:17" x14ac:dyDescent="0.25">
      <c r="Q63402" s="8"/>
    </row>
    <row r="63403" spans="17:17" x14ac:dyDescent="0.25">
      <c r="Q63403" s="8"/>
    </row>
    <row r="63404" spans="17:17" x14ac:dyDescent="0.25">
      <c r="Q63404" s="8"/>
    </row>
    <row r="63405" spans="17:17" x14ac:dyDescent="0.25">
      <c r="Q63405" s="8"/>
    </row>
    <row r="63406" spans="17:17" x14ac:dyDescent="0.25">
      <c r="Q63406" s="8"/>
    </row>
    <row r="63407" spans="17:17" x14ac:dyDescent="0.25">
      <c r="Q63407" s="8"/>
    </row>
    <row r="63408" spans="17:17" x14ac:dyDescent="0.25">
      <c r="Q63408" s="8"/>
    </row>
    <row r="63409" spans="17:17" x14ac:dyDescent="0.25">
      <c r="Q63409" s="8"/>
    </row>
    <row r="63410" spans="17:17" x14ac:dyDescent="0.25">
      <c r="Q63410" s="8"/>
    </row>
    <row r="63411" spans="17:17" x14ac:dyDescent="0.25">
      <c r="Q63411" s="8"/>
    </row>
    <row r="63412" spans="17:17" x14ac:dyDescent="0.25">
      <c r="Q63412" s="8"/>
    </row>
    <row r="63413" spans="17:17" x14ac:dyDescent="0.25">
      <c r="Q63413" s="8"/>
    </row>
    <row r="63414" spans="17:17" x14ac:dyDescent="0.25">
      <c r="Q63414" s="8"/>
    </row>
    <row r="63415" spans="17:17" x14ac:dyDescent="0.25">
      <c r="Q63415" s="8"/>
    </row>
    <row r="63416" spans="17:17" x14ac:dyDescent="0.25">
      <c r="Q63416" s="8"/>
    </row>
    <row r="63417" spans="17:17" x14ac:dyDescent="0.25">
      <c r="Q63417" s="8"/>
    </row>
    <row r="63418" spans="17:17" x14ac:dyDescent="0.25">
      <c r="Q63418" s="8"/>
    </row>
    <row r="63419" spans="17:17" x14ac:dyDescent="0.25">
      <c r="Q63419" s="8"/>
    </row>
    <row r="63420" spans="17:17" x14ac:dyDescent="0.25">
      <c r="Q63420" s="8"/>
    </row>
    <row r="63421" spans="17:17" x14ac:dyDescent="0.25">
      <c r="Q63421" s="8"/>
    </row>
    <row r="63422" spans="17:17" x14ac:dyDescent="0.25">
      <c r="Q63422" s="8"/>
    </row>
    <row r="63423" spans="17:17" x14ac:dyDescent="0.25">
      <c r="Q63423" s="8"/>
    </row>
    <row r="63424" spans="17:17" x14ac:dyDescent="0.25">
      <c r="Q63424" s="8"/>
    </row>
    <row r="63425" spans="17:17" x14ac:dyDescent="0.25">
      <c r="Q63425" s="8"/>
    </row>
    <row r="63426" spans="17:17" x14ac:dyDescent="0.25">
      <c r="Q63426" s="8"/>
    </row>
    <row r="63427" spans="17:17" x14ac:dyDescent="0.25">
      <c r="Q63427" s="8"/>
    </row>
    <row r="63428" spans="17:17" x14ac:dyDescent="0.25">
      <c r="Q63428" s="8"/>
    </row>
    <row r="63429" spans="17:17" x14ac:dyDescent="0.25">
      <c r="Q63429" s="8"/>
    </row>
    <row r="63430" spans="17:17" x14ac:dyDescent="0.25">
      <c r="Q63430" s="8"/>
    </row>
    <row r="63431" spans="17:17" x14ac:dyDescent="0.25">
      <c r="Q63431" s="8"/>
    </row>
    <row r="63432" spans="17:17" x14ac:dyDescent="0.25">
      <c r="Q63432" s="8"/>
    </row>
    <row r="63433" spans="17:17" x14ac:dyDescent="0.25">
      <c r="Q63433" s="8"/>
    </row>
    <row r="63434" spans="17:17" x14ac:dyDescent="0.25">
      <c r="Q63434" s="8"/>
    </row>
    <row r="63435" spans="17:17" x14ac:dyDescent="0.25">
      <c r="Q63435" s="8"/>
    </row>
    <row r="63436" spans="17:17" x14ac:dyDescent="0.25">
      <c r="Q63436" s="8"/>
    </row>
    <row r="63437" spans="17:17" x14ac:dyDescent="0.25">
      <c r="Q63437" s="8"/>
    </row>
    <row r="63438" spans="17:17" x14ac:dyDescent="0.25">
      <c r="Q63438" s="8"/>
    </row>
    <row r="63439" spans="17:17" x14ac:dyDescent="0.25">
      <c r="Q63439" s="8"/>
    </row>
    <row r="63440" spans="17:17" x14ac:dyDescent="0.25">
      <c r="Q63440" s="8"/>
    </row>
    <row r="63441" spans="17:17" x14ac:dyDescent="0.25">
      <c r="Q63441" s="8"/>
    </row>
    <row r="63442" spans="17:17" x14ac:dyDescent="0.25">
      <c r="Q63442" s="8"/>
    </row>
    <row r="63443" spans="17:17" x14ac:dyDescent="0.25">
      <c r="Q63443" s="8"/>
    </row>
    <row r="63444" spans="17:17" x14ac:dyDescent="0.25">
      <c r="Q63444" s="8"/>
    </row>
    <row r="63445" spans="17:17" x14ac:dyDescent="0.25">
      <c r="Q63445" s="8"/>
    </row>
    <row r="63446" spans="17:17" x14ac:dyDescent="0.25">
      <c r="Q63446" s="8"/>
    </row>
    <row r="63447" spans="17:17" x14ac:dyDescent="0.25">
      <c r="Q63447" s="8"/>
    </row>
    <row r="63448" spans="17:17" x14ac:dyDescent="0.25">
      <c r="Q63448" s="8"/>
    </row>
    <row r="63449" spans="17:17" x14ac:dyDescent="0.25">
      <c r="Q63449" s="8"/>
    </row>
    <row r="63450" spans="17:17" x14ac:dyDescent="0.25">
      <c r="Q63450" s="8"/>
    </row>
    <row r="63451" spans="17:17" x14ac:dyDescent="0.25">
      <c r="Q63451" s="8"/>
    </row>
    <row r="63452" spans="17:17" x14ac:dyDescent="0.25">
      <c r="Q63452" s="8"/>
    </row>
    <row r="63453" spans="17:17" x14ac:dyDescent="0.25">
      <c r="Q63453" s="8"/>
    </row>
    <row r="63454" spans="17:17" x14ac:dyDescent="0.25">
      <c r="Q63454" s="8"/>
    </row>
    <row r="63455" spans="17:17" x14ac:dyDescent="0.25">
      <c r="Q63455" s="8"/>
    </row>
    <row r="63456" spans="17:17" x14ac:dyDescent="0.25">
      <c r="Q63456" s="8"/>
    </row>
    <row r="63457" spans="17:17" x14ac:dyDescent="0.25">
      <c r="Q63457" s="8"/>
    </row>
    <row r="63458" spans="17:17" x14ac:dyDescent="0.25">
      <c r="Q63458" s="8"/>
    </row>
    <row r="63459" spans="17:17" x14ac:dyDescent="0.25">
      <c r="Q63459" s="8"/>
    </row>
    <row r="63460" spans="17:17" x14ac:dyDescent="0.25">
      <c r="Q63460" s="8"/>
    </row>
    <row r="63461" spans="17:17" x14ac:dyDescent="0.25">
      <c r="Q63461" s="8"/>
    </row>
    <row r="63462" spans="17:17" x14ac:dyDescent="0.25">
      <c r="Q63462" s="8"/>
    </row>
    <row r="63463" spans="17:17" x14ac:dyDescent="0.25">
      <c r="Q63463" s="8"/>
    </row>
    <row r="63464" spans="17:17" x14ac:dyDescent="0.25">
      <c r="Q63464" s="8"/>
    </row>
    <row r="63465" spans="17:17" x14ac:dyDescent="0.25">
      <c r="Q63465" s="8"/>
    </row>
    <row r="63466" spans="17:17" x14ac:dyDescent="0.25">
      <c r="Q63466" s="8"/>
    </row>
    <row r="63467" spans="17:17" x14ac:dyDescent="0.25">
      <c r="Q63467" s="8"/>
    </row>
    <row r="63468" spans="17:17" x14ac:dyDescent="0.25">
      <c r="Q63468" s="8"/>
    </row>
    <row r="63469" spans="17:17" x14ac:dyDescent="0.25">
      <c r="Q63469" s="8"/>
    </row>
    <row r="63470" spans="17:17" x14ac:dyDescent="0.25">
      <c r="Q63470" s="8"/>
    </row>
    <row r="63471" spans="17:17" x14ac:dyDescent="0.25">
      <c r="Q63471" s="8"/>
    </row>
    <row r="63472" spans="17:17" x14ac:dyDescent="0.25">
      <c r="Q63472" s="8"/>
    </row>
    <row r="63473" spans="17:17" x14ac:dyDescent="0.25">
      <c r="Q63473" s="8"/>
    </row>
    <row r="63474" spans="17:17" x14ac:dyDescent="0.25">
      <c r="Q63474" s="8"/>
    </row>
    <row r="63475" spans="17:17" x14ac:dyDescent="0.25">
      <c r="Q63475" s="8"/>
    </row>
    <row r="63476" spans="17:17" x14ac:dyDescent="0.25">
      <c r="Q63476" s="8"/>
    </row>
    <row r="63477" spans="17:17" x14ac:dyDescent="0.25">
      <c r="Q63477" s="8"/>
    </row>
    <row r="63478" spans="17:17" x14ac:dyDescent="0.25">
      <c r="Q63478" s="8"/>
    </row>
    <row r="63479" spans="17:17" x14ac:dyDescent="0.25">
      <c r="Q63479" s="8"/>
    </row>
    <row r="63480" spans="17:17" x14ac:dyDescent="0.25">
      <c r="Q63480" s="8"/>
    </row>
    <row r="63481" spans="17:17" x14ac:dyDescent="0.25">
      <c r="Q63481" s="8"/>
    </row>
    <row r="63482" spans="17:17" x14ac:dyDescent="0.25">
      <c r="Q63482" s="8"/>
    </row>
    <row r="63483" spans="17:17" x14ac:dyDescent="0.25">
      <c r="Q63483" s="8"/>
    </row>
    <row r="63484" spans="17:17" x14ac:dyDescent="0.25">
      <c r="Q63484" s="8"/>
    </row>
    <row r="63485" spans="17:17" x14ac:dyDescent="0.25">
      <c r="Q63485" s="8"/>
    </row>
    <row r="63486" spans="17:17" x14ac:dyDescent="0.25">
      <c r="Q63486" s="8"/>
    </row>
    <row r="63487" spans="17:17" x14ac:dyDescent="0.25">
      <c r="Q63487" s="8"/>
    </row>
    <row r="63488" spans="17:17" x14ac:dyDescent="0.25">
      <c r="Q63488" s="8"/>
    </row>
    <row r="63489" spans="17:17" x14ac:dyDescent="0.25">
      <c r="Q63489" s="8"/>
    </row>
    <row r="63490" spans="17:17" x14ac:dyDescent="0.25">
      <c r="Q63490" s="8"/>
    </row>
    <row r="63491" spans="17:17" x14ac:dyDescent="0.25">
      <c r="Q63491" s="8"/>
    </row>
    <row r="63492" spans="17:17" x14ac:dyDescent="0.25">
      <c r="Q63492" s="8"/>
    </row>
    <row r="63493" spans="17:17" x14ac:dyDescent="0.25">
      <c r="Q63493" s="8"/>
    </row>
    <row r="63494" spans="17:17" x14ac:dyDescent="0.25">
      <c r="Q63494" s="8"/>
    </row>
    <row r="63495" spans="17:17" x14ac:dyDescent="0.25">
      <c r="Q63495" s="8"/>
    </row>
    <row r="63496" spans="17:17" x14ac:dyDescent="0.25">
      <c r="Q63496" s="8"/>
    </row>
    <row r="63497" spans="17:17" x14ac:dyDescent="0.25">
      <c r="Q63497" s="8"/>
    </row>
    <row r="63498" spans="17:17" x14ac:dyDescent="0.25">
      <c r="Q63498" s="8"/>
    </row>
    <row r="63499" spans="17:17" x14ac:dyDescent="0.25">
      <c r="Q63499" s="8"/>
    </row>
    <row r="63500" spans="17:17" x14ac:dyDescent="0.25">
      <c r="Q63500" s="8"/>
    </row>
    <row r="63501" spans="17:17" x14ac:dyDescent="0.25">
      <c r="Q63501" s="8"/>
    </row>
    <row r="63502" spans="17:17" x14ac:dyDescent="0.25">
      <c r="Q63502" s="8"/>
    </row>
    <row r="63503" spans="17:17" x14ac:dyDescent="0.25">
      <c r="Q63503" s="8"/>
    </row>
    <row r="63504" spans="17:17" x14ac:dyDescent="0.25">
      <c r="Q63504" s="8"/>
    </row>
    <row r="63505" spans="17:17" x14ac:dyDescent="0.25">
      <c r="Q63505" s="8"/>
    </row>
    <row r="63506" spans="17:17" x14ac:dyDescent="0.25">
      <c r="Q63506" s="8"/>
    </row>
    <row r="63507" spans="17:17" x14ac:dyDescent="0.25">
      <c r="Q63507" s="8"/>
    </row>
    <row r="63508" spans="17:17" x14ac:dyDescent="0.25">
      <c r="Q63508" s="8"/>
    </row>
    <row r="63509" spans="17:17" x14ac:dyDescent="0.25">
      <c r="Q63509" s="8"/>
    </row>
    <row r="63510" spans="17:17" x14ac:dyDescent="0.25">
      <c r="Q63510" s="8"/>
    </row>
    <row r="63511" spans="17:17" x14ac:dyDescent="0.25">
      <c r="Q63511" s="8"/>
    </row>
    <row r="63512" spans="17:17" x14ac:dyDescent="0.25">
      <c r="Q63512" s="8"/>
    </row>
    <row r="63513" spans="17:17" x14ac:dyDescent="0.25">
      <c r="Q63513" s="8"/>
    </row>
    <row r="63514" spans="17:17" x14ac:dyDescent="0.25">
      <c r="Q63514" s="8"/>
    </row>
    <row r="63515" spans="17:17" x14ac:dyDescent="0.25">
      <c r="Q63515" s="8"/>
    </row>
    <row r="63516" spans="17:17" x14ac:dyDescent="0.25">
      <c r="Q63516" s="8"/>
    </row>
    <row r="63517" spans="17:17" x14ac:dyDescent="0.25">
      <c r="Q63517" s="8"/>
    </row>
    <row r="63518" spans="17:17" x14ac:dyDescent="0.25">
      <c r="Q63518" s="8"/>
    </row>
    <row r="63519" spans="17:17" x14ac:dyDescent="0.25">
      <c r="Q63519" s="8"/>
    </row>
    <row r="63520" spans="17:17" x14ac:dyDescent="0.25">
      <c r="Q63520" s="8"/>
    </row>
    <row r="63521" spans="17:17" x14ac:dyDescent="0.25">
      <c r="Q63521" s="8"/>
    </row>
    <row r="63522" spans="17:17" x14ac:dyDescent="0.25">
      <c r="Q63522" s="8"/>
    </row>
    <row r="63523" spans="17:17" x14ac:dyDescent="0.25">
      <c r="Q63523" s="8"/>
    </row>
    <row r="63524" spans="17:17" x14ac:dyDescent="0.25">
      <c r="Q63524" s="8"/>
    </row>
    <row r="63525" spans="17:17" x14ac:dyDescent="0.25">
      <c r="Q63525" s="8"/>
    </row>
    <row r="63526" spans="17:17" x14ac:dyDescent="0.25">
      <c r="Q63526" s="8"/>
    </row>
    <row r="63527" spans="17:17" x14ac:dyDescent="0.25">
      <c r="Q63527" s="8"/>
    </row>
    <row r="63528" spans="17:17" x14ac:dyDescent="0.25">
      <c r="Q63528" s="8"/>
    </row>
    <row r="63529" spans="17:17" x14ac:dyDescent="0.25">
      <c r="Q63529" s="8"/>
    </row>
    <row r="63530" spans="17:17" x14ac:dyDescent="0.25">
      <c r="Q63530" s="8"/>
    </row>
    <row r="63531" spans="17:17" x14ac:dyDescent="0.25">
      <c r="Q63531" s="8"/>
    </row>
    <row r="63532" spans="17:17" x14ac:dyDescent="0.25">
      <c r="Q63532" s="8"/>
    </row>
    <row r="63533" spans="17:17" x14ac:dyDescent="0.25">
      <c r="Q63533" s="8"/>
    </row>
    <row r="63534" spans="17:17" x14ac:dyDescent="0.25">
      <c r="Q63534" s="8"/>
    </row>
    <row r="63535" spans="17:17" x14ac:dyDescent="0.25">
      <c r="Q63535" s="8"/>
    </row>
    <row r="63536" spans="17:17" x14ac:dyDescent="0.25">
      <c r="Q63536" s="8"/>
    </row>
    <row r="63537" spans="17:17" x14ac:dyDescent="0.25">
      <c r="Q63537" s="8"/>
    </row>
    <row r="63538" spans="17:17" x14ac:dyDescent="0.25">
      <c r="Q63538" s="8"/>
    </row>
    <row r="63539" spans="17:17" x14ac:dyDescent="0.25">
      <c r="Q63539" s="8"/>
    </row>
    <row r="63540" spans="17:17" x14ac:dyDescent="0.25">
      <c r="Q63540" s="8"/>
    </row>
    <row r="63541" spans="17:17" x14ac:dyDescent="0.25">
      <c r="Q63541" s="8"/>
    </row>
    <row r="63542" spans="17:17" x14ac:dyDescent="0.25">
      <c r="Q63542" s="8"/>
    </row>
    <row r="63543" spans="17:17" x14ac:dyDescent="0.25">
      <c r="Q63543" s="8"/>
    </row>
    <row r="63544" spans="17:17" x14ac:dyDescent="0.25">
      <c r="Q63544" s="8"/>
    </row>
    <row r="63545" spans="17:17" x14ac:dyDescent="0.25">
      <c r="Q63545" s="8"/>
    </row>
    <row r="63546" spans="17:17" x14ac:dyDescent="0.25">
      <c r="Q63546" s="8"/>
    </row>
    <row r="63547" spans="17:17" x14ac:dyDescent="0.25">
      <c r="Q63547" s="8"/>
    </row>
    <row r="63548" spans="17:17" x14ac:dyDescent="0.25">
      <c r="Q63548" s="8"/>
    </row>
    <row r="63549" spans="17:17" x14ac:dyDescent="0.25">
      <c r="Q63549" s="8"/>
    </row>
    <row r="63550" spans="17:17" x14ac:dyDescent="0.25">
      <c r="Q63550" s="8"/>
    </row>
    <row r="63551" spans="17:17" x14ac:dyDescent="0.25">
      <c r="Q63551" s="8"/>
    </row>
    <row r="63552" spans="17:17" x14ac:dyDescent="0.25">
      <c r="Q63552" s="8"/>
    </row>
    <row r="63553" spans="17:17" x14ac:dyDescent="0.25">
      <c r="Q63553" s="8"/>
    </row>
    <row r="63554" spans="17:17" x14ac:dyDescent="0.25">
      <c r="Q63554" s="8"/>
    </row>
    <row r="63555" spans="17:17" x14ac:dyDescent="0.25">
      <c r="Q63555" s="8"/>
    </row>
    <row r="63556" spans="17:17" x14ac:dyDescent="0.25">
      <c r="Q63556" s="8"/>
    </row>
    <row r="63557" spans="17:17" x14ac:dyDescent="0.25">
      <c r="Q63557" s="8"/>
    </row>
    <row r="63558" spans="17:17" x14ac:dyDescent="0.25">
      <c r="Q63558" s="8"/>
    </row>
    <row r="63559" spans="17:17" x14ac:dyDescent="0.25">
      <c r="Q63559" s="8"/>
    </row>
    <row r="63560" spans="17:17" x14ac:dyDescent="0.25">
      <c r="Q63560" s="8"/>
    </row>
    <row r="63561" spans="17:17" x14ac:dyDescent="0.25">
      <c r="Q63561" s="8"/>
    </row>
    <row r="63562" spans="17:17" x14ac:dyDescent="0.25">
      <c r="Q63562" s="8"/>
    </row>
    <row r="63563" spans="17:17" x14ac:dyDescent="0.25">
      <c r="Q63563" s="8"/>
    </row>
    <row r="63564" spans="17:17" x14ac:dyDescent="0.25">
      <c r="Q63564" s="8"/>
    </row>
    <row r="63565" spans="17:17" x14ac:dyDescent="0.25">
      <c r="Q63565" s="8"/>
    </row>
    <row r="63566" spans="17:17" x14ac:dyDescent="0.25">
      <c r="Q63566" s="8"/>
    </row>
    <row r="63567" spans="17:17" x14ac:dyDescent="0.25">
      <c r="Q63567" s="8"/>
    </row>
    <row r="63568" spans="17:17" x14ac:dyDescent="0.25">
      <c r="Q63568" s="8"/>
    </row>
    <row r="63569" spans="17:17" x14ac:dyDescent="0.25">
      <c r="Q63569" s="8"/>
    </row>
    <row r="63570" spans="17:17" x14ac:dyDescent="0.25">
      <c r="Q63570" s="8"/>
    </row>
    <row r="63571" spans="17:17" x14ac:dyDescent="0.25">
      <c r="Q63571" s="8"/>
    </row>
    <row r="63572" spans="17:17" x14ac:dyDescent="0.25">
      <c r="Q63572" s="8"/>
    </row>
    <row r="63573" spans="17:17" x14ac:dyDescent="0.25">
      <c r="Q63573" s="8"/>
    </row>
    <row r="63574" spans="17:17" x14ac:dyDescent="0.25">
      <c r="Q63574" s="8"/>
    </row>
    <row r="63575" spans="17:17" x14ac:dyDescent="0.25">
      <c r="Q63575" s="8"/>
    </row>
    <row r="63576" spans="17:17" x14ac:dyDescent="0.25">
      <c r="Q63576" s="8"/>
    </row>
    <row r="63577" spans="17:17" x14ac:dyDescent="0.25">
      <c r="Q63577" s="8"/>
    </row>
    <row r="63578" spans="17:17" x14ac:dyDescent="0.25">
      <c r="Q63578" s="8"/>
    </row>
    <row r="63579" spans="17:17" x14ac:dyDescent="0.25">
      <c r="Q63579" s="8"/>
    </row>
    <row r="63580" spans="17:17" x14ac:dyDescent="0.25">
      <c r="Q63580" s="8"/>
    </row>
    <row r="63581" spans="17:17" x14ac:dyDescent="0.25">
      <c r="Q63581" s="8"/>
    </row>
    <row r="63582" spans="17:17" x14ac:dyDescent="0.25">
      <c r="Q63582" s="8"/>
    </row>
    <row r="63583" spans="17:17" x14ac:dyDescent="0.25">
      <c r="Q63583" s="8"/>
    </row>
    <row r="63584" spans="17:17" x14ac:dyDescent="0.25">
      <c r="Q63584" s="8"/>
    </row>
    <row r="63585" spans="17:17" x14ac:dyDescent="0.25">
      <c r="Q63585" s="8"/>
    </row>
    <row r="63586" spans="17:17" x14ac:dyDescent="0.25">
      <c r="Q63586" s="8"/>
    </row>
    <row r="63587" spans="17:17" x14ac:dyDescent="0.25">
      <c r="Q63587" s="8"/>
    </row>
    <row r="63588" spans="17:17" x14ac:dyDescent="0.25">
      <c r="Q63588" s="8"/>
    </row>
    <row r="63589" spans="17:17" x14ac:dyDescent="0.25">
      <c r="Q63589" s="8"/>
    </row>
    <row r="63590" spans="17:17" x14ac:dyDescent="0.25">
      <c r="Q63590" s="8"/>
    </row>
    <row r="63591" spans="17:17" x14ac:dyDescent="0.25">
      <c r="Q63591" s="8"/>
    </row>
    <row r="63592" spans="17:17" x14ac:dyDescent="0.25">
      <c r="Q63592" s="8"/>
    </row>
    <row r="63593" spans="17:17" x14ac:dyDescent="0.25">
      <c r="Q63593" s="8"/>
    </row>
    <row r="63594" spans="17:17" x14ac:dyDescent="0.25">
      <c r="Q63594" s="8"/>
    </row>
    <row r="63595" spans="17:17" x14ac:dyDescent="0.25">
      <c r="Q63595" s="8"/>
    </row>
    <row r="63596" spans="17:17" x14ac:dyDescent="0.25">
      <c r="Q63596" s="8"/>
    </row>
    <row r="63597" spans="17:17" x14ac:dyDescent="0.25">
      <c r="Q63597" s="8"/>
    </row>
    <row r="63598" spans="17:17" x14ac:dyDescent="0.25">
      <c r="Q63598" s="8"/>
    </row>
    <row r="63599" spans="17:17" x14ac:dyDescent="0.25">
      <c r="Q63599" s="8"/>
    </row>
    <row r="63600" spans="17:17" x14ac:dyDescent="0.25">
      <c r="Q63600" s="8"/>
    </row>
    <row r="63601" spans="17:17" x14ac:dyDescent="0.25">
      <c r="Q63601" s="8"/>
    </row>
    <row r="63602" spans="17:17" x14ac:dyDescent="0.25">
      <c r="Q63602" s="8"/>
    </row>
    <row r="63603" spans="17:17" x14ac:dyDescent="0.25">
      <c r="Q63603" s="8"/>
    </row>
    <row r="63604" spans="17:17" x14ac:dyDescent="0.25">
      <c r="Q63604" s="8"/>
    </row>
    <row r="63605" spans="17:17" x14ac:dyDescent="0.25">
      <c r="Q63605" s="8"/>
    </row>
    <row r="63606" spans="17:17" x14ac:dyDescent="0.25">
      <c r="Q63606" s="8"/>
    </row>
    <row r="63607" spans="17:17" x14ac:dyDescent="0.25">
      <c r="Q63607" s="8"/>
    </row>
    <row r="63608" spans="17:17" x14ac:dyDescent="0.25">
      <c r="Q63608" s="8"/>
    </row>
    <row r="63609" spans="17:17" x14ac:dyDescent="0.25">
      <c r="Q63609" s="8"/>
    </row>
    <row r="63610" spans="17:17" x14ac:dyDescent="0.25">
      <c r="Q63610" s="8"/>
    </row>
    <row r="63611" spans="17:17" x14ac:dyDescent="0.25">
      <c r="Q63611" s="8"/>
    </row>
    <row r="63612" spans="17:17" x14ac:dyDescent="0.25">
      <c r="Q63612" s="8"/>
    </row>
    <row r="63613" spans="17:17" x14ac:dyDescent="0.25">
      <c r="Q63613" s="8"/>
    </row>
    <row r="63614" spans="17:17" x14ac:dyDescent="0.25">
      <c r="Q63614" s="8"/>
    </row>
    <row r="63615" spans="17:17" x14ac:dyDescent="0.25">
      <c r="Q63615" s="8"/>
    </row>
    <row r="63616" spans="17:17" x14ac:dyDescent="0.25">
      <c r="Q63616" s="8"/>
    </row>
    <row r="63617" spans="17:17" x14ac:dyDescent="0.25">
      <c r="Q63617" s="8"/>
    </row>
    <row r="63618" spans="17:17" x14ac:dyDescent="0.25">
      <c r="Q63618" s="8"/>
    </row>
    <row r="63619" spans="17:17" x14ac:dyDescent="0.25">
      <c r="Q63619" s="8"/>
    </row>
    <row r="63620" spans="17:17" x14ac:dyDescent="0.25">
      <c r="Q63620" s="8"/>
    </row>
    <row r="63621" spans="17:17" x14ac:dyDescent="0.25">
      <c r="Q63621" s="8"/>
    </row>
    <row r="63622" spans="17:17" x14ac:dyDescent="0.25">
      <c r="Q63622" s="8"/>
    </row>
    <row r="63623" spans="17:17" x14ac:dyDescent="0.25">
      <c r="Q63623" s="8"/>
    </row>
    <row r="63624" spans="17:17" x14ac:dyDescent="0.25">
      <c r="Q63624" s="8"/>
    </row>
    <row r="63625" spans="17:17" x14ac:dyDescent="0.25">
      <c r="Q63625" s="8"/>
    </row>
    <row r="63626" spans="17:17" x14ac:dyDescent="0.25">
      <c r="Q63626" s="8"/>
    </row>
    <row r="63627" spans="17:17" x14ac:dyDescent="0.25">
      <c r="Q63627" s="8"/>
    </row>
    <row r="63628" spans="17:17" x14ac:dyDescent="0.25">
      <c r="Q63628" s="8"/>
    </row>
    <row r="63629" spans="17:17" x14ac:dyDescent="0.25">
      <c r="Q63629" s="8"/>
    </row>
    <row r="63630" spans="17:17" x14ac:dyDescent="0.25">
      <c r="Q63630" s="8"/>
    </row>
    <row r="63631" spans="17:17" x14ac:dyDescent="0.25">
      <c r="Q63631" s="8"/>
    </row>
    <row r="63632" spans="17:17" x14ac:dyDescent="0.25">
      <c r="Q63632" s="8"/>
    </row>
    <row r="63633" spans="17:17" x14ac:dyDescent="0.25">
      <c r="Q63633" s="8"/>
    </row>
    <row r="63634" spans="17:17" x14ac:dyDescent="0.25">
      <c r="Q63634" s="8"/>
    </row>
    <row r="63635" spans="17:17" x14ac:dyDescent="0.25">
      <c r="Q63635" s="8"/>
    </row>
    <row r="63636" spans="17:17" x14ac:dyDescent="0.25">
      <c r="Q63636" s="8"/>
    </row>
    <row r="63637" spans="17:17" x14ac:dyDescent="0.25">
      <c r="Q63637" s="8"/>
    </row>
    <row r="63638" spans="17:17" x14ac:dyDescent="0.25">
      <c r="Q63638" s="8"/>
    </row>
    <row r="63639" spans="17:17" x14ac:dyDescent="0.25">
      <c r="Q63639" s="8"/>
    </row>
    <row r="63640" spans="17:17" x14ac:dyDescent="0.25">
      <c r="Q63640" s="8"/>
    </row>
    <row r="63641" spans="17:17" x14ac:dyDescent="0.25">
      <c r="Q63641" s="8"/>
    </row>
    <row r="63642" spans="17:17" x14ac:dyDescent="0.25">
      <c r="Q63642" s="8"/>
    </row>
    <row r="63643" spans="17:17" x14ac:dyDescent="0.25">
      <c r="Q63643" s="8"/>
    </row>
    <row r="63644" spans="17:17" x14ac:dyDescent="0.25">
      <c r="Q63644" s="8"/>
    </row>
    <row r="63645" spans="17:17" x14ac:dyDescent="0.25">
      <c r="Q63645" s="8"/>
    </row>
    <row r="63646" spans="17:17" x14ac:dyDescent="0.25">
      <c r="Q63646" s="8"/>
    </row>
    <row r="63647" spans="17:17" x14ac:dyDescent="0.25">
      <c r="Q63647" s="8"/>
    </row>
    <row r="63648" spans="17:17" x14ac:dyDescent="0.25">
      <c r="Q63648" s="8"/>
    </row>
    <row r="63649" spans="17:17" x14ac:dyDescent="0.25">
      <c r="Q63649" s="8"/>
    </row>
    <row r="63650" spans="17:17" x14ac:dyDescent="0.25">
      <c r="Q63650" s="8"/>
    </row>
    <row r="63651" spans="17:17" x14ac:dyDescent="0.25">
      <c r="Q63651" s="8"/>
    </row>
    <row r="63652" spans="17:17" x14ac:dyDescent="0.25">
      <c r="Q63652" s="8"/>
    </row>
    <row r="63653" spans="17:17" x14ac:dyDescent="0.25">
      <c r="Q63653" s="8"/>
    </row>
    <row r="63654" spans="17:17" x14ac:dyDescent="0.25">
      <c r="Q63654" s="8"/>
    </row>
    <row r="63655" spans="17:17" x14ac:dyDescent="0.25">
      <c r="Q63655" s="8"/>
    </row>
    <row r="63656" spans="17:17" x14ac:dyDescent="0.25">
      <c r="Q63656" s="8"/>
    </row>
    <row r="63657" spans="17:17" x14ac:dyDescent="0.25">
      <c r="Q63657" s="8"/>
    </row>
    <row r="63658" spans="17:17" x14ac:dyDescent="0.25">
      <c r="Q63658" s="8"/>
    </row>
    <row r="63659" spans="17:17" x14ac:dyDescent="0.25">
      <c r="Q63659" s="8"/>
    </row>
    <row r="63660" spans="17:17" x14ac:dyDescent="0.25">
      <c r="Q63660" s="8"/>
    </row>
    <row r="63661" spans="17:17" x14ac:dyDescent="0.25">
      <c r="Q63661" s="8"/>
    </row>
    <row r="63662" spans="17:17" x14ac:dyDescent="0.25">
      <c r="Q63662" s="8"/>
    </row>
    <row r="63663" spans="17:17" x14ac:dyDescent="0.25">
      <c r="Q63663" s="8"/>
    </row>
    <row r="63664" spans="17:17" x14ac:dyDescent="0.25">
      <c r="Q63664" s="8"/>
    </row>
    <row r="63665" spans="17:17" x14ac:dyDescent="0.25">
      <c r="Q63665" s="8"/>
    </row>
    <row r="63666" spans="17:17" x14ac:dyDescent="0.25">
      <c r="Q63666" s="8"/>
    </row>
    <row r="63667" spans="17:17" x14ac:dyDescent="0.25">
      <c r="Q63667" s="8"/>
    </row>
    <row r="63668" spans="17:17" x14ac:dyDescent="0.25">
      <c r="Q63668" s="8"/>
    </row>
    <row r="63669" spans="17:17" x14ac:dyDescent="0.25">
      <c r="Q63669" s="8"/>
    </row>
    <row r="63670" spans="17:17" x14ac:dyDescent="0.25">
      <c r="Q63670" s="8"/>
    </row>
    <row r="63671" spans="17:17" x14ac:dyDescent="0.25">
      <c r="Q63671" s="8"/>
    </row>
    <row r="63672" spans="17:17" x14ac:dyDescent="0.25">
      <c r="Q63672" s="8"/>
    </row>
    <row r="63673" spans="17:17" x14ac:dyDescent="0.25">
      <c r="Q63673" s="8"/>
    </row>
    <row r="63674" spans="17:17" x14ac:dyDescent="0.25">
      <c r="Q63674" s="8"/>
    </row>
    <row r="63675" spans="17:17" x14ac:dyDescent="0.25">
      <c r="Q63675" s="8"/>
    </row>
    <row r="63676" spans="17:17" x14ac:dyDescent="0.25">
      <c r="Q63676" s="8"/>
    </row>
    <row r="63677" spans="17:17" x14ac:dyDescent="0.25">
      <c r="Q63677" s="8"/>
    </row>
    <row r="63678" spans="17:17" x14ac:dyDescent="0.25">
      <c r="Q63678" s="8"/>
    </row>
    <row r="63679" spans="17:17" x14ac:dyDescent="0.25">
      <c r="Q63679" s="8"/>
    </row>
    <row r="63680" spans="17:17" x14ac:dyDescent="0.25">
      <c r="Q63680" s="8"/>
    </row>
    <row r="63681" spans="17:17" x14ac:dyDescent="0.25">
      <c r="Q63681" s="8"/>
    </row>
    <row r="63682" spans="17:17" x14ac:dyDescent="0.25">
      <c r="Q63682" s="8"/>
    </row>
    <row r="63683" spans="17:17" x14ac:dyDescent="0.25">
      <c r="Q63683" s="8"/>
    </row>
    <row r="63684" spans="17:17" x14ac:dyDescent="0.25">
      <c r="Q63684" s="8"/>
    </row>
    <row r="63685" spans="17:17" x14ac:dyDescent="0.25">
      <c r="Q63685" s="8"/>
    </row>
    <row r="63686" spans="17:17" x14ac:dyDescent="0.25">
      <c r="Q63686" s="8"/>
    </row>
    <row r="63687" spans="17:17" x14ac:dyDescent="0.25">
      <c r="Q63687" s="8"/>
    </row>
    <row r="63688" spans="17:17" x14ac:dyDescent="0.25">
      <c r="Q63688" s="8"/>
    </row>
    <row r="63689" spans="17:17" x14ac:dyDescent="0.25">
      <c r="Q63689" s="8"/>
    </row>
    <row r="63690" spans="17:17" x14ac:dyDescent="0.25">
      <c r="Q63690" s="8"/>
    </row>
    <row r="63691" spans="17:17" x14ac:dyDescent="0.25">
      <c r="Q63691" s="8"/>
    </row>
    <row r="63692" spans="17:17" x14ac:dyDescent="0.25">
      <c r="Q63692" s="8"/>
    </row>
    <row r="63693" spans="17:17" x14ac:dyDescent="0.25">
      <c r="Q63693" s="8"/>
    </row>
    <row r="63694" spans="17:17" x14ac:dyDescent="0.25">
      <c r="Q63694" s="8"/>
    </row>
    <row r="63695" spans="17:17" x14ac:dyDescent="0.25">
      <c r="Q63695" s="8"/>
    </row>
    <row r="63696" spans="17:17" x14ac:dyDescent="0.25">
      <c r="Q63696" s="8"/>
    </row>
    <row r="63697" spans="17:17" x14ac:dyDescent="0.25">
      <c r="Q63697" s="8"/>
    </row>
    <row r="63698" spans="17:17" x14ac:dyDescent="0.25">
      <c r="Q63698" s="8"/>
    </row>
    <row r="63699" spans="17:17" x14ac:dyDescent="0.25">
      <c r="Q63699" s="8"/>
    </row>
    <row r="63700" spans="17:17" x14ac:dyDescent="0.25">
      <c r="Q63700" s="8"/>
    </row>
    <row r="63701" spans="17:17" x14ac:dyDescent="0.25">
      <c r="Q63701" s="8"/>
    </row>
    <row r="63702" spans="17:17" x14ac:dyDescent="0.25">
      <c r="Q63702" s="8"/>
    </row>
    <row r="63703" spans="17:17" x14ac:dyDescent="0.25">
      <c r="Q63703" s="8"/>
    </row>
    <row r="63704" spans="17:17" x14ac:dyDescent="0.25">
      <c r="Q63704" s="8"/>
    </row>
    <row r="63705" spans="17:17" x14ac:dyDescent="0.25">
      <c r="Q63705" s="8"/>
    </row>
    <row r="63706" spans="17:17" x14ac:dyDescent="0.25">
      <c r="Q63706" s="8"/>
    </row>
    <row r="63707" spans="17:17" x14ac:dyDescent="0.25">
      <c r="Q63707" s="8"/>
    </row>
    <row r="63708" spans="17:17" x14ac:dyDescent="0.25">
      <c r="Q63708" s="8"/>
    </row>
    <row r="63709" spans="17:17" x14ac:dyDescent="0.25">
      <c r="Q63709" s="8"/>
    </row>
    <row r="63710" spans="17:17" x14ac:dyDescent="0.25">
      <c r="Q63710" s="8"/>
    </row>
    <row r="63711" spans="17:17" x14ac:dyDescent="0.25">
      <c r="Q63711" s="8"/>
    </row>
    <row r="63712" spans="17:17" x14ac:dyDescent="0.25">
      <c r="Q63712" s="8"/>
    </row>
    <row r="63713" spans="17:17" x14ac:dyDescent="0.25">
      <c r="Q63713" s="8"/>
    </row>
    <row r="63714" spans="17:17" x14ac:dyDescent="0.25">
      <c r="Q63714" s="8"/>
    </row>
    <row r="63715" spans="17:17" x14ac:dyDescent="0.25">
      <c r="Q63715" s="8"/>
    </row>
    <row r="63716" spans="17:17" x14ac:dyDescent="0.25">
      <c r="Q63716" s="8"/>
    </row>
    <row r="63717" spans="17:17" x14ac:dyDescent="0.25">
      <c r="Q63717" s="8"/>
    </row>
    <row r="63718" spans="17:17" x14ac:dyDescent="0.25">
      <c r="Q63718" s="8"/>
    </row>
    <row r="63719" spans="17:17" x14ac:dyDescent="0.25">
      <c r="Q63719" s="8"/>
    </row>
    <row r="63720" spans="17:17" x14ac:dyDescent="0.25">
      <c r="Q63720" s="8"/>
    </row>
    <row r="63721" spans="17:17" x14ac:dyDescent="0.25">
      <c r="Q63721" s="8"/>
    </row>
    <row r="63722" spans="17:17" x14ac:dyDescent="0.25">
      <c r="Q63722" s="8"/>
    </row>
    <row r="63723" spans="17:17" x14ac:dyDescent="0.25">
      <c r="Q63723" s="8"/>
    </row>
    <row r="63724" spans="17:17" x14ac:dyDescent="0.25">
      <c r="Q63724" s="8"/>
    </row>
    <row r="63725" spans="17:17" x14ac:dyDescent="0.25">
      <c r="Q63725" s="8"/>
    </row>
    <row r="63726" spans="17:17" x14ac:dyDescent="0.25">
      <c r="Q63726" s="8"/>
    </row>
    <row r="63727" spans="17:17" x14ac:dyDescent="0.25">
      <c r="Q63727" s="8"/>
    </row>
    <row r="63728" spans="17:17" x14ac:dyDescent="0.25">
      <c r="Q63728" s="8"/>
    </row>
    <row r="63729" spans="17:17" x14ac:dyDescent="0.25">
      <c r="Q63729" s="8"/>
    </row>
    <row r="63730" spans="17:17" x14ac:dyDescent="0.25">
      <c r="Q63730" s="8"/>
    </row>
    <row r="63731" spans="17:17" x14ac:dyDescent="0.25">
      <c r="Q63731" s="8"/>
    </row>
    <row r="63732" spans="17:17" x14ac:dyDescent="0.25">
      <c r="Q63732" s="8"/>
    </row>
    <row r="63733" spans="17:17" x14ac:dyDescent="0.25">
      <c r="Q63733" s="8"/>
    </row>
    <row r="63734" spans="17:17" x14ac:dyDescent="0.25">
      <c r="Q63734" s="8"/>
    </row>
    <row r="63735" spans="17:17" x14ac:dyDescent="0.25">
      <c r="Q63735" s="8"/>
    </row>
    <row r="63736" spans="17:17" x14ac:dyDescent="0.25">
      <c r="Q63736" s="8"/>
    </row>
    <row r="63737" spans="17:17" x14ac:dyDescent="0.25">
      <c r="Q63737" s="8"/>
    </row>
    <row r="63738" spans="17:17" x14ac:dyDescent="0.25">
      <c r="Q63738" s="8"/>
    </row>
    <row r="63739" spans="17:17" x14ac:dyDescent="0.25">
      <c r="Q63739" s="8"/>
    </row>
    <row r="63740" spans="17:17" x14ac:dyDescent="0.25">
      <c r="Q63740" s="8"/>
    </row>
    <row r="63741" spans="17:17" x14ac:dyDescent="0.25">
      <c r="Q63741" s="8"/>
    </row>
    <row r="63742" spans="17:17" x14ac:dyDescent="0.25">
      <c r="Q63742" s="8"/>
    </row>
    <row r="63743" spans="17:17" x14ac:dyDescent="0.25">
      <c r="Q63743" s="8"/>
    </row>
    <row r="63744" spans="17:17" x14ac:dyDescent="0.25">
      <c r="Q63744" s="8"/>
    </row>
    <row r="63745" spans="17:17" x14ac:dyDescent="0.25">
      <c r="Q63745" s="8"/>
    </row>
    <row r="63746" spans="17:17" x14ac:dyDescent="0.25">
      <c r="Q63746" s="8"/>
    </row>
    <row r="63747" spans="17:17" x14ac:dyDescent="0.25">
      <c r="Q63747" s="8"/>
    </row>
    <row r="63748" spans="17:17" x14ac:dyDescent="0.25">
      <c r="Q63748" s="8"/>
    </row>
    <row r="63749" spans="17:17" x14ac:dyDescent="0.25">
      <c r="Q63749" s="8"/>
    </row>
    <row r="63750" spans="17:17" x14ac:dyDescent="0.25">
      <c r="Q63750" s="8"/>
    </row>
    <row r="63751" spans="17:17" x14ac:dyDescent="0.25">
      <c r="Q63751" s="8"/>
    </row>
    <row r="63752" spans="17:17" x14ac:dyDescent="0.25">
      <c r="Q63752" s="8"/>
    </row>
    <row r="63753" spans="17:17" x14ac:dyDescent="0.25">
      <c r="Q63753" s="8"/>
    </row>
    <row r="63754" spans="17:17" x14ac:dyDescent="0.25">
      <c r="Q63754" s="8"/>
    </row>
    <row r="63755" spans="17:17" x14ac:dyDescent="0.25">
      <c r="Q63755" s="8"/>
    </row>
    <row r="63756" spans="17:17" x14ac:dyDescent="0.25">
      <c r="Q63756" s="8"/>
    </row>
    <row r="63757" spans="17:17" x14ac:dyDescent="0.25">
      <c r="Q63757" s="8"/>
    </row>
    <row r="63758" spans="17:17" x14ac:dyDescent="0.25">
      <c r="Q63758" s="8"/>
    </row>
    <row r="63759" spans="17:17" x14ac:dyDescent="0.25">
      <c r="Q63759" s="8"/>
    </row>
    <row r="63760" spans="17:17" x14ac:dyDescent="0.25">
      <c r="Q63760" s="8"/>
    </row>
    <row r="63761" spans="17:17" x14ac:dyDescent="0.25">
      <c r="Q63761" s="8"/>
    </row>
    <row r="63762" spans="17:17" x14ac:dyDescent="0.25">
      <c r="Q63762" s="8"/>
    </row>
    <row r="63763" spans="17:17" x14ac:dyDescent="0.25">
      <c r="Q63763" s="8"/>
    </row>
    <row r="63764" spans="17:17" x14ac:dyDescent="0.25">
      <c r="Q63764" s="8"/>
    </row>
    <row r="63765" spans="17:17" x14ac:dyDescent="0.25">
      <c r="Q63765" s="8"/>
    </row>
    <row r="63766" spans="17:17" x14ac:dyDescent="0.25">
      <c r="Q63766" s="8"/>
    </row>
    <row r="63767" spans="17:17" x14ac:dyDescent="0.25">
      <c r="Q63767" s="8"/>
    </row>
    <row r="63768" spans="17:17" x14ac:dyDescent="0.25">
      <c r="Q63768" s="8"/>
    </row>
    <row r="63769" spans="17:17" x14ac:dyDescent="0.25">
      <c r="Q63769" s="8"/>
    </row>
    <row r="63770" spans="17:17" x14ac:dyDescent="0.25">
      <c r="Q63770" s="8"/>
    </row>
    <row r="63771" spans="17:17" x14ac:dyDescent="0.25">
      <c r="Q63771" s="8"/>
    </row>
    <row r="63772" spans="17:17" x14ac:dyDescent="0.25">
      <c r="Q63772" s="8"/>
    </row>
    <row r="63773" spans="17:17" x14ac:dyDescent="0.25">
      <c r="Q63773" s="8"/>
    </row>
    <row r="63774" spans="17:17" x14ac:dyDescent="0.25">
      <c r="Q63774" s="8"/>
    </row>
    <row r="63775" spans="17:17" x14ac:dyDescent="0.25">
      <c r="Q63775" s="8"/>
    </row>
    <row r="63776" spans="17:17" x14ac:dyDescent="0.25">
      <c r="Q63776" s="8"/>
    </row>
    <row r="63777" spans="17:17" x14ac:dyDescent="0.25">
      <c r="Q63777" s="8"/>
    </row>
    <row r="63778" spans="17:17" x14ac:dyDescent="0.25">
      <c r="Q63778" s="8"/>
    </row>
    <row r="63779" spans="17:17" x14ac:dyDescent="0.25">
      <c r="Q63779" s="8"/>
    </row>
    <row r="63780" spans="17:17" x14ac:dyDescent="0.25">
      <c r="Q63780" s="8"/>
    </row>
    <row r="63781" spans="17:17" x14ac:dyDescent="0.25">
      <c r="Q63781" s="8"/>
    </row>
    <row r="63782" spans="17:17" x14ac:dyDescent="0.25">
      <c r="Q63782" s="8"/>
    </row>
    <row r="63783" spans="17:17" x14ac:dyDescent="0.25">
      <c r="Q63783" s="8"/>
    </row>
    <row r="63784" spans="17:17" x14ac:dyDescent="0.25">
      <c r="Q63784" s="8"/>
    </row>
    <row r="63785" spans="17:17" x14ac:dyDescent="0.25">
      <c r="Q63785" s="8"/>
    </row>
    <row r="63786" spans="17:17" x14ac:dyDescent="0.25">
      <c r="Q63786" s="8"/>
    </row>
    <row r="63787" spans="17:17" x14ac:dyDescent="0.25">
      <c r="Q63787" s="8"/>
    </row>
    <row r="63788" spans="17:17" x14ac:dyDescent="0.25">
      <c r="Q63788" s="8"/>
    </row>
    <row r="63789" spans="17:17" x14ac:dyDescent="0.25">
      <c r="Q63789" s="8"/>
    </row>
    <row r="63790" spans="17:17" x14ac:dyDescent="0.25">
      <c r="Q63790" s="8"/>
    </row>
    <row r="63791" spans="17:17" x14ac:dyDescent="0.25">
      <c r="Q63791" s="8"/>
    </row>
    <row r="63792" spans="17:17" x14ac:dyDescent="0.25">
      <c r="Q63792" s="8"/>
    </row>
    <row r="63793" spans="17:17" x14ac:dyDescent="0.25">
      <c r="Q63793" s="8"/>
    </row>
    <row r="63794" spans="17:17" x14ac:dyDescent="0.25">
      <c r="Q63794" s="8"/>
    </row>
    <row r="63795" spans="17:17" x14ac:dyDescent="0.25">
      <c r="Q63795" s="8"/>
    </row>
    <row r="63796" spans="17:17" x14ac:dyDescent="0.25">
      <c r="Q63796" s="8"/>
    </row>
    <row r="63797" spans="17:17" x14ac:dyDescent="0.25">
      <c r="Q63797" s="8"/>
    </row>
    <row r="63798" spans="17:17" x14ac:dyDescent="0.25">
      <c r="Q63798" s="8"/>
    </row>
    <row r="63799" spans="17:17" x14ac:dyDescent="0.25">
      <c r="Q63799" s="8"/>
    </row>
    <row r="63800" spans="17:17" x14ac:dyDescent="0.25">
      <c r="Q63800" s="8"/>
    </row>
    <row r="63801" spans="17:17" x14ac:dyDescent="0.25">
      <c r="Q63801" s="8"/>
    </row>
    <row r="63802" spans="17:17" x14ac:dyDescent="0.25">
      <c r="Q63802" s="8"/>
    </row>
    <row r="63803" spans="17:17" x14ac:dyDescent="0.25">
      <c r="Q63803" s="8"/>
    </row>
    <row r="63804" spans="17:17" x14ac:dyDescent="0.25">
      <c r="Q63804" s="8"/>
    </row>
    <row r="63805" spans="17:17" x14ac:dyDescent="0.25">
      <c r="Q63805" s="8"/>
    </row>
    <row r="63806" spans="17:17" x14ac:dyDescent="0.25">
      <c r="Q63806" s="8"/>
    </row>
    <row r="63807" spans="17:17" x14ac:dyDescent="0.25">
      <c r="Q63807" s="8"/>
    </row>
    <row r="63808" spans="17:17" x14ac:dyDescent="0.25">
      <c r="Q63808" s="8"/>
    </row>
    <row r="63809" spans="17:17" x14ac:dyDescent="0.25">
      <c r="Q63809" s="8"/>
    </row>
    <row r="63810" spans="17:17" x14ac:dyDescent="0.25">
      <c r="Q63810" s="8"/>
    </row>
    <row r="63811" spans="17:17" x14ac:dyDescent="0.25">
      <c r="Q63811" s="8"/>
    </row>
    <row r="63812" spans="17:17" x14ac:dyDescent="0.25">
      <c r="Q63812" s="8"/>
    </row>
    <row r="63813" spans="17:17" x14ac:dyDescent="0.25">
      <c r="Q63813" s="8"/>
    </row>
    <row r="63814" spans="17:17" x14ac:dyDescent="0.25">
      <c r="Q63814" s="8"/>
    </row>
    <row r="63815" spans="17:17" x14ac:dyDescent="0.25">
      <c r="Q63815" s="8"/>
    </row>
    <row r="63816" spans="17:17" x14ac:dyDescent="0.25">
      <c r="Q63816" s="8"/>
    </row>
    <row r="63817" spans="17:17" x14ac:dyDescent="0.25">
      <c r="Q63817" s="8"/>
    </row>
    <row r="63818" spans="17:17" x14ac:dyDescent="0.25">
      <c r="Q63818" s="8"/>
    </row>
    <row r="63819" spans="17:17" x14ac:dyDescent="0.25">
      <c r="Q63819" s="8"/>
    </row>
    <row r="63820" spans="17:17" x14ac:dyDescent="0.25">
      <c r="Q63820" s="8"/>
    </row>
    <row r="63821" spans="17:17" x14ac:dyDescent="0.25">
      <c r="Q63821" s="8"/>
    </row>
    <row r="63822" spans="17:17" x14ac:dyDescent="0.25">
      <c r="Q63822" s="8"/>
    </row>
    <row r="63823" spans="17:17" x14ac:dyDescent="0.25">
      <c r="Q63823" s="8"/>
    </row>
    <row r="63824" spans="17:17" x14ac:dyDescent="0.25">
      <c r="Q63824" s="8"/>
    </row>
    <row r="63825" spans="17:17" x14ac:dyDescent="0.25">
      <c r="Q63825" s="8"/>
    </row>
    <row r="63826" spans="17:17" x14ac:dyDescent="0.25">
      <c r="Q63826" s="8"/>
    </row>
    <row r="63827" spans="17:17" x14ac:dyDescent="0.25">
      <c r="Q63827" s="8"/>
    </row>
    <row r="63828" spans="17:17" x14ac:dyDescent="0.25">
      <c r="Q63828" s="8"/>
    </row>
    <row r="63829" spans="17:17" x14ac:dyDescent="0.25">
      <c r="Q63829" s="8"/>
    </row>
    <row r="63830" spans="17:17" x14ac:dyDescent="0.25">
      <c r="Q63830" s="8"/>
    </row>
    <row r="63831" spans="17:17" x14ac:dyDescent="0.25">
      <c r="Q63831" s="8"/>
    </row>
    <row r="63832" spans="17:17" x14ac:dyDescent="0.25">
      <c r="Q63832" s="8"/>
    </row>
    <row r="63833" spans="17:17" x14ac:dyDescent="0.25">
      <c r="Q63833" s="8"/>
    </row>
    <row r="63834" spans="17:17" x14ac:dyDescent="0.25">
      <c r="Q63834" s="8"/>
    </row>
    <row r="63835" spans="17:17" x14ac:dyDescent="0.25">
      <c r="Q63835" s="8"/>
    </row>
    <row r="63836" spans="17:17" x14ac:dyDescent="0.25">
      <c r="Q63836" s="8"/>
    </row>
    <row r="63837" spans="17:17" x14ac:dyDescent="0.25">
      <c r="Q63837" s="8"/>
    </row>
    <row r="63838" spans="17:17" x14ac:dyDescent="0.25">
      <c r="Q63838" s="8"/>
    </row>
    <row r="63839" spans="17:17" x14ac:dyDescent="0.25">
      <c r="Q63839" s="8"/>
    </row>
    <row r="63840" spans="17:17" x14ac:dyDescent="0.25">
      <c r="Q63840" s="8"/>
    </row>
    <row r="63841" spans="17:17" x14ac:dyDescent="0.25">
      <c r="Q63841" s="8"/>
    </row>
    <row r="63842" spans="17:17" x14ac:dyDescent="0.25">
      <c r="Q63842" s="8"/>
    </row>
    <row r="63843" spans="17:17" x14ac:dyDescent="0.25">
      <c r="Q63843" s="8"/>
    </row>
    <row r="63844" spans="17:17" x14ac:dyDescent="0.25">
      <c r="Q63844" s="8"/>
    </row>
    <row r="63845" spans="17:17" x14ac:dyDescent="0.25">
      <c r="Q63845" s="8"/>
    </row>
    <row r="63846" spans="17:17" x14ac:dyDescent="0.25">
      <c r="Q63846" s="8"/>
    </row>
    <row r="63847" spans="17:17" x14ac:dyDescent="0.25">
      <c r="Q63847" s="8"/>
    </row>
    <row r="63848" spans="17:17" x14ac:dyDescent="0.25">
      <c r="Q63848" s="8"/>
    </row>
    <row r="63849" spans="17:17" x14ac:dyDescent="0.25">
      <c r="Q63849" s="8"/>
    </row>
    <row r="63850" spans="17:17" x14ac:dyDescent="0.25">
      <c r="Q63850" s="8"/>
    </row>
    <row r="63851" spans="17:17" x14ac:dyDescent="0.25">
      <c r="Q63851" s="8"/>
    </row>
    <row r="63852" spans="17:17" x14ac:dyDescent="0.25">
      <c r="Q63852" s="8"/>
    </row>
    <row r="63853" spans="17:17" x14ac:dyDescent="0.25">
      <c r="Q63853" s="8"/>
    </row>
    <row r="63854" spans="17:17" x14ac:dyDescent="0.25">
      <c r="Q63854" s="8"/>
    </row>
    <row r="63855" spans="17:17" x14ac:dyDescent="0.25">
      <c r="Q63855" s="8"/>
    </row>
    <row r="63856" spans="17:17" x14ac:dyDescent="0.25">
      <c r="Q63856" s="8"/>
    </row>
    <row r="63857" spans="17:17" x14ac:dyDescent="0.25">
      <c r="Q63857" s="8"/>
    </row>
    <row r="63858" spans="17:17" x14ac:dyDescent="0.25">
      <c r="Q63858" s="8"/>
    </row>
    <row r="63859" spans="17:17" x14ac:dyDescent="0.25">
      <c r="Q63859" s="8"/>
    </row>
    <row r="63860" spans="17:17" x14ac:dyDescent="0.25">
      <c r="Q63860" s="8"/>
    </row>
    <row r="63861" spans="17:17" x14ac:dyDescent="0.25">
      <c r="Q63861" s="8"/>
    </row>
    <row r="63862" spans="17:17" x14ac:dyDescent="0.25">
      <c r="Q63862" s="8"/>
    </row>
    <row r="63863" spans="17:17" x14ac:dyDescent="0.25">
      <c r="Q63863" s="8"/>
    </row>
    <row r="63864" spans="17:17" x14ac:dyDescent="0.25">
      <c r="Q63864" s="8"/>
    </row>
    <row r="63865" spans="17:17" x14ac:dyDescent="0.25">
      <c r="Q63865" s="8"/>
    </row>
    <row r="63866" spans="17:17" x14ac:dyDescent="0.25">
      <c r="Q63866" s="8"/>
    </row>
    <row r="63867" spans="17:17" x14ac:dyDescent="0.25">
      <c r="Q63867" s="8"/>
    </row>
    <row r="63868" spans="17:17" x14ac:dyDescent="0.25">
      <c r="Q63868" s="8"/>
    </row>
    <row r="63869" spans="17:17" x14ac:dyDescent="0.25">
      <c r="Q63869" s="8"/>
    </row>
    <row r="63870" spans="17:17" x14ac:dyDescent="0.25">
      <c r="Q63870" s="8"/>
    </row>
    <row r="63871" spans="17:17" x14ac:dyDescent="0.25">
      <c r="Q63871" s="8"/>
    </row>
    <row r="63872" spans="17:17" x14ac:dyDescent="0.25">
      <c r="Q63872" s="8"/>
    </row>
    <row r="63873" spans="17:17" x14ac:dyDescent="0.25">
      <c r="Q63873" s="8"/>
    </row>
    <row r="63874" spans="17:17" x14ac:dyDescent="0.25">
      <c r="Q63874" s="8"/>
    </row>
    <row r="63875" spans="17:17" x14ac:dyDescent="0.25">
      <c r="Q63875" s="8"/>
    </row>
    <row r="63876" spans="17:17" x14ac:dyDescent="0.25">
      <c r="Q63876" s="8"/>
    </row>
    <row r="63877" spans="17:17" x14ac:dyDescent="0.25">
      <c r="Q63877" s="8"/>
    </row>
    <row r="63878" spans="17:17" x14ac:dyDescent="0.25">
      <c r="Q63878" s="8"/>
    </row>
    <row r="63879" spans="17:17" x14ac:dyDescent="0.25">
      <c r="Q63879" s="8"/>
    </row>
    <row r="63880" spans="17:17" x14ac:dyDescent="0.25">
      <c r="Q63880" s="8"/>
    </row>
    <row r="63881" spans="17:17" x14ac:dyDescent="0.25">
      <c r="Q63881" s="8"/>
    </row>
    <row r="63882" spans="17:17" x14ac:dyDescent="0.25">
      <c r="Q63882" s="8"/>
    </row>
    <row r="63883" spans="17:17" x14ac:dyDescent="0.25">
      <c r="Q63883" s="8"/>
    </row>
    <row r="63884" spans="17:17" x14ac:dyDescent="0.25">
      <c r="Q63884" s="8"/>
    </row>
    <row r="63885" spans="17:17" x14ac:dyDescent="0.25">
      <c r="Q63885" s="8"/>
    </row>
    <row r="63886" spans="17:17" x14ac:dyDescent="0.25">
      <c r="Q63886" s="8"/>
    </row>
    <row r="63887" spans="17:17" x14ac:dyDescent="0.25">
      <c r="Q63887" s="8"/>
    </row>
    <row r="63888" spans="17:17" x14ac:dyDescent="0.25">
      <c r="Q63888" s="8"/>
    </row>
    <row r="63889" spans="17:17" x14ac:dyDescent="0.25">
      <c r="Q63889" s="8"/>
    </row>
    <row r="63890" spans="17:17" x14ac:dyDescent="0.25">
      <c r="Q63890" s="8"/>
    </row>
    <row r="63891" spans="17:17" x14ac:dyDescent="0.25">
      <c r="Q63891" s="8"/>
    </row>
    <row r="63892" spans="17:17" x14ac:dyDescent="0.25">
      <c r="Q63892" s="8"/>
    </row>
    <row r="63893" spans="17:17" x14ac:dyDescent="0.25">
      <c r="Q63893" s="8"/>
    </row>
    <row r="63894" spans="17:17" x14ac:dyDescent="0.25">
      <c r="Q63894" s="8"/>
    </row>
    <row r="63895" spans="17:17" x14ac:dyDescent="0.25">
      <c r="Q63895" s="8"/>
    </row>
    <row r="63896" spans="17:17" x14ac:dyDescent="0.25">
      <c r="Q63896" s="8"/>
    </row>
    <row r="63897" spans="17:17" x14ac:dyDescent="0.25">
      <c r="Q63897" s="8"/>
    </row>
    <row r="63898" spans="17:17" x14ac:dyDescent="0.25">
      <c r="Q63898" s="8"/>
    </row>
    <row r="63899" spans="17:17" x14ac:dyDescent="0.25">
      <c r="Q63899" s="8"/>
    </row>
    <row r="63900" spans="17:17" x14ac:dyDescent="0.25">
      <c r="Q63900" s="8"/>
    </row>
    <row r="63901" spans="17:17" x14ac:dyDescent="0.25">
      <c r="Q63901" s="8"/>
    </row>
    <row r="63902" spans="17:17" x14ac:dyDescent="0.25">
      <c r="Q63902" s="8"/>
    </row>
    <row r="63903" spans="17:17" x14ac:dyDescent="0.25">
      <c r="Q63903" s="8"/>
    </row>
    <row r="63904" spans="17:17" x14ac:dyDescent="0.25">
      <c r="Q63904" s="8"/>
    </row>
    <row r="63905" spans="17:17" x14ac:dyDescent="0.25">
      <c r="Q63905" s="8"/>
    </row>
    <row r="63906" spans="17:17" x14ac:dyDescent="0.25">
      <c r="Q63906" s="8"/>
    </row>
    <row r="63907" spans="17:17" x14ac:dyDescent="0.25">
      <c r="Q63907" s="8"/>
    </row>
    <row r="63908" spans="17:17" x14ac:dyDescent="0.25">
      <c r="Q63908" s="8"/>
    </row>
    <row r="63909" spans="17:17" x14ac:dyDescent="0.25">
      <c r="Q63909" s="8"/>
    </row>
    <row r="63910" spans="17:17" x14ac:dyDescent="0.25">
      <c r="Q63910" s="8"/>
    </row>
    <row r="63911" spans="17:17" x14ac:dyDescent="0.25">
      <c r="Q63911" s="8"/>
    </row>
    <row r="63912" spans="17:17" x14ac:dyDescent="0.25">
      <c r="Q63912" s="8"/>
    </row>
    <row r="63913" spans="17:17" x14ac:dyDescent="0.25">
      <c r="Q63913" s="8"/>
    </row>
    <row r="63914" spans="17:17" x14ac:dyDescent="0.25">
      <c r="Q63914" s="8"/>
    </row>
    <row r="63915" spans="17:17" x14ac:dyDescent="0.25">
      <c r="Q63915" s="8"/>
    </row>
    <row r="63916" spans="17:17" x14ac:dyDescent="0.25">
      <c r="Q63916" s="8"/>
    </row>
    <row r="63917" spans="17:17" x14ac:dyDescent="0.25">
      <c r="Q63917" s="8"/>
    </row>
    <row r="63918" spans="17:17" x14ac:dyDescent="0.25">
      <c r="Q63918" s="8"/>
    </row>
    <row r="63919" spans="17:17" x14ac:dyDescent="0.25">
      <c r="Q63919" s="8"/>
    </row>
    <row r="63920" spans="17:17" x14ac:dyDescent="0.25">
      <c r="Q63920" s="8"/>
    </row>
    <row r="63921" spans="17:17" x14ac:dyDescent="0.25">
      <c r="Q63921" s="8"/>
    </row>
    <row r="63922" spans="17:17" x14ac:dyDescent="0.25">
      <c r="Q63922" s="8"/>
    </row>
    <row r="63923" spans="17:17" x14ac:dyDescent="0.25">
      <c r="Q63923" s="8"/>
    </row>
    <row r="63924" spans="17:17" x14ac:dyDescent="0.25">
      <c r="Q63924" s="8"/>
    </row>
    <row r="63925" spans="17:17" x14ac:dyDescent="0.25">
      <c r="Q63925" s="8"/>
    </row>
    <row r="63926" spans="17:17" x14ac:dyDescent="0.25">
      <c r="Q63926" s="8"/>
    </row>
    <row r="63927" spans="17:17" x14ac:dyDescent="0.25">
      <c r="Q63927" s="8"/>
    </row>
    <row r="63928" spans="17:17" x14ac:dyDescent="0.25">
      <c r="Q63928" s="8"/>
    </row>
    <row r="63929" spans="17:17" x14ac:dyDescent="0.25">
      <c r="Q63929" s="8"/>
    </row>
    <row r="63930" spans="17:17" x14ac:dyDescent="0.25">
      <c r="Q63930" s="8"/>
    </row>
    <row r="63931" spans="17:17" x14ac:dyDescent="0.25">
      <c r="Q63931" s="8"/>
    </row>
    <row r="63932" spans="17:17" x14ac:dyDescent="0.25">
      <c r="Q63932" s="8"/>
    </row>
    <row r="63933" spans="17:17" x14ac:dyDescent="0.25">
      <c r="Q63933" s="8"/>
    </row>
    <row r="63934" spans="17:17" x14ac:dyDescent="0.25">
      <c r="Q63934" s="8"/>
    </row>
    <row r="63935" spans="17:17" x14ac:dyDescent="0.25">
      <c r="Q63935" s="8"/>
    </row>
    <row r="63936" spans="17:17" x14ac:dyDescent="0.25">
      <c r="Q63936" s="8"/>
    </row>
    <row r="63937" spans="17:17" x14ac:dyDescent="0.25">
      <c r="Q63937" s="8"/>
    </row>
    <row r="63938" spans="17:17" x14ac:dyDescent="0.25">
      <c r="Q63938" s="8"/>
    </row>
    <row r="63939" spans="17:17" x14ac:dyDescent="0.25">
      <c r="Q63939" s="8"/>
    </row>
    <row r="63940" spans="17:17" x14ac:dyDescent="0.25">
      <c r="Q63940" s="8"/>
    </row>
    <row r="63941" spans="17:17" x14ac:dyDescent="0.25">
      <c r="Q63941" s="8"/>
    </row>
    <row r="63942" spans="17:17" x14ac:dyDescent="0.25">
      <c r="Q63942" s="8"/>
    </row>
    <row r="63943" spans="17:17" x14ac:dyDescent="0.25">
      <c r="Q63943" s="8"/>
    </row>
    <row r="63944" spans="17:17" x14ac:dyDescent="0.25">
      <c r="Q63944" s="8"/>
    </row>
    <row r="63945" spans="17:17" x14ac:dyDescent="0.25">
      <c r="Q63945" s="8"/>
    </row>
    <row r="63946" spans="17:17" x14ac:dyDescent="0.25">
      <c r="Q63946" s="8"/>
    </row>
    <row r="63947" spans="17:17" x14ac:dyDescent="0.25">
      <c r="Q63947" s="8"/>
    </row>
    <row r="63948" spans="17:17" x14ac:dyDescent="0.25">
      <c r="Q63948" s="8"/>
    </row>
    <row r="63949" spans="17:17" x14ac:dyDescent="0.25">
      <c r="Q63949" s="8"/>
    </row>
    <row r="63950" spans="17:17" x14ac:dyDescent="0.25">
      <c r="Q63950" s="8"/>
    </row>
    <row r="63951" spans="17:17" x14ac:dyDescent="0.25">
      <c r="Q63951" s="8"/>
    </row>
    <row r="63952" spans="17:17" x14ac:dyDescent="0.25">
      <c r="Q63952" s="8"/>
    </row>
    <row r="63953" spans="17:17" x14ac:dyDescent="0.25">
      <c r="Q63953" s="8"/>
    </row>
    <row r="63954" spans="17:17" x14ac:dyDescent="0.25">
      <c r="Q63954" s="8"/>
    </row>
    <row r="63955" spans="17:17" x14ac:dyDescent="0.25">
      <c r="Q63955" s="8"/>
    </row>
    <row r="63956" spans="17:17" x14ac:dyDescent="0.25">
      <c r="Q63956" s="8"/>
    </row>
    <row r="63957" spans="17:17" x14ac:dyDescent="0.25">
      <c r="Q63957" s="8"/>
    </row>
    <row r="63958" spans="17:17" x14ac:dyDescent="0.25">
      <c r="Q63958" s="8"/>
    </row>
    <row r="63959" spans="17:17" x14ac:dyDescent="0.25">
      <c r="Q63959" s="8"/>
    </row>
    <row r="63960" spans="17:17" x14ac:dyDescent="0.25">
      <c r="Q63960" s="8"/>
    </row>
    <row r="63961" spans="17:17" x14ac:dyDescent="0.25">
      <c r="Q63961" s="8"/>
    </row>
    <row r="63962" spans="17:17" x14ac:dyDescent="0.25">
      <c r="Q63962" s="8"/>
    </row>
    <row r="63963" spans="17:17" x14ac:dyDescent="0.25">
      <c r="Q63963" s="8"/>
    </row>
    <row r="63964" spans="17:17" x14ac:dyDescent="0.25">
      <c r="Q63964" s="8"/>
    </row>
    <row r="63965" spans="17:17" x14ac:dyDescent="0.25">
      <c r="Q63965" s="8"/>
    </row>
    <row r="63966" spans="17:17" x14ac:dyDescent="0.25">
      <c r="Q63966" s="8"/>
    </row>
    <row r="63967" spans="17:17" x14ac:dyDescent="0.25">
      <c r="Q63967" s="8"/>
    </row>
    <row r="63968" spans="17:17" x14ac:dyDescent="0.25">
      <c r="Q63968" s="8"/>
    </row>
    <row r="63969" spans="17:17" x14ac:dyDescent="0.25">
      <c r="Q63969" s="8"/>
    </row>
    <row r="63970" spans="17:17" x14ac:dyDescent="0.25">
      <c r="Q63970" s="8"/>
    </row>
    <row r="63971" spans="17:17" x14ac:dyDescent="0.25">
      <c r="Q63971" s="8"/>
    </row>
    <row r="63972" spans="17:17" x14ac:dyDescent="0.25">
      <c r="Q63972" s="8"/>
    </row>
    <row r="63973" spans="17:17" x14ac:dyDescent="0.25">
      <c r="Q63973" s="8"/>
    </row>
    <row r="63974" spans="17:17" x14ac:dyDescent="0.25">
      <c r="Q63974" s="8"/>
    </row>
    <row r="63975" spans="17:17" x14ac:dyDescent="0.25">
      <c r="Q63975" s="8"/>
    </row>
    <row r="63976" spans="17:17" x14ac:dyDescent="0.25">
      <c r="Q63976" s="8"/>
    </row>
    <row r="63977" spans="17:17" x14ac:dyDescent="0.25">
      <c r="Q63977" s="8"/>
    </row>
    <row r="63978" spans="17:17" x14ac:dyDescent="0.25">
      <c r="Q63978" s="8"/>
    </row>
    <row r="63979" spans="17:17" x14ac:dyDescent="0.25">
      <c r="Q63979" s="8"/>
    </row>
    <row r="63980" spans="17:17" x14ac:dyDescent="0.25">
      <c r="Q63980" s="8"/>
    </row>
    <row r="63981" spans="17:17" x14ac:dyDescent="0.25">
      <c r="Q63981" s="8"/>
    </row>
    <row r="63982" spans="17:17" x14ac:dyDescent="0.25">
      <c r="Q63982" s="8"/>
    </row>
    <row r="63983" spans="17:17" x14ac:dyDescent="0.25">
      <c r="Q63983" s="8"/>
    </row>
    <row r="63984" spans="17:17" x14ac:dyDescent="0.25">
      <c r="Q63984" s="8"/>
    </row>
    <row r="63985" spans="17:17" x14ac:dyDescent="0.25">
      <c r="Q63985" s="8"/>
    </row>
    <row r="63986" spans="17:17" x14ac:dyDescent="0.25">
      <c r="Q63986" s="8"/>
    </row>
    <row r="63987" spans="17:17" x14ac:dyDescent="0.25">
      <c r="Q63987" s="8"/>
    </row>
    <row r="63988" spans="17:17" x14ac:dyDescent="0.25">
      <c r="Q63988" s="8"/>
    </row>
    <row r="63989" spans="17:17" x14ac:dyDescent="0.25">
      <c r="Q63989" s="8"/>
    </row>
    <row r="63990" spans="17:17" x14ac:dyDescent="0.25">
      <c r="Q63990" s="8"/>
    </row>
    <row r="63991" spans="17:17" x14ac:dyDescent="0.25">
      <c r="Q63991" s="8"/>
    </row>
    <row r="63992" spans="17:17" x14ac:dyDescent="0.25">
      <c r="Q63992" s="8"/>
    </row>
    <row r="63993" spans="17:17" x14ac:dyDescent="0.25">
      <c r="Q63993" s="8"/>
    </row>
    <row r="63994" spans="17:17" x14ac:dyDescent="0.25">
      <c r="Q63994" s="8"/>
    </row>
    <row r="63995" spans="17:17" x14ac:dyDescent="0.25">
      <c r="Q63995" s="8"/>
    </row>
    <row r="63996" spans="17:17" x14ac:dyDescent="0.25">
      <c r="Q63996" s="8"/>
    </row>
    <row r="63997" spans="17:17" x14ac:dyDescent="0.25">
      <c r="Q63997" s="8"/>
    </row>
    <row r="63998" spans="17:17" x14ac:dyDescent="0.25">
      <c r="Q63998" s="8"/>
    </row>
    <row r="63999" spans="17:17" x14ac:dyDescent="0.25">
      <c r="Q63999" s="8"/>
    </row>
    <row r="64000" spans="17:17" x14ac:dyDescent="0.25">
      <c r="Q64000" s="8"/>
    </row>
    <row r="64001" spans="17:17" x14ac:dyDescent="0.25">
      <c r="Q64001" s="8"/>
    </row>
    <row r="64002" spans="17:17" x14ac:dyDescent="0.25">
      <c r="Q64002" s="8"/>
    </row>
    <row r="64003" spans="17:17" x14ac:dyDescent="0.25">
      <c r="Q64003" s="8"/>
    </row>
    <row r="64004" spans="17:17" x14ac:dyDescent="0.25">
      <c r="Q64004" s="8"/>
    </row>
    <row r="64005" spans="17:17" x14ac:dyDescent="0.25">
      <c r="Q64005" s="8"/>
    </row>
    <row r="64006" spans="17:17" x14ac:dyDescent="0.25">
      <c r="Q64006" s="8"/>
    </row>
    <row r="64007" spans="17:17" x14ac:dyDescent="0.25">
      <c r="Q64007" s="8"/>
    </row>
    <row r="64008" spans="17:17" x14ac:dyDescent="0.25">
      <c r="Q64008" s="8"/>
    </row>
    <row r="64009" spans="17:17" x14ac:dyDescent="0.25">
      <c r="Q64009" s="8"/>
    </row>
    <row r="64010" spans="17:17" x14ac:dyDescent="0.25">
      <c r="Q64010" s="8"/>
    </row>
    <row r="64011" spans="17:17" x14ac:dyDescent="0.25">
      <c r="Q64011" s="8"/>
    </row>
    <row r="64012" spans="17:17" x14ac:dyDescent="0.25">
      <c r="Q64012" s="8"/>
    </row>
    <row r="64013" spans="17:17" x14ac:dyDescent="0.25">
      <c r="Q64013" s="8"/>
    </row>
    <row r="64014" spans="17:17" x14ac:dyDescent="0.25">
      <c r="Q64014" s="8"/>
    </row>
    <row r="64015" spans="17:17" x14ac:dyDescent="0.25">
      <c r="Q64015" s="8"/>
    </row>
    <row r="64016" spans="17:17" x14ac:dyDescent="0.25">
      <c r="Q64016" s="8"/>
    </row>
    <row r="64017" spans="17:17" x14ac:dyDescent="0.25">
      <c r="Q64017" s="8"/>
    </row>
    <row r="64018" spans="17:17" x14ac:dyDescent="0.25">
      <c r="Q64018" s="8"/>
    </row>
    <row r="64019" spans="17:17" x14ac:dyDescent="0.25">
      <c r="Q64019" s="8"/>
    </row>
    <row r="64020" spans="17:17" x14ac:dyDescent="0.25">
      <c r="Q64020" s="8"/>
    </row>
    <row r="64021" spans="17:17" x14ac:dyDescent="0.25">
      <c r="Q64021" s="8"/>
    </row>
    <row r="64022" spans="17:17" x14ac:dyDescent="0.25">
      <c r="Q64022" s="8"/>
    </row>
    <row r="64023" spans="17:17" x14ac:dyDescent="0.25">
      <c r="Q64023" s="8"/>
    </row>
    <row r="64024" spans="17:17" x14ac:dyDescent="0.25">
      <c r="Q64024" s="8"/>
    </row>
    <row r="64025" spans="17:17" x14ac:dyDescent="0.25">
      <c r="Q64025" s="8"/>
    </row>
    <row r="64026" spans="17:17" x14ac:dyDescent="0.25">
      <c r="Q64026" s="8"/>
    </row>
    <row r="64027" spans="17:17" x14ac:dyDescent="0.25">
      <c r="Q64027" s="8"/>
    </row>
    <row r="64028" spans="17:17" x14ac:dyDescent="0.25">
      <c r="Q64028" s="8"/>
    </row>
    <row r="64029" spans="17:17" x14ac:dyDescent="0.25">
      <c r="Q64029" s="8"/>
    </row>
    <row r="64030" spans="17:17" x14ac:dyDescent="0.25">
      <c r="Q64030" s="8"/>
    </row>
    <row r="64031" spans="17:17" x14ac:dyDescent="0.25">
      <c r="Q64031" s="8"/>
    </row>
    <row r="64032" spans="17:17" x14ac:dyDescent="0.25">
      <c r="Q64032" s="8"/>
    </row>
    <row r="64033" spans="17:17" x14ac:dyDescent="0.25">
      <c r="Q64033" s="8"/>
    </row>
    <row r="64034" spans="17:17" x14ac:dyDescent="0.25">
      <c r="Q64034" s="8"/>
    </row>
    <row r="64035" spans="17:17" x14ac:dyDescent="0.25">
      <c r="Q64035" s="8"/>
    </row>
    <row r="64036" spans="17:17" x14ac:dyDescent="0.25">
      <c r="Q64036" s="8"/>
    </row>
    <row r="64037" spans="17:17" x14ac:dyDescent="0.25">
      <c r="Q64037" s="8"/>
    </row>
    <row r="64038" spans="17:17" x14ac:dyDescent="0.25">
      <c r="Q64038" s="8"/>
    </row>
    <row r="64039" spans="17:17" x14ac:dyDescent="0.25">
      <c r="Q64039" s="8"/>
    </row>
    <row r="64040" spans="17:17" x14ac:dyDescent="0.25">
      <c r="Q64040" s="8"/>
    </row>
    <row r="64041" spans="17:17" x14ac:dyDescent="0.25">
      <c r="Q64041" s="8"/>
    </row>
    <row r="64042" spans="17:17" x14ac:dyDescent="0.25">
      <c r="Q64042" s="8"/>
    </row>
    <row r="64043" spans="17:17" x14ac:dyDescent="0.25">
      <c r="Q64043" s="8"/>
    </row>
    <row r="64044" spans="17:17" x14ac:dyDescent="0.25">
      <c r="Q64044" s="8"/>
    </row>
    <row r="64045" spans="17:17" x14ac:dyDescent="0.25">
      <c r="Q64045" s="8"/>
    </row>
    <row r="64046" spans="17:17" x14ac:dyDescent="0.25">
      <c r="Q64046" s="8"/>
    </row>
    <row r="64047" spans="17:17" x14ac:dyDescent="0.25">
      <c r="Q64047" s="8"/>
    </row>
    <row r="64048" spans="17:17" x14ac:dyDescent="0.25">
      <c r="Q64048" s="8"/>
    </row>
    <row r="64049" spans="17:17" x14ac:dyDescent="0.25">
      <c r="Q64049" s="8"/>
    </row>
    <row r="64050" spans="17:17" x14ac:dyDescent="0.25">
      <c r="Q64050" s="8"/>
    </row>
    <row r="64051" spans="17:17" x14ac:dyDescent="0.25">
      <c r="Q64051" s="8"/>
    </row>
    <row r="64052" spans="17:17" x14ac:dyDescent="0.25">
      <c r="Q64052" s="8"/>
    </row>
    <row r="64053" spans="17:17" x14ac:dyDescent="0.25">
      <c r="Q64053" s="8"/>
    </row>
    <row r="64054" spans="17:17" x14ac:dyDescent="0.25">
      <c r="Q64054" s="8"/>
    </row>
    <row r="64055" spans="17:17" x14ac:dyDescent="0.25">
      <c r="Q64055" s="8"/>
    </row>
    <row r="64056" spans="17:17" x14ac:dyDescent="0.25">
      <c r="Q64056" s="8"/>
    </row>
    <row r="64057" spans="17:17" x14ac:dyDescent="0.25">
      <c r="Q64057" s="8"/>
    </row>
    <row r="64058" spans="17:17" x14ac:dyDescent="0.25">
      <c r="Q64058" s="8"/>
    </row>
    <row r="64059" spans="17:17" x14ac:dyDescent="0.25">
      <c r="Q64059" s="8"/>
    </row>
    <row r="64060" spans="17:17" x14ac:dyDescent="0.25">
      <c r="Q64060" s="8"/>
    </row>
    <row r="64061" spans="17:17" x14ac:dyDescent="0.25">
      <c r="Q64061" s="8"/>
    </row>
    <row r="64062" spans="17:17" x14ac:dyDescent="0.25">
      <c r="Q64062" s="8"/>
    </row>
    <row r="64063" spans="17:17" x14ac:dyDescent="0.25">
      <c r="Q64063" s="8"/>
    </row>
    <row r="64064" spans="17:17" x14ac:dyDescent="0.25">
      <c r="Q64064" s="8"/>
    </row>
    <row r="64065" spans="17:17" x14ac:dyDescent="0.25">
      <c r="Q64065" s="8"/>
    </row>
    <row r="64066" spans="17:17" x14ac:dyDescent="0.25">
      <c r="Q64066" s="8"/>
    </row>
    <row r="64067" spans="17:17" x14ac:dyDescent="0.25">
      <c r="Q64067" s="8"/>
    </row>
    <row r="64068" spans="17:17" x14ac:dyDescent="0.25">
      <c r="Q64068" s="8"/>
    </row>
    <row r="64069" spans="17:17" x14ac:dyDescent="0.25">
      <c r="Q64069" s="8"/>
    </row>
    <row r="64070" spans="17:17" x14ac:dyDescent="0.25">
      <c r="Q64070" s="8"/>
    </row>
    <row r="64071" spans="17:17" x14ac:dyDescent="0.25">
      <c r="Q64071" s="8"/>
    </row>
    <row r="64072" spans="17:17" x14ac:dyDescent="0.25">
      <c r="Q64072" s="8"/>
    </row>
    <row r="64073" spans="17:17" x14ac:dyDescent="0.25">
      <c r="Q64073" s="8"/>
    </row>
    <row r="64074" spans="17:17" x14ac:dyDescent="0.25">
      <c r="Q64074" s="8"/>
    </row>
    <row r="64075" spans="17:17" x14ac:dyDescent="0.25">
      <c r="Q64075" s="8"/>
    </row>
    <row r="64076" spans="17:17" x14ac:dyDescent="0.25">
      <c r="Q64076" s="8"/>
    </row>
    <row r="64077" spans="17:17" x14ac:dyDescent="0.25">
      <c r="Q64077" s="8"/>
    </row>
    <row r="64078" spans="17:17" x14ac:dyDescent="0.25">
      <c r="Q64078" s="8"/>
    </row>
    <row r="64079" spans="17:17" x14ac:dyDescent="0.25">
      <c r="Q64079" s="8"/>
    </row>
    <row r="64080" spans="17:17" x14ac:dyDescent="0.25">
      <c r="Q64080" s="8"/>
    </row>
    <row r="64081" spans="17:17" x14ac:dyDescent="0.25">
      <c r="Q64081" s="8"/>
    </row>
    <row r="64082" spans="17:17" x14ac:dyDescent="0.25">
      <c r="Q64082" s="8"/>
    </row>
    <row r="64083" spans="17:17" x14ac:dyDescent="0.25">
      <c r="Q64083" s="8"/>
    </row>
    <row r="64084" spans="17:17" x14ac:dyDescent="0.25">
      <c r="Q64084" s="8"/>
    </row>
    <row r="64085" spans="17:17" x14ac:dyDescent="0.25">
      <c r="Q64085" s="8"/>
    </row>
    <row r="64086" spans="17:17" x14ac:dyDescent="0.25">
      <c r="Q64086" s="8"/>
    </row>
    <row r="64087" spans="17:17" x14ac:dyDescent="0.25">
      <c r="Q64087" s="8"/>
    </row>
    <row r="64088" spans="17:17" x14ac:dyDescent="0.25">
      <c r="Q64088" s="8"/>
    </row>
    <row r="64089" spans="17:17" x14ac:dyDescent="0.25">
      <c r="Q64089" s="8"/>
    </row>
    <row r="64090" spans="17:17" x14ac:dyDescent="0.25">
      <c r="Q64090" s="8"/>
    </row>
    <row r="64091" spans="17:17" x14ac:dyDescent="0.25">
      <c r="Q64091" s="8"/>
    </row>
    <row r="64092" spans="17:17" x14ac:dyDescent="0.25">
      <c r="Q64092" s="8"/>
    </row>
    <row r="64093" spans="17:17" x14ac:dyDescent="0.25">
      <c r="Q64093" s="8"/>
    </row>
    <row r="64094" spans="17:17" x14ac:dyDescent="0.25">
      <c r="Q64094" s="8"/>
    </row>
    <row r="64095" spans="17:17" x14ac:dyDescent="0.25">
      <c r="Q64095" s="8"/>
    </row>
    <row r="64096" spans="17:17" x14ac:dyDescent="0.25">
      <c r="Q64096" s="8"/>
    </row>
    <row r="64097" spans="17:17" x14ac:dyDescent="0.25">
      <c r="Q64097" s="8"/>
    </row>
    <row r="64098" spans="17:17" x14ac:dyDescent="0.25">
      <c r="Q64098" s="8"/>
    </row>
    <row r="64099" spans="17:17" x14ac:dyDescent="0.25">
      <c r="Q64099" s="8"/>
    </row>
    <row r="64100" spans="17:17" x14ac:dyDescent="0.25">
      <c r="Q64100" s="8"/>
    </row>
    <row r="64101" spans="17:17" x14ac:dyDescent="0.25">
      <c r="Q64101" s="8"/>
    </row>
    <row r="64102" spans="17:17" x14ac:dyDescent="0.25">
      <c r="Q64102" s="8"/>
    </row>
    <row r="64103" spans="17:17" x14ac:dyDescent="0.25">
      <c r="Q64103" s="8"/>
    </row>
    <row r="64104" spans="17:17" x14ac:dyDescent="0.25">
      <c r="Q64104" s="8"/>
    </row>
    <row r="64105" spans="17:17" x14ac:dyDescent="0.25">
      <c r="Q64105" s="8"/>
    </row>
    <row r="64106" spans="17:17" x14ac:dyDescent="0.25">
      <c r="Q64106" s="8"/>
    </row>
    <row r="64107" spans="17:17" x14ac:dyDescent="0.25">
      <c r="Q64107" s="8"/>
    </row>
    <row r="64108" spans="17:17" x14ac:dyDescent="0.25">
      <c r="Q64108" s="8"/>
    </row>
    <row r="64109" spans="17:17" x14ac:dyDescent="0.25">
      <c r="Q64109" s="8"/>
    </row>
    <row r="64110" spans="17:17" x14ac:dyDescent="0.25">
      <c r="Q64110" s="8"/>
    </row>
    <row r="64111" spans="17:17" x14ac:dyDescent="0.25">
      <c r="Q64111" s="8"/>
    </row>
    <row r="64112" spans="17:17" x14ac:dyDescent="0.25">
      <c r="Q64112" s="8"/>
    </row>
    <row r="64113" spans="17:17" x14ac:dyDescent="0.25">
      <c r="Q64113" s="8"/>
    </row>
    <row r="64114" spans="17:17" x14ac:dyDescent="0.25">
      <c r="Q64114" s="8"/>
    </row>
    <row r="64115" spans="17:17" x14ac:dyDescent="0.25">
      <c r="Q64115" s="8"/>
    </row>
    <row r="64116" spans="17:17" x14ac:dyDescent="0.25">
      <c r="Q64116" s="8"/>
    </row>
    <row r="64117" spans="17:17" x14ac:dyDescent="0.25">
      <c r="Q64117" s="8"/>
    </row>
    <row r="64118" spans="17:17" x14ac:dyDescent="0.25">
      <c r="Q64118" s="8"/>
    </row>
    <row r="64119" spans="17:17" x14ac:dyDescent="0.25">
      <c r="Q64119" s="8"/>
    </row>
    <row r="64120" spans="17:17" x14ac:dyDescent="0.25">
      <c r="Q64120" s="8"/>
    </row>
    <row r="64121" spans="17:17" x14ac:dyDescent="0.25">
      <c r="Q64121" s="8"/>
    </row>
    <row r="64122" spans="17:17" x14ac:dyDescent="0.25">
      <c r="Q64122" s="8"/>
    </row>
    <row r="64123" spans="17:17" x14ac:dyDescent="0.25">
      <c r="Q64123" s="8"/>
    </row>
    <row r="64124" spans="17:17" x14ac:dyDescent="0.25">
      <c r="Q64124" s="8"/>
    </row>
    <row r="64125" spans="17:17" x14ac:dyDescent="0.25">
      <c r="Q64125" s="8"/>
    </row>
    <row r="64126" spans="17:17" x14ac:dyDescent="0.25">
      <c r="Q64126" s="8"/>
    </row>
    <row r="64127" spans="17:17" x14ac:dyDescent="0.25">
      <c r="Q64127" s="8"/>
    </row>
    <row r="64128" spans="17:17" x14ac:dyDescent="0.25">
      <c r="Q64128" s="8"/>
    </row>
    <row r="64129" spans="17:17" x14ac:dyDescent="0.25">
      <c r="Q64129" s="8"/>
    </row>
    <row r="64130" spans="17:17" x14ac:dyDescent="0.25">
      <c r="Q64130" s="8"/>
    </row>
    <row r="64131" spans="17:17" x14ac:dyDescent="0.25">
      <c r="Q64131" s="8"/>
    </row>
    <row r="64132" spans="17:17" x14ac:dyDescent="0.25">
      <c r="Q64132" s="8"/>
    </row>
    <row r="64133" spans="17:17" x14ac:dyDescent="0.25">
      <c r="Q64133" s="8"/>
    </row>
    <row r="64134" spans="17:17" x14ac:dyDescent="0.25">
      <c r="Q64134" s="8"/>
    </row>
    <row r="64135" spans="17:17" x14ac:dyDescent="0.25">
      <c r="Q64135" s="8"/>
    </row>
    <row r="64136" spans="17:17" x14ac:dyDescent="0.25">
      <c r="Q64136" s="8"/>
    </row>
    <row r="64137" spans="17:17" x14ac:dyDescent="0.25">
      <c r="Q64137" s="8"/>
    </row>
    <row r="64138" spans="17:17" x14ac:dyDescent="0.25">
      <c r="Q64138" s="8"/>
    </row>
    <row r="64139" spans="17:17" x14ac:dyDescent="0.25">
      <c r="Q64139" s="8"/>
    </row>
    <row r="64140" spans="17:17" x14ac:dyDescent="0.25">
      <c r="Q64140" s="8"/>
    </row>
    <row r="64141" spans="17:17" x14ac:dyDescent="0.25">
      <c r="Q64141" s="8"/>
    </row>
    <row r="64142" spans="17:17" x14ac:dyDescent="0.25">
      <c r="Q64142" s="8"/>
    </row>
    <row r="64143" spans="17:17" x14ac:dyDescent="0.25">
      <c r="Q64143" s="8"/>
    </row>
    <row r="64144" spans="17:17" x14ac:dyDescent="0.25">
      <c r="Q64144" s="8"/>
    </row>
    <row r="64145" spans="17:17" x14ac:dyDescent="0.25">
      <c r="Q64145" s="8"/>
    </row>
    <row r="64146" spans="17:17" x14ac:dyDescent="0.25">
      <c r="Q64146" s="8"/>
    </row>
    <row r="64147" spans="17:17" x14ac:dyDescent="0.25">
      <c r="Q64147" s="8"/>
    </row>
    <row r="64148" spans="17:17" x14ac:dyDescent="0.25">
      <c r="Q64148" s="8"/>
    </row>
    <row r="64149" spans="17:17" x14ac:dyDescent="0.25">
      <c r="Q64149" s="8"/>
    </row>
    <row r="64150" spans="17:17" x14ac:dyDescent="0.25">
      <c r="Q64150" s="8"/>
    </row>
    <row r="64151" spans="17:17" x14ac:dyDescent="0.25">
      <c r="Q64151" s="8"/>
    </row>
    <row r="64152" spans="17:17" x14ac:dyDescent="0.25">
      <c r="Q64152" s="8"/>
    </row>
    <row r="64153" spans="17:17" x14ac:dyDescent="0.25">
      <c r="Q64153" s="8"/>
    </row>
    <row r="64154" spans="17:17" x14ac:dyDescent="0.25">
      <c r="Q64154" s="8"/>
    </row>
    <row r="64155" spans="17:17" x14ac:dyDescent="0.25">
      <c r="Q64155" s="8"/>
    </row>
    <row r="64156" spans="17:17" x14ac:dyDescent="0.25">
      <c r="Q64156" s="8"/>
    </row>
    <row r="64157" spans="17:17" x14ac:dyDescent="0.25">
      <c r="Q64157" s="8"/>
    </row>
    <row r="64158" spans="17:17" x14ac:dyDescent="0.25">
      <c r="Q64158" s="8"/>
    </row>
    <row r="64159" spans="17:17" x14ac:dyDescent="0.25">
      <c r="Q64159" s="8"/>
    </row>
    <row r="64160" spans="17:17" x14ac:dyDescent="0.25">
      <c r="Q64160" s="8"/>
    </row>
    <row r="64161" spans="17:17" x14ac:dyDescent="0.25">
      <c r="Q64161" s="8"/>
    </row>
    <row r="64162" spans="17:17" x14ac:dyDescent="0.25">
      <c r="Q64162" s="8"/>
    </row>
    <row r="64163" spans="17:17" x14ac:dyDescent="0.25">
      <c r="Q64163" s="8"/>
    </row>
    <row r="64164" spans="17:17" x14ac:dyDescent="0.25">
      <c r="Q64164" s="8"/>
    </row>
    <row r="64165" spans="17:17" x14ac:dyDescent="0.25">
      <c r="Q64165" s="8"/>
    </row>
    <row r="64166" spans="17:17" x14ac:dyDescent="0.25">
      <c r="Q64166" s="8"/>
    </row>
    <row r="64167" spans="17:17" x14ac:dyDescent="0.25">
      <c r="Q64167" s="8"/>
    </row>
    <row r="64168" spans="17:17" x14ac:dyDescent="0.25">
      <c r="Q64168" s="8"/>
    </row>
    <row r="64169" spans="17:17" x14ac:dyDescent="0.25">
      <c r="Q64169" s="8"/>
    </row>
    <row r="64170" spans="17:17" x14ac:dyDescent="0.25">
      <c r="Q64170" s="8"/>
    </row>
    <row r="64171" spans="17:17" x14ac:dyDescent="0.25">
      <c r="Q64171" s="8"/>
    </row>
    <row r="64172" spans="17:17" x14ac:dyDescent="0.25">
      <c r="Q64172" s="8"/>
    </row>
    <row r="64173" spans="17:17" x14ac:dyDescent="0.25">
      <c r="Q64173" s="8"/>
    </row>
    <row r="64174" spans="17:17" x14ac:dyDescent="0.25">
      <c r="Q64174" s="8"/>
    </row>
    <row r="64175" spans="17:17" x14ac:dyDescent="0.25">
      <c r="Q64175" s="8"/>
    </row>
    <row r="64176" spans="17:17" x14ac:dyDescent="0.25">
      <c r="Q64176" s="8"/>
    </row>
    <row r="64177" spans="17:17" x14ac:dyDescent="0.25">
      <c r="Q64177" s="8"/>
    </row>
    <row r="64178" spans="17:17" x14ac:dyDescent="0.25">
      <c r="Q64178" s="8"/>
    </row>
    <row r="64179" spans="17:17" x14ac:dyDescent="0.25">
      <c r="Q64179" s="8"/>
    </row>
    <row r="64180" spans="17:17" x14ac:dyDescent="0.25">
      <c r="Q64180" s="8"/>
    </row>
    <row r="64181" spans="17:17" x14ac:dyDescent="0.25">
      <c r="Q64181" s="8"/>
    </row>
    <row r="64182" spans="17:17" x14ac:dyDescent="0.25">
      <c r="Q64182" s="8"/>
    </row>
    <row r="64183" spans="17:17" x14ac:dyDescent="0.25">
      <c r="Q64183" s="8"/>
    </row>
    <row r="64184" spans="17:17" x14ac:dyDescent="0.25">
      <c r="Q64184" s="8"/>
    </row>
    <row r="64185" spans="17:17" x14ac:dyDescent="0.25">
      <c r="Q64185" s="8"/>
    </row>
    <row r="64186" spans="17:17" x14ac:dyDescent="0.25">
      <c r="Q64186" s="8"/>
    </row>
    <row r="64187" spans="17:17" x14ac:dyDescent="0.25">
      <c r="Q64187" s="8"/>
    </row>
    <row r="64188" spans="17:17" x14ac:dyDescent="0.25">
      <c r="Q64188" s="8"/>
    </row>
    <row r="64189" spans="17:17" x14ac:dyDescent="0.25">
      <c r="Q64189" s="8"/>
    </row>
    <row r="64190" spans="17:17" x14ac:dyDescent="0.25">
      <c r="Q64190" s="8"/>
    </row>
    <row r="64191" spans="17:17" x14ac:dyDescent="0.25">
      <c r="Q64191" s="8"/>
    </row>
    <row r="64192" spans="17:17" x14ac:dyDescent="0.25">
      <c r="Q64192" s="8"/>
    </row>
    <row r="64193" spans="17:17" x14ac:dyDescent="0.25">
      <c r="Q64193" s="8"/>
    </row>
    <row r="64194" spans="17:17" x14ac:dyDescent="0.25">
      <c r="Q64194" s="8"/>
    </row>
    <row r="64195" spans="17:17" x14ac:dyDescent="0.25">
      <c r="Q64195" s="8"/>
    </row>
    <row r="64196" spans="17:17" x14ac:dyDescent="0.25">
      <c r="Q64196" s="8"/>
    </row>
    <row r="64197" spans="17:17" x14ac:dyDescent="0.25">
      <c r="Q64197" s="8"/>
    </row>
    <row r="64198" spans="17:17" x14ac:dyDescent="0.25">
      <c r="Q64198" s="8"/>
    </row>
    <row r="64199" spans="17:17" x14ac:dyDescent="0.25">
      <c r="Q64199" s="8"/>
    </row>
    <row r="64200" spans="17:17" x14ac:dyDescent="0.25">
      <c r="Q64200" s="8"/>
    </row>
    <row r="64201" spans="17:17" x14ac:dyDescent="0.25">
      <c r="Q64201" s="8"/>
    </row>
    <row r="64202" spans="17:17" x14ac:dyDescent="0.25">
      <c r="Q64202" s="8"/>
    </row>
    <row r="64203" spans="17:17" x14ac:dyDescent="0.25">
      <c r="Q64203" s="8"/>
    </row>
    <row r="64204" spans="17:17" x14ac:dyDescent="0.25">
      <c r="Q64204" s="8"/>
    </row>
    <row r="64205" spans="17:17" x14ac:dyDescent="0.25">
      <c r="Q64205" s="8"/>
    </row>
    <row r="64206" spans="17:17" x14ac:dyDescent="0.25">
      <c r="Q64206" s="8"/>
    </row>
    <row r="64207" spans="17:17" x14ac:dyDescent="0.25">
      <c r="Q64207" s="8"/>
    </row>
    <row r="64208" spans="17:17" x14ac:dyDescent="0.25">
      <c r="Q64208" s="8"/>
    </row>
    <row r="64209" spans="17:17" x14ac:dyDescent="0.25">
      <c r="Q64209" s="8"/>
    </row>
    <row r="64210" spans="17:17" x14ac:dyDescent="0.25">
      <c r="Q64210" s="8"/>
    </row>
    <row r="64211" spans="17:17" x14ac:dyDescent="0.25">
      <c r="Q64211" s="8"/>
    </row>
    <row r="64212" spans="17:17" x14ac:dyDescent="0.25">
      <c r="Q64212" s="8"/>
    </row>
    <row r="64213" spans="17:17" x14ac:dyDescent="0.25">
      <c r="Q64213" s="8"/>
    </row>
    <row r="64214" spans="17:17" x14ac:dyDescent="0.25">
      <c r="Q64214" s="8"/>
    </row>
    <row r="64215" spans="17:17" x14ac:dyDescent="0.25">
      <c r="Q64215" s="8"/>
    </row>
    <row r="64216" spans="17:17" x14ac:dyDescent="0.25">
      <c r="Q64216" s="8"/>
    </row>
    <row r="64217" spans="17:17" x14ac:dyDescent="0.25">
      <c r="Q64217" s="8"/>
    </row>
    <row r="64218" spans="17:17" x14ac:dyDescent="0.25">
      <c r="Q64218" s="8"/>
    </row>
    <row r="64219" spans="17:17" x14ac:dyDescent="0.25">
      <c r="Q64219" s="8"/>
    </row>
    <row r="64220" spans="17:17" x14ac:dyDescent="0.25">
      <c r="Q64220" s="8"/>
    </row>
    <row r="64221" spans="17:17" x14ac:dyDescent="0.25">
      <c r="Q64221" s="8"/>
    </row>
    <row r="64222" spans="17:17" x14ac:dyDescent="0.25">
      <c r="Q64222" s="8"/>
    </row>
    <row r="64223" spans="17:17" x14ac:dyDescent="0.25">
      <c r="Q64223" s="8"/>
    </row>
    <row r="64224" spans="17:17" x14ac:dyDescent="0.25">
      <c r="Q64224" s="8"/>
    </row>
    <row r="64225" spans="17:17" x14ac:dyDescent="0.25">
      <c r="Q64225" s="8"/>
    </row>
    <row r="64226" spans="17:17" x14ac:dyDescent="0.25">
      <c r="Q64226" s="8"/>
    </row>
    <row r="64227" spans="17:17" x14ac:dyDescent="0.25">
      <c r="Q64227" s="8"/>
    </row>
    <row r="64228" spans="17:17" x14ac:dyDescent="0.25">
      <c r="Q64228" s="8"/>
    </row>
    <row r="64229" spans="17:17" x14ac:dyDescent="0.25">
      <c r="Q64229" s="8"/>
    </row>
    <row r="64230" spans="17:17" x14ac:dyDescent="0.25">
      <c r="Q64230" s="8"/>
    </row>
    <row r="64231" spans="17:17" x14ac:dyDescent="0.25">
      <c r="Q64231" s="8"/>
    </row>
    <row r="64232" spans="17:17" x14ac:dyDescent="0.25">
      <c r="Q64232" s="8"/>
    </row>
    <row r="64233" spans="17:17" x14ac:dyDescent="0.25">
      <c r="Q64233" s="8"/>
    </row>
    <row r="64234" spans="17:17" x14ac:dyDescent="0.25">
      <c r="Q64234" s="8"/>
    </row>
    <row r="64235" spans="17:17" x14ac:dyDescent="0.25">
      <c r="Q64235" s="8"/>
    </row>
    <row r="64236" spans="17:17" x14ac:dyDescent="0.25">
      <c r="Q64236" s="8"/>
    </row>
    <row r="64237" spans="17:17" x14ac:dyDescent="0.25">
      <c r="Q64237" s="8"/>
    </row>
    <row r="64238" spans="17:17" x14ac:dyDescent="0.25">
      <c r="Q64238" s="8"/>
    </row>
    <row r="64239" spans="17:17" x14ac:dyDescent="0.25">
      <c r="Q64239" s="8"/>
    </row>
    <row r="64240" spans="17:17" x14ac:dyDescent="0.25">
      <c r="Q64240" s="8"/>
    </row>
    <row r="64241" spans="17:17" x14ac:dyDescent="0.25">
      <c r="Q64241" s="8"/>
    </row>
    <row r="64242" spans="17:17" x14ac:dyDescent="0.25">
      <c r="Q64242" s="8"/>
    </row>
    <row r="64243" spans="17:17" x14ac:dyDescent="0.25">
      <c r="Q64243" s="8"/>
    </row>
    <row r="64244" spans="17:17" x14ac:dyDescent="0.25">
      <c r="Q64244" s="8"/>
    </row>
    <row r="64245" spans="17:17" x14ac:dyDescent="0.25">
      <c r="Q64245" s="8"/>
    </row>
    <row r="64246" spans="17:17" x14ac:dyDescent="0.25">
      <c r="Q64246" s="8"/>
    </row>
    <row r="64247" spans="17:17" x14ac:dyDescent="0.25">
      <c r="Q64247" s="8"/>
    </row>
    <row r="64248" spans="17:17" x14ac:dyDescent="0.25">
      <c r="Q64248" s="8"/>
    </row>
    <row r="64249" spans="17:17" x14ac:dyDescent="0.25">
      <c r="Q64249" s="8"/>
    </row>
    <row r="64250" spans="17:17" x14ac:dyDescent="0.25">
      <c r="Q64250" s="8"/>
    </row>
    <row r="64251" spans="17:17" x14ac:dyDescent="0.25">
      <c r="Q64251" s="8"/>
    </row>
    <row r="64252" spans="17:17" x14ac:dyDescent="0.25">
      <c r="Q64252" s="8"/>
    </row>
    <row r="64253" spans="17:17" x14ac:dyDescent="0.25">
      <c r="Q64253" s="8"/>
    </row>
    <row r="64254" spans="17:17" x14ac:dyDescent="0.25">
      <c r="Q64254" s="8"/>
    </row>
    <row r="64255" spans="17:17" x14ac:dyDescent="0.25">
      <c r="Q64255" s="8"/>
    </row>
    <row r="64256" spans="17:17" x14ac:dyDescent="0.25">
      <c r="Q64256" s="8"/>
    </row>
    <row r="64257" spans="17:17" x14ac:dyDescent="0.25">
      <c r="Q64257" s="8"/>
    </row>
    <row r="64258" spans="17:17" x14ac:dyDescent="0.25">
      <c r="Q64258" s="8"/>
    </row>
    <row r="64259" spans="17:17" x14ac:dyDescent="0.25">
      <c r="Q64259" s="8"/>
    </row>
    <row r="64260" spans="17:17" x14ac:dyDescent="0.25">
      <c r="Q64260" s="8"/>
    </row>
    <row r="64261" spans="17:17" x14ac:dyDescent="0.25">
      <c r="Q64261" s="8"/>
    </row>
    <row r="64262" spans="17:17" x14ac:dyDescent="0.25">
      <c r="Q64262" s="8"/>
    </row>
    <row r="64263" spans="17:17" x14ac:dyDescent="0.25">
      <c r="Q64263" s="8"/>
    </row>
    <row r="64264" spans="17:17" x14ac:dyDescent="0.25">
      <c r="Q64264" s="8"/>
    </row>
    <row r="64265" spans="17:17" x14ac:dyDescent="0.25">
      <c r="Q64265" s="8"/>
    </row>
    <row r="64266" spans="17:17" x14ac:dyDescent="0.25">
      <c r="Q64266" s="8"/>
    </row>
    <row r="64267" spans="17:17" x14ac:dyDescent="0.25">
      <c r="Q64267" s="8"/>
    </row>
    <row r="64268" spans="17:17" x14ac:dyDescent="0.25">
      <c r="Q64268" s="8"/>
    </row>
    <row r="64269" spans="17:17" x14ac:dyDescent="0.25">
      <c r="Q64269" s="8"/>
    </row>
    <row r="64270" spans="17:17" x14ac:dyDescent="0.25">
      <c r="Q64270" s="8"/>
    </row>
    <row r="64271" spans="17:17" x14ac:dyDescent="0.25">
      <c r="Q64271" s="8"/>
    </row>
    <row r="64272" spans="17:17" x14ac:dyDescent="0.25">
      <c r="Q64272" s="8"/>
    </row>
    <row r="64273" spans="17:17" x14ac:dyDescent="0.25">
      <c r="Q64273" s="8"/>
    </row>
    <row r="64274" spans="17:17" x14ac:dyDescent="0.25">
      <c r="Q64274" s="8"/>
    </row>
    <row r="64275" spans="17:17" x14ac:dyDescent="0.25">
      <c r="Q64275" s="8"/>
    </row>
    <row r="64276" spans="17:17" x14ac:dyDescent="0.25">
      <c r="Q64276" s="8"/>
    </row>
    <row r="64277" spans="17:17" x14ac:dyDescent="0.25">
      <c r="Q64277" s="8"/>
    </row>
    <row r="64278" spans="17:17" x14ac:dyDescent="0.25">
      <c r="Q64278" s="8"/>
    </row>
    <row r="64279" spans="17:17" x14ac:dyDescent="0.25">
      <c r="Q64279" s="8"/>
    </row>
    <row r="64280" spans="17:17" x14ac:dyDescent="0.25">
      <c r="Q64280" s="8"/>
    </row>
    <row r="64281" spans="17:17" x14ac:dyDescent="0.25">
      <c r="Q64281" s="8"/>
    </row>
    <row r="64282" spans="17:17" x14ac:dyDescent="0.25">
      <c r="Q64282" s="8"/>
    </row>
    <row r="64283" spans="17:17" x14ac:dyDescent="0.25">
      <c r="Q64283" s="8"/>
    </row>
    <row r="64284" spans="17:17" x14ac:dyDescent="0.25">
      <c r="Q64284" s="8"/>
    </row>
    <row r="64285" spans="17:17" x14ac:dyDescent="0.25">
      <c r="Q64285" s="8"/>
    </row>
    <row r="64286" spans="17:17" x14ac:dyDescent="0.25">
      <c r="Q64286" s="8"/>
    </row>
    <row r="64287" spans="17:17" x14ac:dyDescent="0.25">
      <c r="Q64287" s="8"/>
    </row>
    <row r="64288" spans="17:17" x14ac:dyDescent="0.25">
      <c r="Q64288" s="8"/>
    </row>
    <row r="64289" spans="17:17" x14ac:dyDescent="0.25">
      <c r="Q64289" s="8"/>
    </row>
    <row r="64290" spans="17:17" x14ac:dyDescent="0.25">
      <c r="Q64290" s="8"/>
    </row>
    <row r="64291" spans="17:17" x14ac:dyDescent="0.25">
      <c r="Q64291" s="8"/>
    </row>
    <row r="64292" spans="17:17" x14ac:dyDescent="0.25">
      <c r="Q64292" s="8"/>
    </row>
    <row r="64293" spans="17:17" x14ac:dyDescent="0.25">
      <c r="Q64293" s="8"/>
    </row>
    <row r="64294" spans="17:17" x14ac:dyDescent="0.25">
      <c r="Q64294" s="8"/>
    </row>
    <row r="64295" spans="17:17" x14ac:dyDescent="0.25">
      <c r="Q64295" s="8"/>
    </row>
    <row r="64296" spans="17:17" x14ac:dyDescent="0.25">
      <c r="Q64296" s="8"/>
    </row>
    <row r="64297" spans="17:17" x14ac:dyDescent="0.25">
      <c r="Q64297" s="8"/>
    </row>
    <row r="64298" spans="17:17" x14ac:dyDescent="0.25">
      <c r="Q64298" s="8"/>
    </row>
    <row r="64299" spans="17:17" x14ac:dyDescent="0.25">
      <c r="Q64299" s="8"/>
    </row>
    <row r="64300" spans="17:17" x14ac:dyDescent="0.25">
      <c r="Q64300" s="8"/>
    </row>
    <row r="64301" spans="17:17" x14ac:dyDescent="0.25">
      <c r="Q64301" s="8"/>
    </row>
    <row r="64302" spans="17:17" x14ac:dyDescent="0.25">
      <c r="Q64302" s="8"/>
    </row>
    <row r="64303" spans="17:17" x14ac:dyDescent="0.25">
      <c r="Q64303" s="8"/>
    </row>
    <row r="64304" spans="17:17" x14ac:dyDescent="0.25">
      <c r="Q64304" s="8"/>
    </row>
    <row r="64305" spans="17:17" x14ac:dyDescent="0.25">
      <c r="Q64305" s="8"/>
    </row>
    <row r="64306" spans="17:17" x14ac:dyDescent="0.25">
      <c r="Q64306" s="8"/>
    </row>
    <row r="64307" spans="17:17" x14ac:dyDescent="0.25">
      <c r="Q64307" s="8"/>
    </row>
    <row r="64308" spans="17:17" x14ac:dyDescent="0.25">
      <c r="Q64308" s="8"/>
    </row>
    <row r="64309" spans="17:17" x14ac:dyDescent="0.25">
      <c r="Q64309" s="8"/>
    </row>
    <row r="64310" spans="17:17" x14ac:dyDescent="0.25">
      <c r="Q64310" s="8"/>
    </row>
    <row r="64311" spans="17:17" x14ac:dyDescent="0.25">
      <c r="Q64311" s="8"/>
    </row>
    <row r="64312" spans="17:17" x14ac:dyDescent="0.25">
      <c r="Q64312" s="8"/>
    </row>
    <row r="64313" spans="17:17" x14ac:dyDescent="0.25">
      <c r="Q64313" s="8"/>
    </row>
    <row r="64314" spans="17:17" x14ac:dyDescent="0.25">
      <c r="Q64314" s="8"/>
    </row>
    <row r="64315" spans="17:17" x14ac:dyDescent="0.25">
      <c r="Q64315" s="8"/>
    </row>
    <row r="64316" spans="17:17" x14ac:dyDescent="0.25">
      <c r="Q64316" s="8"/>
    </row>
    <row r="64317" spans="17:17" x14ac:dyDescent="0.25">
      <c r="Q64317" s="8"/>
    </row>
    <row r="64318" spans="17:17" x14ac:dyDescent="0.25">
      <c r="Q64318" s="8"/>
    </row>
    <row r="64319" spans="17:17" x14ac:dyDescent="0.25">
      <c r="Q64319" s="8"/>
    </row>
    <row r="64320" spans="17:17" x14ac:dyDescent="0.25">
      <c r="Q64320" s="8"/>
    </row>
    <row r="64321" spans="17:17" x14ac:dyDescent="0.25">
      <c r="Q64321" s="8"/>
    </row>
    <row r="64322" spans="17:17" x14ac:dyDescent="0.25">
      <c r="Q64322" s="8"/>
    </row>
    <row r="64323" spans="17:17" x14ac:dyDescent="0.25">
      <c r="Q64323" s="8"/>
    </row>
    <row r="64324" spans="17:17" x14ac:dyDescent="0.25">
      <c r="Q64324" s="8"/>
    </row>
    <row r="64325" spans="17:17" x14ac:dyDescent="0.25">
      <c r="Q64325" s="8"/>
    </row>
    <row r="64326" spans="17:17" x14ac:dyDescent="0.25">
      <c r="Q64326" s="8"/>
    </row>
    <row r="64327" spans="17:17" x14ac:dyDescent="0.25">
      <c r="Q64327" s="8"/>
    </row>
    <row r="64328" spans="17:17" x14ac:dyDescent="0.25">
      <c r="Q64328" s="8"/>
    </row>
    <row r="64329" spans="17:17" x14ac:dyDescent="0.25">
      <c r="Q64329" s="8"/>
    </row>
    <row r="64330" spans="17:17" x14ac:dyDescent="0.25">
      <c r="Q64330" s="8"/>
    </row>
    <row r="64331" spans="17:17" x14ac:dyDescent="0.25">
      <c r="Q64331" s="8"/>
    </row>
    <row r="64332" spans="17:17" x14ac:dyDescent="0.25">
      <c r="Q64332" s="8"/>
    </row>
    <row r="64333" spans="17:17" x14ac:dyDescent="0.25">
      <c r="Q64333" s="8"/>
    </row>
    <row r="64334" spans="17:17" x14ac:dyDescent="0.25">
      <c r="Q64334" s="8"/>
    </row>
    <row r="64335" spans="17:17" x14ac:dyDescent="0.25">
      <c r="Q64335" s="8"/>
    </row>
    <row r="64336" spans="17:17" x14ac:dyDescent="0.25">
      <c r="Q64336" s="8"/>
    </row>
    <row r="64337" spans="17:17" x14ac:dyDescent="0.25">
      <c r="Q64337" s="8"/>
    </row>
    <row r="64338" spans="17:17" x14ac:dyDescent="0.25">
      <c r="Q64338" s="8"/>
    </row>
    <row r="64339" spans="17:17" x14ac:dyDescent="0.25">
      <c r="Q64339" s="8"/>
    </row>
    <row r="64340" spans="17:17" x14ac:dyDescent="0.25">
      <c r="Q64340" s="8"/>
    </row>
    <row r="64341" spans="17:17" x14ac:dyDescent="0.25">
      <c r="Q64341" s="8"/>
    </row>
    <row r="64342" spans="17:17" x14ac:dyDescent="0.25">
      <c r="Q64342" s="8"/>
    </row>
    <row r="64343" spans="17:17" x14ac:dyDescent="0.25">
      <c r="Q64343" s="8"/>
    </row>
    <row r="64344" spans="17:17" x14ac:dyDescent="0.25">
      <c r="Q64344" s="8"/>
    </row>
    <row r="64345" spans="17:17" x14ac:dyDescent="0.25">
      <c r="Q64345" s="8"/>
    </row>
    <row r="64346" spans="17:17" x14ac:dyDescent="0.25">
      <c r="Q64346" s="8"/>
    </row>
    <row r="64347" spans="17:17" x14ac:dyDescent="0.25">
      <c r="Q64347" s="8"/>
    </row>
    <row r="64348" spans="17:17" x14ac:dyDescent="0.25">
      <c r="Q64348" s="8"/>
    </row>
    <row r="64349" spans="17:17" x14ac:dyDescent="0.25">
      <c r="Q64349" s="8"/>
    </row>
    <row r="64350" spans="17:17" x14ac:dyDescent="0.25">
      <c r="Q64350" s="8"/>
    </row>
    <row r="64351" spans="17:17" x14ac:dyDescent="0.25">
      <c r="Q64351" s="8"/>
    </row>
    <row r="64352" spans="17:17" x14ac:dyDescent="0.25">
      <c r="Q64352" s="8"/>
    </row>
    <row r="64353" spans="17:17" x14ac:dyDescent="0.25">
      <c r="Q64353" s="8"/>
    </row>
    <row r="64354" spans="17:17" x14ac:dyDescent="0.25">
      <c r="Q64354" s="8"/>
    </row>
    <row r="64355" spans="17:17" x14ac:dyDescent="0.25">
      <c r="Q64355" s="8"/>
    </row>
    <row r="64356" spans="17:17" x14ac:dyDescent="0.25">
      <c r="Q64356" s="8"/>
    </row>
    <row r="64357" spans="17:17" x14ac:dyDescent="0.25">
      <c r="Q64357" s="8"/>
    </row>
    <row r="64358" spans="17:17" x14ac:dyDescent="0.25">
      <c r="Q64358" s="8"/>
    </row>
    <row r="64359" spans="17:17" x14ac:dyDescent="0.25">
      <c r="Q64359" s="8"/>
    </row>
    <row r="64360" spans="17:17" x14ac:dyDescent="0.25">
      <c r="Q64360" s="8"/>
    </row>
    <row r="64361" spans="17:17" x14ac:dyDescent="0.25">
      <c r="Q64361" s="8"/>
    </row>
    <row r="64362" spans="17:17" x14ac:dyDescent="0.25">
      <c r="Q64362" s="8"/>
    </row>
    <row r="64363" spans="17:17" x14ac:dyDescent="0.25">
      <c r="Q64363" s="8"/>
    </row>
    <row r="64364" spans="17:17" x14ac:dyDescent="0.25">
      <c r="Q64364" s="8"/>
    </row>
    <row r="64365" spans="17:17" x14ac:dyDescent="0.25">
      <c r="Q64365" s="8"/>
    </row>
    <row r="64366" spans="17:17" x14ac:dyDescent="0.25">
      <c r="Q64366" s="8"/>
    </row>
    <row r="64367" spans="17:17" x14ac:dyDescent="0.25">
      <c r="Q64367" s="8"/>
    </row>
    <row r="64368" spans="17:17" x14ac:dyDescent="0.25">
      <c r="Q64368" s="8"/>
    </row>
    <row r="64369" spans="17:17" x14ac:dyDescent="0.25">
      <c r="Q64369" s="8"/>
    </row>
    <row r="64370" spans="17:17" x14ac:dyDescent="0.25">
      <c r="Q64370" s="8"/>
    </row>
    <row r="64371" spans="17:17" x14ac:dyDescent="0.25">
      <c r="Q64371" s="8"/>
    </row>
    <row r="64372" spans="17:17" x14ac:dyDescent="0.25">
      <c r="Q64372" s="8"/>
    </row>
    <row r="64373" spans="17:17" x14ac:dyDescent="0.25">
      <c r="Q64373" s="8"/>
    </row>
    <row r="64374" spans="17:17" x14ac:dyDescent="0.25">
      <c r="Q64374" s="8"/>
    </row>
    <row r="64375" spans="17:17" x14ac:dyDescent="0.25">
      <c r="Q64375" s="8"/>
    </row>
    <row r="64376" spans="17:17" x14ac:dyDescent="0.25">
      <c r="Q64376" s="8"/>
    </row>
    <row r="64377" spans="17:17" x14ac:dyDescent="0.25">
      <c r="Q64377" s="8"/>
    </row>
    <row r="64378" spans="17:17" x14ac:dyDescent="0.25">
      <c r="Q64378" s="8"/>
    </row>
    <row r="64379" spans="17:17" x14ac:dyDescent="0.25">
      <c r="Q64379" s="8"/>
    </row>
    <row r="64380" spans="17:17" x14ac:dyDescent="0.25">
      <c r="Q64380" s="8"/>
    </row>
    <row r="64381" spans="17:17" x14ac:dyDescent="0.25">
      <c r="Q64381" s="8"/>
    </row>
    <row r="64382" spans="17:17" x14ac:dyDescent="0.25">
      <c r="Q64382" s="8"/>
    </row>
    <row r="64383" spans="17:17" x14ac:dyDescent="0.25">
      <c r="Q64383" s="8"/>
    </row>
    <row r="64384" spans="17:17" x14ac:dyDescent="0.25">
      <c r="Q64384" s="8"/>
    </row>
    <row r="64385" spans="17:17" x14ac:dyDescent="0.25">
      <c r="Q64385" s="8"/>
    </row>
    <row r="64386" spans="17:17" x14ac:dyDescent="0.25">
      <c r="Q64386" s="8"/>
    </row>
    <row r="64387" spans="17:17" x14ac:dyDescent="0.25">
      <c r="Q64387" s="8"/>
    </row>
    <row r="64388" spans="17:17" x14ac:dyDescent="0.25">
      <c r="Q64388" s="8"/>
    </row>
    <row r="64389" spans="17:17" x14ac:dyDescent="0.25">
      <c r="Q64389" s="8"/>
    </row>
    <row r="64390" spans="17:17" x14ac:dyDescent="0.25">
      <c r="Q64390" s="8"/>
    </row>
    <row r="64391" spans="17:17" x14ac:dyDescent="0.25">
      <c r="Q64391" s="8"/>
    </row>
    <row r="64392" spans="17:17" x14ac:dyDescent="0.25">
      <c r="Q64392" s="8"/>
    </row>
    <row r="64393" spans="17:17" x14ac:dyDescent="0.25">
      <c r="Q64393" s="8"/>
    </row>
    <row r="64394" spans="17:17" x14ac:dyDescent="0.25">
      <c r="Q64394" s="8"/>
    </row>
    <row r="64395" spans="17:17" x14ac:dyDescent="0.25">
      <c r="Q64395" s="8"/>
    </row>
    <row r="64396" spans="17:17" x14ac:dyDescent="0.25">
      <c r="Q64396" s="8"/>
    </row>
    <row r="64397" spans="17:17" x14ac:dyDescent="0.25">
      <c r="Q64397" s="8"/>
    </row>
    <row r="64398" spans="17:17" x14ac:dyDescent="0.25">
      <c r="Q64398" s="8"/>
    </row>
    <row r="64399" spans="17:17" x14ac:dyDescent="0.25">
      <c r="Q64399" s="8"/>
    </row>
    <row r="64400" spans="17:17" x14ac:dyDescent="0.25">
      <c r="Q64400" s="8"/>
    </row>
    <row r="64401" spans="17:17" x14ac:dyDescent="0.25">
      <c r="Q64401" s="8"/>
    </row>
    <row r="64402" spans="17:17" x14ac:dyDescent="0.25">
      <c r="Q64402" s="8"/>
    </row>
    <row r="64403" spans="17:17" x14ac:dyDescent="0.25">
      <c r="Q64403" s="8"/>
    </row>
    <row r="64404" spans="17:17" x14ac:dyDescent="0.25">
      <c r="Q64404" s="8"/>
    </row>
    <row r="64405" spans="17:17" x14ac:dyDescent="0.25">
      <c r="Q64405" s="8"/>
    </row>
    <row r="64406" spans="17:17" x14ac:dyDescent="0.25">
      <c r="Q64406" s="8"/>
    </row>
    <row r="64407" spans="17:17" x14ac:dyDescent="0.25">
      <c r="Q64407" s="8"/>
    </row>
    <row r="64408" spans="17:17" x14ac:dyDescent="0.25">
      <c r="Q64408" s="8"/>
    </row>
    <row r="64409" spans="17:17" x14ac:dyDescent="0.25">
      <c r="Q64409" s="8"/>
    </row>
    <row r="64410" spans="17:17" x14ac:dyDescent="0.25">
      <c r="Q64410" s="8"/>
    </row>
    <row r="64411" spans="17:17" x14ac:dyDescent="0.25">
      <c r="Q64411" s="8"/>
    </row>
    <row r="64412" spans="17:17" x14ac:dyDescent="0.25">
      <c r="Q64412" s="8"/>
    </row>
    <row r="64413" spans="17:17" x14ac:dyDescent="0.25">
      <c r="Q64413" s="8"/>
    </row>
    <row r="64414" spans="17:17" x14ac:dyDescent="0.25">
      <c r="Q64414" s="8"/>
    </row>
    <row r="64415" spans="17:17" x14ac:dyDescent="0.25">
      <c r="Q64415" s="8"/>
    </row>
    <row r="64416" spans="17:17" x14ac:dyDescent="0.25">
      <c r="Q64416" s="8"/>
    </row>
    <row r="64417" spans="17:17" x14ac:dyDescent="0.25">
      <c r="Q64417" s="8"/>
    </row>
    <row r="64418" spans="17:17" x14ac:dyDescent="0.25">
      <c r="Q64418" s="8"/>
    </row>
    <row r="64419" spans="17:17" x14ac:dyDescent="0.25">
      <c r="Q64419" s="8"/>
    </row>
    <row r="64420" spans="17:17" x14ac:dyDescent="0.25">
      <c r="Q64420" s="8"/>
    </row>
    <row r="64421" spans="17:17" x14ac:dyDescent="0.25">
      <c r="Q64421" s="8"/>
    </row>
    <row r="64422" spans="17:17" x14ac:dyDescent="0.25">
      <c r="Q64422" s="8"/>
    </row>
    <row r="64423" spans="17:17" x14ac:dyDescent="0.25">
      <c r="Q64423" s="8"/>
    </row>
    <row r="64424" spans="17:17" x14ac:dyDescent="0.25">
      <c r="Q64424" s="8"/>
    </row>
    <row r="64425" spans="17:17" x14ac:dyDescent="0.25">
      <c r="Q64425" s="8"/>
    </row>
    <row r="64426" spans="17:17" x14ac:dyDescent="0.25">
      <c r="Q64426" s="8"/>
    </row>
    <row r="64427" spans="17:17" x14ac:dyDescent="0.25">
      <c r="Q64427" s="8"/>
    </row>
    <row r="64428" spans="17:17" x14ac:dyDescent="0.25">
      <c r="Q64428" s="8"/>
    </row>
    <row r="64429" spans="17:17" x14ac:dyDescent="0.25">
      <c r="Q64429" s="8"/>
    </row>
    <row r="64430" spans="17:17" x14ac:dyDescent="0.25">
      <c r="Q64430" s="8"/>
    </row>
    <row r="64431" spans="17:17" x14ac:dyDescent="0.25">
      <c r="Q64431" s="8"/>
    </row>
    <row r="64432" spans="17:17" x14ac:dyDescent="0.25">
      <c r="Q64432" s="8"/>
    </row>
    <row r="64433" spans="17:17" x14ac:dyDescent="0.25">
      <c r="Q64433" s="8"/>
    </row>
    <row r="64434" spans="17:17" x14ac:dyDescent="0.25">
      <c r="Q64434" s="8"/>
    </row>
    <row r="64435" spans="17:17" x14ac:dyDescent="0.25">
      <c r="Q64435" s="8"/>
    </row>
    <row r="64436" spans="17:17" x14ac:dyDescent="0.25">
      <c r="Q64436" s="8"/>
    </row>
    <row r="64437" spans="17:17" x14ac:dyDescent="0.25">
      <c r="Q64437" s="8"/>
    </row>
    <row r="64438" spans="17:17" x14ac:dyDescent="0.25">
      <c r="Q64438" s="8"/>
    </row>
    <row r="64439" spans="17:17" x14ac:dyDescent="0.25">
      <c r="Q64439" s="8"/>
    </row>
    <row r="64440" spans="17:17" x14ac:dyDescent="0.25">
      <c r="Q64440" s="8"/>
    </row>
    <row r="64441" spans="17:17" x14ac:dyDescent="0.25">
      <c r="Q64441" s="8"/>
    </row>
    <row r="64442" spans="17:17" x14ac:dyDescent="0.25">
      <c r="Q64442" s="8"/>
    </row>
    <row r="64443" spans="17:17" x14ac:dyDescent="0.25">
      <c r="Q64443" s="8"/>
    </row>
    <row r="64444" spans="17:17" x14ac:dyDescent="0.25">
      <c r="Q64444" s="8"/>
    </row>
    <row r="64445" spans="17:17" x14ac:dyDescent="0.25">
      <c r="Q64445" s="8"/>
    </row>
    <row r="64446" spans="17:17" x14ac:dyDescent="0.25">
      <c r="Q64446" s="8"/>
    </row>
    <row r="64447" spans="17:17" x14ac:dyDescent="0.25">
      <c r="Q64447" s="8"/>
    </row>
    <row r="64448" spans="17:17" x14ac:dyDescent="0.25">
      <c r="Q64448" s="8"/>
    </row>
    <row r="64449" spans="17:17" x14ac:dyDescent="0.25">
      <c r="Q64449" s="8"/>
    </row>
    <row r="64450" spans="17:17" x14ac:dyDescent="0.25">
      <c r="Q64450" s="8"/>
    </row>
    <row r="64451" spans="17:17" x14ac:dyDescent="0.25">
      <c r="Q64451" s="8"/>
    </row>
    <row r="64452" spans="17:17" x14ac:dyDescent="0.25">
      <c r="Q64452" s="8"/>
    </row>
    <row r="64453" spans="17:17" x14ac:dyDescent="0.25">
      <c r="Q64453" s="8"/>
    </row>
    <row r="64454" spans="17:17" x14ac:dyDescent="0.25">
      <c r="Q64454" s="8"/>
    </row>
    <row r="64455" spans="17:17" x14ac:dyDescent="0.25">
      <c r="Q64455" s="8"/>
    </row>
    <row r="64456" spans="17:17" x14ac:dyDescent="0.25">
      <c r="Q64456" s="8"/>
    </row>
    <row r="64457" spans="17:17" x14ac:dyDescent="0.25">
      <c r="Q64457" s="8"/>
    </row>
    <row r="64458" spans="17:17" x14ac:dyDescent="0.25">
      <c r="Q64458" s="8"/>
    </row>
    <row r="64459" spans="17:17" x14ac:dyDescent="0.25">
      <c r="Q64459" s="8"/>
    </row>
    <row r="64460" spans="17:17" x14ac:dyDescent="0.25">
      <c r="Q64460" s="8"/>
    </row>
    <row r="64461" spans="17:17" x14ac:dyDescent="0.25">
      <c r="Q64461" s="8"/>
    </row>
    <row r="64462" spans="17:17" x14ac:dyDescent="0.25">
      <c r="Q64462" s="8"/>
    </row>
    <row r="64463" spans="17:17" x14ac:dyDescent="0.25">
      <c r="Q64463" s="8"/>
    </row>
    <row r="64464" spans="17:17" x14ac:dyDescent="0.25">
      <c r="Q64464" s="8"/>
    </row>
    <row r="64465" spans="17:17" x14ac:dyDescent="0.25">
      <c r="Q64465" s="8"/>
    </row>
    <row r="64466" spans="17:17" x14ac:dyDescent="0.25">
      <c r="Q64466" s="8"/>
    </row>
    <row r="64467" spans="17:17" x14ac:dyDescent="0.25">
      <c r="Q64467" s="8"/>
    </row>
    <row r="64468" spans="17:17" x14ac:dyDescent="0.25">
      <c r="Q64468" s="8"/>
    </row>
    <row r="64469" spans="17:17" x14ac:dyDescent="0.25">
      <c r="Q64469" s="8"/>
    </row>
    <row r="64470" spans="17:17" x14ac:dyDescent="0.25">
      <c r="Q64470" s="8"/>
    </row>
    <row r="64471" spans="17:17" x14ac:dyDescent="0.25">
      <c r="Q64471" s="8"/>
    </row>
    <row r="64472" spans="17:17" x14ac:dyDescent="0.25">
      <c r="Q64472" s="8"/>
    </row>
    <row r="64473" spans="17:17" x14ac:dyDescent="0.25">
      <c r="Q64473" s="8"/>
    </row>
    <row r="64474" spans="17:17" x14ac:dyDescent="0.25">
      <c r="Q64474" s="8"/>
    </row>
    <row r="64475" spans="17:17" x14ac:dyDescent="0.25">
      <c r="Q64475" s="8"/>
    </row>
    <row r="64476" spans="17:17" x14ac:dyDescent="0.25">
      <c r="Q64476" s="8"/>
    </row>
    <row r="64477" spans="17:17" x14ac:dyDescent="0.25">
      <c r="Q64477" s="8"/>
    </row>
    <row r="64478" spans="17:17" x14ac:dyDescent="0.25">
      <c r="Q64478" s="8"/>
    </row>
    <row r="64479" spans="17:17" x14ac:dyDescent="0.25">
      <c r="Q64479" s="8"/>
    </row>
    <row r="64480" spans="17:17" x14ac:dyDescent="0.25">
      <c r="Q64480" s="8"/>
    </row>
    <row r="64481" spans="17:17" x14ac:dyDescent="0.25">
      <c r="Q64481" s="8"/>
    </row>
    <row r="64482" spans="17:17" x14ac:dyDescent="0.25">
      <c r="Q64482" s="8"/>
    </row>
    <row r="64483" spans="17:17" x14ac:dyDescent="0.25">
      <c r="Q64483" s="8"/>
    </row>
    <row r="64484" spans="17:17" x14ac:dyDescent="0.25">
      <c r="Q64484" s="8"/>
    </row>
    <row r="64485" spans="17:17" x14ac:dyDescent="0.25">
      <c r="Q64485" s="8"/>
    </row>
    <row r="64486" spans="17:17" x14ac:dyDescent="0.25">
      <c r="Q64486" s="8"/>
    </row>
    <row r="64487" spans="17:17" x14ac:dyDescent="0.25">
      <c r="Q64487" s="8"/>
    </row>
    <row r="64488" spans="17:17" x14ac:dyDescent="0.25">
      <c r="Q64488" s="8"/>
    </row>
    <row r="64489" spans="17:17" x14ac:dyDescent="0.25">
      <c r="Q64489" s="8"/>
    </row>
    <row r="64490" spans="17:17" x14ac:dyDescent="0.25">
      <c r="Q64490" s="8"/>
    </row>
    <row r="64491" spans="17:17" x14ac:dyDescent="0.25">
      <c r="Q64491" s="8"/>
    </row>
    <row r="64492" spans="17:17" x14ac:dyDescent="0.25">
      <c r="Q64492" s="8"/>
    </row>
    <row r="64493" spans="17:17" x14ac:dyDescent="0.25">
      <c r="Q64493" s="8"/>
    </row>
    <row r="64494" spans="17:17" x14ac:dyDescent="0.25">
      <c r="Q64494" s="8"/>
    </row>
    <row r="64495" spans="17:17" x14ac:dyDescent="0.25">
      <c r="Q64495" s="8"/>
    </row>
    <row r="64496" spans="17:17" x14ac:dyDescent="0.25">
      <c r="Q64496" s="8"/>
    </row>
    <row r="64497" spans="17:17" x14ac:dyDescent="0.25">
      <c r="Q64497" s="8"/>
    </row>
    <row r="64498" spans="17:17" x14ac:dyDescent="0.25">
      <c r="Q64498" s="8"/>
    </row>
    <row r="64499" spans="17:17" x14ac:dyDescent="0.25">
      <c r="Q64499" s="8"/>
    </row>
    <row r="64500" spans="17:17" x14ac:dyDescent="0.25">
      <c r="Q64500" s="8"/>
    </row>
    <row r="64501" spans="17:17" x14ac:dyDescent="0.25">
      <c r="Q64501" s="8"/>
    </row>
    <row r="64502" spans="17:17" x14ac:dyDescent="0.25">
      <c r="Q64502" s="8"/>
    </row>
    <row r="64503" spans="17:17" x14ac:dyDescent="0.25">
      <c r="Q64503" s="8"/>
    </row>
    <row r="64504" spans="17:17" x14ac:dyDescent="0.25">
      <c r="Q64504" s="8"/>
    </row>
    <row r="64505" spans="17:17" x14ac:dyDescent="0.25">
      <c r="Q64505" s="8"/>
    </row>
    <row r="64506" spans="17:17" x14ac:dyDescent="0.25">
      <c r="Q64506" s="8"/>
    </row>
    <row r="64507" spans="17:17" x14ac:dyDescent="0.25">
      <c r="Q64507" s="8"/>
    </row>
    <row r="64508" spans="17:17" x14ac:dyDescent="0.25">
      <c r="Q64508" s="8"/>
    </row>
    <row r="64509" spans="17:17" x14ac:dyDescent="0.25">
      <c r="Q64509" s="8"/>
    </row>
    <row r="64510" spans="17:17" x14ac:dyDescent="0.25">
      <c r="Q64510" s="8"/>
    </row>
    <row r="64511" spans="17:17" x14ac:dyDescent="0.25">
      <c r="Q64511" s="8"/>
    </row>
    <row r="64512" spans="17:17" x14ac:dyDescent="0.25">
      <c r="Q64512" s="8"/>
    </row>
    <row r="64513" spans="17:17" x14ac:dyDescent="0.25">
      <c r="Q64513" s="8"/>
    </row>
    <row r="64514" spans="17:17" x14ac:dyDescent="0.25">
      <c r="Q64514" s="8"/>
    </row>
    <row r="64515" spans="17:17" x14ac:dyDescent="0.25">
      <c r="Q64515" s="8"/>
    </row>
    <row r="64516" spans="17:17" x14ac:dyDescent="0.25">
      <c r="Q64516" s="8"/>
    </row>
    <row r="64517" spans="17:17" x14ac:dyDescent="0.25">
      <c r="Q64517" s="8"/>
    </row>
    <row r="64518" spans="17:17" x14ac:dyDescent="0.25">
      <c r="Q64518" s="8"/>
    </row>
    <row r="64519" spans="17:17" x14ac:dyDescent="0.25">
      <c r="Q64519" s="8"/>
    </row>
    <row r="64520" spans="17:17" x14ac:dyDescent="0.25">
      <c r="Q64520" s="8"/>
    </row>
    <row r="64521" spans="17:17" x14ac:dyDescent="0.25">
      <c r="Q64521" s="8"/>
    </row>
    <row r="64522" spans="17:17" x14ac:dyDescent="0.25">
      <c r="Q64522" s="8"/>
    </row>
    <row r="64523" spans="17:17" x14ac:dyDescent="0.25">
      <c r="Q64523" s="8"/>
    </row>
    <row r="64524" spans="17:17" x14ac:dyDescent="0.25">
      <c r="Q64524" s="8"/>
    </row>
    <row r="64525" spans="17:17" x14ac:dyDescent="0.25">
      <c r="Q64525" s="8"/>
    </row>
    <row r="64526" spans="17:17" x14ac:dyDescent="0.25">
      <c r="Q64526" s="8"/>
    </row>
    <row r="64527" spans="17:17" x14ac:dyDescent="0.25">
      <c r="Q64527" s="8"/>
    </row>
    <row r="64528" spans="17:17" x14ac:dyDescent="0.25">
      <c r="Q64528" s="8"/>
    </row>
    <row r="64529" spans="17:17" x14ac:dyDescent="0.25">
      <c r="Q64529" s="8"/>
    </row>
    <row r="64530" spans="17:17" x14ac:dyDescent="0.25">
      <c r="Q64530" s="8"/>
    </row>
    <row r="64531" spans="17:17" x14ac:dyDescent="0.25">
      <c r="Q64531" s="8"/>
    </row>
    <row r="64532" spans="17:17" x14ac:dyDescent="0.25">
      <c r="Q64532" s="8"/>
    </row>
    <row r="64533" spans="17:17" x14ac:dyDescent="0.25">
      <c r="Q64533" s="8"/>
    </row>
    <row r="64534" spans="17:17" x14ac:dyDescent="0.25">
      <c r="Q64534" s="8"/>
    </row>
    <row r="64535" spans="17:17" x14ac:dyDescent="0.25">
      <c r="Q64535" s="8"/>
    </row>
    <row r="64536" spans="17:17" x14ac:dyDescent="0.25">
      <c r="Q64536" s="8"/>
    </row>
    <row r="64537" spans="17:17" x14ac:dyDescent="0.25">
      <c r="Q64537" s="8"/>
    </row>
    <row r="64538" spans="17:17" x14ac:dyDescent="0.25">
      <c r="Q64538" s="8"/>
    </row>
    <row r="64539" spans="17:17" x14ac:dyDescent="0.25">
      <c r="Q64539" s="8"/>
    </row>
    <row r="64540" spans="17:17" x14ac:dyDescent="0.25">
      <c r="Q64540" s="8"/>
    </row>
    <row r="64541" spans="17:17" x14ac:dyDescent="0.25">
      <c r="Q64541" s="8"/>
    </row>
    <row r="64542" spans="17:17" x14ac:dyDescent="0.25">
      <c r="Q64542" s="8"/>
    </row>
    <row r="64543" spans="17:17" x14ac:dyDescent="0.25">
      <c r="Q64543" s="8"/>
    </row>
    <row r="64544" spans="17:17" x14ac:dyDescent="0.25">
      <c r="Q64544" s="8"/>
    </row>
    <row r="64545" spans="17:17" x14ac:dyDescent="0.25">
      <c r="Q64545" s="8"/>
    </row>
    <row r="64546" spans="17:17" x14ac:dyDescent="0.25">
      <c r="Q64546" s="8"/>
    </row>
    <row r="64547" spans="17:17" x14ac:dyDescent="0.25">
      <c r="Q64547" s="8"/>
    </row>
    <row r="64548" spans="17:17" x14ac:dyDescent="0.25">
      <c r="Q64548" s="8"/>
    </row>
    <row r="64549" spans="17:17" x14ac:dyDescent="0.25">
      <c r="Q64549" s="8"/>
    </row>
    <row r="64550" spans="17:17" x14ac:dyDescent="0.25">
      <c r="Q64550" s="8"/>
    </row>
    <row r="64551" spans="17:17" x14ac:dyDescent="0.25">
      <c r="Q64551" s="8"/>
    </row>
    <row r="64552" spans="17:17" x14ac:dyDescent="0.25">
      <c r="Q64552" s="8"/>
    </row>
    <row r="64553" spans="17:17" x14ac:dyDescent="0.25">
      <c r="Q64553" s="8"/>
    </row>
    <row r="64554" spans="17:17" x14ac:dyDescent="0.25">
      <c r="Q64554" s="8"/>
    </row>
    <row r="64555" spans="17:17" x14ac:dyDescent="0.25">
      <c r="Q64555" s="8"/>
    </row>
    <row r="64556" spans="17:17" x14ac:dyDescent="0.25">
      <c r="Q64556" s="8"/>
    </row>
    <row r="64557" spans="17:17" x14ac:dyDescent="0.25">
      <c r="Q64557" s="8"/>
    </row>
    <row r="64558" spans="17:17" x14ac:dyDescent="0.25">
      <c r="Q64558" s="8"/>
    </row>
    <row r="64559" spans="17:17" x14ac:dyDescent="0.25">
      <c r="Q64559" s="8"/>
    </row>
    <row r="64560" spans="17:17" x14ac:dyDescent="0.25">
      <c r="Q64560" s="8"/>
    </row>
    <row r="64561" spans="17:17" x14ac:dyDescent="0.25">
      <c r="Q64561" s="8"/>
    </row>
    <row r="64562" spans="17:17" x14ac:dyDescent="0.25">
      <c r="Q64562" s="8"/>
    </row>
    <row r="64563" spans="17:17" x14ac:dyDescent="0.25">
      <c r="Q64563" s="8"/>
    </row>
    <row r="64564" spans="17:17" x14ac:dyDescent="0.25">
      <c r="Q64564" s="8"/>
    </row>
    <row r="64565" spans="17:17" x14ac:dyDescent="0.25">
      <c r="Q64565" s="8"/>
    </row>
    <row r="64566" spans="17:17" x14ac:dyDescent="0.25">
      <c r="Q64566" s="8"/>
    </row>
    <row r="64567" spans="17:17" x14ac:dyDescent="0.25">
      <c r="Q64567" s="8"/>
    </row>
    <row r="64568" spans="17:17" x14ac:dyDescent="0.25">
      <c r="Q64568" s="8"/>
    </row>
    <row r="64569" spans="17:17" x14ac:dyDescent="0.25">
      <c r="Q64569" s="8"/>
    </row>
    <row r="64570" spans="17:17" x14ac:dyDescent="0.25">
      <c r="Q64570" s="8"/>
    </row>
    <row r="64571" spans="17:17" x14ac:dyDescent="0.25">
      <c r="Q64571" s="8"/>
    </row>
    <row r="64572" spans="17:17" x14ac:dyDescent="0.25">
      <c r="Q64572" s="8"/>
    </row>
    <row r="64573" spans="17:17" x14ac:dyDescent="0.25">
      <c r="Q64573" s="8"/>
    </row>
    <row r="64574" spans="17:17" x14ac:dyDescent="0.25">
      <c r="Q64574" s="8"/>
    </row>
    <row r="64575" spans="17:17" x14ac:dyDescent="0.25">
      <c r="Q64575" s="8"/>
    </row>
    <row r="64576" spans="17:17" x14ac:dyDescent="0.25">
      <c r="Q64576" s="8"/>
    </row>
    <row r="64577" spans="17:17" x14ac:dyDescent="0.25">
      <c r="Q64577" s="8"/>
    </row>
    <row r="64578" spans="17:17" x14ac:dyDescent="0.25">
      <c r="Q64578" s="8"/>
    </row>
    <row r="64579" spans="17:17" x14ac:dyDescent="0.25">
      <c r="Q64579" s="8"/>
    </row>
    <row r="64580" spans="17:17" x14ac:dyDescent="0.25">
      <c r="Q64580" s="8"/>
    </row>
    <row r="64581" spans="17:17" x14ac:dyDescent="0.25">
      <c r="Q64581" s="8"/>
    </row>
    <row r="64582" spans="17:17" x14ac:dyDescent="0.25">
      <c r="Q64582" s="8"/>
    </row>
    <row r="64583" spans="17:17" x14ac:dyDescent="0.25">
      <c r="Q64583" s="8"/>
    </row>
    <row r="64584" spans="17:17" x14ac:dyDescent="0.25">
      <c r="Q64584" s="8"/>
    </row>
    <row r="64585" spans="17:17" x14ac:dyDescent="0.25">
      <c r="Q64585" s="8"/>
    </row>
    <row r="64586" spans="17:17" x14ac:dyDescent="0.25">
      <c r="Q64586" s="8"/>
    </row>
    <row r="64587" spans="17:17" x14ac:dyDescent="0.25">
      <c r="Q64587" s="8"/>
    </row>
    <row r="64588" spans="17:17" x14ac:dyDescent="0.25">
      <c r="Q64588" s="8"/>
    </row>
    <row r="64589" spans="17:17" x14ac:dyDescent="0.25">
      <c r="Q64589" s="8"/>
    </row>
    <row r="64590" spans="17:17" x14ac:dyDescent="0.25">
      <c r="Q64590" s="8"/>
    </row>
    <row r="64591" spans="17:17" x14ac:dyDescent="0.25">
      <c r="Q64591" s="8"/>
    </row>
    <row r="64592" spans="17:17" x14ac:dyDescent="0.25">
      <c r="Q64592" s="8"/>
    </row>
    <row r="64593" spans="17:17" x14ac:dyDescent="0.25">
      <c r="Q64593" s="8"/>
    </row>
    <row r="64594" spans="17:17" x14ac:dyDescent="0.25">
      <c r="Q64594" s="8"/>
    </row>
    <row r="64595" spans="17:17" x14ac:dyDescent="0.25">
      <c r="Q64595" s="8"/>
    </row>
    <row r="64596" spans="17:17" x14ac:dyDescent="0.25">
      <c r="Q64596" s="8"/>
    </row>
    <row r="64597" spans="17:17" x14ac:dyDescent="0.25">
      <c r="Q64597" s="8"/>
    </row>
    <row r="64598" spans="17:17" x14ac:dyDescent="0.25">
      <c r="Q64598" s="8"/>
    </row>
    <row r="64599" spans="17:17" x14ac:dyDescent="0.25">
      <c r="Q64599" s="8"/>
    </row>
    <row r="64600" spans="17:17" x14ac:dyDescent="0.25">
      <c r="Q64600" s="8"/>
    </row>
    <row r="64601" spans="17:17" x14ac:dyDescent="0.25">
      <c r="Q64601" s="8"/>
    </row>
    <row r="64602" spans="17:17" x14ac:dyDescent="0.25">
      <c r="Q64602" s="8"/>
    </row>
    <row r="64603" spans="17:17" x14ac:dyDescent="0.25">
      <c r="Q64603" s="8"/>
    </row>
    <row r="64604" spans="17:17" x14ac:dyDescent="0.25">
      <c r="Q64604" s="8"/>
    </row>
    <row r="64605" spans="17:17" x14ac:dyDescent="0.25">
      <c r="Q64605" s="8"/>
    </row>
    <row r="64606" spans="17:17" x14ac:dyDescent="0.25">
      <c r="Q64606" s="8"/>
    </row>
    <row r="64607" spans="17:17" x14ac:dyDescent="0.25">
      <c r="Q64607" s="8"/>
    </row>
    <row r="64608" spans="17:17" x14ac:dyDescent="0.25">
      <c r="Q64608" s="8"/>
    </row>
    <row r="64609" spans="17:17" x14ac:dyDescent="0.25">
      <c r="Q64609" s="8"/>
    </row>
    <row r="64610" spans="17:17" x14ac:dyDescent="0.25">
      <c r="Q64610" s="8"/>
    </row>
    <row r="64611" spans="17:17" x14ac:dyDescent="0.25">
      <c r="Q64611" s="8"/>
    </row>
    <row r="64612" spans="17:17" x14ac:dyDescent="0.25">
      <c r="Q64612" s="8"/>
    </row>
    <row r="64613" spans="17:17" x14ac:dyDescent="0.25">
      <c r="Q64613" s="8"/>
    </row>
    <row r="64614" spans="17:17" x14ac:dyDescent="0.25">
      <c r="Q64614" s="8"/>
    </row>
    <row r="64615" spans="17:17" x14ac:dyDescent="0.25">
      <c r="Q64615" s="8"/>
    </row>
    <row r="64616" spans="17:17" x14ac:dyDescent="0.25">
      <c r="Q64616" s="8"/>
    </row>
    <row r="64617" spans="17:17" x14ac:dyDescent="0.25">
      <c r="Q64617" s="8"/>
    </row>
    <row r="64618" spans="17:17" x14ac:dyDescent="0.25">
      <c r="Q64618" s="8"/>
    </row>
    <row r="64619" spans="17:17" x14ac:dyDescent="0.25">
      <c r="Q64619" s="8"/>
    </row>
    <row r="64620" spans="17:17" x14ac:dyDescent="0.25">
      <c r="Q64620" s="8"/>
    </row>
    <row r="64621" spans="17:17" x14ac:dyDescent="0.25">
      <c r="Q64621" s="8"/>
    </row>
    <row r="64622" spans="17:17" x14ac:dyDescent="0.25">
      <c r="Q64622" s="8"/>
    </row>
    <row r="64623" spans="17:17" x14ac:dyDescent="0.25">
      <c r="Q64623" s="8"/>
    </row>
    <row r="64624" spans="17:17" x14ac:dyDescent="0.25">
      <c r="Q64624" s="8"/>
    </row>
    <row r="64625" spans="17:17" x14ac:dyDescent="0.25">
      <c r="Q64625" s="8"/>
    </row>
    <row r="64626" spans="17:17" x14ac:dyDescent="0.25">
      <c r="Q64626" s="8"/>
    </row>
    <row r="64627" spans="17:17" x14ac:dyDescent="0.25">
      <c r="Q64627" s="8"/>
    </row>
    <row r="64628" spans="17:17" x14ac:dyDescent="0.25">
      <c r="Q64628" s="8"/>
    </row>
    <row r="64629" spans="17:17" x14ac:dyDescent="0.25">
      <c r="Q64629" s="8"/>
    </row>
    <row r="64630" spans="17:17" x14ac:dyDescent="0.25">
      <c r="Q64630" s="8"/>
    </row>
    <row r="64631" spans="17:17" x14ac:dyDescent="0.25">
      <c r="Q64631" s="8"/>
    </row>
    <row r="64632" spans="17:17" x14ac:dyDescent="0.25">
      <c r="Q64632" s="8"/>
    </row>
    <row r="64633" spans="17:17" x14ac:dyDescent="0.25">
      <c r="Q64633" s="8"/>
    </row>
    <row r="64634" spans="17:17" x14ac:dyDescent="0.25">
      <c r="Q64634" s="8"/>
    </row>
    <row r="64635" spans="17:17" x14ac:dyDescent="0.25">
      <c r="Q64635" s="8"/>
    </row>
    <row r="64636" spans="17:17" x14ac:dyDescent="0.25">
      <c r="Q64636" s="8"/>
    </row>
    <row r="64637" spans="17:17" x14ac:dyDescent="0.25">
      <c r="Q64637" s="8"/>
    </row>
    <row r="64638" spans="17:17" x14ac:dyDescent="0.25">
      <c r="Q64638" s="8"/>
    </row>
    <row r="64639" spans="17:17" x14ac:dyDescent="0.25">
      <c r="Q64639" s="8"/>
    </row>
    <row r="64640" spans="17:17" x14ac:dyDescent="0.25">
      <c r="Q64640" s="8"/>
    </row>
    <row r="64641" spans="17:17" x14ac:dyDescent="0.25">
      <c r="Q64641" s="8"/>
    </row>
    <row r="64642" spans="17:17" x14ac:dyDescent="0.25">
      <c r="Q64642" s="8"/>
    </row>
    <row r="64643" spans="17:17" x14ac:dyDescent="0.25">
      <c r="Q64643" s="8"/>
    </row>
    <row r="64644" spans="17:17" x14ac:dyDescent="0.25">
      <c r="Q64644" s="8"/>
    </row>
    <row r="64645" spans="17:17" x14ac:dyDescent="0.25">
      <c r="Q64645" s="8"/>
    </row>
    <row r="64646" spans="17:17" x14ac:dyDescent="0.25">
      <c r="Q64646" s="8"/>
    </row>
    <row r="64647" spans="17:17" x14ac:dyDescent="0.25">
      <c r="Q64647" s="8"/>
    </row>
    <row r="64648" spans="17:17" x14ac:dyDescent="0.25">
      <c r="Q64648" s="8"/>
    </row>
    <row r="64649" spans="17:17" x14ac:dyDescent="0.25">
      <c r="Q64649" s="8"/>
    </row>
    <row r="64650" spans="17:17" x14ac:dyDescent="0.25">
      <c r="Q64650" s="8"/>
    </row>
    <row r="64651" spans="17:17" x14ac:dyDescent="0.25">
      <c r="Q64651" s="8"/>
    </row>
    <row r="64652" spans="17:17" x14ac:dyDescent="0.25">
      <c r="Q64652" s="8"/>
    </row>
    <row r="64653" spans="17:17" x14ac:dyDescent="0.25">
      <c r="Q64653" s="8"/>
    </row>
    <row r="64654" spans="17:17" x14ac:dyDescent="0.25">
      <c r="Q64654" s="8"/>
    </row>
    <row r="64655" spans="17:17" x14ac:dyDescent="0.25">
      <c r="Q64655" s="8"/>
    </row>
    <row r="64656" spans="17:17" x14ac:dyDescent="0.25">
      <c r="Q64656" s="8"/>
    </row>
    <row r="64657" spans="17:17" x14ac:dyDescent="0.25">
      <c r="Q64657" s="8"/>
    </row>
    <row r="64658" spans="17:17" x14ac:dyDescent="0.25">
      <c r="Q64658" s="8"/>
    </row>
    <row r="64659" spans="17:17" x14ac:dyDescent="0.25">
      <c r="Q64659" s="8"/>
    </row>
    <row r="64660" spans="17:17" x14ac:dyDescent="0.25">
      <c r="Q64660" s="8"/>
    </row>
    <row r="64661" spans="17:17" x14ac:dyDescent="0.25">
      <c r="Q64661" s="8"/>
    </row>
    <row r="64662" spans="17:17" x14ac:dyDescent="0.25">
      <c r="Q64662" s="8"/>
    </row>
    <row r="64663" spans="17:17" x14ac:dyDescent="0.25">
      <c r="Q64663" s="8"/>
    </row>
    <row r="64664" spans="17:17" x14ac:dyDescent="0.25">
      <c r="Q64664" s="8"/>
    </row>
    <row r="64665" spans="17:17" x14ac:dyDescent="0.25">
      <c r="Q64665" s="8"/>
    </row>
    <row r="64666" spans="17:17" x14ac:dyDescent="0.25">
      <c r="Q64666" s="8"/>
    </row>
    <row r="64667" spans="17:17" x14ac:dyDescent="0.25">
      <c r="Q64667" s="8"/>
    </row>
    <row r="64668" spans="17:17" x14ac:dyDescent="0.25">
      <c r="Q64668" s="8"/>
    </row>
    <row r="64669" spans="17:17" x14ac:dyDescent="0.25">
      <c r="Q64669" s="8"/>
    </row>
    <row r="64670" spans="17:17" x14ac:dyDescent="0.25">
      <c r="Q64670" s="8"/>
    </row>
    <row r="64671" spans="17:17" x14ac:dyDescent="0.25">
      <c r="Q64671" s="8"/>
    </row>
    <row r="64672" spans="17:17" x14ac:dyDescent="0.25">
      <c r="Q64672" s="8"/>
    </row>
    <row r="64673" spans="17:17" x14ac:dyDescent="0.25">
      <c r="Q64673" s="8"/>
    </row>
    <row r="64674" spans="17:17" x14ac:dyDescent="0.25">
      <c r="Q64674" s="8"/>
    </row>
    <row r="64675" spans="17:17" x14ac:dyDescent="0.25">
      <c r="Q64675" s="8"/>
    </row>
    <row r="64676" spans="17:17" x14ac:dyDescent="0.25">
      <c r="Q64676" s="8"/>
    </row>
    <row r="64677" spans="17:17" x14ac:dyDescent="0.25">
      <c r="Q64677" s="8"/>
    </row>
    <row r="64678" spans="17:17" x14ac:dyDescent="0.25">
      <c r="Q64678" s="8"/>
    </row>
    <row r="64679" spans="17:17" x14ac:dyDescent="0.25">
      <c r="Q64679" s="8"/>
    </row>
    <row r="64680" spans="17:17" x14ac:dyDescent="0.25">
      <c r="Q64680" s="8"/>
    </row>
    <row r="64681" spans="17:17" x14ac:dyDescent="0.25">
      <c r="Q64681" s="8"/>
    </row>
    <row r="64682" spans="17:17" x14ac:dyDescent="0.25">
      <c r="Q64682" s="8"/>
    </row>
    <row r="64683" spans="17:17" x14ac:dyDescent="0.25">
      <c r="Q64683" s="8"/>
    </row>
    <row r="64684" spans="17:17" x14ac:dyDescent="0.25">
      <c r="Q64684" s="8"/>
    </row>
    <row r="64685" spans="17:17" x14ac:dyDescent="0.25">
      <c r="Q64685" s="8"/>
    </row>
    <row r="64686" spans="17:17" x14ac:dyDescent="0.25">
      <c r="Q64686" s="8"/>
    </row>
    <row r="64687" spans="17:17" x14ac:dyDescent="0.25">
      <c r="Q64687" s="8"/>
    </row>
    <row r="64688" spans="17:17" x14ac:dyDescent="0.25">
      <c r="Q64688" s="8"/>
    </row>
    <row r="64689" spans="17:17" x14ac:dyDescent="0.25">
      <c r="Q64689" s="8"/>
    </row>
    <row r="64690" spans="17:17" x14ac:dyDescent="0.25">
      <c r="Q64690" s="8"/>
    </row>
    <row r="64691" spans="17:17" x14ac:dyDescent="0.25">
      <c r="Q64691" s="8"/>
    </row>
    <row r="64692" spans="17:17" x14ac:dyDescent="0.25">
      <c r="Q64692" s="8"/>
    </row>
    <row r="64693" spans="17:17" x14ac:dyDescent="0.25">
      <c r="Q64693" s="8"/>
    </row>
    <row r="64694" spans="17:17" x14ac:dyDescent="0.25">
      <c r="Q64694" s="8"/>
    </row>
    <row r="64695" spans="17:17" x14ac:dyDescent="0.25">
      <c r="Q64695" s="8"/>
    </row>
    <row r="64696" spans="17:17" x14ac:dyDescent="0.25">
      <c r="Q64696" s="8"/>
    </row>
    <row r="64697" spans="17:17" x14ac:dyDescent="0.25">
      <c r="Q64697" s="8"/>
    </row>
    <row r="64698" spans="17:17" x14ac:dyDescent="0.25">
      <c r="Q64698" s="8"/>
    </row>
    <row r="64699" spans="17:17" x14ac:dyDescent="0.25">
      <c r="Q64699" s="8"/>
    </row>
    <row r="64700" spans="17:17" x14ac:dyDescent="0.25">
      <c r="Q64700" s="8"/>
    </row>
    <row r="64701" spans="17:17" x14ac:dyDescent="0.25">
      <c r="Q64701" s="8"/>
    </row>
    <row r="64702" spans="17:17" x14ac:dyDescent="0.25">
      <c r="Q64702" s="8"/>
    </row>
    <row r="64703" spans="17:17" x14ac:dyDescent="0.25">
      <c r="Q64703" s="8"/>
    </row>
    <row r="64704" spans="17:17" x14ac:dyDescent="0.25">
      <c r="Q64704" s="8"/>
    </row>
    <row r="64705" spans="17:17" x14ac:dyDescent="0.25">
      <c r="Q64705" s="8"/>
    </row>
    <row r="64706" spans="17:17" x14ac:dyDescent="0.25">
      <c r="Q64706" s="8"/>
    </row>
    <row r="64707" spans="17:17" x14ac:dyDescent="0.25">
      <c r="Q64707" s="8"/>
    </row>
    <row r="64708" spans="17:17" x14ac:dyDescent="0.25">
      <c r="Q64708" s="8"/>
    </row>
    <row r="64709" spans="17:17" x14ac:dyDescent="0.25">
      <c r="Q64709" s="8"/>
    </row>
    <row r="64710" spans="17:17" x14ac:dyDescent="0.25">
      <c r="Q64710" s="8"/>
    </row>
    <row r="64711" spans="17:17" x14ac:dyDescent="0.25">
      <c r="Q64711" s="8"/>
    </row>
    <row r="64712" spans="17:17" x14ac:dyDescent="0.25">
      <c r="Q64712" s="8"/>
    </row>
    <row r="64713" spans="17:17" x14ac:dyDescent="0.25">
      <c r="Q64713" s="8"/>
    </row>
    <row r="64714" spans="17:17" x14ac:dyDescent="0.25">
      <c r="Q64714" s="8"/>
    </row>
    <row r="64715" spans="17:17" x14ac:dyDescent="0.25">
      <c r="Q64715" s="8"/>
    </row>
    <row r="64716" spans="17:17" x14ac:dyDescent="0.25">
      <c r="Q64716" s="8"/>
    </row>
    <row r="64717" spans="17:17" x14ac:dyDescent="0.25">
      <c r="Q64717" s="8"/>
    </row>
    <row r="64718" spans="17:17" x14ac:dyDescent="0.25">
      <c r="Q64718" s="8"/>
    </row>
    <row r="64719" spans="17:17" x14ac:dyDescent="0.25">
      <c r="Q64719" s="8"/>
    </row>
    <row r="64720" spans="17:17" x14ac:dyDescent="0.25">
      <c r="Q64720" s="8"/>
    </row>
    <row r="64721" spans="17:17" x14ac:dyDescent="0.25">
      <c r="Q64721" s="8"/>
    </row>
    <row r="64722" spans="17:17" x14ac:dyDescent="0.25">
      <c r="Q64722" s="8"/>
    </row>
    <row r="64723" spans="17:17" x14ac:dyDescent="0.25">
      <c r="Q64723" s="8"/>
    </row>
    <row r="64724" spans="17:17" x14ac:dyDescent="0.25">
      <c r="Q64724" s="8"/>
    </row>
    <row r="64725" spans="17:17" x14ac:dyDescent="0.25">
      <c r="Q64725" s="8"/>
    </row>
    <row r="64726" spans="17:17" x14ac:dyDescent="0.25">
      <c r="Q64726" s="8"/>
    </row>
    <row r="64727" spans="17:17" x14ac:dyDescent="0.25">
      <c r="Q64727" s="8"/>
    </row>
    <row r="64728" spans="17:17" x14ac:dyDescent="0.25">
      <c r="Q64728" s="8"/>
    </row>
    <row r="64729" spans="17:17" x14ac:dyDescent="0.25">
      <c r="Q64729" s="8"/>
    </row>
    <row r="64730" spans="17:17" x14ac:dyDescent="0.25">
      <c r="Q64730" s="8"/>
    </row>
    <row r="64731" spans="17:17" x14ac:dyDescent="0.25">
      <c r="Q64731" s="8"/>
    </row>
    <row r="64732" spans="17:17" x14ac:dyDescent="0.25">
      <c r="Q64732" s="8"/>
    </row>
    <row r="64733" spans="17:17" x14ac:dyDescent="0.25">
      <c r="Q64733" s="8"/>
    </row>
    <row r="64734" spans="17:17" x14ac:dyDescent="0.25">
      <c r="Q64734" s="8"/>
    </row>
    <row r="64735" spans="17:17" x14ac:dyDescent="0.25">
      <c r="Q64735" s="8"/>
    </row>
    <row r="64736" spans="17:17" x14ac:dyDescent="0.25">
      <c r="Q64736" s="8"/>
    </row>
    <row r="64737" spans="17:17" x14ac:dyDescent="0.25">
      <c r="Q64737" s="8"/>
    </row>
    <row r="64738" spans="17:17" x14ac:dyDescent="0.25">
      <c r="Q64738" s="8"/>
    </row>
    <row r="64739" spans="17:17" x14ac:dyDescent="0.25">
      <c r="Q64739" s="8"/>
    </row>
    <row r="64740" spans="17:17" x14ac:dyDescent="0.25">
      <c r="Q64740" s="8"/>
    </row>
    <row r="64741" spans="17:17" x14ac:dyDescent="0.25">
      <c r="Q64741" s="8"/>
    </row>
    <row r="64742" spans="17:17" x14ac:dyDescent="0.25">
      <c r="Q64742" s="8"/>
    </row>
    <row r="64743" spans="17:17" x14ac:dyDescent="0.25">
      <c r="Q64743" s="8"/>
    </row>
    <row r="64744" spans="17:17" x14ac:dyDescent="0.25">
      <c r="Q64744" s="8"/>
    </row>
    <row r="64745" spans="17:17" x14ac:dyDescent="0.25">
      <c r="Q64745" s="8"/>
    </row>
    <row r="64746" spans="17:17" x14ac:dyDescent="0.25">
      <c r="Q64746" s="8"/>
    </row>
    <row r="64747" spans="17:17" x14ac:dyDescent="0.25">
      <c r="Q64747" s="8"/>
    </row>
    <row r="64748" spans="17:17" x14ac:dyDescent="0.25">
      <c r="Q64748" s="8"/>
    </row>
    <row r="64749" spans="17:17" x14ac:dyDescent="0.25">
      <c r="Q64749" s="8"/>
    </row>
    <row r="64750" spans="17:17" x14ac:dyDescent="0.25">
      <c r="Q64750" s="8"/>
    </row>
    <row r="64751" spans="17:17" x14ac:dyDescent="0.25">
      <c r="Q64751" s="8"/>
    </row>
    <row r="64752" spans="17:17" x14ac:dyDescent="0.25">
      <c r="Q64752" s="8"/>
    </row>
    <row r="64753" spans="17:17" x14ac:dyDescent="0.25">
      <c r="Q64753" s="8"/>
    </row>
    <row r="64754" spans="17:17" x14ac:dyDescent="0.25">
      <c r="Q64754" s="8"/>
    </row>
    <row r="64755" spans="17:17" x14ac:dyDescent="0.25">
      <c r="Q64755" s="8"/>
    </row>
    <row r="64756" spans="17:17" x14ac:dyDescent="0.25">
      <c r="Q64756" s="8"/>
    </row>
    <row r="64757" spans="17:17" x14ac:dyDescent="0.25">
      <c r="Q64757" s="8"/>
    </row>
    <row r="64758" spans="17:17" x14ac:dyDescent="0.25">
      <c r="Q64758" s="8"/>
    </row>
    <row r="64759" spans="17:17" x14ac:dyDescent="0.25">
      <c r="Q64759" s="8"/>
    </row>
    <row r="64760" spans="17:17" x14ac:dyDescent="0.25">
      <c r="Q64760" s="8"/>
    </row>
    <row r="64761" spans="17:17" x14ac:dyDescent="0.25">
      <c r="Q64761" s="8"/>
    </row>
    <row r="64762" spans="17:17" x14ac:dyDescent="0.25">
      <c r="Q64762" s="8"/>
    </row>
    <row r="64763" spans="17:17" x14ac:dyDescent="0.25">
      <c r="Q64763" s="8"/>
    </row>
    <row r="64764" spans="17:17" x14ac:dyDescent="0.25">
      <c r="Q64764" s="8"/>
    </row>
    <row r="64765" spans="17:17" x14ac:dyDescent="0.25">
      <c r="Q64765" s="8"/>
    </row>
    <row r="64766" spans="17:17" x14ac:dyDescent="0.25">
      <c r="Q64766" s="8"/>
    </row>
    <row r="64767" spans="17:17" x14ac:dyDescent="0.25">
      <c r="Q64767" s="8"/>
    </row>
    <row r="64768" spans="17:17" x14ac:dyDescent="0.25">
      <c r="Q64768" s="8"/>
    </row>
    <row r="64769" spans="17:17" x14ac:dyDescent="0.25">
      <c r="Q64769" s="8"/>
    </row>
    <row r="64770" spans="17:17" x14ac:dyDescent="0.25">
      <c r="Q64770" s="8"/>
    </row>
    <row r="64771" spans="17:17" x14ac:dyDescent="0.25">
      <c r="Q64771" s="8"/>
    </row>
    <row r="64772" spans="17:17" x14ac:dyDescent="0.25">
      <c r="Q64772" s="8"/>
    </row>
    <row r="64773" spans="17:17" x14ac:dyDescent="0.25">
      <c r="Q64773" s="8"/>
    </row>
    <row r="64774" spans="17:17" x14ac:dyDescent="0.25">
      <c r="Q64774" s="8"/>
    </row>
    <row r="64775" spans="17:17" x14ac:dyDescent="0.25">
      <c r="Q64775" s="8"/>
    </row>
    <row r="64776" spans="17:17" x14ac:dyDescent="0.25">
      <c r="Q64776" s="8"/>
    </row>
    <row r="64777" spans="17:17" x14ac:dyDescent="0.25">
      <c r="Q64777" s="8"/>
    </row>
    <row r="64778" spans="17:17" x14ac:dyDescent="0.25">
      <c r="Q64778" s="8"/>
    </row>
    <row r="64779" spans="17:17" x14ac:dyDescent="0.25">
      <c r="Q64779" s="8"/>
    </row>
    <row r="64780" spans="17:17" x14ac:dyDescent="0.25">
      <c r="Q64780" s="8"/>
    </row>
    <row r="64781" spans="17:17" x14ac:dyDescent="0.25">
      <c r="Q64781" s="8"/>
    </row>
    <row r="64782" spans="17:17" x14ac:dyDescent="0.25">
      <c r="Q64782" s="8"/>
    </row>
    <row r="64783" spans="17:17" x14ac:dyDescent="0.25">
      <c r="Q64783" s="8"/>
    </row>
    <row r="64784" spans="17:17" x14ac:dyDescent="0.25">
      <c r="Q64784" s="8"/>
    </row>
    <row r="64785" spans="17:17" x14ac:dyDescent="0.25">
      <c r="Q64785" s="8"/>
    </row>
    <row r="64786" spans="17:17" x14ac:dyDescent="0.25">
      <c r="Q64786" s="8"/>
    </row>
    <row r="64787" spans="17:17" x14ac:dyDescent="0.25">
      <c r="Q64787" s="8"/>
    </row>
    <row r="64788" spans="17:17" x14ac:dyDescent="0.25">
      <c r="Q64788" s="8"/>
    </row>
    <row r="64789" spans="17:17" x14ac:dyDescent="0.25">
      <c r="Q64789" s="8"/>
    </row>
    <row r="64790" spans="17:17" x14ac:dyDescent="0.25">
      <c r="Q64790" s="8"/>
    </row>
    <row r="64791" spans="17:17" x14ac:dyDescent="0.25">
      <c r="Q64791" s="8"/>
    </row>
    <row r="64792" spans="17:17" x14ac:dyDescent="0.25">
      <c r="Q64792" s="8"/>
    </row>
    <row r="64793" spans="17:17" x14ac:dyDescent="0.25">
      <c r="Q64793" s="8"/>
    </row>
    <row r="64794" spans="17:17" x14ac:dyDescent="0.25">
      <c r="Q64794" s="8"/>
    </row>
    <row r="64795" spans="17:17" x14ac:dyDescent="0.25">
      <c r="Q64795" s="8"/>
    </row>
    <row r="64796" spans="17:17" x14ac:dyDescent="0.25">
      <c r="Q64796" s="8"/>
    </row>
    <row r="64797" spans="17:17" x14ac:dyDescent="0.25">
      <c r="Q64797" s="8"/>
    </row>
    <row r="64798" spans="17:17" x14ac:dyDescent="0.25">
      <c r="Q64798" s="8"/>
    </row>
    <row r="64799" spans="17:17" x14ac:dyDescent="0.25">
      <c r="Q64799" s="8"/>
    </row>
    <row r="64800" spans="17:17" x14ac:dyDescent="0.25">
      <c r="Q64800" s="8"/>
    </row>
    <row r="64801" spans="17:17" x14ac:dyDescent="0.25">
      <c r="Q64801" s="8"/>
    </row>
    <row r="64802" spans="17:17" x14ac:dyDescent="0.25">
      <c r="Q64802" s="8"/>
    </row>
    <row r="64803" spans="17:17" x14ac:dyDescent="0.25">
      <c r="Q64803" s="8"/>
    </row>
    <row r="64804" spans="17:17" x14ac:dyDescent="0.25">
      <c r="Q64804" s="8"/>
    </row>
    <row r="64805" spans="17:17" x14ac:dyDescent="0.25">
      <c r="Q64805" s="8"/>
    </row>
    <row r="64806" spans="17:17" x14ac:dyDescent="0.25">
      <c r="Q64806" s="8"/>
    </row>
    <row r="64807" spans="17:17" x14ac:dyDescent="0.25">
      <c r="Q64807" s="8"/>
    </row>
    <row r="64808" spans="17:17" x14ac:dyDescent="0.25">
      <c r="Q64808" s="8"/>
    </row>
    <row r="64809" spans="17:17" x14ac:dyDescent="0.25">
      <c r="Q64809" s="8"/>
    </row>
    <row r="64810" spans="17:17" x14ac:dyDescent="0.25">
      <c r="Q64810" s="8"/>
    </row>
    <row r="64811" spans="17:17" x14ac:dyDescent="0.25">
      <c r="Q64811" s="8"/>
    </row>
    <row r="64812" spans="17:17" x14ac:dyDescent="0.25">
      <c r="Q64812" s="8"/>
    </row>
    <row r="64813" spans="17:17" x14ac:dyDescent="0.25">
      <c r="Q64813" s="8"/>
    </row>
    <row r="64814" spans="17:17" x14ac:dyDescent="0.25">
      <c r="Q64814" s="8"/>
    </row>
    <row r="64815" spans="17:17" x14ac:dyDescent="0.25">
      <c r="Q64815" s="8"/>
    </row>
    <row r="64816" spans="17:17" x14ac:dyDescent="0.25">
      <c r="Q64816" s="8"/>
    </row>
    <row r="64817" spans="17:17" x14ac:dyDescent="0.25">
      <c r="Q64817" s="8"/>
    </row>
    <row r="64818" spans="17:17" x14ac:dyDescent="0.25">
      <c r="Q64818" s="8"/>
    </row>
    <row r="64819" spans="17:17" x14ac:dyDescent="0.25">
      <c r="Q64819" s="8"/>
    </row>
    <row r="64820" spans="17:17" x14ac:dyDescent="0.25">
      <c r="Q64820" s="8"/>
    </row>
    <row r="64821" spans="17:17" x14ac:dyDescent="0.25">
      <c r="Q64821" s="8"/>
    </row>
    <row r="64822" spans="17:17" x14ac:dyDescent="0.25">
      <c r="Q64822" s="8"/>
    </row>
    <row r="64823" spans="17:17" x14ac:dyDescent="0.25">
      <c r="Q64823" s="8"/>
    </row>
    <row r="64824" spans="17:17" x14ac:dyDescent="0.25">
      <c r="Q64824" s="8"/>
    </row>
    <row r="64825" spans="17:17" x14ac:dyDescent="0.25">
      <c r="Q64825" s="8"/>
    </row>
    <row r="64826" spans="17:17" x14ac:dyDescent="0.25">
      <c r="Q64826" s="8"/>
    </row>
    <row r="64827" spans="17:17" x14ac:dyDescent="0.25">
      <c r="Q64827" s="8"/>
    </row>
    <row r="64828" spans="17:17" x14ac:dyDescent="0.25">
      <c r="Q64828" s="8"/>
    </row>
    <row r="64829" spans="17:17" x14ac:dyDescent="0.25">
      <c r="Q64829" s="8"/>
    </row>
    <row r="64830" spans="17:17" x14ac:dyDescent="0.25">
      <c r="Q64830" s="8"/>
    </row>
    <row r="64831" spans="17:17" x14ac:dyDescent="0.25">
      <c r="Q64831" s="8"/>
    </row>
    <row r="64832" spans="17:17" x14ac:dyDescent="0.25">
      <c r="Q64832" s="8"/>
    </row>
    <row r="64833" spans="17:17" x14ac:dyDescent="0.25">
      <c r="Q64833" s="8"/>
    </row>
    <row r="64834" spans="17:17" x14ac:dyDescent="0.25">
      <c r="Q64834" s="8"/>
    </row>
    <row r="64835" spans="17:17" x14ac:dyDescent="0.25">
      <c r="Q64835" s="8"/>
    </row>
    <row r="64836" spans="17:17" x14ac:dyDescent="0.25">
      <c r="Q64836" s="8"/>
    </row>
    <row r="64837" spans="17:17" x14ac:dyDescent="0.25">
      <c r="Q64837" s="8"/>
    </row>
    <row r="64838" spans="17:17" x14ac:dyDescent="0.25">
      <c r="Q64838" s="8"/>
    </row>
    <row r="64839" spans="17:17" x14ac:dyDescent="0.25">
      <c r="Q64839" s="8"/>
    </row>
    <row r="64840" spans="17:17" x14ac:dyDescent="0.25">
      <c r="Q64840" s="8"/>
    </row>
    <row r="64841" spans="17:17" x14ac:dyDescent="0.25">
      <c r="Q64841" s="8"/>
    </row>
    <row r="64842" spans="17:17" x14ac:dyDescent="0.25">
      <c r="Q64842" s="8"/>
    </row>
    <row r="64843" spans="17:17" x14ac:dyDescent="0.25">
      <c r="Q64843" s="8"/>
    </row>
    <row r="64844" spans="17:17" x14ac:dyDescent="0.25">
      <c r="Q64844" s="8"/>
    </row>
    <row r="64845" spans="17:17" x14ac:dyDescent="0.25">
      <c r="Q64845" s="8"/>
    </row>
    <row r="64846" spans="17:17" x14ac:dyDescent="0.25">
      <c r="Q64846" s="8"/>
    </row>
    <row r="64847" spans="17:17" x14ac:dyDescent="0.25">
      <c r="Q64847" s="8"/>
    </row>
    <row r="64848" spans="17:17" x14ac:dyDescent="0.25">
      <c r="Q64848" s="8"/>
    </row>
    <row r="64849" spans="17:17" x14ac:dyDescent="0.25">
      <c r="Q64849" s="8"/>
    </row>
    <row r="64850" spans="17:17" x14ac:dyDescent="0.25">
      <c r="Q64850" s="8"/>
    </row>
    <row r="64851" spans="17:17" x14ac:dyDescent="0.25">
      <c r="Q64851" s="8"/>
    </row>
    <row r="64852" spans="17:17" x14ac:dyDescent="0.25">
      <c r="Q64852" s="8"/>
    </row>
    <row r="64853" spans="17:17" x14ac:dyDescent="0.25">
      <c r="Q64853" s="8"/>
    </row>
    <row r="64854" spans="17:17" x14ac:dyDescent="0.25">
      <c r="Q64854" s="8"/>
    </row>
    <row r="64855" spans="17:17" x14ac:dyDescent="0.25">
      <c r="Q64855" s="8"/>
    </row>
    <row r="64856" spans="17:17" x14ac:dyDescent="0.25">
      <c r="Q64856" s="8"/>
    </row>
    <row r="64857" spans="17:17" x14ac:dyDescent="0.25">
      <c r="Q64857" s="8"/>
    </row>
    <row r="64858" spans="17:17" x14ac:dyDescent="0.25">
      <c r="Q64858" s="8"/>
    </row>
    <row r="64859" spans="17:17" x14ac:dyDescent="0.25">
      <c r="Q64859" s="8"/>
    </row>
    <row r="64860" spans="17:17" x14ac:dyDescent="0.25">
      <c r="Q64860" s="8"/>
    </row>
    <row r="64861" spans="17:17" x14ac:dyDescent="0.25">
      <c r="Q64861" s="8"/>
    </row>
    <row r="64862" spans="17:17" x14ac:dyDescent="0.25">
      <c r="Q64862" s="8"/>
    </row>
    <row r="64863" spans="17:17" x14ac:dyDescent="0.25">
      <c r="Q64863" s="8"/>
    </row>
    <row r="64864" spans="17:17" x14ac:dyDescent="0.25">
      <c r="Q64864" s="8"/>
    </row>
    <row r="64865" spans="17:17" x14ac:dyDescent="0.25">
      <c r="Q64865" s="8"/>
    </row>
    <row r="64866" spans="17:17" x14ac:dyDescent="0.25">
      <c r="Q64866" s="8"/>
    </row>
    <row r="64867" spans="17:17" x14ac:dyDescent="0.25">
      <c r="Q64867" s="8"/>
    </row>
    <row r="64868" spans="17:17" x14ac:dyDescent="0.25">
      <c r="Q64868" s="8"/>
    </row>
    <row r="64869" spans="17:17" x14ac:dyDescent="0.25">
      <c r="Q64869" s="8"/>
    </row>
    <row r="64870" spans="17:17" x14ac:dyDescent="0.25">
      <c r="Q64870" s="8"/>
    </row>
    <row r="64871" spans="17:17" x14ac:dyDescent="0.25">
      <c r="Q64871" s="8"/>
    </row>
    <row r="64872" spans="17:17" x14ac:dyDescent="0.25">
      <c r="Q64872" s="8"/>
    </row>
    <row r="64873" spans="17:17" x14ac:dyDescent="0.25">
      <c r="Q64873" s="8"/>
    </row>
    <row r="64874" spans="17:17" x14ac:dyDescent="0.25">
      <c r="Q64874" s="8"/>
    </row>
    <row r="64875" spans="17:17" x14ac:dyDescent="0.25">
      <c r="Q64875" s="8"/>
    </row>
    <row r="64876" spans="17:17" x14ac:dyDescent="0.25">
      <c r="Q64876" s="8"/>
    </row>
    <row r="64877" spans="17:17" x14ac:dyDescent="0.25">
      <c r="Q64877" s="8"/>
    </row>
    <row r="64878" spans="17:17" x14ac:dyDescent="0.25">
      <c r="Q64878" s="8"/>
    </row>
    <row r="64879" spans="17:17" x14ac:dyDescent="0.25">
      <c r="Q64879" s="8"/>
    </row>
    <row r="64880" spans="17:17" x14ac:dyDescent="0.25">
      <c r="Q64880" s="8"/>
    </row>
    <row r="64881" spans="17:17" x14ac:dyDescent="0.25">
      <c r="Q64881" s="8"/>
    </row>
    <row r="64882" spans="17:17" x14ac:dyDescent="0.25">
      <c r="Q64882" s="8"/>
    </row>
    <row r="64883" spans="17:17" x14ac:dyDescent="0.25">
      <c r="Q64883" s="8"/>
    </row>
    <row r="64884" spans="17:17" x14ac:dyDescent="0.25">
      <c r="Q64884" s="8"/>
    </row>
    <row r="64885" spans="17:17" x14ac:dyDescent="0.25">
      <c r="Q64885" s="8"/>
    </row>
    <row r="64886" spans="17:17" x14ac:dyDescent="0.25">
      <c r="Q64886" s="8"/>
    </row>
    <row r="64887" spans="17:17" x14ac:dyDescent="0.25">
      <c r="Q64887" s="8"/>
    </row>
    <row r="64888" spans="17:17" x14ac:dyDescent="0.25">
      <c r="Q64888" s="8"/>
    </row>
    <row r="64889" spans="17:17" x14ac:dyDescent="0.25">
      <c r="Q64889" s="8"/>
    </row>
    <row r="64890" spans="17:17" x14ac:dyDescent="0.25">
      <c r="Q64890" s="8"/>
    </row>
    <row r="64891" spans="17:17" x14ac:dyDescent="0.25">
      <c r="Q64891" s="8"/>
    </row>
    <row r="64892" spans="17:17" x14ac:dyDescent="0.25">
      <c r="Q64892" s="8"/>
    </row>
    <row r="64893" spans="17:17" x14ac:dyDescent="0.25">
      <c r="Q64893" s="8"/>
    </row>
    <row r="64894" spans="17:17" x14ac:dyDescent="0.25">
      <c r="Q64894" s="8"/>
    </row>
    <row r="64895" spans="17:17" x14ac:dyDescent="0.25">
      <c r="Q64895" s="8"/>
    </row>
    <row r="64896" spans="17:17" x14ac:dyDescent="0.25">
      <c r="Q64896" s="8"/>
    </row>
    <row r="64897" spans="17:17" x14ac:dyDescent="0.25">
      <c r="Q64897" s="8"/>
    </row>
    <row r="64898" spans="17:17" x14ac:dyDescent="0.25">
      <c r="Q64898" s="8"/>
    </row>
    <row r="64899" spans="17:17" x14ac:dyDescent="0.25">
      <c r="Q64899" s="8"/>
    </row>
    <row r="64900" spans="17:17" x14ac:dyDescent="0.25">
      <c r="Q64900" s="8"/>
    </row>
    <row r="64901" spans="17:17" x14ac:dyDescent="0.25">
      <c r="Q64901" s="8"/>
    </row>
    <row r="64902" spans="17:17" x14ac:dyDescent="0.25">
      <c r="Q64902" s="8"/>
    </row>
    <row r="64903" spans="17:17" x14ac:dyDescent="0.25">
      <c r="Q64903" s="8"/>
    </row>
    <row r="64904" spans="17:17" x14ac:dyDescent="0.25">
      <c r="Q64904" s="8"/>
    </row>
    <row r="64905" spans="17:17" x14ac:dyDescent="0.25">
      <c r="Q64905" s="8"/>
    </row>
    <row r="64906" spans="17:17" x14ac:dyDescent="0.25">
      <c r="Q64906" s="8"/>
    </row>
    <row r="64907" spans="17:17" x14ac:dyDescent="0.25">
      <c r="Q64907" s="8"/>
    </row>
    <row r="64908" spans="17:17" x14ac:dyDescent="0.25">
      <c r="Q64908" s="8"/>
    </row>
    <row r="64909" spans="17:17" x14ac:dyDescent="0.25">
      <c r="Q64909" s="8"/>
    </row>
    <row r="64910" spans="17:17" x14ac:dyDescent="0.25">
      <c r="Q64910" s="8"/>
    </row>
    <row r="64911" spans="17:17" x14ac:dyDescent="0.25">
      <c r="Q64911" s="8"/>
    </row>
    <row r="64912" spans="17:17" x14ac:dyDescent="0.25">
      <c r="Q64912" s="8"/>
    </row>
    <row r="64913" spans="17:17" x14ac:dyDescent="0.25">
      <c r="Q64913" s="8"/>
    </row>
    <row r="64914" spans="17:17" x14ac:dyDescent="0.25">
      <c r="Q64914" s="8"/>
    </row>
    <row r="64915" spans="17:17" x14ac:dyDescent="0.25">
      <c r="Q64915" s="8"/>
    </row>
    <row r="64916" spans="17:17" x14ac:dyDescent="0.25">
      <c r="Q64916" s="8"/>
    </row>
    <row r="64917" spans="17:17" x14ac:dyDescent="0.25">
      <c r="Q64917" s="8"/>
    </row>
    <row r="64918" spans="17:17" x14ac:dyDescent="0.25">
      <c r="Q64918" s="8"/>
    </row>
    <row r="64919" spans="17:17" x14ac:dyDescent="0.25">
      <c r="Q64919" s="8"/>
    </row>
    <row r="64920" spans="17:17" x14ac:dyDescent="0.25">
      <c r="Q64920" s="8"/>
    </row>
    <row r="64921" spans="17:17" x14ac:dyDescent="0.25">
      <c r="Q64921" s="8"/>
    </row>
    <row r="64922" spans="17:17" x14ac:dyDescent="0.25">
      <c r="Q64922" s="8"/>
    </row>
    <row r="64923" spans="17:17" x14ac:dyDescent="0.25">
      <c r="Q64923" s="8"/>
    </row>
    <row r="64924" spans="17:17" x14ac:dyDescent="0.25">
      <c r="Q64924" s="8"/>
    </row>
    <row r="64925" spans="17:17" x14ac:dyDescent="0.25">
      <c r="Q64925" s="8"/>
    </row>
    <row r="64926" spans="17:17" x14ac:dyDescent="0.25">
      <c r="Q64926" s="8"/>
    </row>
    <row r="64927" spans="17:17" x14ac:dyDescent="0.25">
      <c r="Q64927" s="8"/>
    </row>
    <row r="64928" spans="17:17" x14ac:dyDescent="0.25">
      <c r="Q64928" s="8"/>
    </row>
    <row r="64929" spans="17:17" x14ac:dyDescent="0.25">
      <c r="Q64929" s="8"/>
    </row>
    <row r="64930" spans="17:17" x14ac:dyDescent="0.25">
      <c r="Q64930" s="8"/>
    </row>
    <row r="64931" spans="17:17" x14ac:dyDescent="0.25">
      <c r="Q64931" s="8"/>
    </row>
    <row r="64932" spans="17:17" x14ac:dyDescent="0.25">
      <c r="Q64932" s="8"/>
    </row>
    <row r="64933" spans="17:17" x14ac:dyDescent="0.25">
      <c r="Q64933" s="8"/>
    </row>
    <row r="64934" spans="17:17" x14ac:dyDescent="0.25">
      <c r="Q64934" s="8"/>
    </row>
    <row r="64935" spans="17:17" x14ac:dyDescent="0.25">
      <c r="Q64935" s="8"/>
    </row>
    <row r="64936" spans="17:17" x14ac:dyDescent="0.25">
      <c r="Q64936" s="8"/>
    </row>
    <row r="64937" spans="17:17" x14ac:dyDescent="0.25">
      <c r="Q64937" s="8"/>
    </row>
    <row r="64938" spans="17:17" x14ac:dyDescent="0.25">
      <c r="Q64938" s="8"/>
    </row>
    <row r="64939" spans="17:17" x14ac:dyDescent="0.25">
      <c r="Q64939" s="8"/>
    </row>
    <row r="64940" spans="17:17" x14ac:dyDescent="0.25">
      <c r="Q64940" s="8"/>
    </row>
    <row r="64941" spans="17:17" x14ac:dyDescent="0.25">
      <c r="Q64941" s="8"/>
    </row>
    <row r="64942" spans="17:17" x14ac:dyDescent="0.25">
      <c r="Q64942" s="8"/>
    </row>
    <row r="64943" spans="17:17" x14ac:dyDescent="0.25">
      <c r="Q64943" s="8"/>
    </row>
    <row r="64944" spans="17:17" x14ac:dyDescent="0.25">
      <c r="Q64944" s="8"/>
    </row>
    <row r="64945" spans="17:17" x14ac:dyDescent="0.25">
      <c r="Q64945" s="8"/>
    </row>
    <row r="64946" spans="17:17" x14ac:dyDescent="0.25">
      <c r="Q64946" s="8"/>
    </row>
    <row r="64947" spans="17:17" x14ac:dyDescent="0.25">
      <c r="Q64947" s="8"/>
    </row>
    <row r="64948" spans="17:17" x14ac:dyDescent="0.25">
      <c r="Q64948" s="8"/>
    </row>
    <row r="64949" spans="17:17" x14ac:dyDescent="0.25">
      <c r="Q64949" s="8"/>
    </row>
    <row r="64950" spans="17:17" x14ac:dyDescent="0.25">
      <c r="Q64950" s="8"/>
    </row>
    <row r="64951" spans="17:17" x14ac:dyDescent="0.25">
      <c r="Q64951" s="8"/>
    </row>
    <row r="64952" spans="17:17" x14ac:dyDescent="0.25">
      <c r="Q64952" s="8"/>
    </row>
    <row r="64953" spans="17:17" x14ac:dyDescent="0.25">
      <c r="Q64953" s="8"/>
    </row>
    <row r="64954" spans="17:17" x14ac:dyDescent="0.25">
      <c r="Q64954" s="8"/>
    </row>
    <row r="64955" spans="17:17" x14ac:dyDescent="0.25">
      <c r="Q64955" s="8"/>
    </row>
    <row r="64956" spans="17:17" x14ac:dyDescent="0.25">
      <c r="Q64956" s="8"/>
    </row>
    <row r="64957" spans="17:17" x14ac:dyDescent="0.25">
      <c r="Q64957" s="8"/>
    </row>
    <row r="64958" spans="17:17" x14ac:dyDescent="0.25">
      <c r="Q64958" s="8"/>
    </row>
    <row r="64959" spans="17:17" x14ac:dyDescent="0.25">
      <c r="Q64959" s="8"/>
    </row>
    <row r="64960" spans="17:17" x14ac:dyDescent="0.25">
      <c r="Q64960" s="8"/>
    </row>
    <row r="64961" spans="17:17" x14ac:dyDescent="0.25">
      <c r="Q64961" s="8"/>
    </row>
    <row r="64962" spans="17:17" x14ac:dyDescent="0.25">
      <c r="Q64962" s="8"/>
    </row>
    <row r="64963" spans="17:17" x14ac:dyDescent="0.25">
      <c r="Q64963" s="8"/>
    </row>
    <row r="64964" spans="17:17" x14ac:dyDescent="0.25">
      <c r="Q64964" s="8"/>
    </row>
    <row r="64965" spans="17:17" x14ac:dyDescent="0.25">
      <c r="Q64965" s="8"/>
    </row>
    <row r="64966" spans="17:17" x14ac:dyDescent="0.25">
      <c r="Q64966" s="8"/>
    </row>
    <row r="64967" spans="17:17" x14ac:dyDescent="0.25">
      <c r="Q64967" s="8"/>
    </row>
    <row r="64968" spans="17:17" x14ac:dyDescent="0.25">
      <c r="Q64968" s="8"/>
    </row>
    <row r="64969" spans="17:17" x14ac:dyDescent="0.25">
      <c r="Q64969" s="8"/>
    </row>
    <row r="64970" spans="17:17" x14ac:dyDescent="0.25">
      <c r="Q64970" s="8"/>
    </row>
    <row r="64971" spans="17:17" x14ac:dyDescent="0.25">
      <c r="Q64971" s="8"/>
    </row>
    <row r="64972" spans="17:17" x14ac:dyDescent="0.25">
      <c r="Q64972" s="8"/>
    </row>
    <row r="64973" spans="17:17" x14ac:dyDescent="0.25">
      <c r="Q64973" s="8"/>
    </row>
    <row r="64974" spans="17:17" x14ac:dyDescent="0.25">
      <c r="Q64974" s="8"/>
    </row>
    <row r="64975" spans="17:17" x14ac:dyDescent="0.25">
      <c r="Q64975" s="8"/>
    </row>
    <row r="64976" spans="17:17" x14ac:dyDescent="0.25">
      <c r="Q64976" s="8"/>
    </row>
    <row r="64977" spans="17:17" x14ac:dyDescent="0.25">
      <c r="Q64977" s="8"/>
    </row>
    <row r="64978" spans="17:17" x14ac:dyDescent="0.25">
      <c r="Q64978" s="8"/>
    </row>
    <row r="64979" spans="17:17" x14ac:dyDescent="0.25">
      <c r="Q64979" s="8"/>
    </row>
    <row r="64980" spans="17:17" x14ac:dyDescent="0.25">
      <c r="Q64980" s="8"/>
    </row>
    <row r="64981" spans="17:17" x14ac:dyDescent="0.25">
      <c r="Q64981" s="8"/>
    </row>
    <row r="64982" spans="17:17" x14ac:dyDescent="0.25">
      <c r="Q64982" s="8"/>
    </row>
    <row r="64983" spans="17:17" x14ac:dyDescent="0.25">
      <c r="Q64983" s="8"/>
    </row>
    <row r="64984" spans="17:17" x14ac:dyDescent="0.25">
      <c r="Q64984" s="8"/>
    </row>
    <row r="64985" spans="17:17" x14ac:dyDescent="0.25">
      <c r="Q64985" s="8"/>
    </row>
    <row r="64986" spans="17:17" x14ac:dyDescent="0.25">
      <c r="Q64986" s="8"/>
    </row>
    <row r="64987" spans="17:17" x14ac:dyDescent="0.25">
      <c r="Q64987" s="8"/>
    </row>
    <row r="64988" spans="17:17" x14ac:dyDescent="0.25">
      <c r="Q64988" s="8"/>
    </row>
    <row r="64989" spans="17:17" x14ac:dyDescent="0.25">
      <c r="Q64989" s="8"/>
    </row>
    <row r="64990" spans="17:17" x14ac:dyDescent="0.25">
      <c r="Q64990" s="8"/>
    </row>
    <row r="64991" spans="17:17" x14ac:dyDescent="0.25">
      <c r="Q64991" s="8"/>
    </row>
    <row r="64992" spans="17:17" x14ac:dyDescent="0.25">
      <c r="Q64992" s="8"/>
    </row>
    <row r="64993" spans="17:17" x14ac:dyDescent="0.25">
      <c r="Q64993" s="8"/>
    </row>
    <row r="64994" spans="17:17" x14ac:dyDescent="0.25">
      <c r="Q64994" s="8"/>
    </row>
    <row r="64995" spans="17:17" x14ac:dyDescent="0.25">
      <c r="Q64995" s="8"/>
    </row>
    <row r="64996" spans="17:17" x14ac:dyDescent="0.25">
      <c r="Q64996" s="8"/>
    </row>
    <row r="64997" spans="17:17" x14ac:dyDescent="0.25">
      <c r="Q64997" s="8"/>
    </row>
    <row r="64998" spans="17:17" x14ac:dyDescent="0.25">
      <c r="Q64998" s="8"/>
    </row>
    <row r="64999" spans="17:17" x14ac:dyDescent="0.25">
      <c r="Q64999" s="8"/>
    </row>
    <row r="65000" spans="17:17" x14ac:dyDescent="0.25">
      <c r="Q65000" s="8"/>
    </row>
    <row r="65001" spans="17:17" x14ac:dyDescent="0.25">
      <c r="Q65001" s="8"/>
    </row>
    <row r="65002" spans="17:17" x14ac:dyDescent="0.25">
      <c r="Q65002" s="8"/>
    </row>
    <row r="65003" spans="17:17" x14ac:dyDescent="0.25">
      <c r="Q65003" s="8"/>
    </row>
    <row r="65004" spans="17:17" x14ac:dyDescent="0.25">
      <c r="Q65004" s="8"/>
    </row>
    <row r="65005" spans="17:17" x14ac:dyDescent="0.25">
      <c r="Q65005" s="8"/>
    </row>
    <row r="65006" spans="17:17" x14ac:dyDescent="0.25">
      <c r="Q65006" s="8"/>
    </row>
    <row r="65007" spans="17:17" x14ac:dyDescent="0.25">
      <c r="Q65007" s="8"/>
    </row>
    <row r="65008" spans="17:17" x14ac:dyDescent="0.25">
      <c r="Q65008" s="8"/>
    </row>
    <row r="65009" spans="17:17" x14ac:dyDescent="0.25">
      <c r="Q65009" s="8"/>
    </row>
    <row r="65010" spans="17:17" x14ac:dyDescent="0.25">
      <c r="Q65010" s="8"/>
    </row>
    <row r="65011" spans="17:17" x14ac:dyDescent="0.25">
      <c r="Q65011" s="8"/>
    </row>
    <row r="65012" spans="17:17" x14ac:dyDescent="0.25">
      <c r="Q65012" s="8"/>
    </row>
    <row r="65013" spans="17:17" x14ac:dyDescent="0.25">
      <c r="Q65013" s="8"/>
    </row>
    <row r="65014" spans="17:17" x14ac:dyDescent="0.25">
      <c r="Q65014" s="8"/>
    </row>
    <row r="65015" spans="17:17" x14ac:dyDescent="0.25">
      <c r="Q65015" s="8"/>
    </row>
    <row r="65016" spans="17:17" x14ac:dyDescent="0.25">
      <c r="Q65016" s="8"/>
    </row>
    <row r="65017" spans="17:17" x14ac:dyDescent="0.25">
      <c r="Q65017" s="8"/>
    </row>
    <row r="65018" spans="17:17" x14ac:dyDescent="0.25">
      <c r="Q65018" s="8"/>
    </row>
    <row r="65019" spans="17:17" x14ac:dyDescent="0.25">
      <c r="Q65019" s="8"/>
    </row>
    <row r="65020" spans="17:17" x14ac:dyDescent="0.25">
      <c r="Q65020" s="8"/>
    </row>
    <row r="65021" spans="17:17" x14ac:dyDescent="0.25">
      <c r="Q65021" s="8"/>
    </row>
    <row r="65022" spans="17:17" x14ac:dyDescent="0.25">
      <c r="Q65022" s="8"/>
    </row>
    <row r="65023" spans="17:17" x14ac:dyDescent="0.25">
      <c r="Q65023" s="8"/>
    </row>
    <row r="65024" spans="17:17" x14ac:dyDescent="0.25">
      <c r="Q65024" s="8"/>
    </row>
    <row r="65025" spans="17:17" x14ac:dyDescent="0.25">
      <c r="Q65025" s="8"/>
    </row>
    <row r="65026" spans="17:17" x14ac:dyDescent="0.25">
      <c r="Q65026" s="8"/>
    </row>
    <row r="65027" spans="17:17" x14ac:dyDescent="0.25">
      <c r="Q65027" s="8"/>
    </row>
    <row r="65028" spans="17:17" x14ac:dyDescent="0.25">
      <c r="Q65028" s="8"/>
    </row>
    <row r="65029" spans="17:17" x14ac:dyDescent="0.25">
      <c r="Q65029" s="8"/>
    </row>
    <row r="65030" spans="17:17" x14ac:dyDescent="0.25">
      <c r="Q65030" s="8"/>
    </row>
    <row r="65031" spans="17:17" x14ac:dyDescent="0.25">
      <c r="Q65031" s="8"/>
    </row>
    <row r="65032" spans="17:17" x14ac:dyDescent="0.25">
      <c r="Q65032" s="8"/>
    </row>
    <row r="65033" spans="17:17" x14ac:dyDescent="0.25">
      <c r="Q65033" s="8"/>
    </row>
    <row r="65034" spans="17:17" x14ac:dyDescent="0.25">
      <c r="Q65034" s="8"/>
    </row>
    <row r="65035" spans="17:17" x14ac:dyDescent="0.25">
      <c r="Q65035" s="8"/>
    </row>
    <row r="65036" spans="17:17" x14ac:dyDescent="0.25">
      <c r="Q65036" s="8"/>
    </row>
    <row r="65037" spans="17:17" x14ac:dyDescent="0.25">
      <c r="Q65037" s="8"/>
    </row>
    <row r="65038" spans="17:17" x14ac:dyDescent="0.25">
      <c r="Q65038" s="8"/>
    </row>
    <row r="65039" spans="17:17" x14ac:dyDescent="0.25">
      <c r="Q65039" s="8"/>
    </row>
    <row r="65040" spans="17:17" x14ac:dyDescent="0.25">
      <c r="Q65040" s="8"/>
    </row>
    <row r="65041" spans="17:17" x14ac:dyDescent="0.25">
      <c r="Q65041" s="8"/>
    </row>
    <row r="65042" spans="17:17" x14ac:dyDescent="0.25">
      <c r="Q65042" s="8"/>
    </row>
    <row r="65043" spans="17:17" x14ac:dyDescent="0.25">
      <c r="Q65043" s="8"/>
    </row>
    <row r="65044" spans="17:17" x14ac:dyDescent="0.25">
      <c r="Q65044" s="8"/>
    </row>
    <row r="65045" spans="17:17" x14ac:dyDescent="0.25">
      <c r="Q65045" s="8"/>
    </row>
    <row r="65046" spans="17:17" x14ac:dyDescent="0.25">
      <c r="Q65046" s="8"/>
    </row>
    <row r="65047" spans="17:17" x14ac:dyDescent="0.25">
      <c r="Q65047" s="8"/>
    </row>
    <row r="65048" spans="17:17" x14ac:dyDescent="0.25">
      <c r="Q65048" s="8"/>
    </row>
    <row r="65049" spans="17:17" x14ac:dyDescent="0.25">
      <c r="Q65049" s="8"/>
    </row>
    <row r="65050" spans="17:17" x14ac:dyDescent="0.25">
      <c r="Q65050" s="8"/>
    </row>
    <row r="65051" spans="17:17" x14ac:dyDescent="0.25">
      <c r="Q65051" s="8"/>
    </row>
    <row r="65052" spans="17:17" x14ac:dyDescent="0.25">
      <c r="Q65052" s="8"/>
    </row>
    <row r="65053" spans="17:17" x14ac:dyDescent="0.25">
      <c r="Q65053" s="8"/>
    </row>
    <row r="65054" spans="17:17" x14ac:dyDescent="0.25">
      <c r="Q65054" s="8"/>
    </row>
    <row r="65055" spans="17:17" x14ac:dyDescent="0.25">
      <c r="Q65055" s="8"/>
    </row>
    <row r="65056" spans="17:17" x14ac:dyDescent="0.25">
      <c r="Q65056" s="8"/>
    </row>
    <row r="65057" spans="17:17" x14ac:dyDescent="0.25">
      <c r="Q65057" s="8"/>
    </row>
    <row r="65058" spans="17:17" x14ac:dyDescent="0.25">
      <c r="Q65058" s="8"/>
    </row>
    <row r="65059" spans="17:17" x14ac:dyDescent="0.25">
      <c r="Q65059" s="8"/>
    </row>
    <row r="65060" spans="17:17" x14ac:dyDescent="0.25">
      <c r="Q65060" s="8"/>
    </row>
    <row r="65061" spans="17:17" x14ac:dyDescent="0.25">
      <c r="Q65061" s="8"/>
    </row>
    <row r="65062" spans="17:17" x14ac:dyDescent="0.25">
      <c r="Q65062" s="8"/>
    </row>
    <row r="65063" spans="17:17" x14ac:dyDescent="0.25">
      <c r="Q65063" s="8"/>
    </row>
    <row r="65064" spans="17:17" x14ac:dyDescent="0.25">
      <c r="Q65064" s="8"/>
    </row>
    <row r="65065" spans="17:17" x14ac:dyDescent="0.25">
      <c r="Q65065" s="8"/>
    </row>
    <row r="65066" spans="17:17" x14ac:dyDescent="0.25">
      <c r="Q65066" s="8"/>
    </row>
    <row r="65067" spans="17:17" x14ac:dyDescent="0.25">
      <c r="Q65067" s="8"/>
    </row>
    <row r="65068" spans="17:17" x14ac:dyDescent="0.25">
      <c r="Q65068" s="8"/>
    </row>
    <row r="65069" spans="17:17" x14ac:dyDescent="0.25">
      <c r="Q65069" s="8"/>
    </row>
    <row r="65070" spans="17:17" x14ac:dyDescent="0.25">
      <c r="Q65070" s="8"/>
    </row>
    <row r="65071" spans="17:17" x14ac:dyDescent="0.25">
      <c r="Q65071" s="8"/>
    </row>
    <row r="65072" spans="17:17" x14ac:dyDescent="0.25">
      <c r="Q65072" s="8"/>
    </row>
    <row r="65073" spans="17:17" x14ac:dyDescent="0.25">
      <c r="Q65073" s="8"/>
    </row>
    <row r="65074" spans="17:17" x14ac:dyDescent="0.25">
      <c r="Q65074" s="8"/>
    </row>
    <row r="65075" spans="17:17" x14ac:dyDescent="0.25">
      <c r="Q65075" s="8"/>
    </row>
    <row r="65076" spans="17:17" x14ac:dyDescent="0.25">
      <c r="Q65076" s="8"/>
    </row>
    <row r="65077" spans="17:17" x14ac:dyDescent="0.25">
      <c r="Q65077" s="8"/>
    </row>
    <row r="65078" spans="17:17" x14ac:dyDescent="0.25">
      <c r="Q65078" s="8"/>
    </row>
    <row r="65079" spans="17:17" x14ac:dyDescent="0.25">
      <c r="Q65079" s="8"/>
    </row>
    <row r="65080" spans="17:17" x14ac:dyDescent="0.25">
      <c r="Q65080" s="8"/>
    </row>
    <row r="65081" spans="17:17" x14ac:dyDescent="0.25">
      <c r="Q65081" s="8"/>
    </row>
    <row r="65082" spans="17:17" x14ac:dyDescent="0.25">
      <c r="Q65082" s="8"/>
    </row>
    <row r="65083" spans="17:17" x14ac:dyDescent="0.25">
      <c r="Q65083" s="8"/>
    </row>
    <row r="65084" spans="17:17" x14ac:dyDescent="0.25">
      <c r="Q65084" s="8"/>
    </row>
    <row r="65085" spans="17:17" x14ac:dyDescent="0.25">
      <c r="Q65085" s="8"/>
    </row>
    <row r="65086" spans="17:17" x14ac:dyDescent="0.25">
      <c r="Q65086" s="8"/>
    </row>
    <row r="65087" spans="17:17" x14ac:dyDescent="0.25">
      <c r="Q65087" s="8"/>
    </row>
    <row r="65088" spans="17:17" x14ac:dyDescent="0.25">
      <c r="Q65088" s="8"/>
    </row>
    <row r="65089" spans="17:17" x14ac:dyDescent="0.25">
      <c r="Q65089" s="8"/>
    </row>
    <row r="65090" spans="17:17" x14ac:dyDescent="0.25">
      <c r="Q65090" s="8"/>
    </row>
    <row r="65091" spans="17:17" x14ac:dyDescent="0.25">
      <c r="Q65091" s="8"/>
    </row>
    <row r="65092" spans="17:17" x14ac:dyDescent="0.25">
      <c r="Q65092" s="8"/>
    </row>
    <row r="65093" spans="17:17" x14ac:dyDescent="0.25">
      <c r="Q65093" s="8"/>
    </row>
    <row r="65094" spans="17:17" x14ac:dyDescent="0.25">
      <c r="Q65094" s="8"/>
    </row>
    <row r="65095" spans="17:17" x14ac:dyDescent="0.25">
      <c r="Q65095" s="8"/>
    </row>
    <row r="65096" spans="17:17" x14ac:dyDescent="0.25">
      <c r="Q65096" s="8"/>
    </row>
    <row r="65097" spans="17:17" x14ac:dyDescent="0.25">
      <c r="Q65097" s="8"/>
    </row>
    <row r="65098" spans="17:17" x14ac:dyDescent="0.25">
      <c r="Q65098" s="8"/>
    </row>
    <row r="65099" spans="17:17" x14ac:dyDescent="0.25">
      <c r="Q65099" s="8"/>
    </row>
    <row r="65100" spans="17:17" x14ac:dyDescent="0.25">
      <c r="Q65100" s="8"/>
    </row>
    <row r="65101" spans="17:17" x14ac:dyDescent="0.25">
      <c r="Q65101" s="8"/>
    </row>
    <row r="65102" spans="17:17" x14ac:dyDescent="0.25">
      <c r="Q65102" s="8"/>
    </row>
    <row r="65103" spans="17:17" x14ac:dyDescent="0.25">
      <c r="Q65103" s="8"/>
    </row>
    <row r="65104" spans="17:17" x14ac:dyDescent="0.25">
      <c r="Q65104" s="8"/>
    </row>
    <row r="65105" spans="17:17" x14ac:dyDescent="0.25">
      <c r="Q65105" s="8"/>
    </row>
    <row r="65106" spans="17:17" x14ac:dyDescent="0.25">
      <c r="Q65106" s="8"/>
    </row>
    <row r="65107" spans="17:17" x14ac:dyDescent="0.25">
      <c r="Q65107" s="8"/>
    </row>
    <row r="65108" spans="17:17" x14ac:dyDescent="0.25">
      <c r="Q65108" s="8"/>
    </row>
    <row r="65109" spans="17:17" x14ac:dyDescent="0.25">
      <c r="Q65109" s="8"/>
    </row>
    <row r="65110" spans="17:17" x14ac:dyDescent="0.25">
      <c r="Q65110" s="8"/>
    </row>
    <row r="65111" spans="17:17" x14ac:dyDescent="0.25">
      <c r="Q65111" s="8"/>
    </row>
    <row r="65112" spans="17:17" x14ac:dyDescent="0.25">
      <c r="Q65112" s="8"/>
    </row>
    <row r="65113" spans="17:17" x14ac:dyDescent="0.25">
      <c r="Q65113" s="8"/>
    </row>
    <row r="65114" spans="17:17" x14ac:dyDescent="0.25">
      <c r="Q65114" s="8"/>
    </row>
    <row r="65115" spans="17:17" x14ac:dyDescent="0.25">
      <c r="Q65115" s="8"/>
    </row>
    <row r="65116" spans="17:17" x14ac:dyDescent="0.25">
      <c r="Q65116" s="8"/>
    </row>
    <row r="65117" spans="17:17" x14ac:dyDescent="0.25">
      <c r="Q65117" s="8"/>
    </row>
    <row r="65118" spans="17:17" x14ac:dyDescent="0.25">
      <c r="Q65118" s="8"/>
    </row>
    <row r="65119" spans="17:17" x14ac:dyDescent="0.25">
      <c r="Q65119" s="8"/>
    </row>
    <row r="65120" spans="17:17" x14ac:dyDescent="0.25">
      <c r="Q65120" s="8"/>
    </row>
    <row r="65121" spans="17:17" x14ac:dyDescent="0.25">
      <c r="Q65121" s="8"/>
    </row>
    <row r="65122" spans="17:17" x14ac:dyDescent="0.25">
      <c r="Q65122" s="8"/>
    </row>
    <row r="65123" spans="17:17" x14ac:dyDescent="0.25">
      <c r="Q65123" s="8"/>
    </row>
    <row r="65124" spans="17:17" x14ac:dyDescent="0.25">
      <c r="Q65124" s="8"/>
    </row>
    <row r="65125" spans="17:17" x14ac:dyDescent="0.25">
      <c r="Q65125" s="8"/>
    </row>
    <row r="65126" spans="17:17" x14ac:dyDescent="0.25">
      <c r="Q65126" s="8"/>
    </row>
    <row r="65127" spans="17:17" x14ac:dyDescent="0.25">
      <c r="Q65127" s="8"/>
    </row>
    <row r="65128" spans="17:17" x14ac:dyDescent="0.25">
      <c r="Q65128" s="8"/>
    </row>
    <row r="65129" spans="17:17" x14ac:dyDescent="0.25">
      <c r="Q65129" s="8"/>
    </row>
    <row r="65130" spans="17:17" x14ac:dyDescent="0.25">
      <c r="Q65130" s="8"/>
    </row>
    <row r="65131" spans="17:17" x14ac:dyDescent="0.25">
      <c r="Q65131" s="8"/>
    </row>
    <row r="65132" spans="17:17" x14ac:dyDescent="0.25">
      <c r="Q65132" s="8"/>
    </row>
    <row r="65133" spans="17:17" x14ac:dyDescent="0.25">
      <c r="Q65133" s="8"/>
    </row>
    <row r="65134" spans="17:17" x14ac:dyDescent="0.25">
      <c r="Q65134" s="8"/>
    </row>
    <row r="65135" spans="17:17" x14ac:dyDescent="0.25">
      <c r="Q65135" s="8"/>
    </row>
    <row r="65136" spans="17:17" x14ac:dyDescent="0.25">
      <c r="Q65136" s="8"/>
    </row>
    <row r="65137" spans="17:17" x14ac:dyDescent="0.25">
      <c r="Q65137" s="8"/>
    </row>
    <row r="65138" spans="17:17" x14ac:dyDescent="0.25">
      <c r="Q65138" s="8"/>
    </row>
    <row r="65139" spans="17:17" x14ac:dyDescent="0.25">
      <c r="Q65139" s="8"/>
    </row>
    <row r="65140" spans="17:17" x14ac:dyDescent="0.25">
      <c r="Q65140" s="8"/>
    </row>
    <row r="65141" spans="17:17" x14ac:dyDescent="0.25">
      <c r="Q65141" s="8"/>
    </row>
    <row r="65142" spans="17:17" x14ac:dyDescent="0.25">
      <c r="Q65142" s="8"/>
    </row>
    <row r="65143" spans="17:17" x14ac:dyDescent="0.25">
      <c r="Q65143" s="8"/>
    </row>
    <row r="65144" spans="17:17" x14ac:dyDescent="0.25">
      <c r="Q65144" s="8"/>
    </row>
    <row r="65145" spans="17:17" x14ac:dyDescent="0.25">
      <c r="Q65145" s="8"/>
    </row>
    <row r="65146" spans="17:17" x14ac:dyDescent="0.25">
      <c r="Q65146" s="8"/>
    </row>
    <row r="65147" spans="17:17" x14ac:dyDescent="0.25">
      <c r="Q65147" s="8"/>
    </row>
    <row r="65148" spans="17:17" x14ac:dyDescent="0.25">
      <c r="Q65148" s="8"/>
    </row>
    <row r="65149" spans="17:17" x14ac:dyDescent="0.25">
      <c r="Q65149" s="8"/>
    </row>
    <row r="65150" spans="17:17" x14ac:dyDescent="0.25">
      <c r="Q65150" s="8"/>
    </row>
    <row r="65151" spans="17:17" x14ac:dyDescent="0.25">
      <c r="Q65151" s="8"/>
    </row>
    <row r="65152" spans="17:17" x14ac:dyDescent="0.25">
      <c r="Q65152" s="8"/>
    </row>
    <row r="65153" spans="17:17" x14ac:dyDescent="0.25">
      <c r="Q65153" s="8"/>
    </row>
    <row r="65154" spans="17:17" x14ac:dyDescent="0.25">
      <c r="Q65154" s="8"/>
    </row>
    <row r="65155" spans="17:17" x14ac:dyDescent="0.25">
      <c r="Q65155" s="8"/>
    </row>
    <row r="65156" spans="17:17" x14ac:dyDescent="0.25">
      <c r="Q65156" s="8"/>
    </row>
    <row r="65157" spans="17:17" x14ac:dyDescent="0.25">
      <c r="Q65157" s="8"/>
    </row>
    <row r="65158" spans="17:17" x14ac:dyDescent="0.25">
      <c r="Q65158" s="8"/>
    </row>
    <row r="65159" spans="17:17" x14ac:dyDescent="0.25">
      <c r="Q65159" s="8"/>
    </row>
    <row r="65160" spans="17:17" x14ac:dyDescent="0.25">
      <c r="Q65160" s="8"/>
    </row>
    <row r="65161" spans="17:17" x14ac:dyDescent="0.25">
      <c r="Q65161" s="8"/>
    </row>
    <row r="65162" spans="17:17" x14ac:dyDescent="0.25">
      <c r="Q65162" s="8"/>
    </row>
    <row r="65163" spans="17:17" x14ac:dyDescent="0.25">
      <c r="Q65163" s="8"/>
    </row>
    <row r="65164" spans="17:17" x14ac:dyDescent="0.25">
      <c r="Q65164" s="8"/>
    </row>
    <row r="65165" spans="17:17" x14ac:dyDescent="0.25">
      <c r="Q65165" s="8"/>
    </row>
    <row r="65166" spans="17:17" x14ac:dyDescent="0.25">
      <c r="Q65166" s="8"/>
    </row>
    <row r="65167" spans="17:17" x14ac:dyDescent="0.25">
      <c r="Q65167" s="8"/>
    </row>
    <row r="65168" spans="17:17" x14ac:dyDescent="0.25">
      <c r="Q65168" s="8"/>
    </row>
    <row r="65169" spans="17:17" x14ac:dyDescent="0.25">
      <c r="Q65169" s="8"/>
    </row>
    <row r="65170" spans="17:17" x14ac:dyDescent="0.25">
      <c r="Q65170" s="8"/>
    </row>
    <row r="65171" spans="17:17" x14ac:dyDescent="0.25">
      <c r="Q65171" s="8"/>
    </row>
    <row r="65172" spans="17:17" x14ac:dyDescent="0.25">
      <c r="Q65172" s="8"/>
    </row>
    <row r="65173" spans="17:17" x14ac:dyDescent="0.25">
      <c r="Q65173" s="8"/>
    </row>
    <row r="65174" spans="17:17" x14ac:dyDescent="0.25">
      <c r="Q65174" s="8"/>
    </row>
    <row r="65175" spans="17:17" x14ac:dyDescent="0.25">
      <c r="Q65175" s="8"/>
    </row>
    <row r="65176" spans="17:17" x14ac:dyDescent="0.25">
      <c r="Q65176" s="8"/>
    </row>
    <row r="65177" spans="17:17" x14ac:dyDescent="0.25">
      <c r="Q65177" s="8"/>
    </row>
    <row r="65178" spans="17:17" x14ac:dyDescent="0.25">
      <c r="Q65178" s="8"/>
    </row>
    <row r="65179" spans="17:17" x14ac:dyDescent="0.25">
      <c r="Q65179" s="8"/>
    </row>
    <row r="65180" spans="17:17" x14ac:dyDescent="0.25">
      <c r="Q65180" s="8"/>
    </row>
    <row r="65181" spans="17:17" x14ac:dyDescent="0.25">
      <c r="Q65181" s="8"/>
    </row>
    <row r="65182" spans="17:17" x14ac:dyDescent="0.25">
      <c r="Q65182" s="8"/>
    </row>
    <row r="65183" spans="17:17" x14ac:dyDescent="0.25">
      <c r="Q65183" s="8"/>
    </row>
    <row r="65184" spans="17:17" x14ac:dyDescent="0.25">
      <c r="Q65184" s="8"/>
    </row>
    <row r="65185" spans="17:17" x14ac:dyDescent="0.25">
      <c r="Q65185" s="8"/>
    </row>
    <row r="65186" spans="17:17" x14ac:dyDescent="0.25">
      <c r="Q65186" s="8"/>
    </row>
    <row r="65187" spans="17:17" x14ac:dyDescent="0.25">
      <c r="Q65187" s="8"/>
    </row>
    <row r="65188" spans="17:17" x14ac:dyDescent="0.25">
      <c r="Q65188" s="8"/>
    </row>
    <row r="65189" spans="17:17" x14ac:dyDescent="0.25">
      <c r="Q65189" s="8"/>
    </row>
    <row r="65190" spans="17:17" x14ac:dyDescent="0.25">
      <c r="Q65190" s="8"/>
    </row>
    <row r="65191" spans="17:17" x14ac:dyDescent="0.25">
      <c r="Q65191" s="8"/>
    </row>
    <row r="65192" spans="17:17" x14ac:dyDescent="0.25">
      <c r="Q65192" s="8"/>
    </row>
    <row r="65193" spans="17:17" x14ac:dyDescent="0.25">
      <c r="Q65193" s="8"/>
    </row>
    <row r="65194" spans="17:17" x14ac:dyDescent="0.25">
      <c r="Q65194" s="8"/>
    </row>
    <row r="65195" spans="17:17" x14ac:dyDescent="0.25">
      <c r="Q65195" s="8"/>
    </row>
    <row r="65196" spans="17:17" x14ac:dyDescent="0.25">
      <c r="Q65196" s="8"/>
    </row>
    <row r="65197" spans="17:17" x14ac:dyDescent="0.25">
      <c r="Q65197" s="8"/>
    </row>
    <row r="65198" spans="17:17" x14ac:dyDescent="0.25">
      <c r="Q65198" s="8"/>
    </row>
    <row r="65199" spans="17:17" x14ac:dyDescent="0.25">
      <c r="Q65199" s="8"/>
    </row>
    <row r="65200" spans="17:17" x14ac:dyDescent="0.25">
      <c r="Q65200" s="8"/>
    </row>
    <row r="65201" spans="17:17" x14ac:dyDescent="0.25">
      <c r="Q65201" s="8"/>
    </row>
    <row r="65202" spans="17:17" x14ac:dyDescent="0.25">
      <c r="Q65202" s="8"/>
    </row>
    <row r="65203" spans="17:17" x14ac:dyDescent="0.25">
      <c r="Q65203" s="8"/>
    </row>
    <row r="65204" spans="17:17" x14ac:dyDescent="0.25">
      <c r="Q65204" s="8"/>
    </row>
    <row r="65205" spans="17:17" x14ac:dyDescent="0.25">
      <c r="Q65205" s="8"/>
    </row>
    <row r="65206" spans="17:17" x14ac:dyDescent="0.25">
      <c r="Q65206" s="8"/>
    </row>
    <row r="65207" spans="17:17" x14ac:dyDescent="0.25">
      <c r="Q65207" s="8"/>
    </row>
    <row r="65208" spans="17:17" x14ac:dyDescent="0.25">
      <c r="Q65208" s="8"/>
    </row>
    <row r="65209" spans="17:17" x14ac:dyDescent="0.25">
      <c r="Q65209" s="8"/>
    </row>
    <row r="65210" spans="17:17" x14ac:dyDescent="0.25">
      <c r="Q65210" s="8"/>
    </row>
    <row r="65211" spans="17:17" x14ac:dyDescent="0.25">
      <c r="Q65211" s="8"/>
    </row>
    <row r="65212" spans="17:17" x14ac:dyDescent="0.25">
      <c r="Q65212" s="8"/>
    </row>
    <row r="65213" spans="17:17" x14ac:dyDescent="0.25">
      <c r="Q65213" s="8"/>
    </row>
    <row r="65214" spans="17:17" x14ac:dyDescent="0.25">
      <c r="Q65214" s="8"/>
    </row>
    <row r="65215" spans="17:17" x14ac:dyDescent="0.25">
      <c r="Q65215" s="8"/>
    </row>
    <row r="65216" spans="17:17" x14ac:dyDescent="0.25">
      <c r="Q65216" s="8"/>
    </row>
    <row r="65217" spans="17:17" x14ac:dyDescent="0.25">
      <c r="Q65217" s="8"/>
    </row>
    <row r="65218" spans="17:17" x14ac:dyDescent="0.25">
      <c r="Q65218" s="8"/>
    </row>
    <row r="65219" spans="17:17" x14ac:dyDescent="0.25">
      <c r="Q65219" s="8"/>
    </row>
    <row r="65220" spans="17:17" x14ac:dyDescent="0.25">
      <c r="Q65220" s="8"/>
    </row>
    <row r="65221" spans="17:17" x14ac:dyDescent="0.25">
      <c r="Q65221" s="8"/>
    </row>
    <row r="65222" spans="17:17" x14ac:dyDescent="0.25">
      <c r="Q65222" s="8"/>
    </row>
    <row r="65223" spans="17:17" x14ac:dyDescent="0.25">
      <c r="Q65223" s="8"/>
    </row>
    <row r="65224" spans="17:17" x14ac:dyDescent="0.25">
      <c r="Q65224" s="8"/>
    </row>
    <row r="65225" spans="17:17" x14ac:dyDescent="0.25">
      <c r="Q65225" s="8"/>
    </row>
    <row r="65226" spans="17:17" x14ac:dyDescent="0.25">
      <c r="Q65226" s="8"/>
    </row>
    <row r="65227" spans="17:17" x14ac:dyDescent="0.25">
      <c r="Q65227" s="8"/>
    </row>
    <row r="65228" spans="17:17" x14ac:dyDescent="0.25">
      <c r="Q65228" s="8"/>
    </row>
    <row r="65229" spans="17:17" x14ac:dyDescent="0.25">
      <c r="Q65229" s="8"/>
    </row>
    <row r="65230" spans="17:17" x14ac:dyDescent="0.25">
      <c r="Q65230" s="8"/>
    </row>
    <row r="65231" spans="17:17" x14ac:dyDescent="0.25">
      <c r="Q65231" s="8"/>
    </row>
    <row r="65232" spans="17:17" x14ac:dyDescent="0.25">
      <c r="Q65232" s="8"/>
    </row>
    <row r="65233" spans="17:17" x14ac:dyDescent="0.25">
      <c r="Q65233" s="8"/>
    </row>
    <row r="65234" spans="17:17" x14ac:dyDescent="0.25">
      <c r="Q65234" s="8"/>
    </row>
    <row r="65235" spans="17:17" x14ac:dyDescent="0.25">
      <c r="Q65235" s="8"/>
    </row>
    <row r="65236" spans="17:17" x14ac:dyDescent="0.25">
      <c r="Q65236" s="8"/>
    </row>
    <row r="65237" spans="17:17" x14ac:dyDescent="0.25">
      <c r="Q65237" s="8"/>
    </row>
    <row r="65238" spans="17:17" x14ac:dyDescent="0.25">
      <c r="Q65238" s="8"/>
    </row>
    <row r="65239" spans="17:17" x14ac:dyDescent="0.25">
      <c r="Q65239" s="8"/>
    </row>
    <row r="65240" spans="17:17" x14ac:dyDescent="0.25">
      <c r="Q65240" s="8"/>
    </row>
    <row r="65241" spans="17:17" x14ac:dyDescent="0.25">
      <c r="Q65241" s="8"/>
    </row>
    <row r="65242" spans="17:17" x14ac:dyDescent="0.25">
      <c r="Q65242" s="8"/>
    </row>
    <row r="65243" spans="17:17" x14ac:dyDescent="0.25">
      <c r="Q65243" s="8"/>
    </row>
    <row r="65244" spans="17:17" x14ac:dyDescent="0.25">
      <c r="Q65244" s="8"/>
    </row>
    <row r="65245" spans="17:17" x14ac:dyDescent="0.25">
      <c r="Q65245" s="8"/>
    </row>
    <row r="65246" spans="17:17" x14ac:dyDescent="0.25">
      <c r="Q65246" s="8"/>
    </row>
    <row r="65247" spans="17:17" x14ac:dyDescent="0.25">
      <c r="Q65247" s="8"/>
    </row>
    <row r="65248" spans="17:17" x14ac:dyDescent="0.25">
      <c r="Q65248" s="8"/>
    </row>
    <row r="65249" spans="17:17" x14ac:dyDescent="0.25">
      <c r="Q65249" s="8"/>
    </row>
    <row r="65250" spans="17:17" x14ac:dyDescent="0.25">
      <c r="Q65250" s="8"/>
    </row>
    <row r="65251" spans="17:17" x14ac:dyDescent="0.25">
      <c r="Q65251" s="8"/>
    </row>
    <row r="65252" spans="17:17" x14ac:dyDescent="0.25">
      <c r="Q65252" s="8"/>
    </row>
    <row r="65253" spans="17:17" x14ac:dyDescent="0.25">
      <c r="Q65253" s="8"/>
    </row>
    <row r="65254" spans="17:17" x14ac:dyDescent="0.25">
      <c r="Q65254" s="8"/>
    </row>
    <row r="65255" spans="17:17" x14ac:dyDescent="0.25">
      <c r="Q65255" s="8"/>
    </row>
    <row r="65256" spans="17:17" x14ac:dyDescent="0.25">
      <c r="Q65256" s="8"/>
    </row>
    <row r="65257" spans="17:17" x14ac:dyDescent="0.25">
      <c r="Q65257" s="8"/>
    </row>
    <row r="65258" spans="17:17" x14ac:dyDescent="0.25">
      <c r="Q65258" s="8"/>
    </row>
    <row r="65259" spans="17:17" x14ac:dyDescent="0.25">
      <c r="Q65259" s="8"/>
    </row>
    <row r="65260" spans="17:17" x14ac:dyDescent="0.25">
      <c r="Q65260" s="8"/>
    </row>
    <row r="65261" spans="17:17" x14ac:dyDescent="0.25">
      <c r="Q65261" s="8"/>
    </row>
    <row r="65262" spans="17:17" x14ac:dyDescent="0.25">
      <c r="Q65262" s="8"/>
    </row>
    <row r="65263" spans="17:17" x14ac:dyDescent="0.25">
      <c r="Q65263" s="8"/>
    </row>
    <row r="65264" spans="17:17" x14ac:dyDescent="0.25">
      <c r="Q65264" s="8"/>
    </row>
    <row r="65265" spans="17:17" x14ac:dyDescent="0.25">
      <c r="Q65265" s="8"/>
    </row>
    <row r="65266" spans="17:17" x14ac:dyDescent="0.25">
      <c r="Q65266" s="8"/>
    </row>
    <row r="65267" spans="17:17" x14ac:dyDescent="0.25">
      <c r="Q65267" s="8"/>
    </row>
    <row r="65268" spans="17:17" x14ac:dyDescent="0.25">
      <c r="Q65268" s="8"/>
    </row>
    <row r="65269" spans="17:17" x14ac:dyDescent="0.25">
      <c r="Q65269" s="8"/>
    </row>
    <row r="65270" spans="17:17" x14ac:dyDescent="0.25">
      <c r="Q65270" s="8"/>
    </row>
    <row r="65271" spans="17:17" x14ac:dyDescent="0.25">
      <c r="Q65271" s="8"/>
    </row>
    <row r="65272" spans="17:17" x14ac:dyDescent="0.25">
      <c r="Q65272" s="8"/>
    </row>
    <row r="65273" spans="17:17" x14ac:dyDescent="0.25">
      <c r="Q65273" s="8"/>
    </row>
    <row r="65274" spans="17:17" x14ac:dyDescent="0.25">
      <c r="Q65274" s="8"/>
    </row>
    <row r="65275" spans="17:17" x14ac:dyDescent="0.25">
      <c r="Q65275" s="8"/>
    </row>
    <row r="65276" spans="17:17" x14ac:dyDescent="0.25">
      <c r="Q65276" s="8"/>
    </row>
    <row r="65277" spans="17:17" x14ac:dyDescent="0.25">
      <c r="Q65277" s="8"/>
    </row>
    <row r="65278" spans="17:17" x14ac:dyDescent="0.25">
      <c r="Q65278" s="8"/>
    </row>
    <row r="65279" spans="17:17" x14ac:dyDescent="0.25">
      <c r="Q65279" s="8"/>
    </row>
    <row r="65280" spans="17:17" x14ac:dyDescent="0.25">
      <c r="Q65280" s="8"/>
    </row>
    <row r="65281" spans="17:17" x14ac:dyDescent="0.25">
      <c r="Q65281" s="8"/>
    </row>
    <row r="65282" spans="17:17" x14ac:dyDescent="0.25">
      <c r="Q65282" s="8"/>
    </row>
    <row r="65283" spans="17:17" x14ac:dyDescent="0.25">
      <c r="Q65283" s="8"/>
    </row>
    <row r="65284" spans="17:17" x14ac:dyDescent="0.25">
      <c r="Q65284" s="8"/>
    </row>
    <row r="65285" spans="17:17" x14ac:dyDescent="0.25">
      <c r="Q65285" s="8"/>
    </row>
    <row r="65286" spans="17:17" x14ac:dyDescent="0.25">
      <c r="Q65286" s="8"/>
    </row>
    <row r="65287" spans="17:17" x14ac:dyDescent="0.25">
      <c r="Q65287" s="8"/>
    </row>
    <row r="65288" spans="17:17" x14ac:dyDescent="0.25">
      <c r="Q65288" s="8"/>
    </row>
    <row r="65289" spans="17:17" x14ac:dyDescent="0.25">
      <c r="Q65289" s="8"/>
    </row>
    <row r="65290" spans="17:17" x14ac:dyDescent="0.25">
      <c r="Q65290" s="8"/>
    </row>
    <row r="65291" spans="17:17" x14ac:dyDescent="0.25">
      <c r="Q65291" s="8"/>
    </row>
    <row r="65292" spans="17:17" x14ac:dyDescent="0.25">
      <c r="Q65292" s="8"/>
    </row>
    <row r="65293" spans="17:17" x14ac:dyDescent="0.25">
      <c r="Q65293" s="8"/>
    </row>
    <row r="65294" spans="17:17" x14ac:dyDescent="0.25">
      <c r="Q65294" s="8"/>
    </row>
    <row r="65295" spans="17:17" x14ac:dyDescent="0.25">
      <c r="Q65295" s="8"/>
    </row>
    <row r="65296" spans="17:17" x14ac:dyDescent="0.25">
      <c r="Q65296" s="8"/>
    </row>
    <row r="65297" spans="17:17" x14ac:dyDescent="0.25">
      <c r="Q65297" s="8"/>
    </row>
    <row r="65298" spans="17:17" x14ac:dyDescent="0.25">
      <c r="Q65298" s="8"/>
    </row>
    <row r="65299" spans="17:17" x14ac:dyDescent="0.25">
      <c r="Q65299" s="8"/>
    </row>
    <row r="65300" spans="17:17" x14ac:dyDescent="0.25">
      <c r="Q65300" s="8"/>
    </row>
    <row r="65301" spans="17:17" x14ac:dyDescent="0.25">
      <c r="Q65301" s="8"/>
    </row>
    <row r="65302" spans="17:17" x14ac:dyDescent="0.25">
      <c r="Q65302" s="8"/>
    </row>
    <row r="65303" spans="17:17" x14ac:dyDescent="0.25">
      <c r="Q65303" s="8"/>
    </row>
    <row r="65304" spans="17:17" x14ac:dyDescent="0.25">
      <c r="Q65304" s="8"/>
    </row>
    <row r="65305" spans="17:17" x14ac:dyDescent="0.25">
      <c r="Q65305" s="8"/>
    </row>
    <row r="65306" spans="17:17" x14ac:dyDescent="0.25">
      <c r="Q65306" s="8"/>
    </row>
    <row r="65307" spans="17:17" x14ac:dyDescent="0.25">
      <c r="Q65307" s="8"/>
    </row>
    <row r="65308" spans="17:17" x14ac:dyDescent="0.25">
      <c r="Q65308" s="8"/>
    </row>
    <row r="65309" spans="17:17" x14ac:dyDescent="0.25">
      <c r="Q65309" s="8"/>
    </row>
    <row r="65310" spans="17:17" x14ac:dyDescent="0.25">
      <c r="Q65310" s="8"/>
    </row>
    <row r="65311" spans="17:17" x14ac:dyDescent="0.25">
      <c r="Q65311" s="8"/>
    </row>
    <row r="65312" spans="17:17" x14ac:dyDescent="0.25">
      <c r="Q65312" s="8"/>
    </row>
    <row r="65313" spans="17:17" x14ac:dyDescent="0.25">
      <c r="Q65313" s="8"/>
    </row>
    <row r="65314" spans="17:17" x14ac:dyDescent="0.25">
      <c r="Q65314" s="8"/>
    </row>
    <row r="65315" spans="17:17" x14ac:dyDescent="0.25">
      <c r="Q65315" s="8"/>
    </row>
    <row r="65316" spans="17:17" x14ac:dyDescent="0.25">
      <c r="Q65316" s="8"/>
    </row>
    <row r="65317" spans="17:17" x14ac:dyDescent="0.25">
      <c r="Q65317" s="8"/>
    </row>
    <row r="65318" spans="17:17" x14ac:dyDescent="0.25">
      <c r="Q65318" s="8"/>
    </row>
    <row r="65319" spans="17:17" x14ac:dyDescent="0.25">
      <c r="Q65319" s="8"/>
    </row>
    <row r="65320" spans="17:17" x14ac:dyDescent="0.25">
      <c r="Q65320" s="8"/>
    </row>
    <row r="65321" spans="17:17" x14ac:dyDescent="0.25">
      <c r="Q65321" s="8"/>
    </row>
    <row r="65322" spans="17:17" x14ac:dyDescent="0.25">
      <c r="Q65322" s="8"/>
    </row>
    <row r="65323" spans="17:17" x14ac:dyDescent="0.25">
      <c r="Q65323" s="8"/>
    </row>
    <row r="65324" spans="17:17" x14ac:dyDescent="0.25">
      <c r="Q65324" s="8"/>
    </row>
    <row r="65325" spans="17:17" x14ac:dyDescent="0.25">
      <c r="Q65325" s="8"/>
    </row>
    <row r="65326" spans="17:17" x14ac:dyDescent="0.25">
      <c r="Q65326" s="8"/>
    </row>
    <row r="65327" spans="17:17" x14ac:dyDescent="0.25">
      <c r="Q65327" s="8"/>
    </row>
    <row r="65328" spans="17:17" x14ac:dyDescent="0.25">
      <c r="Q65328" s="8"/>
    </row>
    <row r="65329" spans="17:17" x14ac:dyDescent="0.25">
      <c r="Q65329" s="8"/>
    </row>
    <row r="65330" spans="17:17" x14ac:dyDescent="0.25">
      <c r="Q65330" s="8"/>
    </row>
    <row r="65331" spans="17:17" x14ac:dyDescent="0.25">
      <c r="Q65331" s="8"/>
    </row>
    <row r="65332" spans="17:17" x14ac:dyDescent="0.25">
      <c r="Q65332" s="8"/>
    </row>
    <row r="65333" spans="17:17" x14ac:dyDescent="0.25">
      <c r="Q65333" s="8"/>
    </row>
    <row r="65334" spans="17:17" x14ac:dyDescent="0.25">
      <c r="Q65334" s="8"/>
    </row>
    <row r="65335" spans="17:17" x14ac:dyDescent="0.25">
      <c r="Q65335" s="8"/>
    </row>
    <row r="65336" spans="17:17" x14ac:dyDescent="0.25">
      <c r="Q65336" s="8"/>
    </row>
    <row r="65337" spans="17:17" x14ac:dyDescent="0.25">
      <c r="Q65337" s="8"/>
    </row>
    <row r="65338" spans="17:17" x14ac:dyDescent="0.25">
      <c r="Q65338" s="8"/>
    </row>
    <row r="65339" spans="17:17" x14ac:dyDescent="0.25">
      <c r="Q65339" s="8"/>
    </row>
    <row r="65340" spans="17:17" x14ac:dyDescent="0.25">
      <c r="Q65340" s="8"/>
    </row>
    <row r="65341" spans="17:17" x14ac:dyDescent="0.25">
      <c r="Q65341" s="8"/>
    </row>
    <row r="65342" spans="17:17" x14ac:dyDescent="0.25">
      <c r="Q65342" s="8"/>
    </row>
    <row r="65343" spans="17:17" x14ac:dyDescent="0.25">
      <c r="Q65343" s="8"/>
    </row>
    <row r="65344" spans="17:17" x14ac:dyDescent="0.25">
      <c r="Q65344" s="8"/>
    </row>
    <row r="65345" spans="17:17" x14ac:dyDescent="0.25">
      <c r="Q65345" s="8"/>
    </row>
    <row r="65346" spans="17:17" x14ac:dyDescent="0.25">
      <c r="Q65346" s="8"/>
    </row>
    <row r="65347" spans="17:17" x14ac:dyDescent="0.25">
      <c r="Q65347" s="8"/>
    </row>
    <row r="65348" spans="17:17" x14ac:dyDescent="0.25">
      <c r="Q65348" s="8"/>
    </row>
    <row r="65349" spans="17:17" x14ac:dyDescent="0.25">
      <c r="Q65349" s="8"/>
    </row>
    <row r="65350" spans="17:17" x14ac:dyDescent="0.25">
      <c r="Q65350" s="8"/>
    </row>
    <row r="65351" spans="17:17" x14ac:dyDescent="0.25">
      <c r="Q65351" s="8"/>
    </row>
    <row r="65352" spans="17:17" x14ac:dyDescent="0.25">
      <c r="Q65352" s="8"/>
    </row>
    <row r="65353" spans="17:17" x14ac:dyDescent="0.25">
      <c r="Q65353" s="8"/>
    </row>
    <row r="65354" spans="17:17" x14ac:dyDescent="0.25">
      <c r="Q65354" s="8"/>
    </row>
    <row r="65355" spans="17:17" x14ac:dyDescent="0.25">
      <c r="Q65355" s="8"/>
    </row>
    <row r="65356" spans="17:17" x14ac:dyDescent="0.25">
      <c r="Q65356" s="8"/>
    </row>
    <row r="65357" spans="17:17" x14ac:dyDescent="0.25">
      <c r="Q65357" s="8"/>
    </row>
    <row r="65358" spans="17:17" x14ac:dyDescent="0.25">
      <c r="Q65358" s="8"/>
    </row>
    <row r="65359" spans="17:17" x14ac:dyDescent="0.25">
      <c r="Q65359" s="8"/>
    </row>
    <row r="65360" spans="17:17" x14ac:dyDescent="0.25">
      <c r="Q65360" s="8"/>
    </row>
    <row r="65361" spans="17:17" x14ac:dyDescent="0.25">
      <c r="Q65361" s="8"/>
    </row>
    <row r="65362" spans="17:17" x14ac:dyDescent="0.25">
      <c r="Q65362" s="8"/>
    </row>
    <row r="65363" spans="17:17" x14ac:dyDescent="0.25">
      <c r="Q65363" s="8"/>
    </row>
    <row r="65364" spans="17:17" x14ac:dyDescent="0.25">
      <c r="Q65364" s="8"/>
    </row>
    <row r="65365" spans="17:17" x14ac:dyDescent="0.25">
      <c r="Q65365" s="8"/>
    </row>
    <row r="65366" spans="17:17" x14ac:dyDescent="0.25">
      <c r="Q65366" s="8"/>
    </row>
    <row r="65367" spans="17:17" x14ac:dyDescent="0.25">
      <c r="Q65367" s="8"/>
    </row>
    <row r="65368" spans="17:17" x14ac:dyDescent="0.25">
      <c r="Q65368" s="8"/>
    </row>
    <row r="65369" spans="17:17" x14ac:dyDescent="0.25">
      <c r="Q65369" s="8"/>
    </row>
    <row r="65370" spans="17:17" x14ac:dyDescent="0.25">
      <c r="Q65370" s="8"/>
    </row>
    <row r="65371" spans="17:17" x14ac:dyDescent="0.25">
      <c r="Q65371" s="8"/>
    </row>
    <row r="65372" spans="17:17" x14ac:dyDescent="0.25">
      <c r="Q65372" s="8"/>
    </row>
    <row r="65373" spans="17:17" x14ac:dyDescent="0.25">
      <c r="Q65373" s="8"/>
    </row>
    <row r="65374" spans="17:17" x14ac:dyDescent="0.25">
      <c r="Q65374" s="8"/>
    </row>
    <row r="65375" spans="17:17" x14ac:dyDescent="0.25">
      <c r="Q65375" s="8"/>
    </row>
    <row r="65376" spans="17:17" x14ac:dyDescent="0.25">
      <c r="Q65376" s="8"/>
    </row>
    <row r="65377" spans="17:17" x14ac:dyDescent="0.25">
      <c r="Q65377" s="8"/>
    </row>
    <row r="65378" spans="17:17" x14ac:dyDescent="0.25">
      <c r="Q65378" s="8"/>
    </row>
    <row r="65379" spans="17:17" x14ac:dyDescent="0.25">
      <c r="Q65379" s="8"/>
    </row>
    <row r="65380" spans="17:17" x14ac:dyDescent="0.25">
      <c r="Q65380" s="8"/>
    </row>
    <row r="65381" spans="17:17" x14ac:dyDescent="0.25">
      <c r="Q65381" s="8"/>
    </row>
    <row r="65382" spans="17:17" x14ac:dyDescent="0.25">
      <c r="Q65382" s="8"/>
    </row>
    <row r="65383" spans="17:17" x14ac:dyDescent="0.25">
      <c r="Q65383" s="8"/>
    </row>
    <row r="65384" spans="17:17" x14ac:dyDescent="0.25">
      <c r="Q65384" s="8"/>
    </row>
    <row r="65385" spans="17:17" x14ac:dyDescent="0.25">
      <c r="Q65385" s="8"/>
    </row>
    <row r="65386" spans="17:17" x14ac:dyDescent="0.25">
      <c r="Q65386" s="8"/>
    </row>
    <row r="65387" spans="17:17" x14ac:dyDescent="0.25">
      <c r="Q65387" s="8"/>
    </row>
    <row r="65388" spans="17:17" x14ac:dyDescent="0.25">
      <c r="Q65388" s="8"/>
    </row>
    <row r="65389" spans="17:17" x14ac:dyDescent="0.25">
      <c r="Q65389" s="8"/>
    </row>
    <row r="65390" spans="17:17" x14ac:dyDescent="0.25">
      <c r="Q65390" s="8"/>
    </row>
    <row r="65391" spans="17:17" x14ac:dyDescent="0.25">
      <c r="Q65391" s="8"/>
    </row>
    <row r="65392" spans="17:17" x14ac:dyDescent="0.25">
      <c r="Q65392" s="8"/>
    </row>
    <row r="65393" spans="17:17" x14ac:dyDescent="0.25">
      <c r="Q65393" s="8"/>
    </row>
    <row r="65394" spans="17:17" x14ac:dyDescent="0.25">
      <c r="Q65394" s="8"/>
    </row>
    <row r="65395" spans="17:17" x14ac:dyDescent="0.25">
      <c r="Q65395" s="8"/>
    </row>
    <row r="65396" spans="17:17" x14ac:dyDescent="0.25">
      <c r="Q65396" s="8"/>
    </row>
    <row r="65397" spans="17:17" x14ac:dyDescent="0.25">
      <c r="Q65397" s="8"/>
    </row>
    <row r="65398" spans="17:17" x14ac:dyDescent="0.25">
      <c r="Q65398" s="8"/>
    </row>
    <row r="65399" spans="17:17" x14ac:dyDescent="0.25">
      <c r="Q65399" s="8"/>
    </row>
    <row r="65400" spans="17:17" x14ac:dyDescent="0.25">
      <c r="Q65400" s="8"/>
    </row>
    <row r="65401" spans="17:17" x14ac:dyDescent="0.25">
      <c r="Q65401" s="8"/>
    </row>
    <row r="65402" spans="17:17" x14ac:dyDescent="0.25">
      <c r="Q65402" s="8"/>
    </row>
    <row r="65403" spans="17:17" x14ac:dyDescent="0.25">
      <c r="Q65403" s="8"/>
    </row>
    <row r="65404" spans="17:17" x14ac:dyDescent="0.25">
      <c r="Q65404" s="8"/>
    </row>
    <row r="65405" spans="17:17" x14ac:dyDescent="0.25">
      <c r="Q65405" s="8"/>
    </row>
    <row r="65406" spans="17:17" x14ac:dyDescent="0.25">
      <c r="Q65406" s="8"/>
    </row>
    <row r="65407" spans="17:17" x14ac:dyDescent="0.25">
      <c r="Q65407" s="8"/>
    </row>
    <row r="65408" spans="17:17" x14ac:dyDescent="0.25">
      <c r="Q65408" s="8"/>
    </row>
    <row r="65409" spans="17:17" x14ac:dyDescent="0.25">
      <c r="Q65409" s="8"/>
    </row>
    <row r="65410" spans="17:17" x14ac:dyDescent="0.25">
      <c r="Q65410" s="8"/>
    </row>
    <row r="65411" spans="17:17" x14ac:dyDescent="0.25">
      <c r="Q65411" s="8"/>
    </row>
    <row r="65412" spans="17:17" x14ac:dyDescent="0.25">
      <c r="Q65412" s="8"/>
    </row>
    <row r="65413" spans="17:17" x14ac:dyDescent="0.25">
      <c r="Q65413" s="8"/>
    </row>
    <row r="65414" spans="17:17" x14ac:dyDescent="0.25">
      <c r="Q65414" s="8"/>
    </row>
    <row r="65415" spans="17:17" x14ac:dyDescent="0.25">
      <c r="Q65415" s="8"/>
    </row>
    <row r="65416" spans="17:17" x14ac:dyDescent="0.25">
      <c r="Q65416" s="8"/>
    </row>
    <row r="65417" spans="17:17" x14ac:dyDescent="0.25">
      <c r="Q65417" s="8"/>
    </row>
    <row r="65418" spans="17:17" x14ac:dyDescent="0.25">
      <c r="Q65418" s="8"/>
    </row>
    <row r="65419" spans="17:17" x14ac:dyDescent="0.25">
      <c r="Q65419" s="8"/>
    </row>
    <row r="65420" spans="17:17" x14ac:dyDescent="0.25">
      <c r="Q65420" s="8"/>
    </row>
    <row r="65421" spans="17:17" x14ac:dyDescent="0.25">
      <c r="Q65421" s="8"/>
    </row>
    <row r="65422" spans="17:17" x14ac:dyDescent="0.25">
      <c r="Q65422" s="8"/>
    </row>
    <row r="65423" spans="17:17" x14ac:dyDescent="0.25">
      <c r="Q65423" s="8"/>
    </row>
    <row r="65424" spans="17:17" x14ac:dyDescent="0.25">
      <c r="Q65424" s="8"/>
    </row>
    <row r="65425" spans="17:17" x14ac:dyDescent="0.25">
      <c r="Q65425" s="8"/>
    </row>
    <row r="65426" spans="17:17" x14ac:dyDescent="0.25">
      <c r="Q65426" s="8"/>
    </row>
    <row r="65427" spans="17:17" x14ac:dyDescent="0.25">
      <c r="Q65427" s="8"/>
    </row>
    <row r="65428" spans="17:17" x14ac:dyDescent="0.25">
      <c r="Q65428" s="8"/>
    </row>
    <row r="65429" spans="17:17" x14ac:dyDescent="0.25">
      <c r="Q65429" s="8"/>
    </row>
    <row r="65430" spans="17:17" x14ac:dyDescent="0.25">
      <c r="Q65430" s="8"/>
    </row>
    <row r="65431" spans="17:17" x14ac:dyDescent="0.25">
      <c r="Q65431" s="8"/>
    </row>
    <row r="65432" spans="17:17" x14ac:dyDescent="0.25">
      <c r="Q65432" s="8"/>
    </row>
    <row r="65433" spans="17:17" x14ac:dyDescent="0.25">
      <c r="Q65433" s="8"/>
    </row>
    <row r="65434" spans="17:17" x14ac:dyDescent="0.25">
      <c r="Q65434" s="8"/>
    </row>
    <row r="65435" spans="17:17" x14ac:dyDescent="0.25">
      <c r="Q65435" s="8"/>
    </row>
    <row r="65436" spans="17:17" x14ac:dyDescent="0.25">
      <c r="Q65436" s="8"/>
    </row>
    <row r="65437" spans="17:17" x14ac:dyDescent="0.25">
      <c r="Q65437" s="8"/>
    </row>
    <row r="65438" spans="17:17" x14ac:dyDescent="0.25">
      <c r="Q65438" s="8"/>
    </row>
    <row r="65439" spans="17:17" x14ac:dyDescent="0.25">
      <c r="Q65439" s="8"/>
    </row>
    <row r="65440" spans="17:17" x14ac:dyDescent="0.25">
      <c r="Q65440" s="8"/>
    </row>
    <row r="65441" spans="17:17" x14ac:dyDescent="0.25">
      <c r="Q65441" s="8"/>
    </row>
    <row r="65442" spans="17:17" x14ac:dyDescent="0.25">
      <c r="Q65442" s="8"/>
    </row>
    <row r="65443" spans="17:17" x14ac:dyDescent="0.25">
      <c r="Q65443" s="8"/>
    </row>
    <row r="65444" spans="17:17" x14ac:dyDescent="0.25">
      <c r="Q65444" s="8"/>
    </row>
    <row r="65445" spans="17:17" x14ac:dyDescent="0.25">
      <c r="Q65445" s="8"/>
    </row>
    <row r="65446" spans="17:17" x14ac:dyDescent="0.25">
      <c r="Q65446" s="8"/>
    </row>
    <row r="65447" spans="17:17" x14ac:dyDescent="0.25">
      <c r="Q65447" s="8"/>
    </row>
    <row r="65448" spans="17:17" x14ac:dyDescent="0.25">
      <c r="Q65448" s="8"/>
    </row>
    <row r="65449" spans="17:17" x14ac:dyDescent="0.25">
      <c r="Q65449" s="8"/>
    </row>
    <row r="65450" spans="17:17" x14ac:dyDescent="0.25">
      <c r="Q65450" s="8"/>
    </row>
    <row r="65451" spans="17:17" x14ac:dyDescent="0.25">
      <c r="Q65451" s="8"/>
    </row>
    <row r="65452" spans="17:17" x14ac:dyDescent="0.25">
      <c r="Q65452" s="8"/>
    </row>
    <row r="65453" spans="17:17" x14ac:dyDescent="0.25">
      <c r="Q65453" s="8"/>
    </row>
    <row r="65454" spans="17:17" x14ac:dyDescent="0.25">
      <c r="Q65454" s="8"/>
    </row>
    <row r="65455" spans="17:17" x14ac:dyDescent="0.25">
      <c r="Q65455" s="8"/>
    </row>
    <row r="65456" spans="17:17" x14ac:dyDescent="0.25">
      <c r="Q65456" s="8"/>
    </row>
    <row r="65457" spans="17:17" x14ac:dyDescent="0.25">
      <c r="Q65457" s="8"/>
    </row>
    <row r="65458" spans="17:17" x14ac:dyDescent="0.25">
      <c r="Q65458" s="8"/>
    </row>
    <row r="65459" spans="17:17" x14ac:dyDescent="0.25">
      <c r="Q65459" s="8"/>
    </row>
    <row r="65460" spans="17:17" x14ac:dyDescent="0.25">
      <c r="Q65460" s="8"/>
    </row>
    <row r="65461" spans="17:17" x14ac:dyDescent="0.25">
      <c r="Q65461" s="8"/>
    </row>
    <row r="65462" spans="17:17" x14ac:dyDescent="0.25">
      <c r="Q65462" s="8"/>
    </row>
    <row r="65463" spans="17:17" x14ac:dyDescent="0.25">
      <c r="Q65463" s="8"/>
    </row>
    <row r="65464" spans="17:17" x14ac:dyDescent="0.25">
      <c r="Q65464" s="8"/>
    </row>
    <row r="65465" spans="17:17" x14ac:dyDescent="0.25">
      <c r="Q65465" s="8"/>
    </row>
    <row r="65466" spans="17:17" x14ac:dyDescent="0.25">
      <c r="Q65466" s="8"/>
    </row>
    <row r="65467" spans="17:17" x14ac:dyDescent="0.25">
      <c r="Q65467" s="8"/>
    </row>
    <row r="65468" spans="17:17" x14ac:dyDescent="0.25">
      <c r="Q65468" s="8"/>
    </row>
    <row r="65469" spans="17:17" x14ac:dyDescent="0.25">
      <c r="Q65469" s="8"/>
    </row>
    <row r="65470" spans="17:17" x14ac:dyDescent="0.25">
      <c r="Q65470" s="8"/>
    </row>
    <row r="65471" spans="17:17" x14ac:dyDescent="0.25">
      <c r="Q65471" s="8"/>
    </row>
    <row r="65472" spans="17:17" x14ac:dyDescent="0.25">
      <c r="Q65472" s="8"/>
    </row>
    <row r="65473" spans="17:17" x14ac:dyDescent="0.25">
      <c r="Q65473" s="8"/>
    </row>
    <row r="65474" spans="17:17" x14ac:dyDescent="0.25">
      <c r="Q65474" s="8"/>
    </row>
    <row r="65475" spans="17:17" x14ac:dyDescent="0.25">
      <c r="Q65475" s="8"/>
    </row>
    <row r="65476" spans="17:17" x14ac:dyDescent="0.25">
      <c r="Q65476" s="8"/>
    </row>
    <row r="65477" spans="17:17" x14ac:dyDescent="0.25">
      <c r="Q65477" s="8"/>
    </row>
    <row r="65478" spans="17:17" x14ac:dyDescent="0.25">
      <c r="Q65478" s="8"/>
    </row>
    <row r="65479" spans="17:17" x14ac:dyDescent="0.25">
      <c r="Q65479" s="8"/>
    </row>
    <row r="65480" spans="17:17" x14ac:dyDescent="0.25">
      <c r="Q65480" s="8"/>
    </row>
    <row r="65481" spans="17:17" x14ac:dyDescent="0.25">
      <c r="Q65481" s="8"/>
    </row>
    <row r="65482" spans="17:17" x14ac:dyDescent="0.25">
      <c r="Q65482" s="8"/>
    </row>
    <row r="65483" spans="17:17" x14ac:dyDescent="0.25">
      <c r="Q65483" s="8"/>
    </row>
  </sheetData>
  <customSheetViews>
    <customSheetView guid="{123C4F1C-4895-46DD-B59E-C96253E6CB23}" showGridLines="0" fitToPage="1" showRuler="0">
      <pane xSplit="9" ySplit="7" topLeftCell="R98" activePane="bottomRight" state="frozen"/>
      <selection pane="bottomRight" activeCell="T122" sqref="T122"/>
      <pageMargins left="0" right="0" top="0" bottom="0" header="0" footer="0"/>
      <pageSetup paperSize="9" scale="36" fitToHeight="2" orientation="portrait" r:id="rId1"/>
      <headerFooter alignWithMargins="0"/>
    </customSheetView>
    <customSheetView guid="{87BBC8EC-E3DC-4681-ADCF-155BFED637D3}" showGridLines="0" fitToPage="1" hiddenColumns="1" showRuler="0">
      <pane xSplit="9" ySplit="7" topLeftCell="J110" activePane="bottomRight" state="frozen"/>
      <selection pane="bottomRight" activeCell="J133" sqref="J133"/>
      <pageMargins left="0" right="0" top="0" bottom="0" header="0" footer="0"/>
      <pageSetup paperSize="9" scale="57" orientation="portrait" r:id="rId2"/>
      <headerFooter alignWithMargins="0"/>
    </customSheetView>
    <customSheetView guid="{541190A4-AA4E-4E6C-B49E-AED913B3B1F4}" showGridLines="0" fitToPage="1" hiddenColumns="1" showRuler="0">
      <pane xSplit="9" ySplit="7" topLeftCell="J110" activePane="bottomRight" state="frozen"/>
      <selection pane="bottomRight" activeCell="J133" sqref="J133"/>
      <pageMargins left="0" right="0" top="0" bottom="0" header="0" footer="0"/>
      <pageSetup paperSize="9" scale="57" orientation="portrait" r:id="rId3"/>
      <headerFooter alignWithMargins="0"/>
    </customSheetView>
    <customSheetView guid="{2F2F03EC-AF42-4C78-9418-7B0DEBF08052}" showPageBreaks="1" showGridLines="0" fitToPage="1">
      <pane xSplit="9" ySplit="7" topLeftCell="J32" activePane="bottomRight" state="frozen"/>
      <selection pane="bottomRight" activeCell="V132" sqref="V132"/>
      <pageMargins left="0" right="0" top="0" bottom="0" header="0" footer="0"/>
      <pageSetup paperSize="9" scale="38" fitToHeight="2" orientation="portrait" r:id="rId4"/>
      <headerFooter alignWithMargins="0"/>
    </customSheetView>
  </customSheetViews>
  <mergeCells count="4">
    <mergeCell ref="A2:X2"/>
    <mergeCell ref="A3:AA3"/>
    <mergeCell ref="A4:Q4"/>
    <mergeCell ref="A6:G7"/>
  </mergeCells>
  <phoneticPr fontId="3" type="noConversion"/>
  <pageMargins left="0.15748031496062992" right="0.15748031496062992" top="0.15748031496062992" bottom="0.23622047244094491" header="0.15748031496062992" footer="0.19685039370078741"/>
  <pageSetup paperSize="9" scale="15" orientation="portrait" blackAndWhite="1" r:id="rId5"/>
  <headerFooter alignWithMargins="0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593C"/>
    <pageSetUpPr fitToPage="1"/>
  </sheetPr>
  <dimension ref="A1:DL105"/>
  <sheetViews>
    <sheetView showGridLines="0" zoomScale="110" zoomScaleNormal="110" workbookViewId="0">
      <pane xSplit="7" ySplit="7" topLeftCell="DB82" activePane="bottomRight" state="frozen"/>
      <selection pane="topRight" activeCell="J1" sqref="J1"/>
      <selection pane="bottomLeft" activeCell="A9" sqref="A9"/>
      <selection pane="bottomRight" activeCell="DN10" sqref="DN10:DN11"/>
    </sheetView>
  </sheetViews>
  <sheetFormatPr defaultColWidth="9.1796875" defaultRowHeight="10" x14ac:dyDescent="0.2"/>
  <cols>
    <col min="1" max="1" width="2.26953125" style="8" customWidth="1"/>
    <col min="2" max="2" width="1.81640625" style="8" customWidth="1"/>
    <col min="3" max="3" width="2.54296875" style="8" customWidth="1"/>
    <col min="4" max="6" width="9.1796875" style="8"/>
    <col min="7" max="7" width="6.7265625" style="8" customWidth="1"/>
    <col min="8" max="8" width="9.1796875" style="8" customWidth="1"/>
    <col min="9" max="9" width="9.26953125" style="8" customWidth="1"/>
    <col min="10" max="22" width="9.1796875" style="8" customWidth="1"/>
    <col min="23" max="23" width="9.1796875" style="8" customWidth="1" collapsed="1"/>
    <col min="24" max="27" width="9.1796875" style="8" customWidth="1"/>
    <col min="28" max="28" width="10" style="8" customWidth="1"/>
    <col min="29" max="29" width="9.1796875" style="8" customWidth="1"/>
    <col min="30" max="30" width="9.1796875" style="8" customWidth="1" collapsed="1"/>
    <col min="31" max="32" width="9.1796875" style="8" customWidth="1"/>
    <col min="33" max="33" width="10.54296875" style="8" customWidth="1"/>
    <col min="34" max="34" width="8.26953125" style="8" customWidth="1"/>
    <col min="35" max="35" width="9" style="8" customWidth="1"/>
    <col min="36" max="45" width="9.54296875" style="8" customWidth="1"/>
    <col min="46" max="46" width="11.26953125" style="8" customWidth="1"/>
    <col min="47" max="51" width="9.54296875" style="8" customWidth="1"/>
    <col min="52" max="53" width="9.453125" style="8" customWidth="1"/>
    <col min="54" max="54" width="9.54296875" style="8" customWidth="1"/>
    <col min="55" max="55" width="9.453125" style="8" customWidth="1"/>
    <col min="56" max="56" width="9.54296875" style="8" customWidth="1"/>
    <col min="57" max="57" width="9.1796875" style="8" customWidth="1"/>
    <col min="58" max="58" width="10" style="8" customWidth="1"/>
    <col min="59" max="62" width="9.1796875" style="8" customWidth="1"/>
    <col min="63" max="63" width="9.54296875" style="8" customWidth="1"/>
    <col min="64" max="69" width="9.1796875" style="8" customWidth="1"/>
    <col min="70" max="70" width="9.54296875" style="8" customWidth="1"/>
    <col min="71" max="74" width="9.1796875" style="8" customWidth="1"/>
    <col min="75" max="75" width="9.54296875" style="8" customWidth="1"/>
    <col min="76" max="76" width="9.1796875" style="8" customWidth="1"/>
    <col min="77" max="77" width="9.54296875" style="8" customWidth="1"/>
    <col min="78" max="81" width="9.1796875" style="8" customWidth="1"/>
    <col min="82" max="82" width="9.54296875" style="8" customWidth="1"/>
    <col min="83" max="83" width="9.1796875" style="8" customWidth="1"/>
    <col min="84" max="84" width="9.54296875" style="8" customWidth="1"/>
    <col min="85" max="86" width="9.1796875" style="8" customWidth="1"/>
    <col min="87" max="87" width="9.54296875" style="8" customWidth="1"/>
    <col min="88" max="88" width="9.1796875" style="8" customWidth="1"/>
    <col min="89" max="89" width="9.54296875" style="8" customWidth="1"/>
    <col min="90" max="90" width="9.1796875" style="8" customWidth="1"/>
    <col min="91" max="91" width="9.54296875" style="8" customWidth="1"/>
    <col min="92" max="93" width="9.1796875" style="8" customWidth="1"/>
    <col min="94" max="98" width="9.54296875" style="8" customWidth="1"/>
    <col min="99" max="100" width="10.7265625" style="8" bestFit="1" customWidth="1"/>
    <col min="101" max="101" width="9.08984375" style="8" customWidth="1"/>
    <col min="102" max="103" width="9.54296875" style="8" customWidth="1"/>
    <col min="104" max="104" width="9.54296875" style="8" bestFit="1" customWidth="1"/>
    <col min="105" max="105" width="10.7265625" style="8" bestFit="1" customWidth="1"/>
    <col min="106" max="107" width="9.1796875" style="8" customWidth="1"/>
    <col min="108" max="108" width="11.6328125" style="8" customWidth="1"/>
    <col min="109" max="109" width="10.7265625" style="8" bestFit="1" customWidth="1"/>
    <col min="110" max="110" width="9.1796875" style="8" customWidth="1"/>
    <col min="111" max="115" width="9.1796875" style="8"/>
    <col min="116" max="116" width="10.7265625" style="8" bestFit="1" customWidth="1"/>
    <col min="117" max="16384" width="9.1796875" style="8"/>
  </cols>
  <sheetData>
    <row r="1" spans="1:116" ht="10.5" x14ac:dyDescent="0.25">
      <c r="M1" s="40"/>
      <c r="Q1" s="40"/>
      <c r="R1" s="40"/>
      <c r="S1" s="40"/>
      <c r="T1" s="40"/>
      <c r="U1" s="40"/>
      <c r="V1" s="40"/>
      <c r="AC1" s="40"/>
      <c r="DE1" s="224"/>
    </row>
    <row r="2" spans="1:116" ht="15.75" customHeight="1" x14ac:dyDescent="0.3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DB2" s="127"/>
      <c r="DD2" s="223"/>
    </row>
    <row r="3" spans="1:116" ht="15.75" customHeight="1" x14ac:dyDescent="0.3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04"/>
      <c r="AN3" s="204"/>
      <c r="AO3" s="204"/>
      <c r="AP3" s="204"/>
      <c r="AQ3" s="92"/>
      <c r="AR3" s="92"/>
      <c r="AS3" s="92"/>
      <c r="AT3" s="92"/>
      <c r="CV3" s="200"/>
      <c r="CX3" s="200"/>
      <c r="DB3" s="223"/>
    </row>
    <row r="4" spans="1:116" x14ac:dyDescent="0.2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93"/>
      <c r="Q4" s="93"/>
      <c r="R4" s="93"/>
      <c r="S4" s="93"/>
      <c r="T4" s="93"/>
      <c r="U4" s="93"/>
      <c r="CO4" s="10"/>
      <c r="CU4" s="223"/>
      <c r="CV4" s="223"/>
      <c r="CW4" s="223"/>
      <c r="CX4" s="223"/>
      <c r="CY4" s="223"/>
      <c r="CZ4" s="223"/>
    </row>
    <row r="5" spans="1:116" x14ac:dyDescent="0.2">
      <c r="A5" s="128"/>
      <c r="B5" s="128"/>
      <c r="C5" s="128"/>
      <c r="D5" s="128"/>
      <c r="E5" s="128"/>
      <c r="F5" s="128"/>
      <c r="G5" s="94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F5" s="200"/>
      <c r="BG5" s="200"/>
      <c r="BK5" s="200"/>
      <c r="BL5" s="200"/>
      <c r="BM5" s="200"/>
      <c r="BN5" s="200"/>
      <c r="BO5" s="200"/>
      <c r="BP5" s="200"/>
      <c r="BR5" s="200"/>
      <c r="BS5" s="200"/>
      <c r="BT5" s="200"/>
      <c r="BU5" s="200"/>
      <c r="BV5" s="200"/>
      <c r="BY5" s="200"/>
      <c r="BZ5" s="200"/>
      <c r="CA5" s="200"/>
      <c r="CF5" s="200"/>
      <c r="CG5" s="200"/>
      <c r="CH5" s="200"/>
      <c r="CJ5" s="200"/>
      <c r="CT5" s="127"/>
      <c r="CU5" s="10"/>
      <c r="CV5" s="10"/>
      <c r="CX5" s="10"/>
      <c r="CZ5" s="10"/>
    </row>
    <row r="6" spans="1:116" ht="9.75" customHeight="1" x14ac:dyDescent="0.25">
      <c r="A6" s="239" t="s">
        <v>19</v>
      </c>
      <c r="B6" s="239"/>
      <c r="C6" s="239"/>
      <c r="D6" s="239"/>
      <c r="E6" s="239"/>
      <c r="F6" s="239"/>
      <c r="G6" s="239"/>
      <c r="H6" s="11" t="s">
        <v>20</v>
      </c>
      <c r="I6" s="11" t="s">
        <v>20</v>
      </c>
      <c r="J6" s="11" t="s">
        <v>20</v>
      </c>
      <c r="K6" s="11" t="s">
        <v>20</v>
      </c>
      <c r="L6" s="11" t="s">
        <v>20</v>
      </c>
      <c r="M6" s="11" t="s">
        <v>21</v>
      </c>
      <c r="N6" s="11" t="s">
        <v>21</v>
      </c>
      <c r="O6" s="11" t="s">
        <v>21</v>
      </c>
      <c r="P6" s="11" t="s">
        <v>21</v>
      </c>
      <c r="Q6" s="11" t="s">
        <v>21</v>
      </c>
      <c r="R6" s="11" t="s">
        <v>21</v>
      </c>
      <c r="S6" s="11" t="s">
        <v>21</v>
      </c>
      <c r="T6" s="11" t="s">
        <v>21</v>
      </c>
      <c r="U6" s="11" t="s">
        <v>21</v>
      </c>
      <c r="V6" s="11" t="s">
        <v>21</v>
      </c>
      <c r="W6" s="11" t="s">
        <v>21</v>
      </c>
      <c r="X6" s="11" t="s">
        <v>21</v>
      </c>
      <c r="Y6" s="11" t="s">
        <v>21</v>
      </c>
      <c r="Z6" s="11" t="s">
        <v>21</v>
      </c>
      <c r="AA6" s="11" t="s">
        <v>21</v>
      </c>
      <c r="AB6" s="11" t="s">
        <v>21</v>
      </c>
      <c r="AC6" s="11" t="s">
        <v>21</v>
      </c>
      <c r="AD6" s="11" t="s">
        <v>21</v>
      </c>
      <c r="AE6" s="11" t="s">
        <v>21</v>
      </c>
      <c r="AF6" s="11" t="s">
        <v>21</v>
      </c>
      <c r="AG6" s="11" t="s">
        <v>21</v>
      </c>
      <c r="AH6" s="11" t="s">
        <v>21</v>
      </c>
      <c r="AI6" s="11" t="s">
        <v>21</v>
      </c>
      <c r="AJ6" s="11" t="s">
        <v>21</v>
      </c>
      <c r="AK6" s="11" t="s">
        <v>21</v>
      </c>
      <c r="AL6" s="11" t="s">
        <v>21</v>
      </c>
      <c r="AM6" s="11" t="s">
        <v>21</v>
      </c>
      <c r="AN6" s="11" t="s">
        <v>21</v>
      </c>
      <c r="AO6" s="11" t="s">
        <v>21</v>
      </c>
      <c r="AP6" s="11" t="s">
        <v>21</v>
      </c>
      <c r="AQ6" s="11" t="s">
        <v>21</v>
      </c>
      <c r="AR6" s="11" t="s">
        <v>21</v>
      </c>
      <c r="AS6" s="11" t="s">
        <v>21</v>
      </c>
      <c r="AT6" s="11" t="s">
        <v>21</v>
      </c>
      <c r="AU6" s="11" t="s">
        <v>21</v>
      </c>
      <c r="AV6" s="11" t="s">
        <v>21</v>
      </c>
      <c r="AW6" s="11" t="s">
        <v>21</v>
      </c>
      <c r="AX6" s="11" t="s">
        <v>21</v>
      </c>
      <c r="AY6" s="11" t="s">
        <v>21</v>
      </c>
      <c r="AZ6" s="11" t="s">
        <v>21</v>
      </c>
      <c r="BA6" s="11" t="s">
        <v>21</v>
      </c>
      <c r="BB6" s="11" t="s">
        <v>21</v>
      </c>
      <c r="BC6" s="11" t="s">
        <v>21</v>
      </c>
      <c r="BD6" s="11" t="s">
        <v>21</v>
      </c>
      <c r="BE6" s="11" t="s">
        <v>21</v>
      </c>
      <c r="BF6" s="11" t="s">
        <v>21</v>
      </c>
      <c r="BG6" s="11" t="s">
        <v>21</v>
      </c>
      <c r="BH6" s="11" t="s">
        <v>21</v>
      </c>
      <c r="BI6" s="11" t="s">
        <v>21</v>
      </c>
      <c r="BJ6" s="11" t="s">
        <v>21</v>
      </c>
      <c r="BK6" s="11" t="s">
        <v>21</v>
      </c>
      <c r="BL6" s="11" t="s">
        <v>21</v>
      </c>
      <c r="BM6" s="11" t="s">
        <v>21</v>
      </c>
      <c r="BN6" s="11" t="s">
        <v>21</v>
      </c>
      <c r="BO6" s="11" t="s">
        <v>21</v>
      </c>
      <c r="BP6" s="11" t="s">
        <v>21</v>
      </c>
      <c r="BQ6" s="11" t="s">
        <v>21</v>
      </c>
      <c r="BR6" s="11" t="s">
        <v>21</v>
      </c>
      <c r="BS6" s="11" t="s">
        <v>21</v>
      </c>
      <c r="BT6" s="11" t="s">
        <v>21</v>
      </c>
      <c r="BU6" s="11" t="s">
        <v>21</v>
      </c>
      <c r="BV6" s="11" t="s">
        <v>21</v>
      </c>
      <c r="BW6" s="11" t="s">
        <v>21</v>
      </c>
      <c r="BX6" s="11" t="s">
        <v>21</v>
      </c>
      <c r="BY6" s="11" t="s">
        <v>21</v>
      </c>
      <c r="BZ6" s="11" t="s">
        <v>21</v>
      </c>
      <c r="CA6" s="11" t="s">
        <v>21</v>
      </c>
      <c r="CB6" s="11" t="s">
        <v>21</v>
      </c>
      <c r="CC6" s="11" t="s">
        <v>21</v>
      </c>
      <c r="CD6" s="11" t="s">
        <v>21</v>
      </c>
      <c r="CE6" s="11" t="s">
        <v>21</v>
      </c>
      <c r="CF6" s="11" t="s">
        <v>21</v>
      </c>
      <c r="CG6" s="11" t="s">
        <v>21</v>
      </c>
      <c r="CH6" s="11" t="s">
        <v>21</v>
      </c>
      <c r="CI6" s="11" t="s">
        <v>21</v>
      </c>
      <c r="CJ6" s="11" t="s">
        <v>21</v>
      </c>
      <c r="CK6" s="11" t="s">
        <v>21</v>
      </c>
      <c r="CL6" s="11" t="s">
        <v>21</v>
      </c>
      <c r="CM6" s="11" t="s">
        <v>21</v>
      </c>
      <c r="CN6" s="11" t="s">
        <v>21</v>
      </c>
      <c r="CO6" s="11" t="s">
        <v>21</v>
      </c>
      <c r="CP6" s="11" t="s">
        <v>21</v>
      </c>
      <c r="CQ6" s="11" t="s">
        <v>21</v>
      </c>
      <c r="CR6" s="11" t="s">
        <v>21</v>
      </c>
      <c r="CS6" s="11" t="s">
        <v>21</v>
      </c>
      <c r="CT6" s="11" t="s">
        <v>21</v>
      </c>
      <c r="CU6" s="11" t="s">
        <v>21</v>
      </c>
      <c r="CV6" s="11" t="s">
        <v>21</v>
      </c>
      <c r="CW6" s="11" t="s">
        <v>21</v>
      </c>
      <c r="CX6" s="11" t="s">
        <v>21</v>
      </c>
      <c r="CY6" s="11" t="s">
        <v>21</v>
      </c>
      <c r="CZ6" s="11" t="s">
        <v>21</v>
      </c>
      <c r="DA6" s="11" t="s">
        <v>21</v>
      </c>
      <c r="DB6" s="11" t="s">
        <v>21</v>
      </c>
      <c r="DC6" s="11" t="s">
        <v>21</v>
      </c>
      <c r="DD6" s="11" t="s">
        <v>21</v>
      </c>
      <c r="DE6" s="11" t="s">
        <v>21</v>
      </c>
      <c r="DF6" s="11" t="s">
        <v>21</v>
      </c>
      <c r="DG6" s="11" t="s">
        <v>21</v>
      </c>
      <c r="DH6" s="11" t="s">
        <v>21</v>
      </c>
      <c r="DI6" s="11" t="s">
        <v>21</v>
      </c>
      <c r="DJ6" s="11" t="s">
        <v>21</v>
      </c>
      <c r="DK6" s="11" t="s">
        <v>21</v>
      </c>
    </row>
    <row r="7" spans="1:116" ht="12.75" customHeight="1" x14ac:dyDescent="0.25">
      <c r="A7" s="244" t="s">
        <v>19</v>
      </c>
      <c r="B7" s="244"/>
      <c r="C7" s="244"/>
      <c r="D7" s="244"/>
      <c r="E7" s="244"/>
      <c r="F7" s="244"/>
      <c r="G7" s="244"/>
      <c r="H7" s="11" t="s">
        <v>22</v>
      </c>
      <c r="I7" s="11" t="s">
        <v>23</v>
      </c>
      <c r="J7" s="11" t="s">
        <v>198</v>
      </c>
      <c r="K7" s="11" t="s">
        <v>24</v>
      </c>
      <c r="L7" s="11" t="s">
        <v>199</v>
      </c>
      <c r="M7" s="11" t="s">
        <v>200</v>
      </c>
      <c r="N7" s="205" t="s">
        <v>25</v>
      </c>
      <c r="O7" s="11" t="s">
        <v>26</v>
      </c>
      <c r="P7" s="11" t="s">
        <v>27</v>
      </c>
      <c r="Q7" s="11" t="s">
        <v>201</v>
      </c>
      <c r="R7" s="11" t="s">
        <v>28</v>
      </c>
      <c r="S7" s="11" t="s">
        <v>202</v>
      </c>
      <c r="T7" s="11" t="s">
        <v>203</v>
      </c>
      <c r="U7" s="205" t="s">
        <v>29</v>
      </c>
      <c r="V7" s="11" t="s">
        <v>30</v>
      </c>
      <c r="W7" s="11" t="s">
        <v>31</v>
      </c>
      <c r="X7" s="11" t="s">
        <v>204</v>
      </c>
      <c r="Y7" s="11" t="s">
        <v>32</v>
      </c>
      <c r="Z7" s="11" t="s">
        <v>205</v>
      </c>
      <c r="AA7" s="11" t="s">
        <v>206</v>
      </c>
      <c r="AB7" s="205" t="s">
        <v>33</v>
      </c>
      <c r="AC7" s="11" t="s">
        <v>34</v>
      </c>
      <c r="AD7" s="11" t="s">
        <v>35</v>
      </c>
      <c r="AE7" s="11" t="s">
        <v>207</v>
      </c>
      <c r="AF7" s="11" t="s">
        <v>36</v>
      </c>
      <c r="AG7" s="11" t="s">
        <v>208</v>
      </c>
      <c r="AH7" s="11" t="s">
        <v>209</v>
      </c>
      <c r="AI7" s="205" t="s">
        <v>37</v>
      </c>
      <c r="AJ7" s="11" t="s">
        <v>38</v>
      </c>
      <c r="AK7" s="11" t="s">
        <v>39</v>
      </c>
      <c r="AL7" s="11" t="s">
        <v>210</v>
      </c>
      <c r="AM7" s="11" t="s">
        <v>40</v>
      </c>
      <c r="AN7" s="11" t="s">
        <v>211</v>
      </c>
      <c r="AO7" s="11" t="s">
        <v>212</v>
      </c>
      <c r="AP7" s="11" t="s">
        <v>41</v>
      </c>
      <c r="AQ7" s="11" t="s">
        <v>213</v>
      </c>
      <c r="AR7" s="11" t="s">
        <v>214</v>
      </c>
      <c r="AS7" s="11" t="s">
        <v>215</v>
      </c>
      <c r="AT7" s="11" t="s">
        <v>216</v>
      </c>
      <c r="AU7" s="11" t="s">
        <v>217</v>
      </c>
      <c r="AV7" s="11" t="s">
        <v>218</v>
      </c>
      <c r="AW7" s="11" t="s">
        <v>45</v>
      </c>
      <c r="AX7" s="11" t="s">
        <v>219</v>
      </c>
      <c r="AY7" s="11" t="s">
        <v>220</v>
      </c>
      <c r="AZ7" s="11" t="s">
        <v>221</v>
      </c>
      <c r="BA7" s="11" t="s">
        <v>222</v>
      </c>
      <c r="BB7" s="11" t="s">
        <v>223</v>
      </c>
      <c r="BC7" s="11" t="s">
        <v>224</v>
      </c>
      <c r="BD7" s="11" t="s">
        <v>49</v>
      </c>
      <c r="BE7" s="11" t="s">
        <v>225</v>
      </c>
      <c r="BF7" s="11" t="s">
        <v>226</v>
      </c>
      <c r="BG7" s="11" t="s">
        <v>227</v>
      </c>
      <c r="BH7" s="11" t="s">
        <v>228</v>
      </c>
      <c r="BI7" s="11" t="s">
        <v>229</v>
      </c>
      <c r="BJ7" s="11" t="s">
        <v>230</v>
      </c>
      <c r="BK7" s="11" t="s">
        <v>53</v>
      </c>
      <c r="BL7" s="11" t="s">
        <v>231</v>
      </c>
      <c r="BM7" s="11" t="s">
        <v>232</v>
      </c>
      <c r="BN7" s="11" t="s">
        <v>233</v>
      </c>
      <c r="BO7" s="11" t="s">
        <v>234</v>
      </c>
      <c r="BP7" s="11" t="s">
        <v>235</v>
      </c>
      <c r="BQ7" s="11" t="s">
        <v>236</v>
      </c>
      <c r="BR7" s="11" t="s">
        <v>57</v>
      </c>
      <c r="BS7" s="11" t="s">
        <v>237</v>
      </c>
      <c r="BT7" s="11" t="s">
        <v>238</v>
      </c>
      <c r="BU7" s="11" t="s">
        <v>239</v>
      </c>
      <c r="BV7" s="11" t="s">
        <v>240</v>
      </c>
      <c r="BW7" s="11" t="s">
        <v>241</v>
      </c>
      <c r="BX7" s="11" t="s">
        <v>242</v>
      </c>
      <c r="BY7" s="11" t="s">
        <v>61</v>
      </c>
      <c r="BZ7" s="11" t="s">
        <v>243</v>
      </c>
      <c r="CA7" s="11" t="s">
        <v>244</v>
      </c>
      <c r="CB7" s="11" t="s">
        <v>245</v>
      </c>
      <c r="CC7" s="11" t="s">
        <v>246</v>
      </c>
      <c r="CD7" s="11" t="s">
        <v>247</v>
      </c>
      <c r="CE7" s="11" t="s">
        <v>248</v>
      </c>
      <c r="CF7" s="11" t="s">
        <v>65</v>
      </c>
      <c r="CG7" s="11" t="s">
        <v>249</v>
      </c>
      <c r="CH7" s="11" t="s">
        <v>250</v>
      </c>
      <c r="CI7" s="11" t="s">
        <v>251</v>
      </c>
      <c r="CJ7" s="11" t="s">
        <v>252</v>
      </c>
      <c r="CK7" s="11" t="s">
        <v>253</v>
      </c>
      <c r="CL7" s="11" t="s">
        <v>254</v>
      </c>
      <c r="CM7" s="205">
        <v>2020</v>
      </c>
      <c r="CN7" s="11" t="s">
        <v>255</v>
      </c>
      <c r="CO7" s="11" t="s">
        <v>256</v>
      </c>
      <c r="CP7" s="11" t="s">
        <v>257</v>
      </c>
      <c r="CQ7" s="11" t="s">
        <v>258</v>
      </c>
      <c r="CR7" s="11" t="s">
        <v>259</v>
      </c>
      <c r="CS7" s="11" t="s">
        <v>260</v>
      </c>
      <c r="CT7" s="205" t="s">
        <v>72</v>
      </c>
      <c r="CU7" s="11" t="s">
        <v>135</v>
      </c>
      <c r="CV7" s="11" t="s">
        <v>394</v>
      </c>
      <c r="CW7" s="11" t="s">
        <v>395</v>
      </c>
      <c r="CX7" s="11" t="s">
        <v>398</v>
      </c>
      <c r="CY7" s="11" t="s">
        <v>399</v>
      </c>
      <c r="CZ7" s="11" t="s">
        <v>403</v>
      </c>
      <c r="DA7" s="205" t="s">
        <v>400</v>
      </c>
      <c r="DB7" s="11" t="s">
        <v>406</v>
      </c>
      <c r="DC7" s="11" t="s">
        <v>407</v>
      </c>
      <c r="DD7" s="11" t="s">
        <v>408</v>
      </c>
      <c r="DE7" s="11" t="s">
        <v>415</v>
      </c>
      <c r="DF7" s="11" t="s">
        <v>416</v>
      </c>
      <c r="DG7" s="11" t="s">
        <v>423</v>
      </c>
      <c r="DH7" s="205" t="s">
        <v>424</v>
      </c>
      <c r="DI7" s="11" t="s">
        <v>433</v>
      </c>
      <c r="DJ7" s="11" t="s">
        <v>436</v>
      </c>
      <c r="DK7" s="11" t="s">
        <v>437</v>
      </c>
    </row>
    <row r="8" spans="1:116" s="137" customFormat="1" ht="10.5" customHeight="1" x14ac:dyDescent="0.25">
      <c r="A8" s="63" t="s">
        <v>261</v>
      </c>
      <c r="B8" s="64"/>
      <c r="C8" s="64"/>
      <c r="D8" s="65"/>
      <c r="E8" s="64"/>
      <c r="F8" s="64"/>
      <c r="G8" s="64"/>
      <c r="H8" s="173">
        <f>H9+H18</f>
        <v>204522</v>
      </c>
      <c r="I8" s="173">
        <f t="shared" ref="I8:BT8" si="0">I9+I18</f>
        <v>120588</v>
      </c>
      <c r="J8" s="173">
        <f t="shared" si="0"/>
        <v>325110</v>
      </c>
      <c r="K8" s="173">
        <f t="shared" si="0"/>
        <v>99629</v>
      </c>
      <c r="L8" s="173">
        <f t="shared" si="0"/>
        <v>424739</v>
      </c>
      <c r="M8" s="173">
        <f t="shared" si="0"/>
        <v>163221</v>
      </c>
      <c r="N8" s="173">
        <f t="shared" si="0"/>
        <v>587960</v>
      </c>
      <c r="O8" s="173">
        <f t="shared" si="0"/>
        <v>177185</v>
      </c>
      <c r="P8" s="173">
        <f t="shared" si="0"/>
        <v>206420</v>
      </c>
      <c r="Q8" s="173">
        <f t="shared" si="0"/>
        <v>383605</v>
      </c>
      <c r="R8" s="173">
        <f t="shared" si="0"/>
        <v>219830</v>
      </c>
      <c r="S8" s="173">
        <f t="shared" si="0"/>
        <v>603435</v>
      </c>
      <c r="T8" s="173">
        <f t="shared" si="0"/>
        <v>285278</v>
      </c>
      <c r="U8" s="173">
        <f t="shared" si="0"/>
        <v>888713</v>
      </c>
      <c r="V8" s="173">
        <f t="shared" si="0"/>
        <v>196277</v>
      </c>
      <c r="W8" s="173">
        <f t="shared" si="0"/>
        <v>210104</v>
      </c>
      <c r="X8" s="173">
        <f t="shared" si="0"/>
        <v>406381</v>
      </c>
      <c r="Y8" s="173">
        <f t="shared" si="0"/>
        <v>275682</v>
      </c>
      <c r="Z8" s="173">
        <f t="shared" si="0"/>
        <v>682063</v>
      </c>
      <c r="AA8" s="173">
        <f t="shared" si="0"/>
        <v>323577</v>
      </c>
      <c r="AB8" s="173">
        <f>AB9+AB18</f>
        <v>1005640</v>
      </c>
      <c r="AC8" s="173">
        <f t="shared" si="0"/>
        <v>324814</v>
      </c>
      <c r="AD8" s="173">
        <f t="shared" si="0"/>
        <v>226785</v>
      </c>
      <c r="AE8" s="173">
        <f t="shared" si="0"/>
        <v>551599</v>
      </c>
      <c r="AF8" s="173">
        <f t="shared" si="0"/>
        <v>268251</v>
      </c>
      <c r="AG8" s="173">
        <f t="shared" si="0"/>
        <v>819850</v>
      </c>
      <c r="AH8" s="173">
        <f t="shared" si="0"/>
        <v>298893</v>
      </c>
      <c r="AI8" s="173">
        <f t="shared" si="0"/>
        <v>1118743</v>
      </c>
      <c r="AJ8" s="173">
        <f t="shared" si="0"/>
        <v>256868</v>
      </c>
      <c r="AK8" s="173">
        <f t="shared" si="0"/>
        <v>317296</v>
      </c>
      <c r="AL8" s="173">
        <f t="shared" si="0"/>
        <v>574164</v>
      </c>
      <c r="AM8" s="173">
        <f t="shared" si="0"/>
        <v>268662</v>
      </c>
      <c r="AN8" s="173">
        <f t="shared" si="0"/>
        <v>842826</v>
      </c>
      <c r="AO8" s="173">
        <f t="shared" si="0"/>
        <v>338694</v>
      </c>
      <c r="AP8" s="173">
        <f t="shared" si="0"/>
        <v>1181520</v>
      </c>
      <c r="AQ8" s="173">
        <f t="shared" si="0"/>
        <v>350778</v>
      </c>
      <c r="AR8" s="173">
        <f t="shared" si="0"/>
        <v>395602</v>
      </c>
      <c r="AS8" s="173">
        <f t="shared" si="0"/>
        <v>746380</v>
      </c>
      <c r="AT8" s="173">
        <f t="shared" si="0"/>
        <v>314187</v>
      </c>
      <c r="AU8" s="173">
        <f t="shared" si="0"/>
        <v>1060567</v>
      </c>
      <c r="AV8" s="173">
        <f t="shared" si="0"/>
        <v>438608</v>
      </c>
      <c r="AW8" s="173">
        <f t="shared" si="0"/>
        <v>1499175</v>
      </c>
      <c r="AX8" s="173">
        <f t="shared" si="0"/>
        <v>364271</v>
      </c>
      <c r="AY8" s="173">
        <f t="shared" si="0"/>
        <v>470995</v>
      </c>
      <c r="AZ8" s="173">
        <f t="shared" si="0"/>
        <v>835266</v>
      </c>
      <c r="BA8" s="173">
        <f t="shared" si="0"/>
        <v>342698</v>
      </c>
      <c r="BB8" s="173">
        <f t="shared" si="0"/>
        <v>1177964</v>
      </c>
      <c r="BC8" s="173">
        <f t="shared" si="0"/>
        <v>583617</v>
      </c>
      <c r="BD8" s="173">
        <f t="shared" si="0"/>
        <v>1761581</v>
      </c>
      <c r="BE8" s="173">
        <f t="shared" si="0"/>
        <v>421202</v>
      </c>
      <c r="BF8" s="173">
        <f t="shared" si="0"/>
        <v>291193</v>
      </c>
      <c r="BG8" s="173">
        <f t="shared" si="0"/>
        <v>712395</v>
      </c>
      <c r="BH8" s="173">
        <f t="shared" si="0"/>
        <v>317615</v>
      </c>
      <c r="BI8" s="173">
        <f t="shared" si="0"/>
        <v>1030010</v>
      </c>
      <c r="BJ8" s="173">
        <f t="shared" si="0"/>
        <v>629639</v>
      </c>
      <c r="BK8" s="173">
        <f t="shared" si="0"/>
        <v>1659649</v>
      </c>
      <c r="BL8" s="173">
        <f t="shared" si="0"/>
        <v>459121</v>
      </c>
      <c r="BM8" s="173">
        <f t="shared" si="0"/>
        <v>472929</v>
      </c>
      <c r="BN8" s="173">
        <f t="shared" si="0"/>
        <v>932050</v>
      </c>
      <c r="BO8" s="173">
        <f t="shared" si="0"/>
        <v>561029</v>
      </c>
      <c r="BP8" s="173">
        <f t="shared" si="0"/>
        <v>1493079</v>
      </c>
      <c r="BQ8" s="173">
        <f t="shared" si="0"/>
        <v>726822</v>
      </c>
      <c r="BR8" s="173">
        <f t="shared" si="0"/>
        <v>2219901</v>
      </c>
      <c r="BS8" s="173">
        <f>BS9+BS18</f>
        <v>662704</v>
      </c>
      <c r="BT8" s="173">
        <f t="shared" si="0"/>
        <v>752666</v>
      </c>
      <c r="BU8" s="173">
        <f t="shared" ref="BU8:CJ8" si="1">BU9+BU18</f>
        <v>1415370</v>
      </c>
      <c r="BV8" s="173">
        <f t="shared" si="1"/>
        <v>537585</v>
      </c>
      <c r="BW8" s="173">
        <f t="shared" si="1"/>
        <v>1952955</v>
      </c>
      <c r="BX8" s="173">
        <f t="shared" si="1"/>
        <v>870513</v>
      </c>
      <c r="BY8" s="173">
        <f t="shared" si="1"/>
        <v>2823468</v>
      </c>
      <c r="BZ8" s="173">
        <f t="shared" si="1"/>
        <v>765330</v>
      </c>
      <c r="CA8" s="173">
        <f t="shared" si="1"/>
        <v>806801</v>
      </c>
      <c r="CB8" s="173">
        <f t="shared" si="1"/>
        <v>1572131</v>
      </c>
      <c r="CC8" s="173">
        <f t="shared" si="1"/>
        <v>563106</v>
      </c>
      <c r="CD8" s="173">
        <f t="shared" si="1"/>
        <v>2135237</v>
      </c>
      <c r="CE8" s="173">
        <f t="shared" si="1"/>
        <v>905419</v>
      </c>
      <c r="CF8" s="173">
        <f t="shared" si="1"/>
        <v>3040656</v>
      </c>
      <c r="CG8" s="173">
        <f t="shared" si="1"/>
        <v>926806</v>
      </c>
      <c r="CH8" s="173">
        <f t="shared" si="1"/>
        <v>983909</v>
      </c>
      <c r="CI8" s="173">
        <f t="shared" si="1"/>
        <v>1910715</v>
      </c>
      <c r="CJ8" s="173">
        <f t="shared" si="1"/>
        <v>751264</v>
      </c>
      <c r="CK8" s="173">
        <f t="shared" ref="CK8:CR8" si="2">CK9+CK18</f>
        <v>2661979</v>
      </c>
      <c r="CL8" s="173">
        <f t="shared" si="2"/>
        <v>1211099</v>
      </c>
      <c r="CM8" s="173">
        <f t="shared" si="2"/>
        <v>3873081</v>
      </c>
      <c r="CN8" s="173">
        <f t="shared" si="2"/>
        <v>1565380</v>
      </c>
      <c r="CO8" s="173">
        <f>CO9+CO18</f>
        <v>1687897</v>
      </c>
      <c r="CP8" s="173">
        <f t="shared" si="2"/>
        <v>3253277</v>
      </c>
      <c r="CQ8" s="173">
        <f t="shared" si="2"/>
        <v>1143497</v>
      </c>
      <c r="CR8" s="173">
        <f t="shared" si="2"/>
        <v>4396769</v>
      </c>
      <c r="CS8" s="173">
        <f t="shared" ref="CS8:CT8" si="3">CS9+CS18</f>
        <v>1927596</v>
      </c>
      <c r="CT8" s="173">
        <f t="shared" si="3"/>
        <v>6324369</v>
      </c>
      <c r="CU8" s="173">
        <f>CU9+CU18+CU26</f>
        <v>3497197</v>
      </c>
      <c r="CV8" s="173">
        <f t="shared" ref="CV8:DI8" si="4">CV9+CV18+CV26</f>
        <v>2388583</v>
      </c>
      <c r="CW8" s="173">
        <f t="shared" si="4"/>
        <v>5885780</v>
      </c>
      <c r="CX8" s="173">
        <f t="shared" si="4"/>
        <v>1369027</v>
      </c>
      <c r="CY8" s="173">
        <f t="shared" si="4"/>
        <v>7254808</v>
      </c>
      <c r="CZ8" s="173">
        <f t="shared" si="4"/>
        <v>2263538</v>
      </c>
      <c r="DA8" s="173">
        <f t="shared" si="4"/>
        <v>9518344</v>
      </c>
      <c r="DB8" s="173">
        <f t="shared" si="4"/>
        <v>3017806</v>
      </c>
      <c r="DC8" s="173">
        <f t="shared" si="4"/>
        <v>2146482</v>
      </c>
      <c r="DD8" s="173">
        <f t="shared" si="4"/>
        <v>5164288</v>
      </c>
      <c r="DE8" s="173">
        <f t="shared" si="4"/>
        <v>2045131</v>
      </c>
      <c r="DF8" s="173">
        <f t="shared" si="4"/>
        <v>7209419</v>
      </c>
      <c r="DG8" s="173">
        <f t="shared" si="4"/>
        <v>1912705</v>
      </c>
      <c r="DH8" s="173">
        <f t="shared" si="4"/>
        <v>9122124</v>
      </c>
      <c r="DI8" s="173">
        <f t="shared" si="4"/>
        <v>1994799</v>
      </c>
      <c r="DJ8" s="173">
        <f t="shared" ref="DJ8" si="5">DJ9+DJ18+DJ26</f>
        <v>2111918</v>
      </c>
      <c r="DK8" s="173">
        <f>DI8+DJ8</f>
        <v>4106717</v>
      </c>
    </row>
    <row r="9" spans="1:116" s="137" customFormat="1" ht="10.5" customHeight="1" x14ac:dyDescent="0.25">
      <c r="A9" s="82"/>
      <c r="B9" s="83" t="s">
        <v>262</v>
      </c>
      <c r="C9" s="83"/>
      <c r="D9" s="84"/>
      <c r="E9" s="83"/>
      <c r="F9" s="83"/>
      <c r="G9" s="83"/>
      <c r="H9" s="174">
        <f>SUM(H10:H17)</f>
        <v>164706</v>
      </c>
      <c r="I9" s="174">
        <f t="shared" ref="I9:AL9" si="6">SUM(I10:I17)</f>
        <v>146683</v>
      </c>
      <c r="J9" s="174">
        <f t="shared" si="6"/>
        <v>311389</v>
      </c>
      <c r="K9" s="174">
        <f t="shared" si="6"/>
        <v>135144</v>
      </c>
      <c r="L9" s="174">
        <f t="shared" si="6"/>
        <v>446533</v>
      </c>
      <c r="M9" s="174">
        <f t="shared" si="6"/>
        <v>150441</v>
      </c>
      <c r="N9" s="174">
        <f t="shared" si="6"/>
        <v>596974</v>
      </c>
      <c r="O9" s="174">
        <f t="shared" si="6"/>
        <v>179851</v>
      </c>
      <c r="P9" s="174">
        <f t="shared" si="6"/>
        <v>146687</v>
      </c>
      <c r="Q9" s="174">
        <f t="shared" si="6"/>
        <v>326538</v>
      </c>
      <c r="R9" s="174">
        <f t="shared" si="6"/>
        <v>147958</v>
      </c>
      <c r="S9" s="174">
        <f t="shared" si="6"/>
        <v>474496</v>
      </c>
      <c r="T9" s="174">
        <f t="shared" si="6"/>
        <v>274993</v>
      </c>
      <c r="U9" s="174">
        <f t="shared" si="6"/>
        <v>749489</v>
      </c>
      <c r="V9" s="174">
        <f t="shared" si="6"/>
        <v>154838</v>
      </c>
      <c r="W9" s="174">
        <f t="shared" si="6"/>
        <v>145666</v>
      </c>
      <c r="X9" s="174">
        <f t="shared" si="6"/>
        <v>300504</v>
      </c>
      <c r="Y9" s="174">
        <f t="shared" si="6"/>
        <v>182704</v>
      </c>
      <c r="Z9" s="174">
        <f t="shared" si="6"/>
        <v>483208</v>
      </c>
      <c r="AA9" s="174">
        <f t="shared" si="6"/>
        <v>312826</v>
      </c>
      <c r="AB9" s="174">
        <f t="shared" si="6"/>
        <v>796034</v>
      </c>
      <c r="AC9" s="174">
        <f t="shared" si="6"/>
        <v>255442</v>
      </c>
      <c r="AD9" s="174">
        <f t="shared" si="6"/>
        <v>227379</v>
      </c>
      <c r="AE9" s="174">
        <f t="shared" si="6"/>
        <v>482821</v>
      </c>
      <c r="AF9" s="174">
        <f t="shared" si="6"/>
        <v>220311</v>
      </c>
      <c r="AG9" s="174">
        <f t="shared" si="6"/>
        <v>703132</v>
      </c>
      <c r="AH9" s="174">
        <f t="shared" si="6"/>
        <v>281280</v>
      </c>
      <c r="AI9" s="174">
        <f t="shared" si="6"/>
        <v>984412</v>
      </c>
      <c r="AJ9" s="174">
        <f t="shared" si="6"/>
        <v>247625</v>
      </c>
      <c r="AK9" s="174">
        <f t="shared" si="6"/>
        <v>252824</v>
      </c>
      <c r="AL9" s="174">
        <f t="shared" si="6"/>
        <v>500449</v>
      </c>
      <c r="AM9" s="174">
        <f t="shared" ref="AM9:AR9" si="7">SUM(AM10:AM17)</f>
        <v>214037</v>
      </c>
      <c r="AN9" s="174">
        <f t="shared" si="7"/>
        <v>714486</v>
      </c>
      <c r="AO9" s="174">
        <f t="shared" si="7"/>
        <v>320742</v>
      </c>
      <c r="AP9" s="174">
        <f t="shared" si="7"/>
        <v>1035228</v>
      </c>
      <c r="AQ9" s="174">
        <f t="shared" si="7"/>
        <v>256579</v>
      </c>
      <c r="AR9" s="174">
        <f t="shared" si="7"/>
        <v>365765</v>
      </c>
      <c r="AS9" s="174">
        <f t="shared" ref="AS9:AX9" si="8">SUM(AS10:AS17)</f>
        <v>622344</v>
      </c>
      <c r="AT9" s="174">
        <f t="shared" si="8"/>
        <v>297684</v>
      </c>
      <c r="AU9" s="174">
        <f t="shared" si="8"/>
        <v>920028</v>
      </c>
      <c r="AV9" s="174">
        <f t="shared" si="8"/>
        <v>415976</v>
      </c>
      <c r="AW9" s="174">
        <f t="shared" si="8"/>
        <v>1336004</v>
      </c>
      <c r="AX9" s="174">
        <f t="shared" si="8"/>
        <v>269995</v>
      </c>
      <c r="AY9" s="174">
        <f t="shared" ref="AY9:AY75" si="9">AZ9-AX9</f>
        <v>393006</v>
      </c>
      <c r="AZ9" s="174">
        <f>SUM(AZ10:AZ17)</f>
        <v>663001</v>
      </c>
      <c r="BA9" s="174">
        <f>BB9-AZ9</f>
        <v>266300</v>
      </c>
      <c r="BB9" s="174">
        <f>SUM(BB10:BB17)</f>
        <v>929301</v>
      </c>
      <c r="BC9" s="174">
        <f>BD9-BB9</f>
        <v>552450</v>
      </c>
      <c r="BD9" s="174">
        <f>SUM(BD10:BD17)</f>
        <v>1481751</v>
      </c>
      <c r="BE9" s="174">
        <f>SUM(BE10:BE17)</f>
        <v>334043</v>
      </c>
      <c r="BF9" s="174">
        <f>BG9-BE9</f>
        <v>369180</v>
      </c>
      <c r="BG9" s="174">
        <f t="shared" ref="BG9:CK9" si="10">SUM(BG10:BG17)</f>
        <v>703223</v>
      </c>
      <c r="BH9" s="174">
        <f t="shared" si="10"/>
        <v>323511</v>
      </c>
      <c r="BI9" s="174">
        <f t="shared" si="10"/>
        <v>1026734</v>
      </c>
      <c r="BJ9" s="174">
        <f t="shared" si="10"/>
        <v>575211</v>
      </c>
      <c r="BK9" s="174">
        <f t="shared" si="10"/>
        <v>1601945</v>
      </c>
      <c r="BL9" s="174">
        <f t="shared" si="10"/>
        <v>349731</v>
      </c>
      <c r="BM9" s="174">
        <f t="shared" si="10"/>
        <v>343008</v>
      </c>
      <c r="BN9" s="174">
        <f t="shared" si="10"/>
        <v>692739</v>
      </c>
      <c r="BO9" s="174">
        <f t="shared" si="10"/>
        <v>459587</v>
      </c>
      <c r="BP9" s="174">
        <f t="shared" si="10"/>
        <v>1152326</v>
      </c>
      <c r="BQ9" s="174">
        <f t="shared" si="10"/>
        <v>705728</v>
      </c>
      <c r="BR9" s="174">
        <f>SUM(BR10:BR17)</f>
        <v>1858054</v>
      </c>
      <c r="BS9" s="174">
        <f t="shared" si="10"/>
        <v>423297</v>
      </c>
      <c r="BT9" s="174">
        <f t="shared" si="10"/>
        <v>464408</v>
      </c>
      <c r="BU9" s="174">
        <f t="shared" si="10"/>
        <v>887705</v>
      </c>
      <c r="BV9" s="174">
        <f t="shared" si="10"/>
        <v>408451</v>
      </c>
      <c r="BW9" s="174">
        <f t="shared" si="10"/>
        <v>1296156</v>
      </c>
      <c r="BX9" s="174">
        <f t="shared" si="10"/>
        <v>803021</v>
      </c>
      <c r="BY9" s="174">
        <f>SUM(BY10:BY17)</f>
        <v>2099177</v>
      </c>
      <c r="BZ9" s="174">
        <f t="shared" si="10"/>
        <v>618833</v>
      </c>
      <c r="CA9" s="174">
        <f t="shared" si="10"/>
        <v>413058</v>
      </c>
      <c r="CB9" s="174">
        <f t="shared" si="10"/>
        <v>1031891</v>
      </c>
      <c r="CC9" s="174">
        <f t="shared" si="10"/>
        <v>684903</v>
      </c>
      <c r="CD9" s="174">
        <f t="shared" si="10"/>
        <v>1716794</v>
      </c>
      <c r="CE9" s="174">
        <f t="shared" si="10"/>
        <v>819111</v>
      </c>
      <c r="CF9" s="174">
        <f>SUM(CF10:CF17)</f>
        <v>2535905</v>
      </c>
      <c r="CG9" s="174">
        <f t="shared" si="10"/>
        <v>632632</v>
      </c>
      <c r="CH9" s="174">
        <f t="shared" si="10"/>
        <v>562629</v>
      </c>
      <c r="CI9" s="174">
        <f t="shared" si="10"/>
        <v>1195261</v>
      </c>
      <c r="CJ9" s="174">
        <f t="shared" si="10"/>
        <v>776517</v>
      </c>
      <c r="CK9" s="174">
        <f t="shared" si="10"/>
        <v>1971778</v>
      </c>
      <c r="CL9" s="174">
        <f>SUM(CL10:CL17)</f>
        <v>1125770</v>
      </c>
      <c r="CM9" s="174">
        <f>SUM(CM10:CM17)</f>
        <v>3097547</v>
      </c>
      <c r="CN9" s="174">
        <f>SUM(CN10:CN17)</f>
        <v>827490</v>
      </c>
      <c r="CO9" s="174">
        <f>SUM(CO10:CO17)</f>
        <v>1043853</v>
      </c>
      <c r="CP9" s="174">
        <f t="shared" ref="CP9" si="11">SUM(CP10:CP17)</f>
        <v>1871343</v>
      </c>
      <c r="CQ9" s="174">
        <f>SUM(CQ10:CQ17)+4</f>
        <v>942369</v>
      </c>
      <c r="CR9" s="174">
        <f>SUM(CR10:CR17)-4</f>
        <v>2813708</v>
      </c>
      <c r="CS9" s="174">
        <f>SUM(CS10:CS17)+4</f>
        <v>1549499</v>
      </c>
      <c r="CT9" s="174">
        <f>SUM(CT10:CT17)+3</f>
        <v>4363210</v>
      </c>
      <c r="CU9" s="174">
        <f>SUM(CU10:CU17)</f>
        <v>2409077</v>
      </c>
      <c r="CV9" s="174">
        <f>SUM(CV10:CV17)</f>
        <v>1664892</v>
      </c>
      <c r="CW9" s="174">
        <f t="shared" ref="CW9" si="12">SUM(CW10:CW17)</f>
        <v>4073969</v>
      </c>
      <c r="CX9" s="174">
        <f>SUM(CX10:CX17)</f>
        <v>1353094</v>
      </c>
      <c r="CY9" s="174">
        <f>SUM(CY10:CY17)+1</f>
        <v>5427064</v>
      </c>
      <c r="CZ9" s="174">
        <f>SUM(CZ10:CZ17)</f>
        <v>1945970</v>
      </c>
      <c r="DA9" s="174">
        <f>SUM(DA10:DA17)</f>
        <v>7373034</v>
      </c>
      <c r="DB9" s="174">
        <f>SUM(DB10:DB17)</f>
        <v>2219315</v>
      </c>
      <c r="DC9" s="174">
        <f>SUM(DC10:DC17)</f>
        <v>1444422</v>
      </c>
      <c r="DD9" s="174">
        <f t="shared" ref="DD9" si="13">SUM(DD10:DD17)</f>
        <v>3663737</v>
      </c>
      <c r="DE9" s="174">
        <f t="shared" ref="DE9:DJ9" si="14">SUM(DE10:DE17)</f>
        <v>1648152</v>
      </c>
      <c r="DF9" s="174">
        <f t="shared" si="14"/>
        <v>5311889</v>
      </c>
      <c r="DG9" s="174">
        <f t="shared" si="14"/>
        <v>1918694</v>
      </c>
      <c r="DH9" s="174">
        <f t="shared" si="14"/>
        <v>7230583</v>
      </c>
      <c r="DI9" s="174">
        <f t="shared" si="14"/>
        <v>1956914</v>
      </c>
      <c r="DJ9" s="174">
        <f t="shared" si="14"/>
        <v>1351597</v>
      </c>
      <c r="DK9" s="174">
        <f t="shared" ref="DK9:DK72" si="15">DI9+DJ9</f>
        <v>3308511</v>
      </c>
    </row>
    <row r="10" spans="1:116" ht="10.5" customHeight="1" x14ac:dyDescent="0.25">
      <c r="A10" s="97"/>
      <c r="B10" s="98"/>
      <c r="C10" s="98" t="s">
        <v>106</v>
      </c>
      <c r="D10" s="99"/>
      <c r="E10" s="100"/>
      <c r="F10" s="100"/>
      <c r="G10" s="100"/>
      <c r="H10" s="175">
        <v>72759</v>
      </c>
      <c r="I10" s="175">
        <v>46519</v>
      </c>
      <c r="J10" s="175">
        <f>H10+I10</f>
        <v>119278</v>
      </c>
      <c r="K10" s="175">
        <v>30890</v>
      </c>
      <c r="L10" s="175">
        <f t="shared" ref="L10:L25" si="16">J10+K10</f>
        <v>150168</v>
      </c>
      <c r="M10" s="175">
        <v>91412</v>
      </c>
      <c r="N10" s="175">
        <f>L10+M10</f>
        <v>241580</v>
      </c>
      <c r="O10" s="175">
        <v>91454</v>
      </c>
      <c r="P10" s="175">
        <v>49183</v>
      </c>
      <c r="Q10" s="175">
        <f t="shared" ref="Q10:Q25" si="17">O10+P10</f>
        <v>140637</v>
      </c>
      <c r="R10" s="175">
        <v>57092</v>
      </c>
      <c r="S10" s="175">
        <f t="shared" ref="S10:S25" si="18">Q10+R10</f>
        <v>197729</v>
      </c>
      <c r="T10" s="175">
        <v>160902</v>
      </c>
      <c r="U10" s="175">
        <f t="shared" ref="U10:U17" si="19">SUM(S10:T10)</f>
        <v>358631</v>
      </c>
      <c r="V10" s="175">
        <v>98836</v>
      </c>
      <c r="W10" s="175">
        <v>20521</v>
      </c>
      <c r="X10" s="175">
        <f t="shared" ref="X10:X25" si="20">V10+W10</f>
        <v>119357</v>
      </c>
      <c r="Y10" s="175">
        <v>66318</v>
      </c>
      <c r="Z10" s="175">
        <f>X10+Y10</f>
        <v>185675</v>
      </c>
      <c r="AA10" s="175">
        <v>213018</v>
      </c>
      <c r="AB10" s="175">
        <f>SUM(Z10:AA10)+1</f>
        <v>398694</v>
      </c>
      <c r="AC10" s="175">
        <v>153807</v>
      </c>
      <c r="AD10" s="175">
        <v>86026</v>
      </c>
      <c r="AE10" s="175">
        <f>SUM(AC10:AD10)</f>
        <v>239833</v>
      </c>
      <c r="AF10" s="175">
        <v>105362</v>
      </c>
      <c r="AG10" s="175">
        <f>SUM(AE10:AF10)</f>
        <v>345195</v>
      </c>
      <c r="AH10" s="175">
        <v>222825</v>
      </c>
      <c r="AI10" s="175">
        <f>SUM(AG10:AH10)</f>
        <v>568020</v>
      </c>
      <c r="AJ10" s="175">
        <v>127817</v>
      </c>
      <c r="AK10" s="175">
        <v>114850</v>
      </c>
      <c r="AL10" s="175">
        <f>SUM(AJ10:AK10)</f>
        <v>242667</v>
      </c>
      <c r="AM10" s="175">
        <v>82472</v>
      </c>
      <c r="AN10" s="175">
        <f>SUM(AL10:AM10)</f>
        <v>325139</v>
      </c>
      <c r="AO10" s="175">
        <v>228496</v>
      </c>
      <c r="AP10" s="175">
        <f t="shared" ref="AP10:AP17" si="21">SUM(AN10:AO10)</f>
        <v>553635</v>
      </c>
      <c r="AQ10" s="175">
        <v>130318</v>
      </c>
      <c r="AR10" s="175">
        <v>90433</v>
      </c>
      <c r="AS10" s="175">
        <f>AQ10+AR10</f>
        <v>220751</v>
      </c>
      <c r="AT10" s="175">
        <v>135457</v>
      </c>
      <c r="AU10" s="175">
        <f>AS10+AT10</f>
        <v>356208</v>
      </c>
      <c r="AV10" s="175">
        <v>296316</v>
      </c>
      <c r="AW10" s="175">
        <f>AU10+AV10</f>
        <v>652524</v>
      </c>
      <c r="AX10" s="175">
        <v>158492</v>
      </c>
      <c r="AY10" s="175">
        <v>90901</v>
      </c>
      <c r="AZ10" s="175">
        <f>AX10+AY10</f>
        <v>249393</v>
      </c>
      <c r="BA10" s="175">
        <v>113194</v>
      </c>
      <c r="BB10" s="175">
        <f>AZ10+BA10</f>
        <v>362587</v>
      </c>
      <c r="BC10" s="175">
        <v>450106</v>
      </c>
      <c r="BD10" s="175">
        <f>BB10+BC10</f>
        <v>812693</v>
      </c>
      <c r="BE10" s="175">
        <v>146858</v>
      </c>
      <c r="BF10" s="175">
        <v>152259</v>
      </c>
      <c r="BG10" s="175">
        <f>BF10+BE10</f>
        <v>299117</v>
      </c>
      <c r="BH10" s="175">
        <v>137238</v>
      </c>
      <c r="BI10" s="175">
        <f>BH10+BG10</f>
        <v>436355</v>
      </c>
      <c r="BJ10" s="175">
        <v>313062</v>
      </c>
      <c r="BK10" s="175">
        <f>BJ10+BI10</f>
        <v>749417</v>
      </c>
      <c r="BL10" s="175">
        <v>81803</v>
      </c>
      <c r="BM10" s="175">
        <v>104036</v>
      </c>
      <c r="BN10" s="175">
        <f>BM10+BL10</f>
        <v>185839</v>
      </c>
      <c r="BO10" s="175">
        <v>122756</v>
      </c>
      <c r="BP10" s="175">
        <f>BO10+BN10</f>
        <v>308595</v>
      </c>
      <c r="BQ10" s="175">
        <v>437177</v>
      </c>
      <c r="BR10" s="175">
        <f>BQ10+BP10</f>
        <v>745772</v>
      </c>
      <c r="BS10" s="175">
        <v>182664</v>
      </c>
      <c r="BT10" s="175">
        <v>109803</v>
      </c>
      <c r="BU10" s="175">
        <f>BT10+BS10</f>
        <v>292467</v>
      </c>
      <c r="BV10" s="175">
        <v>188677</v>
      </c>
      <c r="BW10" s="175">
        <f>BV10+BU10</f>
        <v>481144</v>
      </c>
      <c r="BX10" s="175">
        <f>1088621-BW10</f>
        <v>607477</v>
      </c>
      <c r="BY10" s="175">
        <f>BX10+BW10</f>
        <v>1088621</v>
      </c>
      <c r="BZ10" s="175">
        <v>185218</v>
      </c>
      <c r="CA10" s="175">
        <v>200890</v>
      </c>
      <c r="CB10" s="175">
        <f>CA10+BZ10</f>
        <v>386108</v>
      </c>
      <c r="CC10" s="175">
        <f>233114+3</f>
        <v>233117</v>
      </c>
      <c r="CD10" s="175">
        <f>CC10+CB10</f>
        <v>619225</v>
      </c>
      <c r="CE10" s="175">
        <f>1212573-CD10</f>
        <v>593348</v>
      </c>
      <c r="CF10" s="175">
        <f>CE10+CD10</f>
        <v>1212573</v>
      </c>
      <c r="CG10" s="175">
        <v>246693</v>
      </c>
      <c r="CH10" s="175">
        <v>232274</v>
      </c>
      <c r="CI10" s="175">
        <f>CH10+CG10</f>
        <v>478967</v>
      </c>
      <c r="CJ10" s="175">
        <v>330935</v>
      </c>
      <c r="CK10" s="175">
        <f>CJ10+CI10</f>
        <v>809902</v>
      </c>
      <c r="CL10" s="175">
        <v>887768</v>
      </c>
      <c r="CM10" s="175">
        <v>1697671</v>
      </c>
      <c r="CN10" s="175">
        <v>388868</v>
      </c>
      <c r="CO10" s="175">
        <v>455233</v>
      </c>
      <c r="CP10" s="175">
        <f>CO10+CN10</f>
        <v>844101</v>
      </c>
      <c r="CQ10" s="175">
        <v>197167</v>
      </c>
      <c r="CR10" s="175">
        <f>CQ10+CP10</f>
        <v>1041268</v>
      </c>
      <c r="CS10" s="175">
        <v>1046193</v>
      </c>
      <c r="CT10" s="175">
        <f>CS10+CR10</f>
        <v>2087461</v>
      </c>
      <c r="CU10" s="175">
        <v>1017086</v>
      </c>
      <c r="CV10" s="175">
        <v>628597</v>
      </c>
      <c r="CW10" s="175">
        <f>CV10+CU10</f>
        <v>1645683</v>
      </c>
      <c r="CX10" s="175">
        <v>368712</v>
      </c>
      <c r="CY10" s="175">
        <f>CX10+CW10</f>
        <v>2014395</v>
      </c>
      <c r="CZ10" s="175">
        <v>916576</v>
      </c>
      <c r="DA10" s="175">
        <v>2930972</v>
      </c>
      <c r="DB10" s="175">
        <v>431466</v>
      </c>
      <c r="DC10" s="175">
        <v>449196</v>
      </c>
      <c r="DD10" s="175">
        <f>DC10+DB10</f>
        <v>880662</v>
      </c>
      <c r="DE10" s="175">
        <v>521410</v>
      </c>
      <c r="DF10" s="175">
        <f t="shared" ref="DF10:DF17" si="22">DE10+DD10</f>
        <v>1402072</v>
      </c>
      <c r="DG10" s="175">
        <v>787137</v>
      </c>
      <c r="DH10" s="175">
        <f>DG10+DF10</f>
        <v>2189209</v>
      </c>
      <c r="DI10" s="175">
        <v>744518</v>
      </c>
      <c r="DJ10" s="175">
        <v>778206</v>
      </c>
      <c r="DK10" s="175">
        <f t="shared" si="15"/>
        <v>1522724</v>
      </c>
    </row>
    <row r="11" spans="1:116" ht="10.5" customHeight="1" x14ac:dyDescent="0.25">
      <c r="A11" s="56"/>
      <c r="B11" s="57"/>
      <c r="C11" s="57" t="s">
        <v>421</v>
      </c>
      <c r="D11" s="58"/>
      <c r="E11" s="59"/>
      <c r="F11" s="59"/>
      <c r="G11" s="59"/>
      <c r="H11" s="175">
        <v>3046</v>
      </c>
      <c r="I11" s="175">
        <v>633</v>
      </c>
      <c r="J11" s="175">
        <f>H11+I11</f>
        <v>3679</v>
      </c>
      <c r="K11" s="175">
        <v>15609</v>
      </c>
      <c r="L11" s="175">
        <f t="shared" si="16"/>
        <v>19288</v>
      </c>
      <c r="M11" s="175">
        <v>14924</v>
      </c>
      <c r="N11" s="175">
        <f t="shared" ref="N11:N17" si="23">L11+M11</f>
        <v>34212</v>
      </c>
      <c r="O11" s="182">
        <v>1993</v>
      </c>
      <c r="P11" s="175">
        <v>2871</v>
      </c>
      <c r="Q11" s="175">
        <f t="shared" si="17"/>
        <v>4864</v>
      </c>
      <c r="R11" s="182">
        <v>22066</v>
      </c>
      <c r="S11" s="182">
        <f t="shared" si="18"/>
        <v>26930</v>
      </c>
      <c r="T11" s="175">
        <v>11473</v>
      </c>
      <c r="U11" s="175">
        <f t="shared" si="19"/>
        <v>38403</v>
      </c>
      <c r="V11" s="182">
        <v>3131</v>
      </c>
      <c r="W11" s="182">
        <v>1880</v>
      </c>
      <c r="X11" s="182">
        <f t="shared" si="20"/>
        <v>5011</v>
      </c>
      <c r="Y11" s="182">
        <v>21339</v>
      </c>
      <c r="Z11" s="175">
        <f t="shared" ref="Z11:Z25" si="24">X11+Y11</f>
        <v>26350</v>
      </c>
      <c r="AA11" s="175">
        <v>20797</v>
      </c>
      <c r="AB11" s="175">
        <f>SUM(Z11:AA11)</f>
        <v>47147</v>
      </c>
      <c r="AC11" s="175">
        <v>7499</v>
      </c>
      <c r="AD11" s="175">
        <v>2083</v>
      </c>
      <c r="AE11" s="175">
        <f t="shared" ref="AE11:AE17" si="25">SUM(AC11:AD11)</f>
        <v>9582</v>
      </c>
      <c r="AF11" s="175">
        <v>27438</v>
      </c>
      <c r="AG11" s="175">
        <f t="shared" ref="AG11:AG17" si="26">SUM(AE11:AF11)</f>
        <v>37020</v>
      </c>
      <c r="AH11" s="175">
        <v>21618</v>
      </c>
      <c r="AI11" s="175">
        <f t="shared" ref="AI11:AI17" si="27">SUM(AG11:AH11)</f>
        <v>58638</v>
      </c>
      <c r="AJ11" s="175">
        <v>12036</v>
      </c>
      <c r="AK11" s="175">
        <v>2176</v>
      </c>
      <c r="AL11" s="175">
        <f t="shared" ref="AL11:AL25" si="28">SUM(AJ11:AK11)</f>
        <v>14212</v>
      </c>
      <c r="AM11" s="175">
        <v>40056</v>
      </c>
      <c r="AN11" s="175">
        <f t="shared" ref="AN11:AN25" si="29">SUM(AL11:AM11)</f>
        <v>54268</v>
      </c>
      <c r="AO11" s="175">
        <v>28809</v>
      </c>
      <c r="AP11" s="175">
        <f t="shared" si="21"/>
        <v>83077</v>
      </c>
      <c r="AQ11" s="175">
        <v>9248</v>
      </c>
      <c r="AR11" s="175">
        <v>1380</v>
      </c>
      <c r="AS11" s="175">
        <f t="shared" ref="AS11:AS17" si="30">AQ11+AR11</f>
        <v>10628</v>
      </c>
      <c r="AT11" s="175">
        <v>40654</v>
      </c>
      <c r="AU11" s="175">
        <f t="shared" ref="AU11:AU17" si="31">AS11+AT11</f>
        <v>51282</v>
      </c>
      <c r="AV11" s="175">
        <v>30761</v>
      </c>
      <c r="AW11" s="175">
        <f t="shared" ref="AW11:AW17" si="32">AU11+AV11</f>
        <v>82043</v>
      </c>
      <c r="AX11" s="175">
        <v>11767</v>
      </c>
      <c r="AY11" s="175">
        <v>2755</v>
      </c>
      <c r="AZ11" s="175">
        <f t="shared" ref="AZ11:BD17" si="33">AX11+AY11</f>
        <v>14522</v>
      </c>
      <c r="BA11" s="175">
        <v>35033</v>
      </c>
      <c r="BB11" s="175">
        <f t="shared" si="33"/>
        <v>49555</v>
      </c>
      <c r="BC11" s="175">
        <v>35464</v>
      </c>
      <c r="BD11" s="175">
        <f t="shared" si="33"/>
        <v>85019</v>
      </c>
      <c r="BE11" s="175">
        <v>12292</v>
      </c>
      <c r="BF11" s="175">
        <v>2937</v>
      </c>
      <c r="BG11" s="175">
        <f>BF11+BE11</f>
        <v>15229</v>
      </c>
      <c r="BH11" s="175">
        <v>49515</v>
      </c>
      <c r="BI11" s="175">
        <f t="shared" ref="BI11:BI25" si="34">BH11+BG11</f>
        <v>64744</v>
      </c>
      <c r="BJ11" s="175">
        <v>34158</v>
      </c>
      <c r="BK11" s="175">
        <f>BJ11+BI11</f>
        <v>98902</v>
      </c>
      <c r="BL11" s="175">
        <v>4788</v>
      </c>
      <c r="BM11" s="175">
        <v>1967</v>
      </c>
      <c r="BN11" s="175">
        <f>BM11+BL11</f>
        <v>6755</v>
      </c>
      <c r="BO11" s="175">
        <v>54590</v>
      </c>
      <c r="BP11" s="175">
        <f>BO11+BN11</f>
        <v>61345</v>
      </c>
      <c r="BQ11" s="175">
        <v>43030</v>
      </c>
      <c r="BR11" s="175">
        <f>BQ11+BP11</f>
        <v>104375</v>
      </c>
      <c r="BS11" s="175">
        <v>12034</v>
      </c>
      <c r="BT11" s="175">
        <v>2326</v>
      </c>
      <c r="BU11" s="175">
        <f>BT11+BS11</f>
        <v>14360</v>
      </c>
      <c r="BV11" s="175">
        <v>31482</v>
      </c>
      <c r="BW11" s="175">
        <f>BV11+BU11</f>
        <v>45842</v>
      </c>
      <c r="BX11" s="175">
        <f>80496-BW11</f>
        <v>34654</v>
      </c>
      <c r="BY11" s="175">
        <f>BX11+BW11</f>
        <v>80496</v>
      </c>
      <c r="BZ11" s="175">
        <v>9236</v>
      </c>
      <c r="CA11" s="175">
        <v>2919</v>
      </c>
      <c r="CB11" s="175">
        <f>CA11+BZ11</f>
        <v>12155</v>
      </c>
      <c r="CC11" s="175">
        <v>40508</v>
      </c>
      <c r="CD11" s="175">
        <f>CC11+CB11</f>
        <v>52663</v>
      </c>
      <c r="CE11" s="175">
        <f>77154-CD11</f>
        <v>24491</v>
      </c>
      <c r="CF11" s="175">
        <f>CE11+CD11</f>
        <v>77154</v>
      </c>
      <c r="CG11" s="175">
        <v>20901</v>
      </c>
      <c r="CH11" s="175">
        <v>8829</v>
      </c>
      <c r="CI11" s="175">
        <f>CH11+CG11</f>
        <v>29730</v>
      </c>
      <c r="CJ11" s="175">
        <v>52040</v>
      </c>
      <c r="CK11" s="175">
        <f t="shared" ref="CK11:CK17" si="35">CJ11+CI11</f>
        <v>81770</v>
      </c>
      <c r="CL11" s="175">
        <v>74498</v>
      </c>
      <c r="CM11" s="175">
        <v>156269</v>
      </c>
      <c r="CN11" s="175">
        <v>35164</v>
      </c>
      <c r="CO11" s="175">
        <v>1245</v>
      </c>
      <c r="CP11" s="175">
        <f>CO11+CN11</f>
        <v>36409</v>
      </c>
      <c r="CQ11" s="175">
        <v>137234</v>
      </c>
      <c r="CR11" s="175">
        <f>CQ11+CP11</f>
        <v>173643</v>
      </c>
      <c r="CS11" s="175">
        <v>175286</v>
      </c>
      <c r="CT11" s="175">
        <f t="shared" ref="CT11:CT25" si="36">CS11+CR11</f>
        <v>348929</v>
      </c>
      <c r="CU11" s="175">
        <v>69076</v>
      </c>
      <c r="CV11" s="175">
        <v>16924</v>
      </c>
      <c r="CW11" s="175">
        <f>CV11+CU11</f>
        <v>86000</v>
      </c>
      <c r="CX11" s="175">
        <v>168575</v>
      </c>
      <c r="CY11" s="175">
        <f>CX11+CW11</f>
        <v>254575</v>
      </c>
      <c r="CZ11" s="175">
        <v>148345</v>
      </c>
      <c r="DA11" s="175">
        <f>CZ11+CY11</f>
        <v>402920</v>
      </c>
      <c r="DB11" s="175">
        <v>66576</v>
      </c>
      <c r="DC11" s="175">
        <v>21873</v>
      </c>
      <c r="DD11" s="175">
        <f>DC11+DB11</f>
        <v>88449</v>
      </c>
      <c r="DE11" s="175">
        <v>123860</v>
      </c>
      <c r="DF11" s="175">
        <f t="shared" si="22"/>
        <v>212309</v>
      </c>
      <c r="DG11" s="175">
        <v>136974</v>
      </c>
      <c r="DH11" s="175">
        <f t="shared" ref="DH11:DH17" si="37">DG11+DF11</f>
        <v>349283</v>
      </c>
      <c r="DI11" s="175">
        <v>58083</v>
      </c>
      <c r="DJ11" s="175">
        <v>24949</v>
      </c>
      <c r="DK11" s="175">
        <f t="shared" si="15"/>
        <v>83032</v>
      </c>
      <c r="DL11" s="127"/>
    </row>
    <row r="12" spans="1:116" ht="10.5" customHeight="1" x14ac:dyDescent="0.25">
      <c r="A12" s="56"/>
      <c r="B12" s="57"/>
      <c r="C12" s="57" t="s">
        <v>422</v>
      </c>
      <c r="D12" s="58"/>
      <c r="E12" s="59"/>
      <c r="F12" s="59"/>
      <c r="G12" s="59"/>
      <c r="H12" s="175">
        <v>76652</v>
      </c>
      <c r="I12" s="175">
        <v>85519</v>
      </c>
      <c r="J12" s="175">
        <f t="shared" ref="J12:J25" si="38">H12+I12</f>
        <v>162171</v>
      </c>
      <c r="K12" s="175">
        <v>50992</v>
      </c>
      <c r="L12" s="175">
        <f t="shared" si="16"/>
        <v>213163</v>
      </c>
      <c r="M12" s="175">
        <v>9913</v>
      </c>
      <c r="N12" s="175">
        <f t="shared" si="23"/>
        <v>223076</v>
      </c>
      <c r="O12" s="182">
        <v>54442</v>
      </c>
      <c r="P12" s="175">
        <v>75754</v>
      </c>
      <c r="Q12" s="175">
        <f t="shared" si="17"/>
        <v>130196</v>
      </c>
      <c r="R12" s="182">
        <v>27577</v>
      </c>
      <c r="S12" s="182">
        <f t="shared" si="18"/>
        <v>157773</v>
      </c>
      <c r="T12" s="175">
        <v>34803</v>
      </c>
      <c r="U12" s="175">
        <f t="shared" si="19"/>
        <v>192576</v>
      </c>
      <c r="V12" s="182">
        <v>31273</v>
      </c>
      <c r="W12" s="182">
        <v>99171</v>
      </c>
      <c r="X12" s="182">
        <f t="shared" si="20"/>
        <v>130444</v>
      </c>
      <c r="Y12" s="182">
        <v>65077</v>
      </c>
      <c r="Z12" s="175">
        <f t="shared" si="24"/>
        <v>195521</v>
      </c>
      <c r="AA12" s="175">
        <f>25307-269</f>
        <v>25038</v>
      </c>
      <c r="AB12" s="175">
        <f>SUM(Z12:AA12)-1</f>
        <v>220558</v>
      </c>
      <c r="AC12" s="175">
        <v>77451</v>
      </c>
      <c r="AD12" s="175">
        <v>126725</v>
      </c>
      <c r="AE12" s="175">
        <f t="shared" si="25"/>
        <v>204176</v>
      </c>
      <c r="AF12" s="175">
        <v>61461</v>
      </c>
      <c r="AG12" s="175">
        <f t="shared" si="26"/>
        <v>265637</v>
      </c>
      <c r="AH12" s="175">
        <v>20200</v>
      </c>
      <c r="AI12" s="175">
        <f t="shared" si="27"/>
        <v>285837</v>
      </c>
      <c r="AJ12" s="175">
        <v>102958</v>
      </c>
      <c r="AK12" s="175">
        <v>113729</v>
      </c>
      <c r="AL12" s="175">
        <f t="shared" si="28"/>
        <v>216687</v>
      </c>
      <c r="AM12" s="175">
        <v>69434</v>
      </c>
      <c r="AN12" s="175">
        <f t="shared" si="29"/>
        <v>286121</v>
      </c>
      <c r="AO12" s="175">
        <v>42227</v>
      </c>
      <c r="AP12" s="175">
        <f t="shared" si="21"/>
        <v>328348</v>
      </c>
      <c r="AQ12" s="175">
        <v>117793</v>
      </c>
      <c r="AR12" s="175">
        <v>255696</v>
      </c>
      <c r="AS12" s="175">
        <f t="shared" si="30"/>
        <v>373489</v>
      </c>
      <c r="AT12" s="175">
        <v>79370</v>
      </c>
      <c r="AU12" s="175">
        <f t="shared" si="31"/>
        <v>452859</v>
      </c>
      <c r="AV12" s="175">
        <v>25163</v>
      </c>
      <c r="AW12" s="175">
        <f t="shared" si="32"/>
        <v>478022</v>
      </c>
      <c r="AX12" s="175">
        <v>134999</v>
      </c>
      <c r="AY12" s="175">
        <v>330578</v>
      </c>
      <c r="AZ12" s="175">
        <f t="shared" si="33"/>
        <v>465577</v>
      </c>
      <c r="BA12" s="175">
        <v>95815</v>
      </c>
      <c r="BB12" s="175">
        <f t="shared" si="33"/>
        <v>561392</v>
      </c>
      <c r="BC12" s="175">
        <v>72663</v>
      </c>
      <c r="BD12" s="175">
        <f t="shared" si="33"/>
        <v>634055</v>
      </c>
      <c r="BE12" s="175">
        <v>223941</v>
      </c>
      <c r="BF12" s="175">
        <v>232073</v>
      </c>
      <c r="BG12" s="175">
        <f>BF12+BE12</f>
        <v>456014</v>
      </c>
      <c r="BH12" s="175">
        <v>25502</v>
      </c>
      <c r="BI12" s="175">
        <f t="shared" si="34"/>
        <v>481516</v>
      </c>
      <c r="BJ12" s="175">
        <v>102474</v>
      </c>
      <c r="BK12" s="175">
        <f>BJ12+BI12</f>
        <v>583990</v>
      </c>
      <c r="BL12" s="175">
        <v>219223</v>
      </c>
      <c r="BM12" s="175">
        <v>226642</v>
      </c>
      <c r="BN12" s="175">
        <f>BM12+BL12</f>
        <v>445865</v>
      </c>
      <c r="BO12" s="175">
        <v>173587</v>
      </c>
      <c r="BP12" s="175">
        <f>BO12+BN12</f>
        <v>619452</v>
      </c>
      <c r="BQ12" s="175">
        <v>101427</v>
      </c>
      <c r="BR12" s="175">
        <f>BQ12+BP12</f>
        <v>720879</v>
      </c>
      <c r="BS12" s="175">
        <v>211275</v>
      </c>
      <c r="BT12" s="175">
        <v>372650</v>
      </c>
      <c r="BU12" s="175">
        <f>BT12+BS12</f>
        <v>583925</v>
      </c>
      <c r="BV12" s="175">
        <v>126247</v>
      </c>
      <c r="BW12" s="175">
        <f>BV12+BU12</f>
        <v>710172</v>
      </c>
      <c r="BX12" s="175">
        <f>875235-BW12</f>
        <v>165063</v>
      </c>
      <c r="BY12" s="175">
        <f>BX12+BW12</f>
        <v>875235</v>
      </c>
      <c r="BZ12" s="175">
        <v>439779</v>
      </c>
      <c r="CA12" s="175">
        <v>231626</v>
      </c>
      <c r="CB12" s="175">
        <f>CA12+BZ12</f>
        <v>671405</v>
      </c>
      <c r="CC12" s="175">
        <v>245525</v>
      </c>
      <c r="CD12" s="175">
        <f>CC12+CB12</f>
        <v>916930</v>
      </c>
      <c r="CE12" s="175">
        <f>1036218-CD12</f>
        <v>119288</v>
      </c>
      <c r="CF12" s="175">
        <f>CE12+CD12</f>
        <v>1036218</v>
      </c>
      <c r="CG12" s="175">
        <v>407034</v>
      </c>
      <c r="CH12" s="175">
        <v>403357</v>
      </c>
      <c r="CI12" s="175">
        <f>CH12+CG12</f>
        <v>810391</v>
      </c>
      <c r="CJ12" s="175">
        <v>288463</v>
      </c>
      <c r="CK12" s="175">
        <f t="shared" si="35"/>
        <v>1098854</v>
      </c>
      <c r="CL12" s="175">
        <v>192949</v>
      </c>
      <c r="CM12" s="175">
        <f>CL12+CK12</f>
        <v>1291803</v>
      </c>
      <c r="CN12" s="175">
        <v>495896</v>
      </c>
      <c r="CO12" s="175">
        <v>657432</v>
      </c>
      <c r="CP12" s="175">
        <f>CO12+CN12</f>
        <v>1153328</v>
      </c>
      <c r="CQ12" s="175">
        <v>165631</v>
      </c>
      <c r="CR12" s="175">
        <f>CQ12+CP12</f>
        <v>1318959</v>
      </c>
      <c r="CS12" s="175">
        <v>354736</v>
      </c>
      <c r="CT12" s="175">
        <f t="shared" si="36"/>
        <v>1673695</v>
      </c>
      <c r="CU12" s="175">
        <v>1252179</v>
      </c>
      <c r="CV12" s="175">
        <v>986373</v>
      </c>
      <c r="CW12" s="175">
        <f>CV12+CU12</f>
        <v>2238552</v>
      </c>
      <c r="CX12" s="175">
        <v>294215</v>
      </c>
      <c r="CY12" s="175">
        <f>CX12+CW12</f>
        <v>2532767</v>
      </c>
      <c r="CZ12" s="175">
        <v>559969</v>
      </c>
      <c r="DA12" s="175">
        <f>CZ12+CY12</f>
        <v>3092736</v>
      </c>
      <c r="DB12" s="175">
        <v>1486226</v>
      </c>
      <c r="DC12" s="175">
        <v>807932</v>
      </c>
      <c r="DD12" s="175">
        <f>DC12+DB12</f>
        <v>2294158</v>
      </c>
      <c r="DE12" s="175">
        <v>205744</v>
      </c>
      <c r="DF12" s="175">
        <f t="shared" si="22"/>
        <v>2499902</v>
      </c>
      <c r="DG12" s="175">
        <v>555824</v>
      </c>
      <c r="DH12" s="175">
        <f t="shared" si="37"/>
        <v>3055726</v>
      </c>
      <c r="DI12" s="175">
        <v>929602</v>
      </c>
      <c r="DJ12" s="175">
        <v>458741</v>
      </c>
      <c r="DK12" s="175">
        <f t="shared" si="15"/>
        <v>1388343</v>
      </c>
      <c r="DL12" s="127"/>
    </row>
    <row r="13" spans="1:116" ht="10.5" customHeight="1" x14ac:dyDescent="0.25">
      <c r="A13" s="56"/>
      <c r="B13" s="57"/>
      <c r="C13" s="57" t="s">
        <v>108</v>
      </c>
      <c r="D13" s="58"/>
      <c r="E13" s="59"/>
      <c r="F13" s="59"/>
      <c r="G13" s="59"/>
      <c r="H13" s="175">
        <v>3950</v>
      </c>
      <c r="I13" s="175">
        <v>2377</v>
      </c>
      <c r="J13" s="175">
        <f>H13+I13</f>
        <v>6327</v>
      </c>
      <c r="K13" s="175">
        <v>33469</v>
      </c>
      <c r="L13" s="175">
        <f t="shared" si="16"/>
        <v>39796</v>
      </c>
      <c r="M13" s="175">
        <v>19230</v>
      </c>
      <c r="N13" s="175">
        <f t="shared" si="23"/>
        <v>59026</v>
      </c>
      <c r="O13" s="182">
        <v>8703</v>
      </c>
      <c r="P13" s="175">
        <v>4059</v>
      </c>
      <c r="Q13" s="175">
        <f t="shared" si="17"/>
        <v>12762</v>
      </c>
      <c r="R13" s="182">
        <v>25161</v>
      </c>
      <c r="S13" s="182">
        <f t="shared" si="18"/>
        <v>37923</v>
      </c>
      <c r="T13" s="175">
        <v>42335</v>
      </c>
      <c r="U13" s="175">
        <f t="shared" si="19"/>
        <v>80258</v>
      </c>
      <c r="V13" s="182">
        <v>7819</v>
      </c>
      <c r="W13" s="182">
        <v>12004</v>
      </c>
      <c r="X13" s="182">
        <f t="shared" si="20"/>
        <v>19823</v>
      </c>
      <c r="Y13" s="182">
        <v>17942</v>
      </c>
      <c r="Z13" s="175">
        <f t="shared" si="24"/>
        <v>37765</v>
      </c>
      <c r="AA13" s="175">
        <v>27169</v>
      </c>
      <c r="AB13" s="175">
        <f>SUM(Z13:AA13)</f>
        <v>64934</v>
      </c>
      <c r="AC13" s="175">
        <v>7086</v>
      </c>
      <c r="AD13" s="175">
        <v>15827</v>
      </c>
      <c r="AE13" s="175">
        <f t="shared" si="25"/>
        <v>22913</v>
      </c>
      <c r="AF13" s="175">
        <v>34942</v>
      </c>
      <c r="AG13" s="175">
        <f t="shared" si="26"/>
        <v>57855</v>
      </c>
      <c r="AH13" s="175">
        <v>41937</v>
      </c>
      <c r="AI13" s="175">
        <f t="shared" si="27"/>
        <v>99792</v>
      </c>
      <c r="AJ13" s="175">
        <v>5799</v>
      </c>
      <c r="AK13" s="175">
        <v>25119</v>
      </c>
      <c r="AL13" s="175">
        <f t="shared" si="28"/>
        <v>30918</v>
      </c>
      <c r="AM13" s="175">
        <v>27964</v>
      </c>
      <c r="AN13" s="175">
        <f t="shared" si="29"/>
        <v>58882</v>
      </c>
      <c r="AO13" s="175">
        <v>40342</v>
      </c>
      <c r="AP13" s="175">
        <f t="shared" si="21"/>
        <v>99224</v>
      </c>
      <c r="AQ13" s="175">
        <v>6619</v>
      </c>
      <c r="AR13" s="175">
        <v>15967</v>
      </c>
      <c r="AS13" s="175">
        <f t="shared" si="30"/>
        <v>22586</v>
      </c>
      <c r="AT13" s="175">
        <v>25844</v>
      </c>
      <c r="AU13" s="175">
        <f t="shared" si="31"/>
        <v>48430</v>
      </c>
      <c r="AV13" s="175">
        <v>63520</v>
      </c>
      <c r="AW13" s="175">
        <f t="shared" si="32"/>
        <v>111950</v>
      </c>
      <c r="AX13" s="175">
        <v>12559</v>
      </c>
      <c r="AY13" s="175">
        <v>8408</v>
      </c>
      <c r="AZ13" s="175">
        <f t="shared" si="33"/>
        <v>20967</v>
      </c>
      <c r="BA13" s="175">
        <v>34343</v>
      </c>
      <c r="BB13" s="175">
        <f t="shared" si="33"/>
        <v>55310</v>
      </c>
      <c r="BC13" s="175">
        <v>66567</v>
      </c>
      <c r="BD13" s="175">
        <f t="shared" si="33"/>
        <v>121877</v>
      </c>
      <c r="BE13" s="175">
        <v>2691</v>
      </c>
      <c r="BF13" s="175">
        <v>15536</v>
      </c>
      <c r="BG13" s="175">
        <f>BF13+BE13</f>
        <v>18227</v>
      </c>
      <c r="BH13" s="175">
        <v>87704</v>
      </c>
      <c r="BI13" s="175">
        <f t="shared" si="34"/>
        <v>105931</v>
      </c>
      <c r="BJ13" s="175">
        <v>58583</v>
      </c>
      <c r="BK13" s="175">
        <f>BJ13+BI13</f>
        <v>164514</v>
      </c>
      <c r="BL13" s="175">
        <v>7939</v>
      </c>
      <c r="BM13" s="175">
        <v>7233</v>
      </c>
      <c r="BN13" s="175">
        <f>BM13+BL13</f>
        <v>15172</v>
      </c>
      <c r="BO13" s="175">
        <v>74971</v>
      </c>
      <c r="BP13" s="175">
        <f>BO13+BN13</f>
        <v>90143</v>
      </c>
      <c r="BQ13" s="175">
        <v>62591</v>
      </c>
      <c r="BR13" s="175">
        <f>BQ13+BP13</f>
        <v>152734</v>
      </c>
      <c r="BS13" s="175">
        <v>7452</v>
      </c>
      <c r="BT13" s="175">
        <v>2099</v>
      </c>
      <c r="BU13" s="175">
        <f>BT13+BS13</f>
        <v>9551</v>
      </c>
      <c r="BV13" s="175">
        <v>86205</v>
      </c>
      <c r="BW13" s="175">
        <f>BV13+BU13</f>
        <v>95756</v>
      </c>
      <c r="BX13" s="175">
        <f>146151-BW13</f>
        <v>50395</v>
      </c>
      <c r="BY13" s="175">
        <f>BX13+BW13</f>
        <v>146151</v>
      </c>
      <c r="BZ13" s="175">
        <v>9638</v>
      </c>
      <c r="CA13" s="175">
        <v>20309</v>
      </c>
      <c r="CB13" s="175">
        <f>CA13+BZ13</f>
        <v>29947</v>
      </c>
      <c r="CC13" s="175">
        <v>156121</v>
      </c>
      <c r="CD13" s="175">
        <f>CC13+CB13</f>
        <v>186068</v>
      </c>
      <c r="CE13" s="175">
        <f>253376-CD13</f>
        <v>67308</v>
      </c>
      <c r="CF13" s="175">
        <f>CE13+CD13</f>
        <v>253376</v>
      </c>
      <c r="CG13" s="175">
        <v>24457</v>
      </c>
      <c r="CH13" s="175">
        <v>24219</v>
      </c>
      <c r="CI13" s="175">
        <f>CH13+CG13</f>
        <v>48676</v>
      </c>
      <c r="CJ13" s="175">
        <v>192844</v>
      </c>
      <c r="CK13" s="175">
        <f t="shared" si="35"/>
        <v>241520</v>
      </c>
      <c r="CL13" s="175">
        <v>141985</v>
      </c>
      <c r="CM13" s="175">
        <v>383504</v>
      </c>
      <c r="CN13" s="175">
        <v>2873</v>
      </c>
      <c r="CO13" s="175">
        <v>23777</v>
      </c>
      <c r="CP13" s="175">
        <f>CO13+CN13</f>
        <v>26650</v>
      </c>
      <c r="CQ13" s="175">
        <v>352643</v>
      </c>
      <c r="CR13" s="175">
        <f>CQ13+CP13</f>
        <v>379293</v>
      </c>
      <c r="CS13" s="175">
        <v>138784</v>
      </c>
      <c r="CT13" s="175">
        <f t="shared" si="36"/>
        <v>518077</v>
      </c>
      <c r="CU13" s="175">
        <v>14170</v>
      </c>
      <c r="CV13" s="175">
        <v>46660</v>
      </c>
      <c r="CW13" s="175">
        <f>CV13+CU13</f>
        <v>60830</v>
      </c>
      <c r="CX13" s="175">
        <v>478941</v>
      </c>
      <c r="CY13" s="175">
        <f>CX13+CW13</f>
        <v>539771</v>
      </c>
      <c r="CZ13" s="175">
        <v>170702</v>
      </c>
      <c r="DA13" s="175">
        <f>CZ13+CY13</f>
        <v>710473</v>
      </c>
      <c r="DB13" s="175">
        <v>65879</v>
      </c>
      <c r="DC13" s="175">
        <v>26496</v>
      </c>
      <c r="DD13" s="175">
        <f>DC13+DB13</f>
        <v>92375</v>
      </c>
      <c r="DE13" s="175">
        <v>540570</v>
      </c>
      <c r="DF13" s="175">
        <f t="shared" si="22"/>
        <v>632945</v>
      </c>
      <c r="DG13" s="175">
        <v>213091</v>
      </c>
      <c r="DH13" s="175">
        <f t="shared" si="37"/>
        <v>846036</v>
      </c>
      <c r="DI13" s="175">
        <v>20973</v>
      </c>
      <c r="DJ13" s="175">
        <v>24231</v>
      </c>
      <c r="DK13" s="175">
        <f t="shared" si="15"/>
        <v>45204</v>
      </c>
      <c r="DL13" s="127"/>
    </row>
    <row r="14" spans="1:116" ht="10.5" customHeight="1" x14ac:dyDescent="0.25">
      <c r="A14" s="56"/>
      <c r="B14" s="57"/>
      <c r="C14" s="57" t="s">
        <v>109</v>
      </c>
      <c r="D14" s="58"/>
      <c r="E14" s="59"/>
      <c r="F14" s="59"/>
      <c r="G14" s="59"/>
      <c r="H14" s="175">
        <v>1496</v>
      </c>
      <c r="I14" s="175">
        <v>1522</v>
      </c>
      <c r="J14" s="175">
        <f t="shared" si="38"/>
        <v>3018</v>
      </c>
      <c r="K14" s="175">
        <v>2320</v>
      </c>
      <c r="L14" s="175">
        <f t="shared" si="16"/>
        <v>5338</v>
      </c>
      <c r="M14" s="175">
        <v>2028</v>
      </c>
      <c r="N14" s="175">
        <f t="shared" si="23"/>
        <v>7366</v>
      </c>
      <c r="O14" s="182">
        <v>3782</v>
      </c>
      <c r="P14" s="175">
        <v>1430</v>
      </c>
      <c r="Q14" s="175">
        <f t="shared" si="17"/>
        <v>5212</v>
      </c>
      <c r="R14" s="182">
        <v>553</v>
      </c>
      <c r="S14" s="182">
        <f t="shared" si="18"/>
        <v>5765</v>
      </c>
      <c r="T14" s="175">
        <v>7043</v>
      </c>
      <c r="U14" s="175">
        <f t="shared" si="19"/>
        <v>12808</v>
      </c>
      <c r="V14" s="182">
        <v>1833</v>
      </c>
      <c r="W14" s="182">
        <v>1490</v>
      </c>
      <c r="X14" s="182">
        <f t="shared" si="20"/>
        <v>3323</v>
      </c>
      <c r="Y14" s="182">
        <v>21</v>
      </c>
      <c r="Z14" s="175">
        <f t="shared" si="24"/>
        <v>3344</v>
      </c>
      <c r="AA14" s="175">
        <v>7743</v>
      </c>
      <c r="AB14" s="175">
        <f>SUM(Z14:AA14)</f>
        <v>11087</v>
      </c>
      <c r="AC14" s="175">
        <v>1307</v>
      </c>
      <c r="AD14" s="175">
        <v>2127</v>
      </c>
      <c r="AE14" s="175">
        <f t="shared" si="25"/>
        <v>3434</v>
      </c>
      <c r="AF14" s="175">
        <v>238</v>
      </c>
      <c r="AG14" s="175">
        <f t="shared" si="26"/>
        <v>3672</v>
      </c>
      <c r="AH14" s="175">
        <v>1000</v>
      </c>
      <c r="AI14" s="175">
        <f t="shared" si="27"/>
        <v>4672</v>
      </c>
      <c r="AJ14" s="175">
        <v>2924</v>
      </c>
      <c r="AK14" s="175">
        <v>2897</v>
      </c>
      <c r="AL14" s="175">
        <f t="shared" si="28"/>
        <v>5821</v>
      </c>
      <c r="AM14" s="175">
        <v>384</v>
      </c>
      <c r="AN14" s="175">
        <f t="shared" si="29"/>
        <v>6205</v>
      </c>
      <c r="AO14" s="175">
        <v>2940</v>
      </c>
      <c r="AP14" s="175">
        <f t="shared" si="21"/>
        <v>9145</v>
      </c>
      <c r="AQ14" s="175">
        <v>3233</v>
      </c>
      <c r="AR14" s="175">
        <v>697</v>
      </c>
      <c r="AS14" s="175">
        <f t="shared" si="30"/>
        <v>3930</v>
      </c>
      <c r="AT14" s="175">
        <v>1401</v>
      </c>
      <c r="AU14" s="175">
        <f t="shared" si="31"/>
        <v>5331</v>
      </c>
      <c r="AV14" s="175">
        <v>3</v>
      </c>
      <c r="AW14" s="175">
        <f t="shared" si="32"/>
        <v>5334</v>
      </c>
      <c r="AX14" s="175">
        <v>0</v>
      </c>
      <c r="AY14" s="175">
        <v>0</v>
      </c>
      <c r="AZ14" s="175">
        <f t="shared" si="33"/>
        <v>0</v>
      </c>
      <c r="BA14" s="175">
        <v>0</v>
      </c>
      <c r="BB14" s="175">
        <f t="shared" si="33"/>
        <v>0</v>
      </c>
      <c r="BC14" s="175">
        <v>0</v>
      </c>
      <c r="BD14" s="175">
        <f t="shared" si="33"/>
        <v>0</v>
      </c>
      <c r="BE14" s="175">
        <v>0</v>
      </c>
      <c r="BF14" s="175">
        <v>0</v>
      </c>
      <c r="BG14" s="175">
        <v>0</v>
      </c>
      <c r="BH14" s="175">
        <v>0</v>
      </c>
      <c r="BI14" s="175">
        <v>0</v>
      </c>
      <c r="BJ14" s="175">
        <v>0</v>
      </c>
      <c r="BK14" s="175">
        <v>0</v>
      </c>
      <c r="BL14" s="175">
        <v>0</v>
      </c>
      <c r="BM14" s="175">
        <v>0</v>
      </c>
      <c r="BN14" s="175">
        <v>0</v>
      </c>
      <c r="BO14" s="175">
        <v>0</v>
      </c>
      <c r="BP14" s="175">
        <v>0</v>
      </c>
      <c r="BQ14" s="175">
        <v>0</v>
      </c>
      <c r="BR14" s="175">
        <v>0</v>
      </c>
      <c r="BS14" s="175">
        <v>0</v>
      </c>
      <c r="BT14" s="175">
        <v>0</v>
      </c>
      <c r="BU14" s="175">
        <v>0</v>
      </c>
      <c r="BV14" s="175">
        <v>0</v>
      </c>
      <c r="BW14" s="175">
        <v>0</v>
      </c>
      <c r="BX14" s="175">
        <v>0</v>
      </c>
      <c r="BY14" s="175">
        <v>0</v>
      </c>
      <c r="BZ14" s="175">
        <v>0</v>
      </c>
      <c r="CA14" s="175">
        <v>0</v>
      </c>
      <c r="CB14" s="175">
        <v>0</v>
      </c>
      <c r="CC14" s="175">
        <v>0</v>
      </c>
      <c r="CD14" s="175">
        <v>0</v>
      </c>
      <c r="CE14" s="175">
        <v>0</v>
      </c>
      <c r="CF14" s="175">
        <v>0</v>
      </c>
      <c r="CG14" s="175">
        <v>0</v>
      </c>
      <c r="CH14" s="175">
        <v>0</v>
      </c>
      <c r="CI14" s="175">
        <v>0</v>
      </c>
      <c r="CJ14" s="175">
        <v>0</v>
      </c>
      <c r="CK14" s="175">
        <f t="shared" si="35"/>
        <v>0</v>
      </c>
      <c r="CL14" s="175">
        <v>0</v>
      </c>
      <c r="CM14" s="175">
        <v>0</v>
      </c>
      <c r="CN14" s="175">
        <v>0</v>
      </c>
      <c r="CO14" s="175">
        <v>0</v>
      </c>
      <c r="CP14" s="175">
        <v>0</v>
      </c>
      <c r="CQ14" s="175">
        <v>0</v>
      </c>
      <c r="CR14" s="175">
        <v>0</v>
      </c>
      <c r="CS14" s="175">
        <v>0</v>
      </c>
      <c r="CT14" s="175">
        <f t="shared" si="36"/>
        <v>0</v>
      </c>
      <c r="CU14" s="175">
        <v>0</v>
      </c>
      <c r="CV14" s="175">
        <v>0</v>
      </c>
      <c r="CW14" s="175">
        <v>0</v>
      </c>
      <c r="CX14" s="175">
        <v>0</v>
      </c>
      <c r="CY14" s="175">
        <v>0</v>
      </c>
      <c r="CZ14" s="175">
        <v>0</v>
      </c>
      <c r="DA14" s="175">
        <v>0</v>
      </c>
      <c r="DB14" s="175">
        <v>0</v>
      </c>
      <c r="DC14" s="175">
        <v>0</v>
      </c>
      <c r="DD14" s="175">
        <v>0</v>
      </c>
      <c r="DE14" s="175"/>
      <c r="DF14" s="175">
        <f t="shared" si="22"/>
        <v>0</v>
      </c>
      <c r="DG14" s="175"/>
      <c r="DH14" s="175">
        <f t="shared" si="37"/>
        <v>0</v>
      </c>
      <c r="DI14" s="175">
        <v>0</v>
      </c>
      <c r="DJ14" s="175">
        <v>0</v>
      </c>
      <c r="DK14" s="175">
        <f t="shared" si="15"/>
        <v>0</v>
      </c>
      <c r="DL14" s="127"/>
    </row>
    <row r="15" spans="1:116" ht="10.5" customHeight="1" x14ac:dyDescent="0.25">
      <c r="A15" s="56"/>
      <c r="B15" s="57"/>
      <c r="C15" s="57" t="s">
        <v>263</v>
      </c>
      <c r="D15" s="58"/>
      <c r="E15" s="59"/>
      <c r="F15" s="59"/>
      <c r="G15" s="59"/>
      <c r="H15" s="175"/>
      <c r="I15" s="175"/>
      <c r="J15" s="175"/>
      <c r="K15" s="175"/>
      <c r="L15" s="175"/>
      <c r="M15" s="175"/>
      <c r="N15" s="175"/>
      <c r="O15" s="182"/>
      <c r="P15" s="175"/>
      <c r="Q15" s="175"/>
      <c r="R15" s="182"/>
      <c r="S15" s="182"/>
      <c r="T15" s="175"/>
      <c r="U15" s="175"/>
      <c r="V15" s="182"/>
      <c r="W15" s="182"/>
      <c r="X15" s="182"/>
      <c r="Y15" s="182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>
        <v>9823</v>
      </c>
      <c r="CR15" s="175">
        <f>CQ15+CP15</f>
        <v>9823</v>
      </c>
      <c r="CS15" s="175">
        <v>49553</v>
      </c>
      <c r="CT15" s="175">
        <f t="shared" si="36"/>
        <v>59376</v>
      </c>
      <c r="CU15" s="175">
        <v>26442</v>
      </c>
      <c r="CV15" s="175">
        <v>25727</v>
      </c>
      <c r="CW15" s="175">
        <f>CV15+CU15</f>
        <v>52169</v>
      </c>
      <c r="CX15" s="175">
        <v>23755</v>
      </c>
      <c r="CY15" s="175">
        <f>CX15+CW15</f>
        <v>75924</v>
      </c>
      <c r="CZ15" s="175">
        <v>34938</v>
      </c>
      <c r="DA15" s="175">
        <f>CZ15+CY15</f>
        <v>110862</v>
      </c>
      <c r="DB15" s="175">
        <v>14818</v>
      </c>
      <c r="DC15" s="175">
        <v>20840</v>
      </c>
      <c r="DD15" s="175">
        <f>DC15+DB15</f>
        <v>35658</v>
      </c>
      <c r="DE15" s="175">
        <v>33886</v>
      </c>
      <c r="DF15" s="175">
        <f t="shared" si="22"/>
        <v>69544</v>
      </c>
      <c r="DG15" s="175">
        <v>51463</v>
      </c>
      <c r="DH15" s="175">
        <f>DG15+DF15</f>
        <v>121007</v>
      </c>
      <c r="DI15" s="175">
        <v>28515</v>
      </c>
      <c r="DJ15" s="175">
        <v>30935</v>
      </c>
      <c r="DK15" s="175">
        <f t="shared" si="15"/>
        <v>59450</v>
      </c>
      <c r="DL15" s="127"/>
    </row>
    <row r="16" spans="1:116" ht="10.5" customHeight="1" x14ac:dyDescent="0.25">
      <c r="A16" s="56"/>
      <c r="B16" s="57"/>
      <c r="C16" s="57" t="s">
        <v>110</v>
      </c>
      <c r="D16" s="58"/>
      <c r="E16" s="59"/>
      <c r="F16" s="59"/>
      <c r="G16" s="59"/>
      <c r="H16" s="175">
        <v>13466</v>
      </c>
      <c r="I16" s="175">
        <v>14314</v>
      </c>
      <c r="J16" s="175">
        <f>H16+I16</f>
        <v>27780</v>
      </c>
      <c r="K16" s="175">
        <v>1026</v>
      </c>
      <c r="L16" s="175">
        <f t="shared" si="16"/>
        <v>28806</v>
      </c>
      <c r="M16" s="175">
        <v>9019</v>
      </c>
      <c r="N16" s="175">
        <f t="shared" si="23"/>
        <v>37825</v>
      </c>
      <c r="O16" s="182">
        <v>19563</v>
      </c>
      <c r="P16" s="175">
        <v>9785</v>
      </c>
      <c r="Q16" s="175">
        <f t="shared" si="17"/>
        <v>29348</v>
      </c>
      <c r="R16" s="182">
        <v>9427</v>
      </c>
      <c r="S16" s="182">
        <f>Q16+R16</f>
        <v>38775</v>
      </c>
      <c r="T16" s="175">
        <v>4455</v>
      </c>
      <c r="U16" s="175">
        <f t="shared" si="19"/>
        <v>43230</v>
      </c>
      <c r="V16" s="182">
        <v>4957</v>
      </c>
      <c r="W16" s="182">
        <v>-1384</v>
      </c>
      <c r="X16" s="182">
        <f t="shared" si="20"/>
        <v>3573</v>
      </c>
      <c r="Y16" s="182">
        <v>2397</v>
      </c>
      <c r="Z16" s="175">
        <f t="shared" si="24"/>
        <v>5970</v>
      </c>
      <c r="AA16" s="175">
        <v>4181</v>
      </c>
      <c r="AB16" s="175">
        <f>SUM(Z16:AA16)</f>
        <v>10151</v>
      </c>
      <c r="AC16" s="175">
        <v>3774</v>
      </c>
      <c r="AD16" s="175">
        <v>-246</v>
      </c>
      <c r="AE16" s="175">
        <f t="shared" si="25"/>
        <v>3528</v>
      </c>
      <c r="AF16" s="175">
        <v>-185</v>
      </c>
      <c r="AG16" s="175">
        <f t="shared" si="26"/>
        <v>3343</v>
      </c>
      <c r="AH16" s="175">
        <v>2638</v>
      </c>
      <c r="AI16" s="175">
        <f t="shared" si="27"/>
        <v>5981</v>
      </c>
      <c r="AJ16" s="175">
        <v>8648</v>
      </c>
      <c r="AK16" s="175">
        <v>60</v>
      </c>
      <c r="AL16" s="175">
        <f t="shared" si="28"/>
        <v>8708</v>
      </c>
      <c r="AM16" s="175">
        <v>3346</v>
      </c>
      <c r="AN16" s="175">
        <f t="shared" si="29"/>
        <v>12054</v>
      </c>
      <c r="AO16" s="175">
        <v>3367</v>
      </c>
      <c r="AP16" s="175">
        <f t="shared" si="21"/>
        <v>15421</v>
      </c>
      <c r="AQ16" s="175">
        <v>7718</v>
      </c>
      <c r="AR16" s="175">
        <v>4940</v>
      </c>
      <c r="AS16" s="175">
        <f t="shared" si="30"/>
        <v>12658</v>
      </c>
      <c r="AT16" s="175">
        <f>2556+11343</f>
        <v>13899</v>
      </c>
      <c r="AU16" s="175">
        <f t="shared" si="31"/>
        <v>26557</v>
      </c>
      <c r="AV16" s="175">
        <v>5893</v>
      </c>
      <c r="AW16" s="175">
        <f t="shared" si="32"/>
        <v>32450</v>
      </c>
      <c r="AX16" s="175">
        <v>5544</v>
      </c>
      <c r="AY16" s="175">
        <v>16825</v>
      </c>
      <c r="AZ16" s="175">
        <f t="shared" si="33"/>
        <v>22369</v>
      </c>
      <c r="BA16" s="175">
        <v>17213</v>
      </c>
      <c r="BB16" s="175">
        <f t="shared" si="33"/>
        <v>39582</v>
      </c>
      <c r="BC16" s="175">
        <v>19898</v>
      </c>
      <c r="BD16" s="175">
        <f t="shared" si="33"/>
        <v>59480</v>
      </c>
      <c r="BE16" s="175">
        <v>9656</v>
      </c>
      <c r="BF16" s="175">
        <v>4511</v>
      </c>
      <c r="BG16" s="175">
        <f>BF16+BE16</f>
        <v>14167</v>
      </c>
      <c r="BH16" s="175">
        <v>6448</v>
      </c>
      <c r="BI16" s="175">
        <f t="shared" si="34"/>
        <v>20615</v>
      </c>
      <c r="BJ16" s="175">
        <v>5746</v>
      </c>
      <c r="BK16" s="175">
        <f>BJ16+BI16</f>
        <v>26361</v>
      </c>
      <c r="BL16" s="175">
        <v>692</v>
      </c>
      <c r="BM16" s="175">
        <v>1327</v>
      </c>
      <c r="BN16" s="175">
        <f>BM16+BL16</f>
        <v>2019</v>
      </c>
      <c r="BO16" s="175">
        <v>17611</v>
      </c>
      <c r="BP16" s="175">
        <f>BO16+BN16</f>
        <v>19630</v>
      </c>
      <c r="BQ16" s="175">
        <v>3510</v>
      </c>
      <c r="BR16" s="175">
        <f>BQ16+BP16</f>
        <v>23140</v>
      </c>
      <c r="BS16" s="175">
        <v>1570</v>
      </c>
      <c r="BT16" s="175">
        <v>5239</v>
      </c>
      <c r="BU16" s="175">
        <f>BT16+BS16</f>
        <v>6809</v>
      </c>
      <c r="BV16" s="175">
        <v>13342</v>
      </c>
      <c r="BW16" s="175">
        <f>BV16+BU16</f>
        <v>20151</v>
      </c>
      <c r="BX16" s="175">
        <f>39483-BW16</f>
        <v>19332</v>
      </c>
      <c r="BY16" s="175">
        <f>BX16+BW16</f>
        <v>39483</v>
      </c>
      <c r="BZ16" s="175">
        <v>1348</v>
      </c>
      <c r="CA16" s="175">
        <v>6212</v>
      </c>
      <c r="CB16" s="175">
        <f>CA16+BZ16</f>
        <v>7560</v>
      </c>
      <c r="CC16" s="175">
        <v>30187</v>
      </c>
      <c r="CD16" s="175">
        <f>CC16+CB16</f>
        <v>37747</v>
      </c>
      <c r="CE16" s="175">
        <f>72874-CD16</f>
        <v>35127</v>
      </c>
      <c r="CF16" s="175">
        <f>CE16+CD16</f>
        <v>72874</v>
      </c>
      <c r="CG16" s="175">
        <v>1196</v>
      </c>
      <c r="CH16" s="175">
        <v>2696</v>
      </c>
      <c r="CI16" s="175">
        <f>CH16+CG16</f>
        <v>3892</v>
      </c>
      <c r="CJ16" s="175">
        <v>41146</v>
      </c>
      <c r="CK16" s="175">
        <f t="shared" si="35"/>
        <v>45038</v>
      </c>
      <c r="CL16" s="175">
        <v>54872</v>
      </c>
      <c r="CM16" s="175">
        <v>99907</v>
      </c>
      <c r="CN16" s="175">
        <v>30692</v>
      </c>
      <c r="CO16" s="175">
        <v>18491</v>
      </c>
      <c r="CP16" s="175">
        <f>CO16+CN16</f>
        <v>49183</v>
      </c>
      <c r="CQ16" s="175">
        <v>101558</v>
      </c>
      <c r="CR16" s="175">
        <f>CQ16+CP16</f>
        <v>150741</v>
      </c>
      <c r="CS16" s="175">
        <v>110879</v>
      </c>
      <c r="CT16" s="175">
        <f t="shared" si="36"/>
        <v>261620</v>
      </c>
      <c r="CU16" s="175">
        <v>54717</v>
      </c>
      <c r="CV16" s="175">
        <v>26303</v>
      </c>
      <c r="CW16" s="175">
        <f>CV16+CU16</f>
        <v>81020</v>
      </c>
      <c r="CX16" s="175">
        <v>7313</v>
      </c>
      <c r="CY16" s="175">
        <f>CX16+CW16</f>
        <v>88333</v>
      </c>
      <c r="CZ16" s="175">
        <v>42363</v>
      </c>
      <c r="DA16" s="175">
        <f>CZ16+CY16</f>
        <v>130696</v>
      </c>
      <c r="DB16" s="175">
        <v>8925</v>
      </c>
      <c r="DC16" s="175">
        <v>14681</v>
      </c>
      <c r="DD16" s="175">
        <f>DC16+DB16</f>
        <v>23606</v>
      </c>
      <c r="DE16" s="175">
        <v>23829</v>
      </c>
      <c r="DF16" s="175">
        <f t="shared" si="22"/>
        <v>47435</v>
      </c>
      <c r="DG16" s="175">
        <v>13955</v>
      </c>
      <c r="DH16" s="175">
        <f t="shared" si="37"/>
        <v>61390</v>
      </c>
      <c r="DI16" s="175">
        <v>5246</v>
      </c>
      <c r="DJ16" s="175">
        <v>30248</v>
      </c>
      <c r="DK16" s="175">
        <f t="shared" si="15"/>
        <v>35494</v>
      </c>
      <c r="DL16" s="127"/>
    </row>
    <row r="17" spans="1:116" ht="10.5" customHeight="1" x14ac:dyDescent="0.25">
      <c r="A17" s="56"/>
      <c r="B17" s="57"/>
      <c r="C17" s="57" t="s">
        <v>264</v>
      </c>
      <c r="D17" s="58"/>
      <c r="E17" s="59"/>
      <c r="F17" s="59"/>
      <c r="G17" s="59"/>
      <c r="H17" s="175">
        <v>-6663</v>
      </c>
      <c r="I17" s="175">
        <v>-4201</v>
      </c>
      <c r="J17" s="175">
        <f>H17+I17</f>
        <v>-10864</v>
      </c>
      <c r="K17" s="175">
        <v>838</v>
      </c>
      <c r="L17" s="175">
        <f t="shared" si="16"/>
        <v>-10026</v>
      </c>
      <c r="M17" s="175">
        <v>3915</v>
      </c>
      <c r="N17" s="175">
        <f t="shared" si="23"/>
        <v>-6111</v>
      </c>
      <c r="O17" s="182">
        <v>-86</v>
      </c>
      <c r="P17" s="175">
        <v>3605</v>
      </c>
      <c r="Q17" s="175">
        <f>O17+P17</f>
        <v>3519</v>
      </c>
      <c r="R17" s="182">
        <v>6082</v>
      </c>
      <c r="S17" s="182">
        <f>Q17+R17</f>
        <v>9601</v>
      </c>
      <c r="T17" s="175">
        <v>13982</v>
      </c>
      <c r="U17" s="175">
        <f t="shared" si="19"/>
        <v>23583</v>
      </c>
      <c r="V17" s="182">
        <v>6989</v>
      </c>
      <c r="W17" s="182">
        <v>11984</v>
      </c>
      <c r="X17" s="182">
        <f t="shared" si="20"/>
        <v>18973</v>
      </c>
      <c r="Y17" s="182">
        <v>9610</v>
      </c>
      <c r="Z17" s="175">
        <f t="shared" si="24"/>
        <v>28583</v>
      </c>
      <c r="AA17" s="175">
        <v>14880</v>
      </c>
      <c r="AB17" s="175">
        <f>SUM(Z17:AA17)</f>
        <v>43463</v>
      </c>
      <c r="AC17" s="175">
        <v>4518</v>
      </c>
      <c r="AD17" s="175">
        <v>-5163</v>
      </c>
      <c r="AE17" s="175">
        <f t="shared" si="25"/>
        <v>-645</v>
      </c>
      <c r="AF17" s="175">
        <v>-8945</v>
      </c>
      <c r="AG17" s="175">
        <f t="shared" si="26"/>
        <v>-9590</v>
      </c>
      <c r="AH17" s="175">
        <v>-28938</v>
      </c>
      <c r="AI17" s="175">
        <f t="shared" si="27"/>
        <v>-38528</v>
      </c>
      <c r="AJ17" s="175">
        <v>-12557</v>
      </c>
      <c r="AK17" s="175">
        <v>-6007</v>
      </c>
      <c r="AL17" s="175">
        <f t="shared" si="28"/>
        <v>-18564</v>
      </c>
      <c r="AM17" s="175">
        <v>-9619</v>
      </c>
      <c r="AN17" s="175">
        <f t="shared" si="29"/>
        <v>-28183</v>
      </c>
      <c r="AO17" s="175">
        <f>-53622+28183</f>
        <v>-25439</v>
      </c>
      <c r="AP17" s="175">
        <f t="shared" si="21"/>
        <v>-53622</v>
      </c>
      <c r="AQ17" s="175">
        <v>-18350</v>
      </c>
      <c r="AR17" s="175">
        <v>-3348</v>
      </c>
      <c r="AS17" s="175">
        <f t="shared" si="30"/>
        <v>-21698</v>
      </c>
      <c r="AT17" s="175">
        <v>1059</v>
      </c>
      <c r="AU17" s="175">
        <f t="shared" si="31"/>
        <v>-20639</v>
      </c>
      <c r="AV17" s="175">
        <v>-5680</v>
      </c>
      <c r="AW17" s="175">
        <f t="shared" si="32"/>
        <v>-26319</v>
      </c>
      <c r="AX17" s="175">
        <v>-53366</v>
      </c>
      <c r="AY17" s="175">
        <v>-56461</v>
      </c>
      <c r="AZ17" s="175">
        <f t="shared" si="33"/>
        <v>-109827</v>
      </c>
      <c r="BA17" s="175">
        <v>-29298</v>
      </c>
      <c r="BB17" s="175">
        <f t="shared" si="33"/>
        <v>-139125</v>
      </c>
      <c r="BC17" s="175">
        <v>-92248</v>
      </c>
      <c r="BD17" s="175">
        <f t="shared" si="33"/>
        <v>-231373</v>
      </c>
      <c r="BE17" s="175">
        <v>-61395</v>
      </c>
      <c r="BF17" s="175">
        <v>-38136</v>
      </c>
      <c r="BG17" s="175">
        <f>BF17+BE17</f>
        <v>-99531</v>
      </c>
      <c r="BH17" s="175">
        <v>17104</v>
      </c>
      <c r="BI17" s="175">
        <f t="shared" si="34"/>
        <v>-82427</v>
      </c>
      <c r="BJ17" s="175">
        <v>61188</v>
      </c>
      <c r="BK17" s="175">
        <f>BJ17+BI17</f>
        <v>-21239</v>
      </c>
      <c r="BL17" s="175">
        <v>35286</v>
      </c>
      <c r="BM17" s="175">
        <v>1803</v>
      </c>
      <c r="BN17" s="175">
        <f>BM17+BL17</f>
        <v>37089</v>
      </c>
      <c r="BO17" s="175">
        <v>16072</v>
      </c>
      <c r="BP17" s="175">
        <f>BO17+BN17</f>
        <v>53161</v>
      </c>
      <c r="BQ17" s="175">
        <v>57993</v>
      </c>
      <c r="BR17" s="175">
        <f>BQ17+BP17</f>
        <v>111154</v>
      </c>
      <c r="BS17" s="175">
        <v>8302</v>
      </c>
      <c r="BT17" s="175">
        <v>-27709</v>
      </c>
      <c r="BU17" s="175">
        <f>BT17+BS17</f>
        <v>-19407</v>
      </c>
      <c r="BV17" s="175">
        <v>-37502</v>
      </c>
      <c r="BW17" s="175">
        <f>BV17+BU17</f>
        <v>-56909</v>
      </c>
      <c r="BX17" s="175">
        <f>-130809-BW17</f>
        <v>-73900</v>
      </c>
      <c r="BY17" s="175">
        <f>BX17+BW17</f>
        <v>-130809</v>
      </c>
      <c r="BZ17" s="175">
        <v>-26386</v>
      </c>
      <c r="CA17" s="175">
        <v>-48898</v>
      </c>
      <c r="CB17" s="175">
        <f>CA17+BZ17</f>
        <v>-75284</v>
      </c>
      <c r="CC17" s="175">
        <v>-20555</v>
      </c>
      <c r="CD17" s="175">
        <f>CC17+CB17</f>
        <v>-95839</v>
      </c>
      <c r="CE17" s="175">
        <f>-116290-CD17</f>
        <v>-20451</v>
      </c>
      <c r="CF17" s="175">
        <f>CE17+CD17</f>
        <v>-116290</v>
      </c>
      <c r="CG17" s="175">
        <v>-67649</v>
      </c>
      <c r="CH17" s="175">
        <v>-108746</v>
      </c>
      <c r="CI17" s="175">
        <f>CH17+CG17</f>
        <v>-176395</v>
      </c>
      <c r="CJ17" s="175">
        <v>-128911</v>
      </c>
      <c r="CK17" s="175">
        <f t="shared" si="35"/>
        <v>-305306</v>
      </c>
      <c r="CL17" s="175">
        <v>-226302</v>
      </c>
      <c r="CM17" s="175">
        <v>-531607</v>
      </c>
      <c r="CN17" s="175">
        <v>-126003</v>
      </c>
      <c r="CO17" s="175">
        <v>-112325</v>
      </c>
      <c r="CP17" s="175">
        <f>CO17+CN17</f>
        <v>-238328</v>
      </c>
      <c r="CQ17" s="175">
        <v>-21691</v>
      </c>
      <c r="CR17" s="175">
        <v>-260015</v>
      </c>
      <c r="CS17" s="175">
        <v>-325936</v>
      </c>
      <c r="CT17" s="175">
        <f t="shared" si="36"/>
        <v>-585951</v>
      </c>
      <c r="CU17" s="175">
        <v>-24593</v>
      </c>
      <c r="CV17" s="175">
        <v>-65692</v>
      </c>
      <c r="CW17" s="175">
        <f>CV17+CU17</f>
        <v>-90285</v>
      </c>
      <c r="CX17" s="175">
        <v>11583</v>
      </c>
      <c r="CY17" s="175">
        <f>CX17+CW17</f>
        <v>-78702</v>
      </c>
      <c r="CZ17" s="175">
        <v>73077</v>
      </c>
      <c r="DA17" s="175">
        <f>CZ17+CY17</f>
        <v>-5625</v>
      </c>
      <c r="DB17" s="175">
        <v>145425</v>
      </c>
      <c r="DC17" s="175">
        <v>103404</v>
      </c>
      <c r="DD17" s="175">
        <f>DC17+DB17</f>
        <v>248829</v>
      </c>
      <c r="DE17" s="175">
        <v>198853</v>
      </c>
      <c r="DF17" s="175">
        <f t="shared" si="22"/>
        <v>447682</v>
      </c>
      <c r="DG17" s="175">
        <v>160250</v>
      </c>
      <c r="DH17" s="175">
        <f t="shared" si="37"/>
        <v>607932</v>
      </c>
      <c r="DI17" s="175">
        <v>169977</v>
      </c>
      <c r="DJ17" s="175">
        <v>4287</v>
      </c>
      <c r="DK17" s="175">
        <f t="shared" si="15"/>
        <v>174264</v>
      </c>
      <c r="DL17" s="127"/>
    </row>
    <row r="18" spans="1:116" s="137" customFormat="1" ht="10.5" customHeight="1" x14ac:dyDescent="0.25">
      <c r="A18" s="82"/>
      <c r="B18" s="83" t="s">
        <v>265</v>
      </c>
      <c r="C18" s="83"/>
      <c r="D18" s="84"/>
      <c r="E18" s="83"/>
      <c r="F18" s="83"/>
      <c r="G18" s="83"/>
      <c r="H18" s="174">
        <f t="shared" ref="H18:AA18" si="39">SUM(H19:H25)</f>
        <v>39816</v>
      </c>
      <c r="I18" s="174">
        <f t="shared" si="39"/>
        <v>-26095</v>
      </c>
      <c r="J18" s="174">
        <f t="shared" si="38"/>
        <v>13721</v>
      </c>
      <c r="K18" s="174">
        <f t="shared" si="39"/>
        <v>-35515</v>
      </c>
      <c r="L18" s="174">
        <f t="shared" si="16"/>
        <v>-21794</v>
      </c>
      <c r="M18" s="174">
        <f t="shared" si="39"/>
        <v>12780</v>
      </c>
      <c r="N18" s="174">
        <f>SUM(N19:N25)</f>
        <v>-9014</v>
      </c>
      <c r="O18" s="174">
        <f t="shared" si="39"/>
        <v>-2666</v>
      </c>
      <c r="P18" s="174">
        <f t="shared" si="39"/>
        <v>59733</v>
      </c>
      <c r="Q18" s="174">
        <f t="shared" si="17"/>
        <v>57067</v>
      </c>
      <c r="R18" s="174">
        <f t="shared" si="39"/>
        <v>71872</v>
      </c>
      <c r="S18" s="174">
        <f t="shared" si="18"/>
        <v>128939</v>
      </c>
      <c r="T18" s="174">
        <f t="shared" si="39"/>
        <v>10285</v>
      </c>
      <c r="U18" s="174">
        <f t="shared" si="39"/>
        <v>139224</v>
      </c>
      <c r="V18" s="174">
        <f t="shared" si="39"/>
        <v>41439</v>
      </c>
      <c r="W18" s="174">
        <f t="shared" si="39"/>
        <v>64438</v>
      </c>
      <c r="X18" s="174">
        <f t="shared" si="20"/>
        <v>105877</v>
      </c>
      <c r="Y18" s="174">
        <f t="shared" si="39"/>
        <v>92978</v>
      </c>
      <c r="Z18" s="183">
        <f t="shared" si="24"/>
        <v>198855</v>
      </c>
      <c r="AA18" s="174">
        <f t="shared" si="39"/>
        <v>10751</v>
      </c>
      <c r="AB18" s="174">
        <f>SUM(AB19:AB25)</f>
        <v>209606</v>
      </c>
      <c r="AC18" s="174">
        <f>SUM(AC19:AC25)</f>
        <v>69372</v>
      </c>
      <c r="AD18" s="174">
        <f>SUM(AD19:AD25)</f>
        <v>-594</v>
      </c>
      <c r="AE18" s="174">
        <f>AC18+AD18</f>
        <v>68778</v>
      </c>
      <c r="AF18" s="174">
        <f>SUM(AF19:AF25)</f>
        <v>47940</v>
      </c>
      <c r="AG18" s="174">
        <f>AE18+AF18</f>
        <v>116718</v>
      </c>
      <c r="AH18" s="174">
        <f>SUM(AH19:AH25)</f>
        <v>17613</v>
      </c>
      <c r="AI18" s="174">
        <f>AG18+AH18</f>
        <v>134331</v>
      </c>
      <c r="AJ18" s="174">
        <f t="shared" ref="AJ18:AW18" si="40">SUM(AJ19:AJ25)</f>
        <v>9243</v>
      </c>
      <c r="AK18" s="174">
        <f t="shared" si="40"/>
        <v>64472</v>
      </c>
      <c r="AL18" s="174">
        <f t="shared" si="40"/>
        <v>73715</v>
      </c>
      <c r="AM18" s="174">
        <f t="shared" si="40"/>
        <v>54625</v>
      </c>
      <c r="AN18" s="174">
        <f t="shared" si="40"/>
        <v>128340</v>
      </c>
      <c r="AO18" s="174">
        <f t="shared" si="40"/>
        <v>17952</v>
      </c>
      <c r="AP18" s="174">
        <f t="shared" si="40"/>
        <v>146292</v>
      </c>
      <c r="AQ18" s="174">
        <f t="shared" si="40"/>
        <v>94199</v>
      </c>
      <c r="AR18" s="174">
        <f t="shared" si="40"/>
        <v>29837</v>
      </c>
      <c r="AS18" s="174">
        <f t="shared" si="40"/>
        <v>124036</v>
      </c>
      <c r="AT18" s="174">
        <f t="shared" si="40"/>
        <v>16503</v>
      </c>
      <c r="AU18" s="174">
        <f t="shared" si="40"/>
        <v>140539</v>
      </c>
      <c r="AV18" s="174">
        <f t="shared" si="40"/>
        <v>22632</v>
      </c>
      <c r="AW18" s="174">
        <f t="shared" si="40"/>
        <v>163171</v>
      </c>
      <c r="AX18" s="174">
        <f>SUM(AX19:AX25)</f>
        <v>94276</v>
      </c>
      <c r="AY18" s="174">
        <f>AZ18-AX18</f>
        <v>77989</v>
      </c>
      <c r="AZ18" s="174">
        <f>SUM(AZ19:AZ25)</f>
        <v>172265</v>
      </c>
      <c r="BA18" s="174">
        <f t="shared" ref="BA18:BC25" si="41">BB18-AZ18</f>
        <v>76398</v>
      </c>
      <c r="BB18" s="174">
        <f>SUM(BB19:BB25)</f>
        <v>248663</v>
      </c>
      <c r="BC18" s="174">
        <f t="shared" si="41"/>
        <v>31167</v>
      </c>
      <c r="BD18" s="174">
        <f>SUM(BD19:BD25)</f>
        <v>279830</v>
      </c>
      <c r="BE18" s="174">
        <f>SUM(BE19:BE25)</f>
        <v>87159</v>
      </c>
      <c r="BF18" s="174">
        <f>SUM(BF19:BF25)</f>
        <v>-77987</v>
      </c>
      <c r="BG18" s="174">
        <f t="shared" ref="BG18:CK18" si="42">SUM(BG19:BG25)</f>
        <v>9172</v>
      </c>
      <c r="BH18" s="174">
        <f t="shared" si="42"/>
        <v>-5896</v>
      </c>
      <c r="BI18" s="174">
        <f t="shared" si="42"/>
        <v>3276</v>
      </c>
      <c r="BJ18" s="174">
        <f t="shared" si="42"/>
        <v>54428</v>
      </c>
      <c r="BK18" s="174">
        <f t="shared" si="42"/>
        <v>57704</v>
      </c>
      <c r="BL18" s="174">
        <f t="shared" si="42"/>
        <v>109390</v>
      </c>
      <c r="BM18" s="174">
        <f t="shared" si="42"/>
        <v>129921</v>
      </c>
      <c r="BN18" s="174">
        <f t="shared" si="42"/>
        <v>239311</v>
      </c>
      <c r="BO18" s="174">
        <f t="shared" si="42"/>
        <v>101442</v>
      </c>
      <c r="BP18" s="174">
        <f t="shared" si="42"/>
        <v>340753</v>
      </c>
      <c r="BQ18" s="174">
        <f t="shared" si="42"/>
        <v>21094</v>
      </c>
      <c r="BR18" s="174">
        <f>SUM(BR19:BR25)</f>
        <v>361847</v>
      </c>
      <c r="BS18" s="174">
        <f t="shared" si="42"/>
        <v>239407</v>
      </c>
      <c r="BT18" s="174">
        <f t="shared" si="42"/>
        <v>288258</v>
      </c>
      <c r="BU18" s="174">
        <f t="shared" si="42"/>
        <v>527665</v>
      </c>
      <c r="BV18" s="174">
        <f t="shared" si="42"/>
        <v>129134</v>
      </c>
      <c r="BW18" s="174">
        <f t="shared" si="42"/>
        <v>656799</v>
      </c>
      <c r="BX18" s="174">
        <f t="shared" si="42"/>
        <v>67492</v>
      </c>
      <c r="BY18" s="174">
        <f t="shared" si="42"/>
        <v>724291</v>
      </c>
      <c r="BZ18" s="174">
        <f t="shared" si="42"/>
        <v>146497</v>
      </c>
      <c r="CA18" s="174">
        <f t="shared" si="42"/>
        <v>393743</v>
      </c>
      <c r="CB18" s="174">
        <f t="shared" si="42"/>
        <v>540240</v>
      </c>
      <c r="CC18" s="174">
        <f t="shared" si="42"/>
        <v>-121797</v>
      </c>
      <c r="CD18" s="174">
        <f t="shared" si="42"/>
        <v>418443</v>
      </c>
      <c r="CE18" s="174">
        <f t="shared" si="42"/>
        <v>86308</v>
      </c>
      <c r="CF18" s="174">
        <f>SUM(CF19:CF25)</f>
        <v>504751</v>
      </c>
      <c r="CG18" s="174">
        <f t="shared" si="42"/>
        <v>294174</v>
      </c>
      <c r="CH18" s="174">
        <f t="shared" si="42"/>
        <v>421280</v>
      </c>
      <c r="CI18" s="174">
        <f t="shared" si="42"/>
        <v>715454</v>
      </c>
      <c r="CJ18" s="174">
        <f t="shared" si="42"/>
        <v>-25253</v>
      </c>
      <c r="CK18" s="174">
        <f t="shared" si="42"/>
        <v>690201</v>
      </c>
      <c r="CL18" s="174">
        <f t="shared" ref="CL18:CQ18" si="43">SUM(CL19:CL25)</f>
        <v>85329</v>
      </c>
      <c r="CM18" s="174">
        <f t="shared" si="43"/>
        <v>775534</v>
      </c>
      <c r="CN18" s="174">
        <f t="shared" si="43"/>
        <v>737890</v>
      </c>
      <c r="CO18" s="174">
        <f t="shared" si="43"/>
        <v>644044</v>
      </c>
      <c r="CP18" s="174">
        <f t="shared" si="43"/>
        <v>1381934</v>
      </c>
      <c r="CQ18" s="174">
        <f t="shared" si="43"/>
        <v>201128</v>
      </c>
      <c r="CR18" s="174">
        <f>SUM(CR19:CR25)-1</f>
        <v>1583061</v>
      </c>
      <c r="CS18" s="174">
        <f>SUM(CS19:CS25)</f>
        <v>378097</v>
      </c>
      <c r="CT18" s="174">
        <f>SUM(CT19:CT25)</f>
        <v>1961159</v>
      </c>
      <c r="CU18" s="174">
        <f>SUM(CU19:CU25)</f>
        <v>1086728</v>
      </c>
      <c r="CV18" s="174">
        <f>SUM(CV19:CV25)</f>
        <v>723691</v>
      </c>
      <c r="CW18" s="174">
        <f t="shared" ref="CW18" si="44">SUM(CW19:CW25)</f>
        <v>1810419</v>
      </c>
      <c r="CX18" s="174">
        <f t="shared" ref="CX18:CZ18" si="45">SUM(CX19:CX25)</f>
        <v>30068</v>
      </c>
      <c r="CY18" s="174">
        <f>SUM(CY19:CY25)</f>
        <v>1840487</v>
      </c>
      <c r="CZ18" s="174">
        <f t="shared" si="45"/>
        <v>376191</v>
      </c>
      <c r="DA18" s="174">
        <v>2216676</v>
      </c>
      <c r="DB18" s="174">
        <f>SUM(DB19:DB25)</f>
        <v>854871</v>
      </c>
      <c r="DC18" s="174">
        <f>SUM(DC19:DC25)</f>
        <v>685770</v>
      </c>
      <c r="DD18" s="174">
        <f t="shared" ref="DD18:DE18" si="46">SUM(DD19:DD25)</f>
        <v>1540641</v>
      </c>
      <c r="DE18" s="174">
        <f t="shared" si="46"/>
        <v>452533</v>
      </c>
      <c r="DF18" s="174">
        <f>SUM(DF19:DF25)</f>
        <v>1993174</v>
      </c>
      <c r="DG18" s="174">
        <f t="shared" ref="DG18" si="47">SUM(DG19:DG25)</f>
        <v>-72709</v>
      </c>
      <c r="DH18" s="174">
        <f>SUM(DH19:DH25)</f>
        <v>1920465</v>
      </c>
      <c r="DI18" s="174">
        <f>SUM(DI19:DI25)</f>
        <v>-140763</v>
      </c>
      <c r="DJ18" s="174">
        <f>SUM(DJ19:DJ25)</f>
        <v>797411</v>
      </c>
      <c r="DK18" s="174">
        <f t="shared" si="15"/>
        <v>656648</v>
      </c>
    </row>
    <row r="19" spans="1:116" ht="10.5" customHeight="1" x14ac:dyDescent="0.25">
      <c r="A19" s="97"/>
      <c r="B19" s="98"/>
      <c r="C19" s="98" t="s">
        <v>106</v>
      </c>
      <c r="D19" s="99"/>
      <c r="E19" s="100"/>
      <c r="F19" s="100"/>
      <c r="G19" s="100"/>
      <c r="H19" s="175">
        <v>0</v>
      </c>
      <c r="I19" s="175">
        <v>0</v>
      </c>
      <c r="J19" s="175">
        <f t="shared" si="38"/>
        <v>0</v>
      </c>
      <c r="K19" s="175">
        <v>-17477</v>
      </c>
      <c r="L19" s="175">
        <f t="shared" si="16"/>
        <v>-17477</v>
      </c>
      <c r="M19" s="175">
        <v>-7531</v>
      </c>
      <c r="N19" s="175">
        <f t="shared" ref="N19:N25" si="48">L19+M19</f>
        <v>-25008</v>
      </c>
      <c r="O19" s="175">
        <v>0</v>
      </c>
      <c r="P19" s="175">
        <v>68932</v>
      </c>
      <c r="Q19" s="175">
        <f t="shared" si="17"/>
        <v>68932</v>
      </c>
      <c r="R19" s="175">
        <v>64230</v>
      </c>
      <c r="S19" s="175">
        <f t="shared" si="18"/>
        <v>133162</v>
      </c>
      <c r="T19" s="175">
        <f t="shared" ref="T19:T25" si="49">U19-S19</f>
        <v>-320</v>
      </c>
      <c r="U19" s="175">
        <v>132842</v>
      </c>
      <c r="V19" s="175">
        <v>0</v>
      </c>
      <c r="W19" s="175">
        <v>37703</v>
      </c>
      <c r="X19" s="175">
        <f t="shared" si="20"/>
        <v>37703</v>
      </c>
      <c r="Y19" s="175">
        <v>82488</v>
      </c>
      <c r="Z19" s="175">
        <f t="shared" si="24"/>
        <v>120191</v>
      </c>
      <c r="AA19" s="175">
        <f t="shared" ref="AA19:AA25" si="50">AB19-Z19</f>
        <v>-6808</v>
      </c>
      <c r="AB19" s="175">
        <v>113383</v>
      </c>
      <c r="AC19" s="175">
        <v>0</v>
      </c>
      <c r="AD19" s="175">
        <f t="shared" ref="AD19:AD25" si="51">AE19-AC19</f>
        <v>-16922</v>
      </c>
      <c r="AE19" s="175">
        <v>-16922</v>
      </c>
      <c r="AF19" s="175">
        <f t="shared" ref="AF19:AF25" si="52">AG19-AE19</f>
        <v>34350</v>
      </c>
      <c r="AG19" s="175">
        <v>17428</v>
      </c>
      <c r="AH19" s="175">
        <f t="shared" ref="AH19:AH25" si="53">AI19-AG19</f>
        <v>-206</v>
      </c>
      <c r="AI19" s="175">
        <v>17222</v>
      </c>
      <c r="AJ19" s="175">
        <v>0</v>
      </c>
      <c r="AK19" s="175">
        <v>59083</v>
      </c>
      <c r="AL19" s="175">
        <f t="shared" si="28"/>
        <v>59083</v>
      </c>
      <c r="AM19" s="175">
        <v>43657</v>
      </c>
      <c r="AN19" s="175">
        <f t="shared" si="29"/>
        <v>102740</v>
      </c>
      <c r="AO19" s="175">
        <v>0</v>
      </c>
      <c r="AP19" s="175">
        <f t="shared" ref="AP19:AP25" si="54">SUM(AN19:AO19)</f>
        <v>102740</v>
      </c>
      <c r="AQ19" s="175">
        <v>0</v>
      </c>
      <c r="AR19" s="175">
        <v>35355</v>
      </c>
      <c r="AS19" s="175">
        <v>35355</v>
      </c>
      <c r="AT19" s="175">
        <v>15995</v>
      </c>
      <c r="AU19" s="175">
        <v>51350</v>
      </c>
      <c r="AV19" s="175">
        <v>1596</v>
      </c>
      <c r="AW19" s="175">
        <f t="shared" ref="AW19:AW25" si="55">SUM(AU19:AV19)</f>
        <v>52946</v>
      </c>
      <c r="AX19" s="175">
        <v>0</v>
      </c>
      <c r="AY19" s="175">
        <f t="shared" ref="AY19:AY25" si="56">AZ19-AX19</f>
        <v>65396</v>
      </c>
      <c r="AZ19" s="175">
        <v>65396</v>
      </c>
      <c r="BA19" s="175">
        <f t="shared" si="41"/>
        <v>66452</v>
      </c>
      <c r="BB19" s="175">
        <v>131848</v>
      </c>
      <c r="BC19" s="175">
        <f t="shared" si="41"/>
        <v>-30</v>
      </c>
      <c r="BD19" s="175">
        <v>131818</v>
      </c>
      <c r="BE19" s="175">
        <v>0</v>
      </c>
      <c r="BF19" s="175">
        <v>-41476</v>
      </c>
      <c r="BG19" s="175">
        <f t="shared" ref="BG19:BG25" si="57">BF19+BE19</f>
        <v>-41476</v>
      </c>
      <c r="BH19" s="175">
        <v>530</v>
      </c>
      <c r="BI19" s="175">
        <f t="shared" si="34"/>
        <v>-40946</v>
      </c>
      <c r="BJ19" s="175">
        <v>0</v>
      </c>
      <c r="BK19" s="175">
        <f>BJ19+BI19</f>
        <v>-40946</v>
      </c>
      <c r="BL19" s="175">
        <v>0</v>
      </c>
      <c r="BM19" s="175">
        <v>122306</v>
      </c>
      <c r="BN19" s="175">
        <f t="shared" ref="BN19:BN25" si="58">BM19+BL19</f>
        <v>122306</v>
      </c>
      <c r="BO19" s="175">
        <v>94229</v>
      </c>
      <c r="BP19" s="175">
        <f t="shared" ref="BP19:BP25" si="59">BO19+BN19</f>
        <v>216535</v>
      </c>
      <c r="BQ19" s="175">
        <v>0</v>
      </c>
      <c r="BR19" s="175">
        <f>BQ19+BP19</f>
        <v>216535</v>
      </c>
      <c r="BS19" s="175">
        <v>0</v>
      </c>
      <c r="BT19" s="175">
        <v>214314</v>
      </c>
      <c r="BU19" s="175">
        <f t="shared" ref="BU19:BU25" si="60">BT19+BS19</f>
        <v>214314</v>
      </c>
      <c r="BV19" s="175">
        <v>132675</v>
      </c>
      <c r="BW19" s="175">
        <f t="shared" ref="BW19:BW25" si="61">BV19+BU19</f>
        <v>346989</v>
      </c>
      <c r="BX19" s="175">
        <f>346989-BW19</f>
        <v>0</v>
      </c>
      <c r="BY19" s="175">
        <f>BX19+BW19</f>
        <v>346989</v>
      </c>
      <c r="BZ19" s="175">
        <v>0</v>
      </c>
      <c r="CA19" s="175">
        <v>334039</v>
      </c>
      <c r="CB19" s="175">
        <f t="shared" ref="CB19:CB25" si="62">CA19+BZ19</f>
        <v>334039</v>
      </c>
      <c r="CC19" s="175">
        <f>-109606</f>
        <v>-109606</v>
      </c>
      <c r="CD19" s="175">
        <f t="shared" ref="CD19:CD25" si="63">CC19+CB19</f>
        <v>224433</v>
      </c>
      <c r="CE19" s="175">
        <f>224433-CD19</f>
        <v>0</v>
      </c>
      <c r="CF19" s="175">
        <f>CE19+CD19</f>
        <v>224433</v>
      </c>
      <c r="CG19" s="175">
        <v>0</v>
      </c>
      <c r="CH19" s="175">
        <v>324635</v>
      </c>
      <c r="CI19" s="175">
        <f>CH19+CG19</f>
        <v>324635</v>
      </c>
      <c r="CJ19" s="175">
        <f>-26171</f>
        <v>-26171</v>
      </c>
      <c r="CK19" s="175">
        <f t="shared" ref="CK19:CK25" si="64">CJ19+CI19</f>
        <v>298464</v>
      </c>
      <c r="CL19" s="175">
        <v>0</v>
      </c>
      <c r="CM19" s="175">
        <v>298465</v>
      </c>
      <c r="CN19" s="175">
        <v>0</v>
      </c>
      <c r="CO19" s="175">
        <v>461533</v>
      </c>
      <c r="CP19" s="175">
        <f t="shared" ref="CP19:CP25" si="65">CO19+CN19</f>
        <v>461533</v>
      </c>
      <c r="CQ19" s="175">
        <v>161468</v>
      </c>
      <c r="CR19" s="175">
        <f t="shared" ref="CR19:CR25" si="66">CQ19+CP19</f>
        <v>623001</v>
      </c>
      <c r="CS19" s="175">
        <v>0</v>
      </c>
      <c r="CT19" s="175">
        <f t="shared" si="36"/>
        <v>623001</v>
      </c>
      <c r="CU19" s="175">
        <v>0</v>
      </c>
      <c r="CV19" s="175">
        <v>571912</v>
      </c>
      <c r="CW19" s="175">
        <f t="shared" ref="CW19:CW25" si="67">CV19+CU19</f>
        <v>571912</v>
      </c>
      <c r="CX19" s="175">
        <v>9655</v>
      </c>
      <c r="CY19" s="175">
        <f t="shared" ref="CY19:CY25" si="68">CX19+CW19</f>
        <v>581567</v>
      </c>
      <c r="CZ19" s="175">
        <v>0</v>
      </c>
      <c r="DA19" s="175">
        <f t="shared" ref="DA19:DA25" si="69">CZ19+CY19</f>
        <v>581567</v>
      </c>
      <c r="DB19" s="175">
        <v>0</v>
      </c>
      <c r="DC19" s="175">
        <v>546638</v>
      </c>
      <c r="DD19" s="175">
        <f t="shared" ref="DD19:DD30" si="70">DC19+DB19</f>
        <v>546638</v>
      </c>
      <c r="DE19" s="175">
        <v>369640</v>
      </c>
      <c r="DF19" s="175">
        <f t="shared" ref="DF19:DF30" si="71">DE19+DD19</f>
        <v>916278</v>
      </c>
      <c r="DG19" s="175">
        <v>0</v>
      </c>
      <c r="DH19" s="175">
        <f t="shared" ref="DH19:DH30" si="72">DG19+DF19</f>
        <v>916278</v>
      </c>
      <c r="DI19" s="175">
        <v>0</v>
      </c>
      <c r="DJ19" s="175">
        <v>789980</v>
      </c>
      <c r="DK19" s="175">
        <f t="shared" si="15"/>
        <v>789980</v>
      </c>
    </row>
    <row r="20" spans="1:116" ht="10.5" customHeight="1" x14ac:dyDescent="0.25">
      <c r="A20" s="56"/>
      <c r="B20" s="57"/>
      <c r="C20" s="57" t="s">
        <v>421</v>
      </c>
      <c r="D20" s="58"/>
      <c r="E20" s="59"/>
      <c r="F20" s="59"/>
      <c r="G20" s="59"/>
      <c r="H20" s="175">
        <v>0</v>
      </c>
      <c r="I20" s="175">
        <v>291</v>
      </c>
      <c r="J20" s="175">
        <f t="shared" si="38"/>
        <v>291</v>
      </c>
      <c r="K20" s="175">
        <v>-11083</v>
      </c>
      <c r="L20" s="175">
        <f t="shared" si="16"/>
        <v>-10792</v>
      </c>
      <c r="M20" s="175">
        <v>7357</v>
      </c>
      <c r="N20" s="175">
        <f t="shared" si="48"/>
        <v>-3435</v>
      </c>
      <c r="O20" s="182">
        <v>0</v>
      </c>
      <c r="P20" s="175">
        <v>8905</v>
      </c>
      <c r="Q20" s="175">
        <f t="shared" si="17"/>
        <v>8905</v>
      </c>
      <c r="R20" s="182">
        <v>7938</v>
      </c>
      <c r="S20" s="182">
        <f t="shared" si="18"/>
        <v>16843</v>
      </c>
      <c r="T20" s="175">
        <f t="shared" si="49"/>
        <v>320</v>
      </c>
      <c r="U20" s="175">
        <v>17163</v>
      </c>
      <c r="V20" s="182">
        <v>0</v>
      </c>
      <c r="W20" s="182">
        <v>16960</v>
      </c>
      <c r="X20" s="182">
        <f t="shared" si="20"/>
        <v>16960</v>
      </c>
      <c r="Y20" s="182">
        <v>9056</v>
      </c>
      <c r="Z20" s="182">
        <f t="shared" si="24"/>
        <v>26016</v>
      </c>
      <c r="AA20" s="175">
        <f t="shared" si="50"/>
        <v>-728</v>
      </c>
      <c r="AB20" s="175">
        <v>25288</v>
      </c>
      <c r="AC20" s="175">
        <v>0</v>
      </c>
      <c r="AD20" s="175">
        <f t="shared" si="51"/>
        <v>-2612</v>
      </c>
      <c r="AE20" s="175">
        <v>-2612</v>
      </c>
      <c r="AF20" s="175">
        <f t="shared" si="52"/>
        <v>3409</v>
      </c>
      <c r="AG20" s="175">
        <v>797</v>
      </c>
      <c r="AH20" s="175">
        <f t="shared" si="53"/>
        <v>-23</v>
      </c>
      <c r="AI20" s="175">
        <v>774</v>
      </c>
      <c r="AJ20" s="175">
        <v>0</v>
      </c>
      <c r="AK20" s="175">
        <v>9493</v>
      </c>
      <c r="AL20" s="175">
        <f t="shared" si="28"/>
        <v>9493</v>
      </c>
      <c r="AM20" s="175">
        <v>7322</v>
      </c>
      <c r="AN20" s="175">
        <f t="shared" si="29"/>
        <v>16815</v>
      </c>
      <c r="AO20" s="175">
        <v>0</v>
      </c>
      <c r="AP20" s="175">
        <f t="shared" si="54"/>
        <v>16815</v>
      </c>
      <c r="AQ20" s="175">
        <v>0</v>
      </c>
      <c r="AR20" s="175">
        <v>4159</v>
      </c>
      <c r="AS20" s="175">
        <v>4159</v>
      </c>
      <c r="AT20" s="175">
        <v>2170</v>
      </c>
      <c r="AU20" s="175">
        <v>6329</v>
      </c>
      <c r="AV20" s="175">
        <v>187</v>
      </c>
      <c r="AW20" s="175">
        <f t="shared" si="55"/>
        <v>6516</v>
      </c>
      <c r="AX20" s="175">
        <v>0</v>
      </c>
      <c r="AY20" s="175">
        <f t="shared" si="56"/>
        <v>6216</v>
      </c>
      <c r="AZ20" s="175">
        <v>6216</v>
      </c>
      <c r="BA20" s="175">
        <f t="shared" si="41"/>
        <v>6445</v>
      </c>
      <c r="BB20" s="175">
        <v>12661</v>
      </c>
      <c r="BC20" s="175">
        <f t="shared" si="41"/>
        <v>-4</v>
      </c>
      <c r="BD20" s="175">
        <v>12657</v>
      </c>
      <c r="BE20" s="175">
        <v>0</v>
      </c>
      <c r="BF20" s="175">
        <v>-4764</v>
      </c>
      <c r="BG20" s="175">
        <f t="shared" si="57"/>
        <v>-4764</v>
      </c>
      <c r="BH20" s="175">
        <v>656</v>
      </c>
      <c r="BI20" s="175">
        <f t="shared" si="34"/>
        <v>-4108</v>
      </c>
      <c r="BJ20" s="175">
        <v>0</v>
      </c>
      <c r="BK20" s="175">
        <f>BJ20+BI20</f>
        <v>-4108</v>
      </c>
      <c r="BL20" s="175">
        <v>0</v>
      </c>
      <c r="BM20" s="175">
        <v>18333</v>
      </c>
      <c r="BN20" s="175">
        <f t="shared" si="58"/>
        <v>18333</v>
      </c>
      <c r="BO20" s="175">
        <v>13963</v>
      </c>
      <c r="BP20" s="175">
        <f t="shared" si="59"/>
        <v>32296</v>
      </c>
      <c r="BQ20" s="175">
        <v>0</v>
      </c>
      <c r="BR20" s="175">
        <f>BQ20+BP20</f>
        <v>32296</v>
      </c>
      <c r="BS20" s="175">
        <v>0</v>
      </c>
      <c r="BT20" s="175">
        <v>15402</v>
      </c>
      <c r="BU20" s="175">
        <f t="shared" si="60"/>
        <v>15402</v>
      </c>
      <c r="BV20" s="175">
        <v>8161</v>
      </c>
      <c r="BW20" s="175">
        <f t="shared" si="61"/>
        <v>23563</v>
      </c>
      <c r="BX20" s="175">
        <f>23563-BW20</f>
        <v>0</v>
      </c>
      <c r="BY20" s="175">
        <f>BX20+BW20</f>
        <v>23563</v>
      </c>
      <c r="BZ20" s="175">
        <v>0</v>
      </c>
      <c r="CA20" s="175">
        <v>21412</v>
      </c>
      <c r="CB20" s="175">
        <f t="shared" si="62"/>
        <v>21412</v>
      </c>
      <c r="CC20" s="175">
        <v>-6002</v>
      </c>
      <c r="CD20" s="175">
        <f t="shared" si="63"/>
        <v>15410</v>
      </c>
      <c r="CE20" s="175">
        <f>15411-CD20</f>
        <v>1</v>
      </c>
      <c r="CF20" s="175">
        <f>CE20+CD20</f>
        <v>15411</v>
      </c>
      <c r="CG20" s="175">
        <v>0</v>
      </c>
      <c r="CH20" s="175">
        <v>29917</v>
      </c>
      <c r="CI20" s="175">
        <f>CH20+CG20</f>
        <v>29917</v>
      </c>
      <c r="CJ20" s="175">
        <v>-1710</v>
      </c>
      <c r="CK20" s="175">
        <f t="shared" si="64"/>
        <v>28207</v>
      </c>
      <c r="CL20" s="175">
        <v>0</v>
      </c>
      <c r="CM20" s="175">
        <v>28208</v>
      </c>
      <c r="CN20" s="175">
        <v>0</v>
      </c>
      <c r="CO20" s="175">
        <v>74601</v>
      </c>
      <c r="CP20" s="175">
        <f t="shared" si="65"/>
        <v>74601</v>
      </c>
      <c r="CQ20" s="175">
        <v>69237</v>
      </c>
      <c r="CR20" s="175">
        <f t="shared" si="66"/>
        <v>143838</v>
      </c>
      <c r="CS20" s="175">
        <v>0</v>
      </c>
      <c r="CT20" s="175">
        <f t="shared" si="36"/>
        <v>143838</v>
      </c>
      <c r="CU20" s="175">
        <v>0</v>
      </c>
      <c r="CV20" s="175">
        <v>44740</v>
      </c>
      <c r="CW20" s="175">
        <f t="shared" si="67"/>
        <v>44740</v>
      </c>
      <c r="CX20" s="175">
        <v>-812</v>
      </c>
      <c r="CY20" s="175">
        <f t="shared" si="68"/>
        <v>43928</v>
      </c>
      <c r="CZ20" s="175">
        <v>0</v>
      </c>
      <c r="DA20" s="175">
        <f>CZ20+CY20</f>
        <v>43928</v>
      </c>
      <c r="DB20" s="175">
        <v>0</v>
      </c>
      <c r="DC20" s="175">
        <v>88988</v>
      </c>
      <c r="DD20" s="175">
        <f t="shared" si="70"/>
        <v>88988</v>
      </c>
      <c r="DE20" s="175">
        <v>60173</v>
      </c>
      <c r="DF20" s="175">
        <f t="shared" si="71"/>
        <v>149161</v>
      </c>
      <c r="DG20" s="175">
        <v>0</v>
      </c>
      <c r="DH20" s="175">
        <f>DG20+DF20+1</f>
        <v>149162</v>
      </c>
      <c r="DI20" s="175">
        <v>0</v>
      </c>
      <c r="DJ20" s="175">
        <v>87776</v>
      </c>
      <c r="DK20" s="175">
        <f t="shared" si="15"/>
        <v>87776</v>
      </c>
    </row>
    <row r="21" spans="1:116" ht="10.5" customHeight="1" x14ac:dyDescent="0.25">
      <c r="A21" s="56"/>
      <c r="B21" s="57"/>
      <c r="C21" s="57" t="s">
        <v>422</v>
      </c>
      <c r="D21" s="58"/>
      <c r="E21" s="59"/>
      <c r="F21" s="59"/>
      <c r="G21" s="59"/>
      <c r="H21" s="175">
        <v>41180</v>
      </c>
      <c r="I21" s="175">
        <v>-29052</v>
      </c>
      <c r="J21" s="175">
        <f t="shared" si="38"/>
        <v>12128</v>
      </c>
      <c r="K21" s="175">
        <v>-1713</v>
      </c>
      <c r="L21" s="175">
        <f t="shared" si="16"/>
        <v>10415</v>
      </c>
      <c r="M21" s="175">
        <v>13006</v>
      </c>
      <c r="N21" s="175">
        <f t="shared" si="48"/>
        <v>23421</v>
      </c>
      <c r="O21" s="182">
        <v>-1407</v>
      </c>
      <c r="P21" s="175">
        <v>-23509</v>
      </c>
      <c r="Q21" s="175">
        <f t="shared" si="17"/>
        <v>-24916</v>
      </c>
      <c r="R21" s="182">
        <v>100</v>
      </c>
      <c r="S21" s="182">
        <f t="shared" si="18"/>
        <v>-24816</v>
      </c>
      <c r="T21" s="175">
        <f t="shared" si="49"/>
        <v>8258</v>
      </c>
      <c r="U21" s="175">
        <v>-16558</v>
      </c>
      <c r="V21" s="182">
        <v>39601</v>
      </c>
      <c r="W21" s="182">
        <v>8170</v>
      </c>
      <c r="X21" s="182">
        <f t="shared" si="20"/>
        <v>47771</v>
      </c>
      <c r="Y21" s="182">
        <v>0</v>
      </c>
      <c r="Z21" s="182">
        <f t="shared" si="24"/>
        <v>47771</v>
      </c>
      <c r="AA21" s="175">
        <f t="shared" si="50"/>
        <v>7129</v>
      </c>
      <c r="AB21" s="175">
        <v>54900</v>
      </c>
      <c r="AC21" s="175">
        <v>65167</v>
      </c>
      <c r="AD21" s="175">
        <f t="shared" si="51"/>
        <v>6425</v>
      </c>
      <c r="AE21" s="175">
        <v>71592</v>
      </c>
      <c r="AF21" s="175">
        <f t="shared" si="52"/>
        <v>129</v>
      </c>
      <c r="AG21" s="175">
        <v>71721</v>
      </c>
      <c r="AH21" s="175">
        <f t="shared" si="53"/>
        <v>19883</v>
      </c>
      <c r="AI21" s="175">
        <v>91604</v>
      </c>
      <c r="AJ21" s="175">
        <v>11850</v>
      </c>
      <c r="AK21" s="175">
        <v>470</v>
      </c>
      <c r="AL21" s="175">
        <f t="shared" si="28"/>
        <v>12320</v>
      </c>
      <c r="AM21" s="175">
        <v>0</v>
      </c>
      <c r="AN21" s="175">
        <f t="shared" si="29"/>
        <v>12320</v>
      </c>
      <c r="AO21" s="175">
        <v>17995</v>
      </c>
      <c r="AP21" s="175">
        <f t="shared" si="54"/>
        <v>30315</v>
      </c>
      <c r="AQ21" s="175">
        <v>96293</v>
      </c>
      <c r="AR21" s="175">
        <v>-8049</v>
      </c>
      <c r="AS21" s="175">
        <v>88244</v>
      </c>
      <c r="AT21" s="175">
        <v>0</v>
      </c>
      <c r="AU21" s="175">
        <v>88244</v>
      </c>
      <c r="AV21" s="175">
        <v>18219</v>
      </c>
      <c r="AW21" s="175">
        <f t="shared" si="55"/>
        <v>106463</v>
      </c>
      <c r="AX21" s="175">
        <v>94719</v>
      </c>
      <c r="AY21" s="175">
        <f t="shared" si="56"/>
        <v>4647</v>
      </c>
      <c r="AZ21" s="175">
        <v>99366</v>
      </c>
      <c r="BA21" s="175">
        <f t="shared" si="41"/>
        <v>0</v>
      </c>
      <c r="BB21" s="175">
        <v>99366</v>
      </c>
      <c r="BC21" s="175">
        <f t="shared" si="41"/>
        <v>31201</v>
      </c>
      <c r="BD21" s="175">
        <v>130567</v>
      </c>
      <c r="BE21" s="175">
        <v>86674</v>
      </c>
      <c r="BF21" s="175">
        <v>-56852</v>
      </c>
      <c r="BG21" s="175">
        <f t="shared" si="57"/>
        <v>29822</v>
      </c>
      <c r="BH21" s="175">
        <v>0</v>
      </c>
      <c r="BI21" s="175">
        <f t="shared" si="34"/>
        <v>29822</v>
      </c>
      <c r="BJ21" s="175">
        <v>51880</v>
      </c>
      <c r="BK21" s="175">
        <f>BJ21+BI21</f>
        <v>81702</v>
      </c>
      <c r="BL21" s="175">
        <v>106612</v>
      </c>
      <c r="BM21" s="175">
        <v>-1419</v>
      </c>
      <c r="BN21" s="175">
        <f t="shared" si="58"/>
        <v>105193</v>
      </c>
      <c r="BO21" s="175">
        <v>0</v>
      </c>
      <c r="BP21" s="175">
        <f t="shared" si="59"/>
        <v>105193</v>
      </c>
      <c r="BQ21" s="175">
        <v>21119</v>
      </c>
      <c r="BR21" s="175">
        <f>BQ21+BP21</f>
        <v>126312</v>
      </c>
      <c r="BS21" s="175">
        <v>231788</v>
      </c>
      <c r="BT21" s="175">
        <v>46946</v>
      </c>
      <c r="BU21" s="175">
        <f t="shared" si="60"/>
        <v>278734</v>
      </c>
      <c r="BV21" s="175">
        <v>0</v>
      </c>
      <c r="BW21" s="175">
        <f t="shared" si="61"/>
        <v>278734</v>
      </c>
      <c r="BX21" s="175">
        <f>345625-BW21</f>
        <v>66891</v>
      </c>
      <c r="BY21" s="175">
        <f>BX21+BW21</f>
        <v>345625</v>
      </c>
      <c r="BZ21" s="175">
        <v>135854</v>
      </c>
      <c r="CA21" s="175">
        <v>9958</v>
      </c>
      <c r="CB21" s="175">
        <f t="shared" si="62"/>
        <v>145812</v>
      </c>
      <c r="CC21" s="175">
        <v>0</v>
      </c>
      <c r="CD21" s="175">
        <f t="shared" si="63"/>
        <v>145812</v>
      </c>
      <c r="CE21" s="175">
        <f>229668-CD21</f>
        <v>83856</v>
      </c>
      <c r="CF21" s="175">
        <f>CE21+CD21</f>
        <v>229668</v>
      </c>
      <c r="CG21" s="175">
        <v>294210</v>
      </c>
      <c r="CH21" s="175">
        <v>1527</v>
      </c>
      <c r="CI21" s="175">
        <v>233115</v>
      </c>
      <c r="CJ21" s="175">
        <v>0</v>
      </c>
      <c r="CK21" s="175">
        <f t="shared" si="64"/>
        <v>233115</v>
      </c>
      <c r="CL21" s="175">
        <v>82419</v>
      </c>
      <c r="CM21" s="175">
        <v>315535</v>
      </c>
      <c r="CN21" s="175">
        <v>719940</v>
      </c>
      <c r="CO21" s="175">
        <f>5699+1514</f>
        <v>7213</v>
      </c>
      <c r="CP21" s="175">
        <f t="shared" si="65"/>
        <v>727153</v>
      </c>
      <c r="CQ21" s="175">
        <f>0</f>
        <v>0</v>
      </c>
      <c r="CR21" s="175">
        <f t="shared" si="66"/>
        <v>727153</v>
      </c>
      <c r="CS21" s="175">
        <v>369317</v>
      </c>
      <c r="CT21" s="175">
        <f t="shared" si="36"/>
        <v>1096470</v>
      </c>
      <c r="CU21" s="175">
        <v>1082368</v>
      </c>
      <c r="CV21" s="175">
        <v>-3604</v>
      </c>
      <c r="CW21" s="175">
        <f t="shared" si="67"/>
        <v>1078764</v>
      </c>
      <c r="CX21" s="175">
        <f>0</f>
        <v>0</v>
      </c>
      <c r="CY21" s="175">
        <f t="shared" si="68"/>
        <v>1078764</v>
      </c>
      <c r="CZ21" s="175">
        <v>385638</v>
      </c>
      <c r="DA21" s="175">
        <f>CZ21+CY21</f>
        <v>1464402</v>
      </c>
      <c r="DB21" s="175">
        <v>845045</v>
      </c>
      <c r="DC21" s="175">
        <v>-31188</v>
      </c>
      <c r="DD21" s="175">
        <f t="shared" si="70"/>
        <v>813857</v>
      </c>
      <c r="DE21" s="175">
        <v>0</v>
      </c>
      <c r="DF21" s="175">
        <f t="shared" si="71"/>
        <v>813857</v>
      </c>
      <c r="DG21" s="175">
        <v>-74637</v>
      </c>
      <c r="DH21" s="175">
        <f t="shared" si="72"/>
        <v>739220</v>
      </c>
      <c r="DI21" s="175">
        <v>-136295</v>
      </c>
      <c r="DJ21" s="175">
        <v>-19922</v>
      </c>
      <c r="DK21" s="175">
        <f t="shared" si="15"/>
        <v>-156217</v>
      </c>
    </row>
    <row r="22" spans="1:116" ht="10.5" customHeight="1" x14ac:dyDescent="0.25">
      <c r="A22" s="56"/>
      <c r="B22" s="57"/>
      <c r="C22" s="57" t="s">
        <v>108</v>
      </c>
      <c r="D22" s="58"/>
      <c r="E22" s="59"/>
      <c r="F22" s="59"/>
      <c r="G22" s="59"/>
      <c r="H22" s="175">
        <v>0</v>
      </c>
      <c r="I22" s="175">
        <v>3886</v>
      </c>
      <c r="J22" s="175">
        <f t="shared" si="38"/>
        <v>3886</v>
      </c>
      <c r="K22" s="175">
        <v>-5247</v>
      </c>
      <c r="L22" s="175">
        <f t="shared" si="16"/>
        <v>-1361</v>
      </c>
      <c r="M22" s="175">
        <v>0</v>
      </c>
      <c r="N22" s="175">
        <f t="shared" si="48"/>
        <v>-1361</v>
      </c>
      <c r="O22" s="182">
        <v>-1274</v>
      </c>
      <c r="P22" s="175">
        <v>4940</v>
      </c>
      <c r="Q22" s="175">
        <f t="shared" si="17"/>
        <v>3666</v>
      </c>
      <c r="R22" s="182">
        <v>-2825</v>
      </c>
      <c r="S22" s="182">
        <f t="shared" si="18"/>
        <v>841</v>
      </c>
      <c r="T22" s="175">
        <f t="shared" si="49"/>
        <v>663</v>
      </c>
      <c r="U22" s="175">
        <v>1504</v>
      </c>
      <c r="V22" s="182">
        <v>982</v>
      </c>
      <c r="W22" s="182">
        <v>1605</v>
      </c>
      <c r="X22" s="182">
        <f t="shared" si="20"/>
        <v>2587</v>
      </c>
      <c r="Y22" s="182">
        <v>1434</v>
      </c>
      <c r="Z22" s="182">
        <f t="shared" si="24"/>
        <v>4021</v>
      </c>
      <c r="AA22" s="175">
        <f t="shared" si="50"/>
        <v>-2</v>
      </c>
      <c r="AB22" s="175">
        <v>4019</v>
      </c>
      <c r="AC22" s="175">
        <v>4205</v>
      </c>
      <c r="AD22" s="175">
        <f t="shared" si="51"/>
        <v>12515</v>
      </c>
      <c r="AE22" s="175">
        <v>16720</v>
      </c>
      <c r="AF22" s="175">
        <f t="shared" si="52"/>
        <v>10077</v>
      </c>
      <c r="AG22" s="175">
        <v>26797</v>
      </c>
      <c r="AH22" s="175">
        <f t="shared" si="53"/>
        <v>0</v>
      </c>
      <c r="AI22" s="175">
        <v>26797</v>
      </c>
      <c r="AJ22" s="175">
        <v>-2607</v>
      </c>
      <c r="AK22" s="175">
        <v>-4929</v>
      </c>
      <c r="AL22" s="175">
        <f t="shared" si="28"/>
        <v>-7536</v>
      </c>
      <c r="AM22" s="175">
        <v>1045</v>
      </c>
      <c r="AN22" s="175">
        <f t="shared" si="29"/>
        <v>-6491</v>
      </c>
      <c r="AO22" s="175">
        <v>0</v>
      </c>
      <c r="AP22" s="175">
        <f t="shared" si="54"/>
        <v>-6491</v>
      </c>
      <c r="AQ22" s="175">
        <v>-2094</v>
      </c>
      <c r="AR22" s="175">
        <v>-1648</v>
      </c>
      <c r="AS22" s="175">
        <v>-3742</v>
      </c>
      <c r="AT22" s="175">
        <v>-268</v>
      </c>
      <c r="AU22" s="175">
        <v>-4010</v>
      </c>
      <c r="AV22" s="175">
        <v>9</v>
      </c>
      <c r="AW22" s="175">
        <f t="shared" si="55"/>
        <v>-4001</v>
      </c>
      <c r="AX22" s="175">
        <v>-443</v>
      </c>
      <c r="AY22" s="175">
        <f t="shared" si="56"/>
        <v>1730</v>
      </c>
      <c r="AZ22" s="175">
        <v>1287</v>
      </c>
      <c r="BA22" s="175">
        <f t="shared" si="41"/>
        <v>3501</v>
      </c>
      <c r="BB22" s="175">
        <v>4788</v>
      </c>
      <c r="BC22" s="175">
        <f t="shared" si="41"/>
        <v>0</v>
      </c>
      <c r="BD22" s="175">
        <v>4788</v>
      </c>
      <c r="BE22" s="175">
        <v>485</v>
      </c>
      <c r="BF22" s="175">
        <v>27652</v>
      </c>
      <c r="BG22" s="175">
        <f t="shared" si="57"/>
        <v>28137</v>
      </c>
      <c r="BH22" s="175">
        <v>-7082</v>
      </c>
      <c r="BI22" s="175">
        <f t="shared" si="34"/>
        <v>21055</v>
      </c>
      <c r="BJ22" s="175">
        <v>1</v>
      </c>
      <c r="BK22" s="175">
        <f>BJ22+BI22</f>
        <v>21056</v>
      </c>
      <c r="BL22" s="175">
        <v>0</v>
      </c>
      <c r="BM22" s="175">
        <v>-9463</v>
      </c>
      <c r="BN22" s="175">
        <f t="shared" si="58"/>
        <v>-9463</v>
      </c>
      <c r="BO22" s="175">
        <v>-6750</v>
      </c>
      <c r="BP22" s="175">
        <f t="shared" si="59"/>
        <v>-16213</v>
      </c>
      <c r="BQ22" s="175">
        <v>0</v>
      </c>
      <c r="BR22" s="175">
        <f>BQ22+BP22</f>
        <v>-16213</v>
      </c>
      <c r="BS22" s="175">
        <v>-329</v>
      </c>
      <c r="BT22" s="175">
        <v>12101</v>
      </c>
      <c r="BU22" s="175">
        <f t="shared" si="60"/>
        <v>11772</v>
      </c>
      <c r="BV22" s="175">
        <v>-11556</v>
      </c>
      <c r="BW22" s="175">
        <f t="shared" si="61"/>
        <v>216</v>
      </c>
      <c r="BX22" s="175">
        <f>216-BW22</f>
        <v>0</v>
      </c>
      <c r="BY22" s="175">
        <f>BX22+BW22</f>
        <v>216</v>
      </c>
      <c r="BZ22" s="175">
        <v>0</v>
      </c>
      <c r="CA22" s="175">
        <v>24189</v>
      </c>
      <c r="CB22" s="175">
        <f t="shared" si="62"/>
        <v>24189</v>
      </c>
      <c r="CC22" s="175">
        <v>-6256</v>
      </c>
      <c r="CD22" s="175">
        <f t="shared" si="63"/>
        <v>17933</v>
      </c>
      <c r="CE22" s="175">
        <f>17933-CD22</f>
        <v>0</v>
      </c>
      <c r="CF22" s="175">
        <f>CE22+CD22</f>
        <v>17933</v>
      </c>
      <c r="CG22" s="175">
        <v>0</v>
      </c>
      <c r="CH22" s="175">
        <v>60948</v>
      </c>
      <c r="CI22" s="175">
        <f>CH22+CG22</f>
        <v>60948</v>
      </c>
      <c r="CJ22" s="175">
        <v>1404</v>
      </c>
      <c r="CK22" s="175">
        <f>CJ22+CI22</f>
        <v>62352</v>
      </c>
      <c r="CL22" s="175">
        <v>0</v>
      </c>
      <c r="CM22" s="175">
        <v>62353</v>
      </c>
      <c r="CN22" s="175">
        <v>13715</v>
      </c>
      <c r="CO22" s="175">
        <f>99067-166</f>
        <v>98901</v>
      </c>
      <c r="CP22" s="175">
        <f t="shared" si="65"/>
        <v>112616</v>
      </c>
      <c r="CQ22" s="175">
        <f>-32938</f>
        <v>-32938</v>
      </c>
      <c r="CR22" s="175">
        <f t="shared" si="66"/>
        <v>79678</v>
      </c>
      <c r="CS22" s="175">
        <v>0</v>
      </c>
      <c r="CT22" s="175">
        <f t="shared" si="36"/>
        <v>79678</v>
      </c>
      <c r="CU22" s="175">
        <v>4500</v>
      </c>
      <c r="CV22" s="175">
        <v>108576</v>
      </c>
      <c r="CW22" s="175">
        <f t="shared" si="67"/>
        <v>113076</v>
      </c>
      <c r="CX22" s="175">
        <v>15712</v>
      </c>
      <c r="CY22" s="175">
        <f t="shared" si="68"/>
        <v>128788</v>
      </c>
      <c r="CZ22" s="175">
        <v>-1574</v>
      </c>
      <c r="DA22" s="175">
        <f t="shared" si="69"/>
        <v>127214</v>
      </c>
      <c r="DB22" s="175">
        <v>2123</v>
      </c>
      <c r="DC22" s="175">
        <v>84047</v>
      </c>
      <c r="DD22" s="175">
        <f t="shared" si="70"/>
        <v>86170</v>
      </c>
      <c r="DE22" s="175">
        <v>16613</v>
      </c>
      <c r="DF22" s="175">
        <f t="shared" si="71"/>
        <v>102783</v>
      </c>
      <c r="DG22" s="175">
        <v>10</v>
      </c>
      <c r="DH22" s="175">
        <f t="shared" si="72"/>
        <v>102793</v>
      </c>
      <c r="DI22" s="175">
        <v>0</v>
      </c>
      <c r="DJ22" s="175">
        <v>-59856</v>
      </c>
      <c r="DK22" s="175">
        <f t="shared" si="15"/>
        <v>-59856</v>
      </c>
    </row>
    <row r="23" spans="1:116" ht="10.5" customHeight="1" x14ac:dyDescent="0.25">
      <c r="A23" s="56"/>
      <c r="B23" s="57"/>
      <c r="C23" s="57" t="s">
        <v>266</v>
      </c>
      <c r="D23" s="58"/>
      <c r="E23" s="59"/>
      <c r="F23" s="59"/>
      <c r="G23" s="59"/>
      <c r="H23" s="175">
        <v>0</v>
      </c>
      <c r="I23" s="175">
        <v>0</v>
      </c>
      <c r="J23" s="175">
        <f t="shared" si="38"/>
        <v>0</v>
      </c>
      <c r="K23" s="175">
        <v>491</v>
      </c>
      <c r="L23" s="175">
        <f t="shared" si="16"/>
        <v>491</v>
      </c>
      <c r="M23" s="175">
        <v>0</v>
      </c>
      <c r="N23" s="175">
        <f t="shared" si="48"/>
        <v>491</v>
      </c>
      <c r="O23" s="182">
        <v>0</v>
      </c>
      <c r="P23" s="175">
        <v>0</v>
      </c>
      <c r="Q23" s="175">
        <f t="shared" si="17"/>
        <v>0</v>
      </c>
      <c r="R23" s="182">
        <v>1861</v>
      </c>
      <c r="S23" s="182">
        <f t="shared" si="18"/>
        <v>1861</v>
      </c>
      <c r="T23" s="175">
        <f t="shared" si="49"/>
        <v>0</v>
      </c>
      <c r="U23" s="175">
        <v>1861</v>
      </c>
      <c r="V23" s="182">
        <v>0</v>
      </c>
      <c r="W23" s="182">
        <v>0</v>
      </c>
      <c r="X23" s="182">
        <f t="shared" si="20"/>
        <v>0</v>
      </c>
      <c r="Y23" s="182">
        <v>0</v>
      </c>
      <c r="Z23" s="182">
        <f t="shared" si="24"/>
        <v>0</v>
      </c>
      <c r="AA23" s="175">
        <f t="shared" si="50"/>
        <v>11160</v>
      </c>
      <c r="AB23" s="175">
        <v>11160</v>
      </c>
      <c r="AC23" s="175">
        <v>0</v>
      </c>
      <c r="AD23" s="175">
        <f t="shared" si="51"/>
        <v>0</v>
      </c>
      <c r="AE23" s="175">
        <v>0</v>
      </c>
      <c r="AF23" s="175">
        <f t="shared" si="52"/>
        <v>0</v>
      </c>
      <c r="AG23" s="175">
        <v>0</v>
      </c>
      <c r="AH23" s="175">
        <f t="shared" si="53"/>
        <v>-2044</v>
      </c>
      <c r="AI23" s="175">
        <v>-2044</v>
      </c>
      <c r="AJ23" s="175">
        <v>0</v>
      </c>
      <c r="AK23" s="175">
        <v>0</v>
      </c>
      <c r="AL23" s="175">
        <f t="shared" si="28"/>
        <v>0</v>
      </c>
      <c r="AM23" s="175">
        <v>0</v>
      </c>
      <c r="AN23" s="175">
        <f t="shared" si="29"/>
        <v>0</v>
      </c>
      <c r="AO23" s="175">
        <v>-43</v>
      </c>
      <c r="AP23" s="175">
        <f t="shared" si="54"/>
        <v>-43</v>
      </c>
      <c r="AQ23" s="175">
        <v>0</v>
      </c>
      <c r="AR23" s="175">
        <v>0</v>
      </c>
      <c r="AS23" s="175">
        <v>0</v>
      </c>
      <c r="AT23" s="175">
        <v>0</v>
      </c>
      <c r="AU23" s="175">
        <v>0</v>
      </c>
      <c r="AV23" s="175">
        <v>-548</v>
      </c>
      <c r="AW23" s="175">
        <f t="shared" si="55"/>
        <v>-548</v>
      </c>
      <c r="AX23" s="175">
        <v>0</v>
      </c>
      <c r="AY23" s="175">
        <f t="shared" si="56"/>
        <v>0</v>
      </c>
      <c r="AZ23" s="175">
        <v>0</v>
      </c>
      <c r="BA23" s="175">
        <f t="shared" si="41"/>
        <v>0</v>
      </c>
      <c r="BB23" s="175">
        <v>0</v>
      </c>
      <c r="BC23" s="175">
        <f t="shared" si="41"/>
        <v>0</v>
      </c>
      <c r="BD23" s="175">
        <v>0</v>
      </c>
      <c r="BE23" s="175">
        <v>0</v>
      </c>
      <c r="BF23" s="175">
        <v>0</v>
      </c>
      <c r="BG23" s="175">
        <f t="shared" si="57"/>
        <v>0</v>
      </c>
      <c r="BH23" s="175">
        <v>0</v>
      </c>
      <c r="BI23" s="175">
        <f t="shared" si="34"/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f t="shared" si="58"/>
        <v>0</v>
      </c>
      <c r="BO23" s="175">
        <v>0</v>
      </c>
      <c r="BP23" s="175">
        <f t="shared" si="59"/>
        <v>0</v>
      </c>
      <c r="BQ23" s="175">
        <v>0</v>
      </c>
      <c r="BR23" s="175">
        <v>0</v>
      </c>
      <c r="BS23" s="175">
        <v>0</v>
      </c>
      <c r="BT23" s="175">
        <v>0</v>
      </c>
      <c r="BU23" s="175">
        <f t="shared" si="60"/>
        <v>0</v>
      </c>
      <c r="BV23" s="175">
        <v>0</v>
      </c>
      <c r="BW23" s="175">
        <f t="shared" si="61"/>
        <v>0</v>
      </c>
      <c r="BX23" s="175">
        <v>0</v>
      </c>
      <c r="BY23" s="175">
        <v>0</v>
      </c>
      <c r="BZ23" s="175">
        <v>0</v>
      </c>
      <c r="CA23" s="175">
        <v>0</v>
      </c>
      <c r="CB23" s="175">
        <f t="shared" si="62"/>
        <v>0</v>
      </c>
      <c r="CC23" s="175">
        <v>0</v>
      </c>
      <c r="CD23" s="175">
        <f t="shared" si="63"/>
        <v>0</v>
      </c>
      <c r="CE23" s="175">
        <v>0</v>
      </c>
      <c r="CF23" s="175">
        <v>0</v>
      </c>
      <c r="CG23" s="175">
        <v>0</v>
      </c>
      <c r="CH23" s="175">
        <v>0</v>
      </c>
      <c r="CI23" s="175">
        <f>CH23+CG23</f>
        <v>0</v>
      </c>
      <c r="CJ23" s="175">
        <v>0</v>
      </c>
      <c r="CK23" s="175">
        <f t="shared" si="64"/>
        <v>0</v>
      </c>
      <c r="CL23" s="175">
        <v>0</v>
      </c>
      <c r="CM23" s="175">
        <v>0</v>
      </c>
      <c r="CN23" s="175">
        <v>0</v>
      </c>
      <c r="CO23" s="175">
        <v>0</v>
      </c>
      <c r="CP23" s="175">
        <f t="shared" si="65"/>
        <v>0</v>
      </c>
      <c r="CQ23" s="175">
        <v>0</v>
      </c>
      <c r="CR23" s="175">
        <f t="shared" si="66"/>
        <v>0</v>
      </c>
      <c r="CS23" s="175">
        <v>0</v>
      </c>
      <c r="CT23" s="175">
        <f t="shared" si="36"/>
        <v>0</v>
      </c>
      <c r="CU23" s="175">
        <v>0</v>
      </c>
      <c r="CV23" s="175">
        <v>0</v>
      </c>
      <c r="CW23" s="175">
        <f t="shared" si="67"/>
        <v>0</v>
      </c>
      <c r="CX23" s="175">
        <v>0</v>
      </c>
      <c r="CY23" s="175">
        <f t="shared" si="68"/>
        <v>0</v>
      </c>
      <c r="CZ23" s="175">
        <v>0</v>
      </c>
      <c r="DA23" s="175">
        <f t="shared" si="69"/>
        <v>0</v>
      </c>
      <c r="DB23" s="175">
        <v>0</v>
      </c>
      <c r="DC23" s="175">
        <v>0</v>
      </c>
      <c r="DD23" s="175">
        <f t="shared" si="70"/>
        <v>0</v>
      </c>
      <c r="DE23" s="175">
        <v>0</v>
      </c>
      <c r="DF23" s="175">
        <f t="shared" si="71"/>
        <v>0</v>
      </c>
      <c r="DG23" s="175">
        <v>0</v>
      </c>
      <c r="DH23" s="175">
        <f t="shared" si="72"/>
        <v>0</v>
      </c>
      <c r="DI23" s="175">
        <v>0</v>
      </c>
      <c r="DJ23" s="175">
        <v>0</v>
      </c>
      <c r="DK23" s="175">
        <f t="shared" si="15"/>
        <v>0</v>
      </c>
    </row>
    <row r="24" spans="1:116" ht="10.5" customHeight="1" x14ac:dyDescent="0.25">
      <c r="A24" s="56"/>
      <c r="B24" s="57"/>
      <c r="C24" s="57" t="s">
        <v>263</v>
      </c>
      <c r="D24" s="58"/>
      <c r="E24" s="59"/>
      <c r="F24" s="59"/>
      <c r="G24" s="59"/>
      <c r="H24" s="175"/>
      <c r="I24" s="175"/>
      <c r="J24" s="175"/>
      <c r="K24" s="175"/>
      <c r="L24" s="175"/>
      <c r="M24" s="175"/>
      <c r="N24" s="175"/>
      <c r="O24" s="182"/>
      <c r="P24" s="175"/>
      <c r="Q24" s="175"/>
      <c r="R24" s="182"/>
      <c r="S24" s="182"/>
      <c r="T24" s="175"/>
      <c r="U24" s="175"/>
      <c r="V24" s="182"/>
      <c r="W24" s="182"/>
      <c r="X24" s="182"/>
      <c r="Y24" s="182"/>
      <c r="Z24" s="182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>
        <f>0+7378</f>
        <v>7378</v>
      </c>
      <c r="CP24" s="175">
        <f t="shared" si="65"/>
        <v>7378</v>
      </c>
      <c r="CQ24" s="175">
        <f>3366</f>
        <v>3366</v>
      </c>
      <c r="CR24" s="175">
        <f t="shared" si="66"/>
        <v>10744</v>
      </c>
      <c r="CS24" s="175">
        <v>7433</v>
      </c>
      <c r="CT24" s="175">
        <f t="shared" si="36"/>
        <v>18177</v>
      </c>
      <c r="CU24" s="175">
        <v>1864</v>
      </c>
      <c r="CV24" s="175">
        <v>2146</v>
      </c>
      <c r="CW24" s="175">
        <f t="shared" si="67"/>
        <v>4010</v>
      </c>
      <c r="CX24" s="175">
        <v>5513</v>
      </c>
      <c r="CY24" s="175">
        <f t="shared" si="68"/>
        <v>9523</v>
      </c>
      <c r="CZ24" s="175">
        <v>-7873</v>
      </c>
      <c r="DA24" s="175">
        <f t="shared" si="69"/>
        <v>1650</v>
      </c>
      <c r="DB24" s="175">
        <v>7703</v>
      </c>
      <c r="DC24" s="175">
        <v>-2715</v>
      </c>
      <c r="DD24" s="175">
        <f t="shared" si="70"/>
        <v>4988</v>
      </c>
      <c r="DE24" s="175">
        <v>6107</v>
      </c>
      <c r="DF24" s="175">
        <f t="shared" si="71"/>
        <v>11095</v>
      </c>
      <c r="DG24" s="175">
        <v>1918</v>
      </c>
      <c r="DH24" s="175">
        <f>DG24+DF24-1</f>
        <v>13012</v>
      </c>
      <c r="DI24" s="175">
        <v>-4468</v>
      </c>
      <c r="DJ24" s="175">
        <v>-567</v>
      </c>
      <c r="DK24" s="175">
        <f t="shared" si="15"/>
        <v>-5035</v>
      </c>
    </row>
    <row r="25" spans="1:116" ht="10.5" customHeight="1" x14ac:dyDescent="0.25">
      <c r="A25" s="56"/>
      <c r="B25" s="57"/>
      <c r="C25" s="57" t="s">
        <v>110</v>
      </c>
      <c r="D25" s="58"/>
      <c r="E25" s="59"/>
      <c r="F25" s="59"/>
      <c r="G25" s="59"/>
      <c r="H25" s="175">
        <v>-1364</v>
      </c>
      <c r="I25" s="175">
        <v>-1220</v>
      </c>
      <c r="J25" s="175">
        <f t="shared" si="38"/>
        <v>-2584</v>
      </c>
      <c r="K25" s="175">
        <v>-486</v>
      </c>
      <c r="L25" s="175">
        <f t="shared" si="16"/>
        <v>-3070</v>
      </c>
      <c r="M25" s="175">
        <v>-52</v>
      </c>
      <c r="N25" s="175">
        <f t="shared" si="48"/>
        <v>-3122</v>
      </c>
      <c r="O25" s="182">
        <v>15</v>
      </c>
      <c r="P25" s="175">
        <v>465</v>
      </c>
      <c r="Q25" s="175">
        <f t="shared" si="17"/>
        <v>480</v>
      </c>
      <c r="R25" s="182">
        <v>568</v>
      </c>
      <c r="S25" s="182">
        <f t="shared" si="18"/>
        <v>1048</v>
      </c>
      <c r="T25" s="175">
        <f t="shared" si="49"/>
        <v>1364</v>
      </c>
      <c r="U25" s="175">
        <v>2412</v>
      </c>
      <c r="V25" s="182">
        <v>856</v>
      </c>
      <c r="W25" s="182">
        <v>0</v>
      </c>
      <c r="X25" s="182">
        <f t="shared" si="20"/>
        <v>856</v>
      </c>
      <c r="Y25" s="182">
        <v>0</v>
      </c>
      <c r="Z25" s="182">
        <f t="shared" si="24"/>
        <v>856</v>
      </c>
      <c r="AA25" s="175">
        <f t="shared" si="50"/>
        <v>0</v>
      </c>
      <c r="AB25" s="175">
        <v>856</v>
      </c>
      <c r="AC25" s="175">
        <v>0</v>
      </c>
      <c r="AD25" s="175">
        <f t="shared" si="51"/>
        <v>0</v>
      </c>
      <c r="AE25" s="175">
        <v>0</v>
      </c>
      <c r="AF25" s="175">
        <f t="shared" si="52"/>
        <v>-25</v>
      </c>
      <c r="AG25" s="175">
        <v>-25</v>
      </c>
      <c r="AH25" s="175">
        <f t="shared" si="53"/>
        <v>3</v>
      </c>
      <c r="AI25" s="175">
        <v>-22</v>
      </c>
      <c r="AJ25" s="175">
        <v>0</v>
      </c>
      <c r="AK25" s="175">
        <v>355</v>
      </c>
      <c r="AL25" s="175">
        <f t="shared" si="28"/>
        <v>355</v>
      </c>
      <c r="AM25" s="175">
        <v>2601</v>
      </c>
      <c r="AN25" s="175">
        <f t="shared" si="29"/>
        <v>2956</v>
      </c>
      <c r="AO25" s="175">
        <v>0</v>
      </c>
      <c r="AP25" s="175">
        <f t="shared" si="54"/>
        <v>2956</v>
      </c>
      <c r="AQ25" s="175">
        <v>0</v>
      </c>
      <c r="AR25" s="175">
        <v>20</v>
      </c>
      <c r="AS25" s="175">
        <v>20</v>
      </c>
      <c r="AT25" s="175">
        <v>-1394</v>
      </c>
      <c r="AU25" s="175">
        <v>-1374</v>
      </c>
      <c r="AV25" s="175">
        <v>3169</v>
      </c>
      <c r="AW25" s="175">
        <f t="shared" si="55"/>
        <v>1795</v>
      </c>
      <c r="AX25" s="175">
        <v>0</v>
      </c>
      <c r="AY25" s="175">
        <f t="shared" si="56"/>
        <v>0</v>
      </c>
      <c r="AZ25" s="175">
        <v>0</v>
      </c>
      <c r="BA25" s="175">
        <f t="shared" si="41"/>
        <v>0</v>
      </c>
      <c r="BB25" s="175">
        <v>0</v>
      </c>
      <c r="BC25" s="175">
        <f t="shared" si="41"/>
        <v>0</v>
      </c>
      <c r="BD25" s="175">
        <v>0</v>
      </c>
      <c r="BE25" s="175">
        <v>0</v>
      </c>
      <c r="BF25" s="175">
        <v>-2547</v>
      </c>
      <c r="BG25" s="175">
        <f t="shared" si="57"/>
        <v>-2547</v>
      </c>
      <c r="BH25" s="175">
        <v>0</v>
      </c>
      <c r="BI25" s="175">
        <f t="shared" si="34"/>
        <v>-2547</v>
      </c>
      <c r="BJ25" s="175">
        <v>2547</v>
      </c>
      <c r="BK25" s="175">
        <f>BJ25+BI25</f>
        <v>0</v>
      </c>
      <c r="BL25" s="175">
        <v>2778</v>
      </c>
      <c r="BM25" s="175">
        <v>164</v>
      </c>
      <c r="BN25" s="175">
        <f t="shared" si="58"/>
        <v>2942</v>
      </c>
      <c r="BO25" s="175">
        <v>0</v>
      </c>
      <c r="BP25" s="175">
        <f t="shared" si="59"/>
        <v>2942</v>
      </c>
      <c r="BQ25" s="175">
        <v>-25</v>
      </c>
      <c r="BR25" s="175">
        <f>BQ25+BP25</f>
        <v>2917</v>
      </c>
      <c r="BS25" s="175">
        <v>7948</v>
      </c>
      <c r="BT25" s="175">
        <v>-505</v>
      </c>
      <c r="BU25" s="175">
        <f t="shared" si="60"/>
        <v>7443</v>
      </c>
      <c r="BV25" s="175">
        <v>-146</v>
      </c>
      <c r="BW25" s="175">
        <f t="shared" si="61"/>
        <v>7297</v>
      </c>
      <c r="BX25" s="175">
        <f>7898-BW25</f>
        <v>601</v>
      </c>
      <c r="BY25" s="175">
        <f>BX25+BW25</f>
        <v>7898</v>
      </c>
      <c r="BZ25" s="175">
        <v>10643</v>
      </c>
      <c r="CA25" s="175">
        <v>4145</v>
      </c>
      <c r="CB25" s="175">
        <f t="shared" si="62"/>
        <v>14788</v>
      </c>
      <c r="CC25" s="175">
        <v>67</v>
      </c>
      <c r="CD25" s="175">
        <f t="shared" si="63"/>
        <v>14855</v>
      </c>
      <c r="CE25" s="175">
        <f>17306-CD25</f>
        <v>2451</v>
      </c>
      <c r="CF25" s="175">
        <f>CE25+CD25</f>
        <v>17306</v>
      </c>
      <c r="CG25" s="175">
        <v>-36</v>
      </c>
      <c r="CH25" s="175">
        <v>4253</v>
      </c>
      <c r="CI25" s="175">
        <v>66839</v>
      </c>
      <c r="CJ25" s="175">
        <v>1224</v>
      </c>
      <c r="CK25" s="175">
        <f t="shared" si="64"/>
        <v>68063</v>
      </c>
      <c r="CL25" s="175">
        <v>2910</v>
      </c>
      <c r="CM25" s="175">
        <v>70973</v>
      </c>
      <c r="CN25" s="175">
        <v>4235</v>
      </c>
      <c r="CO25" s="175">
        <f>3143-8725</f>
        <v>-5582</v>
      </c>
      <c r="CP25" s="175">
        <f t="shared" si="65"/>
        <v>-1347</v>
      </c>
      <c r="CQ25" s="175">
        <f>-5</f>
        <v>-5</v>
      </c>
      <c r="CR25" s="175">
        <f t="shared" si="66"/>
        <v>-1352</v>
      </c>
      <c r="CS25" s="175">
        <v>1347</v>
      </c>
      <c r="CT25" s="175">
        <f t="shared" si="36"/>
        <v>-5</v>
      </c>
      <c r="CU25" s="175">
        <v>-2004</v>
      </c>
      <c r="CV25" s="175">
        <v>-79</v>
      </c>
      <c r="CW25" s="175">
        <f t="shared" si="67"/>
        <v>-2083</v>
      </c>
      <c r="CX25" s="175">
        <v>0</v>
      </c>
      <c r="CY25" s="175">
        <f t="shared" si="68"/>
        <v>-2083</v>
      </c>
      <c r="CZ25" s="175">
        <v>0</v>
      </c>
      <c r="DA25" s="175">
        <f t="shared" si="69"/>
        <v>-2083</v>
      </c>
      <c r="DB25" s="175">
        <v>0</v>
      </c>
      <c r="DC25" s="175">
        <v>0</v>
      </c>
      <c r="DD25" s="175">
        <f t="shared" si="70"/>
        <v>0</v>
      </c>
      <c r="DE25" s="175">
        <v>0</v>
      </c>
      <c r="DF25" s="175">
        <f t="shared" si="71"/>
        <v>0</v>
      </c>
      <c r="DG25" s="175">
        <v>0</v>
      </c>
      <c r="DH25" s="175">
        <f t="shared" si="72"/>
        <v>0</v>
      </c>
      <c r="DI25" s="175">
        <v>0</v>
      </c>
      <c r="DJ25" s="175">
        <v>0</v>
      </c>
      <c r="DK25" s="175">
        <f t="shared" si="15"/>
        <v>0</v>
      </c>
    </row>
    <row r="26" spans="1:116" ht="10.5" customHeight="1" x14ac:dyDescent="0.25">
      <c r="A26" s="82"/>
      <c r="B26" s="83" t="s">
        <v>425</v>
      </c>
      <c r="C26" s="83"/>
      <c r="D26" s="84"/>
      <c r="E26" s="83"/>
      <c r="F26" s="83"/>
      <c r="G26" s="83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  <c r="BN26" s="176"/>
      <c r="BO26" s="176"/>
      <c r="BP26" s="176"/>
      <c r="BQ26" s="176"/>
      <c r="BR26" s="176"/>
      <c r="BS26" s="176"/>
      <c r="BT26" s="176"/>
      <c r="BU26" s="176"/>
      <c r="BV26" s="176"/>
      <c r="BW26" s="176"/>
      <c r="BX26" s="176"/>
      <c r="BY26" s="176"/>
      <c r="BZ26" s="176"/>
      <c r="CA26" s="176"/>
      <c r="CB26" s="176"/>
      <c r="CC26" s="176"/>
      <c r="CD26" s="176"/>
      <c r="CE26" s="176"/>
      <c r="CF26" s="176"/>
      <c r="CG26" s="176"/>
      <c r="CH26" s="176"/>
      <c r="CI26" s="176"/>
      <c r="CJ26" s="176"/>
      <c r="CK26" s="176"/>
      <c r="CL26" s="176"/>
      <c r="CM26" s="176"/>
      <c r="CN26" s="176"/>
      <c r="CO26" s="176"/>
      <c r="CP26" s="176"/>
      <c r="CQ26" s="176"/>
      <c r="CR26" s="176"/>
      <c r="CS26" s="176"/>
      <c r="CT26" s="176"/>
      <c r="CU26" s="176">
        <f>SUM(CU27:CU30)</f>
        <v>1392</v>
      </c>
      <c r="CV26" s="176">
        <f t="shared" ref="CV26:CZ26" si="73">SUM(CV27:CV30)</f>
        <v>0</v>
      </c>
      <c r="CW26" s="176">
        <f t="shared" si="73"/>
        <v>1392</v>
      </c>
      <c r="CX26" s="176">
        <f t="shared" si="73"/>
        <v>-14135</v>
      </c>
      <c r="CY26" s="176">
        <f t="shared" si="73"/>
        <v>-12743</v>
      </c>
      <c r="CZ26" s="176">
        <f t="shared" si="73"/>
        <v>-58623</v>
      </c>
      <c r="DA26" s="176">
        <f>SUM(DA27:DA30)</f>
        <v>-71366</v>
      </c>
      <c r="DB26" s="176">
        <f t="shared" ref="DB26:DJ26" si="74">SUM(DB27:DB30)</f>
        <v>-56380</v>
      </c>
      <c r="DC26" s="176">
        <f t="shared" si="74"/>
        <v>16290</v>
      </c>
      <c r="DD26" s="176">
        <f t="shared" si="74"/>
        <v>-40090</v>
      </c>
      <c r="DE26" s="176">
        <f t="shared" si="74"/>
        <v>-55554</v>
      </c>
      <c r="DF26" s="176">
        <f t="shared" si="74"/>
        <v>-95644</v>
      </c>
      <c r="DG26" s="176">
        <f t="shared" si="74"/>
        <v>66720</v>
      </c>
      <c r="DH26" s="176">
        <f t="shared" si="74"/>
        <v>-28924</v>
      </c>
      <c r="DI26" s="176">
        <f t="shared" si="74"/>
        <v>178648</v>
      </c>
      <c r="DJ26" s="176">
        <f t="shared" si="74"/>
        <v>-37090</v>
      </c>
      <c r="DK26" s="176">
        <f t="shared" si="15"/>
        <v>141558</v>
      </c>
    </row>
    <row r="27" spans="1:116" ht="10.5" customHeight="1" x14ac:dyDescent="0.25">
      <c r="A27" s="56"/>
      <c r="B27" s="98"/>
      <c r="C27" s="98" t="s">
        <v>106</v>
      </c>
      <c r="D27" s="58"/>
      <c r="E27" s="59"/>
      <c r="F27" s="59"/>
      <c r="G27" s="59"/>
      <c r="H27" s="175"/>
      <c r="I27" s="175"/>
      <c r="J27" s="177"/>
      <c r="K27" s="175"/>
      <c r="L27" s="175"/>
      <c r="M27" s="175"/>
      <c r="N27" s="175"/>
      <c r="O27" s="177"/>
      <c r="P27" s="175"/>
      <c r="Q27" s="175"/>
      <c r="R27" s="175"/>
      <c r="S27" s="175"/>
      <c r="T27" s="175"/>
      <c r="U27" s="175"/>
      <c r="V27" s="175"/>
      <c r="W27" s="175"/>
      <c r="X27" s="182"/>
      <c r="Y27" s="175"/>
      <c r="Z27" s="182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>
        <v>0</v>
      </c>
      <c r="CV27" s="175">
        <v>0</v>
      </c>
      <c r="CW27" s="175">
        <f>CU27+CV27</f>
        <v>0</v>
      </c>
      <c r="CX27" s="175">
        <v>-11740</v>
      </c>
      <c r="CY27" s="175">
        <f>CX27+CW27</f>
        <v>-11740</v>
      </c>
      <c r="CZ27" s="175">
        <v>-56604</v>
      </c>
      <c r="DA27" s="175">
        <f>CZ27+CY27</f>
        <v>-68344</v>
      </c>
      <c r="DB27" s="175">
        <v>-60794</v>
      </c>
      <c r="DC27" s="175">
        <v>105232</v>
      </c>
      <c r="DD27" s="175">
        <f t="shared" si="70"/>
        <v>44438</v>
      </c>
      <c r="DE27" s="175">
        <v>10114</v>
      </c>
      <c r="DF27" s="175">
        <f t="shared" si="71"/>
        <v>54552</v>
      </c>
      <c r="DG27" s="175">
        <v>-41204</v>
      </c>
      <c r="DH27" s="175">
        <f t="shared" si="72"/>
        <v>13348</v>
      </c>
      <c r="DI27" s="175">
        <v>-44131</v>
      </c>
      <c r="DJ27" s="175">
        <v>-22319</v>
      </c>
      <c r="DK27" s="175">
        <f t="shared" si="15"/>
        <v>-66450</v>
      </c>
    </row>
    <row r="28" spans="1:116" ht="10.5" customHeight="1" x14ac:dyDescent="0.25">
      <c r="A28" s="56"/>
      <c r="B28" s="57"/>
      <c r="C28" s="57" t="s">
        <v>421</v>
      </c>
      <c r="D28" s="58"/>
      <c r="E28" s="59"/>
      <c r="F28" s="59"/>
      <c r="G28" s="59"/>
      <c r="H28" s="175"/>
      <c r="I28" s="175"/>
      <c r="J28" s="177"/>
      <c r="K28" s="175"/>
      <c r="L28" s="175"/>
      <c r="M28" s="175"/>
      <c r="N28" s="175"/>
      <c r="O28" s="177"/>
      <c r="P28" s="175"/>
      <c r="Q28" s="175"/>
      <c r="R28" s="175"/>
      <c r="S28" s="175"/>
      <c r="T28" s="175"/>
      <c r="U28" s="175"/>
      <c r="V28" s="175"/>
      <c r="W28" s="175"/>
      <c r="X28" s="182"/>
      <c r="Y28" s="175"/>
      <c r="Z28" s="182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>
        <v>0</v>
      </c>
      <c r="CV28" s="175">
        <v>0</v>
      </c>
      <c r="CW28" s="175">
        <f t="shared" ref="CW28:CW30" si="75">CU28+CV28</f>
        <v>0</v>
      </c>
      <c r="CX28" s="175">
        <v>0</v>
      </c>
      <c r="CY28" s="175">
        <f>CX28+CW28</f>
        <v>0</v>
      </c>
      <c r="CZ28" s="175">
        <v>0</v>
      </c>
      <c r="DA28" s="175">
        <f>CZ28+CY28</f>
        <v>0</v>
      </c>
      <c r="DB28" s="175"/>
      <c r="DC28" s="175"/>
      <c r="DD28" s="175">
        <f t="shared" si="70"/>
        <v>0</v>
      </c>
      <c r="DE28" s="175">
        <v>-10477</v>
      </c>
      <c r="DF28" s="175">
        <f t="shared" si="71"/>
        <v>-10477</v>
      </c>
      <c r="DG28" s="175">
        <v>-29177</v>
      </c>
      <c r="DH28" s="175">
        <f t="shared" si="72"/>
        <v>-39654</v>
      </c>
      <c r="DI28" s="175">
        <v>25282</v>
      </c>
      <c r="DJ28" s="175">
        <v>13496</v>
      </c>
      <c r="DK28" s="175">
        <f t="shared" si="15"/>
        <v>38778</v>
      </c>
    </row>
    <row r="29" spans="1:116" ht="10.5" customHeight="1" x14ac:dyDescent="0.25">
      <c r="A29" s="56"/>
      <c r="B29" s="57"/>
      <c r="C29" s="57" t="s">
        <v>422</v>
      </c>
      <c r="D29" s="58"/>
      <c r="E29" s="59"/>
      <c r="F29" s="59"/>
      <c r="G29" s="59"/>
      <c r="H29" s="175"/>
      <c r="I29" s="175"/>
      <c r="J29" s="177"/>
      <c r="K29" s="175"/>
      <c r="L29" s="175"/>
      <c r="M29" s="175"/>
      <c r="N29" s="175"/>
      <c r="O29" s="177"/>
      <c r="P29" s="175"/>
      <c r="Q29" s="175"/>
      <c r="R29" s="175"/>
      <c r="S29" s="175"/>
      <c r="T29" s="175"/>
      <c r="U29" s="175"/>
      <c r="V29" s="175"/>
      <c r="W29" s="175"/>
      <c r="X29" s="182"/>
      <c r="Y29" s="175"/>
      <c r="Z29" s="182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>
        <v>326</v>
      </c>
      <c r="CV29" s="175">
        <v>0</v>
      </c>
      <c r="CW29" s="175">
        <f t="shared" si="75"/>
        <v>326</v>
      </c>
      <c r="CX29" s="175">
        <v>-2395</v>
      </c>
      <c r="CY29" s="175">
        <f>CX29+CW29</f>
        <v>-2069</v>
      </c>
      <c r="CZ29" s="175">
        <v>-2019</v>
      </c>
      <c r="DA29" s="175">
        <f>CZ29+CY29</f>
        <v>-4088</v>
      </c>
      <c r="DB29" s="175">
        <v>4414</v>
      </c>
      <c r="DC29" s="175">
        <v>-88942</v>
      </c>
      <c r="DD29" s="175">
        <f t="shared" si="70"/>
        <v>-84528</v>
      </c>
      <c r="DE29" s="175">
        <v>-27133</v>
      </c>
      <c r="DF29" s="175">
        <f t="shared" si="71"/>
        <v>-111661</v>
      </c>
      <c r="DG29" s="175">
        <v>111769</v>
      </c>
      <c r="DH29" s="175">
        <f t="shared" si="72"/>
        <v>108</v>
      </c>
      <c r="DI29" s="175">
        <v>199857</v>
      </c>
      <c r="DJ29" s="175">
        <v>-86227</v>
      </c>
      <c r="DK29" s="175">
        <f t="shared" si="15"/>
        <v>113630</v>
      </c>
    </row>
    <row r="30" spans="1:116" ht="10.5" customHeight="1" x14ac:dyDescent="0.25">
      <c r="A30" s="56"/>
      <c r="B30" s="57"/>
      <c r="C30" s="57" t="s">
        <v>108</v>
      </c>
      <c r="D30" s="58"/>
      <c r="E30" s="59"/>
      <c r="F30" s="59"/>
      <c r="G30" s="59"/>
      <c r="H30" s="175"/>
      <c r="I30" s="175"/>
      <c r="J30" s="177"/>
      <c r="K30" s="175"/>
      <c r="L30" s="175"/>
      <c r="M30" s="175"/>
      <c r="N30" s="175"/>
      <c r="O30" s="177"/>
      <c r="P30" s="175"/>
      <c r="Q30" s="175"/>
      <c r="R30" s="175"/>
      <c r="S30" s="175"/>
      <c r="T30" s="175"/>
      <c r="U30" s="175"/>
      <c r="V30" s="175"/>
      <c r="W30" s="175"/>
      <c r="X30" s="182"/>
      <c r="Y30" s="175"/>
      <c r="Z30" s="182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>
        <v>1066</v>
      </c>
      <c r="CV30" s="175">
        <v>0</v>
      </c>
      <c r="CW30" s="175">
        <f t="shared" si="75"/>
        <v>1066</v>
      </c>
      <c r="CX30" s="175">
        <v>0</v>
      </c>
      <c r="CY30" s="175">
        <f>CX30+CW30</f>
        <v>1066</v>
      </c>
      <c r="CZ30" s="175">
        <v>0</v>
      </c>
      <c r="DA30" s="175">
        <f>CZ30+CY30</f>
        <v>1066</v>
      </c>
      <c r="DB30" s="175"/>
      <c r="DC30" s="175"/>
      <c r="DD30" s="175">
        <f t="shared" si="70"/>
        <v>0</v>
      </c>
      <c r="DE30" s="175">
        <v>-28058</v>
      </c>
      <c r="DF30" s="175">
        <f t="shared" si="71"/>
        <v>-28058</v>
      </c>
      <c r="DG30" s="175">
        <v>25332</v>
      </c>
      <c r="DH30" s="175">
        <f t="shared" si="72"/>
        <v>-2726</v>
      </c>
      <c r="DI30" s="175">
        <v>-2360</v>
      </c>
      <c r="DJ30" s="175">
        <v>57960</v>
      </c>
      <c r="DK30" s="175">
        <f t="shared" si="15"/>
        <v>55600</v>
      </c>
    </row>
    <row r="31" spans="1:116" s="137" customFormat="1" ht="10.5" customHeight="1" x14ac:dyDescent="0.25">
      <c r="A31" s="63" t="s">
        <v>267</v>
      </c>
      <c r="B31" s="64"/>
      <c r="C31" s="64"/>
      <c r="D31" s="65"/>
      <c r="E31" s="64"/>
      <c r="F31" s="64"/>
      <c r="G31" s="64"/>
      <c r="H31" s="176">
        <f t="shared" ref="H31:P31" si="76">H32+H40</f>
        <v>-105452</v>
      </c>
      <c r="I31" s="176">
        <f t="shared" si="76"/>
        <v>-147367</v>
      </c>
      <c r="J31" s="176">
        <f t="shared" ref="J31:J58" si="77">H31+I31</f>
        <v>-252819</v>
      </c>
      <c r="K31" s="176">
        <f t="shared" si="76"/>
        <v>-150329</v>
      </c>
      <c r="L31" s="176">
        <f t="shared" ref="L31:L58" si="78">J31+K31</f>
        <v>-403148</v>
      </c>
      <c r="M31" s="176">
        <f t="shared" si="76"/>
        <v>-99197</v>
      </c>
      <c r="N31" s="176">
        <f>N32+N40</f>
        <v>-502345</v>
      </c>
      <c r="O31" s="176">
        <f t="shared" si="76"/>
        <v>-176091</v>
      </c>
      <c r="P31" s="176">
        <f t="shared" si="76"/>
        <v>-131610</v>
      </c>
      <c r="Q31" s="176">
        <f t="shared" ref="Q31:Q58" si="79">O31+P31</f>
        <v>-307701</v>
      </c>
      <c r="R31" s="176">
        <f>R32+R40</f>
        <v>-141432</v>
      </c>
      <c r="S31" s="176">
        <f t="shared" ref="S31:S58" si="80">Q31+R31</f>
        <v>-449133</v>
      </c>
      <c r="T31" s="176">
        <f>T32+T40</f>
        <v>-219876</v>
      </c>
      <c r="U31" s="176">
        <f>U32+U40</f>
        <v>-669009</v>
      </c>
      <c r="V31" s="176">
        <f>V32+V40</f>
        <v>-121541</v>
      </c>
      <c r="W31" s="176">
        <f>W32+W40</f>
        <v>-135876</v>
      </c>
      <c r="X31" s="184">
        <f t="shared" ref="X31:X58" si="81">V31+W31</f>
        <v>-257417</v>
      </c>
      <c r="Y31" s="176">
        <f>Y32+Y40</f>
        <v>-148044</v>
      </c>
      <c r="Z31" s="184">
        <f t="shared" ref="Z31:Z58" si="82">X31+Y31</f>
        <v>-405461</v>
      </c>
      <c r="AA31" s="176">
        <f>AA32+AA40</f>
        <v>-234391</v>
      </c>
      <c r="AB31" s="176">
        <f>AB32+AB40</f>
        <v>-639852</v>
      </c>
      <c r="AC31" s="176">
        <f>AC32+AC40</f>
        <v>-220845</v>
      </c>
      <c r="AD31" s="176">
        <f>AD32+AD40</f>
        <v>-223180</v>
      </c>
      <c r="AE31" s="176">
        <f>AC31+AD31</f>
        <v>-444025</v>
      </c>
      <c r="AF31" s="176">
        <f>AF32+AF40</f>
        <v>-195252</v>
      </c>
      <c r="AG31" s="176">
        <f>AE31+AF31</f>
        <v>-639277</v>
      </c>
      <c r="AH31" s="176">
        <f>AH32+AH40</f>
        <v>-225679</v>
      </c>
      <c r="AI31" s="176">
        <f>AG31+AH31</f>
        <v>-864956</v>
      </c>
      <c r="AJ31" s="176">
        <f t="shared" ref="AJ31:AP31" si="83">AJ32+AJ40</f>
        <v>-184584</v>
      </c>
      <c r="AK31" s="176">
        <f t="shared" si="83"/>
        <v>-220612</v>
      </c>
      <c r="AL31" s="176">
        <f t="shared" si="83"/>
        <v>-405196</v>
      </c>
      <c r="AM31" s="176">
        <f t="shared" si="83"/>
        <v>-212791</v>
      </c>
      <c r="AN31" s="176">
        <f t="shared" si="83"/>
        <v>-617987</v>
      </c>
      <c r="AO31" s="176">
        <f t="shared" si="83"/>
        <v>-302247</v>
      </c>
      <c r="AP31" s="176">
        <f t="shared" si="83"/>
        <v>-920234</v>
      </c>
      <c r="AQ31" s="176">
        <f t="shared" ref="AQ31:AX31" si="84">AQ32+AQ40</f>
        <v>-234284</v>
      </c>
      <c r="AR31" s="176">
        <f t="shared" si="84"/>
        <v>-343159</v>
      </c>
      <c r="AS31" s="176">
        <f t="shared" si="84"/>
        <v>-577443</v>
      </c>
      <c r="AT31" s="176">
        <f t="shared" si="84"/>
        <v>-260887</v>
      </c>
      <c r="AU31" s="176">
        <f t="shared" si="84"/>
        <v>-838330</v>
      </c>
      <c r="AV31" s="176">
        <f t="shared" si="84"/>
        <v>-327760</v>
      </c>
      <c r="AW31" s="176">
        <f t="shared" si="84"/>
        <v>-1166090</v>
      </c>
      <c r="AX31" s="176">
        <f t="shared" si="84"/>
        <v>-242355</v>
      </c>
      <c r="AY31" s="176">
        <f t="shared" si="9"/>
        <v>-365185</v>
      </c>
      <c r="AZ31" s="176">
        <f>AZ32+AZ40</f>
        <v>-607540</v>
      </c>
      <c r="BA31" s="176">
        <f t="shared" ref="BA31:BA37" si="85">BB31-AZ31</f>
        <v>-255053</v>
      </c>
      <c r="BB31" s="176">
        <f>BB32+BB40</f>
        <v>-862593</v>
      </c>
      <c r="BC31" s="176">
        <f t="shared" ref="BC31:BC37" si="86">BD31-BB31</f>
        <v>-465867</v>
      </c>
      <c r="BD31" s="176">
        <f>BD32+BD40</f>
        <v>-1328460</v>
      </c>
      <c r="BE31" s="176">
        <f>BE32+BE40</f>
        <v>-347529</v>
      </c>
      <c r="BF31" s="176">
        <f>BF32+BF40</f>
        <v>-363402</v>
      </c>
      <c r="BG31" s="176">
        <f t="shared" ref="BG31:CK31" si="87">BG32+BG40</f>
        <v>-710931</v>
      </c>
      <c r="BH31" s="176">
        <f>BH32+BH40</f>
        <v>-277417</v>
      </c>
      <c r="BI31" s="176">
        <f t="shared" si="87"/>
        <v>-988348</v>
      </c>
      <c r="BJ31" s="176">
        <f t="shared" si="87"/>
        <v>-424833</v>
      </c>
      <c r="BK31" s="176">
        <f t="shared" si="87"/>
        <v>-1413181</v>
      </c>
      <c r="BL31" s="176">
        <f t="shared" si="87"/>
        <v>-274171</v>
      </c>
      <c r="BM31" s="176">
        <f t="shared" si="87"/>
        <v>-303451</v>
      </c>
      <c r="BN31" s="176">
        <f t="shared" si="87"/>
        <v>-577622</v>
      </c>
      <c r="BO31" s="176">
        <f t="shared" si="87"/>
        <v>-405476</v>
      </c>
      <c r="BP31" s="176">
        <f t="shared" si="87"/>
        <v>-983098</v>
      </c>
      <c r="BQ31" s="176">
        <f t="shared" si="87"/>
        <v>-559510</v>
      </c>
      <c r="BR31" s="176">
        <f>BR32+BR40</f>
        <v>-1542605</v>
      </c>
      <c r="BS31" s="176">
        <f t="shared" si="87"/>
        <v>-348244</v>
      </c>
      <c r="BT31" s="176">
        <f t="shared" si="87"/>
        <v>-451239</v>
      </c>
      <c r="BU31" s="176">
        <f t="shared" si="87"/>
        <v>-799483</v>
      </c>
      <c r="BV31" s="176">
        <f t="shared" si="87"/>
        <v>-423087</v>
      </c>
      <c r="BW31" s="176">
        <f t="shared" si="87"/>
        <v>-1222570</v>
      </c>
      <c r="BX31" s="176">
        <f t="shared" si="87"/>
        <v>-754940</v>
      </c>
      <c r="BY31" s="176">
        <f>BY32+BY40</f>
        <v>-1977510</v>
      </c>
      <c r="BZ31" s="176">
        <f t="shared" si="87"/>
        <v>-513559</v>
      </c>
      <c r="CA31" s="176">
        <f t="shared" si="87"/>
        <v>-412246</v>
      </c>
      <c r="CB31" s="176">
        <f t="shared" si="87"/>
        <v>-925805</v>
      </c>
      <c r="CC31" s="176">
        <f t="shared" si="87"/>
        <v>-625331</v>
      </c>
      <c r="CD31" s="176">
        <f t="shared" si="87"/>
        <v>-1551136</v>
      </c>
      <c r="CE31" s="176">
        <f t="shared" si="87"/>
        <v>-706336</v>
      </c>
      <c r="CF31" s="176">
        <f>CF32+CF40</f>
        <v>-2257472</v>
      </c>
      <c r="CG31" s="176">
        <f t="shared" si="87"/>
        <v>-599258</v>
      </c>
      <c r="CH31" s="176">
        <f t="shared" si="87"/>
        <v>-596453</v>
      </c>
      <c r="CI31" s="176">
        <f t="shared" si="87"/>
        <v>-1195712</v>
      </c>
      <c r="CJ31" s="176">
        <f t="shared" si="87"/>
        <v>-734456</v>
      </c>
      <c r="CK31" s="176">
        <f t="shared" si="87"/>
        <v>-1930168</v>
      </c>
      <c r="CL31" s="176">
        <f>CL32+CL40</f>
        <v>-872611</v>
      </c>
      <c r="CM31" s="176">
        <f>CM32+CM40</f>
        <v>-2802782</v>
      </c>
      <c r="CN31" s="176">
        <f>CN32+CN40</f>
        <v>-868018</v>
      </c>
      <c r="CO31" s="176">
        <f>CO32+CO40</f>
        <v>-895666</v>
      </c>
      <c r="CP31" s="176">
        <f>CP32+CP40-1</f>
        <v>-1763685</v>
      </c>
      <c r="CQ31" s="176">
        <f>CQ32+CQ40</f>
        <v>-934982</v>
      </c>
      <c r="CR31" s="176">
        <f t="shared" ref="CR31" si="88">CR32+CR40</f>
        <v>-2698667</v>
      </c>
      <c r="CS31" s="176">
        <f t="shared" ref="CS31:CX31" si="89">CS32+CS40</f>
        <v>-1378058</v>
      </c>
      <c r="CT31" s="176">
        <f t="shared" si="89"/>
        <v>-4076725</v>
      </c>
      <c r="CU31" s="176">
        <f t="shared" si="89"/>
        <v>-2018520</v>
      </c>
      <c r="CV31" s="176">
        <f t="shared" si="89"/>
        <v>-1460217</v>
      </c>
      <c r="CW31" s="176">
        <f t="shared" si="89"/>
        <v>-3478737</v>
      </c>
      <c r="CX31" s="176">
        <f t="shared" si="89"/>
        <v>-1201799</v>
      </c>
      <c r="CY31" s="176">
        <f t="shared" ref="CY31:CZ31" si="90">CY32+CY40</f>
        <v>-4680536</v>
      </c>
      <c r="CZ31" s="176">
        <f t="shared" si="90"/>
        <v>-1706509</v>
      </c>
      <c r="DA31" s="176">
        <f t="shared" ref="DA31:DB31" si="91">DA32+DA40</f>
        <v>-6387045</v>
      </c>
      <c r="DB31" s="176">
        <f t="shared" si="91"/>
        <v>-1850020</v>
      </c>
      <c r="DC31" s="176">
        <f t="shared" ref="DC31" si="92">DC32+DC40</f>
        <v>-1413502</v>
      </c>
      <c r="DD31" s="176">
        <f>DD32+DD40</f>
        <v>-3263522</v>
      </c>
      <c r="DE31" s="176">
        <f t="shared" ref="DE31:DF31" si="93">DE32+DE40</f>
        <v>-1458879</v>
      </c>
      <c r="DF31" s="176">
        <f t="shared" si="93"/>
        <v>-4722401</v>
      </c>
      <c r="DG31" s="176">
        <f t="shared" ref="DG31:DJ31" si="94">DG32+DG40</f>
        <v>-1779030</v>
      </c>
      <c r="DH31" s="176">
        <f t="shared" si="94"/>
        <v>-6501430</v>
      </c>
      <c r="DI31" s="176">
        <f t="shared" si="94"/>
        <v>-1348583</v>
      </c>
      <c r="DJ31" s="176">
        <f t="shared" si="94"/>
        <v>-1280856</v>
      </c>
      <c r="DK31" s="176">
        <f t="shared" si="15"/>
        <v>-2629439</v>
      </c>
    </row>
    <row r="32" spans="1:116" s="137" customFormat="1" ht="10.5" customHeight="1" x14ac:dyDescent="0.25">
      <c r="A32" s="82"/>
      <c r="B32" s="83" t="s">
        <v>268</v>
      </c>
      <c r="C32" s="83"/>
      <c r="D32" s="84"/>
      <c r="E32" s="83"/>
      <c r="F32" s="83"/>
      <c r="G32" s="83"/>
      <c r="H32" s="174">
        <f t="shared" ref="H32:P32" si="95">SUM(H33:H39)</f>
        <v>-90466</v>
      </c>
      <c r="I32" s="174">
        <f t="shared" si="95"/>
        <v>-145871</v>
      </c>
      <c r="J32" s="174">
        <f t="shared" si="77"/>
        <v>-236337</v>
      </c>
      <c r="K32" s="174">
        <f t="shared" si="95"/>
        <v>-153241</v>
      </c>
      <c r="L32" s="174">
        <f t="shared" si="78"/>
        <v>-389578</v>
      </c>
      <c r="M32" s="174">
        <f t="shared" si="95"/>
        <v>-109148</v>
      </c>
      <c r="N32" s="174">
        <f>SUM(N33:N39)</f>
        <v>-498726</v>
      </c>
      <c r="O32" s="174">
        <f t="shared" si="95"/>
        <v>-151436</v>
      </c>
      <c r="P32" s="174">
        <f t="shared" si="95"/>
        <v>-123717</v>
      </c>
      <c r="Q32" s="174">
        <f t="shared" si="79"/>
        <v>-275153</v>
      </c>
      <c r="R32" s="174">
        <f>SUM(R33:R39)</f>
        <v>-122745</v>
      </c>
      <c r="S32" s="174">
        <f t="shared" si="80"/>
        <v>-397898</v>
      </c>
      <c r="T32" s="174">
        <f>SUM(T33:T39)</f>
        <v>-175674</v>
      </c>
      <c r="U32" s="174">
        <f>SUM(U33:U39)</f>
        <v>-573572</v>
      </c>
      <c r="V32" s="174">
        <f>SUM(V33:V39)</f>
        <v>-78618</v>
      </c>
      <c r="W32" s="174">
        <f>SUM(W33:W39)</f>
        <v>-101207</v>
      </c>
      <c r="X32" s="183">
        <f t="shared" si="81"/>
        <v>-179825</v>
      </c>
      <c r="Y32" s="174">
        <f>SUM(Y33:Y39)</f>
        <v>-105951</v>
      </c>
      <c r="Z32" s="183">
        <f t="shared" si="82"/>
        <v>-285776</v>
      </c>
      <c r="AA32" s="174">
        <f>SUM(AA33:AA39)</f>
        <v>-178573</v>
      </c>
      <c r="AB32" s="174">
        <f>SUM(AB33:AB39)</f>
        <v>-464349</v>
      </c>
      <c r="AC32" s="174">
        <f>SUM(AC33:AC39)</f>
        <v>-154915</v>
      </c>
      <c r="AD32" s="174">
        <f>SUM(AD33:AD39)</f>
        <v>-166555</v>
      </c>
      <c r="AE32" s="174">
        <f>AC32+AD32</f>
        <v>-321470</v>
      </c>
      <c r="AF32" s="174">
        <f>SUM(AF33:AF39)</f>
        <v>-167905</v>
      </c>
      <c r="AG32" s="174">
        <f>AE32+AF32</f>
        <v>-489375</v>
      </c>
      <c r="AH32" s="174">
        <f>SUM(AH33:AH39)</f>
        <v>-194128</v>
      </c>
      <c r="AI32" s="174">
        <f>AG32+AH32</f>
        <v>-683503</v>
      </c>
      <c r="AJ32" s="174">
        <f t="shared" ref="AJ32:AP32" si="96">SUM(AJ33:AJ39)</f>
        <v>-155955</v>
      </c>
      <c r="AK32" s="174">
        <f t="shared" si="96"/>
        <v>-223669</v>
      </c>
      <c r="AL32" s="174">
        <f t="shared" si="96"/>
        <v>-379624</v>
      </c>
      <c r="AM32" s="174">
        <f t="shared" si="96"/>
        <v>-186508</v>
      </c>
      <c r="AN32" s="174">
        <f t="shared" si="96"/>
        <v>-566132</v>
      </c>
      <c r="AO32" s="174">
        <f t="shared" si="96"/>
        <v>-240076</v>
      </c>
      <c r="AP32" s="174">
        <f t="shared" si="96"/>
        <v>-806208</v>
      </c>
      <c r="AQ32" s="174">
        <f t="shared" ref="AQ32:AX32" si="97">SUM(AQ33:AQ39)</f>
        <v>-165762</v>
      </c>
      <c r="AR32" s="174">
        <f t="shared" si="97"/>
        <v>-282583</v>
      </c>
      <c r="AS32" s="174">
        <f t="shared" si="97"/>
        <v>-448345</v>
      </c>
      <c r="AT32" s="174">
        <f t="shared" si="97"/>
        <v>-230057</v>
      </c>
      <c r="AU32" s="174">
        <f t="shared" si="97"/>
        <v>-678402</v>
      </c>
      <c r="AV32" s="174">
        <f t="shared" si="97"/>
        <v>-295088</v>
      </c>
      <c r="AW32" s="174">
        <f t="shared" si="97"/>
        <v>-973490</v>
      </c>
      <c r="AX32" s="174">
        <f t="shared" si="97"/>
        <v>-200633</v>
      </c>
      <c r="AY32" s="174">
        <f t="shared" si="9"/>
        <v>-301901</v>
      </c>
      <c r="AZ32" s="174">
        <f>SUM(AZ33:AZ39)</f>
        <v>-502534</v>
      </c>
      <c r="BA32" s="174">
        <f t="shared" si="85"/>
        <v>-214162</v>
      </c>
      <c r="BB32" s="174">
        <f>SUM(BB33:BB39)</f>
        <v>-716696</v>
      </c>
      <c r="BC32" s="174">
        <f t="shared" si="86"/>
        <v>-384494</v>
      </c>
      <c r="BD32" s="174">
        <f>SUM(BD33:BD39)</f>
        <v>-1101190</v>
      </c>
      <c r="BE32" s="174">
        <f>SUM(BE33:BE39)</f>
        <v>-260766</v>
      </c>
      <c r="BF32" s="174">
        <f>SUM(BF33:BF39)</f>
        <v>-355955</v>
      </c>
      <c r="BG32" s="174">
        <f t="shared" ref="BG32:CK32" si="98">SUM(BG33:BG39)</f>
        <v>-616721</v>
      </c>
      <c r="BH32" s="174">
        <f>SUM(BH33:BH39)</f>
        <v>-289388</v>
      </c>
      <c r="BI32" s="174">
        <f t="shared" si="98"/>
        <v>-906109</v>
      </c>
      <c r="BJ32" s="174">
        <f t="shared" si="98"/>
        <v>-422139</v>
      </c>
      <c r="BK32" s="174">
        <f t="shared" si="98"/>
        <v>-1328248</v>
      </c>
      <c r="BL32" s="174">
        <f t="shared" si="98"/>
        <v>-203376</v>
      </c>
      <c r="BM32" s="174">
        <f t="shared" si="98"/>
        <v>-262805</v>
      </c>
      <c r="BN32" s="174">
        <f t="shared" si="98"/>
        <v>-466181</v>
      </c>
      <c r="BO32" s="174">
        <f t="shared" si="98"/>
        <v>-328974</v>
      </c>
      <c r="BP32" s="174">
        <f t="shared" si="98"/>
        <v>-795155</v>
      </c>
      <c r="BQ32" s="174">
        <f t="shared" si="98"/>
        <v>-420153</v>
      </c>
      <c r="BR32" s="174">
        <f>SUM(BR33:BR39)</f>
        <v>-1215305</v>
      </c>
      <c r="BS32" s="174">
        <f t="shared" si="98"/>
        <v>-241679</v>
      </c>
      <c r="BT32" s="174">
        <f t="shared" si="98"/>
        <v>-295167</v>
      </c>
      <c r="BU32" s="174">
        <f t="shared" si="98"/>
        <v>-536846</v>
      </c>
      <c r="BV32" s="174">
        <f t="shared" si="98"/>
        <v>-301093</v>
      </c>
      <c r="BW32" s="174">
        <f t="shared" si="98"/>
        <v>-837939</v>
      </c>
      <c r="BX32" s="174">
        <f t="shared" si="98"/>
        <v>-520295</v>
      </c>
      <c r="BY32" s="174">
        <f>SUM(BY33:BY39)</f>
        <v>-1358234</v>
      </c>
      <c r="BZ32" s="174">
        <f t="shared" si="98"/>
        <v>-353113</v>
      </c>
      <c r="CA32" s="174">
        <f t="shared" si="98"/>
        <v>-286509</v>
      </c>
      <c r="CB32" s="174">
        <f t="shared" si="98"/>
        <v>-639622</v>
      </c>
      <c r="CC32" s="174">
        <f t="shared" si="98"/>
        <v>-512277</v>
      </c>
      <c r="CD32" s="174">
        <f t="shared" si="98"/>
        <v>-1151899</v>
      </c>
      <c r="CE32" s="174">
        <f t="shared" si="98"/>
        <v>-581307</v>
      </c>
      <c r="CF32" s="174">
        <f>SUM(CF33:CF39)</f>
        <v>-1733206</v>
      </c>
      <c r="CG32" s="174">
        <f t="shared" si="98"/>
        <v>-412883</v>
      </c>
      <c r="CH32" s="174">
        <f t="shared" si="98"/>
        <v>-400933</v>
      </c>
      <c r="CI32" s="174">
        <f t="shared" si="98"/>
        <v>-813816</v>
      </c>
      <c r="CJ32" s="174">
        <f t="shared" si="98"/>
        <v>-551021</v>
      </c>
      <c r="CK32" s="174">
        <f t="shared" si="98"/>
        <v>-1364837</v>
      </c>
      <c r="CL32" s="174">
        <f>SUM(CL33:CL39)</f>
        <v>-686949</v>
      </c>
      <c r="CM32" s="174">
        <f>SUM(CM33:CM39)</f>
        <v>-2051786</v>
      </c>
      <c r="CN32" s="174">
        <f>SUM(CN33:CN39)</f>
        <v>-512085</v>
      </c>
      <c r="CO32" s="174">
        <f>SUM(CO33:CO39)</f>
        <v>-526392</v>
      </c>
      <c r="CP32" s="174">
        <f t="shared" ref="CP32:CR32" si="99">SUM(CP33:CP39)</f>
        <v>-1038477</v>
      </c>
      <c r="CQ32" s="174">
        <f>SUM(CQ33:CQ39)-1</f>
        <v>-683870</v>
      </c>
      <c r="CR32" s="174">
        <f t="shared" si="99"/>
        <v>-1722346</v>
      </c>
      <c r="CS32" s="174">
        <f t="shared" ref="CS32:CX32" si="100">SUM(CS33:CS39)</f>
        <v>-928945</v>
      </c>
      <c r="CT32" s="174">
        <f t="shared" si="100"/>
        <v>-2651291</v>
      </c>
      <c r="CU32" s="174">
        <f t="shared" si="100"/>
        <v>-1122335</v>
      </c>
      <c r="CV32" s="174">
        <f t="shared" si="100"/>
        <v>-840964</v>
      </c>
      <c r="CW32" s="174">
        <f t="shared" si="100"/>
        <v>-1963299</v>
      </c>
      <c r="CX32" s="174">
        <f t="shared" si="100"/>
        <v>-945423</v>
      </c>
      <c r="CY32" s="174">
        <f t="shared" ref="CY32:DA32" si="101">SUM(CY33:CY39)</f>
        <v>-2908722</v>
      </c>
      <c r="CZ32" s="174">
        <f>SUM(CZ33:CZ39)</f>
        <v>-1240643</v>
      </c>
      <c r="DA32" s="174">
        <f t="shared" si="101"/>
        <v>-4149364</v>
      </c>
      <c r="DB32" s="174">
        <f>SUM(DB33:DB39)</f>
        <v>-1166982</v>
      </c>
      <c r="DC32" s="174">
        <f>SUM(DC33:DC39)</f>
        <v>-942072</v>
      </c>
      <c r="DD32" s="174">
        <f t="shared" ref="DD32" si="102">SUM(DD33:DD39)</f>
        <v>-2109054</v>
      </c>
      <c r="DE32" s="174">
        <f>SUM(DE33:DE39)</f>
        <v>-1132661</v>
      </c>
      <c r="DF32" s="174">
        <f t="shared" ref="DF32:DH32" si="103">SUM(DF33:DF39)</f>
        <v>-3241715</v>
      </c>
      <c r="DG32" s="174">
        <f>SUM(DG33:DG39)-1</f>
        <v>-1173057</v>
      </c>
      <c r="DH32" s="174">
        <f t="shared" si="103"/>
        <v>-4414771</v>
      </c>
      <c r="DI32" s="174">
        <f>SUM(DI33:DI39)</f>
        <v>-1244571</v>
      </c>
      <c r="DJ32" s="174">
        <f>SUM(DJ33:DJ39)</f>
        <v>-1077373</v>
      </c>
      <c r="DK32" s="174">
        <f t="shared" si="15"/>
        <v>-2321944</v>
      </c>
      <c r="DL32" s="223"/>
    </row>
    <row r="33" spans="1:116" ht="10.5" customHeight="1" x14ac:dyDescent="0.25">
      <c r="A33" s="97"/>
      <c r="B33" s="98" t="s">
        <v>106</v>
      </c>
      <c r="C33" s="98"/>
      <c r="D33" s="99"/>
      <c r="E33" s="100"/>
      <c r="F33" s="100"/>
      <c r="G33" s="100"/>
      <c r="H33" s="175">
        <v>-41333</v>
      </c>
      <c r="I33" s="175">
        <v>-31900</v>
      </c>
      <c r="J33" s="177">
        <f t="shared" si="77"/>
        <v>-73233</v>
      </c>
      <c r="K33" s="175">
        <v>-51376</v>
      </c>
      <c r="L33" s="175">
        <f t="shared" si="78"/>
        <v>-124609</v>
      </c>
      <c r="M33" s="175">
        <v>-68911</v>
      </c>
      <c r="N33" s="175">
        <f t="shared" ref="N33:N39" si="104">L33+M33</f>
        <v>-193520</v>
      </c>
      <c r="O33" s="177">
        <v>-85601</v>
      </c>
      <c r="P33" s="175">
        <v>-30280</v>
      </c>
      <c r="Q33" s="175">
        <f t="shared" si="79"/>
        <v>-115881</v>
      </c>
      <c r="R33" s="175">
        <v>-47128</v>
      </c>
      <c r="S33" s="175">
        <f t="shared" si="80"/>
        <v>-163009</v>
      </c>
      <c r="T33" s="175">
        <f t="shared" ref="T33:T39" si="105">U33-S33</f>
        <v>-107834</v>
      </c>
      <c r="U33" s="175">
        <v>-270843</v>
      </c>
      <c r="V33" s="175">
        <v>-50137</v>
      </c>
      <c r="W33" s="175">
        <v>-6546</v>
      </c>
      <c r="X33" s="175">
        <f t="shared" si="81"/>
        <v>-56683</v>
      </c>
      <c r="Y33" s="175">
        <v>-37866</v>
      </c>
      <c r="Z33" s="175">
        <f t="shared" si="82"/>
        <v>-94549</v>
      </c>
      <c r="AA33" s="175">
        <f t="shared" ref="AA33:AA39" si="106">AB33-Z33</f>
        <v>-125266</v>
      </c>
      <c r="AB33" s="175">
        <v>-219815</v>
      </c>
      <c r="AC33" s="175">
        <v>-100172</v>
      </c>
      <c r="AD33" s="175">
        <f t="shared" ref="AD33:AD47" si="107">AE33-AC33</f>
        <v>-44249</v>
      </c>
      <c r="AE33" s="175">
        <v>-144421</v>
      </c>
      <c r="AF33" s="175">
        <f t="shared" ref="AF33:AF47" si="108">AG33-AE33</f>
        <v>-66479</v>
      </c>
      <c r="AG33" s="175">
        <v>-210900</v>
      </c>
      <c r="AH33" s="175">
        <f t="shared" ref="AH33:AH39" si="109">AI33-AG33</f>
        <v>-142653</v>
      </c>
      <c r="AI33" s="175">
        <v>-353553</v>
      </c>
      <c r="AJ33" s="175">
        <v>-91878</v>
      </c>
      <c r="AK33" s="175">
        <v>-76714</v>
      </c>
      <c r="AL33" s="175">
        <f t="shared" ref="AL33:AL47" si="110">SUM(AJ33:AK33)</f>
        <v>-168592</v>
      </c>
      <c r="AM33" s="175">
        <v>-49762</v>
      </c>
      <c r="AN33" s="175">
        <f t="shared" ref="AN33:AN47" si="111">SUM(AL33:AM33)</f>
        <v>-218354</v>
      </c>
      <c r="AO33" s="175">
        <v>-160737</v>
      </c>
      <c r="AP33" s="175">
        <f t="shared" ref="AP33:AP39" si="112">SUM(AN33:AO33)</f>
        <v>-379091</v>
      </c>
      <c r="AQ33" s="175">
        <v>-84221</v>
      </c>
      <c r="AR33" s="175">
        <v>-53303</v>
      </c>
      <c r="AS33" s="175">
        <v>-137524</v>
      </c>
      <c r="AT33" s="175">
        <v>-84283</v>
      </c>
      <c r="AU33" s="175">
        <v>-221807</v>
      </c>
      <c r="AV33" s="175">
        <v>-202236</v>
      </c>
      <c r="AW33" s="175">
        <f t="shared" ref="AW33:AW39" si="113">SUM(AU33:AV33)</f>
        <v>-424043</v>
      </c>
      <c r="AX33" s="175">
        <v>-110649</v>
      </c>
      <c r="AY33" s="175">
        <f t="shared" si="9"/>
        <v>-54680</v>
      </c>
      <c r="AZ33" s="175">
        <v>-165329</v>
      </c>
      <c r="BA33" s="175">
        <f t="shared" si="85"/>
        <v>-68539</v>
      </c>
      <c r="BB33" s="175">
        <v>-233868</v>
      </c>
      <c r="BC33" s="175">
        <f t="shared" si="86"/>
        <v>-267458</v>
      </c>
      <c r="BD33" s="175">
        <v>-501326</v>
      </c>
      <c r="BE33" s="175">
        <v>-101098</v>
      </c>
      <c r="BF33" s="175">
        <v>-113088</v>
      </c>
      <c r="BG33" s="175">
        <f t="shared" ref="BG33:BG47" si="114">BF33+BE33</f>
        <v>-214186</v>
      </c>
      <c r="BH33" s="175">
        <v>-122062</v>
      </c>
      <c r="BI33" s="175">
        <f t="shared" ref="BI33:BI47" si="115">BH33+BG33</f>
        <v>-336248</v>
      </c>
      <c r="BJ33" s="175">
        <v>-292868</v>
      </c>
      <c r="BK33" s="175">
        <f>BJ33+BI33</f>
        <v>-629116</v>
      </c>
      <c r="BL33" s="175">
        <v>-61981</v>
      </c>
      <c r="BM33" s="175">
        <v>-74297</v>
      </c>
      <c r="BN33" s="175">
        <f t="shared" ref="BN33:BN39" si="116">BM33+BL33</f>
        <v>-136278</v>
      </c>
      <c r="BO33" s="175">
        <v>-68987</v>
      </c>
      <c r="BP33" s="175">
        <f t="shared" ref="BP33:BP39" si="117">BO33+BN33</f>
        <v>-205265</v>
      </c>
      <c r="BQ33" s="175">
        <v>-276576</v>
      </c>
      <c r="BR33" s="175">
        <f>BQ33+BP33</f>
        <v>-481841</v>
      </c>
      <c r="BS33" s="175">
        <v>-102023</v>
      </c>
      <c r="BT33" s="175">
        <v>-51574</v>
      </c>
      <c r="BU33" s="175">
        <f t="shared" ref="BU33:BU39" si="118">BT33+BS33</f>
        <v>-153597</v>
      </c>
      <c r="BV33" s="175">
        <f>-87882</f>
        <v>-87882</v>
      </c>
      <c r="BW33" s="175">
        <f t="shared" ref="BW33:BW39" si="119">BV33+BU33</f>
        <v>-241479</v>
      </c>
      <c r="BX33" s="175">
        <f>-567966-BW33</f>
        <v>-326487</v>
      </c>
      <c r="BY33" s="175">
        <f>BX33+BW33</f>
        <v>-567966</v>
      </c>
      <c r="BZ33" s="175">
        <v>-91099</v>
      </c>
      <c r="CA33" s="175">
        <v>-88517</v>
      </c>
      <c r="CB33" s="175">
        <f t="shared" ref="CB33:CB39" si="120">CA33+BZ33</f>
        <v>-179616</v>
      </c>
      <c r="CC33" s="175">
        <v>-158855</v>
      </c>
      <c r="CD33" s="175">
        <f t="shared" ref="CD33:CD39" si="121">CC33+CB33</f>
        <v>-338471</v>
      </c>
      <c r="CE33" s="175">
        <f>-762874-CD33</f>
        <v>-424403</v>
      </c>
      <c r="CF33" s="175">
        <f>CE33+CD33</f>
        <v>-762874</v>
      </c>
      <c r="CG33" s="175">
        <v>-155284</v>
      </c>
      <c r="CH33" s="175">
        <v>-118295</v>
      </c>
      <c r="CI33" s="175">
        <f t="shared" ref="CI33:CI39" si="122">CH33+CG33</f>
        <v>-273579</v>
      </c>
      <c r="CJ33" s="175">
        <v>-176509</v>
      </c>
      <c r="CK33" s="175">
        <f t="shared" ref="CK33:CK39" si="123">CJ33+CI33</f>
        <v>-450088</v>
      </c>
      <c r="CL33" s="175">
        <v>-495694</v>
      </c>
      <c r="CM33" s="175">
        <f>CL33+CK33</f>
        <v>-945782</v>
      </c>
      <c r="CN33" s="175">
        <v>-216518</v>
      </c>
      <c r="CO33" s="175">
        <v>-206188</v>
      </c>
      <c r="CP33" s="175">
        <f t="shared" ref="CP33:CP46" si="124">CO33+CN33</f>
        <v>-422706</v>
      </c>
      <c r="CQ33" s="175">
        <v>-101781</v>
      </c>
      <c r="CR33" s="175">
        <f t="shared" ref="CR33:CR37" si="125">CQ33+CP33</f>
        <v>-524487</v>
      </c>
      <c r="CS33" s="175">
        <v>-557878</v>
      </c>
      <c r="CT33" s="175">
        <f t="shared" ref="CT33:CT39" si="126">CS33+CR33</f>
        <v>-1082365</v>
      </c>
      <c r="CU33" s="175">
        <v>-508826</v>
      </c>
      <c r="CV33" s="175">
        <v>-273678</v>
      </c>
      <c r="CW33" s="175">
        <f t="shared" ref="CW33:CW47" si="127">CV33+CU33</f>
        <v>-782504</v>
      </c>
      <c r="CX33" s="175">
        <v>-212889</v>
      </c>
      <c r="CY33" s="175">
        <f>CX33+CW33</f>
        <v>-995393</v>
      </c>
      <c r="CZ33" s="175">
        <v>-767902</v>
      </c>
      <c r="DA33" s="175">
        <f>CZ33+CY33</f>
        <v>-1763295</v>
      </c>
      <c r="DB33" s="175">
        <v>-359215</v>
      </c>
      <c r="DC33" s="175">
        <v>-366836</v>
      </c>
      <c r="DD33" s="175">
        <f t="shared" ref="DD33:DD47" si="128">DC33+DB33</f>
        <v>-726051</v>
      </c>
      <c r="DE33" s="175">
        <v>-368918</v>
      </c>
      <c r="DF33" s="175">
        <f>DE33+DD33</f>
        <v>-1094969</v>
      </c>
      <c r="DG33" s="175">
        <v>-541735</v>
      </c>
      <c r="DH33" s="175">
        <f t="shared" ref="DH33:DH39" si="129">DG33+DF33</f>
        <v>-1636704</v>
      </c>
      <c r="DI33" s="175">
        <v>-449125</v>
      </c>
      <c r="DJ33" s="175">
        <v>-512495</v>
      </c>
      <c r="DK33" s="175">
        <f t="shared" si="15"/>
        <v>-961620</v>
      </c>
      <c r="DL33" s="223"/>
    </row>
    <row r="34" spans="1:116" ht="10.5" customHeight="1" x14ac:dyDescent="0.25">
      <c r="A34" s="56"/>
      <c r="B34" s="57" t="s">
        <v>421</v>
      </c>
      <c r="C34" s="57"/>
      <c r="D34" s="58"/>
      <c r="E34" s="59"/>
      <c r="F34" s="59"/>
      <c r="G34" s="59"/>
      <c r="H34" s="175">
        <v>-2236</v>
      </c>
      <c r="I34" s="175">
        <v>-756</v>
      </c>
      <c r="J34" s="177">
        <f t="shared" si="77"/>
        <v>-2992</v>
      </c>
      <c r="K34" s="175">
        <v>-19550</v>
      </c>
      <c r="L34" s="175">
        <f t="shared" si="78"/>
        <v>-22542</v>
      </c>
      <c r="M34" s="175">
        <v>-13271</v>
      </c>
      <c r="N34" s="175">
        <f t="shared" si="104"/>
        <v>-35813</v>
      </c>
      <c r="O34" s="178">
        <v>-2508</v>
      </c>
      <c r="P34" s="175">
        <v>-2277</v>
      </c>
      <c r="Q34" s="175">
        <f t="shared" si="79"/>
        <v>-4785</v>
      </c>
      <c r="R34" s="182">
        <v>-18186</v>
      </c>
      <c r="S34" s="182">
        <f t="shared" si="80"/>
        <v>-22971</v>
      </c>
      <c r="T34" s="175">
        <f t="shared" si="105"/>
        <v>-6032</v>
      </c>
      <c r="U34" s="175">
        <v>-29003</v>
      </c>
      <c r="V34" s="182">
        <v>-1792</v>
      </c>
      <c r="W34" s="182">
        <v>-1549</v>
      </c>
      <c r="X34" s="182">
        <f t="shared" si="81"/>
        <v>-3341</v>
      </c>
      <c r="Y34" s="182">
        <v>-14555</v>
      </c>
      <c r="Z34" s="182">
        <f t="shared" si="82"/>
        <v>-17896</v>
      </c>
      <c r="AA34" s="175">
        <f t="shared" si="106"/>
        <v>-13764</v>
      </c>
      <c r="AB34" s="175">
        <v>-31660</v>
      </c>
      <c r="AC34" s="175">
        <v>-5735</v>
      </c>
      <c r="AD34" s="175">
        <f t="shared" si="107"/>
        <v>-1781</v>
      </c>
      <c r="AE34" s="175">
        <v>-7516</v>
      </c>
      <c r="AF34" s="175">
        <f t="shared" si="108"/>
        <v>-23325</v>
      </c>
      <c r="AG34" s="175">
        <v>-30841</v>
      </c>
      <c r="AH34" s="175">
        <f t="shared" si="109"/>
        <v>-16603</v>
      </c>
      <c r="AI34" s="175">
        <v>-47444</v>
      </c>
      <c r="AJ34" s="175">
        <v>-7072</v>
      </c>
      <c r="AK34" s="175">
        <v>-1240</v>
      </c>
      <c r="AL34" s="175">
        <f t="shared" si="110"/>
        <v>-8312</v>
      </c>
      <c r="AM34" s="175">
        <v>-28930</v>
      </c>
      <c r="AN34" s="175">
        <f t="shared" si="111"/>
        <v>-37242</v>
      </c>
      <c r="AO34" s="175">
        <v>-21678</v>
      </c>
      <c r="AP34" s="175">
        <f t="shared" si="112"/>
        <v>-58920</v>
      </c>
      <c r="AQ34" s="175">
        <v>-7639</v>
      </c>
      <c r="AR34" s="175">
        <v>-1051</v>
      </c>
      <c r="AS34" s="175">
        <v>-8690</v>
      </c>
      <c r="AT34" s="175">
        <v>-31266</v>
      </c>
      <c r="AU34" s="175">
        <v>-39956</v>
      </c>
      <c r="AV34" s="175">
        <v>-21935</v>
      </c>
      <c r="AW34" s="175">
        <f t="shared" si="113"/>
        <v>-61891</v>
      </c>
      <c r="AX34" s="175">
        <v>-8802</v>
      </c>
      <c r="AY34" s="175">
        <f t="shared" si="9"/>
        <v>-3464</v>
      </c>
      <c r="AZ34" s="175">
        <v>-12266</v>
      </c>
      <c r="BA34" s="175">
        <f t="shared" si="85"/>
        <v>-23411</v>
      </c>
      <c r="BB34" s="175">
        <v>-35677</v>
      </c>
      <c r="BC34" s="175">
        <f t="shared" si="86"/>
        <v>-28403</v>
      </c>
      <c r="BD34" s="175">
        <v>-64080</v>
      </c>
      <c r="BE34" s="175">
        <v>-10067</v>
      </c>
      <c r="BF34" s="175">
        <v>-2147</v>
      </c>
      <c r="BG34" s="175">
        <f t="shared" si="114"/>
        <v>-12214</v>
      </c>
      <c r="BH34" s="175">
        <v>-53964</v>
      </c>
      <c r="BI34" s="175">
        <f t="shared" si="115"/>
        <v>-66178</v>
      </c>
      <c r="BJ34" s="175">
        <v>-31735</v>
      </c>
      <c r="BK34" s="175">
        <f>BJ34+BI34</f>
        <v>-97913</v>
      </c>
      <c r="BL34" s="175">
        <v>-4811</v>
      </c>
      <c r="BM34" s="175">
        <v>-1570</v>
      </c>
      <c r="BN34" s="175">
        <f t="shared" si="116"/>
        <v>-6381</v>
      </c>
      <c r="BO34" s="175">
        <v>-37971</v>
      </c>
      <c r="BP34" s="175">
        <f t="shared" si="117"/>
        <v>-44352</v>
      </c>
      <c r="BQ34" s="175">
        <v>-31131</v>
      </c>
      <c r="BR34" s="175">
        <f>BQ34+BP34</f>
        <v>-75483</v>
      </c>
      <c r="BS34" s="175">
        <v>-9683</v>
      </c>
      <c r="BT34" s="175">
        <v>-2097</v>
      </c>
      <c r="BU34" s="175">
        <f t="shared" si="118"/>
        <v>-11780</v>
      </c>
      <c r="BV34" s="175">
        <f>-19537</f>
        <v>-19537</v>
      </c>
      <c r="BW34" s="175">
        <f t="shared" si="119"/>
        <v>-31317</v>
      </c>
      <c r="BX34" s="175">
        <f>-52980-BW34</f>
        <v>-21663</v>
      </c>
      <c r="BY34" s="175">
        <f>BX34+BW34</f>
        <v>-52980</v>
      </c>
      <c r="BZ34" s="175">
        <v>-6309</v>
      </c>
      <c r="CA34" s="175">
        <v>-2946</v>
      </c>
      <c r="CB34" s="175">
        <f t="shared" si="120"/>
        <v>-9255</v>
      </c>
      <c r="CC34" s="175">
        <v>-33602</v>
      </c>
      <c r="CD34" s="175">
        <f t="shared" si="121"/>
        <v>-42857</v>
      </c>
      <c r="CE34" s="175">
        <f>-61257-CD34</f>
        <v>-18400</v>
      </c>
      <c r="CF34" s="175">
        <f>CE34+CD34</f>
        <v>-61257</v>
      </c>
      <c r="CG34" s="175">
        <v>-10349</v>
      </c>
      <c r="CH34" s="175">
        <v>-3766</v>
      </c>
      <c r="CI34" s="175">
        <f t="shared" si="122"/>
        <v>-14115</v>
      </c>
      <c r="CJ34" s="175">
        <v>-37738</v>
      </c>
      <c r="CK34" s="175">
        <f t="shared" si="123"/>
        <v>-51853</v>
      </c>
      <c r="CL34" s="175">
        <f>-46276</f>
        <v>-46276</v>
      </c>
      <c r="CM34" s="175">
        <f>CL34+CK34</f>
        <v>-98129</v>
      </c>
      <c r="CN34" s="175">
        <v>-10266</v>
      </c>
      <c r="CO34" s="175">
        <v>-988</v>
      </c>
      <c r="CP34" s="175">
        <f t="shared" si="124"/>
        <v>-11254</v>
      </c>
      <c r="CQ34" s="175">
        <v>-67545</v>
      </c>
      <c r="CR34" s="175">
        <f t="shared" si="125"/>
        <v>-78799</v>
      </c>
      <c r="CS34" s="175">
        <v>-54446</v>
      </c>
      <c r="CT34" s="175">
        <f t="shared" si="126"/>
        <v>-133245</v>
      </c>
      <c r="CU34" s="175">
        <v>-21060</v>
      </c>
      <c r="CV34" s="175">
        <v>-9669</v>
      </c>
      <c r="CW34" s="175">
        <f t="shared" si="127"/>
        <v>-30729</v>
      </c>
      <c r="CX34" s="175">
        <v>-59822</v>
      </c>
      <c r="CY34" s="175">
        <f>CX34+CW34</f>
        <v>-90551</v>
      </c>
      <c r="CZ34" s="175">
        <v>-58512</v>
      </c>
      <c r="DA34" s="175">
        <f>CZ34+CY34</f>
        <v>-149063</v>
      </c>
      <c r="DB34" s="175">
        <v>-30295</v>
      </c>
      <c r="DC34" s="175">
        <v>-12645</v>
      </c>
      <c r="DD34" s="175">
        <f t="shared" si="128"/>
        <v>-42940</v>
      </c>
      <c r="DE34" s="175">
        <v>-103423</v>
      </c>
      <c r="DF34" s="175">
        <f>DE34+DD34</f>
        <v>-146363</v>
      </c>
      <c r="DG34" s="175">
        <v>-58640</v>
      </c>
      <c r="DH34" s="175">
        <f t="shared" si="129"/>
        <v>-205003</v>
      </c>
      <c r="DI34" s="175">
        <v>-45231</v>
      </c>
      <c r="DJ34" s="175">
        <v>-25326</v>
      </c>
      <c r="DK34" s="175">
        <f t="shared" si="15"/>
        <v>-70557</v>
      </c>
      <c r="DL34" s="127"/>
    </row>
    <row r="35" spans="1:116" ht="10.5" customHeight="1" x14ac:dyDescent="0.25">
      <c r="A35" s="56"/>
      <c r="B35" s="57" t="s">
        <v>422</v>
      </c>
      <c r="C35" s="57"/>
      <c r="D35" s="58"/>
      <c r="E35" s="59"/>
      <c r="F35" s="59"/>
      <c r="G35" s="59"/>
      <c r="H35" s="175">
        <v>-42268</v>
      </c>
      <c r="I35" s="175">
        <v>-106698</v>
      </c>
      <c r="J35" s="177">
        <f t="shared" si="77"/>
        <v>-148966</v>
      </c>
      <c r="K35" s="175">
        <v>-53479</v>
      </c>
      <c r="L35" s="175">
        <f t="shared" si="78"/>
        <v>-202445</v>
      </c>
      <c r="M35" s="175">
        <v>-8712</v>
      </c>
      <c r="N35" s="175">
        <f t="shared" si="104"/>
        <v>-211157</v>
      </c>
      <c r="O35" s="178">
        <v>-50843</v>
      </c>
      <c r="P35" s="175">
        <v>-82293</v>
      </c>
      <c r="Q35" s="175">
        <f t="shared" si="79"/>
        <v>-133136</v>
      </c>
      <c r="R35" s="182">
        <v>-36776</v>
      </c>
      <c r="S35" s="182">
        <f t="shared" si="80"/>
        <v>-169912</v>
      </c>
      <c r="T35" s="175">
        <f t="shared" si="105"/>
        <v>-30598</v>
      </c>
      <c r="U35" s="175">
        <v>-200510</v>
      </c>
      <c r="V35" s="182">
        <v>-20876</v>
      </c>
      <c r="W35" s="182">
        <v>-86026</v>
      </c>
      <c r="X35" s="182">
        <f t="shared" si="81"/>
        <v>-106902</v>
      </c>
      <c r="Y35" s="182">
        <v>-41921</v>
      </c>
      <c r="Z35" s="182">
        <f t="shared" si="82"/>
        <v>-148823</v>
      </c>
      <c r="AA35" s="175">
        <f t="shared" si="106"/>
        <v>-17480</v>
      </c>
      <c r="AB35" s="175">
        <v>-166303</v>
      </c>
      <c r="AC35" s="175">
        <v>-42991</v>
      </c>
      <c r="AD35" s="175">
        <f t="shared" si="107"/>
        <v>-106507</v>
      </c>
      <c r="AE35" s="175">
        <v>-149498</v>
      </c>
      <c r="AF35" s="175">
        <f t="shared" si="108"/>
        <v>-49117</v>
      </c>
      <c r="AG35" s="175">
        <v>-198615</v>
      </c>
      <c r="AH35" s="175">
        <f t="shared" si="109"/>
        <v>-6955</v>
      </c>
      <c r="AI35" s="175">
        <v>-205570</v>
      </c>
      <c r="AJ35" s="175">
        <v>-50315</v>
      </c>
      <c r="AK35" s="175">
        <v>-115575</v>
      </c>
      <c r="AL35" s="175">
        <f t="shared" si="110"/>
        <v>-165890</v>
      </c>
      <c r="AM35" s="175">
        <v>-76063</v>
      </c>
      <c r="AN35" s="175">
        <f t="shared" si="111"/>
        <v>-241953</v>
      </c>
      <c r="AO35" s="175">
        <v>-17789</v>
      </c>
      <c r="AP35" s="175">
        <f t="shared" si="112"/>
        <v>-259742</v>
      </c>
      <c r="AQ35" s="175">
        <v>-62762</v>
      </c>
      <c r="AR35" s="175">
        <v>-212694</v>
      </c>
      <c r="AS35" s="175">
        <v>-275456</v>
      </c>
      <c r="AT35" s="175">
        <v>-77835</v>
      </c>
      <c r="AU35" s="175">
        <v>-353291</v>
      </c>
      <c r="AV35" s="175">
        <v>-13544</v>
      </c>
      <c r="AW35" s="175">
        <f t="shared" si="113"/>
        <v>-366835</v>
      </c>
      <c r="AX35" s="175">
        <v>-67862</v>
      </c>
      <c r="AY35" s="175">
        <f t="shared" si="9"/>
        <v>-233490</v>
      </c>
      <c r="AZ35" s="175">
        <v>-301352</v>
      </c>
      <c r="BA35" s="175">
        <f t="shared" si="85"/>
        <v>-87482</v>
      </c>
      <c r="BB35" s="175">
        <v>-388834</v>
      </c>
      <c r="BC35" s="175">
        <f t="shared" si="86"/>
        <v>-30947</v>
      </c>
      <c r="BD35" s="175">
        <v>-419781</v>
      </c>
      <c r="BE35" s="175">
        <v>-140945</v>
      </c>
      <c r="BF35" s="175">
        <v>-229109</v>
      </c>
      <c r="BG35" s="175">
        <f t="shared" si="114"/>
        <v>-370054</v>
      </c>
      <c r="BH35" s="175">
        <v>-35857</v>
      </c>
      <c r="BI35" s="175">
        <f t="shared" si="115"/>
        <v>-405911</v>
      </c>
      <c r="BJ35" s="175">
        <v>-57318</v>
      </c>
      <c r="BK35" s="175">
        <f>BJ35+BI35</f>
        <v>-463229</v>
      </c>
      <c r="BL35" s="175">
        <v>-127050</v>
      </c>
      <c r="BM35" s="175">
        <v>-176631</v>
      </c>
      <c r="BN35" s="175">
        <f t="shared" si="116"/>
        <v>-303681</v>
      </c>
      <c r="BO35" s="175">
        <v>-141234</v>
      </c>
      <c r="BP35" s="175">
        <f t="shared" si="117"/>
        <v>-444915</v>
      </c>
      <c r="BQ35" s="175">
        <v>-61591</v>
      </c>
      <c r="BR35" s="175">
        <f>BQ35+BP35+3</f>
        <v>-506503</v>
      </c>
      <c r="BS35" s="175">
        <v>-121381</v>
      </c>
      <c r="BT35" s="175">
        <v>-234565</v>
      </c>
      <c r="BU35" s="175">
        <f t="shared" si="118"/>
        <v>-355946</v>
      </c>
      <c r="BV35" s="175">
        <f>-102291</f>
        <v>-102291</v>
      </c>
      <c r="BW35" s="175">
        <f t="shared" si="119"/>
        <v>-458237</v>
      </c>
      <c r="BX35" s="175">
        <f>-567844-BW35</f>
        <v>-109607</v>
      </c>
      <c r="BY35" s="175">
        <f>BX35+BW35</f>
        <v>-567844</v>
      </c>
      <c r="BZ35" s="175">
        <v>-239504</v>
      </c>
      <c r="CA35" s="175">
        <v>-167483</v>
      </c>
      <c r="CB35" s="175">
        <f t="shared" si="120"/>
        <v>-406987</v>
      </c>
      <c r="CC35" s="175">
        <v>-172413</v>
      </c>
      <c r="CD35" s="175">
        <f t="shared" si="121"/>
        <v>-579400</v>
      </c>
      <c r="CE35" s="175">
        <f>-644331-CD35</f>
        <v>-64931</v>
      </c>
      <c r="CF35" s="175">
        <f>CE35+CD35</f>
        <v>-644331</v>
      </c>
      <c r="CG35" s="175">
        <v>-221572</v>
      </c>
      <c r="CH35" s="175">
        <v>-250690</v>
      </c>
      <c r="CI35" s="175">
        <f t="shared" si="122"/>
        <v>-472262</v>
      </c>
      <c r="CJ35" s="175">
        <v>-166542</v>
      </c>
      <c r="CK35" s="175">
        <f t="shared" si="123"/>
        <v>-638804</v>
      </c>
      <c r="CL35" s="175">
        <f>-58837</f>
        <v>-58837</v>
      </c>
      <c r="CM35" s="175">
        <f>CL35+CK35</f>
        <v>-697641</v>
      </c>
      <c r="CN35" s="175">
        <v>-259413</v>
      </c>
      <c r="CO35" s="175">
        <v>-269601</v>
      </c>
      <c r="CP35" s="175">
        <f t="shared" si="124"/>
        <v>-529014</v>
      </c>
      <c r="CQ35" s="175">
        <v>-120307</v>
      </c>
      <c r="CR35" s="175">
        <f t="shared" si="125"/>
        <v>-649321</v>
      </c>
      <c r="CS35" s="175">
        <v>-144253</v>
      </c>
      <c r="CT35" s="175">
        <f t="shared" si="126"/>
        <v>-793574</v>
      </c>
      <c r="CU35" s="175">
        <v>-539060</v>
      </c>
      <c r="CV35" s="175">
        <v>-497125</v>
      </c>
      <c r="CW35" s="175">
        <f t="shared" si="127"/>
        <v>-1036185</v>
      </c>
      <c r="CX35" s="175">
        <v>-211241</v>
      </c>
      <c r="CY35" s="175">
        <f t="shared" ref="CY35:CY37" si="130">CX35+CW35</f>
        <v>-1247426</v>
      </c>
      <c r="CZ35" s="175">
        <v>-213765</v>
      </c>
      <c r="DA35" s="175">
        <v>-1461190</v>
      </c>
      <c r="DB35" s="175">
        <v>-695822</v>
      </c>
      <c r="DC35" s="175">
        <v>-498290</v>
      </c>
      <c r="DD35" s="175">
        <f t="shared" si="128"/>
        <v>-1194112</v>
      </c>
      <c r="DE35" s="175">
        <v>-155584</v>
      </c>
      <c r="DF35" s="175">
        <f t="shared" ref="DF35:DF37" si="131">DE35+DD35</f>
        <v>-1349696</v>
      </c>
      <c r="DG35" s="175">
        <v>-284863</v>
      </c>
      <c r="DH35" s="175">
        <f t="shared" si="129"/>
        <v>-1634559</v>
      </c>
      <c r="DI35" s="175">
        <v>-689951</v>
      </c>
      <c r="DJ35" s="175">
        <v>-446362</v>
      </c>
      <c r="DK35" s="175">
        <f t="shared" si="15"/>
        <v>-1136313</v>
      </c>
    </row>
    <row r="36" spans="1:116" ht="10.5" customHeight="1" x14ac:dyDescent="0.25">
      <c r="A36" s="56"/>
      <c r="B36" s="57" t="s">
        <v>108</v>
      </c>
      <c r="C36" s="57"/>
      <c r="D36" s="58"/>
      <c r="E36" s="59"/>
      <c r="F36" s="59"/>
      <c r="G36" s="59"/>
      <c r="H36" s="175">
        <v>-1816</v>
      </c>
      <c r="I36" s="175">
        <v>-1744</v>
      </c>
      <c r="J36" s="177">
        <f t="shared" si="77"/>
        <v>-3560</v>
      </c>
      <c r="K36" s="175">
        <v>-26120</v>
      </c>
      <c r="L36" s="175">
        <f t="shared" si="78"/>
        <v>-29680</v>
      </c>
      <c r="M36" s="175">
        <v>-15046</v>
      </c>
      <c r="N36" s="175">
        <f t="shared" si="104"/>
        <v>-44726</v>
      </c>
      <c r="O36" s="178">
        <v>-6279</v>
      </c>
      <c r="P36" s="175">
        <v>-6707</v>
      </c>
      <c r="Q36" s="175">
        <f t="shared" si="79"/>
        <v>-12986</v>
      </c>
      <c r="R36" s="182">
        <v>-19823</v>
      </c>
      <c r="S36" s="182">
        <f t="shared" si="80"/>
        <v>-32809</v>
      </c>
      <c r="T36" s="175">
        <f t="shared" si="105"/>
        <v>-24324</v>
      </c>
      <c r="U36" s="175">
        <v>-57133</v>
      </c>
      <c r="V36" s="182">
        <v>-2592</v>
      </c>
      <c r="W36" s="182">
        <v>-6231</v>
      </c>
      <c r="X36" s="182">
        <f t="shared" si="81"/>
        <v>-8823</v>
      </c>
      <c r="Y36" s="182">
        <v>-10790</v>
      </c>
      <c r="Z36" s="182">
        <f t="shared" si="82"/>
        <v>-19613</v>
      </c>
      <c r="AA36" s="175">
        <f t="shared" si="106"/>
        <v>-14038</v>
      </c>
      <c r="AB36" s="175">
        <v>-33651</v>
      </c>
      <c r="AC36" s="175">
        <v>-3183</v>
      </c>
      <c r="AD36" s="175">
        <f t="shared" si="107"/>
        <v>-11168</v>
      </c>
      <c r="AE36" s="175">
        <v>-14351</v>
      </c>
      <c r="AF36" s="175">
        <f t="shared" si="108"/>
        <v>-27387</v>
      </c>
      <c r="AG36" s="175">
        <v>-41738</v>
      </c>
      <c r="AH36" s="175">
        <f t="shared" si="109"/>
        <v>-21073</v>
      </c>
      <c r="AI36" s="175">
        <v>-62811</v>
      </c>
      <c r="AJ36" s="175">
        <v>-2001</v>
      </c>
      <c r="AK36" s="175">
        <v>-28352</v>
      </c>
      <c r="AL36" s="175">
        <f t="shared" si="110"/>
        <v>-30353</v>
      </c>
      <c r="AM36" s="175">
        <v>-27998</v>
      </c>
      <c r="AN36" s="175">
        <f t="shared" si="111"/>
        <v>-58351</v>
      </c>
      <c r="AO36" s="175">
        <v>-32328</v>
      </c>
      <c r="AP36" s="175">
        <f t="shared" si="112"/>
        <v>-90679</v>
      </c>
      <c r="AQ36" s="175">
        <v>-4429</v>
      </c>
      <c r="AR36" s="175">
        <v>-13761</v>
      </c>
      <c r="AS36" s="175">
        <v>-18190</v>
      </c>
      <c r="AT36" s="175">
        <v>-22905</v>
      </c>
      <c r="AU36" s="175">
        <v>-41095</v>
      </c>
      <c r="AV36" s="175">
        <v>-49579</v>
      </c>
      <c r="AW36" s="175">
        <f t="shared" si="113"/>
        <v>-90674</v>
      </c>
      <c r="AX36" s="175">
        <v>-8351</v>
      </c>
      <c r="AY36" s="175">
        <f t="shared" si="9"/>
        <v>-6273</v>
      </c>
      <c r="AZ36" s="175">
        <v>-14624</v>
      </c>
      <c r="BA36" s="175">
        <f t="shared" si="85"/>
        <v>-25981</v>
      </c>
      <c r="BB36" s="175">
        <v>-40605</v>
      </c>
      <c r="BC36" s="175">
        <f t="shared" si="86"/>
        <v>-40483</v>
      </c>
      <c r="BD36" s="175">
        <v>-81088</v>
      </c>
      <c r="BE36" s="175">
        <v>-1190</v>
      </c>
      <c r="BF36" s="175">
        <v>-6037</v>
      </c>
      <c r="BG36" s="175">
        <f t="shared" si="114"/>
        <v>-7227</v>
      </c>
      <c r="BH36" s="175">
        <v>-67096</v>
      </c>
      <c r="BI36" s="175">
        <f t="shared" si="115"/>
        <v>-74323</v>
      </c>
      <c r="BJ36" s="175">
        <v>-32078</v>
      </c>
      <c r="BK36" s="175">
        <f>BJ36+BI36</f>
        <v>-106401</v>
      </c>
      <c r="BL36" s="175">
        <v>-3345</v>
      </c>
      <c r="BM36" s="175">
        <v>-6527</v>
      </c>
      <c r="BN36" s="175">
        <f t="shared" si="116"/>
        <v>-9872</v>
      </c>
      <c r="BO36" s="175">
        <v>-70879</v>
      </c>
      <c r="BP36" s="175">
        <f t="shared" si="117"/>
        <v>-80751</v>
      </c>
      <c r="BQ36" s="175">
        <v>-48172</v>
      </c>
      <c r="BR36" s="175">
        <f>BQ36+BP36</f>
        <v>-128923</v>
      </c>
      <c r="BS36" s="175">
        <v>-4990</v>
      </c>
      <c r="BT36" s="175">
        <v>-2149</v>
      </c>
      <c r="BU36" s="175">
        <f t="shared" si="118"/>
        <v>-7139</v>
      </c>
      <c r="BV36" s="175">
        <f>-85004</f>
        <v>-85004</v>
      </c>
      <c r="BW36" s="175">
        <f t="shared" si="119"/>
        <v>-92143</v>
      </c>
      <c r="BX36" s="175">
        <f>-133109-BW36</f>
        <v>-40966</v>
      </c>
      <c r="BY36" s="175">
        <f>BX36+BW36</f>
        <v>-133109</v>
      </c>
      <c r="BZ36" s="175">
        <v>-6257</v>
      </c>
      <c r="CA36" s="175">
        <v>-13592</v>
      </c>
      <c r="CB36" s="175">
        <f t="shared" si="120"/>
        <v>-19849</v>
      </c>
      <c r="CC36" s="175">
        <v>-133012</v>
      </c>
      <c r="CD36" s="175">
        <f t="shared" si="121"/>
        <v>-152861</v>
      </c>
      <c r="CE36" s="175">
        <f>-198182-CD36</f>
        <v>-45321</v>
      </c>
      <c r="CF36" s="175">
        <f>CE36+CD36</f>
        <v>-198182</v>
      </c>
      <c r="CG36" s="175">
        <v>-10038</v>
      </c>
      <c r="CH36" s="175">
        <v>-16927</v>
      </c>
      <c r="CI36" s="175">
        <f t="shared" si="122"/>
        <v>-26965</v>
      </c>
      <c r="CJ36" s="175">
        <v>-149655</v>
      </c>
      <c r="CK36" s="175">
        <f t="shared" si="123"/>
        <v>-176620</v>
      </c>
      <c r="CL36" s="175">
        <f>-53492</f>
        <v>-53492</v>
      </c>
      <c r="CM36" s="175">
        <f>CL36+CK36</f>
        <v>-230112</v>
      </c>
      <c r="CN36" s="175">
        <v>-3231</v>
      </c>
      <c r="CO36" s="175">
        <v>-16292</v>
      </c>
      <c r="CP36" s="175">
        <f t="shared" si="124"/>
        <v>-19523</v>
      </c>
      <c r="CQ36" s="175">
        <v>-320006</v>
      </c>
      <c r="CR36" s="175">
        <f t="shared" si="125"/>
        <v>-339529</v>
      </c>
      <c r="CS36" s="175">
        <v>-81096</v>
      </c>
      <c r="CT36" s="175">
        <f t="shared" si="126"/>
        <v>-420625</v>
      </c>
      <c r="CU36" s="175">
        <v>-7496</v>
      </c>
      <c r="CV36" s="175">
        <v>-27324</v>
      </c>
      <c r="CW36" s="175">
        <f t="shared" si="127"/>
        <v>-34820</v>
      </c>
      <c r="CX36" s="175">
        <v>-406701</v>
      </c>
      <c r="CY36" s="175">
        <f t="shared" si="130"/>
        <v>-441521</v>
      </c>
      <c r="CZ36" s="175">
        <v>-101944</v>
      </c>
      <c r="DA36" s="175">
        <f>CZ36+CY36</f>
        <v>-543465</v>
      </c>
      <c r="DB36" s="175">
        <v>-42713</v>
      </c>
      <c r="DC36" s="175">
        <v>-16870</v>
      </c>
      <c r="DD36" s="175">
        <f t="shared" si="128"/>
        <v>-59583</v>
      </c>
      <c r="DE36" s="175">
        <v>-430361</v>
      </c>
      <c r="DF36" s="175">
        <f t="shared" si="131"/>
        <v>-489944</v>
      </c>
      <c r="DG36" s="175">
        <v>-203924</v>
      </c>
      <c r="DH36" s="175">
        <f t="shared" si="129"/>
        <v>-693868</v>
      </c>
      <c r="DI36" s="175">
        <v>-15795</v>
      </c>
      <c r="DJ36" s="175">
        <v>-18751</v>
      </c>
      <c r="DK36" s="175">
        <f t="shared" si="15"/>
        <v>-34546</v>
      </c>
    </row>
    <row r="37" spans="1:116" ht="10.5" customHeight="1" x14ac:dyDescent="0.25">
      <c r="A37" s="56"/>
      <c r="B37" s="57" t="s">
        <v>109</v>
      </c>
      <c r="C37" s="57"/>
      <c r="D37" s="58"/>
      <c r="E37" s="59"/>
      <c r="F37" s="59"/>
      <c r="G37" s="59"/>
      <c r="H37" s="175">
        <v>-1282</v>
      </c>
      <c r="I37" s="175">
        <v>-1731</v>
      </c>
      <c r="J37" s="177">
        <f t="shared" si="77"/>
        <v>-3013</v>
      </c>
      <c r="K37" s="175">
        <v>-2321</v>
      </c>
      <c r="L37" s="175">
        <f t="shared" si="78"/>
        <v>-5334</v>
      </c>
      <c r="M37" s="175">
        <v>-1894</v>
      </c>
      <c r="N37" s="175">
        <f t="shared" si="104"/>
        <v>-7228</v>
      </c>
      <c r="O37" s="178">
        <v>-3846</v>
      </c>
      <c r="P37" s="175">
        <v>-1742</v>
      </c>
      <c r="Q37" s="175">
        <f t="shared" si="79"/>
        <v>-5588</v>
      </c>
      <c r="R37" s="182">
        <v>-331</v>
      </c>
      <c r="S37" s="182">
        <f t="shared" si="80"/>
        <v>-5919</v>
      </c>
      <c r="T37" s="175">
        <f t="shared" si="105"/>
        <v>-5347</v>
      </c>
      <c r="U37" s="175">
        <v>-11266</v>
      </c>
      <c r="V37" s="182">
        <v>-1222</v>
      </c>
      <c r="W37" s="182">
        <v>-729</v>
      </c>
      <c r="X37" s="182">
        <f t="shared" si="81"/>
        <v>-1951</v>
      </c>
      <c r="Y37" s="182">
        <v>-11</v>
      </c>
      <c r="Z37" s="182">
        <f t="shared" si="82"/>
        <v>-1962</v>
      </c>
      <c r="AA37" s="175">
        <f t="shared" si="106"/>
        <v>-3561</v>
      </c>
      <c r="AB37" s="175">
        <v>-5523</v>
      </c>
      <c r="AC37" s="175">
        <v>-726</v>
      </c>
      <c r="AD37" s="175">
        <f t="shared" si="107"/>
        <v>-1505</v>
      </c>
      <c r="AE37" s="175">
        <v>-2231</v>
      </c>
      <c r="AF37" s="175">
        <f t="shared" si="108"/>
        <v>-237</v>
      </c>
      <c r="AG37" s="175">
        <v>-2468</v>
      </c>
      <c r="AH37" s="175">
        <f t="shared" si="109"/>
        <v>-4938</v>
      </c>
      <c r="AI37" s="175">
        <v>-7406</v>
      </c>
      <c r="AJ37" s="175">
        <v>-793</v>
      </c>
      <c r="AK37" s="175">
        <v>-433</v>
      </c>
      <c r="AL37" s="175">
        <f t="shared" si="110"/>
        <v>-1226</v>
      </c>
      <c r="AM37" s="175">
        <v>-12</v>
      </c>
      <c r="AN37" s="175">
        <f t="shared" si="111"/>
        <v>-1238</v>
      </c>
      <c r="AO37" s="175">
        <v>-2154</v>
      </c>
      <c r="AP37" s="175">
        <f t="shared" si="112"/>
        <v>-3392</v>
      </c>
      <c r="AQ37" s="175">
        <v>-2223</v>
      </c>
      <c r="AR37" s="175">
        <v>-448</v>
      </c>
      <c r="AS37" s="175">
        <v>-2671</v>
      </c>
      <c r="AT37" s="175">
        <v>-3374</v>
      </c>
      <c r="AU37" s="175">
        <v>-6045</v>
      </c>
      <c r="AV37" s="175">
        <v>13</v>
      </c>
      <c r="AW37" s="175">
        <f t="shared" si="113"/>
        <v>-6032</v>
      </c>
      <c r="AX37" s="175">
        <v>3</v>
      </c>
      <c r="AY37" s="175">
        <f t="shared" si="9"/>
        <v>4</v>
      </c>
      <c r="AZ37" s="175">
        <v>7</v>
      </c>
      <c r="BA37" s="175">
        <f t="shared" si="85"/>
        <v>-789</v>
      </c>
      <c r="BB37" s="175">
        <v>-782</v>
      </c>
      <c r="BC37" s="175">
        <f t="shared" si="86"/>
        <v>-2449</v>
      </c>
      <c r="BD37" s="175">
        <v>-3231</v>
      </c>
      <c r="BE37" s="175">
        <v>0</v>
      </c>
      <c r="BF37" s="175">
        <v>0</v>
      </c>
      <c r="BG37" s="175">
        <f t="shared" si="114"/>
        <v>0</v>
      </c>
      <c r="BH37" s="175">
        <v>0</v>
      </c>
      <c r="BI37" s="175">
        <f t="shared" si="115"/>
        <v>0</v>
      </c>
      <c r="BJ37" s="175">
        <v>0</v>
      </c>
      <c r="BK37" s="175">
        <v>0</v>
      </c>
      <c r="BL37" s="175">
        <v>0</v>
      </c>
      <c r="BM37" s="175">
        <v>0</v>
      </c>
      <c r="BN37" s="175">
        <f t="shared" si="116"/>
        <v>0</v>
      </c>
      <c r="BO37" s="175">
        <v>0</v>
      </c>
      <c r="BP37" s="175">
        <f t="shared" si="117"/>
        <v>0</v>
      </c>
      <c r="BQ37" s="175">
        <v>0</v>
      </c>
      <c r="BR37" s="175">
        <v>0</v>
      </c>
      <c r="BS37" s="175">
        <v>0</v>
      </c>
      <c r="BT37" s="175">
        <v>0</v>
      </c>
      <c r="BU37" s="175">
        <f t="shared" si="118"/>
        <v>0</v>
      </c>
      <c r="BV37" s="175">
        <v>0</v>
      </c>
      <c r="BW37" s="175">
        <f t="shared" si="119"/>
        <v>0</v>
      </c>
      <c r="BX37" s="175">
        <v>0</v>
      </c>
      <c r="BY37" s="175">
        <v>0</v>
      </c>
      <c r="BZ37" s="175">
        <v>0</v>
      </c>
      <c r="CA37" s="175">
        <v>0</v>
      </c>
      <c r="CB37" s="175">
        <f t="shared" si="120"/>
        <v>0</v>
      </c>
      <c r="CC37" s="175">
        <v>0</v>
      </c>
      <c r="CD37" s="175">
        <f t="shared" si="121"/>
        <v>0</v>
      </c>
      <c r="CE37" s="175">
        <v>0</v>
      </c>
      <c r="CF37" s="175">
        <v>0</v>
      </c>
      <c r="CG37" s="175">
        <v>0</v>
      </c>
      <c r="CH37" s="175">
        <v>0</v>
      </c>
      <c r="CI37" s="175">
        <f t="shared" si="122"/>
        <v>0</v>
      </c>
      <c r="CJ37" s="175">
        <v>0</v>
      </c>
      <c r="CK37" s="175">
        <f t="shared" si="123"/>
        <v>0</v>
      </c>
      <c r="CL37" s="175">
        <v>0</v>
      </c>
      <c r="CM37" s="175">
        <v>0</v>
      </c>
      <c r="CN37" s="175">
        <v>0</v>
      </c>
      <c r="CO37" s="175">
        <v>0</v>
      </c>
      <c r="CP37" s="175">
        <f t="shared" si="124"/>
        <v>0</v>
      </c>
      <c r="CQ37" s="175">
        <v>0</v>
      </c>
      <c r="CR37" s="175">
        <f t="shared" si="125"/>
        <v>0</v>
      </c>
      <c r="CS37" s="175">
        <v>0</v>
      </c>
      <c r="CT37" s="175">
        <f t="shared" si="126"/>
        <v>0</v>
      </c>
      <c r="CU37" s="175">
        <v>0</v>
      </c>
      <c r="CV37" s="175">
        <v>0</v>
      </c>
      <c r="CW37" s="175">
        <f t="shared" si="127"/>
        <v>0</v>
      </c>
      <c r="CX37" s="175">
        <v>0</v>
      </c>
      <c r="CY37" s="175">
        <f t="shared" si="130"/>
        <v>0</v>
      </c>
      <c r="CZ37" s="175">
        <v>0</v>
      </c>
      <c r="DA37" s="175">
        <f t="shared" ref="DA37" si="132">CZ37+CY37</f>
        <v>0</v>
      </c>
      <c r="DB37" s="175">
        <v>0</v>
      </c>
      <c r="DC37" s="175">
        <v>0</v>
      </c>
      <c r="DD37" s="175">
        <f t="shared" si="128"/>
        <v>0</v>
      </c>
      <c r="DE37" s="175">
        <v>0</v>
      </c>
      <c r="DF37" s="175">
        <f t="shared" si="131"/>
        <v>0</v>
      </c>
      <c r="DG37" s="175">
        <v>0</v>
      </c>
      <c r="DH37" s="175">
        <f t="shared" si="129"/>
        <v>0</v>
      </c>
      <c r="DI37" s="175">
        <v>0</v>
      </c>
      <c r="DJ37" s="175">
        <v>0</v>
      </c>
      <c r="DK37" s="175">
        <f t="shared" si="15"/>
        <v>0</v>
      </c>
    </row>
    <row r="38" spans="1:116" ht="10.5" customHeight="1" x14ac:dyDescent="0.25">
      <c r="A38" s="56"/>
      <c r="B38" s="57" t="s">
        <v>263</v>
      </c>
      <c r="C38" s="57"/>
      <c r="D38" s="58"/>
      <c r="E38" s="59"/>
      <c r="F38" s="59"/>
      <c r="G38" s="59"/>
      <c r="H38" s="175"/>
      <c r="I38" s="175"/>
      <c r="J38" s="177"/>
      <c r="K38" s="175"/>
      <c r="L38" s="175"/>
      <c r="M38" s="175"/>
      <c r="N38" s="175"/>
      <c r="O38" s="178"/>
      <c r="P38" s="175"/>
      <c r="Q38" s="175"/>
      <c r="R38" s="182"/>
      <c r="S38" s="182"/>
      <c r="T38" s="175"/>
      <c r="U38" s="175"/>
      <c r="V38" s="182"/>
      <c r="W38" s="182"/>
      <c r="X38" s="182"/>
      <c r="Y38" s="182"/>
      <c r="Z38" s="182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>
        <v>-1523</v>
      </c>
      <c r="CO38" s="175">
        <f>-7293</f>
        <v>-7293</v>
      </c>
      <c r="CP38" s="175">
        <f>CO38+CN38</f>
        <v>-8816</v>
      </c>
      <c r="CQ38" s="175">
        <f>-7218</f>
        <v>-7218</v>
      </c>
      <c r="CR38" s="175">
        <f>CQ38+CP38</f>
        <v>-16034</v>
      </c>
      <c r="CS38" s="175">
        <v>-39289</v>
      </c>
      <c r="CT38" s="175">
        <f t="shared" si="126"/>
        <v>-55323</v>
      </c>
      <c r="CU38" s="175">
        <v>-31038</v>
      </c>
      <c r="CV38" s="175">
        <v>-24260</v>
      </c>
      <c r="CW38" s="175">
        <f>CV38+CU38</f>
        <v>-55298</v>
      </c>
      <c r="CX38" s="175">
        <v>-25410</v>
      </c>
      <c r="CY38" s="175">
        <f>CX38+CW38</f>
        <v>-80708</v>
      </c>
      <c r="CZ38" s="175">
        <v>-38705</v>
      </c>
      <c r="DA38" s="175">
        <f>CZ38+CY38</f>
        <v>-119413</v>
      </c>
      <c r="DB38" s="175">
        <v>-16961</v>
      </c>
      <c r="DC38" s="175">
        <v>-24133</v>
      </c>
      <c r="DD38" s="175">
        <f>DC38+DB38</f>
        <v>-41094</v>
      </c>
      <c r="DE38" s="175">
        <v>-42564</v>
      </c>
      <c r="DF38" s="175">
        <f>DE38+DD38</f>
        <v>-83658</v>
      </c>
      <c r="DG38" s="175">
        <v>-60308</v>
      </c>
      <c r="DH38" s="175">
        <f t="shared" si="129"/>
        <v>-143966</v>
      </c>
      <c r="DI38" s="175">
        <v>-30864</v>
      </c>
      <c r="DJ38" s="175">
        <v>-28523</v>
      </c>
      <c r="DK38" s="175">
        <f t="shared" si="15"/>
        <v>-59387</v>
      </c>
    </row>
    <row r="39" spans="1:116" ht="10.5" customHeight="1" x14ac:dyDescent="0.25">
      <c r="A39" s="56"/>
      <c r="B39" s="57" t="s">
        <v>110</v>
      </c>
      <c r="C39" s="57"/>
      <c r="D39" s="58"/>
      <c r="E39" s="59"/>
      <c r="F39" s="59"/>
      <c r="G39" s="59"/>
      <c r="H39" s="175">
        <v>-1531</v>
      </c>
      <c r="I39" s="175">
        <v>-3042</v>
      </c>
      <c r="J39" s="177">
        <f t="shared" si="77"/>
        <v>-4573</v>
      </c>
      <c r="K39" s="175">
        <v>-395</v>
      </c>
      <c r="L39" s="175">
        <f t="shared" si="78"/>
        <v>-4968</v>
      </c>
      <c r="M39" s="175">
        <v>-1314</v>
      </c>
      <c r="N39" s="175">
        <f t="shared" si="104"/>
        <v>-6282</v>
      </c>
      <c r="O39" s="178">
        <v>-2359</v>
      </c>
      <c r="P39" s="175">
        <v>-418</v>
      </c>
      <c r="Q39" s="175">
        <f t="shared" si="79"/>
        <v>-2777</v>
      </c>
      <c r="R39" s="182">
        <v>-501</v>
      </c>
      <c r="S39" s="182">
        <f t="shared" si="80"/>
        <v>-3278</v>
      </c>
      <c r="T39" s="175">
        <f t="shared" si="105"/>
        <v>-1539</v>
      </c>
      <c r="U39" s="175">
        <v>-4817</v>
      </c>
      <c r="V39" s="182">
        <v>-1999</v>
      </c>
      <c r="W39" s="182">
        <v>-126</v>
      </c>
      <c r="X39" s="182">
        <f t="shared" si="81"/>
        <v>-2125</v>
      </c>
      <c r="Y39" s="182">
        <v>-808</v>
      </c>
      <c r="Z39" s="182">
        <f t="shared" si="82"/>
        <v>-2933</v>
      </c>
      <c r="AA39" s="175">
        <f t="shared" si="106"/>
        <v>-4464</v>
      </c>
      <c r="AB39" s="175">
        <v>-7397</v>
      </c>
      <c r="AC39" s="175">
        <v>-2108</v>
      </c>
      <c r="AD39" s="175">
        <f t="shared" si="107"/>
        <v>-1345</v>
      </c>
      <c r="AE39" s="175">
        <v>-3453</v>
      </c>
      <c r="AF39" s="175">
        <v>-1360</v>
      </c>
      <c r="AG39" s="175">
        <v>-4814</v>
      </c>
      <c r="AH39" s="175">
        <f t="shared" si="109"/>
        <v>-1906</v>
      </c>
      <c r="AI39" s="175">
        <v>-6720</v>
      </c>
      <c r="AJ39" s="175">
        <v>-3896</v>
      </c>
      <c r="AK39" s="175">
        <v>-1355</v>
      </c>
      <c r="AL39" s="175">
        <f t="shared" si="110"/>
        <v>-5251</v>
      </c>
      <c r="AM39" s="175">
        <v>-3743</v>
      </c>
      <c r="AN39" s="175">
        <f t="shared" si="111"/>
        <v>-8994</v>
      </c>
      <c r="AO39" s="175">
        <v>-5390</v>
      </c>
      <c r="AP39" s="175">
        <f t="shared" si="112"/>
        <v>-14384</v>
      </c>
      <c r="AQ39" s="175">
        <v>-4488</v>
      </c>
      <c r="AR39" s="175">
        <v>-1326</v>
      </c>
      <c r="AS39" s="175">
        <v>-5814</v>
      </c>
      <c r="AT39" s="175">
        <v>-10394</v>
      </c>
      <c r="AU39" s="175">
        <v>-16208</v>
      </c>
      <c r="AV39" s="175">
        <v>-7807</v>
      </c>
      <c r="AW39" s="175">
        <f t="shared" si="113"/>
        <v>-24015</v>
      </c>
      <c r="AX39" s="175">
        <v>-4972</v>
      </c>
      <c r="AY39" s="175">
        <f t="shared" si="9"/>
        <v>-3998</v>
      </c>
      <c r="AZ39" s="175">
        <v>-8970</v>
      </c>
      <c r="BA39" s="175">
        <f t="shared" ref="BA39:BA45" si="133">BB39-AZ39</f>
        <v>-7960</v>
      </c>
      <c r="BB39" s="175">
        <v>-16930</v>
      </c>
      <c r="BC39" s="175">
        <f t="shared" ref="BC39:BC45" si="134">BD39-BB39</f>
        <v>-14754</v>
      </c>
      <c r="BD39" s="175">
        <v>-31684</v>
      </c>
      <c r="BE39" s="175">
        <v>-7466</v>
      </c>
      <c r="BF39" s="175">
        <v>-5574</v>
      </c>
      <c r="BG39" s="175">
        <f t="shared" si="114"/>
        <v>-13040</v>
      </c>
      <c r="BH39" s="175">
        <v>-10409</v>
      </c>
      <c r="BI39" s="175">
        <f t="shared" si="115"/>
        <v>-23449</v>
      </c>
      <c r="BJ39" s="175">
        <v>-8140</v>
      </c>
      <c r="BK39" s="175">
        <f>BJ39+BI39</f>
        <v>-31589</v>
      </c>
      <c r="BL39" s="175">
        <v>-6189</v>
      </c>
      <c r="BM39" s="175">
        <v>-3780</v>
      </c>
      <c r="BN39" s="175">
        <f t="shared" si="116"/>
        <v>-9969</v>
      </c>
      <c r="BO39" s="175">
        <v>-9903</v>
      </c>
      <c r="BP39" s="175">
        <f t="shared" si="117"/>
        <v>-19872</v>
      </c>
      <c r="BQ39" s="175">
        <v>-2683</v>
      </c>
      <c r="BR39" s="175">
        <f>BQ39+BP39</f>
        <v>-22555</v>
      </c>
      <c r="BS39" s="175">
        <v>-3602</v>
      </c>
      <c r="BT39" s="175">
        <v>-4782</v>
      </c>
      <c r="BU39" s="175">
        <f t="shared" si="118"/>
        <v>-8384</v>
      </c>
      <c r="BV39" s="175">
        <v>-6379</v>
      </c>
      <c r="BW39" s="175">
        <f t="shared" si="119"/>
        <v>-14763</v>
      </c>
      <c r="BX39" s="175">
        <f>-36335-BW39</f>
        <v>-21572</v>
      </c>
      <c r="BY39" s="175">
        <f>BX39+BW39</f>
        <v>-36335</v>
      </c>
      <c r="BZ39" s="175">
        <v>-9944</v>
      </c>
      <c r="CA39" s="175">
        <v>-13971</v>
      </c>
      <c r="CB39" s="175">
        <f t="shared" si="120"/>
        <v>-23915</v>
      </c>
      <c r="CC39" s="175">
        <v>-14395</v>
      </c>
      <c r="CD39" s="175">
        <f t="shared" si="121"/>
        <v>-38310</v>
      </c>
      <c r="CE39" s="175">
        <f>-66562-CD39</f>
        <v>-28252</v>
      </c>
      <c r="CF39" s="175">
        <f>CE39+CD39</f>
        <v>-66562</v>
      </c>
      <c r="CG39" s="175">
        <v>-15640</v>
      </c>
      <c r="CH39" s="175">
        <v>-11255</v>
      </c>
      <c r="CI39" s="175">
        <f t="shared" si="122"/>
        <v>-26895</v>
      </c>
      <c r="CJ39" s="175">
        <v>-20577</v>
      </c>
      <c r="CK39" s="175">
        <f t="shared" si="123"/>
        <v>-47472</v>
      </c>
      <c r="CL39" s="175">
        <f>-32650</f>
        <v>-32650</v>
      </c>
      <c r="CM39" s="175">
        <f>CL39+CK39</f>
        <v>-80122</v>
      </c>
      <c r="CN39" s="175">
        <v>-21134</v>
      </c>
      <c r="CO39" s="175">
        <f>-33323+7293</f>
        <v>-26030</v>
      </c>
      <c r="CP39" s="175">
        <f>CO39+CN39</f>
        <v>-47164</v>
      </c>
      <c r="CQ39" s="175">
        <f>-67012</f>
        <v>-67012</v>
      </c>
      <c r="CR39" s="175">
        <f>CQ39+CP39</f>
        <v>-114176</v>
      </c>
      <c r="CS39" s="175">
        <v>-51983</v>
      </c>
      <c r="CT39" s="175">
        <f t="shared" si="126"/>
        <v>-166159</v>
      </c>
      <c r="CU39" s="175">
        <v>-14855</v>
      </c>
      <c r="CV39" s="175">
        <v>-8908</v>
      </c>
      <c r="CW39" s="175">
        <f>CV39+CU39</f>
        <v>-23763</v>
      </c>
      <c r="CX39" s="175">
        <v>-29360</v>
      </c>
      <c r="CY39" s="175">
        <f>CX39+CW39</f>
        <v>-53123</v>
      </c>
      <c r="CZ39" s="175">
        <v>-59815</v>
      </c>
      <c r="DA39" s="175">
        <f>CZ39+CY39</f>
        <v>-112938</v>
      </c>
      <c r="DB39" s="175">
        <v>-21976</v>
      </c>
      <c r="DC39" s="175">
        <v>-23298</v>
      </c>
      <c r="DD39" s="175">
        <f>DC39+DB39</f>
        <v>-45274</v>
      </c>
      <c r="DE39" s="175">
        <v>-31811</v>
      </c>
      <c r="DF39" s="175">
        <f>DE39+DD39</f>
        <v>-77085</v>
      </c>
      <c r="DG39" s="175">
        <v>-23586</v>
      </c>
      <c r="DH39" s="175">
        <f t="shared" si="129"/>
        <v>-100671</v>
      </c>
      <c r="DI39" s="175">
        <v>-13605</v>
      </c>
      <c r="DJ39" s="175">
        <v>-45916</v>
      </c>
      <c r="DK39" s="175">
        <f t="shared" si="15"/>
        <v>-59521</v>
      </c>
    </row>
    <row r="40" spans="1:116" s="137" customFormat="1" ht="10.5" customHeight="1" x14ac:dyDescent="0.25">
      <c r="A40" s="82"/>
      <c r="B40" s="83" t="s">
        <v>269</v>
      </c>
      <c r="C40" s="83"/>
      <c r="D40" s="84"/>
      <c r="E40" s="83"/>
      <c r="F40" s="83"/>
      <c r="G40" s="83"/>
      <c r="H40" s="174">
        <f t="shared" ref="H40:AA40" si="135">SUM(H41:H47)</f>
        <v>-14986</v>
      </c>
      <c r="I40" s="174">
        <f t="shared" si="135"/>
        <v>-1496</v>
      </c>
      <c r="J40" s="174">
        <f t="shared" si="77"/>
        <v>-16482</v>
      </c>
      <c r="K40" s="174">
        <f t="shared" si="135"/>
        <v>2912</v>
      </c>
      <c r="L40" s="174">
        <f t="shared" si="78"/>
        <v>-13570</v>
      </c>
      <c r="M40" s="174">
        <f t="shared" si="135"/>
        <v>9951</v>
      </c>
      <c r="N40" s="174">
        <f>SUM(N41:N47)</f>
        <v>-3619</v>
      </c>
      <c r="O40" s="174">
        <f t="shared" si="135"/>
        <v>-24655</v>
      </c>
      <c r="P40" s="174">
        <f t="shared" si="135"/>
        <v>-7893</v>
      </c>
      <c r="Q40" s="174">
        <f t="shared" si="79"/>
        <v>-32548</v>
      </c>
      <c r="R40" s="174">
        <f t="shared" si="135"/>
        <v>-18687</v>
      </c>
      <c r="S40" s="174">
        <f t="shared" si="80"/>
        <v>-51235</v>
      </c>
      <c r="T40" s="174">
        <f t="shared" si="135"/>
        <v>-44202</v>
      </c>
      <c r="U40" s="174">
        <f t="shared" si="135"/>
        <v>-95437</v>
      </c>
      <c r="V40" s="174">
        <f t="shared" si="135"/>
        <v>-42923</v>
      </c>
      <c r="W40" s="174">
        <f t="shared" si="135"/>
        <v>-34669</v>
      </c>
      <c r="X40" s="183">
        <f t="shared" si="81"/>
        <v>-77592</v>
      </c>
      <c r="Y40" s="174">
        <f t="shared" si="135"/>
        <v>-42093</v>
      </c>
      <c r="Z40" s="183">
        <f t="shared" si="82"/>
        <v>-119685</v>
      </c>
      <c r="AA40" s="174">
        <f t="shared" si="135"/>
        <v>-55818</v>
      </c>
      <c r="AB40" s="174">
        <f>SUM(AB41:AB47)</f>
        <v>-175503</v>
      </c>
      <c r="AC40" s="174">
        <f>SUM(AC41:AC47)</f>
        <v>-65930</v>
      </c>
      <c r="AD40" s="174">
        <f>SUM(AD41:AD47)</f>
        <v>-56625</v>
      </c>
      <c r="AE40" s="174">
        <f>AC40+AD40</f>
        <v>-122555</v>
      </c>
      <c r="AF40" s="174">
        <f>SUM(AF41:AF47)</f>
        <v>-27347</v>
      </c>
      <c r="AG40" s="174">
        <f>SUM(AG41:AG47)</f>
        <v>-149901</v>
      </c>
      <c r="AH40" s="174">
        <f>SUM(AH41:AH47)</f>
        <v>-31551</v>
      </c>
      <c r="AI40" s="174">
        <f>AG40+AH40</f>
        <v>-181452</v>
      </c>
      <c r="AJ40" s="174">
        <f t="shared" ref="AJ40:AP40" si="136">SUM(AJ41:AJ47)</f>
        <v>-28629</v>
      </c>
      <c r="AK40" s="174">
        <f t="shared" si="136"/>
        <v>3057</v>
      </c>
      <c r="AL40" s="174">
        <f t="shared" si="136"/>
        <v>-25572</v>
      </c>
      <c r="AM40" s="174">
        <f t="shared" si="136"/>
        <v>-26283</v>
      </c>
      <c r="AN40" s="174">
        <f t="shared" si="136"/>
        <v>-51855</v>
      </c>
      <c r="AO40" s="174">
        <f t="shared" si="136"/>
        <v>-62171</v>
      </c>
      <c r="AP40" s="174">
        <f t="shared" si="136"/>
        <v>-114026</v>
      </c>
      <c r="AQ40" s="174">
        <f t="shared" ref="AQ40:AX40" si="137">SUM(AQ41:AQ47)</f>
        <v>-68522</v>
      </c>
      <c r="AR40" s="174">
        <f t="shared" si="137"/>
        <v>-60576</v>
      </c>
      <c r="AS40" s="174">
        <f t="shared" si="137"/>
        <v>-129098</v>
      </c>
      <c r="AT40" s="174">
        <f t="shared" si="137"/>
        <v>-30830</v>
      </c>
      <c r="AU40" s="174">
        <f t="shared" si="137"/>
        <v>-159928</v>
      </c>
      <c r="AV40" s="174">
        <f t="shared" si="137"/>
        <v>-32672</v>
      </c>
      <c r="AW40" s="174">
        <f t="shared" si="137"/>
        <v>-192600</v>
      </c>
      <c r="AX40" s="174">
        <f t="shared" si="137"/>
        <v>-41722</v>
      </c>
      <c r="AY40" s="174">
        <f t="shared" si="9"/>
        <v>-63284</v>
      </c>
      <c r="AZ40" s="174">
        <f>SUM(AZ41:AZ47)</f>
        <v>-105006</v>
      </c>
      <c r="BA40" s="174">
        <f t="shared" si="133"/>
        <v>-40891</v>
      </c>
      <c r="BB40" s="174">
        <f>SUM(BB41:BB47)</f>
        <v>-145897</v>
      </c>
      <c r="BC40" s="174">
        <f t="shared" si="134"/>
        <v>-81373</v>
      </c>
      <c r="BD40" s="174">
        <f t="shared" ref="BD40:BJ40" si="138">SUM(BD41:BD47)</f>
        <v>-227270</v>
      </c>
      <c r="BE40" s="174">
        <f t="shared" si="138"/>
        <v>-86763</v>
      </c>
      <c r="BF40" s="174">
        <f t="shared" si="138"/>
        <v>-7447</v>
      </c>
      <c r="BG40" s="174">
        <f t="shared" si="138"/>
        <v>-94210</v>
      </c>
      <c r="BH40" s="174">
        <f t="shared" si="138"/>
        <v>11971</v>
      </c>
      <c r="BI40" s="174">
        <f t="shared" si="138"/>
        <v>-82239</v>
      </c>
      <c r="BJ40" s="174">
        <f t="shared" si="138"/>
        <v>-2694</v>
      </c>
      <c r="BK40" s="174">
        <f t="shared" ref="BK40:CK40" si="139">SUM(BK41:BK47)</f>
        <v>-84933</v>
      </c>
      <c r="BL40" s="174">
        <f t="shared" si="139"/>
        <v>-70795</v>
      </c>
      <c r="BM40" s="174">
        <f t="shared" si="139"/>
        <v>-40646</v>
      </c>
      <c r="BN40" s="174">
        <f t="shared" si="139"/>
        <v>-111441</v>
      </c>
      <c r="BO40" s="174">
        <f t="shared" si="139"/>
        <v>-76502</v>
      </c>
      <c r="BP40" s="174">
        <f t="shared" si="139"/>
        <v>-187943</v>
      </c>
      <c r="BQ40" s="174">
        <f t="shared" si="139"/>
        <v>-139357</v>
      </c>
      <c r="BR40" s="174">
        <f>SUM(BR41:BR47)</f>
        <v>-327300</v>
      </c>
      <c r="BS40" s="174">
        <f t="shared" si="139"/>
        <v>-106565</v>
      </c>
      <c r="BT40" s="174">
        <f t="shared" si="139"/>
        <v>-156072</v>
      </c>
      <c r="BU40" s="174">
        <f t="shared" si="139"/>
        <v>-262637</v>
      </c>
      <c r="BV40" s="174">
        <f t="shared" si="139"/>
        <v>-121994</v>
      </c>
      <c r="BW40" s="174">
        <f t="shared" si="139"/>
        <v>-384631</v>
      </c>
      <c r="BX40" s="174">
        <f t="shared" si="139"/>
        <v>-234645</v>
      </c>
      <c r="BY40" s="174">
        <f>SUM(BY41:BY47)</f>
        <v>-619276</v>
      </c>
      <c r="BZ40" s="174">
        <f t="shared" si="139"/>
        <v>-160446</v>
      </c>
      <c r="CA40" s="174">
        <f t="shared" si="139"/>
        <v>-125737</v>
      </c>
      <c r="CB40" s="174">
        <f t="shared" si="139"/>
        <v>-286183</v>
      </c>
      <c r="CC40" s="174">
        <f t="shared" si="139"/>
        <v>-113054</v>
      </c>
      <c r="CD40" s="174">
        <f t="shared" si="139"/>
        <v>-399237</v>
      </c>
      <c r="CE40" s="174">
        <f t="shared" si="139"/>
        <v>-125029</v>
      </c>
      <c r="CF40" s="174">
        <f>SUM(CF41:CF47)</f>
        <v>-524266</v>
      </c>
      <c r="CG40" s="174">
        <v>-186375</v>
      </c>
      <c r="CH40" s="174">
        <f t="shared" si="139"/>
        <v>-195520</v>
      </c>
      <c r="CI40" s="174">
        <f t="shared" si="139"/>
        <v>-381896</v>
      </c>
      <c r="CJ40" s="174">
        <f t="shared" si="139"/>
        <v>-183435</v>
      </c>
      <c r="CK40" s="174">
        <f t="shared" si="139"/>
        <v>-565331</v>
      </c>
      <c r="CL40" s="174">
        <f>SUM(CL41:CL47)</f>
        <v>-185662</v>
      </c>
      <c r="CM40" s="174">
        <f>SUM(CM41:CM47)</f>
        <v>-750996</v>
      </c>
      <c r="CN40" s="174">
        <f>SUM(CN41:CN47)</f>
        <v>-355933</v>
      </c>
      <c r="CO40" s="174">
        <f>SUM(CO41:CO47)</f>
        <v>-369274</v>
      </c>
      <c r="CP40" s="174">
        <f t="shared" ref="CP40" si="140">SUM(CP41:CP47)</f>
        <v>-725207</v>
      </c>
      <c r="CQ40" s="174">
        <f>SUM(CQ41:CQ47)+1</f>
        <v>-251112</v>
      </c>
      <c r="CR40" s="174">
        <f>SUM(CR41:CR47)-1</f>
        <v>-976321</v>
      </c>
      <c r="CS40" s="174">
        <f>SUM(CS41:CS47)</f>
        <v>-449113</v>
      </c>
      <c r="CT40" s="174">
        <f>SUM(CT41:CT47)</f>
        <v>-1425434</v>
      </c>
      <c r="CU40" s="174">
        <f>SUM(CU41:CU47)</f>
        <v>-896185</v>
      </c>
      <c r="CV40" s="174">
        <f>SUM(CV41:CV47)</f>
        <v>-619253</v>
      </c>
      <c r="CW40" s="174">
        <f t="shared" ref="CW40" si="141">SUM(CW41:CW47)</f>
        <v>-1515438</v>
      </c>
      <c r="CX40" s="174">
        <f>SUM(CX41:CX47)</f>
        <v>-256376</v>
      </c>
      <c r="CY40" s="174">
        <f>SUM(CY41:CY47)</f>
        <v>-1771814</v>
      </c>
      <c r="CZ40" s="174">
        <f>SUM(CZ41:CZ47)</f>
        <v>-465866</v>
      </c>
      <c r="DA40" s="174">
        <f>SUM(DA41:DA47)-1</f>
        <v>-2237681</v>
      </c>
      <c r="DB40" s="174">
        <f>SUM(DB41:DB47)+1</f>
        <v>-683038</v>
      </c>
      <c r="DC40" s="174">
        <f>SUM(DC41:DC47)</f>
        <v>-471430</v>
      </c>
      <c r="DD40" s="174">
        <f>SUM(DD41:DD47)+1</f>
        <v>-1154468</v>
      </c>
      <c r="DE40" s="174">
        <f t="shared" ref="DE40:DJ40" si="142">SUM(DE41:DE47)</f>
        <v>-326218</v>
      </c>
      <c r="DF40" s="174">
        <f t="shared" si="142"/>
        <v>-1480686</v>
      </c>
      <c r="DG40" s="174">
        <f t="shared" si="142"/>
        <v>-605973</v>
      </c>
      <c r="DH40" s="174">
        <f t="shared" si="142"/>
        <v>-2086659</v>
      </c>
      <c r="DI40" s="174">
        <f t="shared" si="142"/>
        <v>-104012</v>
      </c>
      <c r="DJ40" s="174">
        <f t="shared" si="142"/>
        <v>-203483</v>
      </c>
      <c r="DK40" s="174">
        <f t="shared" si="15"/>
        <v>-307495</v>
      </c>
      <c r="DL40" s="8"/>
    </row>
    <row r="41" spans="1:116" ht="10.5" customHeight="1" x14ac:dyDescent="0.25">
      <c r="A41" s="97"/>
      <c r="B41" s="98"/>
      <c r="C41" s="98" t="s">
        <v>106</v>
      </c>
      <c r="D41" s="99"/>
      <c r="E41" s="100"/>
      <c r="F41" s="100"/>
      <c r="G41" s="100"/>
      <c r="H41" s="175">
        <v>2757</v>
      </c>
      <c r="I41" s="175">
        <v>3695</v>
      </c>
      <c r="J41" s="177">
        <f t="shared" si="77"/>
        <v>6452</v>
      </c>
      <c r="K41" s="175">
        <v>1839</v>
      </c>
      <c r="L41" s="175">
        <f t="shared" si="78"/>
        <v>8291</v>
      </c>
      <c r="M41" s="175">
        <v>11955</v>
      </c>
      <c r="N41" s="175">
        <f t="shared" ref="N41:N47" si="143">L41+M41</f>
        <v>20246</v>
      </c>
      <c r="O41" s="177">
        <v>-22599</v>
      </c>
      <c r="P41" s="175">
        <v>-13808</v>
      </c>
      <c r="Q41" s="175">
        <f t="shared" si="79"/>
        <v>-36407</v>
      </c>
      <c r="R41" s="175">
        <v>-15648</v>
      </c>
      <c r="S41" s="175">
        <f t="shared" si="80"/>
        <v>-52055</v>
      </c>
      <c r="T41" s="175">
        <f t="shared" ref="T41:T47" si="144">U41-S41</f>
        <v>-36579</v>
      </c>
      <c r="U41" s="175">
        <v>-88634</v>
      </c>
      <c r="V41" s="175">
        <v>-28180</v>
      </c>
      <c r="W41" s="175">
        <v>-3788</v>
      </c>
      <c r="X41" s="175">
        <f t="shared" si="81"/>
        <v>-31968</v>
      </c>
      <c r="Y41" s="175">
        <v>-18863</v>
      </c>
      <c r="Z41" s="175">
        <f t="shared" si="82"/>
        <v>-50831</v>
      </c>
      <c r="AA41" s="175">
        <f t="shared" ref="AA41:AA47" si="145">AB41-Z41</f>
        <v>-49187</v>
      </c>
      <c r="AB41" s="175">
        <v>-100018</v>
      </c>
      <c r="AC41" s="175">
        <v>-38592</v>
      </c>
      <c r="AD41" s="175">
        <f t="shared" si="107"/>
        <v>-19949</v>
      </c>
      <c r="AE41" s="175">
        <v>-58541</v>
      </c>
      <c r="AF41" s="175">
        <f t="shared" si="108"/>
        <v>-668</v>
      </c>
      <c r="AG41" s="175">
        <v>-59209</v>
      </c>
      <c r="AH41" s="175">
        <f t="shared" ref="AH41:AH47" si="146">AI41-AG41</f>
        <v>-6875</v>
      </c>
      <c r="AI41" s="175">
        <v>-66084</v>
      </c>
      <c r="AJ41" s="175">
        <v>-2420</v>
      </c>
      <c r="AK41" s="175">
        <v>-2055</v>
      </c>
      <c r="AL41" s="175">
        <f t="shared" si="110"/>
        <v>-4475</v>
      </c>
      <c r="AM41" s="175">
        <v>-18511</v>
      </c>
      <c r="AN41" s="175">
        <f t="shared" si="111"/>
        <v>-22986</v>
      </c>
      <c r="AO41" s="175">
        <v>-41201</v>
      </c>
      <c r="AP41" s="175">
        <f t="shared" ref="AP41:AP47" si="147">SUM(AN41:AO41)</f>
        <v>-64187</v>
      </c>
      <c r="AQ41" s="175">
        <v>-26731</v>
      </c>
      <c r="AR41" s="175">
        <v>-17135</v>
      </c>
      <c r="AS41" s="175">
        <v>-43866</v>
      </c>
      <c r="AT41" s="175">
        <v>-1869</v>
      </c>
      <c r="AU41" s="175">
        <v>-45735</v>
      </c>
      <c r="AV41" s="175">
        <v>-24139</v>
      </c>
      <c r="AW41" s="175">
        <f t="shared" ref="AW41:AW47" si="148">SUM(AU41:AV41)</f>
        <v>-69874</v>
      </c>
      <c r="AX41" s="175">
        <v>-10371</v>
      </c>
      <c r="AY41" s="175">
        <f t="shared" si="9"/>
        <v>-5882</v>
      </c>
      <c r="AZ41" s="175">
        <v>-16253</v>
      </c>
      <c r="BA41" s="175">
        <f t="shared" si="133"/>
        <v>-18587</v>
      </c>
      <c r="BB41" s="175">
        <v>-34840</v>
      </c>
      <c r="BC41" s="175">
        <f t="shared" si="134"/>
        <v>-59307</v>
      </c>
      <c r="BD41" s="175">
        <v>-94147</v>
      </c>
      <c r="BE41" s="175">
        <v>-26895</v>
      </c>
      <c r="BF41" s="175">
        <v>-28235</v>
      </c>
      <c r="BG41" s="175">
        <f t="shared" si="114"/>
        <v>-55130</v>
      </c>
      <c r="BH41" s="175">
        <v>26573</v>
      </c>
      <c r="BI41" s="175">
        <f t="shared" si="115"/>
        <v>-28557</v>
      </c>
      <c r="BJ41" s="175">
        <v>23412</v>
      </c>
      <c r="BK41" s="175">
        <f t="shared" ref="BK41:BK47" si="149">BJ41+BI41</f>
        <v>-5145</v>
      </c>
      <c r="BL41" s="175">
        <v>-6075</v>
      </c>
      <c r="BM41" s="175">
        <v>-5380</v>
      </c>
      <c r="BN41" s="175">
        <f t="shared" ref="BN41:BN47" si="150">BM41+BL41</f>
        <v>-11455</v>
      </c>
      <c r="BO41" s="175">
        <v>-44398</v>
      </c>
      <c r="BP41" s="175">
        <f t="shared" ref="BP41:BP47" si="151">BO41+BN41</f>
        <v>-55853</v>
      </c>
      <c r="BQ41" s="175">
        <v>-103539</v>
      </c>
      <c r="BR41" s="175">
        <f t="shared" ref="BR41:BR47" si="152">BQ41+BP41</f>
        <v>-159392</v>
      </c>
      <c r="BS41" s="175">
        <v>-43083</v>
      </c>
      <c r="BT41" s="175">
        <v>-21082</v>
      </c>
      <c r="BU41" s="175">
        <f t="shared" ref="BU41:BU47" si="153">BT41+BS41</f>
        <v>-64165</v>
      </c>
      <c r="BV41" s="175">
        <v>-61559</v>
      </c>
      <c r="BW41" s="175">
        <f t="shared" ref="BW41:BW47" si="154">BV41+BU41</f>
        <v>-125724</v>
      </c>
      <c r="BX41" s="175">
        <f>-293885-BW41</f>
        <v>-168161</v>
      </c>
      <c r="BY41" s="175">
        <f t="shared" ref="BY41:BY47" si="155">BX41+BW41</f>
        <v>-293885</v>
      </c>
      <c r="BZ41" s="175">
        <v>-56253</v>
      </c>
      <c r="CA41" s="175">
        <v>-63614</v>
      </c>
      <c r="CB41" s="175">
        <f t="shared" ref="CB41:CB47" si="156">CA41+BZ41</f>
        <v>-119867</v>
      </c>
      <c r="CC41" s="175">
        <v>-41530</v>
      </c>
      <c r="CD41" s="175">
        <f t="shared" ref="CD41:CD47" si="157">CC41+CB41</f>
        <v>-161397</v>
      </c>
      <c r="CE41" s="175">
        <f>-254413-CD41</f>
        <v>-93016</v>
      </c>
      <c r="CF41" s="175">
        <f t="shared" ref="CF41:CF47" si="158">CE41+CD41</f>
        <v>-254413</v>
      </c>
      <c r="CG41" s="175">
        <v>-46801</v>
      </c>
      <c r="CH41" s="175">
        <v>-26428</v>
      </c>
      <c r="CI41" s="175">
        <v>-73229</v>
      </c>
      <c r="CJ41" s="175">
        <f>-65911+3</f>
        <v>-65908</v>
      </c>
      <c r="CK41" s="175">
        <f t="shared" ref="CK41:CK47" si="159">CJ41+CI41</f>
        <v>-139137</v>
      </c>
      <c r="CL41" s="175">
        <v>-142228</v>
      </c>
      <c r="CM41" s="175">
        <v>-281368</v>
      </c>
      <c r="CN41" s="175">
        <v>-53725</v>
      </c>
      <c r="CO41" s="175">
        <v>-57232</v>
      </c>
      <c r="CP41" s="175">
        <f t="shared" si="124"/>
        <v>-110957</v>
      </c>
      <c r="CQ41" s="175">
        <v>-84636</v>
      </c>
      <c r="CR41" s="175">
        <f t="shared" ref="CR41:CR46" si="160">CQ41+CP41</f>
        <v>-195593</v>
      </c>
      <c r="CS41" s="175">
        <v>-275584</v>
      </c>
      <c r="CT41" s="175">
        <f>CS41+CR41-1</f>
        <v>-471178</v>
      </c>
      <c r="CU41" s="175">
        <v>-240060</v>
      </c>
      <c r="CV41" s="175">
        <v>-151698</v>
      </c>
      <c r="CW41" s="175">
        <f t="shared" si="127"/>
        <v>-391758</v>
      </c>
      <c r="CX41" s="175">
        <v>-64132</v>
      </c>
      <c r="CY41" s="175">
        <f t="shared" ref="CY41:CY42" si="161">CX41+CW41</f>
        <v>-455890</v>
      </c>
      <c r="CZ41" s="175">
        <v>-163603</v>
      </c>
      <c r="DA41" s="175">
        <f>CZ41+CY41</f>
        <v>-619493</v>
      </c>
      <c r="DB41" s="175">
        <v>-124850</v>
      </c>
      <c r="DC41" s="175">
        <v>-141616</v>
      </c>
      <c r="DD41" s="175">
        <f t="shared" si="128"/>
        <v>-266466</v>
      </c>
      <c r="DE41" s="175">
        <v>-151351</v>
      </c>
      <c r="DF41" s="175">
        <f t="shared" ref="DF41:DF42" si="162">DE41+DD41</f>
        <v>-417817</v>
      </c>
      <c r="DG41" s="175">
        <v>-226851</v>
      </c>
      <c r="DH41" s="175">
        <f t="shared" ref="DH41:DH42" si="163">DG41+DF41</f>
        <v>-644668</v>
      </c>
      <c r="DI41" s="175">
        <v>-227332</v>
      </c>
      <c r="DJ41" s="175">
        <v>-232653</v>
      </c>
      <c r="DK41" s="175">
        <f t="shared" si="15"/>
        <v>-459985</v>
      </c>
      <c r="DL41" s="137"/>
    </row>
    <row r="42" spans="1:116" ht="10.5" customHeight="1" x14ac:dyDescent="0.25">
      <c r="A42" s="56"/>
      <c r="B42" s="57"/>
      <c r="C42" s="57" t="s">
        <v>421</v>
      </c>
      <c r="D42" s="58"/>
      <c r="E42" s="59"/>
      <c r="F42" s="59"/>
      <c r="G42" s="59"/>
      <c r="H42" s="175">
        <v>255</v>
      </c>
      <c r="I42" s="175">
        <v>20</v>
      </c>
      <c r="J42" s="177">
        <f t="shared" si="77"/>
        <v>275</v>
      </c>
      <c r="K42" s="175">
        <v>1324</v>
      </c>
      <c r="L42" s="175">
        <f t="shared" si="78"/>
        <v>1599</v>
      </c>
      <c r="M42" s="175">
        <v>1738</v>
      </c>
      <c r="N42" s="175">
        <f t="shared" si="143"/>
        <v>3337</v>
      </c>
      <c r="O42" s="178">
        <v>-837</v>
      </c>
      <c r="P42" s="175">
        <v>-1309</v>
      </c>
      <c r="Q42" s="175">
        <f t="shared" si="79"/>
        <v>-2146</v>
      </c>
      <c r="R42" s="182">
        <v>-9135</v>
      </c>
      <c r="S42" s="182">
        <f t="shared" si="80"/>
        <v>-11281</v>
      </c>
      <c r="T42" s="175">
        <f t="shared" si="144"/>
        <v>-4471</v>
      </c>
      <c r="U42" s="175">
        <v>-15752</v>
      </c>
      <c r="V42" s="182">
        <v>-816</v>
      </c>
      <c r="W42" s="182">
        <v>-400</v>
      </c>
      <c r="X42" s="182">
        <f t="shared" si="81"/>
        <v>-1216</v>
      </c>
      <c r="Y42" s="182">
        <v>-4583</v>
      </c>
      <c r="Z42" s="182">
        <f t="shared" si="82"/>
        <v>-5799</v>
      </c>
      <c r="AA42" s="175">
        <f t="shared" si="145"/>
        <v>-5182</v>
      </c>
      <c r="AB42" s="175">
        <v>-10981</v>
      </c>
      <c r="AC42" s="175">
        <v>-2505</v>
      </c>
      <c r="AD42" s="175">
        <f t="shared" si="107"/>
        <v>-327</v>
      </c>
      <c r="AE42" s="175">
        <v>-2832</v>
      </c>
      <c r="AF42" s="175">
        <f t="shared" si="108"/>
        <v>-1163</v>
      </c>
      <c r="AG42" s="175">
        <v>-3995</v>
      </c>
      <c r="AH42" s="175">
        <f t="shared" si="146"/>
        <v>-2159</v>
      </c>
      <c r="AI42" s="175">
        <v>-6154</v>
      </c>
      <c r="AJ42" s="175">
        <v>-1759</v>
      </c>
      <c r="AK42" s="175">
        <v>-739</v>
      </c>
      <c r="AL42" s="175">
        <f t="shared" si="110"/>
        <v>-2498</v>
      </c>
      <c r="AM42" s="175">
        <v>-6670</v>
      </c>
      <c r="AN42" s="175">
        <f t="shared" si="111"/>
        <v>-9168</v>
      </c>
      <c r="AO42" s="175">
        <v>-6562</v>
      </c>
      <c r="AP42" s="175">
        <f t="shared" si="147"/>
        <v>-15730</v>
      </c>
      <c r="AQ42" s="175">
        <v>-2224</v>
      </c>
      <c r="AR42" s="175">
        <v>-290</v>
      </c>
      <c r="AS42" s="175">
        <v>-2514</v>
      </c>
      <c r="AT42" s="175">
        <v>-4762</v>
      </c>
      <c r="AU42" s="175">
        <v>-7276</v>
      </c>
      <c r="AV42" s="175">
        <v>-2219</v>
      </c>
      <c r="AW42" s="175">
        <f t="shared" si="148"/>
        <v>-9495</v>
      </c>
      <c r="AX42" s="175">
        <v>-734</v>
      </c>
      <c r="AY42" s="175">
        <f t="shared" si="9"/>
        <v>-283</v>
      </c>
      <c r="AZ42" s="175">
        <v>-1017</v>
      </c>
      <c r="BA42" s="175">
        <f t="shared" si="133"/>
        <v>-4864</v>
      </c>
      <c r="BB42" s="175">
        <v>-5881</v>
      </c>
      <c r="BC42" s="175">
        <f t="shared" si="134"/>
        <v>-5477</v>
      </c>
      <c r="BD42" s="175">
        <v>-11358</v>
      </c>
      <c r="BE42" s="175">
        <v>-1639</v>
      </c>
      <c r="BF42" s="175">
        <v>457</v>
      </c>
      <c r="BG42" s="175">
        <f t="shared" si="114"/>
        <v>-1182</v>
      </c>
      <c r="BH42" s="175">
        <v>4951</v>
      </c>
      <c r="BI42" s="175">
        <f t="shared" si="115"/>
        <v>3769</v>
      </c>
      <c r="BJ42" s="175">
        <v>-660</v>
      </c>
      <c r="BK42" s="175">
        <f t="shared" si="149"/>
        <v>3109</v>
      </c>
      <c r="BL42" s="175">
        <v>652</v>
      </c>
      <c r="BM42" s="175">
        <v>-659</v>
      </c>
      <c r="BN42" s="175">
        <f t="shared" si="150"/>
        <v>-7</v>
      </c>
      <c r="BO42" s="175">
        <v>-13557</v>
      </c>
      <c r="BP42" s="175">
        <f t="shared" si="151"/>
        <v>-13564</v>
      </c>
      <c r="BQ42" s="175">
        <v>-12800</v>
      </c>
      <c r="BR42" s="175">
        <f t="shared" si="152"/>
        <v>-26364</v>
      </c>
      <c r="BS42" s="175">
        <v>-4350</v>
      </c>
      <c r="BT42" s="175">
        <v>-1144</v>
      </c>
      <c r="BU42" s="175">
        <f t="shared" si="153"/>
        <v>-5494</v>
      </c>
      <c r="BV42" s="175">
        <v>-8999</v>
      </c>
      <c r="BW42" s="175">
        <f t="shared" si="154"/>
        <v>-14493</v>
      </c>
      <c r="BX42" s="175">
        <f>-24428-BW42</f>
        <v>-9935</v>
      </c>
      <c r="BY42" s="175">
        <f t="shared" si="155"/>
        <v>-24428</v>
      </c>
      <c r="BZ42" s="175">
        <v>-3083</v>
      </c>
      <c r="CA42" s="175">
        <v>-1348</v>
      </c>
      <c r="CB42" s="175">
        <f t="shared" si="156"/>
        <v>-4431</v>
      </c>
      <c r="CC42" s="175">
        <v>-6635</v>
      </c>
      <c r="CD42" s="175">
        <f t="shared" si="157"/>
        <v>-11066</v>
      </c>
      <c r="CE42" s="175">
        <f>-15898-CD42</f>
        <v>-4832</v>
      </c>
      <c r="CF42" s="175">
        <f t="shared" si="158"/>
        <v>-15898</v>
      </c>
      <c r="CG42" s="175">
        <v>-2451</v>
      </c>
      <c r="CH42" s="175">
        <v>-907</v>
      </c>
      <c r="CI42" s="175">
        <v>-3358</v>
      </c>
      <c r="CJ42" s="175">
        <v>-9172</v>
      </c>
      <c r="CK42" s="175">
        <f t="shared" si="159"/>
        <v>-12530</v>
      </c>
      <c r="CL42" s="175">
        <v>-8584</v>
      </c>
      <c r="CM42" s="175">
        <f>CL42+CK42</f>
        <v>-21114</v>
      </c>
      <c r="CN42" s="175">
        <v>-3782</v>
      </c>
      <c r="CO42" s="175">
        <v>-499</v>
      </c>
      <c r="CP42" s="175">
        <f t="shared" si="124"/>
        <v>-4281</v>
      </c>
      <c r="CQ42" s="175">
        <v>-39132</v>
      </c>
      <c r="CR42" s="175">
        <f t="shared" si="160"/>
        <v>-43413</v>
      </c>
      <c r="CS42" s="175">
        <v>-38368</v>
      </c>
      <c r="CT42" s="175">
        <f t="shared" ref="CT42:CT47" si="164">CS42+CR42</f>
        <v>-81781</v>
      </c>
      <c r="CU42" s="175">
        <v>-14184</v>
      </c>
      <c r="CV42" s="175">
        <v>-3161</v>
      </c>
      <c r="CW42" s="175">
        <f t="shared" si="127"/>
        <v>-17345</v>
      </c>
      <c r="CX42" s="175">
        <v>-12845</v>
      </c>
      <c r="CY42" s="175">
        <f t="shared" si="161"/>
        <v>-30190</v>
      </c>
      <c r="CZ42" s="175">
        <v>-17432</v>
      </c>
      <c r="DA42" s="175">
        <f t="shared" ref="DA42" si="165">CZ42+CY42</f>
        <v>-47622</v>
      </c>
      <c r="DB42" s="175">
        <v>-10037</v>
      </c>
      <c r="DC42" s="175">
        <v>-3459</v>
      </c>
      <c r="DD42" s="175">
        <f t="shared" si="128"/>
        <v>-13496</v>
      </c>
      <c r="DE42" s="175">
        <v>-44367</v>
      </c>
      <c r="DF42" s="175">
        <f t="shared" si="162"/>
        <v>-57863</v>
      </c>
      <c r="DG42" s="175">
        <v>-52903</v>
      </c>
      <c r="DH42" s="175">
        <f t="shared" si="163"/>
        <v>-110766</v>
      </c>
      <c r="DI42" s="175">
        <v>-31810</v>
      </c>
      <c r="DJ42" s="175">
        <v>-14082</v>
      </c>
      <c r="DK42" s="175">
        <f t="shared" si="15"/>
        <v>-45892</v>
      </c>
    </row>
    <row r="43" spans="1:116" ht="10.5" customHeight="1" x14ac:dyDescent="0.25">
      <c r="A43" s="56"/>
      <c r="B43" s="57"/>
      <c r="C43" s="57" t="s">
        <v>422</v>
      </c>
      <c r="D43" s="58"/>
      <c r="E43" s="59"/>
      <c r="F43" s="59"/>
      <c r="G43" s="59"/>
      <c r="H43" s="175">
        <v>-17729</v>
      </c>
      <c r="I43" s="175">
        <v>-4700</v>
      </c>
      <c r="J43" s="177">
        <f t="shared" si="77"/>
        <v>-22429</v>
      </c>
      <c r="K43" s="175">
        <v>1433</v>
      </c>
      <c r="L43" s="175">
        <f t="shared" si="78"/>
        <v>-20996</v>
      </c>
      <c r="M43" s="175">
        <v>-1176</v>
      </c>
      <c r="N43" s="175">
        <f t="shared" si="143"/>
        <v>-22172</v>
      </c>
      <c r="O43" s="178">
        <v>3484</v>
      </c>
      <c r="P43" s="175">
        <v>7752</v>
      </c>
      <c r="Q43" s="175">
        <f t="shared" si="79"/>
        <v>11236</v>
      </c>
      <c r="R43" s="182">
        <v>2604</v>
      </c>
      <c r="S43" s="182">
        <f t="shared" si="80"/>
        <v>13840</v>
      </c>
      <c r="T43" s="175">
        <f t="shared" si="144"/>
        <v>4174</v>
      </c>
      <c r="U43" s="175">
        <v>18014</v>
      </c>
      <c r="V43" s="182">
        <v>-11010</v>
      </c>
      <c r="W43" s="182">
        <v>-29371</v>
      </c>
      <c r="X43" s="182">
        <f t="shared" si="81"/>
        <v>-40381</v>
      </c>
      <c r="Y43" s="182">
        <v>-19030</v>
      </c>
      <c r="Z43" s="182">
        <f t="shared" si="82"/>
        <v>-59411</v>
      </c>
      <c r="AA43" s="175">
        <f t="shared" si="145"/>
        <v>-385</v>
      </c>
      <c r="AB43" s="175">
        <v>-59796</v>
      </c>
      <c r="AC43" s="175">
        <v>-23655</v>
      </c>
      <c r="AD43" s="175">
        <f t="shared" si="107"/>
        <v>-35578</v>
      </c>
      <c r="AE43" s="175">
        <v>-59233</v>
      </c>
      <c r="AF43" s="175">
        <f t="shared" si="108"/>
        <v>-16352</v>
      </c>
      <c r="AG43" s="175">
        <v>-75585</v>
      </c>
      <c r="AH43" s="175">
        <f t="shared" si="146"/>
        <v>-5126</v>
      </c>
      <c r="AI43" s="175">
        <v>-80711</v>
      </c>
      <c r="AJ43" s="175">
        <v>-20610</v>
      </c>
      <c r="AK43" s="175">
        <v>2038</v>
      </c>
      <c r="AL43" s="175">
        <f t="shared" si="110"/>
        <v>-18572</v>
      </c>
      <c r="AM43" s="175">
        <v>-1632</v>
      </c>
      <c r="AN43" s="175">
        <f t="shared" si="111"/>
        <v>-20204</v>
      </c>
      <c r="AO43" s="175">
        <v>-12276</v>
      </c>
      <c r="AP43" s="175">
        <f t="shared" si="147"/>
        <v>-32480</v>
      </c>
      <c r="AQ43" s="175">
        <v>-36814</v>
      </c>
      <c r="AR43" s="175">
        <v>-43922</v>
      </c>
      <c r="AS43" s="175">
        <v>-80736</v>
      </c>
      <c r="AT43" s="175">
        <v>-26679</v>
      </c>
      <c r="AU43" s="175">
        <v>-107415</v>
      </c>
      <c r="AV43" s="175">
        <v>-7982</v>
      </c>
      <c r="AW43" s="175">
        <f t="shared" si="148"/>
        <v>-115397</v>
      </c>
      <c r="AX43" s="175">
        <v>-29786</v>
      </c>
      <c r="AY43" s="175">
        <f t="shared" si="9"/>
        <v>-57844</v>
      </c>
      <c r="AZ43" s="175">
        <v>-87630</v>
      </c>
      <c r="BA43" s="175">
        <f t="shared" si="133"/>
        <v>-16172</v>
      </c>
      <c r="BB43" s="175">
        <v>-103802</v>
      </c>
      <c r="BC43" s="175">
        <f t="shared" si="134"/>
        <v>-12502</v>
      </c>
      <c r="BD43" s="175">
        <v>-116304</v>
      </c>
      <c r="BE43" s="175">
        <v>-58155</v>
      </c>
      <c r="BF43" s="175">
        <v>20437</v>
      </c>
      <c r="BG43" s="175">
        <f t="shared" si="114"/>
        <v>-37718</v>
      </c>
      <c r="BH43" s="175">
        <v>-5299</v>
      </c>
      <c r="BI43" s="175">
        <f t="shared" si="115"/>
        <v>-43017</v>
      </c>
      <c r="BJ43" s="175">
        <v>-19189</v>
      </c>
      <c r="BK43" s="175">
        <f t="shared" si="149"/>
        <v>-62206</v>
      </c>
      <c r="BL43" s="175">
        <v>-64907</v>
      </c>
      <c r="BM43" s="175">
        <v>-34251</v>
      </c>
      <c r="BN43" s="175">
        <f t="shared" si="150"/>
        <v>-99158</v>
      </c>
      <c r="BO43" s="175">
        <v>-33412</v>
      </c>
      <c r="BP43" s="175">
        <f t="shared" si="151"/>
        <v>-132570</v>
      </c>
      <c r="BQ43" s="175">
        <v>-22252</v>
      </c>
      <c r="BR43" s="175">
        <f t="shared" si="152"/>
        <v>-154822</v>
      </c>
      <c r="BS43" s="175">
        <v>-58685</v>
      </c>
      <c r="BT43" s="175">
        <v>-130289</v>
      </c>
      <c r="BU43" s="175">
        <f t="shared" si="153"/>
        <v>-188974</v>
      </c>
      <c r="BV43" s="175">
        <v>-49183</v>
      </c>
      <c r="BW43" s="175">
        <f t="shared" si="154"/>
        <v>-238157</v>
      </c>
      <c r="BX43" s="175">
        <f>-296085-BW43</f>
        <v>-57928</v>
      </c>
      <c r="BY43" s="175">
        <f t="shared" si="155"/>
        <v>-296085</v>
      </c>
      <c r="BZ43" s="175">
        <v>-97528</v>
      </c>
      <c r="CA43" s="175">
        <v>-45958</v>
      </c>
      <c r="CB43" s="175">
        <f t="shared" si="156"/>
        <v>-143486</v>
      </c>
      <c r="CC43" s="175">
        <v>-52912</v>
      </c>
      <c r="CD43" s="175">
        <f t="shared" si="157"/>
        <v>-196398</v>
      </c>
      <c r="CE43" s="175">
        <f>-217389-CD43</f>
        <v>-20991</v>
      </c>
      <c r="CF43" s="175">
        <f t="shared" si="158"/>
        <v>-217389</v>
      </c>
      <c r="CG43" s="175">
        <f>-237770-CH43-1</f>
        <v>-124222</v>
      </c>
      <c r="CH43" s="175">
        <v>-113549</v>
      </c>
      <c r="CI43" s="175">
        <v>-237770</v>
      </c>
      <c r="CJ43" s="175">
        <v>-63466</v>
      </c>
      <c r="CK43" s="175">
        <f t="shared" si="159"/>
        <v>-301236</v>
      </c>
      <c r="CL43" s="175">
        <v>-16145</v>
      </c>
      <c r="CM43" s="175">
        <f>CL43+CK43</f>
        <v>-317381</v>
      </c>
      <c r="CN43" s="175">
        <v>-297961</v>
      </c>
      <c r="CO43" s="175">
        <v>-301701</v>
      </c>
      <c r="CP43" s="175">
        <f t="shared" si="124"/>
        <v>-599662</v>
      </c>
      <c r="CQ43" s="175">
        <v>-72587</v>
      </c>
      <c r="CR43" s="175">
        <f t="shared" si="160"/>
        <v>-672249</v>
      </c>
      <c r="CS43" s="175">
        <v>-118293</v>
      </c>
      <c r="CT43" s="175">
        <f t="shared" si="164"/>
        <v>-790542</v>
      </c>
      <c r="CU43" s="175">
        <v>-634833</v>
      </c>
      <c r="CV43" s="175">
        <v>-445752</v>
      </c>
      <c r="CW43" s="175">
        <f t="shared" si="127"/>
        <v>-1080585</v>
      </c>
      <c r="CX43" s="175">
        <v>-102609</v>
      </c>
      <c r="CY43" s="175">
        <f>CX43+CW43</f>
        <v>-1183194</v>
      </c>
      <c r="CZ43" s="175">
        <v>-246746</v>
      </c>
      <c r="DA43" s="175">
        <f>CZ43+CY43</f>
        <v>-1429940</v>
      </c>
      <c r="DB43" s="175">
        <v>-531221</v>
      </c>
      <c r="DC43" s="175">
        <v>-321988</v>
      </c>
      <c r="DD43" s="175">
        <f t="shared" si="128"/>
        <v>-853209</v>
      </c>
      <c r="DE43" s="175">
        <v>-60523</v>
      </c>
      <c r="DF43" s="175">
        <f>DE43+DD43</f>
        <v>-913732</v>
      </c>
      <c r="DG43" s="175">
        <v>-293721</v>
      </c>
      <c r="DH43" s="175">
        <f>DG43+DF43+1</f>
        <v>-1207452</v>
      </c>
      <c r="DI43" s="175">
        <v>161460</v>
      </c>
      <c r="DJ43" s="175">
        <v>43030</v>
      </c>
      <c r="DK43" s="175">
        <f t="shared" si="15"/>
        <v>204490</v>
      </c>
    </row>
    <row r="44" spans="1:116" ht="10.5" customHeight="1" x14ac:dyDescent="0.25">
      <c r="A44" s="56"/>
      <c r="B44" s="57"/>
      <c r="C44" s="57" t="s">
        <v>108</v>
      </c>
      <c r="D44" s="58"/>
      <c r="E44" s="59"/>
      <c r="F44" s="59"/>
      <c r="G44" s="59"/>
      <c r="H44" s="175">
        <v>502</v>
      </c>
      <c r="I44" s="175">
        <v>762</v>
      </c>
      <c r="J44" s="177">
        <f t="shared" si="77"/>
        <v>1264</v>
      </c>
      <c r="K44" s="175">
        <v>-742</v>
      </c>
      <c r="L44" s="175">
        <f t="shared" si="78"/>
        <v>522</v>
      </c>
      <c r="M44" s="175">
        <v>2393</v>
      </c>
      <c r="N44" s="175">
        <f t="shared" si="143"/>
        <v>2915</v>
      </c>
      <c r="O44" s="178">
        <v>654</v>
      </c>
      <c r="P44" s="175">
        <v>213</v>
      </c>
      <c r="Q44" s="175">
        <f t="shared" si="79"/>
        <v>867</v>
      </c>
      <c r="R44" s="182">
        <v>3765</v>
      </c>
      <c r="S44" s="182">
        <f t="shared" si="80"/>
        <v>4632</v>
      </c>
      <c r="T44" s="175">
        <f t="shared" si="144"/>
        <v>-4196</v>
      </c>
      <c r="U44" s="175">
        <v>436</v>
      </c>
      <c r="V44" s="182">
        <v>-650</v>
      </c>
      <c r="W44" s="182">
        <v>-936</v>
      </c>
      <c r="X44" s="182">
        <f t="shared" si="81"/>
        <v>-1586</v>
      </c>
      <c r="Y44" s="182">
        <v>383</v>
      </c>
      <c r="Z44" s="182">
        <f t="shared" si="82"/>
        <v>-1203</v>
      </c>
      <c r="AA44" s="175">
        <f t="shared" si="145"/>
        <v>-1064</v>
      </c>
      <c r="AB44" s="175">
        <v>-2267</v>
      </c>
      <c r="AC44" s="175">
        <v>-1907</v>
      </c>
      <c r="AD44" s="175">
        <f t="shared" si="107"/>
        <v>-771</v>
      </c>
      <c r="AE44" s="175">
        <v>-2678</v>
      </c>
      <c r="AF44" s="175">
        <v>-9164</v>
      </c>
      <c r="AG44" s="175">
        <v>-11841</v>
      </c>
      <c r="AH44" s="175">
        <f t="shared" si="146"/>
        <v>-15331</v>
      </c>
      <c r="AI44" s="175">
        <v>-27172</v>
      </c>
      <c r="AJ44" s="175">
        <v>-1275</v>
      </c>
      <c r="AK44" s="175">
        <v>6190</v>
      </c>
      <c r="AL44" s="175">
        <f t="shared" si="110"/>
        <v>4915</v>
      </c>
      <c r="AM44" s="175">
        <v>1519</v>
      </c>
      <c r="AN44" s="175">
        <f t="shared" si="111"/>
        <v>6434</v>
      </c>
      <c r="AO44" s="175">
        <v>-473</v>
      </c>
      <c r="AP44" s="175">
        <f t="shared" si="147"/>
        <v>5961</v>
      </c>
      <c r="AQ44" s="175">
        <v>-206</v>
      </c>
      <c r="AR44" s="175">
        <v>849</v>
      </c>
      <c r="AS44" s="175">
        <v>643</v>
      </c>
      <c r="AT44" s="175">
        <v>1778</v>
      </c>
      <c r="AU44" s="175">
        <v>2421</v>
      </c>
      <c r="AV44" s="175">
        <v>1775</v>
      </c>
      <c r="AW44" s="175">
        <f t="shared" si="148"/>
        <v>4196</v>
      </c>
      <c r="AX44" s="175">
        <v>-948</v>
      </c>
      <c r="AY44" s="175">
        <f t="shared" si="9"/>
        <v>726</v>
      </c>
      <c r="AZ44" s="175">
        <v>-222</v>
      </c>
      <c r="BA44" s="175">
        <f t="shared" si="133"/>
        <v>-1268</v>
      </c>
      <c r="BB44" s="175">
        <v>-1490</v>
      </c>
      <c r="BC44" s="175">
        <f t="shared" si="134"/>
        <v>-4087</v>
      </c>
      <c r="BD44" s="175">
        <v>-5577</v>
      </c>
      <c r="BE44" s="175">
        <v>-74</v>
      </c>
      <c r="BF44" s="175">
        <v>-106</v>
      </c>
      <c r="BG44" s="175">
        <f t="shared" si="114"/>
        <v>-180</v>
      </c>
      <c r="BH44" s="175">
        <v>-14254</v>
      </c>
      <c r="BI44" s="175">
        <f t="shared" si="115"/>
        <v>-14434</v>
      </c>
      <c r="BJ44" s="175">
        <v>-6257</v>
      </c>
      <c r="BK44" s="175">
        <f t="shared" si="149"/>
        <v>-20691</v>
      </c>
      <c r="BL44" s="175">
        <v>-465</v>
      </c>
      <c r="BM44" s="175">
        <v>1689</v>
      </c>
      <c r="BN44" s="175">
        <f t="shared" si="150"/>
        <v>1224</v>
      </c>
      <c r="BO44" s="175">
        <v>15425</v>
      </c>
      <c r="BP44" s="175">
        <f t="shared" si="151"/>
        <v>16649</v>
      </c>
      <c r="BQ44" s="175">
        <v>-429</v>
      </c>
      <c r="BR44" s="175">
        <f t="shared" si="152"/>
        <v>16220</v>
      </c>
      <c r="BS44" s="175">
        <v>-447</v>
      </c>
      <c r="BT44" s="175">
        <v>11</v>
      </c>
      <c r="BU44" s="175">
        <f t="shared" si="153"/>
        <v>-436</v>
      </c>
      <c r="BV44" s="175">
        <v>183</v>
      </c>
      <c r="BW44" s="175">
        <f t="shared" si="154"/>
        <v>-253</v>
      </c>
      <c r="BX44" s="175">
        <f>1971-BW44</f>
        <v>2224</v>
      </c>
      <c r="BY44" s="175">
        <f t="shared" si="155"/>
        <v>1971</v>
      </c>
      <c r="BZ44" s="175">
        <v>-1618</v>
      </c>
      <c r="CA44" s="175">
        <v>-2935</v>
      </c>
      <c r="CB44" s="175">
        <f t="shared" si="156"/>
        <v>-4553</v>
      </c>
      <c r="CC44" s="175">
        <v>-9279</v>
      </c>
      <c r="CD44" s="175">
        <f t="shared" si="157"/>
        <v>-13832</v>
      </c>
      <c r="CE44" s="175">
        <f>-19593-CD44</f>
        <v>-5761</v>
      </c>
      <c r="CF44" s="175">
        <f t="shared" si="158"/>
        <v>-19593</v>
      </c>
      <c r="CG44" s="175">
        <v>-1374</v>
      </c>
      <c r="CH44" s="175">
        <v>-4742</v>
      </c>
      <c r="CI44" s="175">
        <v>-6116</v>
      </c>
      <c r="CJ44" s="175">
        <v>-40009</v>
      </c>
      <c r="CK44" s="175">
        <f t="shared" si="159"/>
        <v>-46125</v>
      </c>
      <c r="CL44" s="175">
        <v>-18007</v>
      </c>
      <c r="CM44" s="175">
        <f>CL44+CK44</f>
        <v>-64132</v>
      </c>
      <c r="CN44" s="175">
        <v>15</v>
      </c>
      <c r="CO44" s="175">
        <v>-8733</v>
      </c>
      <c r="CP44" s="175">
        <f t="shared" si="124"/>
        <v>-8718</v>
      </c>
      <c r="CQ44" s="175">
        <v>-53063</v>
      </c>
      <c r="CR44" s="175">
        <f t="shared" si="160"/>
        <v>-61781</v>
      </c>
      <c r="CS44" s="175">
        <v>-10645</v>
      </c>
      <c r="CT44" s="175">
        <f>CS44+CR44</f>
        <v>-72426</v>
      </c>
      <c r="CU44" s="175">
        <v>-3222</v>
      </c>
      <c r="CV44" s="175">
        <v>-14338</v>
      </c>
      <c r="CW44" s="175">
        <f t="shared" si="127"/>
        <v>-17560</v>
      </c>
      <c r="CX44" s="175">
        <v>-68774</v>
      </c>
      <c r="CY44" s="175">
        <f>CX44+CW44</f>
        <v>-86334</v>
      </c>
      <c r="CZ44" s="175">
        <v>-36281</v>
      </c>
      <c r="DA44" s="175">
        <f>CZ44+CY44</f>
        <v>-122615</v>
      </c>
      <c r="DB44" s="175">
        <v>-15755</v>
      </c>
      <c r="DC44" s="175">
        <v>-1042</v>
      </c>
      <c r="DD44" s="175">
        <f t="shared" si="128"/>
        <v>-16797</v>
      </c>
      <c r="DE44" s="175">
        <v>-66512</v>
      </c>
      <c r="DF44" s="175">
        <f>DE44+DD44</f>
        <v>-83309</v>
      </c>
      <c r="DG44" s="175">
        <v>-28246</v>
      </c>
      <c r="DH44" s="175">
        <f>DG44+DF44</f>
        <v>-111555</v>
      </c>
      <c r="DI44" s="175">
        <v>-3988</v>
      </c>
      <c r="DJ44" s="175">
        <v>1233</v>
      </c>
      <c r="DK44" s="175">
        <f t="shared" si="15"/>
        <v>-2755</v>
      </c>
    </row>
    <row r="45" spans="1:116" ht="10.5" customHeight="1" x14ac:dyDescent="0.25">
      <c r="A45" s="56"/>
      <c r="B45" s="57"/>
      <c r="C45" s="57" t="s">
        <v>109</v>
      </c>
      <c r="D45" s="58"/>
      <c r="E45" s="59"/>
      <c r="F45" s="59"/>
      <c r="G45" s="59"/>
      <c r="H45" s="175">
        <v>-493</v>
      </c>
      <c r="I45" s="175">
        <v>-666</v>
      </c>
      <c r="J45" s="177">
        <f t="shared" si="77"/>
        <v>-1159</v>
      </c>
      <c r="K45" s="175">
        <v>-942</v>
      </c>
      <c r="L45" s="175">
        <f t="shared" si="78"/>
        <v>-2101</v>
      </c>
      <c r="M45" s="175">
        <v>-4959</v>
      </c>
      <c r="N45" s="175">
        <f t="shared" si="143"/>
        <v>-7060</v>
      </c>
      <c r="O45" s="178">
        <v>-4658</v>
      </c>
      <c r="P45" s="175">
        <v>-736</v>
      </c>
      <c r="Q45" s="175">
        <f t="shared" si="79"/>
        <v>-5394</v>
      </c>
      <c r="R45" s="182">
        <v>-201</v>
      </c>
      <c r="S45" s="182">
        <f t="shared" si="80"/>
        <v>-5595</v>
      </c>
      <c r="T45" s="175">
        <f t="shared" si="144"/>
        <v>-2783</v>
      </c>
      <c r="U45" s="175">
        <v>-8378</v>
      </c>
      <c r="V45" s="182">
        <v>-170</v>
      </c>
      <c r="W45" s="182">
        <v>0</v>
      </c>
      <c r="X45" s="182">
        <f t="shared" si="81"/>
        <v>-170</v>
      </c>
      <c r="Y45" s="182">
        <v>0</v>
      </c>
      <c r="Z45" s="182">
        <f t="shared" si="82"/>
        <v>-170</v>
      </c>
      <c r="AA45" s="175">
        <f t="shared" si="145"/>
        <v>0</v>
      </c>
      <c r="AB45" s="175">
        <v>-170</v>
      </c>
      <c r="AC45" s="175">
        <v>759</v>
      </c>
      <c r="AD45" s="175">
        <f t="shared" si="107"/>
        <v>0</v>
      </c>
      <c r="AE45" s="175">
        <v>759</v>
      </c>
      <c r="AF45" s="175">
        <f t="shared" si="108"/>
        <v>0</v>
      </c>
      <c r="AG45" s="175">
        <v>759</v>
      </c>
      <c r="AH45" s="175">
        <f t="shared" si="146"/>
        <v>-2075</v>
      </c>
      <c r="AI45" s="175">
        <v>-1316</v>
      </c>
      <c r="AJ45" s="175">
        <v>-2571</v>
      </c>
      <c r="AK45" s="175">
        <v>-2377</v>
      </c>
      <c r="AL45" s="175">
        <f t="shared" si="110"/>
        <v>-4948</v>
      </c>
      <c r="AM45" s="175">
        <v>-426</v>
      </c>
      <c r="AN45" s="175">
        <f t="shared" si="111"/>
        <v>-5374</v>
      </c>
      <c r="AO45" s="175">
        <v>-1016</v>
      </c>
      <c r="AP45" s="175">
        <f t="shared" si="147"/>
        <v>-6390</v>
      </c>
      <c r="AQ45" s="175">
        <v>-946</v>
      </c>
      <c r="AR45" s="175">
        <v>-76</v>
      </c>
      <c r="AS45" s="175">
        <v>-1022</v>
      </c>
      <c r="AT45" s="175">
        <v>-18</v>
      </c>
      <c r="AU45" s="175">
        <v>-1040</v>
      </c>
      <c r="AV45" s="175">
        <v>-493</v>
      </c>
      <c r="AW45" s="175">
        <f t="shared" si="148"/>
        <v>-1533</v>
      </c>
      <c r="AX45" s="175">
        <v>-4</v>
      </c>
      <c r="AY45" s="175">
        <f t="shared" si="9"/>
        <v>-1</v>
      </c>
      <c r="AZ45" s="175">
        <v>-5</v>
      </c>
      <c r="BA45" s="175">
        <f t="shared" si="133"/>
        <v>0</v>
      </c>
      <c r="BB45" s="175">
        <v>-5</v>
      </c>
      <c r="BC45" s="175">
        <f t="shared" si="134"/>
        <v>0</v>
      </c>
      <c r="BD45" s="175">
        <v>-5</v>
      </c>
      <c r="BE45" s="175">
        <v>0</v>
      </c>
      <c r="BF45" s="175">
        <v>0</v>
      </c>
      <c r="BG45" s="175">
        <f t="shared" si="114"/>
        <v>0</v>
      </c>
      <c r="BH45" s="175">
        <v>0</v>
      </c>
      <c r="BI45" s="175">
        <f t="shared" si="115"/>
        <v>0</v>
      </c>
      <c r="BJ45" s="175">
        <v>0</v>
      </c>
      <c r="BK45" s="175">
        <f t="shared" si="149"/>
        <v>0</v>
      </c>
      <c r="BL45" s="175">
        <v>0</v>
      </c>
      <c r="BM45" s="175">
        <v>0</v>
      </c>
      <c r="BN45" s="175">
        <f t="shared" si="150"/>
        <v>0</v>
      </c>
      <c r="BO45" s="175">
        <v>0</v>
      </c>
      <c r="BP45" s="175">
        <f t="shared" si="151"/>
        <v>0</v>
      </c>
      <c r="BQ45" s="175">
        <v>0</v>
      </c>
      <c r="BR45" s="175">
        <f t="shared" si="152"/>
        <v>0</v>
      </c>
      <c r="BS45" s="175">
        <v>0</v>
      </c>
      <c r="BT45" s="175">
        <v>0</v>
      </c>
      <c r="BU45" s="175">
        <f t="shared" si="153"/>
        <v>0</v>
      </c>
      <c r="BV45" s="175">
        <v>0</v>
      </c>
      <c r="BW45" s="175">
        <f t="shared" si="154"/>
        <v>0</v>
      </c>
      <c r="BX45" s="175">
        <v>0</v>
      </c>
      <c r="BY45" s="175">
        <f t="shared" si="155"/>
        <v>0</v>
      </c>
      <c r="BZ45" s="175">
        <v>0</v>
      </c>
      <c r="CA45" s="175">
        <v>0</v>
      </c>
      <c r="CB45" s="175">
        <f t="shared" si="156"/>
        <v>0</v>
      </c>
      <c r="CC45" s="175">
        <v>0</v>
      </c>
      <c r="CD45" s="175">
        <f t="shared" si="157"/>
        <v>0</v>
      </c>
      <c r="CE45" s="175">
        <v>0</v>
      </c>
      <c r="CF45" s="175">
        <f t="shared" si="158"/>
        <v>0</v>
      </c>
      <c r="CG45" s="175">
        <v>0</v>
      </c>
      <c r="CH45" s="175">
        <v>0</v>
      </c>
      <c r="CI45" s="175">
        <v>0</v>
      </c>
      <c r="CJ45" s="175">
        <v>0</v>
      </c>
      <c r="CK45" s="175">
        <f t="shared" si="159"/>
        <v>0</v>
      </c>
      <c r="CL45" s="175">
        <v>0</v>
      </c>
      <c r="CM45" s="175">
        <f>CL45+CK45</f>
        <v>0</v>
      </c>
      <c r="CN45" s="175">
        <v>0</v>
      </c>
      <c r="CO45" s="175">
        <v>0</v>
      </c>
      <c r="CP45" s="175">
        <v>0</v>
      </c>
      <c r="CQ45" s="175">
        <v>0</v>
      </c>
      <c r="CR45" s="175">
        <v>0</v>
      </c>
      <c r="CS45" s="175">
        <v>0</v>
      </c>
      <c r="CT45" s="175">
        <f t="shared" si="164"/>
        <v>0</v>
      </c>
      <c r="CU45" s="175">
        <v>0</v>
      </c>
      <c r="CV45" s="175">
        <v>0</v>
      </c>
      <c r="CW45" s="175">
        <v>0</v>
      </c>
      <c r="CX45" s="175">
        <v>0</v>
      </c>
      <c r="CY45" s="175">
        <v>0</v>
      </c>
      <c r="CZ45" s="175">
        <v>0</v>
      </c>
      <c r="DA45" s="175">
        <v>0</v>
      </c>
      <c r="DB45" s="175">
        <v>0</v>
      </c>
      <c r="DC45" s="175">
        <v>0</v>
      </c>
      <c r="DD45" s="175">
        <v>0</v>
      </c>
      <c r="DE45" s="175">
        <v>0</v>
      </c>
      <c r="DF45" s="175">
        <v>0</v>
      </c>
      <c r="DG45" s="175">
        <v>0</v>
      </c>
      <c r="DH45" s="175">
        <v>0</v>
      </c>
      <c r="DI45" s="175">
        <v>0</v>
      </c>
      <c r="DJ45" s="175">
        <v>0</v>
      </c>
      <c r="DK45" s="175">
        <f t="shared" si="15"/>
        <v>0</v>
      </c>
    </row>
    <row r="46" spans="1:116" ht="10.5" customHeight="1" x14ac:dyDescent="0.25">
      <c r="A46" s="56"/>
      <c r="B46" s="57"/>
      <c r="C46" s="57" t="s">
        <v>263</v>
      </c>
      <c r="D46" s="58"/>
      <c r="E46" s="59"/>
      <c r="F46" s="59"/>
      <c r="G46" s="59"/>
      <c r="H46" s="175"/>
      <c r="I46" s="175"/>
      <c r="J46" s="177"/>
      <c r="K46" s="175"/>
      <c r="L46" s="175"/>
      <c r="M46" s="175"/>
      <c r="N46" s="175"/>
      <c r="O46" s="178"/>
      <c r="P46" s="175"/>
      <c r="Q46" s="175"/>
      <c r="R46" s="182"/>
      <c r="S46" s="182"/>
      <c r="T46" s="175"/>
      <c r="U46" s="175"/>
      <c r="V46" s="182"/>
      <c r="W46" s="182"/>
      <c r="X46" s="182"/>
      <c r="Y46" s="182"/>
      <c r="Z46" s="182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5"/>
      <c r="CO46" s="175">
        <f>0-3164</f>
        <v>-3164</v>
      </c>
      <c r="CP46" s="175">
        <f t="shared" si="124"/>
        <v>-3164</v>
      </c>
      <c r="CQ46" s="175"/>
      <c r="CR46" s="175">
        <f t="shared" si="160"/>
        <v>-3164</v>
      </c>
      <c r="CS46" s="175">
        <v>-6223</v>
      </c>
      <c r="CT46" s="175">
        <f t="shared" si="164"/>
        <v>-9387</v>
      </c>
      <c r="CU46" s="175">
        <v>-3886</v>
      </c>
      <c r="CV46" s="175">
        <v>-4304</v>
      </c>
      <c r="CW46" s="175">
        <f t="shared" si="127"/>
        <v>-8190</v>
      </c>
      <c r="CX46" s="175">
        <v>-5646</v>
      </c>
      <c r="CY46" s="175">
        <f t="shared" ref="CY46:CY47" si="166">CX46+CW46</f>
        <v>-13836</v>
      </c>
      <c r="CZ46" s="175">
        <v>-1804</v>
      </c>
      <c r="DA46" s="175">
        <f>CZ46+CY46</f>
        <v>-15640</v>
      </c>
      <c r="DB46" s="175">
        <v>-1176</v>
      </c>
      <c r="DC46" s="175">
        <v>-3325</v>
      </c>
      <c r="DD46" s="175">
        <f t="shared" si="128"/>
        <v>-4501</v>
      </c>
      <c r="DE46" s="175">
        <v>-3465</v>
      </c>
      <c r="DF46" s="175">
        <f>DE46+DD46+1</f>
        <v>-7965</v>
      </c>
      <c r="DG46" s="175">
        <v>-4252</v>
      </c>
      <c r="DH46" s="175">
        <f>DG46+DF46-1</f>
        <v>-12218</v>
      </c>
      <c r="DI46" s="175">
        <v>-2342</v>
      </c>
      <c r="DJ46" s="175">
        <v>-1011</v>
      </c>
      <c r="DK46" s="175">
        <f t="shared" si="15"/>
        <v>-3353</v>
      </c>
    </row>
    <row r="47" spans="1:116" ht="10.5" customHeight="1" x14ac:dyDescent="0.25">
      <c r="A47" s="56"/>
      <c r="B47" s="57"/>
      <c r="C47" s="57" t="s">
        <v>110</v>
      </c>
      <c r="D47" s="58"/>
      <c r="E47" s="59"/>
      <c r="F47" s="59"/>
      <c r="G47" s="59"/>
      <c r="H47" s="175">
        <v>-278</v>
      </c>
      <c r="I47" s="175">
        <v>-607</v>
      </c>
      <c r="J47" s="177">
        <f t="shared" si="77"/>
        <v>-885</v>
      </c>
      <c r="K47" s="175">
        <v>0</v>
      </c>
      <c r="L47" s="175">
        <f t="shared" si="78"/>
        <v>-885</v>
      </c>
      <c r="M47" s="175">
        <v>0</v>
      </c>
      <c r="N47" s="175">
        <f t="shared" si="143"/>
        <v>-885</v>
      </c>
      <c r="O47" s="178">
        <v>-699</v>
      </c>
      <c r="P47" s="175">
        <v>-5</v>
      </c>
      <c r="Q47" s="175">
        <f t="shared" si="79"/>
        <v>-704</v>
      </c>
      <c r="R47" s="182">
        <v>-72</v>
      </c>
      <c r="S47" s="182">
        <f t="shared" si="80"/>
        <v>-776</v>
      </c>
      <c r="T47" s="175">
        <f t="shared" si="144"/>
        <v>-347</v>
      </c>
      <c r="U47" s="175">
        <v>-1123</v>
      </c>
      <c r="V47" s="182">
        <v>-2097</v>
      </c>
      <c r="W47" s="182">
        <v>-174</v>
      </c>
      <c r="X47" s="182">
        <f t="shared" si="81"/>
        <v>-2271</v>
      </c>
      <c r="Y47" s="182">
        <v>0</v>
      </c>
      <c r="Z47" s="182">
        <f t="shared" si="82"/>
        <v>-2271</v>
      </c>
      <c r="AA47" s="175">
        <f t="shared" si="145"/>
        <v>0</v>
      </c>
      <c r="AB47" s="175">
        <v>-2271</v>
      </c>
      <c r="AC47" s="175">
        <v>-30</v>
      </c>
      <c r="AD47" s="175">
        <f t="shared" si="107"/>
        <v>0</v>
      </c>
      <c r="AE47" s="175">
        <v>-30</v>
      </c>
      <c r="AF47" s="175">
        <f t="shared" si="108"/>
        <v>0</v>
      </c>
      <c r="AG47" s="175">
        <v>-30</v>
      </c>
      <c r="AH47" s="175">
        <f t="shared" si="146"/>
        <v>15</v>
      </c>
      <c r="AI47" s="175">
        <v>-15</v>
      </c>
      <c r="AJ47" s="175">
        <v>6</v>
      </c>
      <c r="AK47" s="175">
        <v>0</v>
      </c>
      <c r="AL47" s="175">
        <f t="shared" si="110"/>
        <v>6</v>
      </c>
      <c r="AM47" s="175">
        <v>-563</v>
      </c>
      <c r="AN47" s="175">
        <f t="shared" si="111"/>
        <v>-557</v>
      </c>
      <c r="AO47" s="175">
        <v>-643</v>
      </c>
      <c r="AP47" s="175">
        <f t="shared" si="147"/>
        <v>-1200</v>
      </c>
      <c r="AQ47" s="175">
        <v>-1601</v>
      </c>
      <c r="AR47" s="175">
        <v>-2</v>
      </c>
      <c r="AS47" s="175">
        <v>-1603</v>
      </c>
      <c r="AT47" s="175">
        <v>720</v>
      </c>
      <c r="AU47" s="175">
        <v>-883</v>
      </c>
      <c r="AV47" s="175">
        <v>386</v>
      </c>
      <c r="AW47" s="175">
        <f t="shared" si="148"/>
        <v>-497</v>
      </c>
      <c r="AX47" s="175">
        <v>121</v>
      </c>
      <c r="AY47" s="175">
        <f t="shared" si="9"/>
        <v>0</v>
      </c>
      <c r="AZ47" s="175">
        <v>121</v>
      </c>
      <c r="BA47" s="175">
        <f t="shared" ref="BA47:BA75" si="167">BB47-AZ47</f>
        <v>0</v>
      </c>
      <c r="BB47" s="175">
        <v>121</v>
      </c>
      <c r="BC47" s="175">
        <f t="shared" ref="BC47:BC75" si="168">BD47-BB47</f>
        <v>0</v>
      </c>
      <c r="BD47" s="175">
        <v>121</v>
      </c>
      <c r="BE47" s="175"/>
      <c r="BF47" s="175">
        <v>0</v>
      </c>
      <c r="BG47" s="175">
        <f t="shared" si="114"/>
        <v>0</v>
      </c>
      <c r="BH47" s="175">
        <v>0</v>
      </c>
      <c r="BI47" s="175">
        <f t="shared" si="115"/>
        <v>0</v>
      </c>
      <c r="BJ47" s="175">
        <v>0</v>
      </c>
      <c r="BK47" s="175">
        <f t="shared" si="149"/>
        <v>0</v>
      </c>
      <c r="BL47" s="175">
        <v>0</v>
      </c>
      <c r="BM47" s="175">
        <v>-2045</v>
      </c>
      <c r="BN47" s="175">
        <f t="shared" si="150"/>
        <v>-2045</v>
      </c>
      <c r="BO47" s="175">
        <v>-560</v>
      </c>
      <c r="BP47" s="175">
        <f t="shared" si="151"/>
        <v>-2605</v>
      </c>
      <c r="BQ47" s="175">
        <v>-337</v>
      </c>
      <c r="BR47" s="175">
        <f t="shared" si="152"/>
        <v>-2942</v>
      </c>
      <c r="BS47" s="175">
        <v>0</v>
      </c>
      <c r="BT47" s="175">
        <v>-3568</v>
      </c>
      <c r="BU47" s="175">
        <f t="shared" si="153"/>
        <v>-3568</v>
      </c>
      <c r="BV47" s="175">
        <v>-2436</v>
      </c>
      <c r="BW47" s="175">
        <f t="shared" si="154"/>
        <v>-6004</v>
      </c>
      <c r="BX47" s="175">
        <f>-6849-BW47</f>
        <v>-845</v>
      </c>
      <c r="BY47" s="175">
        <f t="shared" si="155"/>
        <v>-6849</v>
      </c>
      <c r="BZ47" s="175">
        <v>-1964</v>
      </c>
      <c r="CA47" s="175">
        <v>-11882</v>
      </c>
      <c r="CB47" s="175">
        <f t="shared" si="156"/>
        <v>-13846</v>
      </c>
      <c r="CC47" s="175">
        <v>-2698</v>
      </c>
      <c r="CD47" s="175">
        <f t="shared" si="157"/>
        <v>-16544</v>
      </c>
      <c r="CE47" s="175">
        <f>-16973-CD47</f>
        <v>-429</v>
      </c>
      <c r="CF47" s="175">
        <f t="shared" si="158"/>
        <v>-16973</v>
      </c>
      <c r="CG47" s="175">
        <f>-61423-CH47</f>
        <v>-11529</v>
      </c>
      <c r="CH47" s="175">
        <v>-49894</v>
      </c>
      <c r="CI47" s="175">
        <v>-61423</v>
      </c>
      <c r="CJ47" s="175">
        <v>-4880</v>
      </c>
      <c r="CK47" s="175">
        <f t="shared" si="159"/>
        <v>-66303</v>
      </c>
      <c r="CL47" s="175">
        <v>-698</v>
      </c>
      <c r="CM47" s="175">
        <f>CL47+CK47</f>
        <v>-67001</v>
      </c>
      <c r="CN47" s="175">
        <f>-216-264</f>
        <v>-480</v>
      </c>
      <c r="CO47" s="175">
        <f>-1110+3165</f>
        <v>2055</v>
      </c>
      <c r="CP47" s="175">
        <f t="shared" ref="CP47" si="169">CO47+CN47</f>
        <v>1575</v>
      </c>
      <c r="CQ47" s="175">
        <v>-1695</v>
      </c>
      <c r="CR47" s="175">
        <f t="shared" ref="CR47" si="170">CQ47+CP47</f>
        <v>-120</v>
      </c>
      <c r="CS47" s="175">
        <v>0</v>
      </c>
      <c r="CT47" s="175">
        <f t="shared" si="164"/>
        <v>-120</v>
      </c>
      <c r="CU47" s="175">
        <v>0</v>
      </c>
      <c r="CV47" s="175">
        <v>0</v>
      </c>
      <c r="CW47" s="175">
        <f t="shared" si="127"/>
        <v>0</v>
      </c>
      <c r="CX47" s="175">
        <v>-2370</v>
      </c>
      <c r="CY47" s="175">
        <f t="shared" si="166"/>
        <v>-2370</v>
      </c>
      <c r="CZ47" s="175">
        <v>0</v>
      </c>
      <c r="DA47" s="175">
        <f t="shared" ref="DA47" si="171">CZ47+CY47</f>
        <v>-2370</v>
      </c>
      <c r="DB47" s="175">
        <v>0</v>
      </c>
      <c r="DC47" s="175">
        <v>0</v>
      </c>
      <c r="DD47" s="175">
        <f t="shared" si="128"/>
        <v>0</v>
      </c>
      <c r="DE47" s="175">
        <v>0</v>
      </c>
      <c r="DF47" s="175">
        <f t="shared" ref="DF47" si="172">DE47+DD47</f>
        <v>0</v>
      </c>
      <c r="DG47" s="175">
        <v>0</v>
      </c>
      <c r="DH47" s="175">
        <f t="shared" ref="DH47" si="173">DG47+DF47</f>
        <v>0</v>
      </c>
      <c r="DI47" s="175">
        <v>0</v>
      </c>
      <c r="DJ47" s="175">
        <v>0</v>
      </c>
      <c r="DK47" s="175">
        <f t="shared" si="15"/>
        <v>0</v>
      </c>
    </row>
    <row r="48" spans="1:116" s="137" customFormat="1" ht="10.5" customHeight="1" x14ac:dyDescent="0.25">
      <c r="A48" s="63" t="s">
        <v>270</v>
      </c>
      <c r="B48" s="64"/>
      <c r="C48" s="64"/>
      <c r="D48" s="65"/>
      <c r="E48" s="64"/>
      <c r="F48" s="64"/>
      <c r="G48" s="64"/>
      <c r="H48" s="176">
        <f>H8+H31</f>
        <v>99070</v>
      </c>
      <c r="I48" s="176">
        <f>I8+I31</f>
        <v>-26779</v>
      </c>
      <c r="J48" s="176">
        <f t="shared" si="77"/>
        <v>72291</v>
      </c>
      <c r="K48" s="176">
        <f>K8+K31</f>
        <v>-50700</v>
      </c>
      <c r="L48" s="176">
        <f t="shared" si="78"/>
        <v>21591</v>
      </c>
      <c r="M48" s="176">
        <f>M8+M31</f>
        <v>64024</v>
      </c>
      <c r="N48" s="176">
        <f>N8+N31</f>
        <v>85615</v>
      </c>
      <c r="O48" s="176">
        <f>O8+O31</f>
        <v>1094</v>
      </c>
      <c r="P48" s="176">
        <f>P8+P31</f>
        <v>74810</v>
      </c>
      <c r="Q48" s="176">
        <f t="shared" si="79"/>
        <v>75904</v>
      </c>
      <c r="R48" s="176">
        <f>R8+R31</f>
        <v>78398</v>
      </c>
      <c r="S48" s="176">
        <f t="shared" si="80"/>
        <v>154302</v>
      </c>
      <c r="T48" s="176">
        <f>T8+T31</f>
        <v>65402</v>
      </c>
      <c r="U48" s="176">
        <f>U8+U31</f>
        <v>219704</v>
      </c>
      <c r="V48" s="176">
        <f>V8+V31</f>
        <v>74736</v>
      </c>
      <c r="W48" s="176">
        <f>W8+W31</f>
        <v>74228</v>
      </c>
      <c r="X48" s="184">
        <f t="shared" si="81"/>
        <v>148964</v>
      </c>
      <c r="Y48" s="176">
        <f>Y8+Y31</f>
        <v>127638</v>
      </c>
      <c r="Z48" s="184">
        <f t="shared" si="82"/>
        <v>276602</v>
      </c>
      <c r="AA48" s="176">
        <f>AA8+AA31</f>
        <v>89186</v>
      </c>
      <c r="AB48" s="176">
        <f>AB8+AB31</f>
        <v>365788</v>
      </c>
      <c r="AC48" s="176">
        <f>AC8+AC31</f>
        <v>103969</v>
      </c>
      <c r="AD48" s="176">
        <f>AD8+AD31</f>
        <v>3605</v>
      </c>
      <c r="AE48" s="176">
        <f>AC48+AD48</f>
        <v>107574</v>
      </c>
      <c r="AF48" s="176">
        <f>AF8+AF31</f>
        <v>72999</v>
      </c>
      <c r="AG48" s="176">
        <f>AE48+AF48</f>
        <v>180573</v>
      </c>
      <c r="AH48" s="176">
        <f>AH8+AH31</f>
        <v>73214</v>
      </c>
      <c r="AI48" s="176">
        <f>AG48+AH48</f>
        <v>253787</v>
      </c>
      <c r="AJ48" s="176">
        <f t="shared" ref="AJ48:AX48" si="174">AJ8+AJ31</f>
        <v>72284</v>
      </c>
      <c r="AK48" s="176">
        <f t="shared" si="174"/>
        <v>96684</v>
      </c>
      <c r="AL48" s="176">
        <f t="shared" si="174"/>
        <v>168968</v>
      </c>
      <c r="AM48" s="176">
        <f t="shared" si="174"/>
        <v>55871</v>
      </c>
      <c r="AN48" s="176">
        <f t="shared" si="174"/>
        <v>224839</v>
      </c>
      <c r="AO48" s="176">
        <f t="shared" si="174"/>
        <v>36447</v>
      </c>
      <c r="AP48" s="176">
        <f t="shared" si="174"/>
        <v>261286</v>
      </c>
      <c r="AQ48" s="176">
        <f t="shared" si="174"/>
        <v>116494</v>
      </c>
      <c r="AR48" s="176">
        <f t="shared" si="174"/>
        <v>52443</v>
      </c>
      <c r="AS48" s="176">
        <f t="shared" si="174"/>
        <v>168937</v>
      </c>
      <c r="AT48" s="176">
        <f t="shared" si="174"/>
        <v>53300</v>
      </c>
      <c r="AU48" s="176">
        <f t="shared" si="174"/>
        <v>222237</v>
      </c>
      <c r="AV48" s="176">
        <f t="shared" si="174"/>
        <v>110848</v>
      </c>
      <c r="AW48" s="176">
        <f t="shared" si="174"/>
        <v>333085</v>
      </c>
      <c r="AX48" s="176">
        <f t="shared" si="174"/>
        <v>121916</v>
      </c>
      <c r="AY48" s="176">
        <f t="shared" si="9"/>
        <v>105810</v>
      </c>
      <c r="AZ48" s="176">
        <f>AZ8+AZ31</f>
        <v>227726</v>
      </c>
      <c r="BA48" s="176">
        <f t="shared" si="167"/>
        <v>87645</v>
      </c>
      <c r="BB48" s="176">
        <f>BB8+BB31</f>
        <v>315371</v>
      </c>
      <c r="BC48" s="176">
        <f t="shared" si="168"/>
        <v>117750</v>
      </c>
      <c r="BD48" s="176">
        <f t="shared" ref="BD48:CU48" si="175">BD8+BD31</f>
        <v>433121</v>
      </c>
      <c r="BE48" s="176">
        <f t="shared" si="175"/>
        <v>73673</v>
      </c>
      <c r="BF48" s="176">
        <f t="shared" si="175"/>
        <v>-72209</v>
      </c>
      <c r="BG48" s="176">
        <f t="shared" si="175"/>
        <v>1464</v>
      </c>
      <c r="BH48" s="176">
        <f t="shared" si="175"/>
        <v>40198</v>
      </c>
      <c r="BI48" s="176">
        <f t="shared" si="175"/>
        <v>41662</v>
      </c>
      <c r="BJ48" s="176">
        <f t="shared" si="175"/>
        <v>204806</v>
      </c>
      <c r="BK48" s="176">
        <f t="shared" si="175"/>
        <v>246468</v>
      </c>
      <c r="BL48" s="176">
        <f t="shared" si="175"/>
        <v>184950</v>
      </c>
      <c r="BM48" s="176">
        <f t="shared" si="175"/>
        <v>169478</v>
      </c>
      <c r="BN48" s="176">
        <f t="shared" si="175"/>
        <v>354428</v>
      </c>
      <c r="BO48" s="176">
        <f t="shared" si="175"/>
        <v>155553</v>
      </c>
      <c r="BP48" s="176">
        <f t="shared" si="175"/>
        <v>509981</v>
      </c>
      <c r="BQ48" s="176">
        <f t="shared" si="175"/>
        <v>167312</v>
      </c>
      <c r="BR48" s="176">
        <f t="shared" si="175"/>
        <v>677296</v>
      </c>
      <c r="BS48" s="176">
        <f t="shared" si="175"/>
        <v>314460</v>
      </c>
      <c r="BT48" s="176">
        <f t="shared" si="175"/>
        <v>301427</v>
      </c>
      <c r="BU48" s="176">
        <f t="shared" si="175"/>
        <v>615887</v>
      </c>
      <c r="BV48" s="176">
        <f t="shared" si="175"/>
        <v>114498</v>
      </c>
      <c r="BW48" s="176">
        <f t="shared" si="175"/>
        <v>730385</v>
      </c>
      <c r="BX48" s="176">
        <f t="shared" si="175"/>
        <v>115573</v>
      </c>
      <c r="BY48" s="176">
        <f t="shared" si="175"/>
        <v>845958</v>
      </c>
      <c r="BZ48" s="176">
        <f t="shared" si="175"/>
        <v>251771</v>
      </c>
      <c r="CA48" s="176">
        <f t="shared" si="175"/>
        <v>394555</v>
      </c>
      <c r="CB48" s="176">
        <f t="shared" si="175"/>
        <v>646326</v>
      </c>
      <c r="CC48" s="176">
        <f t="shared" si="175"/>
        <v>-62225</v>
      </c>
      <c r="CD48" s="176">
        <f t="shared" si="175"/>
        <v>584101</v>
      </c>
      <c r="CE48" s="176">
        <f t="shared" si="175"/>
        <v>199083</v>
      </c>
      <c r="CF48" s="176">
        <f t="shared" si="175"/>
        <v>783184</v>
      </c>
      <c r="CG48" s="176">
        <f t="shared" si="175"/>
        <v>327548</v>
      </c>
      <c r="CH48" s="176">
        <f t="shared" si="175"/>
        <v>387456</v>
      </c>
      <c r="CI48" s="176">
        <f t="shared" si="175"/>
        <v>715003</v>
      </c>
      <c r="CJ48" s="176">
        <f t="shared" si="175"/>
        <v>16808</v>
      </c>
      <c r="CK48" s="176">
        <f t="shared" si="175"/>
        <v>731811</v>
      </c>
      <c r="CL48" s="176">
        <f t="shared" si="175"/>
        <v>338488</v>
      </c>
      <c r="CM48" s="176">
        <f t="shared" si="175"/>
        <v>1070299</v>
      </c>
      <c r="CN48" s="176">
        <f t="shared" si="175"/>
        <v>697362</v>
      </c>
      <c r="CO48" s="176">
        <f t="shared" si="175"/>
        <v>792231</v>
      </c>
      <c r="CP48" s="176">
        <f t="shared" si="175"/>
        <v>1489592</v>
      </c>
      <c r="CQ48" s="176">
        <f t="shared" si="175"/>
        <v>208515</v>
      </c>
      <c r="CR48" s="176">
        <f t="shared" si="175"/>
        <v>1698102</v>
      </c>
      <c r="CS48" s="176">
        <f t="shared" si="175"/>
        <v>549538</v>
      </c>
      <c r="CT48" s="176">
        <f t="shared" si="175"/>
        <v>2247644</v>
      </c>
      <c r="CU48" s="176">
        <f t="shared" si="175"/>
        <v>1478677</v>
      </c>
      <c r="CV48" s="176">
        <f t="shared" ref="CV48:DJ48" si="176">CV8+CV31</f>
        <v>928366</v>
      </c>
      <c r="CW48" s="176">
        <f t="shared" si="176"/>
        <v>2407043</v>
      </c>
      <c r="CX48" s="176">
        <f t="shared" si="176"/>
        <v>167228</v>
      </c>
      <c r="CY48" s="176">
        <f>CY8+CY31</f>
        <v>2574272</v>
      </c>
      <c r="CZ48" s="176">
        <f t="shared" si="176"/>
        <v>557029</v>
      </c>
      <c r="DA48" s="176">
        <f>DA8+DA31</f>
        <v>3131299</v>
      </c>
      <c r="DB48" s="176">
        <f t="shared" si="176"/>
        <v>1167786</v>
      </c>
      <c r="DC48" s="176">
        <f t="shared" si="176"/>
        <v>732980</v>
      </c>
      <c r="DD48" s="176">
        <f t="shared" si="176"/>
        <v>1900766</v>
      </c>
      <c r="DE48" s="176">
        <f t="shared" si="176"/>
        <v>586252</v>
      </c>
      <c r="DF48" s="176">
        <f t="shared" si="176"/>
        <v>2487018</v>
      </c>
      <c r="DG48" s="176">
        <f t="shared" si="176"/>
        <v>133675</v>
      </c>
      <c r="DH48" s="176">
        <f t="shared" si="176"/>
        <v>2620694</v>
      </c>
      <c r="DI48" s="176">
        <f t="shared" si="176"/>
        <v>646216</v>
      </c>
      <c r="DJ48" s="176">
        <f t="shared" si="176"/>
        <v>831062</v>
      </c>
      <c r="DK48" s="176">
        <f t="shared" si="15"/>
        <v>1477278</v>
      </c>
    </row>
    <row r="49" spans="1:115" s="137" customFormat="1" ht="10.5" customHeight="1" x14ac:dyDescent="0.25">
      <c r="A49" s="82" t="s">
        <v>271</v>
      </c>
      <c r="B49" s="83"/>
      <c r="C49" s="83"/>
      <c r="D49" s="84"/>
      <c r="E49" s="83"/>
      <c r="F49" s="83"/>
      <c r="G49" s="83"/>
      <c r="H49" s="174">
        <f>H50+H58+H75</f>
        <v>-16402</v>
      </c>
      <c r="I49" s="174">
        <f t="shared" ref="I49:AJ49" si="177">I50+I58+I75</f>
        <v>-13286</v>
      </c>
      <c r="J49" s="174">
        <f t="shared" si="177"/>
        <v>-29688</v>
      </c>
      <c r="K49" s="174">
        <f t="shared" si="177"/>
        <v>-21976</v>
      </c>
      <c r="L49" s="174">
        <f t="shared" si="177"/>
        <v>-51664</v>
      </c>
      <c r="M49" s="174">
        <f t="shared" si="177"/>
        <v>-22497</v>
      </c>
      <c r="N49" s="174">
        <f t="shared" si="177"/>
        <v>-74161</v>
      </c>
      <c r="O49" s="174">
        <f t="shared" si="177"/>
        <v>-16911</v>
      </c>
      <c r="P49" s="174">
        <f t="shared" si="177"/>
        <v>-17533</v>
      </c>
      <c r="Q49" s="174">
        <f t="shared" si="177"/>
        <v>-34444</v>
      </c>
      <c r="R49" s="174">
        <f t="shared" si="177"/>
        <v>-24672</v>
      </c>
      <c r="S49" s="174">
        <f t="shared" si="177"/>
        <v>-59116</v>
      </c>
      <c r="T49" s="174">
        <f t="shared" si="177"/>
        <v>-34544</v>
      </c>
      <c r="U49" s="174">
        <f t="shared" si="177"/>
        <v>-93661</v>
      </c>
      <c r="V49" s="174">
        <f t="shared" si="177"/>
        <v>-22604</v>
      </c>
      <c r="W49" s="174">
        <f t="shared" si="177"/>
        <v>-21410</v>
      </c>
      <c r="X49" s="174">
        <f t="shared" si="177"/>
        <v>-44014</v>
      </c>
      <c r="Y49" s="174">
        <f t="shared" si="177"/>
        <v>-27093</v>
      </c>
      <c r="Z49" s="174">
        <f t="shared" si="177"/>
        <v>-71107</v>
      </c>
      <c r="AA49" s="174">
        <f t="shared" si="177"/>
        <v>-37801</v>
      </c>
      <c r="AB49" s="174">
        <f t="shared" si="177"/>
        <v>-108908</v>
      </c>
      <c r="AC49" s="174">
        <f t="shared" si="177"/>
        <v>-28733</v>
      </c>
      <c r="AD49" s="174">
        <f t="shared" si="177"/>
        <v>-21145</v>
      </c>
      <c r="AE49" s="174">
        <f t="shared" si="177"/>
        <v>-49878</v>
      </c>
      <c r="AF49" s="174">
        <f t="shared" si="177"/>
        <v>-24620</v>
      </c>
      <c r="AG49" s="174">
        <f t="shared" si="177"/>
        <v>-74498</v>
      </c>
      <c r="AH49" s="174">
        <f t="shared" si="177"/>
        <v>-34168</v>
      </c>
      <c r="AI49" s="174">
        <f t="shared" si="177"/>
        <v>-108666</v>
      </c>
      <c r="AJ49" s="174">
        <f t="shared" si="177"/>
        <v>-27134</v>
      </c>
      <c r="AK49" s="174">
        <f t="shared" ref="AK49:AP49" si="178">AK50+AK58+AK75</f>
        <v>-24588</v>
      </c>
      <c r="AL49" s="174">
        <f t="shared" si="178"/>
        <v>-51722</v>
      </c>
      <c r="AM49" s="174">
        <f t="shared" si="178"/>
        <v>-24943</v>
      </c>
      <c r="AN49" s="174">
        <f t="shared" si="178"/>
        <v>-76665</v>
      </c>
      <c r="AO49" s="174">
        <f t="shared" si="178"/>
        <v>-34142</v>
      </c>
      <c r="AP49" s="174">
        <f t="shared" si="178"/>
        <v>-110807</v>
      </c>
      <c r="AQ49" s="174">
        <f t="shared" ref="AQ49:AW49" si="179">AQ50+AQ58+AQ75</f>
        <v>-30046</v>
      </c>
      <c r="AR49" s="174">
        <f t="shared" si="179"/>
        <v>-27137</v>
      </c>
      <c r="AS49" s="174">
        <f t="shared" si="179"/>
        <v>-57183</v>
      </c>
      <c r="AT49" s="174">
        <f t="shared" si="179"/>
        <v>-34460</v>
      </c>
      <c r="AU49" s="174">
        <f t="shared" si="179"/>
        <v>-91643</v>
      </c>
      <c r="AV49" s="174">
        <f t="shared" si="179"/>
        <v>-50644</v>
      </c>
      <c r="AW49" s="174">
        <f t="shared" si="179"/>
        <v>-142287</v>
      </c>
      <c r="AX49" s="174">
        <f>AX50+AX58+AX75</f>
        <v>-36570</v>
      </c>
      <c r="AY49" s="174">
        <f t="shared" si="9"/>
        <v>-31119</v>
      </c>
      <c r="AZ49" s="174">
        <f>AZ50+AZ58+AZ75</f>
        <v>-67689</v>
      </c>
      <c r="BA49" s="174">
        <f t="shared" si="167"/>
        <v>-31833</v>
      </c>
      <c r="BB49" s="174">
        <f>BB50+BB58+BB75</f>
        <v>-99522</v>
      </c>
      <c r="BC49" s="174">
        <f t="shared" si="168"/>
        <v>-48101</v>
      </c>
      <c r="BD49" s="174">
        <f>BD50+BD58+BD75</f>
        <v>-147623</v>
      </c>
      <c r="BE49" s="174">
        <f>BE50+BE58+BE75</f>
        <v>-45209</v>
      </c>
      <c r="BF49" s="174">
        <f t="shared" ref="BF49:CJ49" si="180">BF50+BF58+BF75</f>
        <v>-31421</v>
      </c>
      <c r="BG49" s="174">
        <f t="shared" si="180"/>
        <v>-76630</v>
      </c>
      <c r="BH49" s="174">
        <f t="shared" si="180"/>
        <v>-38617</v>
      </c>
      <c r="BI49" s="174">
        <f t="shared" si="180"/>
        <v>-115247</v>
      </c>
      <c r="BJ49" s="174">
        <f t="shared" si="180"/>
        <v>-20907</v>
      </c>
      <c r="BK49" s="174">
        <f t="shared" si="180"/>
        <v>-136153</v>
      </c>
      <c r="BL49" s="174">
        <f t="shared" si="180"/>
        <v>-37725</v>
      </c>
      <c r="BM49" s="174">
        <f t="shared" si="180"/>
        <v>-31484</v>
      </c>
      <c r="BN49" s="174">
        <f t="shared" si="180"/>
        <v>-69209</v>
      </c>
      <c r="BO49" s="174">
        <f t="shared" si="180"/>
        <v>-41458</v>
      </c>
      <c r="BP49" s="174">
        <f t="shared" si="180"/>
        <v>-110667</v>
      </c>
      <c r="BQ49" s="174">
        <f t="shared" si="180"/>
        <v>26827</v>
      </c>
      <c r="BR49" s="174">
        <f t="shared" si="180"/>
        <v>-83843</v>
      </c>
      <c r="BS49" s="174">
        <f t="shared" si="180"/>
        <v>-47019</v>
      </c>
      <c r="BT49" s="174">
        <f t="shared" si="180"/>
        <v>-36844</v>
      </c>
      <c r="BU49" s="174">
        <f t="shared" si="180"/>
        <v>-83863</v>
      </c>
      <c r="BV49" s="174">
        <f t="shared" si="180"/>
        <v>-45743</v>
      </c>
      <c r="BW49" s="174">
        <f t="shared" si="180"/>
        <v>-129606</v>
      </c>
      <c r="BX49" s="174">
        <f t="shared" si="180"/>
        <v>-58595</v>
      </c>
      <c r="BY49" s="174">
        <f t="shared" si="180"/>
        <v>-188201</v>
      </c>
      <c r="BZ49" s="174">
        <f t="shared" si="180"/>
        <v>-65869</v>
      </c>
      <c r="CA49" s="174">
        <f t="shared" si="180"/>
        <v>-45765</v>
      </c>
      <c r="CB49" s="174">
        <f t="shared" si="180"/>
        <v>-111634</v>
      </c>
      <c r="CC49" s="174">
        <f t="shared" si="180"/>
        <v>-47648</v>
      </c>
      <c r="CD49" s="174">
        <f t="shared" si="180"/>
        <v>-159282</v>
      </c>
      <c r="CE49" s="174">
        <f t="shared" si="180"/>
        <v>-65190</v>
      </c>
      <c r="CF49" s="174">
        <f t="shared" si="180"/>
        <v>-224472</v>
      </c>
      <c r="CG49" s="174">
        <f t="shared" si="180"/>
        <v>-70811</v>
      </c>
      <c r="CH49" s="174">
        <f t="shared" si="180"/>
        <v>-63409</v>
      </c>
      <c r="CI49" s="174">
        <f t="shared" si="180"/>
        <v>-134220</v>
      </c>
      <c r="CJ49" s="174">
        <f t="shared" si="180"/>
        <v>-51797</v>
      </c>
      <c r="CK49" s="174">
        <v>-186016</v>
      </c>
      <c r="CL49" s="174">
        <f>CL50+CL58+CL75</f>
        <v>-103352</v>
      </c>
      <c r="CM49" s="174">
        <f>CM50+CM58+CM75</f>
        <v>-289369</v>
      </c>
      <c r="CN49" s="174">
        <f>CN50+CN58+CN75</f>
        <v>-92125</v>
      </c>
      <c r="CO49" s="174">
        <f>CO50+CO58+CO75</f>
        <v>-72340</v>
      </c>
      <c r="CP49" s="174">
        <f>CP50+CP58+CP75</f>
        <v>-164465</v>
      </c>
      <c r="CQ49" s="174">
        <f>CQ50+CQ58+CQ75+CQ76</f>
        <v>-23131</v>
      </c>
      <c r="CR49" s="174">
        <f>CR50+CR58+CR75+CR76+2</f>
        <v>-187594</v>
      </c>
      <c r="CS49" s="174">
        <f>CS50+CS58+CS75+CS76</f>
        <v>-146683</v>
      </c>
      <c r="CT49" s="174">
        <f>CT50+CT58+CT75+CT76-1</f>
        <v>-334277</v>
      </c>
      <c r="CU49" s="174">
        <f t="shared" ref="CU49:DB49" si="181">CU50+CU58+CU75+CU76</f>
        <v>-163075</v>
      </c>
      <c r="CV49" s="174">
        <f t="shared" si="181"/>
        <v>-120052</v>
      </c>
      <c r="CW49" s="174">
        <f t="shared" si="181"/>
        <v>-283127</v>
      </c>
      <c r="CX49" s="174">
        <f t="shared" si="181"/>
        <v>-118995</v>
      </c>
      <c r="CY49" s="174">
        <f t="shared" si="181"/>
        <v>-402122</v>
      </c>
      <c r="CZ49" s="174">
        <f t="shared" si="181"/>
        <v>-223887</v>
      </c>
      <c r="DA49" s="174">
        <f>DA50+DA58+DA75+DA76-1</f>
        <v>-626006</v>
      </c>
      <c r="DB49" s="174">
        <f t="shared" si="181"/>
        <v>-194510</v>
      </c>
      <c r="DC49" s="174">
        <f t="shared" ref="DC49" si="182">DC50+DC58+DC75+DC76</f>
        <v>-88976</v>
      </c>
      <c r="DD49" s="174">
        <f>DD50+DD58+DD75+DD76</f>
        <v>-283486</v>
      </c>
      <c r="DE49" s="174">
        <f t="shared" ref="DE49:DF49" si="183">DE50+DE58+DE75+DE76</f>
        <v>-171287</v>
      </c>
      <c r="DF49" s="174">
        <f t="shared" si="183"/>
        <v>-454773</v>
      </c>
      <c r="DG49" s="174">
        <f t="shared" ref="DG49" si="184">DG50+DG58+DG75+DG76</f>
        <v>-230741</v>
      </c>
      <c r="DH49" s="174">
        <f>DH50+DH58+DH75+DH76</f>
        <v>-685513</v>
      </c>
      <c r="DI49" s="174">
        <f t="shared" ref="DI49:DJ49" si="185">DI50+DI58+DI75+DI76</f>
        <v>-147695</v>
      </c>
      <c r="DJ49" s="174">
        <f t="shared" si="185"/>
        <v>-155903</v>
      </c>
      <c r="DK49" s="174">
        <f t="shared" si="15"/>
        <v>-303598</v>
      </c>
    </row>
    <row r="50" spans="1:115" ht="10.5" customHeight="1" x14ac:dyDescent="0.25">
      <c r="A50" s="97"/>
      <c r="B50" s="98" t="s">
        <v>272</v>
      </c>
      <c r="C50" s="98"/>
      <c r="D50" s="99"/>
      <c r="E50" s="100"/>
      <c r="F50" s="100"/>
      <c r="G50" s="100"/>
      <c r="H50" s="177">
        <f>SUM(H51:H57)</f>
        <v>-9114</v>
      </c>
      <c r="I50" s="177">
        <f>SUM(I51:I57)</f>
        <v>-6949</v>
      </c>
      <c r="J50" s="177">
        <f t="shared" si="77"/>
        <v>-16063</v>
      </c>
      <c r="K50" s="177">
        <f>SUM(K51:K57)</f>
        <v>-11996</v>
      </c>
      <c r="L50" s="177">
        <f t="shared" si="78"/>
        <v>-28059</v>
      </c>
      <c r="M50" s="177">
        <f>SUM(M51:M57)</f>
        <v>-15088</v>
      </c>
      <c r="N50" s="177">
        <f>SUM(N51:N57)</f>
        <v>-43147</v>
      </c>
      <c r="O50" s="177">
        <f>SUM(O51:O57)</f>
        <v>-11708</v>
      </c>
      <c r="P50" s="177">
        <f>SUM(P51:P57)</f>
        <v>-9118</v>
      </c>
      <c r="Q50" s="177">
        <f t="shared" si="79"/>
        <v>-20826</v>
      </c>
      <c r="R50" s="177">
        <f>SUM(R51:R57)</f>
        <v>-13378</v>
      </c>
      <c r="S50" s="177">
        <f t="shared" si="80"/>
        <v>-34204</v>
      </c>
      <c r="T50" s="175">
        <f>U50-S50</f>
        <v>-22440</v>
      </c>
      <c r="U50" s="177">
        <f>SUM(U51:U57)</f>
        <v>-56644</v>
      </c>
      <c r="V50" s="177">
        <f>SUM(V51:V57)</f>
        <v>-8336</v>
      </c>
      <c r="W50" s="177">
        <f>SUM(W51:W57)</f>
        <v>-6902</v>
      </c>
      <c r="X50" s="175">
        <f t="shared" si="81"/>
        <v>-15238</v>
      </c>
      <c r="Y50" s="177">
        <f>SUM(Y51:Y57)</f>
        <v>-11057</v>
      </c>
      <c r="Z50" s="175">
        <f t="shared" si="82"/>
        <v>-26295</v>
      </c>
      <c r="AA50" s="177">
        <f>SUM(AA51:AA57)</f>
        <v>-20470</v>
      </c>
      <c r="AB50" s="177">
        <f>SUM(AB51:AB57)</f>
        <v>-46765</v>
      </c>
      <c r="AC50" s="177">
        <f>SUM(AC51:AC57)</f>
        <v>-15942</v>
      </c>
      <c r="AD50" s="175">
        <f>AE50-AC50</f>
        <v>-13403</v>
      </c>
      <c r="AE50" s="177">
        <f>SUM(AE51:AE57)</f>
        <v>-29345</v>
      </c>
      <c r="AF50" s="177">
        <f>SUM(AF51:AF57)</f>
        <v>-14577</v>
      </c>
      <c r="AG50" s="177">
        <f>AE50+AF50</f>
        <v>-43922</v>
      </c>
      <c r="AH50" s="177">
        <f>SUM(AH51:AH57)</f>
        <v>-23927</v>
      </c>
      <c r="AI50" s="177">
        <f>AG50+AH50</f>
        <v>-67849</v>
      </c>
      <c r="AJ50" s="177">
        <f t="shared" ref="AJ50:AP50" si="186">SUM(AJ51:AJ57)</f>
        <v>-16362</v>
      </c>
      <c r="AK50" s="177">
        <f t="shared" si="186"/>
        <v>-15449</v>
      </c>
      <c r="AL50" s="177">
        <f t="shared" si="186"/>
        <v>-31811</v>
      </c>
      <c r="AM50" s="177">
        <f t="shared" si="186"/>
        <v>-11671</v>
      </c>
      <c r="AN50" s="177">
        <f t="shared" si="186"/>
        <v>-43482</v>
      </c>
      <c r="AO50" s="177">
        <f t="shared" si="186"/>
        <v>-20509</v>
      </c>
      <c r="AP50" s="177">
        <f t="shared" si="186"/>
        <v>-63991</v>
      </c>
      <c r="AQ50" s="177">
        <f t="shared" ref="AQ50:AX50" si="187">SUM(AQ51:AQ57)</f>
        <v>-13622</v>
      </c>
      <c r="AR50" s="177">
        <f t="shared" si="187"/>
        <v>-14067</v>
      </c>
      <c r="AS50" s="177">
        <f t="shared" si="187"/>
        <v>-27689</v>
      </c>
      <c r="AT50" s="177">
        <f t="shared" si="187"/>
        <v>-20521</v>
      </c>
      <c r="AU50" s="177">
        <f t="shared" si="187"/>
        <v>-48210</v>
      </c>
      <c r="AV50" s="177">
        <f t="shared" si="187"/>
        <v>-37125</v>
      </c>
      <c r="AW50" s="177">
        <f t="shared" si="187"/>
        <v>-85335</v>
      </c>
      <c r="AX50" s="177">
        <f t="shared" si="187"/>
        <v>-20560</v>
      </c>
      <c r="AY50" s="177">
        <f t="shared" si="9"/>
        <v>-16650</v>
      </c>
      <c r="AZ50" s="177">
        <f>SUM(AZ51:AZ57)</f>
        <v>-37210</v>
      </c>
      <c r="BA50" s="177">
        <f t="shared" si="167"/>
        <v>-17620</v>
      </c>
      <c r="BB50" s="177">
        <f>SUM(BB51:BB57)</f>
        <v>-54830</v>
      </c>
      <c r="BC50" s="177">
        <f t="shared" si="168"/>
        <v>-37240</v>
      </c>
      <c r="BD50" s="177">
        <f>SUM(BD51:BD57)</f>
        <v>-92070</v>
      </c>
      <c r="BE50" s="177">
        <f>SUM(BE51:BE57)</f>
        <v>-21433</v>
      </c>
      <c r="BF50" s="177">
        <f>SUM(BF51:BF57)</f>
        <v>-17513</v>
      </c>
      <c r="BG50" s="175">
        <f t="shared" ref="BG50:BG57" si="188">BF50+BE50</f>
        <v>-38946</v>
      </c>
      <c r="BH50" s="177">
        <f t="shared" ref="BH50:CK50" si="189">SUM(BH51:BH57)</f>
        <v>-23607</v>
      </c>
      <c r="BI50" s="177">
        <f t="shared" si="189"/>
        <v>-62553</v>
      </c>
      <c r="BJ50" s="177">
        <f t="shared" si="189"/>
        <v>-35036</v>
      </c>
      <c r="BK50" s="177">
        <f t="shared" si="189"/>
        <v>-97589</v>
      </c>
      <c r="BL50" s="177">
        <f t="shared" si="189"/>
        <v>-16117</v>
      </c>
      <c r="BM50" s="177">
        <f t="shared" si="189"/>
        <v>-13101</v>
      </c>
      <c r="BN50" s="175">
        <f t="shared" ref="BN50:BN57" si="190">BM50+BL50</f>
        <v>-29218</v>
      </c>
      <c r="BO50" s="177">
        <f t="shared" si="189"/>
        <v>-19674</v>
      </c>
      <c r="BP50" s="177">
        <f t="shared" si="189"/>
        <v>-48892</v>
      </c>
      <c r="BQ50" s="177">
        <f t="shared" si="189"/>
        <v>-41314</v>
      </c>
      <c r="BR50" s="177">
        <f>SUM(BR51:BR57)</f>
        <v>-90206</v>
      </c>
      <c r="BS50" s="177">
        <f t="shared" si="189"/>
        <v>-23765</v>
      </c>
      <c r="BT50" s="177">
        <f t="shared" si="189"/>
        <v>-17559</v>
      </c>
      <c r="BU50" s="175">
        <f t="shared" ref="BU50:BU57" si="191">BT50+BS50</f>
        <v>-41324</v>
      </c>
      <c r="BV50" s="177">
        <f t="shared" si="189"/>
        <v>-22122</v>
      </c>
      <c r="BW50" s="177">
        <f t="shared" si="189"/>
        <v>-63446</v>
      </c>
      <c r="BX50" s="177">
        <f t="shared" si="189"/>
        <v>-55228</v>
      </c>
      <c r="BY50" s="177">
        <f>SUM(BY51:BY57)</f>
        <v>-118674</v>
      </c>
      <c r="BZ50" s="177">
        <f t="shared" si="189"/>
        <v>-32945</v>
      </c>
      <c r="CA50" s="177">
        <f t="shared" si="189"/>
        <v>-24523</v>
      </c>
      <c r="CB50" s="175">
        <f t="shared" ref="CB50:CB57" si="192">CA50+BZ50</f>
        <v>-57468</v>
      </c>
      <c r="CC50" s="177">
        <f t="shared" si="189"/>
        <v>-32031</v>
      </c>
      <c r="CD50" s="177">
        <f t="shared" si="189"/>
        <v>-89499</v>
      </c>
      <c r="CE50" s="177">
        <f t="shared" si="189"/>
        <v>-63473</v>
      </c>
      <c r="CF50" s="177">
        <f>SUM(CF51:CF57)</f>
        <v>-152972</v>
      </c>
      <c r="CG50" s="177">
        <f>SUM(CG51:CG57)</f>
        <v>-41773</v>
      </c>
      <c r="CH50" s="177">
        <f t="shared" si="189"/>
        <v>-36849</v>
      </c>
      <c r="CI50" s="175">
        <f t="shared" ref="CI50:CI57" si="193">CH50+CG50</f>
        <v>-78622</v>
      </c>
      <c r="CJ50" s="177">
        <f t="shared" si="189"/>
        <v>-23251</v>
      </c>
      <c r="CK50" s="177">
        <f t="shared" si="189"/>
        <v>-101873</v>
      </c>
      <c r="CL50" s="177">
        <f>SUM(CL51:CL57)</f>
        <v>-72089</v>
      </c>
      <c r="CM50" s="177">
        <f>SUM(CM51:CM57)</f>
        <v>-173964</v>
      </c>
      <c r="CN50" s="177">
        <f>SUM(CN51:CN57)</f>
        <v>-53379</v>
      </c>
      <c r="CO50" s="177">
        <f>SUM(CO51:CO57)</f>
        <v>-32787</v>
      </c>
      <c r="CP50" s="175">
        <f t="shared" ref="CP50:CP57" si="194">CO50+CN50</f>
        <v>-86166</v>
      </c>
      <c r="CQ50" s="177">
        <f>SUM(CQ51:CQ57)</f>
        <v>-37736</v>
      </c>
      <c r="CR50" s="175">
        <f>CQ50+CP50+1</f>
        <v>-123901</v>
      </c>
      <c r="CS50" s="177">
        <f>SUM(CS51:CS57)</f>
        <v>-88658</v>
      </c>
      <c r="CT50" s="177">
        <f>SUM(CT51:CT57)+1</f>
        <v>-212558</v>
      </c>
      <c r="CU50" s="177">
        <f>SUM(CU51:CU57)</f>
        <v>-77064</v>
      </c>
      <c r="CV50" s="177">
        <f>SUM(CV51:CV57)</f>
        <v>-94402</v>
      </c>
      <c r="CW50" s="175">
        <f t="shared" ref="CW50:CW57" si="195">CV50+CU50</f>
        <v>-171466</v>
      </c>
      <c r="CX50" s="177">
        <f>SUM(CX51:CX57)</f>
        <v>-63631</v>
      </c>
      <c r="CY50" s="175">
        <f>CX50+CW50</f>
        <v>-235097</v>
      </c>
      <c r="CZ50" s="177">
        <f>SUM(CZ51:CZ57)</f>
        <v>-144566</v>
      </c>
      <c r="DA50" s="175">
        <f>CZ50+CY50</f>
        <v>-379663</v>
      </c>
      <c r="DB50" s="177">
        <f>SUM(DB51:DB57)</f>
        <v>-97668</v>
      </c>
      <c r="DC50" s="177">
        <f>SUM(DC51:DC57)</f>
        <v>-51488</v>
      </c>
      <c r="DD50" s="175">
        <f t="shared" ref="DD50:DD57" si="196">DC50+DB50</f>
        <v>-149156</v>
      </c>
      <c r="DE50" s="177">
        <f>SUM(DE51:DE57)</f>
        <v>-84992</v>
      </c>
      <c r="DF50" s="175">
        <f>DE50+DD50</f>
        <v>-234148</v>
      </c>
      <c r="DG50" s="177">
        <f>SUM(DG51:DG57)</f>
        <v>-154711</v>
      </c>
      <c r="DH50" s="175">
        <f>DG50+DF50</f>
        <v>-388859</v>
      </c>
      <c r="DI50" s="177">
        <f>SUM(DI51:DI57)</f>
        <v>-68855</v>
      </c>
      <c r="DJ50" s="177">
        <f>SUM(DJ51:DJ57)</f>
        <v>-91827</v>
      </c>
      <c r="DK50" s="177">
        <f t="shared" si="15"/>
        <v>-160682</v>
      </c>
    </row>
    <row r="51" spans="1:115" ht="10.5" customHeight="1" x14ac:dyDescent="0.25">
      <c r="A51" s="56"/>
      <c r="B51" s="57"/>
      <c r="C51" s="57" t="s">
        <v>273</v>
      </c>
      <c r="D51" s="58"/>
      <c r="E51" s="59"/>
      <c r="F51" s="59"/>
      <c r="G51" s="59"/>
      <c r="H51" s="175">
        <v>-4887</v>
      </c>
      <c r="I51" s="175">
        <v>-4381</v>
      </c>
      <c r="J51" s="177">
        <f t="shared" si="77"/>
        <v>-9268</v>
      </c>
      <c r="K51" s="175">
        <v>-8930</v>
      </c>
      <c r="L51" s="177">
        <f t="shared" si="78"/>
        <v>-18198</v>
      </c>
      <c r="M51" s="175">
        <v>-11198</v>
      </c>
      <c r="N51" s="175">
        <f t="shared" ref="N51:N57" si="197">L51+M51</f>
        <v>-29396</v>
      </c>
      <c r="O51" s="177">
        <v>-7857</v>
      </c>
      <c r="P51" s="175">
        <v>-6035</v>
      </c>
      <c r="Q51" s="175">
        <f t="shared" si="79"/>
        <v>-13892</v>
      </c>
      <c r="R51" s="175">
        <v>-9694</v>
      </c>
      <c r="S51" s="175">
        <f t="shared" si="80"/>
        <v>-23586</v>
      </c>
      <c r="T51" s="175">
        <f t="shared" ref="T51:T57" si="198">U51-S51</f>
        <v>-17589</v>
      </c>
      <c r="U51" s="175">
        <v>-41175</v>
      </c>
      <c r="V51" s="175">
        <v>-3240</v>
      </c>
      <c r="W51" s="175">
        <v>-3202</v>
      </c>
      <c r="X51" s="175">
        <f t="shared" si="81"/>
        <v>-6442</v>
      </c>
      <c r="Y51" s="175">
        <v>-7352</v>
      </c>
      <c r="Z51" s="175">
        <f t="shared" si="82"/>
        <v>-13794</v>
      </c>
      <c r="AA51" s="175">
        <f t="shared" ref="AA51:AA57" si="199">AB51-Z51</f>
        <v>-13867</v>
      </c>
      <c r="AB51" s="175">
        <v>-27661</v>
      </c>
      <c r="AC51" s="175">
        <v>-8006</v>
      </c>
      <c r="AD51" s="175">
        <f>AE51-AC51</f>
        <v>-7302</v>
      </c>
      <c r="AE51" s="175">
        <v>-15308</v>
      </c>
      <c r="AF51" s="175">
        <f t="shared" ref="AF51:AF57" si="200">AG51-AE51</f>
        <v>-9051</v>
      </c>
      <c r="AG51" s="175">
        <v>-24359</v>
      </c>
      <c r="AH51" s="175">
        <f t="shared" ref="AH51:AH57" si="201">AI51-AG51</f>
        <v>-14705</v>
      </c>
      <c r="AI51" s="175">
        <v>-39064</v>
      </c>
      <c r="AJ51" s="175">
        <v>-9166</v>
      </c>
      <c r="AK51" s="175">
        <v>-7513</v>
      </c>
      <c r="AL51" s="175">
        <f t="shared" ref="AL51:AL57" si="202">SUM(AJ51:AK51)</f>
        <v>-16679</v>
      </c>
      <c r="AM51" s="175">
        <v>-5076</v>
      </c>
      <c r="AN51" s="175">
        <f t="shared" ref="AN51:AN57" si="203">SUM(AL51:AM51)</f>
        <v>-21755</v>
      </c>
      <c r="AO51" s="175">
        <v>-11519</v>
      </c>
      <c r="AP51" s="175">
        <f t="shared" ref="AP51:AP57" si="204">SUM(AN51:AO51)</f>
        <v>-33274</v>
      </c>
      <c r="AQ51" s="175">
        <v>-6051</v>
      </c>
      <c r="AR51" s="175">
        <v>-7000</v>
      </c>
      <c r="AS51" s="175">
        <v>-13051</v>
      </c>
      <c r="AT51" s="175">
        <v>-11137</v>
      </c>
      <c r="AU51" s="175">
        <v>-24188</v>
      </c>
      <c r="AV51" s="175">
        <v>-21708</v>
      </c>
      <c r="AW51" s="175">
        <f t="shared" ref="AW51:AW57" si="205">SUM(AU51:AV51)</f>
        <v>-45896</v>
      </c>
      <c r="AX51" s="175">
        <v>-8800</v>
      </c>
      <c r="AY51" s="175">
        <f t="shared" si="9"/>
        <v>-6193</v>
      </c>
      <c r="AZ51" s="175">
        <v>-14993</v>
      </c>
      <c r="BA51" s="175">
        <f t="shared" si="167"/>
        <v>-7598</v>
      </c>
      <c r="BB51" s="175">
        <v>-22591</v>
      </c>
      <c r="BC51" s="175">
        <f t="shared" si="168"/>
        <v>-22850</v>
      </c>
      <c r="BD51" s="175">
        <v>-45441</v>
      </c>
      <c r="BE51" s="175">
        <v>-8830</v>
      </c>
      <c r="BF51" s="175">
        <v>-9129</v>
      </c>
      <c r="BG51" s="175">
        <f t="shared" si="188"/>
        <v>-17959</v>
      </c>
      <c r="BH51" s="175">
        <v>-11569</v>
      </c>
      <c r="BI51" s="175">
        <f t="shared" ref="BI51:BI57" si="206">BH51+BG51</f>
        <v>-29528</v>
      </c>
      <c r="BJ51" s="175">
        <v>-22825</v>
      </c>
      <c r="BK51" s="175">
        <f t="shared" ref="BK51:BK57" si="207">BJ51+BI51</f>
        <v>-52353</v>
      </c>
      <c r="BL51" s="175">
        <v>-5247</v>
      </c>
      <c r="BM51" s="175">
        <v>-4608</v>
      </c>
      <c r="BN51" s="175">
        <f t="shared" si="190"/>
        <v>-9855</v>
      </c>
      <c r="BO51" s="175">
        <v>-9769</v>
      </c>
      <c r="BP51" s="175">
        <f t="shared" ref="BP51:BP57" si="208">BO51+BN51</f>
        <v>-19624</v>
      </c>
      <c r="BQ51" s="175">
        <v>-24215</v>
      </c>
      <c r="BR51" s="175">
        <f t="shared" ref="BR51:BR57" si="209">BQ51+BP51</f>
        <v>-43839</v>
      </c>
      <c r="BS51" s="175">
        <v>-7981</v>
      </c>
      <c r="BT51" s="175">
        <v>-6070</v>
      </c>
      <c r="BU51" s="175">
        <f t="shared" si="191"/>
        <v>-14051</v>
      </c>
      <c r="BV51" s="175">
        <v>-9466</v>
      </c>
      <c r="BW51" s="175">
        <f t="shared" ref="BW51:BW57" si="210">BV51+BU51</f>
        <v>-23517</v>
      </c>
      <c r="BX51" s="175">
        <f>-52561-BW51</f>
        <v>-29044</v>
      </c>
      <c r="BY51" s="175">
        <f t="shared" ref="BY51:BY57" si="211">BX51+BW51</f>
        <v>-52561</v>
      </c>
      <c r="BZ51" s="175">
        <v>-10483</v>
      </c>
      <c r="CA51" s="175">
        <v>-8623</v>
      </c>
      <c r="CB51" s="175">
        <f t="shared" si="192"/>
        <v>-19106</v>
      </c>
      <c r="CC51" s="175">
        <v>-10331</v>
      </c>
      <c r="CD51" s="175">
        <f t="shared" ref="CD51:CD57" si="212">CC51+CB51</f>
        <v>-29437</v>
      </c>
      <c r="CE51" s="175">
        <f>-58191-CD51</f>
        <v>-28754</v>
      </c>
      <c r="CF51" s="175">
        <f t="shared" ref="CF51:CF57" si="213">CE51+CD51</f>
        <v>-58191</v>
      </c>
      <c r="CG51" s="177">
        <v>-13732</v>
      </c>
      <c r="CH51" s="175">
        <v>-8295</v>
      </c>
      <c r="CI51" s="175">
        <f t="shared" si="193"/>
        <v>-22027</v>
      </c>
      <c r="CJ51" s="175">
        <v>-12422</v>
      </c>
      <c r="CK51" s="175">
        <f t="shared" ref="CK51:CK57" si="214">CJ51+CI51</f>
        <v>-34449</v>
      </c>
      <c r="CL51" s="175">
        <v>-29153</v>
      </c>
      <c r="CM51" s="175">
        <f t="shared" ref="CM51:CM57" si="215">CL51+CK51</f>
        <v>-63602</v>
      </c>
      <c r="CN51" s="177">
        <v>-14179</v>
      </c>
      <c r="CO51" s="177">
        <f>-10897-2379</f>
        <v>-13276</v>
      </c>
      <c r="CP51" s="175">
        <f t="shared" si="194"/>
        <v>-27455</v>
      </c>
      <c r="CQ51" s="177">
        <v>-10540</v>
      </c>
      <c r="CR51" s="175">
        <f t="shared" ref="CR51:CR57" si="216">CQ51+CP51</f>
        <v>-37995</v>
      </c>
      <c r="CS51" s="175">
        <v>-40571</v>
      </c>
      <c r="CT51" s="175">
        <f>CS51+CR51</f>
        <v>-78566</v>
      </c>
      <c r="CU51" s="175">
        <v>-33640</v>
      </c>
      <c r="CV51" s="175">
        <v>-21066</v>
      </c>
      <c r="CW51" s="175">
        <f t="shared" si="195"/>
        <v>-54706</v>
      </c>
      <c r="CX51" s="177">
        <v>-27567</v>
      </c>
      <c r="CY51" s="175">
        <f t="shared" ref="CY51:CY57" si="217">CX51+CW51</f>
        <v>-82273</v>
      </c>
      <c r="CZ51" s="177">
        <v>-57218</v>
      </c>
      <c r="DA51" s="175">
        <f t="shared" ref="DA51" si="218">CZ51+CY51</f>
        <v>-139491</v>
      </c>
      <c r="DB51" s="175">
        <v>-22261</v>
      </c>
      <c r="DC51" s="175">
        <v>-20731</v>
      </c>
      <c r="DD51" s="175">
        <f t="shared" si="196"/>
        <v>-42992</v>
      </c>
      <c r="DE51" s="177">
        <v>-29366</v>
      </c>
      <c r="DF51" s="175">
        <f t="shared" ref="DF51" si="219">DE51+DD51</f>
        <v>-72358</v>
      </c>
      <c r="DG51" s="177">
        <v>-52725</v>
      </c>
      <c r="DH51" s="175">
        <f t="shared" ref="DH51" si="220">DG51+DF51</f>
        <v>-125083</v>
      </c>
      <c r="DI51" s="175">
        <v>-16556</v>
      </c>
      <c r="DJ51" s="175">
        <v>-40842</v>
      </c>
      <c r="DK51" s="175">
        <f t="shared" si="15"/>
        <v>-57398</v>
      </c>
    </row>
    <row r="52" spans="1:115" ht="10.5" customHeight="1" x14ac:dyDescent="0.25">
      <c r="A52" s="56"/>
      <c r="B52" s="57"/>
      <c r="C52" s="57" t="s">
        <v>274</v>
      </c>
      <c r="D52" s="58"/>
      <c r="E52" s="59"/>
      <c r="F52" s="59"/>
      <c r="G52" s="59"/>
      <c r="H52" s="175">
        <v>-1498</v>
      </c>
      <c r="I52" s="175">
        <v>-1317</v>
      </c>
      <c r="J52" s="177">
        <f t="shared" si="77"/>
        <v>-2815</v>
      </c>
      <c r="K52" s="175">
        <v>-1467</v>
      </c>
      <c r="L52" s="177">
        <f t="shared" si="78"/>
        <v>-4282</v>
      </c>
      <c r="M52" s="175">
        <v>-1253</v>
      </c>
      <c r="N52" s="175">
        <f t="shared" si="197"/>
        <v>-5535</v>
      </c>
      <c r="O52" s="177">
        <v>-1766</v>
      </c>
      <c r="P52" s="175">
        <v>-1776</v>
      </c>
      <c r="Q52" s="175">
        <f t="shared" si="79"/>
        <v>-3542</v>
      </c>
      <c r="R52" s="175">
        <v>-1554</v>
      </c>
      <c r="S52" s="175">
        <f t="shared" si="80"/>
        <v>-5096</v>
      </c>
      <c r="T52" s="175">
        <f t="shared" si="198"/>
        <v>-1593</v>
      </c>
      <c r="U52" s="175">
        <v>-6689</v>
      </c>
      <c r="V52" s="175">
        <v>-2240</v>
      </c>
      <c r="W52" s="175">
        <v>-2114</v>
      </c>
      <c r="X52" s="175">
        <f t="shared" si="81"/>
        <v>-4354</v>
      </c>
      <c r="Y52" s="175">
        <v>-1940</v>
      </c>
      <c r="Z52" s="175">
        <f t="shared" si="82"/>
        <v>-6294</v>
      </c>
      <c r="AA52" s="175">
        <f t="shared" si="199"/>
        <v>-1890</v>
      </c>
      <c r="AB52" s="175">
        <v>-8184</v>
      </c>
      <c r="AC52" s="175">
        <v>-2862</v>
      </c>
      <c r="AD52" s="175">
        <f>AE52-AC52</f>
        <v>-2418</v>
      </c>
      <c r="AE52" s="175">
        <v>-5280</v>
      </c>
      <c r="AF52" s="175">
        <f t="shared" si="200"/>
        <v>-2524</v>
      </c>
      <c r="AG52" s="175">
        <v>-7804</v>
      </c>
      <c r="AH52" s="175">
        <f t="shared" si="201"/>
        <v>-2190</v>
      </c>
      <c r="AI52" s="175">
        <v>-9994</v>
      </c>
      <c r="AJ52" s="175">
        <f>-(2032+761)</f>
        <v>-2793</v>
      </c>
      <c r="AK52" s="175">
        <v>-3117</v>
      </c>
      <c r="AL52" s="175">
        <f t="shared" si="202"/>
        <v>-5910</v>
      </c>
      <c r="AM52" s="175">
        <v>-2830</v>
      </c>
      <c r="AN52" s="175">
        <f t="shared" si="203"/>
        <v>-8740</v>
      </c>
      <c r="AO52" s="175">
        <v>-2158</v>
      </c>
      <c r="AP52" s="175">
        <f t="shared" si="204"/>
        <v>-10898</v>
      </c>
      <c r="AQ52" s="175">
        <v>-3633</v>
      </c>
      <c r="AR52" s="175">
        <v>-4211</v>
      </c>
      <c r="AS52" s="175">
        <f>-6185-1659</f>
        <v>-7844</v>
      </c>
      <c r="AT52" s="175">
        <v>-4616</v>
      </c>
      <c r="AU52" s="175">
        <v>-12460</v>
      </c>
      <c r="AV52" s="175">
        <v>-3268</v>
      </c>
      <c r="AW52" s="175">
        <f t="shared" si="205"/>
        <v>-15728</v>
      </c>
      <c r="AX52" s="175">
        <v>-4497</v>
      </c>
      <c r="AY52" s="175">
        <f t="shared" si="9"/>
        <v>-5394</v>
      </c>
      <c r="AZ52" s="175">
        <v>-9891</v>
      </c>
      <c r="BA52" s="175">
        <f t="shared" si="167"/>
        <v>-4415</v>
      </c>
      <c r="BB52" s="175">
        <v>-14306</v>
      </c>
      <c r="BC52" s="175">
        <f t="shared" si="168"/>
        <v>-3253</v>
      </c>
      <c r="BD52" s="175">
        <v>-17559</v>
      </c>
      <c r="BE52" s="175">
        <v>-5568</v>
      </c>
      <c r="BF52" s="175">
        <v>-4636</v>
      </c>
      <c r="BG52" s="175">
        <f t="shared" si="188"/>
        <v>-10204</v>
      </c>
      <c r="BH52" s="175">
        <v>-4806</v>
      </c>
      <c r="BI52" s="175">
        <f t="shared" si="206"/>
        <v>-15010</v>
      </c>
      <c r="BJ52" s="175">
        <v>-3505</v>
      </c>
      <c r="BK52" s="175">
        <f t="shared" si="207"/>
        <v>-18515</v>
      </c>
      <c r="BL52" s="175">
        <v>-6282</v>
      </c>
      <c r="BM52" s="175">
        <v>-5042</v>
      </c>
      <c r="BN52" s="175">
        <f t="shared" si="190"/>
        <v>-11324</v>
      </c>
      <c r="BO52" s="175">
        <v>-5746</v>
      </c>
      <c r="BP52" s="175">
        <f t="shared" si="208"/>
        <v>-17070</v>
      </c>
      <c r="BQ52" s="175">
        <v>-4087</v>
      </c>
      <c r="BR52" s="175">
        <f t="shared" si="209"/>
        <v>-21157</v>
      </c>
      <c r="BS52" s="175">
        <v>-7738</v>
      </c>
      <c r="BT52" s="175">
        <v>-6570</v>
      </c>
      <c r="BU52" s="175">
        <f t="shared" si="191"/>
        <v>-14308</v>
      </c>
      <c r="BV52" s="175">
        <v>-5983</v>
      </c>
      <c r="BW52" s="175">
        <f t="shared" si="210"/>
        <v>-20291</v>
      </c>
      <c r="BX52" s="175">
        <f>-25862-BW52</f>
        <v>-5571</v>
      </c>
      <c r="BY52" s="175">
        <f t="shared" si="211"/>
        <v>-25862</v>
      </c>
      <c r="BZ52" s="175">
        <v>-10111</v>
      </c>
      <c r="CA52" s="175">
        <v>-7046</v>
      </c>
      <c r="CB52" s="175">
        <f t="shared" si="192"/>
        <v>-17157</v>
      </c>
      <c r="CC52" s="175">
        <v>-9011</v>
      </c>
      <c r="CD52" s="175">
        <f t="shared" si="212"/>
        <v>-26168</v>
      </c>
      <c r="CE52" s="175">
        <f>-32458-CD52</f>
        <v>-6290</v>
      </c>
      <c r="CF52" s="175">
        <f t="shared" si="213"/>
        <v>-32458</v>
      </c>
      <c r="CG52" s="175">
        <v>-11549</v>
      </c>
      <c r="CH52" s="175">
        <v>-9220</v>
      </c>
      <c r="CI52" s="175">
        <f t="shared" si="193"/>
        <v>-20769</v>
      </c>
      <c r="CJ52" s="175">
        <v>-9807</v>
      </c>
      <c r="CK52" s="175">
        <f t="shared" si="214"/>
        <v>-30576</v>
      </c>
      <c r="CL52" s="175">
        <v>-5846</v>
      </c>
      <c r="CM52" s="175">
        <v>-36424</v>
      </c>
      <c r="CN52" s="175">
        <v>-15648</v>
      </c>
      <c r="CO52" s="175">
        <v>-7650</v>
      </c>
      <c r="CP52" s="175">
        <f t="shared" si="194"/>
        <v>-23298</v>
      </c>
      <c r="CQ52" s="175">
        <v>-13933</v>
      </c>
      <c r="CR52" s="175">
        <f t="shared" si="216"/>
        <v>-37231</v>
      </c>
      <c r="CS52" s="175">
        <v>-13072</v>
      </c>
      <c r="CT52" s="175">
        <f>CS52+CR52+1</f>
        <v>-50302</v>
      </c>
      <c r="CU52" s="175">
        <v>-19922</v>
      </c>
      <c r="CV52" s="175">
        <v>-14497</v>
      </c>
      <c r="CW52" s="175">
        <f t="shared" si="195"/>
        <v>-34419</v>
      </c>
      <c r="CX52" s="175">
        <v>-11467</v>
      </c>
      <c r="CY52" s="175">
        <f>CX52+CW52</f>
        <v>-45886</v>
      </c>
      <c r="CZ52" s="175">
        <v>-10695</v>
      </c>
      <c r="DA52" s="175">
        <f>CZ52+CY52</f>
        <v>-56581</v>
      </c>
      <c r="DB52" s="175">
        <v>-20670</v>
      </c>
      <c r="DC52" s="175">
        <v>-13092</v>
      </c>
      <c r="DD52" s="175">
        <f t="shared" si="196"/>
        <v>-33762</v>
      </c>
      <c r="DE52" s="175">
        <v>-16194</v>
      </c>
      <c r="DF52" s="175">
        <f>DE52+DD52</f>
        <v>-49956</v>
      </c>
      <c r="DG52" s="175">
        <v>-11618</v>
      </c>
      <c r="DH52" s="175">
        <f>DG52+DF52</f>
        <v>-61574</v>
      </c>
      <c r="DI52" s="175">
        <v>-18759</v>
      </c>
      <c r="DJ52" s="175">
        <v>-15712</v>
      </c>
      <c r="DK52" s="175">
        <f t="shared" si="15"/>
        <v>-34471</v>
      </c>
    </row>
    <row r="53" spans="1:115" ht="10.5" customHeight="1" x14ac:dyDescent="0.25">
      <c r="A53" s="56"/>
      <c r="B53" s="57"/>
      <c r="C53" s="57" t="s">
        <v>275</v>
      </c>
      <c r="D53" s="58"/>
      <c r="E53" s="59"/>
      <c r="F53" s="59"/>
      <c r="G53" s="59"/>
      <c r="H53" s="175">
        <v>-302</v>
      </c>
      <c r="I53" s="175">
        <v>-679</v>
      </c>
      <c r="J53" s="177">
        <f t="shared" si="77"/>
        <v>-981</v>
      </c>
      <c r="K53" s="175">
        <v>-341</v>
      </c>
      <c r="L53" s="177">
        <f t="shared" si="78"/>
        <v>-1322</v>
      </c>
      <c r="M53" s="175">
        <v>-512</v>
      </c>
      <c r="N53" s="175">
        <f t="shared" si="197"/>
        <v>-1834</v>
      </c>
      <c r="O53" s="177">
        <v>-533</v>
      </c>
      <c r="P53" s="175">
        <v>-714</v>
      </c>
      <c r="Q53" s="175">
        <f t="shared" si="79"/>
        <v>-1247</v>
      </c>
      <c r="R53" s="175">
        <v>-457</v>
      </c>
      <c r="S53" s="175">
        <f t="shared" si="80"/>
        <v>-1704</v>
      </c>
      <c r="T53" s="175">
        <f t="shared" si="198"/>
        <v>-438</v>
      </c>
      <c r="U53" s="175">
        <v>-2142</v>
      </c>
      <c r="V53" s="175">
        <v>-214</v>
      </c>
      <c r="W53" s="175">
        <v>-1076</v>
      </c>
      <c r="X53" s="175">
        <f t="shared" si="81"/>
        <v>-1290</v>
      </c>
      <c r="Y53" s="175">
        <v>-97</v>
      </c>
      <c r="Z53" s="175">
        <f t="shared" si="82"/>
        <v>-1387</v>
      </c>
      <c r="AA53" s="175">
        <f t="shared" si="199"/>
        <v>-165</v>
      </c>
      <c r="AB53" s="175">
        <v>-1552</v>
      </c>
      <c r="AC53" s="175">
        <v>-524</v>
      </c>
      <c r="AD53" s="175">
        <f>AE53-AC53</f>
        <v>-1439</v>
      </c>
      <c r="AE53" s="175">
        <v>-1963</v>
      </c>
      <c r="AF53" s="175">
        <f t="shared" si="200"/>
        <v>-441</v>
      </c>
      <c r="AG53" s="175">
        <v>-2404</v>
      </c>
      <c r="AH53" s="175">
        <f t="shared" si="201"/>
        <v>-375</v>
      </c>
      <c r="AI53" s="175">
        <v>-2779</v>
      </c>
      <c r="AJ53" s="175">
        <v>-1077</v>
      </c>
      <c r="AK53" s="175">
        <v>-1252</v>
      </c>
      <c r="AL53" s="175">
        <f t="shared" si="202"/>
        <v>-2329</v>
      </c>
      <c r="AM53" s="175">
        <v>-1236</v>
      </c>
      <c r="AN53" s="175">
        <f t="shared" si="203"/>
        <v>-3565</v>
      </c>
      <c r="AO53" s="175">
        <v>-553</v>
      </c>
      <c r="AP53" s="175">
        <f t="shared" si="204"/>
        <v>-4118</v>
      </c>
      <c r="AQ53" s="175">
        <v>-1264</v>
      </c>
      <c r="AR53" s="175">
        <v>-848</v>
      </c>
      <c r="AS53" s="175">
        <v>-2112</v>
      </c>
      <c r="AT53" s="175">
        <v>-1070</v>
      </c>
      <c r="AU53" s="175">
        <v>-3182</v>
      </c>
      <c r="AV53" s="175">
        <v>-2215</v>
      </c>
      <c r="AW53" s="175">
        <f t="shared" si="205"/>
        <v>-5397</v>
      </c>
      <c r="AX53" s="175">
        <v>-2030</v>
      </c>
      <c r="AY53" s="175">
        <f t="shared" si="9"/>
        <v>-1586</v>
      </c>
      <c r="AZ53" s="175">
        <v>-3616</v>
      </c>
      <c r="BA53" s="175">
        <f t="shared" si="167"/>
        <v>-2104</v>
      </c>
      <c r="BB53" s="175">
        <v>-5720</v>
      </c>
      <c r="BC53" s="175">
        <f t="shared" si="168"/>
        <v>-1231</v>
      </c>
      <c r="BD53" s="175">
        <v>-6951</v>
      </c>
      <c r="BE53" s="175">
        <v>-2184</v>
      </c>
      <c r="BF53" s="175">
        <v>-1105</v>
      </c>
      <c r="BG53" s="175">
        <f t="shared" si="188"/>
        <v>-3289</v>
      </c>
      <c r="BH53" s="175">
        <v>-1349</v>
      </c>
      <c r="BI53" s="175">
        <f t="shared" si="206"/>
        <v>-4638</v>
      </c>
      <c r="BJ53" s="175">
        <v>-704</v>
      </c>
      <c r="BK53" s="175">
        <f t="shared" si="207"/>
        <v>-5342</v>
      </c>
      <c r="BL53" s="175">
        <v>-1287</v>
      </c>
      <c r="BM53" s="175">
        <v>-1763</v>
      </c>
      <c r="BN53" s="175">
        <f t="shared" si="190"/>
        <v>-3050</v>
      </c>
      <c r="BO53" s="175">
        <v>-879</v>
      </c>
      <c r="BP53" s="175">
        <f t="shared" si="208"/>
        <v>-3929</v>
      </c>
      <c r="BQ53" s="175">
        <v>-2041</v>
      </c>
      <c r="BR53" s="175">
        <f t="shared" si="209"/>
        <v>-5970</v>
      </c>
      <c r="BS53" s="175">
        <v>-2536</v>
      </c>
      <c r="BT53" s="175">
        <v>-2496</v>
      </c>
      <c r="BU53" s="175">
        <f t="shared" si="191"/>
        <v>-5032</v>
      </c>
      <c r="BV53" s="175">
        <v>-2234</v>
      </c>
      <c r="BW53" s="175">
        <f t="shared" si="210"/>
        <v>-7266</v>
      </c>
      <c r="BX53" s="175">
        <f>-9358-BW53</f>
        <v>-2092</v>
      </c>
      <c r="BY53" s="175">
        <f t="shared" si="211"/>
        <v>-9358</v>
      </c>
      <c r="BZ53" s="175">
        <v>-3978</v>
      </c>
      <c r="CA53" s="175">
        <v>-4122</v>
      </c>
      <c r="CB53" s="175">
        <f t="shared" si="192"/>
        <v>-8100</v>
      </c>
      <c r="CC53" s="175">
        <v>-2157</v>
      </c>
      <c r="CD53" s="175">
        <f t="shared" si="212"/>
        <v>-10257</v>
      </c>
      <c r="CE53" s="175">
        <f>-13359-CD53</f>
        <v>-3102</v>
      </c>
      <c r="CF53" s="175">
        <f t="shared" si="213"/>
        <v>-13359</v>
      </c>
      <c r="CG53" s="175">
        <v>-3809</v>
      </c>
      <c r="CH53" s="175">
        <v>-4653</v>
      </c>
      <c r="CI53" s="175">
        <f t="shared" si="193"/>
        <v>-8462</v>
      </c>
      <c r="CJ53" s="175">
        <v>-2369</v>
      </c>
      <c r="CK53" s="175">
        <f t="shared" si="214"/>
        <v>-10831</v>
      </c>
      <c r="CL53" s="175">
        <v>-3147</v>
      </c>
      <c r="CM53" s="175">
        <f t="shared" si="215"/>
        <v>-13978</v>
      </c>
      <c r="CN53" s="175">
        <v>-7653</v>
      </c>
      <c r="CO53" s="175">
        <v>-4838</v>
      </c>
      <c r="CP53" s="175">
        <f t="shared" si="194"/>
        <v>-12491</v>
      </c>
      <c r="CQ53" s="175">
        <v>-3882</v>
      </c>
      <c r="CR53" s="175">
        <f t="shared" si="216"/>
        <v>-16373</v>
      </c>
      <c r="CS53" s="175">
        <v>-5141</v>
      </c>
      <c r="CT53" s="175">
        <f t="shared" ref="CT53:CT57" si="221">CS53+CR53</f>
        <v>-21514</v>
      </c>
      <c r="CU53" s="175">
        <v>-4167</v>
      </c>
      <c r="CV53" s="175">
        <v>-14058</v>
      </c>
      <c r="CW53" s="175">
        <f t="shared" si="195"/>
        <v>-18225</v>
      </c>
      <c r="CX53" s="175">
        <v>-4046</v>
      </c>
      <c r="CY53" s="175">
        <f>CX53+CW53</f>
        <v>-22271</v>
      </c>
      <c r="CZ53" s="175">
        <v>-4907</v>
      </c>
      <c r="DA53" s="175">
        <f>CZ53+CY53</f>
        <v>-27178</v>
      </c>
      <c r="DB53" s="175">
        <v>-8908</v>
      </c>
      <c r="DC53" s="175">
        <v>-6010</v>
      </c>
      <c r="DD53" s="175">
        <f t="shared" si="196"/>
        <v>-14918</v>
      </c>
      <c r="DE53" s="175">
        <v>-6259</v>
      </c>
      <c r="DF53" s="175">
        <f>DE53+DD53</f>
        <v>-21177</v>
      </c>
      <c r="DG53" s="175">
        <v>-8085</v>
      </c>
      <c r="DH53" s="175">
        <f>DG53+DF53</f>
        <v>-29262</v>
      </c>
      <c r="DI53" s="175">
        <v>-7736</v>
      </c>
      <c r="DJ53" s="175">
        <v>-6988</v>
      </c>
      <c r="DK53" s="175">
        <f t="shared" si="15"/>
        <v>-14724</v>
      </c>
    </row>
    <row r="54" spans="1:115" ht="10.5" customHeight="1" x14ac:dyDescent="0.25">
      <c r="A54" s="56"/>
      <c r="B54" s="57"/>
      <c r="C54" s="57" t="s">
        <v>276</v>
      </c>
      <c r="D54" s="58"/>
      <c r="E54" s="59"/>
      <c r="F54" s="59"/>
      <c r="G54" s="59"/>
      <c r="H54" s="175">
        <v>-996</v>
      </c>
      <c r="I54" s="175">
        <v>-14</v>
      </c>
      <c r="J54" s="177">
        <f t="shared" si="77"/>
        <v>-1010</v>
      </c>
      <c r="K54" s="175">
        <v>-290</v>
      </c>
      <c r="L54" s="177">
        <f t="shared" si="78"/>
        <v>-1300</v>
      </c>
      <c r="M54" s="175">
        <v>-455</v>
      </c>
      <c r="N54" s="175">
        <f t="shared" si="197"/>
        <v>-1755</v>
      </c>
      <c r="O54" s="177">
        <v>-43</v>
      </c>
      <c r="P54" s="175">
        <v>-694</v>
      </c>
      <c r="Q54" s="175">
        <f t="shared" si="79"/>
        <v>-737</v>
      </c>
      <c r="R54" s="175">
        <v>270</v>
      </c>
      <c r="S54" s="175">
        <f t="shared" si="80"/>
        <v>-467</v>
      </c>
      <c r="T54" s="175">
        <f t="shared" si="198"/>
        <v>-353</v>
      </c>
      <c r="U54" s="175">
        <v>-820</v>
      </c>
      <c r="V54" s="175">
        <v>-15</v>
      </c>
      <c r="W54" s="175">
        <v>-11</v>
      </c>
      <c r="X54" s="175">
        <f t="shared" si="81"/>
        <v>-26</v>
      </c>
      <c r="Y54" s="175">
        <v>-439</v>
      </c>
      <c r="Z54" s="175">
        <f t="shared" si="82"/>
        <v>-465</v>
      </c>
      <c r="AA54" s="175">
        <f t="shared" si="199"/>
        <v>-745</v>
      </c>
      <c r="AB54" s="175">
        <v>-1210</v>
      </c>
      <c r="AC54" s="175">
        <v>-374</v>
      </c>
      <c r="AD54" s="175">
        <f>AE54-AC54</f>
        <v>-7</v>
      </c>
      <c r="AE54" s="175">
        <v>-381</v>
      </c>
      <c r="AF54" s="175">
        <f t="shared" si="200"/>
        <v>-447</v>
      </c>
      <c r="AG54" s="175">
        <v>-828</v>
      </c>
      <c r="AH54" s="175">
        <f t="shared" si="201"/>
        <v>-755</v>
      </c>
      <c r="AI54" s="175">
        <v>-1583</v>
      </c>
      <c r="AJ54" s="175">
        <v>-194</v>
      </c>
      <c r="AK54" s="175">
        <v>-41</v>
      </c>
      <c r="AL54" s="175">
        <f t="shared" si="202"/>
        <v>-235</v>
      </c>
      <c r="AM54" s="175">
        <v>-246</v>
      </c>
      <c r="AN54" s="175">
        <f t="shared" si="203"/>
        <v>-481</v>
      </c>
      <c r="AO54" s="175">
        <v>-835</v>
      </c>
      <c r="AP54" s="175">
        <f t="shared" si="204"/>
        <v>-1316</v>
      </c>
      <c r="AQ54" s="175">
        <v>-142</v>
      </c>
      <c r="AR54" s="175">
        <v>-44</v>
      </c>
      <c r="AS54" s="175">
        <v>-186</v>
      </c>
      <c r="AT54" s="175">
        <v>-413</v>
      </c>
      <c r="AU54" s="175">
        <v>-599</v>
      </c>
      <c r="AV54" s="175">
        <v>-967</v>
      </c>
      <c r="AW54" s="175">
        <f t="shared" si="205"/>
        <v>-1566</v>
      </c>
      <c r="AX54" s="175">
        <v>-359</v>
      </c>
      <c r="AY54" s="175">
        <f t="shared" si="9"/>
        <v>-62</v>
      </c>
      <c r="AZ54" s="175">
        <v>-421</v>
      </c>
      <c r="BA54" s="175">
        <f t="shared" si="167"/>
        <v>-516</v>
      </c>
      <c r="BB54" s="175">
        <v>-937</v>
      </c>
      <c r="BC54" s="175">
        <f t="shared" si="168"/>
        <v>-907</v>
      </c>
      <c r="BD54" s="175">
        <v>-1844</v>
      </c>
      <c r="BE54" s="175">
        <v>-500</v>
      </c>
      <c r="BF54" s="175">
        <v>-65</v>
      </c>
      <c r="BG54" s="175">
        <f t="shared" si="188"/>
        <v>-565</v>
      </c>
      <c r="BH54" s="175">
        <v>-529</v>
      </c>
      <c r="BI54" s="175">
        <f t="shared" si="206"/>
        <v>-1094</v>
      </c>
      <c r="BJ54" s="175">
        <v>-822</v>
      </c>
      <c r="BK54" s="175">
        <f t="shared" si="207"/>
        <v>-1916</v>
      </c>
      <c r="BL54" s="175">
        <v>-77</v>
      </c>
      <c r="BM54" s="175">
        <v>-23</v>
      </c>
      <c r="BN54" s="175">
        <f t="shared" si="190"/>
        <v>-100</v>
      </c>
      <c r="BO54" s="175">
        <v>-551</v>
      </c>
      <c r="BP54" s="175">
        <f t="shared" si="208"/>
        <v>-651</v>
      </c>
      <c r="BQ54" s="175">
        <v>-1098</v>
      </c>
      <c r="BR54" s="175">
        <f t="shared" si="209"/>
        <v>-1749</v>
      </c>
      <c r="BS54" s="175">
        <v>-326</v>
      </c>
      <c r="BT54" s="175">
        <v>-17</v>
      </c>
      <c r="BU54" s="175">
        <f t="shared" si="191"/>
        <v>-343</v>
      </c>
      <c r="BV54" s="175">
        <v>-613</v>
      </c>
      <c r="BW54" s="175">
        <f t="shared" si="210"/>
        <v>-956</v>
      </c>
      <c r="BX54" s="175">
        <f>-1950-BW54</f>
        <v>-994</v>
      </c>
      <c r="BY54" s="175">
        <f t="shared" si="211"/>
        <v>-1950</v>
      </c>
      <c r="BZ54" s="175">
        <v>-288</v>
      </c>
      <c r="CA54" s="175">
        <v>0</v>
      </c>
      <c r="CB54" s="175">
        <f t="shared" si="192"/>
        <v>-288</v>
      </c>
      <c r="CC54" s="175">
        <v>-704</v>
      </c>
      <c r="CD54" s="175">
        <f t="shared" si="212"/>
        <v>-992</v>
      </c>
      <c r="CE54" s="175">
        <f>-2070-CD54</f>
        <v>-1078</v>
      </c>
      <c r="CF54" s="175">
        <f t="shared" si="213"/>
        <v>-2070</v>
      </c>
      <c r="CG54" s="175">
        <v>-360</v>
      </c>
      <c r="CH54" s="175">
        <v>-98</v>
      </c>
      <c r="CI54" s="175">
        <f t="shared" si="193"/>
        <v>-458</v>
      </c>
      <c r="CJ54" s="175">
        <v>-571</v>
      </c>
      <c r="CK54" s="175">
        <f t="shared" si="214"/>
        <v>-1029</v>
      </c>
      <c r="CL54" s="175">
        <v>-1102</v>
      </c>
      <c r="CM54" s="175">
        <f t="shared" si="215"/>
        <v>-2131</v>
      </c>
      <c r="CN54" s="175">
        <v>-507</v>
      </c>
      <c r="CO54" s="175">
        <v>-58</v>
      </c>
      <c r="CP54" s="175">
        <f t="shared" si="194"/>
        <v>-565</v>
      </c>
      <c r="CQ54" s="175">
        <v>-467</v>
      </c>
      <c r="CR54" s="175">
        <f t="shared" si="216"/>
        <v>-1032</v>
      </c>
      <c r="CS54" s="175">
        <v>-697</v>
      </c>
      <c r="CT54" s="175">
        <f t="shared" si="221"/>
        <v>-1729</v>
      </c>
      <c r="CU54" s="175">
        <v>-120</v>
      </c>
      <c r="CV54" s="175">
        <v>-59</v>
      </c>
      <c r="CW54" s="175">
        <f t="shared" si="195"/>
        <v>-179</v>
      </c>
      <c r="CX54" s="175">
        <v>-777</v>
      </c>
      <c r="CY54" s="175">
        <f t="shared" si="217"/>
        <v>-956</v>
      </c>
      <c r="CZ54" s="175">
        <v>-1620</v>
      </c>
      <c r="DA54" s="175">
        <f t="shared" ref="DA54:DA57" si="222">CZ54+CY54</f>
        <v>-2576</v>
      </c>
      <c r="DB54" s="175">
        <v>-362</v>
      </c>
      <c r="DC54" s="175">
        <v>-6</v>
      </c>
      <c r="DD54" s="175">
        <f t="shared" si="196"/>
        <v>-368</v>
      </c>
      <c r="DE54" s="175">
        <v>-518</v>
      </c>
      <c r="DF54" s="175">
        <f t="shared" ref="DF54:DF57" si="223">DE54+DD54</f>
        <v>-886</v>
      </c>
      <c r="DG54" s="175">
        <v>-1609</v>
      </c>
      <c r="DH54" s="175">
        <f t="shared" ref="DH54:DH55" si="224">DG54+DF54</f>
        <v>-2495</v>
      </c>
      <c r="DI54" s="175">
        <v>-877</v>
      </c>
      <c r="DJ54" s="175">
        <v>-32</v>
      </c>
      <c r="DK54" s="175">
        <f t="shared" si="15"/>
        <v>-909</v>
      </c>
    </row>
    <row r="55" spans="1:115" ht="10.5" customHeight="1" x14ac:dyDescent="0.25">
      <c r="A55" s="56"/>
      <c r="B55" s="57"/>
      <c r="C55" s="57" t="s">
        <v>277</v>
      </c>
      <c r="D55" s="58"/>
      <c r="E55" s="59"/>
      <c r="F55" s="59"/>
      <c r="G55" s="59"/>
      <c r="H55" s="175">
        <v>0</v>
      </c>
      <c r="I55" s="175">
        <v>0</v>
      </c>
      <c r="J55" s="177">
        <v>0</v>
      </c>
      <c r="K55" s="175">
        <v>0</v>
      </c>
      <c r="L55" s="177">
        <v>0</v>
      </c>
      <c r="M55" s="175">
        <v>0</v>
      </c>
      <c r="N55" s="175">
        <v>0</v>
      </c>
      <c r="O55" s="177">
        <v>0</v>
      </c>
      <c r="P55" s="175">
        <v>0</v>
      </c>
      <c r="Q55" s="175">
        <v>0</v>
      </c>
      <c r="R55" s="175">
        <v>0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-3444</v>
      </c>
      <c r="AD55" s="175">
        <v>-2090</v>
      </c>
      <c r="AE55" s="175">
        <v>-5534</v>
      </c>
      <c r="AF55" s="175">
        <f t="shared" si="200"/>
        <v>-1979</v>
      </c>
      <c r="AG55" s="175">
        <v>-7513</v>
      </c>
      <c r="AH55" s="175">
        <f t="shared" si="201"/>
        <v>-5462</v>
      </c>
      <c r="AI55" s="175">
        <v>-12975</v>
      </c>
      <c r="AJ55" s="175">
        <v>-2988</v>
      </c>
      <c r="AK55" s="175">
        <v>-3355</v>
      </c>
      <c r="AL55" s="175">
        <f t="shared" si="202"/>
        <v>-6343</v>
      </c>
      <c r="AM55" s="175">
        <v>-2177</v>
      </c>
      <c r="AN55" s="175">
        <f t="shared" si="203"/>
        <v>-8520</v>
      </c>
      <c r="AO55" s="175">
        <v>-5116</v>
      </c>
      <c r="AP55" s="175">
        <f t="shared" si="204"/>
        <v>-13636</v>
      </c>
      <c r="AQ55" s="175">
        <v>-2447</v>
      </c>
      <c r="AR55" s="175">
        <v>-1937</v>
      </c>
      <c r="AS55" s="175">
        <v>-4384</v>
      </c>
      <c r="AT55" s="175">
        <v>-3183</v>
      </c>
      <c r="AU55" s="175">
        <v>-7567</v>
      </c>
      <c r="AV55" s="175">
        <v>-8756</v>
      </c>
      <c r="AW55" s="175">
        <f t="shared" si="205"/>
        <v>-16323</v>
      </c>
      <c r="AX55" s="175">
        <v>-4807</v>
      </c>
      <c r="AY55" s="175">
        <f t="shared" si="9"/>
        <v>-3332</v>
      </c>
      <c r="AZ55" s="175">
        <v>-8139</v>
      </c>
      <c r="BA55" s="175">
        <f t="shared" si="167"/>
        <v>-2830</v>
      </c>
      <c r="BB55" s="175">
        <v>-10969</v>
      </c>
      <c r="BC55" s="175">
        <f t="shared" si="168"/>
        <v>-8875</v>
      </c>
      <c r="BD55" s="175">
        <v>-19844</v>
      </c>
      <c r="BE55" s="175">
        <v>-4229</v>
      </c>
      <c r="BF55" s="175">
        <v>-2386</v>
      </c>
      <c r="BG55" s="175">
        <f t="shared" si="188"/>
        <v>-6615</v>
      </c>
      <c r="BH55" s="175">
        <v>-2420</v>
      </c>
      <c r="BI55" s="175">
        <f t="shared" si="206"/>
        <v>-9035</v>
      </c>
      <c r="BJ55" s="175">
        <v>-6953</v>
      </c>
      <c r="BK55" s="175">
        <f t="shared" si="207"/>
        <v>-15988</v>
      </c>
      <c r="BL55" s="175">
        <v>-3173</v>
      </c>
      <c r="BM55" s="175">
        <v>-1387</v>
      </c>
      <c r="BN55" s="175">
        <f t="shared" si="190"/>
        <v>-4560</v>
      </c>
      <c r="BO55" s="175">
        <v>-2541</v>
      </c>
      <c r="BP55" s="175">
        <f t="shared" si="208"/>
        <v>-7101</v>
      </c>
      <c r="BQ55" s="175">
        <v>-9319</v>
      </c>
      <c r="BR55" s="175">
        <f t="shared" si="209"/>
        <v>-16420</v>
      </c>
      <c r="BS55" s="175">
        <v>-5040</v>
      </c>
      <c r="BT55" s="175">
        <v>-2310</v>
      </c>
      <c r="BU55" s="175">
        <f t="shared" si="191"/>
        <v>-7350</v>
      </c>
      <c r="BV55" s="175">
        <v>-3468</v>
      </c>
      <c r="BW55" s="175">
        <f t="shared" si="210"/>
        <v>-10818</v>
      </c>
      <c r="BX55" s="175">
        <f>-22098-BW55</f>
        <v>-11280</v>
      </c>
      <c r="BY55" s="175">
        <f t="shared" si="211"/>
        <v>-22098</v>
      </c>
      <c r="BZ55" s="175">
        <v>-5895</v>
      </c>
      <c r="CA55" s="175">
        <v>-4620</v>
      </c>
      <c r="CB55" s="175">
        <f t="shared" si="192"/>
        <v>-10515</v>
      </c>
      <c r="CC55" s="175">
        <v>-4797</v>
      </c>
      <c r="CD55" s="175">
        <f t="shared" si="212"/>
        <v>-15312</v>
      </c>
      <c r="CE55" s="175">
        <f>-28535-CD55</f>
        <v>-13223</v>
      </c>
      <c r="CF55" s="175">
        <f t="shared" si="213"/>
        <v>-28535</v>
      </c>
      <c r="CG55" s="175">
        <v>-10796</v>
      </c>
      <c r="CH55" s="175">
        <v>-4747</v>
      </c>
      <c r="CI55" s="175">
        <f t="shared" si="193"/>
        <v>-15543</v>
      </c>
      <c r="CJ55" s="175">
        <v>-8150</v>
      </c>
      <c r="CK55" s="175">
        <f t="shared" si="214"/>
        <v>-23693</v>
      </c>
      <c r="CL55" s="175">
        <v>-16535</v>
      </c>
      <c r="CM55" s="175">
        <f t="shared" si="215"/>
        <v>-40228</v>
      </c>
      <c r="CN55" s="175">
        <v>-13583</v>
      </c>
      <c r="CO55" s="175">
        <v>-8807</v>
      </c>
      <c r="CP55" s="175">
        <f t="shared" si="194"/>
        <v>-22390</v>
      </c>
      <c r="CQ55" s="175">
        <v>-5116</v>
      </c>
      <c r="CR55" s="175">
        <f t="shared" si="216"/>
        <v>-27506</v>
      </c>
      <c r="CS55" s="175">
        <v>-13845</v>
      </c>
      <c r="CT55" s="175">
        <f t="shared" si="221"/>
        <v>-41351</v>
      </c>
      <c r="CU55" s="175">
        <v>-14446</v>
      </c>
      <c r="CV55" s="175">
        <v>-13149</v>
      </c>
      <c r="CW55" s="175">
        <f t="shared" si="195"/>
        <v>-27595</v>
      </c>
      <c r="CX55" s="175">
        <v>-4517</v>
      </c>
      <c r="CY55" s="175">
        <f t="shared" si="217"/>
        <v>-32112</v>
      </c>
      <c r="CZ55" s="175">
        <v>-15592</v>
      </c>
      <c r="DA55" s="175">
        <f t="shared" si="222"/>
        <v>-47704</v>
      </c>
      <c r="DB55" s="175">
        <v>-9962</v>
      </c>
      <c r="DC55" s="175">
        <v>-8235</v>
      </c>
      <c r="DD55" s="175">
        <f t="shared" si="196"/>
        <v>-18197</v>
      </c>
      <c r="DE55" s="175">
        <v>-9264</v>
      </c>
      <c r="DF55" s="175">
        <f t="shared" si="223"/>
        <v>-27461</v>
      </c>
      <c r="DG55" s="175">
        <v>-15226</v>
      </c>
      <c r="DH55" s="175">
        <f t="shared" si="224"/>
        <v>-42687</v>
      </c>
      <c r="DI55" s="175">
        <v>-17907</v>
      </c>
      <c r="DJ55" s="175">
        <v>-18261</v>
      </c>
      <c r="DK55" s="175">
        <f t="shared" si="15"/>
        <v>-36168</v>
      </c>
    </row>
    <row r="56" spans="1:115" ht="10.5" customHeight="1" x14ac:dyDescent="0.25">
      <c r="A56" s="56"/>
      <c r="B56" s="57"/>
      <c r="C56" s="57" t="s">
        <v>426</v>
      </c>
      <c r="D56" s="58"/>
      <c r="E56" s="59"/>
      <c r="F56" s="59"/>
      <c r="G56" s="59"/>
      <c r="H56" s="175"/>
      <c r="I56" s="175"/>
      <c r="J56" s="177"/>
      <c r="K56" s="175"/>
      <c r="L56" s="177"/>
      <c r="M56" s="175"/>
      <c r="N56" s="175"/>
      <c r="O56" s="177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D56" s="175"/>
      <c r="CE56" s="175"/>
      <c r="CF56" s="175"/>
      <c r="CG56" s="175"/>
      <c r="CH56" s="175"/>
      <c r="CI56" s="175"/>
      <c r="CJ56" s="175"/>
      <c r="CK56" s="175"/>
      <c r="CL56" s="175"/>
      <c r="CM56" s="175"/>
      <c r="CN56" s="175"/>
      <c r="CO56" s="175"/>
      <c r="CP56" s="175"/>
      <c r="CQ56" s="175"/>
      <c r="CR56" s="175"/>
      <c r="CS56" s="175"/>
      <c r="CT56" s="175"/>
      <c r="CU56" s="175">
        <v>0</v>
      </c>
      <c r="CV56" s="175">
        <v>-31616</v>
      </c>
      <c r="CW56" s="175">
        <f t="shared" si="195"/>
        <v>-31616</v>
      </c>
      <c r="CX56" s="175">
        <v>-10157</v>
      </c>
      <c r="CY56" s="175">
        <f t="shared" si="217"/>
        <v>-41773</v>
      </c>
      <c r="CZ56" s="175">
        <v>-50892</v>
      </c>
      <c r="DA56" s="175">
        <f t="shared" si="222"/>
        <v>-92665</v>
      </c>
      <c r="DB56" s="175">
        <v>-32116</v>
      </c>
      <c r="DC56" s="175">
        <v>-565</v>
      </c>
      <c r="DD56" s="175">
        <f t="shared" si="196"/>
        <v>-32681</v>
      </c>
      <c r="DE56" s="175">
        <v>-18772</v>
      </c>
      <c r="DF56" s="175">
        <f t="shared" si="223"/>
        <v>-51453</v>
      </c>
      <c r="DG56" s="175">
        <v>-60448</v>
      </c>
      <c r="DH56" s="175">
        <v>-111901</v>
      </c>
      <c r="DI56" s="175">
        <v>-2097</v>
      </c>
      <c r="DJ56" s="175">
        <v>-2426</v>
      </c>
      <c r="DK56" s="175">
        <f t="shared" si="15"/>
        <v>-4523</v>
      </c>
    </row>
    <row r="57" spans="1:115" ht="10.5" customHeight="1" x14ac:dyDescent="0.25">
      <c r="A57" s="56"/>
      <c r="B57" s="57"/>
      <c r="C57" s="57" t="s">
        <v>110</v>
      </c>
      <c r="D57" s="58"/>
      <c r="E57" s="59"/>
      <c r="F57" s="59"/>
      <c r="G57" s="59"/>
      <c r="H57" s="175">
        <v>-1431</v>
      </c>
      <c r="I57" s="175">
        <v>-558</v>
      </c>
      <c r="J57" s="177">
        <f t="shared" si="77"/>
        <v>-1989</v>
      </c>
      <c r="K57" s="175">
        <v>-968</v>
      </c>
      <c r="L57" s="177">
        <f t="shared" si="78"/>
        <v>-2957</v>
      </c>
      <c r="M57" s="175">
        <v>-1670</v>
      </c>
      <c r="N57" s="175">
        <f t="shared" si="197"/>
        <v>-4627</v>
      </c>
      <c r="O57" s="177">
        <v>-1509</v>
      </c>
      <c r="P57" s="175">
        <v>101</v>
      </c>
      <c r="Q57" s="175">
        <f t="shared" si="79"/>
        <v>-1408</v>
      </c>
      <c r="R57" s="175">
        <v>-1943</v>
      </c>
      <c r="S57" s="175">
        <f t="shared" si="80"/>
        <v>-3351</v>
      </c>
      <c r="T57" s="175">
        <f t="shared" si="198"/>
        <v>-2467</v>
      </c>
      <c r="U57" s="175">
        <v>-5818</v>
      </c>
      <c r="V57" s="175">
        <v>-2627</v>
      </c>
      <c r="W57" s="175">
        <v>-499</v>
      </c>
      <c r="X57" s="175">
        <f t="shared" si="81"/>
        <v>-3126</v>
      </c>
      <c r="Y57" s="175">
        <v>-1229</v>
      </c>
      <c r="Z57" s="175">
        <f t="shared" si="82"/>
        <v>-4355</v>
      </c>
      <c r="AA57" s="175">
        <f t="shared" si="199"/>
        <v>-3803</v>
      </c>
      <c r="AB57" s="175">
        <v>-8158</v>
      </c>
      <c r="AC57" s="175">
        <v>-732</v>
      </c>
      <c r="AD57" s="175">
        <v>-147</v>
      </c>
      <c r="AE57" s="175">
        <f>-6413-AE55</f>
        <v>-879</v>
      </c>
      <c r="AF57" s="175">
        <f t="shared" si="200"/>
        <v>-135</v>
      </c>
      <c r="AG57" s="175">
        <v>-1014</v>
      </c>
      <c r="AH57" s="175">
        <f t="shared" si="201"/>
        <v>-440</v>
      </c>
      <c r="AI57" s="175">
        <v>-1454</v>
      </c>
      <c r="AJ57" s="175">
        <v>-144</v>
      </c>
      <c r="AK57" s="175">
        <v>-171</v>
      </c>
      <c r="AL57" s="175">
        <f t="shared" si="202"/>
        <v>-315</v>
      </c>
      <c r="AM57" s="175">
        <v>-106</v>
      </c>
      <c r="AN57" s="175">
        <f t="shared" si="203"/>
        <v>-421</v>
      </c>
      <c r="AO57" s="175">
        <v>-328</v>
      </c>
      <c r="AP57" s="175">
        <f t="shared" si="204"/>
        <v>-749</v>
      </c>
      <c r="AQ57" s="175">
        <v>-85</v>
      </c>
      <c r="AR57" s="175">
        <v>-27</v>
      </c>
      <c r="AS57" s="175">
        <v>-112</v>
      </c>
      <c r="AT57" s="175">
        <v>-102</v>
      </c>
      <c r="AU57" s="175">
        <v>-214</v>
      </c>
      <c r="AV57" s="175">
        <v>-211</v>
      </c>
      <c r="AW57" s="175">
        <f t="shared" si="205"/>
        <v>-425</v>
      </c>
      <c r="AX57" s="175">
        <v>-67</v>
      </c>
      <c r="AY57" s="175">
        <f t="shared" si="9"/>
        <v>-83</v>
      </c>
      <c r="AZ57" s="175">
        <v>-150</v>
      </c>
      <c r="BA57" s="175">
        <f t="shared" si="167"/>
        <v>-157</v>
      </c>
      <c r="BB57" s="175">
        <v>-307</v>
      </c>
      <c r="BC57" s="175">
        <f t="shared" si="168"/>
        <v>-124</v>
      </c>
      <c r="BD57" s="175">
        <v>-431</v>
      </c>
      <c r="BE57" s="175">
        <v>-122</v>
      </c>
      <c r="BF57" s="175">
        <v>-192</v>
      </c>
      <c r="BG57" s="175">
        <f t="shared" si="188"/>
        <v>-314</v>
      </c>
      <c r="BH57" s="175">
        <v>-2934</v>
      </c>
      <c r="BI57" s="175">
        <f t="shared" si="206"/>
        <v>-3248</v>
      </c>
      <c r="BJ57" s="175">
        <v>-227</v>
      </c>
      <c r="BK57" s="175">
        <f t="shared" si="207"/>
        <v>-3475</v>
      </c>
      <c r="BL57" s="175">
        <v>-51</v>
      </c>
      <c r="BM57" s="175">
        <v>-278</v>
      </c>
      <c r="BN57" s="175">
        <f t="shared" si="190"/>
        <v>-329</v>
      </c>
      <c r="BO57" s="175">
        <v>-188</v>
      </c>
      <c r="BP57" s="175">
        <f t="shared" si="208"/>
        <v>-517</v>
      </c>
      <c r="BQ57" s="175">
        <v>-554</v>
      </c>
      <c r="BR57" s="175">
        <f t="shared" si="209"/>
        <v>-1071</v>
      </c>
      <c r="BS57" s="175">
        <v>-144</v>
      </c>
      <c r="BT57" s="175">
        <v>-96</v>
      </c>
      <c r="BU57" s="175">
        <f t="shared" si="191"/>
        <v>-240</v>
      </c>
      <c r="BV57" s="175">
        <v>-358</v>
      </c>
      <c r="BW57" s="175">
        <f t="shared" si="210"/>
        <v>-598</v>
      </c>
      <c r="BX57" s="175">
        <f>-6845-BW57</f>
        <v>-6247</v>
      </c>
      <c r="BY57" s="175">
        <f t="shared" si="211"/>
        <v>-6845</v>
      </c>
      <c r="BZ57" s="175">
        <v>-2190</v>
      </c>
      <c r="CA57" s="175">
        <v>-112</v>
      </c>
      <c r="CB57" s="175">
        <f t="shared" si="192"/>
        <v>-2302</v>
      </c>
      <c r="CC57" s="175">
        <v>-5031</v>
      </c>
      <c r="CD57" s="175">
        <f t="shared" si="212"/>
        <v>-7333</v>
      </c>
      <c r="CE57" s="175">
        <f>-18359-CD57</f>
        <v>-11026</v>
      </c>
      <c r="CF57" s="175">
        <f t="shared" si="213"/>
        <v>-18359</v>
      </c>
      <c r="CG57" s="175">
        <v>-1527</v>
      </c>
      <c r="CH57" s="175">
        <v>-9836</v>
      </c>
      <c r="CI57" s="175">
        <f t="shared" si="193"/>
        <v>-11363</v>
      </c>
      <c r="CJ57" s="175">
        <v>10068</v>
      </c>
      <c r="CK57" s="175">
        <f t="shared" si="214"/>
        <v>-1295</v>
      </c>
      <c r="CL57" s="175">
        <v>-16306</v>
      </c>
      <c r="CM57" s="175">
        <f t="shared" si="215"/>
        <v>-17601</v>
      </c>
      <c r="CN57" s="175">
        <v>-1809</v>
      </c>
      <c r="CO57" s="175">
        <f>-536+2378</f>
        <v>1842</v>
      </c>
      <c r="CP57" s="175">
        <f t="shared" si="194"/>
        <v>33</v>
      </c>
      <c r="CQ57" s="175">
        <v>-3798</v>
      </c>
      <c r="CR57" s="175">
        <f t="shared" si="216"/>
        <v>-3765</v>
      </c>
      <c r="CS57" s="175">
        <v>-15332</v>
      </c>
      <c r="CT57" s="175">
        <f t="shared" si="221"/>
        <v>-19097</v>
      </c>
      <c r="CU57" s="175">
        <v>-4769</v>
      </c>
      <c r="CV57" s="175">
        <v>43</v>
      </c>
      <c r="CW57" s="175">
        <f t="shared" si="195"/>
        <v>-4726</v>
      </c>
      <c r="CX57" s="175">
        <v>-5100</v>
      </c>
      <c r="CY57" s="175">
        <f t="shared" si="217"/>
        <v>-9826</v>
      </c>
      <c r="CZ57" s="175">
        <v>-3642</v>
      </c>
      <c r="DA57" s="175">
        <f t="shared" si="222"/>
        <v>-13468</v>
      </c>
      <c r="DB57" s="175">
        <v>-3389</v>
      </c>
      <c r="DC57" s="175">
        <f>-3414+565</f>
        <v>-2849</v>
      </c>
      <c r="DD57" s="175">
        <f t="shared" si="196"/>
        <v>-6238</v>
      </c>
      <c r="DE57" s="175">
        <v>-4619</v>
      </c>
      <c r="DF57" s="175">
        <f t="shared" si="223"/>
        <v>-10857</v>
      </c>
      <c r="DG57" s="175">
        <v>-5000</v>
      </c>
      <c r="DH57" s="175">
        <v>-11856</v>
      </c>
      <c r="DI57" s="175">
        <v>-4923</v>
      </c>
      <c r="DJ57" s="175">
        <v>-7566</v>
      </c>
      <c r="DK57" s="175">
        <f t="shared" si="15"/>
        <v>-12489</v>
      </c>
    </row>
    <row r="58" spans="1:115" s="137" customFormat="1" ht="10.5" customHeight="1" x14ac:dyDescent="0.25">
      <c r="A58" s="63"/>
      <c r="B58" s="64" t="s">
        <v>278</v>
      </c>
      <c r="C58" s="64"/>
      <c r="D58" s="65"/>
      <c r="E58" s="64"/>
      <c r="F58" s="64"/>
      <c r="G58" s="64"/>
      <c r="H58" s="176">
        <f>SUM(H59+H74)</f>
        <v>-7942</v>
      </c>
      <c r="I58" s="176">
        <f>SUM(I59+I74)</f>
        <v>-6978</v>
      </c>
      <c r="J58" s="176">
        <f t="shared" si="77"/>
        <v>-14920</v>
      </c>
      <c r="K58" s="176">
        <f>SUM(K59+K74)</f>
        <v>-10104</v>
      </c>
      <c r="L58" s="176">
        <f t="shared" si="78"/>
        <v>-25024</v>
      </c>
      <c r="M58" s="176">
        <f>SUM(M59+M74)</f>
        <v>-8661</v>
      </c>
      <c r="N58" s="176">
        <f>SUM(N59+N74)</f>
        <v>-33685</v>
      </c>
      <c r="O58" s="176">
        <f>SUM(O59+O74)</f>
        <v>-6421</v>
      </c>
      <c r="P58" s="176">
        <f>SUM(P59+P74)</f>
        <v>-9613</v>
      </c>
      <c r="Q58" s="176">
        <f t="shared" si="79"/>
        <v>-16034</v>
      </c>
      <c r="R58" s="176">
        <f>SUM(R59+R74)</f>
        <v>-8912</v>
      </c>
      <c r="S58" s="176">
        <f t="shared" si="80"/>
        <v>-24946</v>
      </c>
      <c r="T58" s="176">
        <f>SUM(T59+T74)</f>
        <v>-13675</v>
      </c>
      <c r="U58" s="176">
        <f>SUM(U59+U74)</f>
        <v>-38621</v>
      </c>
      <c r="V58" s="176">
        <f>SUM(V59+V74)</f>
        <v>-13485</v>
      </c>
      <c r="W58" s="176">
        <f>SUM(W59+W74)</f>
        <v>-13937</v>
      </c>
      <c r="X58" s="184">
        <f t="shared" si="81"/>
        <v>-27422</v>
      </c>
      <c r="Y58" s="176">
        <f>SUM(Y59+Y74)</f>
        <v>-17294</v>
      </c>
      <c r="Z58" s="184">
        <f t="shared" si="82"/>
        <v>-44716</v>
      </c>
      <c r="AA58" s="176">
        <f t="shared" ref="AA58:AF58" si="225">SUM(AA59+AA74)</f>
        <v>-19331</v>
      </c>
      <c r="AB58" s="176">
        <f t="shared" si="225"/>
        <v>-64047</v>
      </c>
      <c r="AC58" s="176">
        <f t="shared" si="225"/>
        <v>-13416</v>
      </c>
      <c r="AD58" s="176">
        <f t="shared" si="225"/>
        <v>-10940</v>
      </c>
      <c r="AE58" s="176">
        <f t="shared" si="225"/>
        <v>-24356</v>
      </c>
      <c r="AF58" s="176">
        <f t="shared" si="225"/>
        <v>-10446</v>
      </c>
      <c r="AG58" s="176">
        <f>AE58+AF58</f>
        <v>-34802</v>
      </c>
      <c r="AH58" s="176">
        <f>SUM(AH59+AH74)</f>
        <v>-11389</v>
      </c>
      <c r="AI58" s="176">
        <f>AG58+AH58</f>
        <v>-46191</v>
      </c>
      <c r="AJ58" s="176">
        <f t="shared" ref="AJ58:AP58" si="226">SUM(AJ59+AJ74)</f>
        <v>-11297</v>
      </c>
      <c r="AK58" s="176">
        <f t="shared" si="226"/>
        <v>-10776</v>
      </c>
      <c r="AL58" s="176">
        <f t="shared" si="226"/>
        <v>-22073</v>
      </c>
      <c r="AM58" s="176">
        <f t="shared" si="226"/>
        <v>-11574</v>
      </c>
      <c r="AN58" s="176">
        <f t="shared" si="226"/>
        <v>-33647</v>
      </c>
      <c r="AO58" s="176">
        <f t="shared" si="226"/>
        <v>-14082</v>
      </c>
      <c r="AP58" s="176">
        <f t="shared" si="226"/>
        <v>-47729</v>
      </c>
      <c r="AQ58" s="176">
        <f t="shared" ref="AQ58:AW58" si="227">SUM(AQ59+AQ74)</f>
        <v>-15189</v>
      </c>
      <c r="AR58" s="176">
        <f t="shared" si="227"/>
        <v>-13644</v>
      </c>
      <c r="AS58" s="176">
        <f t="shared" si="227"/>
        <v>-28833</v>
      </c>
      <c r="AT58" s="176">
        <f t="shared" si="227"/>
        <v>-13448</v>
      </c>
      <c r="AU58" s="176">
        <f t="shared" si="227"/>
        <v>-42281</v>
      </c>
      <c r="AV58" s="176">
        <f t="shared" si="227"/>
        <v>-11454</v>
      </c>
      <c r="AW58" s="176">
        <f t="shared" si="227"/>
        <v>-53735</v>
      </c>
      <c r="AX58" s="176">
        <f>SUM(AX59+AX74)</f>
        <v>-15243</v>
      </c>
      <c r="AY58" s="176">
        <f t="shared" si="9"/>
        <v>-13105</v>
      </c>
      <c r="AZ58" s="176">
        <f>SUM(AZ59+AZ74)</f>
        <v>-28348</v>
      </c>
      <c r="BA58" s="176">
        <f t="shared" si="167"/>
        <v>-13813</v>
      </c>
      <c r="BB58" s="176">
        <f>SUM(BB59+BB74)</f>
        <v>-42161</v>
      </c>
      <c r="BC58" s="176">
        <f t="shared" si="168"/>
        <v>-16276</v>
      </c>
      <c r="BD58" s="176">
        <f>SUM(BD59+BD74)</f>
        <v>-58437</v>
      </c>
      <c r="BE58" s="176">
        <f>SUM(BE59+BE74)</f>
        <v>-20543</v>
      </c>
      <c r="BF58" s="176">
        <f>SUM(BF59+BF74)</f>
        <v>-13325</v>
      </c>
      <c r="BG58" s="176">
        <f>SUM(BG59+BG74)</f>
        <v>-33868</v>
      </c>
      <c r="BH58" s="176">
        <f t="shared" ref="BH58:CK58" si="228">SUM(BH59+BH74)</f>
        <v>-12099</v>
      </c>
      <c r="BI58" s="176">
        <f t="shared" si="228"/>
        <v>-45967</v>
      </c>
      <c r="BJ58" s="176">
        <f t="shared" si="228"/>
        <v>-13121</v>
      </c>
      <c r="BK58" s="176">
        <f t="shared" si="228"/>
        <v>-59087</v>
      </c>
      <c r="BL58" s="176">
        <f t="shared" si="228"/>
        <v>-20362</v>
      </c>
      <c r="BM58" s="176">
        <f t="shared" si="228"/>
        <v>-19402</v>
      </c>
      <c r="BN58" s="176">
        <f t="shared" si="228"/>
        <v>-39764</v>
      </c>
      <c r="BO58" s="176">
        <f t="shared" si="228"/>
        <v>-22110</v>
      </c>
      <c r="BP58" s="176">
        <f t="shared" si="228"/>
        <v>-61874</v>
      </c>
      <c r="BQ58" s="176">
        <f t="shared" si="228"/>
        <v>-24159</v>
      </c>
      <c r="BR58" s="176">
        <f>SUM(BR59+BR74)</f>
        <v>-86036</v>
      </c>
      <c r="BS58" s="176">
        <f t="shared" si="228"/>
        <v>-24164</v>
      </c>
      <c r="BT58" s="176">
        <f t="shared" si="228"/>
        <v>-22411</v>
      </c>
      <c r="BU58" s="176">
        <f t="shared" si="228"/>
        <v>-46575</v>
      </c>
      <c r="BV58" s="176">
        <f>SUM(BV59+BV74)</f>
        <v>-24911</v>
      </c>
      <c r="BW58" s="176">
        <f t="shared" si="228"/>
        <v>-71486</v>
      </c>
      <c r="BX58" s="176">
        <f t="shared" si="228"/>
        <v>-30028</v>
      </c>
      <c r="BY58" s="176">
        <f>SUM(BY59+BY74)</f>
        <v>-101514</v>
      </c>
      <c r="BZ58" s="176">
        <f t="shared" si="228"/>
        <v>-30722</v>
      </c>
      <c r="CA58" s="176">
        <f t="shared" si="228"/>
        <v>-24050</v>
      </c>
      <c r="CB58" s="176">
        <f t="shared" si="228"/>
        <v>-54772</v>
      </c>
      <c r="CC58" s="176">
        <f t="shared" si="228"/>
        <v>-22318</v>
      </c>
      <c r="CD58" s="176">
        <f t="shared" si="228"/>
        <v>-77090</v>
      </c>
      <c r="CE58" s="176">
        <f t="shared" si="228"/>
        <v>-26061</v>
      </c>
      <c r="CF58" s="176">
        <f>SUM(CF59+CF74)</f>
        <v>-103151</v>
      </c>
      <c r="CG58" s="176">
        <f t="shared" si="228"/>
        <v>-29490</v>
      </c>
      <c r="CH58" s="176">
        <f t="shared" si="228"/>
        <v>-26750</v>
      </c>
      <c r="CI58" s="176">
        <f t="shared" si="228"/>
        <v>-56240</v>
      </c>
      <c r="CJ58" s="176">
        <f t="shared" si="228"/>
        <v>-27752</v>
      </c>
      <c r="CK58" s="176">
        <f t="shared" si="228"/>
        <v>-83992</v>
      </c>
      <c r="CL58" s="176">
        <f t="shared" ref="CL58:CP58" si="229">SUM(CL59+CL74)</f>
        <v>-46178</v>
      </c>
      <c r="CM58" s="176">
        <f t="shared" si="229"/>
        <v>-130168</v>
      </c>
      <c r="CN58" s="176">
        <f>SUM(CN59+CN74)</f>
        <v>-41141</v>
      </c>
      <c r="CO58" s="176">
        <f t="shared" si="229"/>
        <v>-46195</v>
      </c>
      <c r="CP58" s="176">
        <f t="shared" si="229"/>
        <v>-87336</v>
      </c>
      <c r="CQ58" s="176">
        <f t="shared" ref="CQ58:CV58" si="230">SUM(CQ59+CQ74)</f>
        <v>-82172</v>
      </c>
      <c r="CR58" s="176">
        <f t="shared" si="230"/>
        <v>-169509</v>
      </c>
      <c r="CS58" s="176">
        <f t="shared" si="230"/>
        <v>-71942</v>
      </c>
      <c r="CT58" s="176">
        <f t="shared" si="230"/>
        <v>-241449</v>
      </c>
      <c r="CU58" s="176">
        <f t="shared" si="230"/>
        <v>-74746</v>
      </c>
      <c r="CV58" s="176">
        <f t="shared" si="230"/>
        <v>-71770</v>
      </c>
      <c r="CW58" s="176">
        <f>SUM(CW59+CW74)</f>
        <v>-146516</v>
      </c>
      <c r="CX58" s="176">
        <f t="shared" ref="CX58:CY58" si="231">SUM(CX59+CX74)</f>
        <v>-64494</v>
      </c>
      <c r="CY58" s="176">
        <f t="shared" si="231"/>
        <v>-211010</v>
      </c>
      <c r="CZ58" s="176">
        <f t="shared" ref="CZ58:DA58" si="232">SUM(CZ59+CZ74)</f>
        <v>-73598</v>
      </c>
      <c r="DA58" s="176">
        <f t="shared" si="232"/>
        <v>-284604</v>
      </c>
      <c r="DB58" s="176">
        <f>SUM(DB59+DB74)</f>
        <v>-93060</v>
      </c>
      <c r="DC58" s="176">
        <f>SUM(DC59+DC74)</f>
        <v>-75554</v>
      </c>
      <c r="DD58" s="176">
        <f>SUM(DD59+DD74)</f>
        <v>-168614</v>
      </c>
      <c r="DE58" s="176">
        <f t="shared" ref="DE58" si="233">SUM(DE59+DE74)</f>
        <v>-79436</v>
      </c>
      <c r="DF58" s="176">
        <f>SUM(DF59+DF74)</f>
        <v>-248050</v>
      </c>
      <c r="DG58" s="176">
        <f>SUM(DG59+DG74)</f>
        <v>-60710</v>
      </c>
      <c r="DH58" s="176">
        <f>SUM(DH59+DH74)</f>
        <v>-308760</v>
      </c>
      <c r="DI58" s="176">
        <f>SUM(DI59+DI74)</f>
        <v>-78662</v>
      </c>
      <c r="DJ58" s="176">
        <f>SUM(DJ59+DJ74)</f>
        <v>-73428</v>
      </c>
      <c r="DK58" s="176">
        <f t="shared" si="15"/>
        <v>-152090</v>
      </c>
    </row>
    <row r="59" spans="1:115" s="137" customFormat="1" ht="10.5" customHeight="1" x14ac:dyDescent="0.25">
      <c r="A59" s="160"/>
      <c r="B59" s="57"/>
      <c r="C59" s="57" t="s">
        <v>279</v>
      </c>
      <c r="D59" s="101"/>
      <c r="E59" s="59"/>
      <c r="F59" s="59"/>
      <c r="G59" s="59"/>
      <c r="H59" s="178">
        <f>SUM(H60:H73)</f>
        <v>-6511</v>
      </c>
      <c r="I59" s="178">
        <f t="shared" ref="I59:AL59" si="234">SUM(I60:I73)</f>
        <v>-6041</v>
      </c>
      <c r="J59" s="178">
        <f t="shared" si="234"/>
        <v>-12552</v>
      </c>
      <c r="K59" s="178">
        <f t="shared" si="234"/>
        <v>-9202</v>
      </c>
      <c r="L59" s="178">
        <f t="shared" si="234"/>
        <v>-21754</v>
      </c>
      <c r="M59" s="178">
        <f t="shared" si="234"/>
        <v>-7345</v>
      </c>
      <c r="N59" s="178">
        <f t="shared" si="234"/>
        <v>-29099</v>
      </c>
      <c r="O59" s="178">
        <f t="shared" si="234"/>
        <v>-6156</v>
      </c>
      <c r="P59" s="178">
        <f t="shared" si="234"/>
        <v>-8573</v>
      </c>
      <c r="Q59" s="178">
        <f t="shared" si="234"/>
        <v>-14729</v>
      </c>
      <c r="R59" s="178">
        <f t="shared" si="234"/>
        <v>-7994</v>
      </c>
      <c r="S59" s="178">
        <f t="shared" si="234"/>
        <v>-22723</v>
      </c>
      <c r="T59" s="178">
        <f t="shared" si="234"/>
        <v>-11800</v>
      </c>
      <c r="U59" s="178">
        <f t="shared" si="234"/>
        <v>-34523</v>
      </c>
      <c r="V59" s="178">
        <f t="shared" si="234"/>
        <v>-11868</v>
      </c>
      <c r="W59" s="178">
        <f t="shared" si="234"/>
        <v>-11800</v>
      </c>
      <c r="X59" s="178">
        <f t="shared" si="234"/>
        <v>-23668</v>
      </c>
      <c r="Y59" s="178">
        <f t="shared" si="234"/>
        <v>-15220</v>
      </c>
      <c r="Z59" s="178">
        <f t="shared" si="234"/>
        <v>-38888</v>
      </c>
      <c r="AA59" s="178">
        <f t="shared" si="234"/>
        <v>-18900</v>
      </c>
      <c r="AB59" s="178">
        <f t="shared" si="234"/>
        <v>-57788</v>
      </c>
      <c r="AC59" s="178">
        <f t="shared" si="234"/>
        <v>-11601</v>
      </c>
      <c r="AD59" s="178">
        <f t="shared" si="234"/>
        <v>-9330</v>
      </c>
      <c r="AE59" s="178">
        <f t="shared" si="234"/>
        <v>-20931</v>
      </c>
      <c r="AF59" s="178">
        <f t="shared" si="234"/>
        <v>-9062</v>
      </c>
      <c r="AG59" s="178">
        <f t="shared" si="234"/>
        <v>-29993</v>
      </c>
      <c r="AH59" s="178">
        <f t="shared" si="234"/>
        <v>-8131</v>
      </c>
      <c r="AI59" s="178">
        <f t="shared" si="234"/>
        <v>-38124</v>
      </c>
      <c r="AJ59" s="178">
        <f t="shared" si="234"/>
        <v>-8774</v>
      </c>
      <c r="AK59" s="178">
        <f t="shared" si="234"/>
        <v>-9040</v>
      </c>
      <c r="AL59" s="178">
        <f t="shared" si="234"/>
        <v>-17814</v>
      </c>
      <c r="AM59" s="178">
        <f t="shared" ref="AM59:AR59" si="235">SUM(AM60:AM73)</f>
        <v>-9640</v>
      </c>
      <c r="AN59" s="178">
        <f t="shared" si="235"/>
        <v>-27454</v>
      </c>
      <c r="AO59" s="178">
        <f t="shared" si="235"/>
        <v>-11818</v>
      </c>
      <c r="AP59" s="178">
        <f t="shared" si="235"/>
        <v>-39272</v>
      </c>
      <c r="AQ59" s="178">
        <f t="shared" si="235"/>
        <v>-11161</v>
      </c>
      <c r="AR59" s="178">
        <f t="shared" si="235"/>
        <v>-11641</v>
      </c>
      <c r="AS59" s="178">
        <f t="shared" ref="AS59:AX59" si="236">SUM(AS60:AS73)</f>
        <v>-22802</v>
      </c>
      <c r="AT59" s="178">
        <f t="shared" si="236"/>
        <v>-11382</v>
      </c>
      <c r="AU59" s="178">
        <f t="shared" si="236"/>
        <v>-34184</v>
      </c>
      <c r="AV59" s="178">
        <f t="shared" si="236"/>
        <v>-10080</v>
      </c>
      <c r="AW59" s="178">
        <f t="shared" si="236"/>
        <v>-44264</v>
      </c>
      <c r="AX59" s="178">
        <f t="shared" si="236"/>
        <v>-11733</v>
      </c>
      <c r="AY59" s="178">
        <f t="shared" si="9"/>
        <v>-11040</v>
      </c>
      <c r="AZ59" s="178">
        <f>SUM(AZ60:AZ73)</f>
        <v>-22773</v>
      </c>
      <c r="BA59" s="178">
        <f t="shared" si="167"/>
        <v>-11472</v>
      </c>
      <c r="BB59" s="178">
        <f>SUM(BB60:BB73)</f>
        <v>-34245</v>
      </c>
      <c r="BC59" s="178">
        <f t="shared" si="168"/>
        <v>-13464</v>
      </c>
      <c r="BD59" s="178">
        <f>SUM(BD60:BD73)</f>
        <v>-47709</v>
      </c>
      <c r="BE59" s="178">
        <f>SUM(BE60:BE73)</f>
        <v>-14679</v>
      </c>
      <c r="BF59" s="178">
        <f t="shared" ref="BF59:CK59" si="237">SUM(BF60:BF73)</f>
        <v>-10823</v>
      </c>
      <c r="BG59" s="178">
        <f t="shared" si="237"/>
        <v>-25502</v>
      </c>
      <c r="BH59" s="178">
        <f t="shared" si="237"/>
        <v>-9797</v>
      </c>
      <c r="BI59" s="178">
        <f t="shared" si="237"/>
        <v>-35299</v>
      </c>
      <c r="BJ59" s="178">
        <f t="shared" si="237"/>
        <v>-10435</v>
      </c>
      <c r="BK59" s="178">
        <f t="shared" si="237"/>
        <v>-45733</v>
      </c>
      <c r="BL59" s="178">
        <f t="shared" si="237"/>
        <v>-15383</v>
      </c>
      <c r="BM59" s="178">
        <f t="shared" si="237"/>
        <v>-17114</v>
      </c>
      <c r="BN59" s="178">
        <f t="shared" si="237"/>
        <v>-32497</v>
      </c>
      <c r="BO59" s="178">
        <f t="shared" si="237"/>
        <v>-18729</v>
      </c>
      <c r="BP59" s="178">
        <f t="shared" si="237"/>
        <v>-51226</v>
      </c>
      <c r="BQ59" s="178">
        <f t="shared" si="237"/>
        <v>-21821</v>
      </c>
      <c r="BR59" s="178">
        <f t="shared" si="237"/>
        <v>-73050</v>
      </c>
      <c r="BS59" s="178">
        <f t="shared" si="237"/>
        <v>-17426</v>
      </c>
      <c r="BT59" s="178">
        <f t="shared" si="237"/>
        <v>-20003</v>
      </c>
      <c r="BU59" s="178">
        <f t="shared" si="237"/>
        <v>-37429</v>
      </c>
      <c r="BV59" s="178">
        <f t="shared" si="237"/>
        <v>-22562</v>
      </c>
      <c r="BW59" s="178">
        <f t="shared" si="237"/>
        <v>-59991</v>
      </c>
      <c r="BX59" s="178">
        <f t="shared" si="237"/>
        <v>-27542</v>
      </c>
      <c r="BY59" s="178">
        <f t="shared" si="237"/>
        <v>-87533</v>
      </c>
      <c r="BZ59" s="178">
        <f t="shared" si="237"/>
        <v>-24175</v>
      </c>
      <c r="CA59" s="178">
        <f t="shared" si="237"/>
        <v>-22480</v>
      </c>
      <c r="CB59" s="178">
        <f t="shared" si="237"/>
        <v>-46655</v>
      </c>
      <c r="CC59" s="178">
        <f t="shared" si="237"/>
        <v>-19663</v>
      </c>
      <c r="CD59" s="178">
        <f t="shared" si="237"/>
        <v>-66318</v>
      </c>
      <c r="CE59" s="178">
        <f t="shared" si="237"/>
        <v>-23006</v>
      </c>
      <c r="CF59" s="178">
        <f t="shared" si="237"/>
        <v>-89324</v>
      </c>
      <c r="CG59" s="178">
        <f t="shared" si="237"/>
        <v>-23140</v>
      </c>
      <c r="CH59" s="178">
        <f t="shared" si="237"/>
        <v>-24216</v>
      </c>
      <c r="CI59" s="178">
        <f t="shared" si="237"/>
        <v>-47356</v>
      </c>
      <c r="CJ59" s="178">
        <f t="shared" si="237"/>
        <v>-25168</v>
      </c>
      <c r="CK59" s="178">
        <f t="shared" si="237"/>
        <v>-72524</v>
      </c>
      <c r="CL59" s="178">
        <f>SUM(CL60:CL73)</f>
        <v>-42930</v>
      </c>
      <c r="CM59" s="178">
        <f>SUM(CM60:CM73)</f>
        <v>-115452</v>
      </c>
      <c r="CN59" s="178">
        <f>SUM(CN60:CN73)</f>
        <v>-33127</v>
      </c>
      <c r="CO59" s="178">
        <f>SUM(CO60:CO73)</f>
        <v>-43042</v>
      </c>
      <c r="CP59" s="178">
        <f t="shared" ref="CP59" si="238">SUM(CP60:CP73)</f>
        <v>-76169</v>
      </c>
      <c r="CQ59" s="178">
        <f>SUM(CQ60:CQ73)</f>
        <v>-79006</v>
      </c>
      <c r="CR59" s="178">
        <f>SUM(CR60:CR73)-1</f>
        <v>-155176</v>
      </c>
      <c r="CS59" s="178">
        <f>SUM(CS60:CS73)</f>
        <v>-67322</v>
      </c>
      <c r="CT59" s="178">
        <f>SUM(CT60:CT73)</f>
        <v>-222496</v>
      </c>
      <c r="CU59" s="178">
        <f>SUM(CU60:CU73)</f>
        <v>-62924</v>
      </c>
      <c r="CV59" s="178">
        <f>SUM(CV60:CV73)-4</f>
        <v>-68086</v>
      </c>
      <c r="CW59" s="178">
        <f>SUM(CW60:CW73)</f>
        <v>-131010</v>
      </c>
      <c r="CX59" s="178">
        <f>SUM(CX60:CX73)+2</f>
        <v>-60529</v>
      </c>
      <c r="CY59" s="178">
        <f>SUM(CY60:CY73)+2</f>
        <v>-191539</v>
      </c>
      <c r="CZ59" s="178">
        <f>SUM(CZ60:CZ73)</f>
        <v>-68695</v>
      </c>
      <c r="DA59" s="178">
        <f>SUM(DA60:DA73)+6</f>
        <v>-260230</v>
      </c>
      <c r="DB59" s="178">
        <f>SUM(DB60:DB73)</f>
        <v>-82588</v>
      </c>
      <c r="DC59" s="178">
        <f>SUM(DC60:DC73)</f>
        <v>-71391</v>
      </c>
      <c r="DD59" s="178">
        <f>SUM(DD60:DD73)+4</f>
        <v>-153979</v>
      </c>
      <c r="DE59" s="178">
        <f>SUM(DE60:DE73)</f>
        <v>-74933</v>
      </c>
      <c r="DF59" s="178">
        <f>SUM(DF60:DF73)+4</f>
        <v>-228912</v>
      </c>
      <c r="DG59" s="178">
        <f>SUM(DG60:DG73)</f>
        <v>-56240</v>
      </c>
      <c r="DH59" s="178">
        <f>SUM(DH60:DH73)+4</f>
        <v>-285152</v>
      </c>
      <c r="DI59" s="178">
        <f>SUM(DI60:DI73)</f>
        <v>-68355</v>
      </c>
      <c r="DJ59" s="178">
        <f>SUM(DJ60:DJ73)</f>
        <v>-69225</v>
      </c>
      <c r="DK59" s="178">
        <f t="shared" si="15"/>
        <v>-137580</v>
      </c>
    </row>
    <row r="60" spans="1:115" ht="10.5" customHeight="1" x14ac:dyDescent="0.25">
      <c r="A60" s="56"/>
      <c r="B60" s="59"/>
      <c r="C60" s="170" t="s">
        <v>280</v>
      </c>
      <c r="D60" s="170"/>
      <c r="E60" s="59"/>
      <c r="F60" s="59"/>
      <c r="G60" s="59"/>
      <c r="H60" s="175">
        <v>-3293</v>
      </c>
      <c r="I60" s="175">
        <v>-3375</v>
      </c>
      <c r="J60" s="177">
        <f t="shared" ref="J60:J73" si="239">H60+I60</f>
        <v>-6668</v>
      </c>
      <c r="K60" s="175">
        <v>-4703</v>
      </c>
      <c r="L60" s="177">
        <f t="shared" ref="L60:L70" si="240">J60+K60</f>
        <v>-11371</v>
      </c>
      <c r="M60" s="175">
        <v>-4295</v>
      </c>
      <c r="N60" s="175">
        <f t="shared" ref="N60:N73" si="241">L60+M60</f>
        <v>-15666</v>
      </c>
      <c r="O60" s="177">
        <v>-2846</v>
      </c>
      <c r="P60" s="177">
        <v>-4811</v>
      </c>
      <c r="Q60" s="175">
        <f t="shared" ref="Q60:Q73" si="242">O60+P60</f>
        <v>-7657</v>
      </c>
      <c r="R60" s="177">
        <v>-4203</v>
      </c>
      <c r="S60" s="175">
        <f t="shared" ref="S60:S73" si="243">Q60+R60</f>
        <v>-11860</v>
      </c>
      <c r="T60" s="175">
        <v>-6999</v>
      </c>
      <c r="U60" s="177">
        <f>S60+T60</f>
        <v>-18859</v>
      </c>
      <c r="V60" s="177">
        <v>-7427</v>
      </c>
      <c r="W60" s="177">
        <v>-6501</v>
      </c>
      <c r="X60" s="175">
        <f t="shared" ref="X60:X73" si="244">V60+W60</f>
        <v>-13928</v>
      </c>
      <c r="Y60" s="177">
        <f>-4652+7963-3289</f>
        <v>22</v>
      </c>
      <c r="Z60" s="175">
        <f t="shared" ref="Z60:Z73" si="245">X60+Y60</f>
        <v>-13906</v>
      </c>
      <c r="AA60" s="177">
        <v>-6913</v>
      </c>
      <c r="AB60" s="177">
        <f>SUM(Z60:AA60)</f>
        <v>-20819</v>
      </c>
      <c r="AC60" s="177">
        <f>-4784+362</f>
        <v>-4422</v>
      </c>
      <c r="AD60" s="177">
        <v>-3599</v>
      </c>
      <c r="AE60" s="175">
        <f>SUM(AC60:AD60)</f>
        <v>-8021</v>
      </c>
      <c r="AF60" s="177">
        <v>-3265</v>
      </c>
      <c r="AG60" s="175">
        <f>SUM(AE60:AF60)</f>
        <v>-11286</v>
      </c>
      <c r="AH60" s="177">
        <f>-13923+11286</f>
        <v>-2637</v>
      </c>
      <c r="AI60" s="175">
        <f>SUM(AG60:AH60)</f>
        <v>-13923</v>
      </c>
      <c r="AJ60" s="175">
        <v>-3382</v>
      </c>
      <c r="AK60" s="175">
        <v>-3576</v>
      </c>
      <c r="AL60" s="175">
        <f t="shared" ref="AL60:AL75" si="246">SUM(AJ60:AK60)</f>
        <v>-6958</v>
      </c>
      <c r="AM60" s="175">
        <v>-3740</v>
      </c>
      <c r="AN60" s="175">
        <f t="shared" ref="AN60:AN75" si="247">SUM(AL60:AM60)</f>
        <v>-10698</v>
      </c>
      <c r="AO60" s="175">
        <v>-4066</v>
      </c>
      <c r="AP60" s="175">
        <f t="shared" ref="AP60:AP75" si="248">SUM(AN60:AO60)</f>
        <v>-14764</v>
      </c>
      <c r="AQ60" s="175">
        <v>-4059</v>
      </c>
      <c r="AR60" s="175">
        <v>-4444</v>
      </c>
      <c r="AS60" s="175">
        <v>-8503</v>
      </c>
      <c r="AT60" s="175">
        <v>-4922</v>
      </c>
      <c r="AU60" s="175">
        <v>-13425</v>
      </c>
      <c r="AV60" s="175">
        <v>-4329</v>
      </c>
      <c r="AW60" s="175">
        <f t="shared" ref="AW60:AW75" si="249">SUM(AU60:AV60)</f>
        <v>-17754</v>
      </c>
      <c r="AX60" s="175">
        <v>-4432</v>
      </c>
      <c r="AY60" s="175">
        <f t="shared" si="9"/>
        <v>-4979</v>
      </c>
      <c r="AZ60" s="175">
        <v>-9411</v>
      </c>
      <c r="BA60" s="175">
        <f t="shared" si="167"/>
        <v>-5230</v>
      </c>
      <c r="BB60" s="175">
        <v>-14641</v>
      </c>
      <c r="BC60" s="175">
        <f t="shared" si="168"/>
        <v>-5460</v>
      </c>
      <c r="BD60" s="175">
        <v>-20101</v>
      </c>
      <c r="BE60" s="175">
        <v>-6104</v>
      </c>
      <c r="BF60" s="175">
        <v>-5891</v>
      </c>
      <c r="BG60" s="175">
        <f t="shared" ref="BG60:BG75" si="250">BF60+BE60</f>
        <v>-11995</v>
      </c>
      <c r="BH60" s="175">
        <v>-5782</v>
      </c>
      <c r="BI60" s="175">
        <f t="shared" ref="BI60:BI75" si="251">BH60+BG60</f>
        <v>-17777</v>
      </c>
      <c r="BJ60" s="175">
        <v>-4313</v>
      </c>
      <c r="BK60" s="175">
        <f>BJ60+BI60+1</f>
        <v>-22089</v>
      </c>
      <c r="BL60" s="175">
        <v>-5548</v>
      </c>
      <c r="BM60" s="175">
        <v>-5819</v>
      </c>
      <c r="BN60" s="175">
        <f t="shared" ref="BN60:BN75" si="252">BM60+BL60</f>
        <v>-11367</v>
      </c>
      <c r="BO60" s="175">
        <v>-5894</v>
      </c>
      <c r="BP60" s="175">
        <f t="shared" ref="BP60:BP75" si="253">BO60+BN60</f>
        <v>-17261</v>
      </c>
      <c r="BQ60" s="175">
        <v>-5853</v>
      </c>
      <c r="BR60" s="175">
        <f>BQ60+BP60</f>
        <v>-23114</v>
      </c>
      <c r="BS60" s="175">
        <v>-6418</v>
      </c>
      <c r="BT60" s="175">
        <f>-6597</f>
        <v>-6597</v>
      </c>
      <c r="BU60" s="175">
        <f t="shared" ref="BU60:BU75" si="254">BT60+BS60</f>
        <v>-13015</v>
      </c>
      <c r="BV60" s="175">
        <f>-6710</f>
        <v>-6710</v>
      </c>
      <c r="BW60" s="175">
        <f t="shared" ref="BW60:BW75" si="255">BV60+BU60</f>
        <v>-19725</v>
      </c>
      <c r="BX60" s="175">
        <f>-26580-BW60</f>
        <v>-6855</v>
      </c>
      <c r="BY60" s="175">
        <f t="shared" ref="BY60:BY75" si="256">BX60+BW60</f>
        <v>-26580</v>
      </c>
      <c r="BZ60" s="175">
        <v>-8593</v>
      </c>
      <c r="CA60" s="175">
        <v>-7065</v>
      </c>
      <c r="CB60" s="175">
        <f t="shared" ref="CB60:CB75" si="257">CA60+BZ60</f>
        <v>-15658</v>
      </c>
      <c r="CC60" s="175">
        <v>-7882</v>
      </c>
      <c r="CD60" s="175">
        <f t="shared" ref="CD60:CD75" si="258">CC60+CB60</f>
        <v>-23540</v>
      </c>
      <c r="CE60" s="175">
        <f>-31952-CD60</f>
        <v>-8412</v>
      </c>
      <c r="CF60" s="175">
        <f t="shared" ref="CF60:CF75" si="259">CE60+CD60</f>
        <v>-31952</v>
      </c>
      <c r="CG60" s="175">
        <v>-9380</v>
      </c>
      <c r="CH60" s="175">
        <v>-8935</v>
      </c>
      <c r="CI60" s="175">
        <f t="shared" ref="CI60:CI75" si="260">CH60+CG60</f>
        <v>-18315</v>
      </c>
      <c r="CJ60" s="175">
        <f>-9556+1</f>
        <v>-9555</v>
      </c>
      <c r="CK60" s="175">
        <f t="shared" ref="CK60:CK75" si="261">CJ60+CI60</f>
        <v>-27870</v>
      </c>
      <c r="CL60" s="175">
        <v>-11118</v>
      </c>
      <c r="CM60" s="175">
        <v>-38989</v>
      </c>
      <c r="CN60" s="175">
        <v>-10884</v>
      </c>
      <c r="CO60" s="175">
        <f>-12226-20</f>
        <v>-12246</v>
      </c>
      <c r="CP60" s="175">
        <f t="shared" ref="CP60:CP74" si="262">CO60+CN60</f>
        <v>-23130</v>
      </c>
      <c r="CQ60" s="175">
        <v>-17654</v>
      </c>
      <c r="CR60" s="175">
        <f t="shared" ref="CR60:CR76" si="263">CQ60+CP60</f>
        <v>-40784</v>
      </c>
      <c r="CS60" s="175">
        <v>-15999</v>
      </c>
      <c r="CT60" s="175">
        <f>CS60+CR60</f>
        <v>-56783</v>
      </c>
      <c r="CU60" s="175">
        <v>-15558</v>
      </c>
      <c r="CV60" s="175">
        <f>-19727</f>
        <v>-19727</v>
      </c>
      <c r="CW60" s="175">
        <f>CV60+CU60-2</f>
        <v>-35287</v>
      </c>
      <c r="CX60" s="175">
        <v>-18964</v>
      </c>
      <c r="CY60" s="175">
        <f t="shared" ref="CY60:CY74" si="264">CX60+CW60</f>
        <v>-54251</v>
      </c>
      <c r="CZ60" s="175">
        <v>-20672</v>
      </c>
      <c r="DA60" s="175">
        <f>CZ60+CY60</f>
        <v>-74923</v>
      </c>
      <c r="DB60" s="175">
        <v>-19508</v>
      </c>
      <c r="DC60" s="175">
        <v>-23722</v>
      </c>
      <c r="DD60" s="175">
        <f>DC60+DB60-2</f>
        <v>-43232</v>
      </c>
      <c r="DE60" s="175">
        <v>-22374</v>
      </c>
      <c r="DF60" s="175">
        <f t="shared" ref="DF60:DF74" si="265">DE60+DD60</f>
        <v>-65606</v>
      </c>
      <c r="DG60" s="175">
        <v>-21968</v>
      </c>
      <c r="DH60" s="175">
        <f t="shared" ref="DH60:DH74" si="266">DG60+DF60</f>
        <v>-87574</v>
      </c>
      <c r="DI60" s="175">
        <v>-21992</v>
      </c>
      <c r="DJ60" s="175">
        <v>-23090</v>
      </c>
      <c r="DK60" s="175">
        <f t="shared" si="15"/>
        <v>-45082</v>
      </c>
    </row>
    <row r="61" spans="1:115" ht="10.5" customHeight="1" x14ac:dyDescent="0.25">
      <c r="A61" s="56"/>
      <c r="B61" s="59"/>
      <c r="C61" s="170" t="s">
        <v>281</v>
      </c>
      <c r="D61" s="170"/>
      <c r="E61" s="59"/>
      <c r="F61" s="59"/>
      <c r="G61" s="59"/>
      <c r="H61" s="175">
        <v>0</v>
      </c>
      <c r="I61" s="175">
        <v>0</v>
      </c>
      <c r="J61" s="177">
        <f t="shared" si="239"/>
        <v>0</v>
      </c>
      <c r="K61" s="175">
        <v>0</v>
      </c>
      <c r="L61" s="177">
        <f t="shared" si="240"/>
        <v>0</v>
      </c>
      <c r="M61" s="175">
        <v>0</v>
      </c>
      <c r="N61" s="175">
        <f t="shared" si="241"/>
        <v>0</v>
      </c>
      <c r="O61" s="177">
        <v>0</v>
      </c>
      <c r="P61" s="177">
        <v>0</v>
      </c>
      <c r="Q61" s="175">
        <f t="shared" si="242"/>
        <v>0</v>
      </c>
      <c r="R61" s="177">
        <v>0</v>
      </c>
      <c r="S61" s="175">
        <f t="shared" si="243"/>
        <v>0</v>
      </c>
      <c r="T61" s="175">
        <v>0</v>
      </c>
      <c r="U61" s="177">
        <f t="shared" ref="U61:U73" si="267">S61+T61</f>
        <v>0</v>
      </c>
      <c r="V61" s="177">
        <v>0</v>
      </c>
      <c r="W61" s="177">
        <v>0</v>
      </c>
      <c r="X61" s="175">
        <f t="shared" si="244"/>
        <v>0</v>
      </c>
      <c r="Y61" s="177">
        <v>-7963</v>
      </c>
      <c r="Z61" s="175">
        <f t="shared" si="245"/>
        <v>-7963</v>
      </c>
      <c r="AA61" s="177">
        <v>-4855</v>
      </c>
      <c r="AB61" s="177">
        <f t="shared" ref="AB61:AB74" si="268">SUM(Z61:AA61)</f>
        <v>-12818</v>
      </c>
      <c r="AC61" s="177">
        <v>-2730</v>
      </c>
      <c r="AD61" s="177">
        <v>-936</v>
      </c>
      <c r="AE61" s="175">
        <f t="shared" ref="AE61:AE73" si="269">SUM(AC61:AD61)</f>
        <v>-3666</v>
      </c>
      <c r="AF61" s="177">
        <v>-129</v>
      </c>
      <c r="AG61" s="175">
        <f t="shared" ref="AG61:AG73" si="270">SUM(AE61:AF61)</f>
        <v>-3795</v>
      </c>
      <c r="AH61" s="177">
        <v>-116</v>
      </c>
      <c r="AI61" s="175">
        <f t="shared" ref="AI61:AI74" si="271">SUM(AG61:AH61)</f>
        <v>-3911</v>
      </c>
      <c r="AJ61" s="175">
        <v>-1556</v>
      </c>
      <c r="AK61" s="175">
        <v>-2193</v>
      </c>
      <c r="AL61" s="175">
        <f t="shared" si="246"/>
        <v>-3749</v>
      </c>
      <c r="AM61" s="175">
        <v>-1375</v>
      </c>
      <c r="AN61" s="175">
        <f t="shared" si="247"/>
        <v>-5124</v>
      </c>
      <c r="AO61" s="175">
        <v>-2166</v>
      </c>
      <c r="AP61" s="175">
        <f t="shared" si="248"/>
        <v>-7290</v>
      </c>
      <c r="AQ61" s="175">
        <v>-2789</v>
      </c>
      <c r="AR61" s="175">
        <v>-2183</v>
      </c>
      <c r="AS61" s="175">
        <v>-4972</v>
      </c>
      <c r="AT61" s="175">
        <v>-1406</v>
      </c>
      <c r="AU61" s="175">
        <v>-6378</v>
      </c>
      <c r="AV61" s="175">
        <v>194</v>
      </c>
      <c r="AW61" s="175">
        <f t="shared" si="249"/>
        <v>-6184</v>
      </c>
      <c r="AX61" s="175">
        <v>-1807</v>
      </c>
      <c r="AY61" s="175">
        <f t="shared" si="9"/>
        <v>-1723</v>
      </c>
      <c r="AZ61" s="175">
        <v>-3530</v>
      </c>
      <c r="BA61" s="175">
        <f t="shared" si="167"/>
        <v>-1162</v>
      </c>
      <c r="BB61" s="175">
        <v>-4692</v>
      </c>
      <c r="BC61" s="175">
        <f t="shared" si="168"/>
        <v>-3248</v>
      </c>
      <c r="BD61" s="175">
        <v>-7940</v>
      </c>
      <c r="BE61" s="175">
        <v>-2128</v>
      </c>
      <c r="BF61" s="175">
        <v>219</v>
      </c>
      <c r="BG61" s="175">
        <f t="shared" si="250"/>
        <v>-1909</v>
      </c>
      <c r="BH61" s="175">
        <v>245</v>
      </c>
      <c r="BI61" s="175">
        <f t="shared" si="251"/>
        <v>-1664</v>
      </c>
      <c r="BJ61" s="175">
        <v>-1175</v>
      </c>
      <c r="BK61" s="175">
        <f t="shared" ref="BK61:BK75" si="272">BJ61+BI61</f>
        <v>-2839</v>
      </c>
      <c r="BL61" s="175">
        <v>-4337</v>
      </c>
      <c r="BM61" s="175">
        <v>-6423</v>
      </c>
      <c r="BN61" s="175">
        <f t="shared" si="252"/>
        <v>-10760</v>
      </c>
      <c r="BO61" s="175">
        <f>-7904+3</f>
        <v>-7901</v>
      </c>
      <c r="BP61" s="175">
        <f t="shared" si="253"/>
        <v>-18661</v>
      </c>
      <c r="BQ61" s="175">
        <v>-9554</v>
      </c>
      <c r="BR61" s="175">
        <f>BQ61+BP61-3</f>
        <v>-28218</v>
      </c>
      <c r="BS61" s="175">
        <v>-5863</v>
      </c>
      <c r="BT61" s="175">
        <v>-6868</v>
      </c>
      <c r="BU61" s="175">
        <f t="shared" si="254"/>
        <v>-12731</v>
      </c>
      <c r="BV61" s="175">
        <v>-9829</v>
      </c>
      <c r="BW61" s="175">
        <f t="shared" si="255"/>
        <v>-22560</v>
      </c>
      <c r="BX61" s="175">
        <f>-35960-BW61</f>
        <v>-13400</v>
      </c>
      <c r="BY61" s="175">
        <f t="shared" si="256"/>
        <v>-35960</v>
      </c>
      <c r="BZ61" s="175">
        <v>-5538</v>
      </c>
      <c r="CA61" s="175">
        <v>-8613</v>
      </c>
      <c r="CB61" s="175">
        <f t="shared" si="257"/>
        <v>-14151</v>
      </c>
      <c r="CC61" s="175">
        <v>-5115</v>
      </c>
      <c r="CD61" s="175">
        <f t="shared" si="258"/>
        <v>-19266</v>
      </c>
      <c r="CE61" s="175">
        <f>-26088-CD61</f>
        <v>-6822</v>
      </c>
      <c r="CF61" s="175">
        <f t="shared" si="259"/>
        <v>-26088</v>
      </c>
      <c r="CG61" s="175">
        <v>-6847</v>
      </c>
      <c r="CH61" s="175">
        <v>-7958</v>
      </c>
      <c r="CI61" s="175">
        <f t="shared" si="260"/>
        <v>-14805</v>
      </c>
      <c r="CJ61" s="175">
        <v>-9404</v>
      </c>
      <c r="CK61" s="175">
        <f t="shared" si="261"/>
        <v>-24209</v>
      </c>
      <c r="CL61" s="175">
        <v>-21186</v>
      </c>
      <c r="CM61" s="175">
        <v>-45394</v>
      </c>
      <c r="CN61" s="175">
        <v>-13164</v>
      </c>
      <c r="CO61" s="175">
        <v>-17266</v>
      </c>
      <c r="CP61" s="175">
        <f t="shared" si="262"/>
        <v>-30430</v>
      </c>
      <c r="CQ61" s="175">
        <v>-33011</v>
      </c>
      <c r="CR61" s="175">
        <f t="shared" si="263"/>
        <v>-63441</v>
      </c>
      <c r="CS61" s="175">
        <v>-34770</v>
      </c>
      <c r="CT61" s="175">
        <f>CS61+CR61+1</f>
        <v>-98210</v>
      </c>
      <c r="CU61" s="175">
        <v>-25291</v>
      </c>
      <c r="CV61" s="175">
        <v>-23902</v>
      </c>
      <c r="CW61" s="175">
        <f t="shared" ref="CW61:CW74" si="273">CV61+CU61</f>
        <v>-49193</v>
      </c>
      <c r="CX61" s="175">
        <v>-18585</v>
      </c>
      <c r="CY61" s="175">
        <f t="shared" si="264"/>
        <v>-67778</v>
      </c>
      <c r="CZ61" s="175">
        <v>-16639</v>
      </c>
      <c r="DA61" s="175">
        <f t="shared" ref="DA61:DA73" si="274">CZ61+CY61</f>
        <v>-84417</v>
      </c>
      <c r="DB61" s="175">
        <v>-33337</v>
      </c>
      <c r="DC61" s="175">
        <v>-22540</v>
      </c>
      <c r="DD61" s="175">
        <f t="shared" ref="DD61:DD74" si="275">DC61+DB61</f>
        <v>-55877</v>
      </c>
      <c r="DE61" s="175">
        <v>-29477</v>
      </c>
      <c r="DF61" s="175">
        <f t="shared" si="265"/>
        <v>-85354</v>
      </c>
      <c r="DG61" s="175">
        <v>-3906</v>
      </c>
      <c r="DH61" s="175">
        <f t="shared" si="266"/>
        <v>-89260</v>
      </c>
      <c r="DI61" s="175">
        <v>-18967</v>
      </c>
      <c r="DJ61" s="175">
        <v>-19222</v>
      </c>
      <c r="DK61" s="175">
        <f t="shared" si="15"/>
        <v>-38189</v>
      </c>
    </row>
    <row r="62" spans="1:115" ht="10.5" customHeight="1" x14ac:dyDescent="0.25">
      <c r="A62" s="56"/>
      <c r="B62" s="59"/>
      <c r="C62" s="171" t="s">
        <v>282</v>
      </c>
      <c r="D62" s="172"/>
      <c r="E62" s="59"/>
      <c r="F62" s="59"/>
      <c r="G62" s="59"/>
      <c r="H62" s="175">
        <v>-949</v>
      </c>
      <c r="I62" s="175">
        <v>-519</v>
      </c>
      <c r="J62" s="177">
        <f t="shared" si="239"/>
        <v>-1468</v>
      </c>
      <c r="K62" s="175">
        <v>-723</v>
      </c>
      <c r="L62" s="177">
        <f t="shared" si="240"/>
        <v>-2191</v>
      </c>
      <c r="M62" s="175">
        <v>-691</v>
      </c>
      <c r="N62" s="175">
        <f t="shared" si="241"/>
        <v>-2882</v>
      </c>
      <c r="O62" s="177">
        <v>-849</v>
      </c>
      <c r="P62" s="177">
        <v>-1052</v>
      </c>
      <c r="Q62" s="175">
        <f t="shared" si="242"/>
        <v>-1901</v>
      </c>
      <c r="R62" s="177">
        <v>-728</v>
      </c>
      <c r="S62" s="175">
        <f t="shared" si="243"/>
        <v>-2629</v>
      </c>
      <c r="T62" s="175">
        <v>-864</v>
      </c>
      <c r="U62" s="177">
        <f t="shared" si="267"/>
        <v>-3493</v>
      </c>
      <c r="V62" s="177">
        <v>-789</v>
      </c>
      <c r="W62" s="177">
        <v>-1234</v>
      </c>
      <c r="X62" s="175">
        <f t="shared" si="244"/>
        <v>-2023</v>
      </c>
      <c r="Y62" s="177">
        <v>-854</v>
      </c>
      <c r="Z62" s="175">
        <f t="shared" si="245"/>
        <v>-2877</v>
      </c>
      <c r="AA62" s="177">
        <v>-904</v>
      </c>
      <c r="AB62" s="177">
        <f t="shared" si="268"/>
        <v>-3781</v>
      </c>
      <c r="AC62" s="177">
        <v>-797</v>
      </c>
      <c r="AD62" s="177">
        <v>-1030</v>
      </c>
      <c r="AE62" s="175">
        <f t="shared" si="269"/>
        <v>-1827</v>
      </c>
      <c r="AF62" s="177">
        <v>-1319</v>
      </c>
      <c r="AG62" s="175">
        <f t="shared" si="270"/>
        <v>-3146</v>
      </c>
      <c r="AH62" s="177">
        <v>-927</v>
      </c>
      <c r="AI62" s="175">
        <f t="shared" si="271"/>
        <v>-4073</v>
      </c>
      <c r="AJ62" s="175">
        <v>-751</v>
      </c>
      <c r="AK62" s="175">
        <v>-1056</v>
      </c>
      <c r="AL62" s="175">
        <f t="shared" si="246"/>
        <v>-1807</v>
      </c>
      <c r="AM62" s="175">
        <v>-1028</v>
      </c>
      <c r="AN62" s="175">
        <f t="shared" si="247"/>
        <v>-2835</v>
      </c>
      <c r="AO62" s="175">
        <v>-773</v>
      </c>
      <c r="AP62" s="175">
        <f t="shared" si="248"/>
        <v>-3608</v>
      </c>
      <c r="AQ62" s="175">
        <v>-746</v>
      </c>
      <c r="AR62" s="175">
        <v>-676</v>
      </c>
      <c r="AS62" s="175">
        <v>-1422</v>
      </c>
      <c r="AT62" s="175">
        <v>-1228</v>
      </c>
      <c r="AU62" s="175">
        <v>-2650</v>
      </c>
      <c r="AV62" s="175">
        <v>-843</v>
      </c>
      <c r="AW62" s="175">
        <f t="shared" si="249"/>
        <v>-3493</v>
      </c>
      <c r="AX62" s="175">
        <v>-881</v>
      </c>
      <c r="AY62" s="175">
        <f t="shared" si="9"/>
        <v>-649</v>
      </c>
      <c r="AZ62" s="175">
        <v>-1530</v>
      </c>
      <c r="BA62" s="175">
        <f t="shared" si="167"/>
        <v>-769</v>
      </c>
      <c r="BB62" s="175">
        <v>-2299</v>
      </c>
      <c r="BC62" s="175">
        <f t="shared" si="168"/>
        <v>-1028</v>
      </c>
      <c r="BD62" s="175">
        <v>-3327</v>
      </c>
      <c r="BE62" s="175">
        <v>-978</v>
      </c>
      <c r="BF62" s="175">
        <v>-874</v>
      </c>
      <c r="BG62" s="175">
        <f t="shared" si="250"/>
        <v>-1852</v>
      </c>
      <c r="BH62" s="175">
        <v>-1103</v>
      </c>
      <c r="BI62" s="175">
        <f t="shared" si="251"/>
        <v>-2955</v>
      </c>
      <c r="BJ62" s="175">
        <v>-888</v>
      </c>
      <c r="BK62" s="175">
        <f t="shared" si="272"/>
        <v>-3843</v>
      </c>
      <c r="BL62" s="175">
        <v>-1199</v>
      </c>
      <c r="BM62" s="175">
        <v>-642</v>
      </c>
      <c r="BN62" s="175">
        <f t="shared" si="252"/>
        <v>-1841</v>
      </c>
      <c r="BO62" s="175">
        <v>-1058</v>
      </c>
      <c r="BP62" s="175">
        <f t="shared" si="253"/>
        <v>-2899</v>
      </c>
      <c r="BQ62" s="175">
        <v>-1180</v>
      </c>
      <c r="BR62" s="175">
        <f t="shared" ref="BR62:BR75" si="276">BQ62+BP62</f>
        <v>-4079</v>
      </c>
      <c r="BS62" s="175">
        <v>-990</v>
      </c>
      <c r="BT62" s="175">
        <v>-1422</v>
      </c>
      <c r="BU62" s="175">
        <f t="shared" si="254"/>
        <v>-2412</v>
      </c>
      <c r="BV62" s="175">
        <v>-1105</v>
      </c>
      <c r="BW62" s="175">
        <f t="shared" si="255"/>
        <v>-3517</v>
      </c>
      <c r="BX62" s="175">
        <f>-4623-BW62</f>
        <v>-1106</v>
      </c>
      <c r="BY62" s="175">
        <f t="shared" si="256"/>
        <v>-4623</v>
      </c>
      <c r="BZ62" s="175">
        <v>-1503</v>
      </c>
      <c r="CA62" s="175">
        <v>-1212</v>
      </c>
      <c r="CB62" s="175">
        <f t="shared" si="257"/>
        <v>-2715</v>
      </c>
      <c r="CC62" s="175">
        <v>-1578</v>
      </c>
      <c r="CD62" s="175">
        <f t="shared" si="258"/>
        <v>-4293</v>
      </c>
      <c r="CE62" s="175">
        <f>-5058-CD62</f>
        <v>-765</v>
      </c>
      <c r="CF62" s="175">
        <f t="shared" si="259"/>
        <v>-5058</v>
      </c>
      <c r="CG62" s="175">
        <v>-975</v>
      </c>
      <c r="CH62" s="175">
        <v>-1466</v>
      </c>
      <c r="CI62" s="175">
        <f t="shared" si="260"/>
        <v>-2441</v>
      </c>
      <c r="CJ62" s="175">
        <v>-1298</v>
      </c>
      <c r="CK62" s="175">
        <f t="shared" si="261"/>
        <v>-3739</v>
      </c>
      <c r="CL62" s="175">
        <v>-2138</v>
      </c>
      <c r="CM62" s="175">
        <f t="shared" ref="CM62:CM75" si="277">CL62+CK62</f>
        <v>-5877</v>
      </c>
      <c r="CN62" s="175">
        <v>-2237</v>
      </c>
      <c r="CO62" s="175">
        <v>-6430</v>
      </c>
      <c r="CP62" s="175">
        <f t="shared" si="262"/>
        <v>-8667</v>
      </c>
      <c r="CQ62" s="175">
        <v>-17573</v>
      </c>
      <c r="CR62" s="175">
        <f t="shared" si="263"/>
        <v>-26240</v>
      </c>
      <c r="CS62" s="175">
        <v>-7201</v>
      </c>
      <c r="CT62" s="175">
        <f>CS62+CR62</f>
        <v>-33441</v>
      </c>
      <c r="CU62" s="175">
        <v>-5769</v>
      </c>
      <c r="CV62" s="175">
        <v>-9084</v>
      </c>
      <c r="CW62" s="175">
        <f>CV62+CU62+3</f>
        <v>-14850</v>
      </c>
      <c r="CX62" s="175">
        <v>-6863</v>
      </c>
      <c r="CY62" s="175">
        <f t="shared" si="264"/>
        <v>-21713</v>
      </c>
      <c r="CZ62" s="175">
        <v>-8048</v>
      </c>
      <c r="DA62" s="175">
        <f t="shared" si="274"/>
        <v>-29761</v>
      </c>
      <c r="DB62" s="175">
        <v>-6286</v>
      </c>
      <c r="DC62" s="175">
        <v>-5827</v>
      </c>
      <c r="DD62" s="175">
        <f>DC62+DB62+3</f>
        <v>-12110</v>
      </c>
      <c r="DE62" s="175">
        <v>-3582</v>
      </c>
      <c r="DF62" s="175">
        <f t="shared" si="265"/>
        <v>-15692</v>
      </c>
      <c r="DG62" s="175">
        <v>-6884</v>
      </c>
      <c r="DH62" s="175">
        <f t="shared" si="266"/>
        <v>-22576</v>
      </c>
      <c r="DI62" s="175">
        <v>-5511</v>
      </c>
      <c r="DJ62" s="175">
        <v>-5845</v>
      </c>
      <c r="DK62" s="175">
        <f t="shared" si="15"/>
        <v>-11356</v>
      </c>
    </row>
    <row r="63" spans="1:115" ht="10.5" customHeight="1" x14ac:dyDescent="0.25">
      <c r="A63" s="56"/>
      <c r="B63" s="59"/>
      <c r="C63" s="171" t="s">
        <v>283</v>
      </c>
      <c r="D63" s="172"/>
      <c r="E63" s="59"/>
      <c r="F63" s="59"/>
      <c r="G63" s="59"/>
      <c r="H63" s="175">
        <v>-438</v>
      </c>
      <c r="I63" s="175">
        <v>-470</v>
      </c>
      <c r="J63" s="177">
        <f t="shared" si="239"/>
        <v>-908</v>
      </c>
      <c r="K63" s="175">
        <v>-481</v>
      </c>
      <c r="L63" s="177">
        <f t="shared" si="240"/>
        <v>-1389</v>
      </c>
      <c r="M63" s="175">
        <v>-475</v>
      </c>
      <c r="N63" s="175">
        <f t="shared" si="241"/>
        <v>-1864</v>
      </c>
      <c r="O63" s="177">
        <v>-152</v>
      </c>
      <c r="P63" s="177">
        <v>-487</v>
      </c>
      <c r="Q63" s="175">
        <f t="shared" si="242"/>
        <v>-639</v>
      </c>
      <c r="R63" s="177">
        <v>-152</v>
      </c>
      <c r="S63" s="175">
        <f t="shared" si="243"/>
        <v>-791</v>
      </c>
      <c r="T63" s="175">
        <v>-1286</v>
      </c>
      <c r="U63" s="177">
        <f t="shared" si="267"/>
        <v>-2077</v>
      </c>
      <c r="V63" s="177">
        <v>-276</v>
      </c>
      <c r="W63" s="177">
        <v>-302</v>
      </c>
      <c r="X63" s="175">
        <f t="shared" si="244"/>
        <v>-578</v>
      </c>
      <c r="Y63" s="177">
        <v>-505</v>
      </c>
      <c r="Z63" s="175">
        <f t="shared" si="245"/>
        <v>-1083</v>
      </c>
      <c r="AA63" s="177">
        <v>-704</v>
      </c>
      <c r="AB63" s="177">
        <f t="shared" si="268"/>
        <v>-1787</v>
      </c>
      <c r="AC63" s="177">
        <v>-713</v>
      </c>
      <c r="AD63" s="177">
        <v>-719</v>
      </c>
      <c r="AE63" s="175">
        <f t="shared" si="269"/>
        <v>-1432</v>
      </c>
      <c r="AF63" s="177">
        <v>-1007</v>
      </c>
      <c r="AG63" s="175">
        <f t="shared" si="270"/>
        <v>-2439</v>
      </c>
      <c r="AH63" s="177">
        <v>-535</v>
      </c>
      <c r="AI63" s="175">
        <f t="shared" si="271"/>
        <v>-2974</v>
      </c>
      <c r="AJ63" s="175">
        <v>-690</v>
      </c>
      <c r="AK63" s="175">
        <v>-709</v>
      </c>
      <c r="AL63" s="175">
        <f t="shared" si="246"/>
        <v>-1399</v>
      </c>
      <c r="AM63" s="175">
        <v>-717</v>
      </c>
      <c r="AN63" s="175">
        <f t="shared" si="247"/>
        <v>-2116</v>
      </c>
      <c r="AO63" s="175">
        <v>-716</v>
      </c>
      <c r="AP63" s="175">
        <f t="shared" si="248"/>
        <v>-2832</v>
      </c>
      <c r="AQ63" s="175">
        <v>-699</v>
      </c>
      <c r="AR63" s="175">
        <v>-695</v>
      </c>
      <c r="AS63" s="175">
        <v>-1394</v>
      </c>
      <c r="AT63" s="175">
        <v>-701</v>
      </c>
      <c r="AU63" s="175">
        <v>-2095</v>
      </c>
      <c r="AV63" s="175">
        <v>-717</v>
      </c>
      <c r="AW63" s="175">
        <f t="shared" si="249"/>
        <v>-2812</v>
      </c>
      <c r="AX63" s="175">
        <v>-731</v>
      </c>
      <c r="AY63" s="175">
        <f t="shared" si="9"/>
        <v>-752</v>
      </c>
      <c r="AZ63" s="175">
        <v>-1483</v>
      </c>
      <c r="BA63" s="175">
        <f t="shared" si="167"/>
        <v>-770</v>
      </c>
      <c r="BB63" s="175">
        <v>-2253</v>
      </c>
      <c r="BC63" s="175">
        <f t="shared" si="168"/>
        <v>-772</v>
      </c>
      <c r="BD63" s="175">
        <v>-3025</v>
      </c>
      <c r="BE63" s="175">
        <v>-764</v>
      </c>
      <c r="BF63" s="175">
        <v>-761</v>
      </c>
      <c r="BG63" s="175">
        <f t="shared" si="250"/>
        <v>-1525</v>
      </c>
      <c r="BH63" s="175">
        <v>-216</v>
      </c>
      <c r="BI63" s="175">
        <f t="shared" si="251"/>
        <v>-1741</v>
      </c>
      <c r="BJ63" s="175">
        <v>-347</v>
      </c>
      <c r="BK63" s="175">
        <f t="shared" si="272"/>
        <v>-2088</v>
      </c>
      <c r="BL63" s="175">
        <v>-281</v>
      </c>
      <c r="BM63" s="175">
        <v>-277</v>
      </c>
      <c r="BN63" s="175">
        <f t="shared" si="252"/>
        <v>-558</v>
      </c>
      <c r="BO63" s="175">
        <v>-289</v>
      </c>
      <c r="BP63" s="175">
        <f t="shared" si="253"/>
        <v>-847</v>
      </c>
      <c r="BQ63" s="175">
        <v>-313</v>
      </c>
      <c r="BR63" s="175">
        <f t="shared" si="276"/>
        <v>-1160</v>
      </c>
      <c r="BS63" s="175">
        <v>-328</v>
      </c>
      <c r="BT63" s="175">
        <v>-331</v>
      </c>
      <c r="BU63" s="175">
        <f t="shared" si="254"/>
        <v>-659</v>
      </c>
      <c r="BV63" s="175">
        <v>-375</v>
      </c>
      <c r="BW63" s="175">
        <f t="shared" si="255"/>
        <v>-1034</v>
      </c>
      <c r="BX63" s="175">
        <f>-1631-BW63</f>
        <v>-597</v>
      </c>
      <c r="BY63" s="175">
        <f t="shared" si="256"/>
        <v>-1631</v>
      </c>
      <c r="BZ63" s="175">
        <v>-381</v>
      </c>
      <c r="CA63" s="175">
        <v>-542</v>
      </c>
      <c r="CB63" s="175">
        <f t="shared" si="257"/>
        <v>-923</v>
      </c>
      <c r="CC63" s="175">
        <v>-481</v>
      </c>
      <c r="CD63" s="175">
        <f t="shared" si="258"/>
        <v>-1404</v>
      </c>
      <c r="CE63" s="175">
        <f>-1897-CD63</f>
        <v>-493</v>
      </c>
      <c r="CF63" s="175">
        <f t="shared" si="259"/>
        <v>-1897</v>
      </c>
      <c r="CG63" s="175">
        <v>-502</v>
      </c>
      <c r="CH63" s="175">
        <v>-536</v>
      </c>
      <c r="CI63" s="175">
        <f t="shared" si="260"/>
        <v>-1038</v>
      </c>
      <c r="CJ63" s="175">
        <v>-482</v>
      </c>
      <c r="CK63" s="175">
        <f t="shared" si="261"/>
        <v>-1520</v>
      </c>
      <c r="CL63" s="175">
        <v>-574</v>
      </c>
      <c r="CM63" s="175">
        <f t="shared" si="277"/>
        <v>-2094</v>
      </c>
      <c r="CN63" s="175">
        <v>-582</v>
      </c>
      <c r="CO63" s="175">
        <v>-653</v>
      </c>
      <c r="CP63" s="175">
        <f t="shared" si="262"/>
        <v>-1235</v>
      </c>
      <c r="CQ63" s="175">
        <v>-991</v>
      </c>
      <c r="CR63" s="175">
        <f t="shared" si="263"/>
        <v>-2226</v>
      </c>
      <c r="CS63" s="175">
        <v>-1910</v>
      </c>
      <c r="CT63" s="175">
        <f>CS63+CR63+1</f>
        <v>-4135</v>
      </c>
      <c r="CU63" s="175">
        <v>-4083</v>
      </c>
      <c r="CV63" s="175">
        <v>-4094</v>
      </c>
      <c r="CW63" s="175">
        <f t="shared" si="273"/>
        <v>-8177</v>
      </c>
      <c r="CX63" s="175">
        <v>-4283</v>
      </c>
      <c r="CY63" s="175">
        <f t="shared" si="264"/>
        <v>-12460</v>
      </c>
      <c r="CZ63" s="175">
        <v>-5054</v>
      </c>
      <c r="DA63" s="175">
        <f t="shared" si="274"/>
        <v>-17514</v>
      </c>
      <c r="DB63" s="175">
        <v>-5618</v>
      </c>
      <c r="DC63" s="175">
        <v>-5649</v>
      </c>
      <c r="DD63" s="175">
        <f t="shared" si="275"/>
        <v>-11267</v>
      </c>
      <c r="DE63" s="175">
        <v>-5805</v>
      </c>
      <c r="DF63" s="175">
        <f t="shared" si="265"/>
        <v>-17072</v>
      </c>
      <c r="DG63" s="175">
        <v>-6709</v>
      </c>
      <c r="DH63" s="175">
        <f t="shared" si="266"/>
        <v>-23781</v>
      </c>
      <c r="DI63" s="175">
        <v>-7030</v>
      </c>
      <c r="DJ63" s="175">
        <v>-6976</v>
      </c>
      <c r="DK63" s="175">
        <f t="shared" si="15"/>
        <v>-14006</v>
      </c>
    </row>
    <row r="64" spans="1:115" ht="10.5" customHeight="1" x14ac:dyDescent="0.25">
      <c r="A64" s="56"/>
      <c r="B64" s="59"/>
      <c r="C64" s="171" t="s">
        <v>284</v>
      </c>
      <c r="D64" s="172"/>
      <c r="E64" s="59"/>
      <c r="F64" s="59"/>
      <c r="G64" s="59"/>
      <c r="H64" s="175">
        <v>-346</v>
      </c>
      <c r="I64" s="175">
        <v>-442</v>
      </c>
      <c r="J64" s="177">
        <f t="shared" si="239"/>
        <v>-788</v>
      </c>
      <c r="K64" s="175">
        <v>-413</v>
      </c>
      <c r="L64" s="177">
        <f t="shared" si="240"/>
        <v>-1201</v>
      </c>
      <c r="M64" s="175">
        <v>-417</v>
      </c>
      <c r="N64" s="175">
        <f t="shared" si="241"/>
        <v>-1618</v>
      </c>
      <c r="O64" s="177">
        <v>-306</v>
      </c>
      <c r="P64" s="177">
        <v>-408</v>
      </c>
      <c r="Q64" s="175">
        <f t="shared" si="242"/>
        <v>-714</v>
      </c>
      <c r="R64" s="177">
        <v>-374</v>
      </c>
      <c r="S64" s="175">
        <f t="shared" si="243"/>
        <v>-1088</v>
      </c>
      <c r="T64" s="175">
        <v>-390</v>
      </c>
      <c r="U64" s="177">
        <f t="shared" si="267"/>
        <v>-1478</v>
      </c>
      <c r="V64" s="177">
        <v>-257</v>
      </c>
      <c r="W64" s="177">
        <v>-754</v>
      </c>
      <c r="X64" s="175">
        <f t="shared" si="244"/>
        <v>-1011</v>
      </c>
      <c r="Y64" s="177">
        <v>-454</v>
      </c>
      <c r="Z64" s="175">
        <f t="shared" si="245"/>
        <v>-1465</v>
      </c>
      <c r="AA64" s="177">
        <v>-622</v>
      </c>
      <c r="AB64" s="177">
        <f t="shared" si="268"/>
        <v>-2087</v>
      </c>
      <c r="AC64" s="177">
        <v>-315</v>
      </c>
      <c r="AD64" s="177">
        <v>-434</v>
      </c>
      <c r="AE64" s="175">
        <f t="shared" si="269"/>
        <v>-749</v>
      </c>
      <c r="AF64" s="177">
        <v>-450</v>
      </c>
      <c r="AG64" s="175">
        <f t="shared" si="270"/>
        <v>-1199</v>
      </c>
      <c r="AH64" s="177">
        <v>-368</v>
      </c>
      <c r="AI64" s="175">
        <f t="shared" si="271"/>
        <v>-1567</v>
      </c>
      <c r="AJ64" s="175">
        <v>-201</v>
      </c>
      <c r="AK64" s="175">
        <v>-307</v>
      </c>
      <c r="AL64" s="175">
        <f t="shared" si="246"/>
        <v>-508</v>
      </c>
      <c r="AM64" s="175">
        <v>-470</v>
      </c>
      <c r="AN64" s="175">
        <f t="shared" si="247"/>
        <v>-978</v>
      </c>
      <c r="AO64" s="175">
        <v>-428</v>
      </c>
      <c r="AP64" s="175">
        <f t="shared" si="248"/>
        <v>-1406</v>
      </c>
      <c r="AQ64" s="175">
        <v>-343</v>
      </c>
      <c r="AR64" s="175">
        <v>-589</v>
      </c>
      <c r="AS64" s="175">
        <v>-932</v>
      </c>
      <c r="AT64" s="175">
        <v>-420</v>
      </c>
      <c r="AU64" s="175">
        <v>-1352</v>
      </c>
      <c r="AV64" s="175">
        <v>-273</v>
      </c>
      <c r="AW64" s="175">
        <f t="shared" si="249"/>
        <v>-1625</v>
      </c>
      <c r="AX64" s="175">
        <v>-259</v>
      </c>
      <c r="AY64" s="175">
        <f t="shared" si="9"/>
        <v>-424</v>
      </c>
      <c r="AZ64" s="175">
        <v>-683</v>
      </c>
      <c r="BA64" s="175">
        <f t="shared" si="167"/>
        <v>-457</v>
      </c>
      <c r="BB64" s="175">
        <v>-1140</v>
      </c>
      <c r="BC64" s="175">
        <f t="shared" si="168"/>
        <v>-365</v>
      </c>
      <c r="BD64" s="175">
        <v>-1505</v>
      </c>
      <c r="BE64" s="175">
        <v>-446</v>
      </c>
      <c r="BF64" s="175">
        <v>-300</v>
      </c>
      <c r="BG64" s="175">
        <f t="shared" si="250"/>
        <v>-746</v>
      </c>
      <c r="BH64" s="175">
        <v>-366</v>
      </c>
      <c r="BI64" s="175">
        <f t="shared" si="251"/>
        <v>-1112</v>
      </c>
      <c r="BJ64" s="175">
        <v>-257</v>
      </c>
      <c r="BK64" s="175">
        <f t="shared" si="272"/>
        <v>-1369</v>
      </c>
      <c r="BL64" s="175">
        <v>-330</v>
      </c>
      <c r="BM64" s="175">
        <v>-294</v>
      </c>
      <c r="BN64" s="175">
        <f t="shared" si="252"/>
        <v>-624</v>
      </c>
      <c r="BO64" s="175">
        <v>-399</v>
      </c>
      <c r="BP64" s="175">
        <f t="shared" si="253"/>
        <v>-1023</v>
      </c>
      <c r="BQ64" s="175">
        <v>-399</v>
      </c>
      <c r="BR64" s="175">
        <f t="shared" si="276"/>
        <v>-1422</v>
      </c>
      <c r="BS64" s="175">
        <v>-218</v>
      </c>
      <c r="BT64" s="175">
        <v>-609</v>
      </c>
      <c r="BU64" s="175">
        <f t="shared" si="254"/>
        <v>-827</v>
      </c>
      <c r="BV64" s="175">
        <v>-788</v>
      </c>
      <c r="BW64" s="175">
        <f t="shared" si="255"/>
        <v>-1615</v>
      </c>
      <c r="BX64" s="175">
        <f>-2103-BW64</f>
        <v>-488</v>
      </c>
      <c r="BY64" s="175">
        <f t="shared" si="256"/>
        <v>-2103</v>
      </c>
      <c r="BZ64" s="175">
        <v>-456</v>
      </c>
      <c r="CA64" s="175">
        <v>-756</v>
      </c>
      <c r="CB64" s="175">
        <f t="shared" si="257"/>
        <v>-1212</v>
      </c>
      <c r="CC64" s="175">
        <v>-659</v>
      </c>
      <c r="CD64" s="175">
        <f t="shared" si="258"/>
        <v>-1871</v>
      </c>
      <c r="CE64" s="175">
        <f>-2694-CD64</f>
        <v>-823</v>
      </c>
      <c r="CF64" s="175">
        <f t="shared" si="259"/>
        <v>-2694</v>
      </c>
      <c r="CG64" s="175">
        <v>-595</v>
      </c>
      <c r="CH64" s="175">
        <v>-255</v>
      </c>
      <c r="CI64" s="175">
        <f t="shared" si="260"/>
        <v>-850</v>
      </c>
      <c r="CJ64" s="175">
        <v>18</v>
      </c>
      <c r="CK64" s="175">
        <f t="shared" si="261"/>
        <v>-832</v>
      </c>
      <c r="CL64" s="175">
        <v>-344</v>
      </c>
      <c r="CM64" s="175">
        <f t="shared" si="277"/>
        <v>-1176</v>
      </c>
      <c r="CN64" s="175">
        <v>-288</v>
      </c>
      <c r="CO64" s="175">
        <v>-98</v>
      </c>
      <c r="CP64" s="175">
        <f t="shared" si="262"/>
        <v>-386</v>
      </c>
      <c r="CQ64" s="175">
        <v>-431</v>
      </c>
      <c r="CR64" s="175">
        <f t="shared" si="263"/>
        <v>-817</v>
      </c>
      <c r="CS64" s="175">
        <v>-302</v>
      </c>
      <c r="CT64" s="175">
        <f>CS64+CR64</f>
        <v>-1119</v>
      </c>
      <c r="CU64" s="175">
        <v>-149</v>
      </c>
      <c r="CV64" s="175">
        <v>-1286</v>
      </c>
      <c r="CW64" s="175">
        <f t="shared" si="273"/>
        <v>-1435</v>
      </c>
      <c r="CX64" s="175">
        <v>-1310</v>
      </c>
      <c r="CY64" s="175">
        <f t="shared" si="264"/>
        <v>-2745</v>
      </c>
      <c r="CZ64" s="175">
        <v>-1888</v>
      </c>
      <c r="DA64" s="175">
        <f t="shared" si="274"/>
        <v>-4633</v>
      </c>
      <c r="DB64" s="175">
        <v>-1078</v>
      </c>
      <c r="DC64" s="175">
        <v>-1240</v>
      </c>
      <c r="DD64" s="175">
        <f t="shared" si="275"/>
        <v>-2318</v>
      </c>
      <c r="DE64" s="175">
        <v>-1678</v>
      </c>
      <c r="DF64" s="175">
        <f t="shared" si="265"/>
        <v>-3996</v>
      </c>
      <c r="DG64" s="175">
        <v>-1235</v>
      </c>
      <c r="DH64" s="175">
        <f t="shared" si="266"/>
        <v>-5231</v>
      </c>
      <c r="DI64" s="175">
        <v>-1200</v>
      </c>
      <c r="DJ64" s="175">
        <v>-1042</v>
      </c>
      <c r="DK64" s="175">
        <f t="shared" si="15"/>
        <v>-2242</v>
      </c>
    </row>
    <row r="65" spans="1:115" ht="10.5" customHeight="1" x14ac:dyDescent="0.25">
      <c r="A65" s="56"/>
      <c r="B65" s="59"/>
      <c r="C65" s="171" t="s">
        <v>285</v>
      </c>
      <c r="D65" s="172"/>
      <c r="E65" s="59"/>
      <c r="F65" s="59"/>
      <c r="G65" s="59"/>
      <c r="H65" s="175">
        <v>0</v>
      </c>
      <c r="I65" s="175">
        <v>0</v>
      </c>
      <c r="J65" s="177">
        <f t="shared" si="239"/>
        <v>0</v>
      </c>
      <c r="K65" s="175">
        <v>0</v>
      </c>
      <c r="L65" s="177">
        <f t="shared" si="240"/>
        <v>0</v>
      </c>
      <c r="M65" s="175">
        <v>0</v>
      </c>
      <c r="N65" s="175">
        <f t="shared" si="241"/>
        <v>0</v>
      </c>
      <c r="O65" s="177">
        <v>-487</v>
      </c>
      <c r="P65" s="177">
        <v>-661</v>
      </c>
      <c r="Q65" s="175">
        <f t="shared" si="242"/>
        <v>-1148</v>
      </c>
      <c r="R65" s="177">
        <v>-451</v>
      </c>
      <c r="S65" s="175">
        <f t="shared" si="243"/>
        <v>-1599</v>
      </c>
      <c r="T65" s="175">
        <v>-489</v>
      </c>
      <c r="U65" s="177">
        <f t="shared" si="267"/>
        <v>-2088</v>
      </c>
      <c r="V65" s="177">
        <v>-261</v>
      </c>
      <c r="W65" s="177">
        <v>-871</v>
      </c>
      <c r="X65" s="175">
        <f t="shared" si="244"/>
        <v>-1132</v>
      </c>
      <c r="Y65" s="177">
        <v>-477</v>
      </c>
      <c r="Z65" s="175">
        <f t="shared" si="245"/>
        <v>-1609</v>
      </c>
      <c r="AA65" s="177">
        <v>-535</v>
      </c>
      <c r="AB65" s="177">
        <f t="shared" si="268"/>
        <v>-2144</v>
      </c>
      <c r="AC65" s="177">
        <v>-583</v>
      </c>
      <c r="AD65" s="177">
        <v>-518</v>
      </c>
      <c r="AE65" s="175">
        <f t="shared" si="269"/>
        <v>-1101</v>
      </c>
      <c r="AF65" s="177">
        <v>-528</v>
      </c>
      <c r="AG65" s="175">
        <f t="shared" si="270"/>
        <v>-1629</v>
      </c>
      <c r="AH65" s="177">
        <v>-577</v>
      </c>
      <c r="AI65" s="175">
        <f t="shared" si="271"/>
        <v>-2206</v>
      </c>
      <c r="AJ65" s="175">
        <v>-531</v>
      </c>
      <c r="AK65" s="175">
        <v>-587</v>
      </c>
      <c r="AL65" s="175">
        <f t="shared" si="246"/>
        <v>-1118</v>
      </c>
      <c r="AM65" s="175">
        <v>-576</v>
      </c>
      <c r="AN65" s="175">
        <f t="shared" si="247"/>
        <v>-1694</v>
      </c>
      <c r="AO65" s="175">
        <v>-647</v>
      </c>
      <c r="AP65" s="175">
        <f t="shared" si="248"/>
        <v>-2341</v>
      </c>
      <c r="AQ65" s="175">
        <v>-559</v>
      </c>
      <c r="AR65" s="175">
        <v>-513</v>
      </c>
      <c r="AS65" s="175">
        <v>-1072</v>
      </c>
      <c r="AT65" s="175">
        <v>-715</v>
      </c>
      <c r="AU65" s="175">
        <v>-1787</v>
      </c>
      <c r="AV65" s="175">
        <v>-823</v>
      </c>
      <c r="AW65" s="175">
        <f t="shared" si="249"/>
        <v>-2610</v>
      </c>
      <c r="AX65" s="175">
        <v>-593</v>
      </c>
      <c r="AY65" s="175">
        <f>AZ65-AX65</f>
        <v>-619</v>
      </c>
      <c r="AZ65" s="175">
        <v>-1212</v>
      </c>
      <c r="BA65" s="175">
        <f t="shared" si="167"/>
        <v>-581</v>
      </c>
      <c r="BB65" s="175">
        <v>-1793</v>
      </c>
      <c r="BC65" s="175">
        <f t="shared" si="168"/>
        <v>-727</v>
      </c>
      <c r="BD65" s="175">
        <v>-2520</v>
      </c>
      <c r="BE65" s="175">
        <v>-874</v>
      </c>
      <c r="BF65" s="175">
        <v>-828</v>
      </c>
      <c r="BG65" s="175">
        <f t="shared" si="250"/>
        <v>-1702</v>
      </c>
      <c r="BH65" s="175">
        <v>-887</v>
      </c>
      <c r="BI65" s="175">
        <f t="shared" si="251"/>
        <v>-2589</v>
      </c>
      <c r="BJ65" s="175">
        <v>-996</v>
      </c>
      <c r="BK65" s="175">
        <f t="shared" si="272"/>
        <v>-3585</v>
      </c>
      <c r="BL65" s="175">
        <v>-914</v>
      </c>
      <c r="BM65" s="175">
        <v>-1002</v>
      </c>
      <c r="BN65" s="175">
        <f t="shared" si="252"/>
        <v>-1916</v>
      </c>
      <c r="BO65" s="175">
        <v>-844</v>
      </c>
      <c r="BP65" s="175">
        <f t="shared" si="253"/>
        <v>-2760</v>
      </c>
      <c r="BQ65" s="175">
        <v>-934</v>
      </c>
      <c r="BR65" s="175">
        <f t="shared" si="276"/>
        <v>-3694</v>
      </c>
      <c r="BS65" s="175">
        <v>-1284</v>
      </c>
      <c r="BT65" s="175">
        <v>-949</v>
      </c>
      <c r="BU65" s="175">
        <f t="shared" si="254"/>
        <v>-2233</v>
      </c>
      <c r="BV65" s="175">
        <v>-1145</v>
      </c>
      <c r="BW65" s="175">
        <f t="shared" si="255"/>
        <v>-3378</v>
      </c>
      <c r="BX65" s="175">
        <f>-4756-BW65</f>
        <v>-1378</v>
      </c>
      <c r="BY65" s="175">
        <f t="shared" si="256"/>
        <v>-4756</v>
      </c>
      <c r="BZ65" s="175">
        <v>-1468</v>
      </c>
      <c r="CA65" s="175">
        <v>-1475</v>
      </c>
      <c r="CB65" s="175">
        <f t="shared" si="257"/>
        <v>-2943</v>
      </c>
      <c r="CC65" s="175">
        <v>-1604</v>
      </c>
      <c r="CD65" s="175">
        <f t="shared" si="258"/>
        <v>-4547</v>
      </c>
      <c r="CE65" s="175">
        <f>-6161-CD65</f>
        <v>-1614</v>
      </c>
      <c r="CF65" s="175">
        <f t="shared" si="259"/>
        <v>-6161</v>
      </c>
      <c r="CG65" s="175">
        <v>-1252</v>
      </c>
      <c r="CH65" s="175">
        <v>-1085</v>
      </c>
      <c r="CI65" s="175">
        <f t="shared" si="260"/>
        <v>-2337</v>
      </c>
      <c r="CJ65" s="175">
        <v>-1262</v>
      </c>
      <c r="CK65" s="175">
        <f t="shared" si="261"/>
        <v>-3599</v>
      </c>
      <c r="CL65" s="175">
        <v>-1491</v>
      </c>
      <c r="CM65" s="175">
        <f t="shared" si="277"/>
        <v>-5090</v>
      </c>
      <c r="CN65" s="175">
        <v>-1539</v>
      </c>
      <c r="CO65" s="175">
        <v>-1562</v>
      </c>
      <c r="CP65" s="175">
        <f t="shared" si="262"/>
        <v>-3101</v>
      </c>
      <c r="CQ65" s="175">
        <v>-3073</v>
      </c>
      <c r="CR65" s="175">
        <f t="shared" si="263"/>
        <v>-6174</v>
      </c>
      <c r="CS65" s="175">
        <v>-2117</v>
      </c>
      <c r="CT65" s="175">
        <f>CS65+CR65</f>
        <v>-8291</v>
      </c>
      <c r="CU65" s="175">
        <v>-1411</v>
      </c>
      <c r="CV65" s="175">
        <v>-2043</v>
      </c>
      <c r="CW65" s="175">
        <f>CV65+CU65-1</f>
        <v>-3455</v>
      </c>
      <c r="CX65" s="175">
        <v>-1238</v>
      </c>
      <c r="CY65" s="175">
        <f t="shared" si="264"/>
        <v>-4693</v>
      </c>
      <c r="CZ65" s="175">
        <v>-2115</v>
      </c>
      <c r="DA65" s="175">
        <f t="shared" si="274"/>
        <v>-6808</v>
      </c>
      <c r="DB65" s="175">
        <v>-7569</v>
      </c>
      <c r="DC65" s="175">
        <v>-3799</v>
      </c>
      <c r="DD65" s="175">
        <f>DC65+DB65-1</f>
        <v>-11369</v>
      </c>
      <c r="DE65" s="175">
        <v>-2543</v>
      </c>
      <c r="DF65" s="175">
        <f t="shared" si="265"/>
        <v>-13912</v>
      </c>
      <c r="DG65" s="175">
        <v>-3555</v>
      </c>
      <c r="DH65" s="175">
        <f t="shared" si="266"/>
        <v>-17467</v>
      </c>
      <c r="DI65" s="175">
        <v>-5015</v>
      </c>
      <c r="DJ65" s="175">
        <v>-5037</v>
      </c>
      <c r="DK65" s="175">
        <f t="shared" si="15"/>
        <v>-10052</v>
      </c>
    </row>
    <row r="66" spans="1:115" ht="10.5" customHeight="1" x14ac:dyDescent="0.25">
      <c r="A66" s="56"/>
      <c r="B66" s="59"/>
      <c r="C66" s="171" t="s">
        <v>286</v>
      </c>
      <c r="D66" s="172"/>
      <c r="E66" s="59"/>
      <c r="F66" s="59"/>
      <c r="G66" s="59"/>
      <c r="H66" s="175">
        <v>0</v>
      </c>
      <c r="I66" s="175">
        <v>0</v>
      </c>
      <c r="J66" s="177">
        <f t="shared" si="239"/>
        <v>0</v>
      </c>
      <c r="K66" s="175">
        <v>0</v>
      </c>
      <c r="L66" s="177">
        <f t="shared" si="240"/>
        <v>0</v>
      </c>
      <c r="M66" s="175">
        <v>0</v>
      </c>
      <c r="N66" s="175">
        <f t="shared" si="241"/>
        <v>0</v>
      </c>
      <c r="O66" s="177">
        <f>-522</f>
        <v>-522</v>
      </c>
      <c r="P66" s="177">
        <f>-155</f>
        <v>-155</v>
      </c>
      <c r="Q66" s="175">
        <f t="shared" si="242"/>
        <v>-677</v>
      </c>
      <c r="R66" s="177">
        <v>-63</v>
      </c>
      <c r="S66" s="175">
        <f t="shared" si="243"/>
        <v>-740</v>
      </c>
      <c r="T66" s="175">
        <v>-164</v>
      </c>
      <c r="U66" s="177">
        <f t="shared" si="267"/>
        <v>-904</v>
      </c>
      <c r="V66" s="177">
        <v>-753</v>
      </c>
      <c r="W66" s="177">
        <v>-72</v>
      </c>
      <c r="X66" s="175">
        <f t="shared" si="244"/>
        <v>-825</v>
      </c>
      <c r="Y66" s="177">
        <v>-76</v>
      </c>
      <c r="Z66" s="175">
        <f t="shared" si="245"/>
        <v>-901</v>
      </c>
      <c r="AA66" s="177">
        <v>-212</v>
      </c>
      <c r="AB66" s="177">
        <f t="shared" si="268"/>
        <v>-1113</v>
      </c>
      <c r="AC66" s="177">
        <v>-119</v>
      </c>
      <c r="AD66" s="177">
        <v>-661</v>
      </c>
      <c r="AE66" s="175">
        <f t="shared" si="269"/>
        <v>-780</v>
      </c>
      <c r="AF66" s="177">
        <v>-103</v>
      </c>
      <c r="AG66" s="175">
        <f t="shared" si="270"/>
        <v>-883</v>
      </c>
      <c r="AH66" s="177">
        <v>-337</v>
      </c>
      <c r="AI66" s="175">
        <f t="shared" si="271"/>
        <v>-1220</v>
      </c>
      <c r="AJ66" s="175">
        <v>-647</v>
      </c>
      <c r="AK66" s="175">
        <v>-135</v>
      </c>
      <c r="AL66" s="175">
        <f t="shared" si="246"/>
        <v>-782</v>
      </c>
      <c r="AM66" s="175">
        <v>-154</v>
      </c>
      <c r="AN66" s="175">
        <f t="shared" si="247"/>
        <v>-936</v>
      </c>
      <c r="AO66" s="175">
        <v>-472</v>
      </c>
      <c r="AP66" s="175">
        <f t="shared" si="248"/>
        <v>-1408</v>
      </c>
      <c r="AQ66" s="175">
        <v>-427</v>
      </c>
      <c r="AR66" s="175">
        <v>-629</v>
      </c>
      <c r="AS66" s="175">
        <v>-1056</v>
      </c>
      <c r="AT66" s="175">
        <v>-126</v>
      </c>
      <c r="AU66" s="175">
        <v>-1182</v>
      </c>
      <c r="AV66" s="175">
        <v>-430</v>
      </c>
      <c r="AW66" s="175">
        <f t="shared" si="249"/>
        <v>-1612</v>
      </c>
      <c r="AX66" s="175">
        <v>-675</v>
      </c>
      <c r="AY66" s="175">
        <f t="shared" si="9"/>
        <v>-391</v>
      </c>
      <c r="AZ66" s="175">
        <v>-1066</v>
      </c>
      <c r="BA66" s="175">
        <f t="shared" si="167"/>
        <v>-176</v>
      </c>
      <c r="BB66" s="175">
        <v>-1242</v>
      </c>
      <c r="BC66" s="175">
        <f t="shared" si="168"/>
        <v>-426</v>
      </c>
      <c r="BD66" s="175">
        <v>-1668</v>
      </c>
      <c r="BE66" s="175">
        <v>-922</v>
      </c>
      <c r="BF66" s="175">
        <v>-399</v>
      </c>
      <c r="BG66" s="175">
        <f t="shared" si="250"/>
        <v>-1321</v>
      </c>
      <c r="BH66" s="175">
        <v>-67</v>
      </c>
      <c r="BI66" s="175">
        <f t="shared" si="251"/>
        <v>-1388</v>
      </c>
      <c r="BJ66" s="175">
        <v>-559</v>
      </c>
      <c r="BK66" s="175">
        <f t="shared" si="272"/>
        <v>-1947</v>
      </c>
      <c r="BL66" s="175">
        <v>-684</v>
      </c>
      <c r="BM66" s="175">
        <v>-397</v>
      </c>
      <c r="BN66" s="175">
        <f t="shared" si="252"/>
        <v>-1081</v>
      </c>
      <c r="BO66" s="175">
        <v>-89</v>
      </c>
      <c r="BP66" s="175">
        <f t="shared" si="253"/>
        <v>-1170</v>
      </c>
      <c r="BQ66" s="175">
        <v>-650</v>
      </c>
      <c r="BR66" s="175">
        <f t="shared" si="276"/>
        <v>-1820</v>
      </c>
      <c r="BS66" s="175">
        <v>-279</v>
      </c>
      <c r="BT66" s="175">
        <v>-1097</v>
      </c>
      <c r="BU66" s="175">
        <f t="shared" si="254"/>
        <v>-1376</v>
      </c>
      <c r="BV66" s="175">
        <v>-101</v>
      </c>
      <c r="BW66" s="175">
        <f t="shared" si="255"/>
        <v>-1477</v>
      </c>
      <c r="BX66" s="175">
        <f>-2046-BW66</f>
        <v>-569</v>
      </c>
      <c r="BY66" s="175">
        <f t="shared" si="256"/>
        <v>-2046</v>
      </c>
      <c r="BZ66" s="175">
        <v>-1193</v>
      </c>
      <c r="CA66" s="175">
        <v>-370</v>
      </c>
      <c r="CB66" s="175">
        <f t="shared" si="257"/>
        <v>-1563</v>
      </c>
      <c r="CC66" s="175">
        <v>-153</v>
      </c>
      <c r="CD66" s="175">
        <f t="shared" si="258"/>
        <v>-1716</v>
      </c>
      <c r="CE66" s="175">
        <f>-2674-CD66</f>
        <v>-958</v>
      </c>
      <c r="CF66" s="175">
        <f t="shared" si="259"/>
        <v>-2674</v>
      </c>
      <c r="CG66" s="175">
        <v>-985</v>
      </c>
      <c r="CH66" s="175">
        <v>-358</v>
      </c>
      <c r="CI66" s="175">
        <f t="shared" si="260"/>
        <v>-1343</v>
      </c>
      <c r="CJ66" s="175">
        <v>-296</v>
      </c>
      <c r="CK66" s="175">
        <f t="shared" si="261"/>
        <v>-1639</v>
      </c>
      <c r="CL66" s="175">
        <v>-1053</v>
      </c>
      <c r="CM66" s="175">
        <f t="shared" si="277"/>
        <v>-2692</v>
      </c>
      <c r="CN66" s="175">
        <v>-1186</v>
      </c>
      <c r="CO66" s="175">
        <v>-270</v>
      </c>
      <c r="CP66" s="175">
        <f t="shared" si="262"/>
        <v>-1456</v>
      </c>
      <c r="CQ66" s="175">
        <v>-578</v>
      </c>
      <c r="CR66" s="175">
        <f t="shared" si="263"/>
        <v>-2034</v>
      </c>
      <c r="CS66" s="175">
        <v>-347</v>
      </c>
      <c r="CT66" s="175">
        <f>CS66+CR66</f>
        <v>-2381</v>
      </c>
      <c r="CU66" s="175">
        <v>-576</v>
      </c>
      <c r="CV66" s="175">
        <v>-1536</v>
      </c>
      <c r="CW66" s="175">
        <f>CV66+CU66-1</f>
        <v>-2113</v>
      </c>
      <c r="CX66" s="175">
        <v>-1486</v>
      </c>
      <c r="CY66" s="175">
        <f t="shared" si="264"/>
        <v>-3599</v>
      </c>
      <c r="CZ66" s="175">
        <v>-2712</v>
      </c>
      <c r="DA66" s="175">
        <f t="shared" si="274"/>
        <v>-6311</v>
      </c>
      <c r="DB66" s="175">
        <v>-751</v>
      </c>
      <c r="DC66" s="175">
        <v>-2484</v>
      </c>
      <c r="DD66" s="175">
        <f>DC66+DB66-1</f>
        <v>-3236</v>
      </c>
      <c r="DE66" s="175">
        <v>-1282</v>
      </c>
      <c r="DF66" s="175">
        <f t="shared" si="265"/>
        <v>-4518</v>
      </c>
      <c r="DG66" s="175">
        <v>-3116</v>
      </c>
      <c r="DH66" s="175">
        <f t="shared" si="266"/>
        <v>-7634</v>
      </c>
      <c r="DI66" s="175">
        <v>-1445</v>
      </c>
      <c r="DJ66" s="175">
        <v>-997</v>
      </c>
      <c r="DK66" s="175">
        <f t="shared" si="15"/>
        <v>-2442</v>
      </c>
    </row>
    <row r="67" spans="1:115" ht="10.5" customHeight="1" x14ac:dyDescent="0.25">
      <c r="A67" s="56"/>
      <c r="B67" s="59"/>
      <c r="C67" s="171" t="s">
        <v>287</v>
      </c>
      <c r="D67" s="172"/>
      <c r="E67" s="59"/>
      <c r="F67" s="59"/>
      <c r="G67" s="59"/>
      <c r="H67" s="175">
        <v>0</v>
      </c>
      <c r="I67" s="175">
        <v>0</v>
      </c>
      <c r="J67" s="177">
        <f t="shared" si="239"/>
        <v>0</v>
      </c>
      <c r="K67" s="175">
        <v>0</v>
      </c>
      <c r="L67" s="177">
        <f t="shared" si="240"/>
        <v>0</v>
      </c>
      <c r="M67" s="175">
        <v>0</v>
      </c>
      <c r="N67" s="175">
        <f t="shared" si="241"/>
        <v>0</v>
      </c>
      <c r="O67" s="177">
        <v>-231</v>
      </c>
      <c r="P67" s="177">
        <v>-225</v>
      </c>
      <c r="Q67" s="175">
        <f t="shared" si="242"/>
        <v>-456</v>
      </c>
      <c r="R67" s="177">
        <v>-223</v>
      </c>
      <c r="S67" s="175">
        <f t="shared" si="243"/>
        <v>-679</v>
      </c>
      <c r="T67" s="175">
        <v>-214</v>
      </c>
      <c r="U67" s="177">
        <f t="shared" si="267"/>
        <v>-893</v>
      </c>
      <c r="V67" s="177">
        <v>-283</v>
      </c>
      <c r="W67" s="177">
        <v>-243</v>
      </c>
      <c r="X67" s="175">
        <f t="shared" si="244"/>
        <v>-526</v>
      </c>
      <c r="Y67" s="177">
        <v>-423</v>
      </c>
      <c r="Z67" s="175">
        <f t="shared" si="245"/>
        <v>-949</v>
      </c>
      <c r="AA67" s="177">
        <v>-486</v>
      </c>
      <c r="AB67" s="177">
        <f t="shared" si="268"/>
        <v>-1435</v>
      </c>
      <c r="AC67" s="177">
        <v>-498</v>
      </c>
      <c r="AD67" s="177">
        <v>-462</v>
      </c>
      <c r="AE67" s="175">
        <f t="shared" si="269"/>
        <v>-960</v>
      </c>
      <c r="AF67" s="177">
        <v>-482</v>
      </c>
      <c r="AG67" s="175">
        <f t="shared" si="270"/>
        <v>-1442</v>
      </c>
      <c r="AH67" s="177">
        <v>-429</v>
      </c>
      <c r="AI67" s="175">
        <f t="shared" si="271"/>
        <v>-1871</v>
      </c>
      <c r="AJ67" s="175">
        <v>-515</v>
      </c>
      <c r="AK67" s="175">
        <v>-459</v>
      </c>
      <c r="AL67" s="175">
        <f t="shared" si="246"/>
        <v>-974</v>
      </c>
      <c r="AM67" s="175">
        <v>-487</v>
      </c>
      <c r="AN67" s="175">
        <f t="shared" si="247"/>
        <v>-1461</v>
      </c>
      <c r="AO67" s="175">
        <v>-448</v>
      </c>
      <c r="AP67" s="175">
        <f t="shared" si="248"/>
        <v>-1909</v>
      </c>
      <c r="AQ67" s="175">
        <v>-531</v>
      </c>
      <c r="AR67" s="175">
        <v>-610</v>
      </c>
      <c r="AS67" s="175">
        <v>-1141</v>
      </c>
      <c r="AT67" s="175">
        <v>-513</v>
      </c>
      <c r="AU67" s="175">
        <v>-1654</v>
      </c>
      <c r="AV67" s="175">
        <v>-593</v>
      </c>
      <c r="AW67" s="175">
        <f t="shared" si="249"/>
        <v>-2247</v>
      </c>
      <c r="AX67" s="175">
        <v>-558</v>
      </c>
      <c r="AY67" s="175">
        <f t="shared" si="9"/>
        <v>-600</v>
      </c>
      <c r="AZ67" s="175">
        <v>-1158</v>
      </c>
      <c r="BA67" s="175">
        <f t="shared" si="167"/>
        <v>-632</v>
      </c>
      <c r="BB67" s="175">
        <v>-1790</v>
      </c>
      <c r="BC67" s="175">
        <f t="shared" si="168"/>
        <v>-647</v>
      </c>
      <c r="BD67" s="175">
        <v>-2437</v>
      </c>
      <c r="BE67" s="175">
        <v>-543</v>
      </c>
      <c r="BF67" s="175">
        <v>-548</v>
      </c>
      <c r="BG67" s="175">
        <f t="shared" si="250"/>
        <v>-1091</v>
      </c>
      <c r="BH67" s="175">
        <v>-621</v>
      </c>
      <c r="BI67" s="175">
        <f t="shared" si="251"/>
        <v>-1712</v>
      </c>
      <c r="BJ67" s="175">
        <v>-645</v>
      </c>
      <c r="BK67" s="175">
        <f t="shared" si="272"/>
        <v>-2357</v>
      </c>
      <c r="BL67" s="175">
        <v>-548</v>
      </c>
      <c r="BM67" s="175">
        <v>-550</v>
      </c>
      <c r="BN67" s="175">
        <f t="shared" si="252"/>
        <v>-1098</v>
      </c>
      <c r="BO67" s="175">
        <v>-643</v>
      </c>
      <c r="BP67" s="175">
        <f t="shared" si="253"/>
        <v>-1741</v>
      </c>
      <c r="BQ67" s="175">
        <v>-731</v>
      </c>
      <c r="BR67" s="175">
        <f t="shared" si="276"/>
        <v>-2472</v>
      </c>
      <c r="BS67" s="175">
        <v>-597</v>
      </c>
      <c r="BT67" s="175">
        <v>-653</v>
      </c>
      <c r="BU67" s="175">
        <f t="shared" si="254"/>
        <v>-1250</v>
      </c>
      <c r="BV67" s="175">
        <v>-510</v>
      </c>
      <c r="BW67" s="175">
        <f t="shared" si="255"/>
        <v>-1760</v>
      </c>
      <c r="BX67" s="175">
        <f>-2414-BW67</f>
        <v>-654</v>
      </c>
      <c r="BY67" s="175">
        <f t="shared" si="256"/>
        <v>-2414</v>
      </c>
      <c r="BZ67" s="175">
        <v>-532</v>
      </c>
      <c r="CA67" s="175">
        <v>-637</v>
      </c>
      <c r="CB67" s="175">
        <f t="shared" si="257"/>
        <v>-1169</v>
      </c>
      <c r="CC67" s="175">
        <v>-688</v>
      </c>
      <c r="CD67" s="175">
        <f t="shared" si="258"/>
        <v>-1857</v>
      </c>
      <c r="CE67" s="175">
        <f>-2707-CD67</f>
        <v>-850</v>
      </c>
      <c r="CF67" s="175">
        <f t="shared" si="259"/>
        <v>-2707</v>
      </c>
      <c r="CG67" s="175">
        <v>-771</v>
      </c>
      <c r="CH67" s="175">
        <v>-823</v>
      </c>
      <c r="CI67" s="175">
        <f t="shared" si="260"/>
        <v>-1594</v>
      </c>
      <c r="CJ67" s="175">
        <v>-884</v>
      </c>
      <c r="CK67" s="175">
        <f t="shared" si="261"/>
        <v>-2478</v>
      </c>
      <c r="CL67" s="175">
        <v>-1321</v>
      </c>
      <c r="CM67" s="175">
        <v>-3798</v>
      </c>
      <c r="CN67" s="175">
        <v>-944</v>
      </c>
      <c r="CO67" s="175">
        <v>-966</v>
      </c>
      <c r="CP67" s="175">
        <f t="shared" si="262"/>
        <v>-1910</v>
      </c>
      <c r="CQ67" s="175">
        <v>-1325</v>
      </c>
      <c r="CR67" s="175">
        <f t="shared" si="263"/>
        <v>-3235</v>
      </c>
      <c r="CS67" s="175">
        <v>-1492</v>
      </c>
      <c r="CT67" s="175">
        <f>CS67+CR67+2</f>
        <v>-4725</v>
      </c>
      <c r="CU67" s="175">
        <v>-1786</v>
      </c>
      <c r="CV67" s="175">
        <v>-1471</v>
      </c>
      <c r="CW67" s="175">
        <f>CV67+CU67+1</f>
        <v>-3256</v>
      </c>
      <c r="CX67" s="175">
        <v>-1312</v>
      </c>
      <c r="CY67" s="175">
        <f t="shared" si="264"/>
        <v>-4568</v>
      </c>
      <c r="CZ67" s="175">
        <v>-1618</v>
      </c>
      <c r="DA67" s="175">
        <f t="shared" si="274"/>
        <v>-6186</v>
      </c>
      <c r="DB67" s="175">
        <v>-1947</v>
      </c>
      <c r="DC67" s="175">
        <v>-1735</v>
      </c>
      <c r="DD67" s="175">
        <f>DC67+DB67+1</f>
        <v>-3681</v>
      </c>
      <c r="DE67" s="175">
        <v>-1832</v>
      </c>
      <c r="DF67" s="175">
        <f t="shared" si="265"/>
        <v>-5513</v>
      </c>
      <c r="DG67" s="175">
        <v>-1679</v>
      </c>
      <c r="DH67" s="175">
        <f t="shared" si="266"/>
        <v>-7192</v>
      </c>
      <c r="DI67" s="175">
        <v>-1892</v>
      </c>
      <c r="DJ67" s="175">
        <v>-1770</v>
      </c>
      <c r="DK67" s="175">
        <f t="shared" si="15"/>
        <v>-3662</v>
      </c>
    </row>
    <row r="68" spans="1:115" ht="10.5" customHeight="1" x14ac:dyDescent="0.25">
      <c r="A68" s="56"/>
      <c r="B68" s="59"/>
      <c r="C68" s="171" t="s">
        <v>288</v>
      </c>
      <c r="D68" s="172"/>
      <c r="E68" s="59"/>
      <c r="F68" s="59"/>
      <c r="G68" s="59"/>
      <c r="H68" s="175">
        <v>0</v>
      </c>
      <c r="I68" s="175">
        <v>0</v>
      </c>
      <c r="J68" s="177">
        <f t="shared" si="239"/>
        <v>0</v>
      </c>
      <c r="K68" s="175">
        <v>0</v>
      </c>
      <c r="L68" s="177">
        <f t="shared" si="240"/>
        <v>0</v>
      </c>
      <c r="M68" s="175">
        <v>0</v>
      </c>
      <c r="N68" s="175">
        <f t="shared" si="241"/>
        <v>0</v>
      </c>
      <c r="O68" s="177">
        <v>-67</v>
      </c>
      <c r="P68" s="177">
        <v>-104</v>
      </c>
      <c r="Q68" s="175">
        <f t="shared" si="242"/>
        <v>-171</v>
      </c>
      <c r="R68" s="177">
        <v>-81</v>
      </c>
      <c r="S68" s="175">
        <f t="shared" si="243"/>
        <v>-252</v>
      </c>
      <c r="T68" s="175">
        <v>-85</v>
      </c>
      <c r="U68" s="177">
        <f t="shared" si="267"/>
        <v>-337</v>
      </c>
      <c r="V68" s="177">
        <v>-187</v>
      </c>
      <c r="W68" s="177">
        <v>-30</v>
      </c>
      <c r="X68" s="175">
        <f t="shared" si="244"/>
        <v>-217</v>
      </c>
      <c r="Y68" s="177">
        <v>-96</v>
      </c>
      <c r="Z68" s="175">
        <f t="shared" si="245"/>
        <v>-313</v>
      </c>
      <c r="AA68" s="177">
        <v>-112</v>
      </c>
      <c r="AB68" s="177">
        <f t="shared" si="268"/>
        <v>-425</v>
      </c>
      <c r="AC68" s="177">
        <v>-113</v>
      </c>
      <c r="AD68" s="177">
        <v>-166</v>
      </c>
      <c r="AE68" s="175">
        <f t="shared" si="269"/>
        <v>-279</v>
      </c>
      <c r="AF68" s="177">
        <v>-170</v>
      </c>
      <c r="AG68" s="175">
        <f t="shared" si="270"/>
        <v>-449</v>
      </c>
      <c r="AH68" s="177">
        <v>-134</v>
      </c>
      <c r="AI68" s="175">
        <f t="shared" si="271"/>
        <v>-583</v>
      </c>
      <c r="AJ68" s="175">
        <v>-130</v>
      </c>
      <c r="AK68" s="175">
        <v>-147</v>
      </c>
      <c r="AL68" s="175">
        <f t="shared" si="246"/>
        <v>-277</v>
      </c>
      <c r="AM68" s="175">
        <v>-139</v>
      </c>
      <c r="AN68" s="175">
        <f t="shared" si="247"/>
        <v>-416</v>
      </c>
      <c r="AO68" s="175">
        <v>-158</v>
      </c>
      <c r="AP68" s="175">
        <f t="shared" si="248"/>
        <v>-574</v>
      </c>
      <c r="AQ68" s="175">
        <v>-136</v>
      </c>
      <c r="AR68" s="175">
        <v>-155</v>
      </c>
      <c r="AS68" s="175">
        <v>-291</v>
      </c>
      <c r="AT68" s="175">
        <v>-178</v>
      </c>
      <c r="AU68" s="175">
        <v>-469</v>
      </c>
      <c r="AV68" s="175">
        <v>-226</v>
      </c>
      <c r="AW68" s="175">
        <f t="shared" si="249"/>
        <v>-695</v>
      </c>
      <c r="AX68" s="175">
        <v>-227</v>
      </c>
      <c r="AY68" s="175">
        <f t="shared" si="9"/>
        <v>-235</v>
      </c>
      <c r="AZ68" s="175">
        <v>-462</v>
      </c>
      <c r="BA68" s="175">
        <f t="shared" si="167"/>
        <v>-282</v>
      </c>
      <c r="BB68" s="175">
        <v>-744</v>
      </c>
      <c r="BC68" s="175">
        <f t="shared" si="168"/>
        <v>-212</v>
      </c>
      <c r="BD68" s="175">
        <v>-956</v>
      </c>
      <c r="BE68" s="175">
        <v>-198</v>
      </c>
      <c r="BF68" s="175">
        <v>-238</v>
      </c>
      <c r="BG68" s="175">
        <f t="shared" si="250"/>
        <v>-436</v>
      </c>
      <c r="BH68" s="175">
        <v>-259</v>
      </c>
      <c r="BI68" s="175">
        <f t="shared" si="251"/>
        <v>-695</v>
      </c>
      <c r="BJ68" s="175">
        <v>-198</v>
      </c>
      <c r="BK68" s="175">
        <f t="shared" si="272"/>
        <v>-893</v>
      </c>
      <c r="BL68" s="175">
        <v>-172</v>
      </c>
      <c r="BM68" s="175">
        <v>-236</v>
      </c>
      <c r="BN68" s="175">
        <f t="shared" si="252"/>
        <v>-408</v>
      </c>
      <c r="BO68" s="175">
        <v>-213</v>
      </c>
      <c r="BP68" s="175">
        <f t="shared" si="253"/>
        <v>-621</v>
      </c>
      <c r="BQ68" s="175">
        <v>-208</v>
      </c>
      <c r="BR68" s="175">
        <f t="shared" si="276"/>
        <v>-829</v>
      </c>
      <c r="BS68" s="175">
        <v>-206</v>
      </c>
      <c r="BT68" s="175">
        <v>-192</v>
      </c>
      <c r="BU68" s="175">
        <f t="shared" si="254"/>
        <v>-398</v>
      </c>
      <c r="BV68" s="175">
        <v>-211</v>
      </c>
      <c r="BW68" s="175">
        <f t="shared" si="255"/>
        <v>-609</v>
      </c>
      <c r="BX68" s="175">
        <f>-816-BW68</f>
        <v>-207</v>
      </c>
      <c r="BY68" s="175">
        <f t="shared" si="256"/>
        <v>-816</v>
      </c>
      <c r="BZ68" s="175">
        <v>-226</v>
      </c>
      <c r="CA68" s="175">
        <v>-160</v>
      </c>
      <c r="CB68" s="175">
        <f t="shared" si="257"/>
        <v>-386</v>
      </c>
      <c r="CC68" s="175">
        <v>-262</v>
      </c>
      <c r="CD68" s="175">
        <f t="shared" si="258"/>
        <v>-648</v>
      </c>
      <c r="CE68" s="175">
        <f>-904-CD68</f>
        <v>-256</v>
      </c>
      <c r="CF68" s="175">
        <f t="shared" si="259"/>
        <v>-904</v>
      </c>
      <c r="CG68" s="175">
        <v>-254</v>
      </c>
      <c r="CH68" s="175">
        <v>-257</v>
      </c>
      <c r="CI68" s="175">
        <f t="shared" si="260"/>
        <v>-511</v>
      </c>
      <c r="CJ68" s="175">
        <v>-316</v>
      </c>
      <c r="CK68" s="175">
        <f t="shared" si="261"/>
        <v>-827</v>
      </c>
      <c r="CL68" s="175">
        <v>-466</v>
      </c>
      <c r="CM68" s="175">
        <f t="shared" si="277"/>
        <v>-1293</v>
      </c>
      <c r="CN68" s="175">
        <v>-470</v>
      </c>
      <c r="CO68" s="175">
        <v>-529</v>
      </c>
      <c r="CP68" s="175">
        <f t="shared" si="262"/>
        <v>-999</v>
      </c>
      <c r="CQ68" s="175">
        <v>-547</v>
      </c>
      <c r="CR68" s="175">
        <f t="shared" si="263"/>
        <v>-1546</v>
      </c>
      <c r="CS68" s="175">
        <v>-1126</v>
      </c>
      <c r="CT68" s="175">
        <f>CS68+CR68</f>
        <v>-2672</v>
      </c>
      <c r="CU68" s="175">
        <v>-2079</v>
      </c>
      <c r="CV68" s="175">
        <v>25</v>
      </c>
      <c r="CW68" s="175">
        <f t="shared" si="273"/>
        <v>-2054</v>
      </c>
      <c r="CX68" s="175">
        <v>-1834</v>
      </c>
      <c r="CY68" s="175">
        <f t="shared" si="264"/>
        <v>-3888</v>
      </c>
      <c r="CZ68" s="175">
        <v>-1429</v>
      </c>
      <c r="DA68" s="175">
        <f t="shared" si="274"/>
        <v>-5317</v>
      </c>
      <c r="DB68" s="175">
        <v>-697</v>
      </c>
      <c r="DC68" s="175">
        <v>-1083</v>
      </c>
      <c r="DD68" s="175">
        <f t="shared" si="275"/>
        <v>-1780</v>
      </c>
      <c r="DE68" s="175">
        <v>-1335</v>
      </c>
      <c r="DF68" s="175">
        <f t="shared" si="265"/>
        <v>-3115</v>
      </c>
      <c r="DG68" s="175">
        <v>-1336</v>
      </c>
      <c r="DH68" s="175">
        <f t="shared" si="266"/>
        <v>-4451</v>
      </c>
      <c r="DI68" s="175">
        <v>-1093</v>
      </c>
      <c r="DJ68" s="175">
        <v>-1120</v>
      </c>
      <c r="DK68" s="175">
        <f t="shared" si="15"/>
        <v>-2213</v>
      </c>
    </row>
    <row r="69" spans="1:115" ht="10.5" customHeight="1" x14ac:dyDescent="0.25">
      <c r="A69" s="56"/>
      <c r="B69" s="59"/>
      <c r="C69" s="171" t="s">
        <v>289</v>
      </c>
      <c r="D69" s="172"/>
      <c r="E69" s="59"/>
      <c r="F69" s="59"/>
      <c r="G69" s="59"/>
      <c r="H69" s="175">
        <v>0</v>
      </c>
      <c r="I69" s="175">
        <v>0</v>
      </c>
      <c r="J69" s="177">
        <f t="shared" si="239"/>
        <v>0</v>
      </c>
      <c r="K69" s="175">
        <v>0</v>
      </c>
      <c r="L69" s="177">
        <f t="shared" si="240"/>
        <v>0</v>
      </c>
      <c r="M69" s="175">
        <v>0</v>
      </c>
      <c r="N69" s="175">
        <f t="shared" si="241"/>
        <v>0</v>
      </c>
      <c r="O69" s="177">
        <v>0</v>
      </c>
      <c r="P69" s="177">
        <v>0</v>
      </c>
      <c r="Q69" s="175">
        <f t="shared" si="242"/>
        <v>0</v>
      </c>
      <c r="R69" s="177">
        <v>0</v>
      </c>
      <c r="S69" s="175">
        <f t="shared" si="243"/>
        <v>0</v>
      </c>
      <c r="T69" s="175">
        <v>0</v>
      </c>
      <c r="U69" s="177">
        <f t="shared" si="267"/>
        <v>0</v>
      </c>
      <c r="V69" s="177">
        <v>0</v>
      </c>
      <c r="W69" s="177">
        <v>0</v>
      </c>
      <c r="X69" s="175">
        <f t="shared" si="244"/>
        <v>0</v>
      </c>
      <c r="Y69" s="177">
        <v>0</v>
      </c>
      <c r="Z69" s="175">
        <f t="shared" si="245"/>
        <v>0</v>
      </c>
      <c r="AA69" s="177">
        <v>-3123</v>
      </c>
      <c r="AB69" s="177">
        <f t="shared" si="268"/>
        <v>-3123</v>
      </c>
      <c r="AC69" s="177">
        <v>-257</v>
      </c>
      <c r="AD69" s="177">
        <v>217</v>
      </c>
      <c r="AE69" s="175">
        <f t="shared" si="269"/>
        <v>-40</v>
      </c>
      <c r="AF69" s="177">
        <v>-566</v>
      </c>
      <c r="AG69" s="175">
        <f t="shared" si="270"/>
        <v>-606</v>
      </c>
      <c r="AH69" s="177">
        <v>-249</v>
      </c>
      <c r="AI69" s="175">
        <f>SUM(AG69:AH69)</f>
        <v>-855</v>
      </c>
      <c r="AJ69" s="175">
        <v>307</v>
      </c>
      <c r="AK69" s="175">
        <v>804</v>
      </c>
      <c r="AL69" s="175">
        <f t="shared" si="246"/>
        <v>1111</v>
      </c>
      <c r="AM69" s="175">
        <v>-95</v>
      </c>
      <c r="AN69" s="175">
        <f t="shared" si="247"/>
        <v>1016</v>
      </c>
      <c r="AO69" s="175">
        <v>-541</v>
      </c>
      <c r="AP69" s="175">
        <f t="shared" si="248"/>
        <v>475</v>
      </c>
      <c r="AQ69" s="175">
        <v>278</v>
      </c>
      <c r="AR69" s="175">
        <v>-94</v>
      </c>
      <c r="AS69" s="175">
        <v>184</v>
      </c>
      <c r="AT69" s="175">
        <v>-20</v>
      </c>
      <c r="AU69" s="175">
        <v>164</v>
      </c>
      <c r="AV69" s="175">
        <v>-367</v>
      </c>
      <c r="AW69" s="175">
        <f t="shared" si="249"/>
        <v>-203</v>
      </c>
      <c r="AX69" s="175">
        <v>-60</v>
      </c>
      <c r="AY69" s="175">
        <f t="shared" si="9"/>
        <v>29</v>
      </c>
      <c r="AZ69" s="175">
        <v>-31</v>
      </c>
      <c r="BA69" s="175">
        <f t="shared" si="167"/>
        <v>-236</v>
      </c>
      <c r="BB69" s="175">
        <v>-267</v>
      </c>
      <c r="BC69" s="175">
        <f t="shared" si="168"/>
        <v>473</v>
      </c>
      <c r="BD69" s="175">
        <v>206</v>
      </c>
      <c r="BE69" s="175">
        <v>-282</v>
      </c>
      <c r="BF69" s="175">
        <v>-381</v>
      </c>
      <c r="BG69" s="175">
        <f t="shared" si="250"/>
        <v>-663</v>
      </c>
      <c r="BH69" s="175">
        <v>462</v>
      </c>
      <c r="BI69" s="175">
        <f t="shared" si="251"/>
        <v>-201</v>
      </c>
      <c r="BJ69" s="175">
        <v>-260</v>
      </c>
      <c r="BK69" s="175">
        <f t="shared" si="272"/>
        <v>-461</v>
      </c>
      <c r="BL69" s="175">
        <v>-365</v>
      </c>
      <c r="BM69" s="175">
        <v>-52</v>
      </c>
      <c r="BN69" s="175">
        <f t="shared" si="252"/>
        <v>-417</v>
      </c>
      <c r="BO69" s="175">
        <v>76</v>
      </c>
      <c r="BP69" s="175">
        <f t="shared" si="253"/>
        <v>-341</v>
      </c>
      <c r="BQ69" s="175">
        <v>-249</v>
      </c>
      <c r="BR69" s="175">
        <f t="shared" si="276"/>
        <v>-590</v>
      </c>
      <c r="BS69" s="175">
        <v>-135</v>
      </c>
      <c r="BT69" s="175">
        <v>56</v>
      </c>
      <c r="BU69" s="175">
        <f t="shared" si="254"/>
        <v>-79</v>
      </c>
      <c r="BV69" s="175">
        <v>124</v>
      </c>
      <c r="BW69" s="175">
        <f t="shared" si="255"/>
        <v>45</v>
      </c>
      <c r="BX69" s="175">
        <f>51-BW69</f>
        <v>6</v>
      </c>
      <c r="BY69" s="175">
        <f t="shared" si="256"/>
        <v>51</v>
      </c>
      <c r="BZ69" s="175">
        <v>-2751</v>
      </c>
      <c r="CA69" s="175">
        <v>-87</v>
      </c>
      <c r="CB69" s="175">
        <f t="shared" si="257"/>
        <v>-2838</v>
      </c>
      <c r="CC69" s="175">
        <v>1176</v>
      </c>
      <c r="CD69" s="175">
        <f t="shared" si="258"/>
        <v>-1662</v>
      </c>
      <c r="CE69" s="175">
        <f>-1734-CD69</f>
        <v>-72</v>
      </c>
      <c r="CF69" s="175">
        <f t="shared" si="259"/>
        <v>-1734</v>
      </c>
      <c r="CG69" s="175">
        <v>-32</v>
      </c>
      <c r="CH69" s="175">
        <v>-16</v>
      </c>
      <c r="CI69" s="175">
        <f t="shared" si="260"/>
        <v>-48</v>
      </c>
      <c r="CJ69" s="175">
        <v>14</v>
      </c>
      <c r="CK69" s="175">
        <f t="shared" si="261"/>
        <v>-34</v>
      </c>
      <c r="CL69" s="175">
        <v>-153</v>
      </c>
      <c r="CM69" s="175">
        <v>-186</v>
      </c>
      <c r="CN69" s="175">
        <v>389</v>
      </c>
      <c r="CO69" s="175">
        <v>-522</v>
      </c>
      <c r="CP69" s="175">
        <f t="shared" si="262"/>
        <v>-133</v>
      </c>
      <c r="CQ69" s="175">
        <v>-319</v>
      </c>
      <c r="CR69" s="175">
        <f t="shared" si="263"/>
        <v>-452</v>
      </c>
      <c r="CS69" s="175">
        <v>56</v>
      </c>
      <c r="CT69" s="175">
        <f>CS69+CR69</f>
        <v>-396</v>
      </c>
      <c r="CU69" s="175">
        <v>309</v>
      </c>
      <c r="CV69" s="175">
        <v>-327</v>
      </c>
      <c r="CW69" s="175">
        <f t="shared" si="273"/>
        <v>-18</v>
      </c>
      <c r="CX69" s="175">
        <v>-896</v>
      </c>
      <c r="CY69" s="175">
        <f t="shared" si="264"/>
        <v>-914</v>
      </c>
      <c r="CZ69" s="175">
        <v>-145</v>
      </c>
      <c r="DA69" s="175">
        <f t="shared" si="274"/>
        <v>-1059</v>
      </c>
      <c r="DB69" s="175">
        <v>192</v>
      </c>
      <c r="DC69" s="175">
        <f>--143</f>
        <v>143</v>
      </c>
      <c r="DD69" s="175">
        <f t="shared" si="275"/>
        <v>335</v>
      </c>
      <c r="DE69" s="175">
        <v>-40</v>
      </c>
      <c r="DF69" s="175">
        <f t="shared" si="265"/>
        <v>295</v>
      </c>
      <c r="DG69" s="175">
        <v>-211</v>
      </c>
      <c r="DH69" s="175">
        <f t="shared" si="266"/>
        <v>84</v>
      </c>
      <c r="DI69" s="175">
        <v>-290</v>
      </c>
      <c r="DJ69" s="175">
        <v>-766</v>
      </c>
      <c r="DK69" s="175">
        <f t="shared" si="15"/>
        <v>-1056</v>
      </c>
    </row>
    <row r="70" spans="1:115" ht="10.5" customHeight="1" x14ac:dyDescent="0.25">
      <c r="A70" s="56"/>
      <c r="B70" s="59"/>
      <c r="C70" s="171" t="s">
        <v>290</v>
      </c>
      <c r="D70" s="172"/>
      <c r="E70" s="59"/>
      <c r="F70" s="59"/>
      <c r="G70" s="59"/>
      <c r="H70" s="175">
        <v>0</v>
      </c>
      <c r="I70" s="175">
        <v>0</v>
      </c>
      <c r="J70" s="177">
        <f t="shared" si="239"/>
        <v>0</v>
      </c>
      <c r="K70" s="175">
        <v>0</v>
      </c>
      <c r="L70" s="177">
        <f t="shared" si="240"/>
        <v>0</v>
      </c>
      <c r="M70" s="175">
        <v>0</v>
      </c>
      <c r="N70" s="175">
        <f t="shared" si="241"/>
        <v>0</v>
      </c>
      <c r="O70" s="177">
        <v>0</v>
      </c>
      <c r="P70" s="177">
        <v>0</v>
      </c>
      <c r="Q70" s="175">
        <f t="shared" si="242"/>
        <v>0</v>
      </c>
      <c r="R70" s="177">
        <v>0</v>
      </c>
      <c r="S70" s="175">
        <f t="shared" si="243"/>
        <v>0</v>
      </c>
      <c r="T70" s="175">
        <v>0</v>
      </c>
      <c r="U70" s="177">
        <f t="shared" si="267"/>
        <v>0</v>
      </c>
      <c r="V70" s="177">
        <v>0</v>
      </c>
      <c r="W70" s="177">
        <v>0</v>
      </c>
      <c r="X70" s="175">
        <f t="shared" si="244"/>
        <v>0</v>
      </c>
      <c r="Y70" s="177">
        <v>0</v>
      </c>
      <c r="Z70" s="175">
        <f t="shared" si="245"/>
        <v>0</v>
      </c>
      <c r="AA70" s="177">
        <v>0</v>
      </c>
      <c r="AB70" s="177">
        <f t="shared" si="268"/>
        <v>0</v>
      </c>
      <c r="AC70" s="177">
        <v>-48</v>
      </c>
      <c r="AD70" s="177">
        <v>-50</v>
      </c>
      <c r="AE70" s="175">
        <f t="shared" si="269"/>
        <v>-98</v>
      </c>
      <c r="AF70" s="177">
        <v>-48</v>
      </c>
      <c r="AG70" s="175">
        <f t="shared" si="270"/>
        <v>-146</v>
      </c>
      <c r="AH70" s="177">
        <v>-19</v>
      </c>
      <c r="AI70" s="175">
        <f t="shared" si="271"/>
        <v>-165</v>
      </c>
      <c r="AJ70" s="175">
        <v>-32</v>
      </c>
      <c r="AK70" s="175">
        <v>-21</v>
      </c>
      <c r="AL70" s="175">
        <f t="shared" si="246"/>
        <v>-53</v>
      </c>
      <c r="AM70" s="175">
        <v>-16</v>
      </c>
      <c r="AN70" s="175">
        <f t="shared" si="247"/>
        <v>-69</v>
      </c>
      <c r="AO70" s="175">
        <v>-24</v>
      </c>
      <c r="AP70" s="175">
        <f t="shared" si="248"/>
        <v>-93</v>
      </c>
      <c r="AQ70" s="175">
        <v>-33</v>
      </c>
      <c r="AR70" s="175">
        <v>-25</v>
      </c>
      <c r="AS70" s="175">
        <v>-58</v>
      </c>
      <c r="AT70" s="175">
        <v>-18</v>
      </c>
      <c r="AU70" s="175">
        <v>-76</v>
      </c>
      <c r="AV70" s="175">
        <v>-21</v>
      </c>
      <c r="AW70" s="175">
        <f t="shared" si="249"/>
        <v>-97</v>
      </c>
      <c r="AX70" s="175">
        <v>-31</v>
      </c>
      <c r="AY70" s="175">
        <f t="shared" si="9"/>
        <v>-34</v>
      </c>
      <c r="AZ70" s="175">
        <v>-65</v>
      </c>
      <c r="BA70" s="175">
        <f t="shared" si="167"/>
        <v>-27</v>
      </c>
      <c r="BB70" s="175">
        <v>-92</v>
      </c>
      <c r="BC70" s="175">
        <f t="shared" si="168"/>
        <v>-33</v>
      </c>
      <c r="BD70" s="175">
        <v>-125</v>
      </c>
      <c r="BE70" s="175">
        <v>-45</v>
      </c>
      <c r="BF70" s="175">
        <v>-40</v>
      </c>
      <c r="BG70" s="175">
        <f t="shared" si="250"/>
        <v>-85</v>
      </c>
      <c r="BH70" s="175">
        <v>-28</v>
      </c>
      <c r="BI70" s="175">
        <f t="shared" si="251"/>
        <v>-113</v>
      </c>
      <c r="BJ70" s="175">
        <v>-34</v>
      </c>
      <c r="BK70" s="175">
        <f t="shared" si="272"/>
        <v>-147</v>
      </c>
      <c r="BL70" s="175">
        <v>-37</v>
      </c>
      <c r="BM70" s="175">
        <v>-33</v>
      </c>
      <c r="BN70" s="175">
        <f t="shared" si="252"/>
        <v>-70</v>
      </c>
      <c r="BO70" s="175">
        <v>-29</v>
      </c>
      <c r="BP70" s="175">
        <f t="shared" si="253"/>
        <v>-99</v>
      </c>
      <c r="BQ70" s="175">
        <v>-37</v>
      </c>
      <c r="BR70" s="175">
        <f t="shared" si="276"/>
        <v>-136</v>
      </c>
      <c r="BS70" s="175">
        <v>-41</v>
      </c>
      <c r="BT70" s="175">
        <v>-48</v>
      </c>
      <c r="BU70" s="175">
        <f t="shared" si="254"/>
        <v>-89</v>
      </c>
      <c r="BV70" s="175">
        <v>-38</v>
      </c>
      <c r="BW70" s="175">
        <f t="shared" si="255"/>
        <v>-127</v>
      </c>
      <c r="BX70" s="175">
        <f>-169-BW70</f>
        <v>-42</v>
      </c>
      <c r="BY70" s="175">
        <f t="shared" si="256"/>
        <v>-169</v>
      </c>
      <c r="BZ70" s="175">
        <v>-57</v>
      </c>
      <c r="CA70" s="175">
        <v>-49</v>
      </c>
      <c r="CB70" s="175">
        <f t="shared" si="257"/>
        <v>-106</v>
      </c>
      <c r="CC70" s="175">
        <v>-40</v>
      </c>
      <c r="CD70" s="175">
        <f t="shared" si="258"/>
        <v>-146</v>
      </c>
      <c r="CE70" s="175">
        <f>-193-CD70</f>
        <v>-47</v>
      </c>
      <c r="CF70" s="175">
        <f t="shared" si="259"/>
        <v>-193</v>
      </c>
      <c r="CG70" s="175">
        <v>-69</v>
      </c>
      <c r="CH70" s="175">
        <v>-30</v>
      </c>
      <c r="CI70" s="175">
        <f t="shared" si="260"/>
        <v>-99</v>
      </c>
      <c r="CJ70" s="175">
        <v>-31</v>
      </c>
      <c r="CK70" s="175">
        <f t="shared" si="261"/>
        <v>-130</v>
      </c>
      <c r="CL70" s="175">
        <v>-44</v>
      </c>
      <c r="CM70" s="175">
        <v>-175</v>
      </c>
      <c r="CN70" s="175">
        <v>-49</v>
      </c>
      <c r="CO70" s="175">
        <f>-36+19</f>
        <v>-17</v>
      </c>
      <c r="CP70" s="175">
        <f t="shared" si="262"/>
        <v>-66</v>
      </c>
      <c r="CQ70" s="175">
        <v>-846</v>
      </c>
      <c r="CR70" s="175">
        <f t="shared" si="263"/>
        <v>-912</v>
      </c>
      <c r="CS70" s="175">
        <v>-589</v>
      </c>
      <c r="CT70" s="175">
        <f>CS70+CR70</f>
        <v>-1501</v>
      </c>
      <c r="CU70" s="175">
        <v>-85</v>
      </c>
      <c r="CV70" s="175">
        <v>-38</v>
      </c>
      <c r="CW70" s="175">
        <f t="shared" si="273"/>
        <v>-123</v>
      </c>
      <c r="CX70" s="175">
        <v>-67</v>
      </c>
      <c r="CY70" s="175">
        <f t="shared" si="264"/>
        <v>-190</v>
      </c>
      <c r="CZ70" s="175">
        <v>-24</v>
      </c>
      <c r="DA70" s="175">
        <f t="shared" si="274"/>
        <v>-214</v>
      </c>
      <c r="DB70" s="175">
        <v>-19</v>
      </c>
      <c r="DC70" s="175">
        <v>-85</v>
      </c>
      <c r="DD70" s="175">
        <f t="shared" si="275"/>
        <v>-104</v>
      </c>
      <c r="DE70" s="175">
        <v>-56</v>
      </c>
      <c r="DF70" s="175">
        <f t="shared" si="265"/>
        <v>-160</v>
      </c>
      <c r="DG70" s="175">
        <v>-69</v>
      </c>
      <c r="DH70" s="175">
        <f t="shared" si="266"/>
        <v>-229</v>
      </c>
      <c r="DI70" s="175">
        <v>-336</v>
      </c>
      <c r="DJ70" s="175">
        <v>70</v>
      </c>
      <c r="DK70" s="175">
        <f t="shared" si="15"/>
        <v>-266</v>
      </c>
    </row>
    <row r="71" spans="1:115" ht="10.5" customHeight="1" x14ac:dyDescent="0.25">
      <c r="A71" s="56"/>
      <c r="B71" s="59"/>
      <c r="C71" s="171" t="s">
        <v>291</v>
      </c>
      <c r="D71" s="172"/>
      <c r="E71" s="59"/>
      <c r="F71" s="59"/>
      <c r="G71" s="59"/>
      <c r="H71" s="175">
        <v>0</v>
      </c>
      <c r="I71" s="175">
        <v>0</v>
      </c>
      <c r="J71" s="177">
        <f t="shared" si="239"/>
        <v>0</v>
      </c>
      <c r="K71" s="175">
        <v>0</v>
      </c>
      <c r="L71" s="177">
        <f>J71+K71</f>
        <v>0</v>
      </c>
      <c r="M71" s="175">
        <v>0</v>
      </c>
      <c r="N71" s="175">
        <f t="shared" si="241"/>
        <v>0</v>
      </c>
      <c r="O71" s="177">
        <v>0</v>
      </c>
      <c r="P71" s="177">
        <v>0</v>
      </c>
      <c r="Q71" s="175">
        <f t="shared" si="242"/>
        <v>0</v>
      </c>
      <c r="R71" s="177">
        <v>0</v>
      </c>
      <c r="S71" s="175">
        <f t="shared" si="243"/>
        <v>0</v>
      </c>
      <c r="T71" s="175">
        <v>0</v>
      </c>
      <c r="U71" s="177">
        <f t="shared" si="267"/>
        <v>0</v>
      </c>
      <c r="V71" s="177">
        <v>0</v>
      </c>
      <c r="W71" s="177">
        <v>0</v>
      </c>
      <c r="X71" s="175">
        <f t="shared" si="244"/>
        <v>0</v>
      </c>
      <c r="Y71" s="177">
        <v>0</v>
      </c>
      <c r="Z71" s="175">
        <f t="shared" si="245"/>
        <v>0</v>
      </c>
      <c r="AA71" s="177">
        <v>-2309</v>
      </c>
      <c r="AB71" s="177">
        <f t="shared" si="268"/>
        <v>-2309</v>
      </c>
      <c r="AC71" s="177">
        <v>-261</v>
      </c>
      <c r="AD71" s="177">
        <v>-200</v>
      </c>
      <c r="AE71" s="175">
        <f t="shared" si="269"/>
        <v>-461</v>
      </c>
      <c r="AF71" s="177">
        <v>-142</v>
      </c>
      <c r="AG71" s="175">
        <f t="shared" si="270"/>
        <v>-603</v>
      </c>
      <c r="AH71" s="177">
        <v>74</v>
      </c>
      <c r="AI71" s="175">
        <f t="shared" si="271"/>
        <v>-529</v>
      </c>
      <c r="AJ71" s="175">
        <v>-199</v>
      </c>
      <c r="AK71" s="175">
        <v>-57</v>
      </c>
      <c r="AL71" s="175">
        <f t="shared" si="246"/>
        <v>-256</v>
      </c>
      <c r="AM71" s="175">
        <v>-197</v>
      </c>
      <c r="AN71" s="175">
        <f t="shared" si="247"/>
        <v>-453</v>
      </c>
      <c r="AO71" s="175">
        <v>-31</v>
      </c>
      <c r="AP71" s="175">
        <f t="shared" si="248"/>
        <v>-484</v>
      </c>
      <c r="AQ71" s="175">
        <v>-207</v>
      </c>
      <c r="AR71" s="175">
        <v>-114</v>
      </c>
      <c r="AS71" s="175">
        <v>-321</v>
      </c>
      <c r="AT71" s="175">
        <v>-194</v>
      </c>
      <c r="AU71" s="175">
        <v>-515</v>
      </c>
      <c r="AV71" s="175">
        <v>-113</v>
      </c>
      <c r="AW71" s="175">
        <f t="shared" si="249"/>
        <v>-628</v>
      </c>
      <c r="AX71" s="175">
        <v>-158</v>
      </c>
      <c r="AY71" s="175">
        <f t="shared" si="9"/>
        <v>-61</v>
      </c>
      <c r="AZ71" s="175">
        <v>-219</v>
      </c>
      <c r="BA71" s="175">
        <f t="shared" si="167"/>
        <v>-162</v>
      </c>
      <c r="BB71" s="175">
        <v>-381</v>
      </c>
      <c r="BC71" s="175">
        <f t="shared" si="168"/>
        <v>-83</v>
      </c>
      <c r="BD71" s="175">
        <v>-464</v>
      </c>
      <c r="BE71" s="175">
        <v>-224</v>
      </c>
      <c r="BF71" s="175">
        <v>-44</v>
      </c>
      <c r="BG71" s="175">
        <f t="shared" si="250"/>
        <v>-268</v>
      </c>
      <c r="BH71" s="175">
        <v>-66</v>
      </c>
      <c r="BI71" s="175">
        <f t="shared" si="251"/>
        <v>-334</v>
      </c>
      <c r="BJ71" s="175">
        <v>-54</v>
      </c>
      <c r="BK71" s="175">
        <f t="shared" si="272"/>
        <v>-388</v>
      </c>
      <c r="BL71" s="175">
        <v>-265</v>
      </c>
      <c r="BM71" s="175">
        <v>-73</v>
      </c>
      <c r="BN71" s="175">
        <f t="shared" si="252"/>
        <v>-338</v>
      </c>
      <c r="BO71" s="175">
        <v>-68</v>
      </c>
      <c r="BP71" s="175">
        <f t="shared" si="253"/>
        <v>-406</v>
      </c>
      <c r="BQ71" s="175">
        <v>-111</v>
      </c>
      <c r="BR71" s="175">
        <f t="shared" si="276"/>
        <v>-517</v>
      </c>
      <c r="BS71" s="175">
        <v>-263</v>
      </c>
      <c r="BT71" s="175">
        <v>-170</v>
      </c>
      <c r="BU71" s="175">
        <f t="shared" si="254"/>
        <v>-433</v>
      </c>
      <c r="BV71" s="175">
        <v>-180</v>
      </c>
      <c r="BW71" s="175">
        <f t="shared" si="255"/>
        <v>-613</v>
      </c>
      <c r="BX71" s="175">
        <f>-786-BW71</f>
        <v>-173</v>
      </c>
      <c r="BY71" s="175">
        <f t="shared" si="256"/>
        <v>-786</v>
      </c>
      <c r="BZ71" s="175">
        <v>-513</v>
      </c>
      <c r="CA71" s="175">
        <v>-263</v>
      </c>
      <c r="CB71" s="175">
        <f t="shared" si="257"/>
        <v>-776</v>
      </c>
      <c r="CC71" s="175">
        <v>-301</v>
      </c>
      <c r="CD71" s="175">
        <f t="shared" si="258"/>
        <v>-1077</v>
      </c>
      <c r="CE71" s="175">
        <f>-1275-CD71</f>
        <v>-198</v>
      </c>
      <c r="CF71" s="175">
        <f t="shared" si="259"/>
        <v>-1275</v>
      </c>
      <c r="CG71" s="175">
        <v>-375</v>
      </c>
      <c r="CH71" s="175">
        <v>-247</v>
      </c>
      <c r="CI71" s="175">
        <f t="shared" si="260"/>
        <v>-622</v>
      </c>
      <c r="CJ71" s="175">
        <v>-354</v>
      </c>
      <c r="CK71" s="175">
        <f t="shared" si="261"/>
        <v>-976</v>
      </c>
      <c r="CL71" s="175">
        <v>-355</v>
      </c>
      <c r="CM71" s="175">
        <v>-1332</v>
      </c>
      <c r="CN71" s="175">
        <v>-458</v>
      </c>
      <c r="CO71" s="175">
        <v>-826</v>
      </c>
      <c r="CP71" s="175">
        <f t="shared" si="262"/>
        <v>-1284</v>
      </c>
      <c r="CQ71" s="175">
        <v>-527</v>
      </c>
      <c r="CR71" s="175">
        <f t="shared" si="263"/>
        <v>-1811</v>
      </c>
      <c r="CS71" s="175">
        <v>-275</v>
      </c>
      <c r="CT71" s="175">
        <f>CS71+CR71</f>
        <v>-2086</v>
      </c>
      <c r="CU71" s="175">
        <v>-412</v>
      </c>
      <c r="CV71" s="175">
        <v>-508</v>
      </c>
      <c r="CW71" s="175">
        <f t="shared" si="273"/>
        <v>-920</v>
      </c>
      <c r="CX71" s="175">
        <v>-994</v>
      </c>
      <c r="CY71" s="175">
        <f t="shared" si="264"/>
        <v>-1914</v>
      </c>
      <c r="CZ71" s="175">
        <v>-544</v>
      </c>
      <c r="DA71" s="175">
        <f t="shared" si="274"/>
        <v>-2458</v>
      </c>
      <c r="DB71" s="175">
        <v>-974</v>
      </c>
      <c r="DC71" s="175">
        <v>-471</v>
      </c>
      <c r="DD71" s="175">
        <f t="shared" si="275"/>
        <v>-1445</v>
      </c>
      <c r="DE71" s="175">
        <v>-388</v>
      </c>
      <c r="DF71" s="175">
        <f t="shared" si="265"/>
        <v>-1833</v>
      </c>
      <c r="DG71" s="175">
        <v>-981</v>
      </c>
      <c r="DH71" s="175">
        <f t="shared" si="266"/>
        <v>-2814</v>
      </c>
      <c r="DI71" s="175">
        <v>-886</v>
      </c>
      <c r="DJ71" s="175">
        <v>-713</v>
      </c>
      <c r="DK71" s="175">
        <f t="shared" si="15"/>
        <v>-1599</v>
      </c>
    </row>
    <row r="72" spans="1:115" ht="10.5" customHeight="1" x14ac:dyDescent="0.25">
      <c r="A72" s="56"/>
      <c r="B72" s="59"/>
      <c r="C72" s="171" t="s">
        <v>292</v>
      </c>
      <c r="D72" s="172"/>
      <c r="E72" s="59"/>
      <c r="F72" s="59"/>
      <c r="G72" s="59"/>
      <c r="H72" s="175">
        <v>0</v>
      </c>
      <c r="I72" s="175">
        <v>0</v>
      </c>
      <c r="J72" s="177">
        <f t="shared" si="239"/>
        <v>0</v>
      </c>
      <c r="K72" s="175">
        <v>0</v>
      </c>
      <c r="L72" s="177">
        <f>J72+K72</f>
        <v>0</v>
      </c>
      <c r="M72" s="175">
        <v>0</v>
      </c>
      <c r="N72" s="175">
        <f t="shared" si="241"/>
        <v>0</v>
      </c>
      <c r="O72" s="177">
        <v>0</v>
      </c>
      <c r="P72" s="177">
        <v>0</v>
      </c>
      <c r="Q72" s="175">
        <f t="shared" si="242"/>
        <v>0</v>
      </c>
      <c r="R72" s="177">
        <v>0</v>
      </c>
      <c r="S72" s="175">
        <f t="shared" si="243"/>
        <v>0</v>
      </c>
      <c r="T72" s="175">
        <v>0</v>
      </c>
      <c r="U72" s="177">
        <f t="shared" si="267"/>
        <v>0</v>
      </c>
      <c r="V72" s="177">
        <v>0</v>
      </c>
      <c r="W72" s="177">
        <v>0</v>
      </c>
      <c r="X72" s="175">
        <f t="shared" si="244"/>
        <v>0</v>
      </c>
      <c r="Y72" s="177">
        <v>0</v>
      </c>
      <c r="Z72" s="175">
        <f t="shared" si="245"/>
        <v>0</v>
      </c>
      <c r="AA72" s="177">
        <v>0</v>
      </c>
      <c r="AB72" s="177">
        <f t="shared" si="268"/>
        <v>0</v>
      </c>
      <c r="AC72" s="177">
        <v>-152</v>
      </c>
      <c r="AD72" s="177">
        <v>-146</v>
      </c>
      <c r="AE72" s="175">
        <f t="shared" si="269"/>
        <v>-298</v>
      </c>
      <c r="AF72" s="177">
        <v>-209</v>
      </c>
      <c r="AG72" s="175">
        <f t="shared" si="270"/>
        <v>-507</v>
      </c>
      <c r="AH72" s="177">
        <f>-549+146</f>
        <v>-403</v>
      </c>
      <c r="AI72" s="175">
        <f t="shared" si="271"/>
        <v>-910</v>
      </c>
      <c r="AJ72" s="175">
        <v>-61</v>
      </c>
      <c r="AK72" s="175">
        <v>-168</v>
      </c>
      <c r="AL72" s="175">
        <f t="shared" si="246"/>
        <v>-229</v>
      </c>
      <c r="AM72" s="175">
        <v>-215</v>
      </c>
      <c r="AN72" s="175">
        <f t="shared" si="247"/>
        <v>-444</v>
      </c>
      <c r="AO72" s="175">
        <v>-499</v>
      </c>
      <c r="AP72" s="175">
        <f t="shared" si="248"/>
        <v>-943</v>
      </c>
      <c r="AQ72" s="175">
        <v>-117</v>
      </c>
      <c r="AR72" s="175">
        <v>-199</v>
      </c>
      <c r="AS72" s="175">
        <v>-316</v>
      </c>
      <c r="AT72" s="175">
        <v>-430</v>
      </c>
      <c r="AU72" s="175">
        <v>-746</v>
      </c>
      <c r="AV72" s="175">
        <v>-1131</v>
      </c>
      <c r="AW72" s="175">
        <f t="shared" si="249"/>
        <v>-1877</v>
      </c>
      <c r="AX72" s="175">
        <v>-605</v>
      </c>
      <c r="AY72" s="175">
        <f t="shared" si="9"/>
        <v>-166</v>
      </c>
      <c r="AZ72" s="175">
        <v>-771</v>
      </c>
      <c r="BA72" s="175">
        <f t="shared" si="167"/>
        <v>-248</v>
      </c>
      <c r="BB72" s="175">
        <v>-1019</v>
      </c>
      <c r="BC72" s="175">
        <f t="shared" si="168"/>
        <v>-313</v>
      </c>
      <c r="BD72" s="175">
        <v>-1332</v>
      </c>
      <c r="BE72" s="175">
        <v>-149</v>
      </c>
      <c r="BF72" s="175">
        <v>-161</v>
      </c>
      <c r="BG72" s="175">
        <f t="shared" si="250"/>
        <v>-310</v>
      </c>
      <c r="BH72" s="175">
        <v>-383</v>
      </c>
      <c r="BI72" s="175">
        <f t="shared" si="251"/>
        <v>-693</v>
      </c>
      <c r="BJ72" s="175">
        <v>-304</v>
      </c>
      <c r="BK72" s="175">
        <f t="shared" si="272"/>
        <v>-997</v>
      </c>
      <c r="BL72" s="175">
        <v>-127</v>
      </c>
      <c r="BM72" s="175">
        <v>-201</v>
      </c>
      <c r="BN72" s="175">
        <f t="shared" si="252"/>
        <v>-328</v>
      </c>
      <c r="BO72" s="175">
        <v>-486</v>
      </c>
      <c r="BP72" s="175">
        <f t="shared" si="253"/>
        <v>-814</v>
      </c>
      <c r="BQ72" s="175">
        <v>-967</v>
      </c>
      <c r="BR72" s="175">
        <f t="shared" si="276"/>
        <v>-1781</v>
      </c>
      <c r="BS72" s="175">
        <v>-71</v>
      </c>
      <c r="BT72" s="175">
        <v>-286</v>
      </c>
      <c r="BU72" s="175">
        <f t="shared" si="254"/>
        <v>-357</v>
      </c>
      <c r="BV72" s="175">
        <v>-335</v>
      </c>
      <c r="BW72" s="175">
        <f t="shared" si="255"/>
        <v>-692</v>
      </c>
      <c r="BX72" s="175">
        <f>-2448-BW72</f>
        <v>-1756</v>
      </c>
      <c r="BY72" s="175">
        <f t="shared" si="256"/>
        <v>-2448</v>
      </c>
      <c r="BZ72" s="175">
        <v>-550</v>
      </c>
      <c r="CA72" s="175">
        <v>-445</v>
      </c>
      <c r="CB72" s="175">
        <f t="shared" si="257"/>
        <v>-995</v>
      </c>
      <c r="CC72" s="175">
        <v>-544</v>
      </c>
      <c r="CD72" s="175">
        <f t="shared" si="258"/>
        <v>-1539</v>
      </c>
      <c r="CE72" s="175">
        <f>-2322-CD72</f>
        <v>-783</v>
      </c>
      <c r="CF72" s="175">
        <f t="shared" si="259"/>
        <v>-2322</v>
      </c>
      <c r="CG72" s="175">
        <v>-155</v>
      </c>
      <c r="CH72" s="175">
        <v>-1477</v>
      </c>
      <c r="CI72" s="175">
        <f t="shared" si="260"/>
        <v>-1632</v>
      </c>
      <c r="CJ72" s="175">
        <v>-598</v>
      </c>
      <c r="CK72" s="175">
        <f t="shared" si="261"/>
        <v>-2230</v>
      </c>
      <c r="CL72" s="175">
        <v>-2053</v>
      </c>
      <c r="CM72" s="175">
        <f t="shared" si="277"/>
        <v>-4283</v>
      </c>
      <c r="CN72" s="175">
        <v>-309</v>
      </c>
      <c r="CO72" s="175">
        <v>-1152</v>
      </c>
      <c r="CP72" s="175">
        <f t="shared" si="262"/>
        <v>-1461</v>
      </c>
      <c r="CQ72" s="175">
        <v>-1845</v>
      </c>
      <c r="CR72" s="175">
        <f t="shared" si="263"/>
        <v>-3306</v>
      </c>
      <c r="CS72" s="175">
        <v>-1727</v>
      </c>
      <c r="CT72" s="175">
        <f>CS72+CR72+1</f>
        <v>-5032</v>
      </c>
      <c r="CU72" s="175">
        <v>-3593</v>
      </c>
      <c r="CV72" s="175">
        <v>-974</v>
      </c>
      <c r="CW72" s="175">
        <f t="shared" si="273"/>
        <v>-4567</v>
      </c>
      <c r="CX72" s="175">
        <v>-1717</v>
      </c>
      <c r="CY72" s="175">
        <f t="shared" si="264"/>
        <v>-6284</v>
      </c>
      <c r="CZ72" s="175">
        <v>-3759</v>
      </c>
      <c r="DA72" s="175">
        <f t="shared" si="274"/>
        <v>-10043</v>
      </c>
      <c r="DB72" s="175">
        <v>-2370</v>
      </c>
      <c r="DC72" s="175">
        <v>-1738</v>
      </c>
      <c r="DD72" s="175">
        <f t="shared" si="275"/>
        <v>-4108</v>
      </c>
      <c r="DE72" s="175">
        <v>-3377</v>
      </c>
      <c r="DF72" s="175">
        <f t="shared" si="265"/>
        <v>-7485</v>
      </c>
      <c r="DG72" s="175">
        <v>-2660</v>
      </c>
      <c r="DH72" s="175">
        <f t="shared" si="266"/>
        <v>-10145</v>
      </c>
      <c r="DI72" s="175">
        <v>-1623</v>
      </c>
      <c r="DJ72" s="175">
        <v>-1600</v>
      </c>
      <c r="DK72" s="175">
        <f t="shared" si="15"/>
        <v>-3223</v>
      </c>
    </row>
    <row r="73" spans="1:115" ht="10.5" customHeight="1" x14ac:dyDescent="0.25">
      <c r="A73" s="56"/>
      <c r="B73" s="59"/>
      <c r="C73" s="171" t="s">
        <v>155</v>
      </c>
      <c r="D73" s="172"/>
      <c r="E73" s="59"/>
      <c r="F73" s="59"/>
      <c r="G73" s="59"/>
      <c r="H73" s="175">
        <v>-1485</v>
      </c>
      <c r="I73" s="175">
        <v>-1235</v>
      </c>
      <c r="J73" s="177">
        <f t="shared" si="239"/>
        <v>-2720</v>
      </c>
      <c r="K73" s="175">
        <v>-2882</v>
      </c>
      <c r="L73" s="177">
        <f>J73+K73</f>
        <v>-5602</v>
      </c>
      <c r="M73" s="175">
        <v>-1467</v>
      </c>
      <c r="N73" s="175">
        <f t="shared" si="241"/>
        <v>-7069</v>
      </c>
      <c r="O73" s="177">
        <v>-696</v>
      </c>
      <c r="P73" s="177">
        <v>-670</v>
      </c>
      <c r="Q73" s="175">
        <f t="shared" si="242"/>
        <v>-1366</v>
      </c>
      <c r="R73" s="177">
        <v>-1719</v>
      </c>
      <c r="S73" s="175">
        <f t="shared" si="243"/>
        <v>-3085</v>
      </c>
      <c r="T73" s="175">
        <v>-1309</v>
      </c>
      <c r="U73" s="177">
        <f t="shared" si="267"/>
        <v>-4394</v>
      </c>
      <c r="V73" s="177">
        <v>-1635</v>
      </c>
      <c r="W73" s="177">
        <v>-1793</v>
      </c>
      <c r="X73" s="175">
        <f t="shared" si="244"/>
        <v>-3428</v>
      </c>
      <c r="Y73" s="177">
        <v>-4394</v>
      </c>
      <c r="Z73" s="175">
        <f t="shared" si="245"/>
        <v>-7822</v>
      </c>
      <c r="AA73" s="177">
        <f>-5001+7822-946</f>
        <v>1875</v>
      </c>
      <c r="AB73" s="177">
        <f t="shared" si="268"/>
        <v>-5947</v>
      </c>
      <c r="AC73" s="177">
        <v>-593</v>
      </c>
      <c r="AD73" s="177">
        <v>-626</v>
      </c>
      <c r="AE73" s="175">
        <f t="shared" si="269"/>
        <v>-1219</v>
      </c>
      <c r="AF73" s="177">
        <v>-644</v>
      </c>
      <c r="AG73" s="175">
        <f t="shared" si="270"/>
        <v>-1863</v>
      </c>
      <c r="AH73" s="177">
        <f>-3429+2442+347-834</f>
        <v>-1474</v>
      </c>
      <c r="AI73" s="175">
        <f t="shared" si="271"/>
        <v>-3337</v>
      </c>
      <c r="AJ73" s="175">
        <v>-386</v>
      </c>
      <c r="AK73" s="175">
        <v>-429</v>
      </c>
      <c r="AL73" s="175">
        <f t="shared" si="246"/>
        <v>-815</v>
      </c>
      <c r="AM73" s="175">
        <v>-431</v>
      </c>
      <c r="AN73" s="175">
        <f t="shared" si="247"/>
        <v>-1246</v>
      </c>
      <c r="AO73" s="175">
        <v>-849</v>
      </c>
      <c r="AP73" s="175">
        <f t="shared" si="248"/>
        <v>-2095</v>
      </c>
      <c r="AQ73" s="175">
        <v>-793</v>
      </c>
      <c r="AR73" s="175">
        <v>-715</v>
      </c>
      <c r="AS73" s="175">
        <v>-1508</v>
      </c>
      <c r="AT73" s="175">
        <v>-511</v>
      </c>
      <c r="AU73" s="175">
        <v>-2019</v>
      </c>
      <c r="AV73" s="175">
        <v>-408</v>
      </c>
      <c r="AW73" s="175">
        <f t="shared" si="249"/>
        <v>-2427</v>
      </c>
      <c r="AX73" s="175">
        <v>-716</v>
      </c>
      <c r="AY73" s="175">
        <f t="shared" si="9"/>
        <v>-436</v>
      </c>
      <c r="AZ73" s="175">
        <v>-1152</v>
      </c>
      <c r="BA73" s="175">
        <f t="shared" si="167"/>
        <v>-740</v>
      </c>
      <c r="BB73" s="175">
        <v>-1892</v>
      </c>
      <c r="BC73" s="175">
        <f t="shared" si="168"/>
        <v>-623</v>
      </c>
      <c r="BD73" s="175">
        <v>-2515</v>
      </c>
      <c r="BE73" s="175">
        <v>-1022</v>
      </c>
      <c r="BF73" s="175">
        <v>-577</v>
      </c>
      <c r="BG73" s="175">
        <f t="shared" si="250"/>
        <v>-1599</v>
      </c>
      <c r="BH73" s="175">
        <v>-726</v>
      </c>
      <c r="BI73" s="175">
        <f t="shared" si="251"/>
        <v>-2325</v>
      </c>
      <c r="BJ73" s="175">
        <v>-405</v>
      </c>
      <c r="BK73" s="175">
        <f t="shared" si="272"/>
        <v>-2730</v>
      </c>
      <c r="BL73" s="175">
        <v>-576</v>
      </c>
      <c r="BM73" s="175">
        <v>-1115</v>
      </c>
      <c r="BN73" s="175">
        <f t="shared" si="252"/>
        <v>-1691</v>
      </c>
      <c r="BO73" s="175">
        <v>-892</v>
      </c>
      <c r="BP73" s="175">
        <f t="shared" si="253"/>
        <v>-2583</v>
      </c>
      <c r="BQ73" s="175">
        <v>-635</v>
      </c>
      <c r="BR73" s="175">
        <f t="shared" si="276"/>
        <v>-3218</v>
      </c>
      <c r="BS73" s="175">
        <v>-733</v>
      </c>
      <c r="BT73" s="175">
        <v>-837</v>
      </c>
      <c r="BU73" s="175">
        <f t="shared" si="254"/>
        <v>-1570</v>
      </c>
      <c r="BV73" s="175">
        <v>-1359</v>
      </c>
      <c r="BW73" s="175">
        <f t="shared" si="255"/>
        <v>-2929</v>
      </c>
      <c r="BX73" s="175">
        <f>-3252-BW73</f>
        <v>-323</v>
      </c>
      <c r="BY73" s="175">
        <f t="shared" si="256"/>
        <v>-3252</v>
      </c>
      <c r="BZ73" s="175">
        <v>-414</v>
      </c>
      <c r="CA73" s="175">
        <v>-806</v>
      </c>
      <c r="CB73" s="175">
        <f t="shared" si="257"/>
        <v>-1220</v>
      </c>
      <c r="CC73" s="175">
        <v>-1532</v>
      </c>
      <c r="CD73" s="175">
        <f t="shared" si="258"/>
        <v>-2752</v>
      </c>
      <c r="CE73" s="175">
        <f>-3665-CD73</f>
        <v>-913</v>
      </c>
      <c r="CF73" s="175">
        <f t="shared" si="259"/>
        <v>-3665</v>
      </c>
      <c r="CG73" s="175">
        <v>-948</v>
      </c>
      <c r="CH73" s="175">
        <v>-773</v>
      </c>
      <c r="CI73" s="175">
        <f t="shared" si="260"/>
        <v>-1721</v>
      </c>
      <c r="CJ73" s="175">
        <v>-720</v>
      </c>
      <c r="CK73" s="175">
        <f t="shared" si="261"/>
        <v>-2441</v>
      </c>
      <c r="CL73" s="175">
        <v>-634</v>
      </c>
      <c r="CM73" s="175">
        <v>-3073</v>
      </c>
      <c r="CN73" s="175">
        <v>-1406</v>
      </c>
      <c r="CO73" s="175">
        <v>-505</v>
      </c>
      <c r="CP73" s="175">
        <f t="shared" si="262"/>
        <v>-1911</v>
      </c>
      <c r="CQ73" s="175">
        <v>-286</v>
      </c>
      <c r="CR73" s="175">
        <f t="shared" si="263"/>
        <v>-2197</v>
      </c>
      <c r="CS73" s="175">
        <v>477</v>
      </c>
      <c r="CT73" s="175">
        <f>CS73+CR73-4</f>
        <v>-1724</v>
      </c>
      <c r="CU73" s="175">
        <v>-2441</v>
      </c>
      <c r="CV73" s="175">
        <v>-3117</v>
      </c>
      <c r="CW73" s="175">
        <f>CV73+CU73-4</f>
        <v>-5562</v>
      </c>
      <c r="CX73" s="175">
        <v>-982</v>
      </c>
      <c r="CY73" s="175">
        <f t="shared" si="264"/>
        <v>-6544</v>
      </c>
      <c r="CZ73" s="175">
        <v>-4048</v>
      </c>
      <c r="DA73" s="175">
        <f t="shared" si="274"/>
        <v>-10592</v>
      </c>
      <c r="DB73" s="175">
        <v>-2626</v>
      </c>
      <c r="DC73" s="175">
        <v>-1161</v>
      </c>
      <c r="DD73" s="175">
        <f>DC73+DB73-4</f>
        <v>-3791</v>
      </c>
      <c r="DE73" s="175">
        <v>-1164</v>
      </c>
      <c r="DF73" s="175">
        <f t="shared" si="265"/>
        <v>-4955</v>
      </c>
      <c r="DG73" s="175">
        <v>-1931</v>
      </c>
      <c r="DH73" s="175">
        <f t="shared" si="266"/>
        <v>-6886</v>
      </c>
      <c r="DI73" s="175">
        <v>-1075</v>
      </c>
      <c r="DJ73" s="175">
        <v>-1117</v>
      </c>
      <c r="DK73" s="175">
        <f t="shared" ref="DK73:DK77" si="278">DI73+DJ73</f>
        <v>-2192</v>
      </c>
    </row>
    <row r="74" spans="1:115" ht="10.5" customHeight="1" x14ac:dyDescent="0.25">
      <c r="A74" s="103"/>
      <c r="B74" s="104"/>
      <c r="C74" s="104" t="s">
        <v>293</v>
      </c>
      <c r="D74" s="102"/>
      <c r="E74" s="105"/>
      <c r="F74" s="105"/>
      <c r="G74" s="105"/>
      <c r="H74" s="177">
        <v>-1431</v>
      </c>
      <c r="I74" s="177">
        <v>-937</v>
      </c>
      <c r="J74" s="177">
        <v>-2368</v>
      </c>
      <c r="K74" s="177">
        <v>-902</v>
      </c>
      <c r="L74" s="177">
        <v>-3270</v>
      </c>
      <c r="M74" s="177">
        <v>-1316</v>
      </c>
      <c r="N74" s="177">
        <v>-4586</v>
      </c>
      <c r="O74" s="177">
        <v>-265</v>
      </c>
      <c r="P74" s="177">
        <v>-1040</v>
      </c>
      <c r="Q74" s="177">
        <v>-1305</v>
      </c>
      <c r="R74" s="177">
        <v>-918</v>
      </c>
      <c r="S74" s="177">
        <v>-2223</v>
      </c>
      <c r="T74" s="177">
        <v>-1875</v>
      </c>
      <c r="U74" s="177">
        <v>-4098</v>
      </c>
      <c r="V74" s="177">
        <v>-1617</v>
      </c>
      <c r="W74" s="177">
        <v>-2137</v>
      </c>
      <c r="X74" s="177">
        <v>-3754</v>
      </c>
      <c r="Y74" s="177">
        <v>-2074</v>
      </c>
      <c r="Z74" s="177">
        <v>-5828</v>
      </c>
      <c r="AA74" s="177">
        <v>-431</v>
      </c>
      <c r="AB74" s="177">
        <f t="shared" si="268"/>
        <v>-6259</v>
      </c>
      <c r="AC74" s="177">
        <f>-1453-362</f>
        <v>-1815</v>
      </c>
      <c r="AD74" s="177">
        <f>-1285-325</f>
        <v>-1610</v>
      </c>
      <c r="AE74" s="177">
        <f>AC74+AD74</f>
        <v>-3425</v>
      </c>
      <c r="AF74" s="177">
        <f>-1026-358</f>
        <v>-1384</v>
      </c>
      <c r="AG74" s="177">
        <f>SUM(AE74:AF74)</f>
        <v>-4809</v>
      </c>
      <c r="AH74" s="175">
        <f>-8067+4809</f>
        <v>-3258</v>
      </c>
      <c r="AI74" s="175">
        <f t="shared" si="271"/>
        <v>-8067</v>
      </c>
      <c r="AJ74" s="175">
        <v>-2523</v>
      </c>
      <c r="AK74" s="175">
        <v>-1736</v>
      </c>
      <c r="AL74" s="175">
        <f t="shared" si="246"/>
        <v>-4259</v>
      </c>
      <c r="AM74" s="175">
        <v>-1934</v>
      </c>
      <c r="AN74" s="175">
        <f t="shared" si="247"/>
        <v>-6193</v>
      </c>
      <c r="AO74" s="175">
        <v>-2264</v>
      </c>
      <c r="AP74" s="175">
        <f t="shared" si="248"/>
        <v>-8457</v>
      </c>
      <c r="AQ74" s="175">
        <v>-4028</v>
      </c>
      <c r="AR74" s="175">
        <v>-2003</v>
      </c>
      <c r="AS74" s="175">
        <v>-6031</v>
      </c>
      <c r="AT74" s="175">
        <v>-2066</v>
      </c>
      <c r="AU74" s="175">
        <v>-8097</v>
      </c>
      <c r="AV74" s="175">
        <v>-1374</v>
      </c>
      <c r="AW74" s="175">
        <f t="shared" si="249"/>
        <v>-9471</v>
      </c>
      <c r="AX74" s="175">
        <v>-3510</v>
      </c>
      <c r="AY74" s="175">
        <f t="shared" si="9"/>
        <v>-2065</v>
      </c>
      <c r="AZ74" s="175">
        <v>-5575</v>
      </c>
      <c r="BA74" s="175">
        <f t="shared" si="167"/>
        <v>-2341</v>
      </c>
      <c r="BB74" s="175">
        <v>-7916</v>
      </c>
      <c r="BC74" s="175">
        <f t="shared" si="168"/>
        <v>-2812</v>
      </c>
      <c r="BD74" s="175">
        <v>-10728</v>
      </c>
      <c r="BE74" s="175">
        <v>-5864</v>
      </c>
      <c r="BF74" s="175">
        <v>-2502</v>
      </c>
      <c r="BG74" s="175">
        <f t="shared" si="250"/>
        <v>-8366</v>
      </c>
      <c r="BH74" s="175">
        <v>-2302</v>
      </c>
      <c r="BI74" s="175">
        <f t="shared" si="251"/>
        <v>-10668</v>
      </c>
      <c r="BJ74" s="175">
        <f>-13354-BI74</f>
        <v>-2686</v>
      </c>
      <c r="BK74" s="175">
        <f t="shared" si="272"/>
        <v>-13354</v>
      </c>
      <c r="BL74" s="175">
        <v>-4979</v>
      </c>
      <c r="BM74" s="175">
        <v>-2288</v>
      </c>
      <c r="BN74" s="175">
        <f t="shared" si="252"/>
        <v>-7267</v>
      </c>
      <c r="BO74" s="175">
        <v>-3381</v>
      </c>
      <c r="BP74" s="175">
        <f t="shared" si="253"/>
        <v>-10648</v>
      </c>
      <c r="BQ74" s="175">
        <f>-12986-BP74</f>
        <v>-2338</v>
      </c>
      <c r="BR74" s="175">
        <f t="shared" si="276"/>
        <v>-12986</v>
      </c>
      <c r="BS74" s="175">
        <v>-6738</v>
      </c>
      <c r="BT74" s="175">
        <v>-2408</v>
      </c>
      <c r="BU74" s="175">
        <f t="shared" si="254"/>
        <v>-9146</v>
      </c>
      <c r="BV74" s="175">
        <v>-2349</v>
      </c>
      <c r="BW74" s="175">
        <f t="shared" si="255"/>
        <v>-11495</v>
      </c>
      <c r="BX74" s="175">
        <f>-13981-BW74</f>
        <v>-2486</v>
      </c>
      <c r="BY74" s="175">
        <f t="shared" si="256"/>
        <v>-13981</v>
      </c>
      <c r="BZ74" s="175">
        <v>-6547</v>
      </c>
      <c r="CA74" s="175">
        <v>-1570</v>
      </c>
      <c r="CB74" s="175">
        <f t="shared" si="257"/>
        <v>-8117</v>
      </c>
      <c r="CC74" s="175">
        <v>-2655</v>
      </c>
      <c r="CD74" s="175">
        <f t="shared" si="258"/>
        <v>-10772</v>
      </c>
      <c r="CE74" s="175">
        <f>-13827-CD74</f>
        <v>-3055</v>
      </c>
      <c r="CF74" s="175">
        <f t="shared" si="259"/>
        <v>-13827</v>
      </c>
      <c r="CG74" s="175">
        <v>-6350</v>
      </c>
      <c r="CH74" s="175">
        <v>-2534</v>
      </c>
      <c r="CI74" s="175">
        <f t="shared" si="260"/>
        <v>-8884</v>
      </c>
      <c r="CJ74" s="175">
        <v>-2584</v>
      </c>
      <c r="CK74" s="175">
        <f t="shared" si="261"/>
        <v>-11468</v>
      </c>
      <c r="CL74" s="175">
        <f>-14716-CK74</f>
        <v>-3248</v>
      </c>
      <c r="CM74" s="175">
        <f t="shared" si="277"/>
        <v>-14716</v>
      </c>
      <c r="CN74" s="175">
        <v>-8014</v>
      </c>
      <c r="CO74" s="175">
        <v>-3153</v>
      </c>
      <c r="CP74" s="175">
        <f t="shared" si="262"/>
        <v>-11167</v>
      </c>
      <c r="CQ74" s="175">
        <v>-3166</v>
      </c>
      <c r="CR74" s="175">
        <f t="shared" si="263"/>
        <v>-14333</v>
      </c>
      <c r="CS74" s="175">
        <f>CT74-CR74</f>
        <v>-4620</v>
      </c>
      <c r="CT74" s="175">
        <v>-18953</v>
      </c>
      <c r="CU74" s="175">
        <v>-11822</v>
      </c>
      <c r="CV74" s="175">
        <v>-3684</v>
      </c>
      <c r="CW74" s="175">
        <f t="shared" si="273"/>
        <v>-15506</v>
      </c>
      <c r="CX74" s="175">
        <v>-3965</v>
      </c>
      <c r="CY74" s="175">
        <f t="shared" si="264"/>
        <v>-19471</v>
      </c>
      <c r="CZ74" s="175">
        <f t="shared" ref="CZ74:CZ76" si="279">DA74-CY74</f>
        <v>-4903</v>
      </c>
      <c r="DA74" s="175">
        <v>-24374</v>
      </c>
      <c r="DB74" s="175">
        <v>-10472</v>
      </c>
      <c r="DC74" s="175">
        <v>-4163</v>
      </c>
      <c r="DD74" s="175">
        <f t="shared" si="275"/>
        <v>-14635</v>
      </c>
      <c r="DE74" s="175">
        <v>-4503</v>
      </c>
      <c r="DF74" s="175">
        <f t="shared" si="265"/>
        <v>-19138</v>
      </c>
      <c r="DG74" s="175">
        <v>-4470</v>
      </c>
      <c r="DH74" s="175">
        <f t="shared" si="266"/>
        <v>-23608</v>
      </c>
      <c r="DI74" s="175">
        <v>-10307</v>
      </c>
      <c r="DJ74" s="175">
        <v>-4203</v>
      </c>
      <c r="DK74" s="175">
        <f t="shared" si="278"/>
        <v>-14510</v>
      </c>
    </row>
    <row r="75" spans="1:115" ht="10.5" customHeight="1" x14ac:dyDescent="0.25">
      <c r="A75" s="56"/>
      <c r="B75" s="57" t="s">
        <v>294</v>
      </c>
      <c r="C75" s="57"/>
      <c r="D75" s="58"/>
      <c r="E75" s="59"/>
      <c r="F75" s="59"/>
      <c r="G75" s="59"/>
      <c r="H75" s="175">
        <v>654</v>
      </c>
      <c r="I75" s="175">
        <v>641</v>
      </c>
      <c r="J75" s="177">
        <v>1295</v>
      </c>
      <c r="K75" s="175">
        <v>124</v>
      </c>
      <c r="L75" s="177">
        <v>1419</v>
      </c>
      <c r="M75" s="175">
        <v>1252</v>
      </c>
      <c r="N75" s="175">
        <v>2671</v>
      </c>
      <c r="O75" s="177">
        <v>1218</v>
      </c>
      <c r="P75" s="175">
        <v>1198</v>
      </c>
      <c r="Q75" s="175">
        <v>2416</v>
      </c>
      <c r="R75" s="175">
        <v>-2382</v>
      </c>
      <c r="S75" s="175">
        <f>SUM(Q75:R75)</f>
        <v>34</v>
      </c>
      <c r="T75" s="175">
        <v>1571</v>
      </c>
      <c r="U75" s="175">
        <v>1604</v>
      </c>
      <c r="V75" s="175">
        <f>320-1103</f>
        <v>-783</v>
      </c>
      <c r="W75" s="175">
        <v>-571</v>
      </c>
      <c r="X75" s="175">
        <f>SUM(V75:W75)</f>
        <v>-1354</v>
      </c>
      <c r="Y75" s="175">
        <v>1258</v>
      </c>
      <c r="Z75" s="175">
        <f>SUM(X75:Y75)</f>
        <v>-96</v>
      </c>
      <c r="AA75" s="175">
        <f>326+1674</f>
        <v>2000</v>
      </c>
      <c r="AB75" s="175">
        <v>1904</v>
      </c>
      <c r="AC75" s="175">
        <f>2070-1445</f>
        <v>625</v>
      </c>
      <c r="AD75" s="175">
        <f>AE75-AC75</f>
        <v>3198</v>
      </c>
      <c r="AE75" s="175">
        <v>3823</v>
      </c>
      <c r="AF75" s="175">
        <v>403</v>
      </c>
      <c r="AG75" s="177">
        <f>SUM(AE75:AF75)</f>
        <v>4226</v>
      </c>
      <c r="AH75" s="175">
        <v>1148</v>
      </c>
      <c r="AI75" s="175">
        <f>AH75+AG75</f>
        <v>5374</v>
      </c>
      <c r="AJ75" s="175">
        <f>1661-1136</f>
        <v>525</v>
      </c>
      <c r="AK75" s="175">
        <v>1637</v>
      </c>
      <c r="AL75" s="175">
        <f t="shared" si="246"/>
        <v>2162</v>
      </c>
      <c r="AM75" s="175">
        <v>-1698</v>
      </c>
      <c r="AN75" s="175">
        <f t="shared" si="247"/>
        <v>464</v>
      </c>
      <c r="AO75" s="175">
        <f>913-464</f>
        <v>449</v>
      </c>
      <c r="AP75" s="175">
        <f t="shared" si="248"/>
        <v>913</v>
      </c>
      <c r="AQ75" s="175">
        <v>-1235</v>
      </c>
      <c r="AR75" s="175">
        <v>574</v>
      </c>
      <c r="AS75" s="175">
        <v>-661</v>
      </c>
      <c r="AT75" s="175">
        <v>-491</v>
      </c>
      <c r="AU75" s="175">
        <v>-1152</v>
      </c>
      <c r="AV75" s="175">
        <v>-2065</v>
      </c>
      <c r="AW75" s="175">
        <f t="shared" si="249"/>
        <v>-3217</v>
      </c>
      <c r="AX75" s="175">
        <v>-767</v>
      </c>
      <c r="AY75" s="175">
        <f t="shared" si="9"/>
        <v>-1364</v>
      </c>
      <c r="AZ75" s="175">
        <v>-2131</v>
      </c>
      <c r="BA75" s="175">
        <f t="shared" si="167"/>
        <v>-400</v>
      </c>
      <c r="BB75" s="175">
        <v>-2531</v>
      </c>
      <c r="BC75" s="175">
        <f t="shared" si="168"/>
        <v>5415</v>
      </c>
      <c r="BD75" s="175">
        <v>2884</v>
      </c>
      <c r="BE75" s="175">
        <v>-3233</v>
      </c>
      <c r="BF75" s="175">
        <v>-583</v>
      </c>
      <c r="BG75" s="175">
        <f t="shared" si="250"/>
        <v>-3816</v>
      </c>
      <c r="BH75" s="175">
        <v>-2911</v>
      </c>
      <c r="BI75" s="175">
        <f t="shared" si="251"/>
        <v>-6727</v>
      </c>
      <c r="BJ75" s="175">
        <f>20523-BI75</f>
        <v>27250</v>
      </c>
      <c r="BK75" s="175">
        <f t="shared" si="272"/>
        <v>20523</v>
      </c>
      <c r="BL75" s="175">
        <f>529-1775</f>
        <v>-1246</v>
      </c>
      <c r="BM75" s="175">
        <f>1398-379</f>
        <v>1019</v>
      </c>
      <c r="BN75" s="175">
        <f t="shared" si="252"/>
        <v>-227</v>
      </c>
      <c r="BO75" s="175">
        <f>546-220</f>
        <v>326</v>
      </c>
      <c r="BP75" s="175">
        <f t="shared" si="253"/>
        <v>99</v>
      </c>
      <c r="BQ75" s="175">
        <f>89308+3091-BP75</f>
        <v>92300</v>
      </c>
      <c r="BR75" s="175">
        <f t="shared" si="276"/>
        <v>92399</v>
      </c>
      <c r="BS75" s="175">
        <f>1768-858</f>
        <v>910</v>
      </c>
      <c r="BT75" s="175">
        <f>3684-558</f>
        <v>3126</v>
      </c>
      <c r="BU75" s="175">
        <f t="shared" si="254"/>
        <v>4036</v>
      </c>
      <c r="BV75" s="175">
        <f>4880-3590</f>
        <v>1290</v>
      </c>
      <c r="BW75" s="175">
        <f t="shared" si="255"/>
        <v>5326</v>
      </c>
      <c r="BX75" s="175">
        <f>37770-5783-BW75</f>
        <v>26661</v>
      </c>
      <c r="BY75" s="175">
        <f t="shared" si="256"/>
        <v>31987</v>
      </c>
      <c r="BZ75" s="175">
        <f>3155-5357</f>
        <v>-2202</v>
      </c>
      <c r="CA75" s="175">
        <f>4002-1194</f>
        <v>2808</v>
      </c>
      <c r="CB75" s="175">
        <f t="shared" si="257"/>
        <v>606</v>
      </c>
      <c r="CC75" s="175">
        <f>9139-2438</f>
        <v>6701</v>
      </c>
      <c r="CD75" s="175">
        <f t="shared" si="258"/>
        <v>7307</v>
      </c>
      <c r="CE75" s="175">
        <f>44304-12653-CD75</f>
        <v>24344</v>
      </c>
      <c r="CF75" s="175">
        <f t="shared" si="259"/>
        <v>31651</v>
      </c>
      <c r="CG75" s="175">
        <f>3553-3101</f>
        <v>452</v>
      </c>
      <c r="CH75" s="175">
        <f>2159-1969</f>
        <v>190</v>
      </c>
      <c r="CI75" s="175">
        <f t="shared" si="260"/>
        <v>642</v>
      </c>
      <c r="CJ75" s="175">
        <f>1098-1892</f>
        <v>-794</v>
      </c>
      <c r="CK75" s="175">
        <f t="shared" si="261"/>
        <v>-152</v>
      </c>
      <c r="CL75" s="175">
        <f>50189-35426-CK75</f>
        <v>14915</v>
      </c>
      <c r="CM75" s="175">
        <f t="shared" si="277"/>
        <v>14763</v>
      </c>
      <c r="CN75" s="175">
        <f>9860-7465</f>
        <v>2395</v>
      </c>
      <c r="CO75" s="175">
        <f>11907-5265</f>
        <v>6642</v>
      </c>
      <c r="CP75" s="175">
        <f>CO75+CN75</f>
        <v>9037</v>
      </c>
      <c r="CQ75" s="175">
        <f>106467-781</f>
        <v>105686</v>
      </c>
      <c r="CR75" s="175">
        <f>CQ75+CP75</f>
        <v>114723</v>
      </c>
      <c r="CS75" s="175">
        <f>CT75-CR75</f>
        <v>19840</v>
      </c>
      <c r="CT75" s="175">
        <f>148179-13616</f>
        <v>134563</v>
      </c>
      <c r="CU75" s="175">
        <f>333-4559</f>
        <v>-4226</v>
      </c>
      <c r="CV75" s="175">
        <f>57916-2440</f>
        <v>55476</v>
      </c>
      <c r="CW75" s="175">
        <f>CV75+CU75</f>
        <v>51250</v>
      </c>
      <c r="CX75" s="175">
        <f>10914+-1732</f>
        <v>9182</v>
      </c>
      <c r="CY75" s="175">
        <f>CX75+CW75</f>
        <v>60432</v>
      </c>
      <c r="CZ75" s="175">
        <f t="shared" si="279"/>
        <v>3691</v>
      </c>
      <c r="DA75" s="175">
        <f>70208-6085</f>
        <v>64123</v>
      </c>
      <c r="DB75" s="175">
        <v>2250</v>
      </c>
      <c r="DC75" s="175">
        <f>--43633</f>
        <v>43633</v>
      </c>
      <c r="DD75" s="175">
        <f>DC75+DB75</f>
        <v>45883</v>
      </c>
      <c r="DE75" s="175">
        <f>6226-4370</f>
        <v>1856</v>
      </c>
      <c r="DF75" s="175">
        <f>DE75+DD75</f>
        <v>47739</v>
      </c>
      <c r="DG75" s="175">
        <f>DH75-DF75-1</f>
        <v>-9488</v>
      </c>
      <c r="DH75" s="175">
        <f>166507-128255</f>
        <v>38252</v>
      </c>
      <c r="DI75" s="175">
        <f>17380-17558</f>
        <v>-178</v>
      </c>
      <c r="DJ75" s="175">
        <v>9352</v>
      </c>
      <c r="DK75" s="175">
        <f t="shared" si="278"/>
        <v>9174</v>
      </c>
    </row>
    <row r="76" spans="1:115" ht="10.5" customHeight="1" x14ac:dyDescent="0.25">
      <c r="A76" s="103"/>
      <c r="B76" s="104" t="s">
        <v>295</v>
      </c>
      <c r="C76" s="104"/>
      <c r="D76" s="102"/>
      <c r="E76" s="105"/>
      <c r="F76" s="105"/>
      <c r="G76" s="105"/>
      <c r="H76" s="175"/>
      <c r="I76" s="175"/>
      <c r="J76" s="177"/>
      <c r="K76" s="175"/>
      <c r="L76" s="177"/>
      <c r="M76" s="175"/>
      <c r="N76" s="175"/>
      <c r="O76" s="177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7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  <c r="BQ76" s="175"/>
      <c r="BR76" s="175"/>
      <c r="BS76" s="175"/>
      <c r="BT76" s="175"/>
      <c r="BU76" s="175"/>
      <c r="BV76" s="175"/>
      <c r="BW76" s="175"/>
      <c r="BX76" s="175"/>
      <c r="BY76" s="175"/>
      <c r="BZ76" s="175"/>
      <c r="CA76" s="175"/>
      <c r="CB76" s="175"/>
      <c r="CC76" s="175"/>
      <c r="CD76" s="175"/>
      <c r="CE76" s="175"/>
      <c r="CF76" s="175"/>
      <c r="CG76" s="175"/>
      <c r="CH76" s="175"/>
      <c r="CI76" s="175"/>
      <c r="CJ76" s="175"/>
      <c r="CK76" s="175"/>
      <c r="CL76" s="175"/>
      <c r="CM76" s="175"/>
      <c r="CN76" s="175"/>
      <c r="CO76" s="175"/>
      <c r="CP76" s="175"/>
      <c r="CQ76" s="175">
        <v>-8909</v>
      </c>
      <c r="CR76" s="175">
        <f t="shared" si="263"/>
        <v>-8909</v>
      </c>
      <c r="CS76" s="175">
        <f>CT76-CR76</f>
        <v>-5923</v>
      </c>
      <c r="CT76" s="175">
        <v>-14832</v>
      </c>
      <c r="CU76" s="175">
        <v>-7039</v>
      </c>
      <c r="CV76" s="175">
        <v>-9356</v>
      </c>
      <c r="CW76" s="175">
        <f>CV76+CU76</f>
        <v>-16395</v>
      </c>
      <c r="CX76" s="175">
        <v>-52</v>
      </c>
      <c r="CY76" s="175">
        <f t="shared" ref="CY76" si="280">CX76+CW76</f>
        <v>-16447</v>
      </c>
      <c r="CZ76" s="175">
        <f t="shared" si="279"/>
        <v>-9414</v>
      </c>
      <c r="DA76" s="175">
        <v>-25861</v>
      </c>
      <c r="DB76" s="175">
        <v>-6032</v>
      </c>
      <c r="DC76" s="175">
        <v>-5567</v>
      </c>
      <c r="DD76" s="175">
        <f>DC76+DB76</f>
        <v>-11599</v>
      </c>
      <c r="DE76" s="175">
        <v>-8715</v>
      </c>
      <c r="DF76" s="175">
        <f t="shared" ref="DF76" si="281">DE76+DD76</f>
        <v>-20314</v>
      </c>
      <c r="DG76" s="175">
        <f t="shared" ref="DG76" si="282">DH76-DF76</f>
        <v>-5832</v>
      </c>
      <c r="DH76" s="175">
        <v>-26146</v>
      </c>
      <c r="DI76" s="175">
        <v>0</v>
      </c>
      <c r="DJ76" s="175">
        <v>0</v>
      </c>
      <c r="DK76" s="175">
        <f t="shared" si="278"/>
        <v>0</v>
      </c>
    </row>
    <row r="77" spans="1:115" s="137" customFormat="1" ht="10.5" customHeight="1" x14ac:dyDescent="0.25">
      <c r="A77" s="63" t="s">
        <v>296</v>
      </c>
      <c r="B77" s="64"/>
      <c r="C77" s="64"/>
      <c r="D77" s="65"/>
      <c r="E77" s="64"/>
      <c r="F77" s="64"/>
      <c r="G77" s="64"/>
      <c r="H77" s="176">
        <f t="shared" ref="H77:P77" si="283">H48+H49</f>
        <v>82668</v>
      </c>
      <c r="I77" s="176">
        <f t="shared" si="283"/>
        <v>-40065</v>
      </c>
      <c r="J77" s="176">
        <f t="shared" ref="J77:J97" si="284">H77+I77</f>
        <v>42603</v>
      </c>
      <c r="K77" s="176">
        <f t="shared" si="283"/>
        <v>-72676</v>
      </c>
      <c r="L77" s="176">
        <f>J77+K77</f>
        <v>-30073</v>
      </c>
      <c r="M77" s="176">
        <f>M48+M49</f>
        <v>41527</v>
      </c>
      <c r="N77" s="176">
        <f>N48+N49</f>
        <v>11454</v>
      </c>
      <c r="O77" s="176">
        <f t="shared" si="283"/>
        <v>-15817</v>
      </c>
      <c r="P77" s="176">
        <f t="shared" si="283"/>
        <v>57277</v>
      </c>
      <c r="Q77" s="176">
        <f t="shared" ref="Q77:Q97" si="285">O77+P77</f>
        <v>41460</v>
      </c>
      <c r="R77" s="176">
        <f>R48+R49</f>
        <v>53726</v>
      </c>
      <c r="S77" s="176">
        <f t="shared" ref="S77:S97" si="286">Q77+R77</f>
        <v>95186</v>
      </c>
      <c r="T77" s="176">
        <f>T48+T49</f>
        <v>30858</v>
      </c>
      <c r="U77" s="176">
        <f>U48+U49</f>
        <v>126043</v>
      </c>
      <c r="V77" s="176">
        <f>V48+V49</f>
        <v>52132</v>
      </c>
      <c r="W77" s="176">
        <f>W48+W49</f>
        <v>52818</v>
      </c>
      <c r="X77" s="184">
        <f t="shared" ref="X77:X97" si="287">V77+W77</f>
        <v>104950</v>
      </c>
      <c r="Y77" s="176">
        <f>Y48+Y49</f>
        <v>100545</v>
      </c>
      <c r="Z77" s="184">
        <f t="shared" ref="Z77:Z97" si="288">X77+Y77</f>
        <v>205495</v>
      </c>
      <c r="AA77" s="176">
        <f t="shared" ref="AA77:AF77" si="289">AA48+AA49</f>
        <v>51385</v>
      </c>
      <c r="AB77" s="176">
        <f t="shared" si="289"/>
        <v>256880</v>
      </c>
      <c r="AC77" s="176">
        <f t="shared" si="289"/>
        <v>75236</v>
      </c>
      <c r="AD77" s="176">
        <f t="shared" si="289"/>
        <v>-17540</v>
      </c>
      <c r="AE77" s="176">
        <f t="shared" si="289"/>
        <v>57696</v>
      </c>
      <c r="AF77" s="176">
        <f t="shared" si="289"/>
        <v>48379</v>
      </c>
      <c r="AG77" s="176">
        <f t="shared" ref="AG77:AN77" si="290">AG48+AG49</f>
        <v>106075</v>
      </c>
      <c r="AH77" s="176">
        <f t="shared" si="290"/>
        <v>39046</v>
      </c>
      <c r="AI77" s="176">
        <f t="shared" si="290"/>
        <v>145121</v>
      </c>
      <c r="AJ77" s="176">
        <f t="shared" si="290"/>
        <v>45150</v>
      </c>
      <c r="AK77" s="176">
        <f t="shared" si="290"/>
        <v>72096</v>
      </c>
      <c r="AL77" s="176">
        <f t="shared" si="290"/>
        <v>117246</v>
      </c>
      <c r="AM77" s="176">
        <f t="shared" si="290"/>
        <v>30928</v>
      </c>
      <c r="AN77" s="176">
        <f t="shared" si="290"/>
        <v>148174</v>
      </c>
      <c r="AO77" s="176">
        <f t="shared" ref="AO77:AT77" si="291">AO48+AO49</f>
        <v>2305</v>
      </c>
      <c r="AP77" s="176">
        <f t="shared" si="291"/>
        <v>150479</v>
      </c>
      <c r="AQ77" s="176">
        <f t="shared" si="291"/>
        <v>86448</v>
      </c>
      <c r="AR77" s="176">
        <f t="shared" si="291"/>
        <v>25306</v>
      </c>
      <c r="AS77" s="176">
        <f>AS48+AS49</f>
        <v>111754</v>
      </c>
      <c r="AT77" s="176">
        <f t="shared" si="291"/>
        <v>18840</v>
      </c>
      <c r="AU77" s="176">
        <f>AU48+AU49</f>
        <v>130594</v>
      </c>
      <c r="AV77" s="176">
        <f>AV48+AV49</f>
        <v>60204</v>
      </c>
      <c r="AW77" s="176">
        <f>AW48+AW49</f>
        <v>190798</v>
      </c>
      <c r="AX77" s="176">
        <f>AX48+AX49</f>
        <v>85346</v>
      </c>
      <c r="AY77" s="176">
        <f t="shared" ref="AY77:AY99" si="292">AZ77-AX77</f>
        <v>74691</v>
      </c>
      <c r="AZ77" s="176">
        <f>AZ48+AZ49</f>
        <v>160037</v>
      </c>
      <c r="BA77" s="176">
        <f t="shared" ref="BA77:BC99" si="293">BB77-AZ77</f>
        <v>55812</v>
      </c>
      <c r="BB77" s="176">
        <f>BB48+BB49</f>
        <v>215849</v>
      </c>
      <c r="BC77" s="176">
        <f t="shared" si="293"/>
        <v>69649</v>
      </c>
      <c r="BD77" s="176">
        <f>BD48+BD49</f>
        <v>285498</v>
      </c>
      <c r="BE77" s="176">
        <f>BE48+BE49</f>
        <v>28464</v>
      </c>
      <c r="BF77" s="176">
        <f>BF48+BF49</f>
        <v>-103630</v>
      </c>
      <c r="BG77" s="176">
        <f>BG48+BG49</f>
        <v>-75166</v>
      </c>
      <c r="BH77" s="176">
        <f>BH48+BH49</f>
        <v>1581</v>
      </c>
      <c r="BI77" s="176">
        <f t="shared" ref="BI77:CK77" si="294">BI48+BI49</f>
        <v>-73585</v>
      </c>
      <c r="BJ77" s="176">
        <f t="shared" si="294"/>
        <v>183899</v>
      </c>
      <c r="BK77" s="176">
        <f t="shared" si="294"/>
        <v>110315</v>
      </c>
      <c r="BL77" s="176">
        <f t="shared" si="294"/>
        <v>147225</v>
      </c>
      <c r="BM77" s="176">
        <f t="shared" si="294"/>
        <v>137994</v>
      </c>
      <c r="BN77" s="176">
        <f t="shared" si="294"/>
        <v>285219</v>
      </c>
      <c r="BO77" s="176">
        <f t="shared" si="294"/>
        <v>114095</v>
      </c>
      <c r="BP77" s="176">
        <f t="shared" si="294"/>
        <v>399314</v>
      </c>
      <c r="BQ77" s="176">
        <f>BQ48+BQ49</f>
        <v>194139</v>
      </c>
      <c r="BR77" s="176">
        <f>BR48+BR49</f>
        <v>593453</v>
      </c>
      <c r="BS77" s="176">
        <f t="shared" si="294"/>
        <v>267441</v>
      </c>
      <c r="BT77" s="176">
        <f t="shared" si="294"/>
        <v>264583</v>
      </c>
      <c r="BU77" s="176">
        <f t="shared" si="294"/>
        <v>532024</v>
      </c>
      <c r="BV77" s="176">
        <f t="shared" si="294"/>
        <v>68755</v>
      </c>
      <c r="BW77" s="176">
        <f t="shared" si="294"/>
        <v>600779</v>
      </c>
      <c r="BX77" s="176">
        <f t="shared" si="294"/>
        <v>56978</v>
      </c>
      <c r="BY77" s="176">
        <f>BY48+BY49</f>
        <v>657757</v>
      </c>
      <c r="BZ77" s="176">
        <f t="shared" si="294"/>
        <v>185902</v>
      </c>
      <c r="CA77" s="176">
        <f t="shared" si="294"/>
        <v>348790</v>
      </c>
      <c r="CB77" s="176">
        <f t="shared" si="294"/>
        <v>534692</v>
      </c>
      <c r="CC77" s="176">
        <f t="shared" si="294"/>
        <v>-109873</v>
      </c>
      <c r="CD77" s="176">
        <f t="shared" si="294"/>
        <v>424819</v>
      </c>
      <c r="CE77" s="176">
        <f t="shared" si="294"/>
        <v>133893</v>
      </c>
      <c r="CF77" s="176">
        <f>CF48+CF49</f>
        <v>558712</v>
      </c>
      <c r="CG77" s="176">
        <f t="shared" si="294"/>
        <v>256737</v>
      </c>
      <c r="CH77" s="176">
        <f t="shared" si="294"/>
        <v>324047</v>
      </c>
      <c r="CI77" s="176">
        <v>580784</v>
      </c>
      <c r="CJ77" s="176">
        <f t="shared" si="294"/>
        <v>-34989</v>
      </c>
      <c r="CK77" s="176">
        <f t="shared" si="294"/>
        <v>545795</v>
      </c>
      <c r="CL77" s="176">
        <f>CL48+CL49</f>
        <v>235136</v>
      </c>
      <c r="CM77" s="176">
        <f>CM48+CM49</f>
        <v>780930</v>
      </c>
      <c r="CN77" s="176">
        <f>CN48+CN49</f>
        <v>605237</v>
      </c>
      <c r="CO77" s="176">
        <f>CO48+CO49</f>
        <v>719891</v>
      </c>
      <c r="CP77" s="176">
        <f>CN77+CO77</f>
        <v>1325128</v>
      </c>
      <c r="CQ77" s="176">
        <f>CQ48+CQ49-4</f>
        <v>185380</v>
      </c>
      <c r="CR77" s="176">
        <f>CR48+CR49</f>
        <v>1510508</v>
      </c>
      <c r="CS77" s="176">
        <f>CS48+CS49-1</f>
        <v>402854</v>
      </c>
      <c r="CT77" s="176">
        <f>CT48+CT49</f>
        <v>1913367</v>
      </c>
      <c r="CU77" s="176">
        <f>CU48+CU49</f>
        <v>1315602</v>
      </c>
      <c r="CV77" s="176">
        <f>CV48+CV49+2</f>
        <v>808316</v>
      </c>
      <c r="CW77" s="176">
        <f>CU77+CV77-2</f>
        <v>2123916</v>
      </c>
      <c r="CX77" s="176">
        <f>CX48+CX49</f>
        <v>48233</v>
      </c>
      <c r="CY77" s="176">
        <f>CY48+CY49</f>
        <v>2172150</v>
      </c>
      <c r="CZ77" s="176">
        <f>CZ48+CZ49+1</f>
        <v>333143</v>
      </c>
      <c r="DA77" s="176">
        <f>DA48+DA49</f>
        <v>2505293</v>
      </c>
      <c r="DB77" s="176">
        <f>DB48+DB49</f>
        <v>973276</v>
      </c>
      <c r="DC77" s="176">
        <f>DC48+DC49</f>
        <v>644004</v>
      </c>
      <c r="DD77" s="176">
        <f>DB77+DC77</f>
        <v>1617280</v>
      </c>
      <c r="DE77" s="176">
        <f t="shared" ref="DE77:DJ77" si="295">DE48+DE49</f>
        <v>414965</v>
      </c>
      <c r="DF77" s="176">
        <f t="shared" si="295"/>
        <v>2032245</v>
      </c>
      <c r="DG77" s="176">
        <f t="shared" si="295"/>
        <v>-97066</v>
      </c>
      <c r="DH77" s="176">
        <f t="shared" si="295"/>
        <v>1935181</v>
      </c>
      <c r="DI77" s="176">
        <f t="shared" si="295"/>
        <v>498521</v>
      </c>
      <c r="DJ77" s="176">
        <f t="shared" si="295"/>
        <v>675159</v>
      </c>
      <c r="DK77" s="176">
        <f t="shared" si="278"/>
        <v>1173680</v>
      </c>
    </row>
    <row r="78" spans="1:115" s="137" customFormat="1" ht="10.5" customHeight="1" x14ac:dyDescent="0.25">
      <c r="A78" s="82" t="s">
        <v>297</v>
      </c>
      <c r="B78" s="83"/>
      <c r="C78" s="83"/>
      <c r="D78" s="84"/>
      <c r="E78" s="83"/>
      <c r="F78" s="83"/>
      <c r="G78" s="83"/>
      <c r="H78" s="174">
        <f t="shared" ref="H78:AD78" si="296">H79+H85</f>
        <v>-16987</v>
      </c>
      <c r="I78" s="174">
        <f t="shared" si="296"/>
        <v>998</v>
      </c>
      <c r="J78" s="174">
        <f t="shared" si="296"/>
        <v>-15989</v>
      </c>
      <c r="K78" s="174">
        <f t="shared" si="296"/>
        <v>4327</v>
      </c>
      <c r="L78" s="174">
        <f t="shared" si="296"/>
        <v>-11662</v>
      </c>
      <c r="M78" s="174">
        <f t="shared" si="296"/>
        <v>7782</v>
      </c>
      <c r="N78" s="174">
        <f t="shared" si="296"/>
        <v>-3880</v>
      </c>
      <c r="O78" s="174">
        <f t="shared" si="296"/>
        <v>13399</v>
      </c>
      <c r="P78" s="174">
        <f t="shared" si="296"/>
        <v>-13890</v>
      </c>
      <c r="Q78" s="174">
        <f t="shared" si="296"/>
        <v>-491</v>
      </c>
      <c r="R78" s="174">
        <f t="shared" si="296"/>
        <v>-24015</v>
      </c>
      <c r="S78" s="174">
        <f t="shared" si="296"/>
        <v>-24506</v>
      </c>
      <c r="T78" s="174">
        <f t="shared" si="296"/>
        <v>-17645</v>
      </c>
      <c r="U78" s="174">
        <f t="shared" si="296"/>
        <v>-42151</v>
      </c>
      <c r="V78" s="174">
        <f t="shared" si="296"/>
        <v>-17935</v>
      </c>
      <c r="W78" s="174">
        <f t="shared" si="296"/>
        <v>11519</v>
      </c>
      <c r="X78" s="174">
        <f t="shared" si="296"/>
        <v>-6416</v>
      </c>
      <c r="Y78" s="174">
        <f t="shared" si="296"/>
        <v>-6126</v>
      </c>
      <c r="Z78" s="174">
        <f t="shared" si="296"/>
        <v>-12542</v>
      </c>
      <c r="AA78" s="174">
        <f t="shared" si="296"/>
        <v>-3159</v>
      </c>
      <c r="AB78" s="174">
        <f t="shared" si="296"/>
        <v>-15701</v>
      </c>
      <c r="AC78" s="174">
        <f t="shared" si="296"/>
        <v>-18340</v>
      </c>
      <c r="AD78" s="174">
        <f t="shared" si="296"/>
        <v>-40229</v>
      </c>
      <c r="AE78" s="174">
        <f>AE79+AE85</f>
        <v>-58569</v>
      </c>
      <c r="AF78" s="174">
        <f t="shared" ref="AF78:AN78" si="297">AF79+AF85</f>
        <v>-39525</v>
      </c>
      <c r="AG78" s="174">
        <f t="shared" si="297"/>
        <v>-98094</v>
      </c>
      <c r="AH78" s="174">
        <f t="shared" si="297"/>
        <v>25504</v>
      </c>
      <c r="AI78" s="174">
        <f t="shared" si="297"/>
        <v>-72590</v>
      </c>
      <c r="AJ78" s="174">
        <f t="shared" si="297"/>
        <v>11000</v>
      </c>
      <c r="AK78" s="174">
        <f t="shared" si="297"/>
        <v>-17820</v>
      </c>
      <c r="AL78" s="174">
        <f t="shared" si="297"/>
        <v>-6820</v>
      </c>
      <c r="AM78" s="174">
        <f t="shared" si="297"/>
        <v>-8098</v>
      </c>
      <c r="AN78" s="174">
        <f t="shared" si="297"/>
        <v>-14918</v>
      </c>
      <c r="AO78" s="174">
        <f t="shared" ref="AO78:AT78" si="298">AO79+AO85</f>
        <v>-9977</v>
      </c>
      <c r="AP78" s="174">
        <f t="shared" si="298"/>
        <v>-24895</v>
      </c>
      <c r="AQ78" s="174">
        <f t="shared" si="298"/>
        <v>-21488</v>
      </c>
      <c r="AR78" s="174">
        <f t="shared" si="298"/>
        <v>-19163</v>
      </c>
      <c r="AS78" s="174">
        <f>AS79+AS85</f>
        <v>-40651</v>
      </c>
      <c r="AT78" s="174">
        <f t="shared" si="298"/>
        <v>-19019</v>
      </c>
      <c r="AU78" s="174">
        <f>AU79+AU85</f>
        <v>-59670</v>
      </c>
      <c r="AV78" s="174">
        <f>AV79+AV85</f>
        <v>-42056</v>
      </c>
      <c r="AW78" s="174">
        <f>AW79+AW85</f>
        <v>-101726</v>
      </c>
      <c r="AX78" s="174">
        <f>AX79+AX85</f>
        <v>-35340</v>
      </c>
      <c r="AY78" s="174">
        <f t="shared" si="292"/>
        <v>-14763</v>
      </c>
      <c r="AZ78" s="174">
        <f>AZ79+AZ85</f>
        <v>-50103</v>
      </c>
      <c r="BA78" s="174">
        <f t="shared" si="293"/>
        <v>-44990</v>
      </c>
      <c r="BB78" s="174">
        <f>BB79+BB85</f>
        <v>-95093</v>
      </c>
      <c r="BC78" s="174">
        <f t="shared" si="293"/>
        <v>-23751</v>
      </c>
      <c r="BD78" s="174">
        <f>BD79+BD85</f>
        <v>-118844</v>
      </c>
      <c r="BE78" s="174">
        <f>BE79+BE85</f>
        <v>-35746</v>
      </c>
      <c r="BF78" s="174">
        <f>BF79+BF85</f>
        <v>-11641</v>
      </c>
      <c r="BG78" s="174">
        <f>BG79+BG85</f>
        <v>-47387</v>
      </c>
      <c r="BH78" s="174">
        <f>BH79+BH85</f>
        <v>-40689</v>
      </c>
      <c r="BI78" s="174">
        <f t="shared" ref="BI78:CK78" si="299">BI79+BI85</f>
        <v>-88076</v>
      </c>
      <c r="BJ78" s="174">
        <f t="shared" si="299"/>
        <v>-26400</v>
      </c>
      <c r="BK78" s="174">
        <f t="shared" si="299"/>
        <v>-114476</v>
      </c>
      <c r="BL78" s="174">
        <f t="shared" si="299"/>
        <v>-21953</v>
      </c>
      <c r="BM78" s="174">
        <f t="shared" si="299"/>
        <v>-22473</v>
      </c>
      <c r="BN78" s="174">
        <f t="shared" si="299"/>
        <v>-44426</v>
      </c>
      <c r="BO78" s="174">
        <f t="shared" si="299"/>
        <v>-16063</v>
      </c>
      <c r="BP78" s="174">
        <f t="shared" si="299"/>
        <v>-60489</v>
      </c>
      <c r="BQ78" s="174">
        <f t="shared" si="299"/>
        <v>-31974</v>
      </c>
      <c r="BR78" s="174">
        <f>BR79+BR85</f>
        <v>-92463</v>
      </c>
      <c r="BS78" s="174">
        <f t="shared" si="299"/>
        <v>-15182</v>
      </c>
      <c r="BT78" s="174">
        <f t="shared" si="299"/>
        <v>-15032</v>
      </c>
      <c r="BU78" s="174">
        <f t="shared" si="299"/>
        <v>-30214</v>
      </c>
      <c r="BV78" s="174">
        <f t="shared" si="299"/>
        <v>-24967</v>
      </c>
      <c r="BW78" s="174">
        <f t="shared" si="299"/>
        <v>-55181</v>
      </c>
      <c r="BX78" s="174">
        <f t="shared" si="299"/>
        <v>-17495</v>
      </c>
      <c r="BY78" s="174">
        <f>BY79+BY85</f>
        <v>-72676</v>
      </c>
      <c r="BZ78" s="174">
        <f t="shared" si="299"/>
        <v>-20500</v>
      </c>
      <c r="CA78" s="174">
        <f t="shared" si="299"/>
        <v>-36918</v>
      </c>
      <c r="CB78" s="174">
        <f t="shared" si="299"/>
        <v>-57418</v>
      </c>
      <c r="CC78" s="174">
        <f t="shared" si="299"/>
        <v>-41308</v>
      </c>
      <c r="CD78" s="174">
        <f t="shared" si="299"/>
        <v>-98726</v>
      </c>
      <c r="CE78" s="174">
        <f t="shared" si="299"/>
        <v>-45324</v>
      </c>
      <c r="CF78" s="174">
        <f>CF79+CF85</f>
        <v>-144050</v>
      </c>
      <c r="CG78" s="174">
        <f t="shared" si="299"/>
        <v>-25725</v>
      </c>
      <c r="CH78" s="174">
        <f t="shared" si="299"/>
        <v>-34739</v>
      </c>
      <c r="CI78" s="174">
        <f t="shared" si="299"/>
        <v>-60464</v>
      </c>
      <c r="CJ78" s="174">
        <f t="shared" si="299"/>
        <v>-26403</v>
      </c>
      <c r="CK78" s="174">
        <f t="shared" si="299"/>
        <v>-86867</v>
      </c>
      <c r="CL78" s="174">
        <f>CL79+CL85</f>
        <v>-4884</v>
      </c>
      <c r="CM78" s="174">
        <f>CM79+CM85</f>
        <v>-91751</v>
      </c>
      <c r="CN78" s="174">
        <f>CN79+CN85</f>
        <v>-33805</v>
      </c>
      <c r="CO78" s="174">
        <f>CO79+CO85</f>
        <v>-68834</v>
      </c>
      <c r="CP78" s="174">
        <f t="shared" ref="CP78" si="300">CP79+CP85</f>
        <v>-102639</v>
      </c>
      <c r="CQ78" s="174">
        <f t="shared" ref="CQ78:CW78" si="301">CQ79+CQ85</f>
        <v>-83656</v>
      </c>
      <c r="CR78" s="174">
        <f t="shared" si="301"/>
        <v>-186295</v>
      </c>
      <c r="CS78" s="174">
        <f t="shared" si="301"/>
        <v>-166262</v>
      </c>
      <c r="CT78" s="174">
        <f t="shared" si="301"/>
        <v>-352557</v>
      </c>
      <c r="CU78" s="174">
        <f t="shared" si="301"/>
        <v>-151980</v>
      </c>
      <c r="CV78" s="174">
        <f t="shared" si="301"/>
        <v>-131594</v>
      </c>
      <c r="CW78" s="174">
        <f t="shared" si="301"/>
        <v>-283574</v>
      </c>
      <c r="CX78" s="174">
        <f t="shared" ref="CX78:CY78" si="302">CX79+CX85</f>
        <v>-192764</v>
      </c>
      <c r="CY78" s="174">
        <f t="shared" si="302"/>
        <v>-476339</v>
      </c>
      <c r="CZ78" s="174">
        <f t="shared" ref="CZ78:DB78" si="303">CZ79+CZ85</f>
        <v>-223129</v>
      </c>
      <c r="DA78" s="174">
        <f t="shared" si="303"/>
        <v>-699468</v>
      </c>
      <c r="DB78" s="174">
        <f t="shared" si="303"/>
        <v>-147753</v>
      </c>
      <c r="DC78" s="174">
        <f t="shared" ref="DC78" si="304">DC79+DC85</f>
        <v>-172609</v>
      </c>
      <c r="DD78" s="174">
        <f>DD79+DD85</f>
        <v>-320362</v>
      </c>
      <c r="DE78" s="174">
        <f>DE79+DE85</f>
        <v>-190933</v>
      </c>
      <c r="DF78" s="174">
        <f t="shared" ref="DF78:DI78" si="305">DF79+DF85</f>
        <v>-511295</v>
      </c>
      <c r="DG78" s="174">
        <f>DG79+DG85</f>
        <v>-199981</v>
      </c>
      <c r="DH78" s="174">
        <f t="shared" si="305"/>
        <v>-711276</v>
      </c>
      <c r="DI78" s="174">
        <f t="shared" si="305"/>
        <v>-190404</v>
      </c>
      <c r="DJ78" s="174">
        <f>DJ79+DJ85</f>
        <v>-224402</v>
      </c>
      <c r="DK78" s="174">
        <f>DK79+DK85</f>
        <v>-414806</v>
      </c>
    </row>
    <row r="79" spans="1:115" ht="10.5" customHeight="1" x14ac:dyDescent="0.25">
      <c r="A79" s="97"/>
      <c r="B79" s="98" t="s">
        <v>298</v>
      </c>
      <c r="C79" s="98"/>
      <c r="D79" s="99"/>
      <c r="E79" s="100"/>
      <c r="F79" s="100"/>
      <c r="G79" s="100"/>
      <c r="H79" s="179">
        <f>SUM(H80:H84)</f>
        <v>30138</v>
      </c>
      <c r="I79" s="179">
        <f>SUM(I80:I84)</f>
        <v>65634</v>
      </c>
      <c r="J79" s="179">
        <f t="shared" si="284"/>
        <v>95772</v>
      </c>
      <c r="K79" s="179">
        <f t="shared" ref="K79:P79" si="306">SUM(K80:K84)</f>
        <v>37712</v>
      </c>
      <c r="L79" s="179">
        <f t="shared" si="306"/>
        <v>133484</v>
      </c>
      <c r="M79" s="179">
        <f t="shared" si="306"/>
        <v>22193</v>
      </c>
      <c r="N79" s="179">
        <f t="shared" si="306"/>
        <v>155677</v>
      </c>
      <c r="O79" s="179">
        <f t="shared" si="306"/>
        <v>34373</v>
      </c>
      <c r="P79" s="179">
        <f t="shared" si="306"/>
        <v>11753</v>
      </c>
      <c r="Q79" s="179">
        <f t="shared" si="285"/>
        <v>46126</v>
      </c>
      <c r="R79" s="179">
        <f>SUM(R80:R84)</f>
        <v>20721</v>
      </c>
      <c r="S79" s="179">
        <f t="shared" si="286"/>
        <v>66847</v>
      </c>
      <c r="T79" s="175">
        <f t="shared" ref="T79:T92" si="307">U79-S79</f>
        <v>24389</v>
      </c>
      <c r="U79" s="179">
        <f>SUM(U80:U84)</f>
        <v>91236</v>
      </c>
      <c r="V79" s="179">
        <f>SUM(V80:V84)</f>
        <v>27072</v>
      </c>
      <c r="W79" s="179">
        <f>SUM(W80:W84)</f>
        <v>28337</v>
      </c>
      <c r="X79" s="175">
        <f t="shared" si="287"/>
        <v>55409</v>
      </c>
      <c r="Y79" s="179">
        <v>18604</v>
      </c>
      <c r="Z79" s="175">
        <f t="shared" si="288"/>
        <v>74013</v>
      </c>
      <c r="AA79" s="179">
        <f t="shared" ref="AA79:AA92" si="308">AB79-Z79</f>
        <v>29651</v>
      </c>
      <c r="AB79" s="179">
        <f>SUM(AB80:AB84)</f>
        <v>103664</v>
      </c>
      <c r="AC79" s="179">
        <f>SUM(AC80:AC84)</f>
        <v>28370</v>
      </c>
      <c r="AD79" s="179">
        <f>SUM(AD80:AD84)</f>
        <v>37471</v>
      </c>
      <c r="AE79" s="179">
        <f>AC79+AD79</f>
        <v>65841</v>
      </c>
      <c r="AF79" s="179">
        <f>SUM(AF80:AF84)</f>
        <v>28764</v>
      </c>
      <c r="AG79" s="179">
        <f>AE79+AF79</f>
        <v>94605</v>
      </c>
      <c r="AH79" s="179">
        <f>SUM(AH80:AH84)</f>
        <v>54212</v>
      </c>
      <c r="AI79" s="179">
        <f>AG79+AH79</f>
        <v>148817</v>
      </c>
      <c r="AJ79" s="179">
        <f t="shared" ref="AJ79:AP79" si="309">SUM(AJ80:AJ84)</f>
        <v>40623</v>
      </c>
      <c r="AK79" s="179">
        <f t="shared" si="309"/>
        <v>21629</v>
      </c>
      <c r="AL79" s="179">
        <f t="shared" si="309"/>
        <v>62252</v>
      </c>
      <c r="AM79" s="179">
        <f t="shared" si="309"/>
        <v>38786</v>
      </c>
      <c r="AN79" s="179">
        <f t="shared" si="309"/>
        <v>101038</v>
      </c>
      <c r="AO79" s="179">
        <f t="shared" si="309"/>
        <v>49661</v>
      </c>
      <c r="AP79" s="179">
        <f t="shared" si="309"/>
        <v>150699</v>
      </c>
      <c r="AQ79" s="179">
        <f t="shared" ref="AQ79:AX79" si="310">SUM(AQ80:AQ84)</f>
        <v>33855</v>
      </c>
      <c r="AR79" s="179">
        <f t="shared" si="310"/>
        <v>26120</v>
      </c>
      <c r="AS79" s="179">
        <f t="shared" si="310"/>
        <v>59975</v>
      </c>
      <c r="AT79" s="179">
        <f t="shared" si="310"/>
        <v>36835</v>
      </c>
      <c r="AU79" s="179">
        <f t="shared" si="310"/>
        <v>96810</v>
      </c>
      <c r="AV79" s="179">
        <f t="shared" si="310"/>
        <v>41735</v>
      </c>
      <c r="AW79" s="179">
        <f t="shared" si="310"/>
        <v>138545</v>
      </c>
      <c r="AX79" s="179">
        <f t="shared" si="310"/>
        <v>111148</v>
      </c>
      <c r="AY79" s="179">
        <f t="shared" si="292"/>
        <v>99908</v>
      </c>
      <c r="AZ79" s="179">
        <f>SUM(AZ80:AZ84)</f>
        <v>211056</v>
      </c>
      <c r="BA79" s="179">
        <f t="shared" si="293"/>
        <v>107196</v>
      </c>
      <c r="BB79" s="179">
        <f>SUM(BB80:BB84)</f>
        <v>318252</v>
      </c>
      <c r="BC79" s="179">
        <f t="shared" si="293"/>
        <v>129114</v>
      </c>
      <c r="BD79" s="179">
        <f>SUM(BD80:BD84)</f>
        <v>447366</v>
      </c>
      <c r="BE79" s="179">
        <f>SUM(BE80:BE84)</f>
        <v>152832</v>
      </c>
      <c r="BF79" s="179">
        <f>SUM(BF80:BF84)</f>
        <v>115438</v>
      </c>
      <c r="BG79" s="179">
        <f t="shared" ref="BG79:CK79" si="311">SUM(BG80:BG84)</f>
        <v>268270</v>
      </c>
      <c r="BH79" s="179">
        <f t="shared" si="311"/>
        <v>35850</v>
      </c>
      <c r="BI79" s="179">
        <f t="shared" si="311"/>
        <v>304120</v>
      </c>
      <c r="BJ79" s="179">
        <f t="shared" si="311"/>
        <v>95536</v>
      </c>
      <c r="BK79" s="179">
        <f t="shared" si="311"/>
        <v>399656</v>
      </c>
      <c r="BL79" s="179">
        <f t="shared" si="311"/>
        <v>83115</v>
      </c>
      <c r="BM79" s="179">
        <f t="shared" si="311"/>
        <v>38640</v>
      </c>
      <c r="BN79" s="179">
        <f t="shared" si="311"/>
        <v>121755</v>
      </c>
      <c r="BO79" s="179">
        <f t="shared" si="311"/>
        <v>34635</v>
      </c>
      <c r="BP79" s="179">
        <f t="shared" si="311"/>
        <v>156390</v>
      </c>
      <c r="BQ79" s="179">
        <f t="shared" si="311"/>
        <v>27295</v>
      </c>
      <c r="BR79" s="179">
        <f>SUM(BR80:BR84)</f>
        <v>183685</v>
      </c>
      <c r="BS79" s="179">
        <f t="shared" si="311"/>
        <v>38190</v>
      </c>
      <c r="BT79" s="179">
        <f t="shared" si="311"/>
        <v>55639</v>
      </c>
      <c r="BU79" s="179">
        <f t="shared" si="311"/>
        <v>93829</v>
      </c>
      <c r="BV79" s="179">
        <f t="shared" si="311"/>
        <v>84135</v>
      </c>
      <c r="BW79" s="179">
        <f t="shared" si="311"/>
        <v>177964</v>
      </c>
      <c r="BX79" s="179">
        <f t="shared" si="311"/>
        <v>108642</v>
      </c>
      <c r="BY79" s="179">
        <f>SUM(BY80:BY84)</f>
        <v>286606</v>
      </c>
      <c r="BZ79" s="179">
        <f t="shared" si="311"/>
        <v>47597</v>
      </c>
      <c r="CA79" s="179">
        <f t="shared" si="311"/>
        <v>27346</v>
      </c>
      <c r="CB79" s="179">
        <f t="shared" si="311"/>
        <v>74943</v>
      </c>
      <c r="CC79" s="179">
        <f t="shared" si="311"/>
        <v>40706</v>
      </c>
      <c r="CD79" s="179">
        <f t="shared" si="311"/>
        <v>115649</v>
      </c>
      <c r="CE79" s="179">
        <f t="shared" si="311"/>
        <v>88010</v>
      </c>
      <c r="CF79" s="179">
        <f>SUM(CF80:CF84)</f>
        <v>203659</v>
      </c>
      <c r="CG79" s="179">
        <f t="shared" si="311"/>
        <v>164790</v>
      </c>
      <c r="CH79" s="179">
        <f t="shared" si="311"/>
        <v>73235</v>
      </c>
      <c r="CI79" s="179">
        <f t="shared" si="311"/>
        <v>238025</v>
      </c>
      <c r="CJ79" s="179">
        <f t="shared" si="311"/>
        <v>78241</v>
      </c>
      <c r="CK79" s="179">
        <f t="shared" si="311"/>
        <v>316266</v>
      </c>
      <c r="CL79" s="179">
        <f>SUM(CL80:CL84)</f>
        <v>113412</v>
      </c>
      <c r="CM79" s="179">
        <f>SUM(CM80:CM84)</f>
        <v>429678</v>
      </c>
      <c r="CN79" s="179">
        <f>SUM(CN80:CN84)</f>
        <v>92552</v>
      </c>
      <c r="CO79" s="179">
        <f>SUM(CO80:CO84)</f>
        <v>100341</v>
      </c>
      <c r="CP79" s="179">
        <f t="shared" ref="CP79:CR79" si="312">SUM(CP80:CP84)</f>
        <v>192893</v>
      </c>
      <c r="CQ79" s="179">
        <f>SUM(CQ80:CQ84)</f>
        <v>395990</v>
      </c>
      <c r="CR79" s="179">
        <f t="shared" si="312"/>
        <v>588883</v>
      </c>
      <c r="CS79" s="179">
        <f>SUM(CS80:CS84)</f>
        <v>-94174</v>
      </c>
      <c r="CT79" s="179">
        <f>SUM(CT80:CT84)</f>
        <v>494709</v>
      </c>
      <c r="CU79" s="179">
        <f>SUM(CU80:CU84)</f>
        <v>307947</v>
      </c>
      <c r="CV79" s="179">
        <f>SUM(CV80:CV84)</f>
        <v>286986</v>
      </c>
      <c r="CW79" s="179">
        <f t="shared" ref="CW79" si="313">SUM(CW80:CW84)</f>
        <v>594933</v>
      </c>
      <c r="CX79" s="179">
        <f>SUM(CX80:CX84)</f>
        <v>126271</v>
      </c>
      <c r="CY79" s="179">
        <f t="shared" ref="CY79:DA79" si="314">SUM(CY80:CY84)</f>
        <v>721204</v>
      </c>
      <c r="CZ79" s="179">
        <f>SUM(CZ80:CZ84)</f>
        <v>125613</v>
      </c>
      <c r="DA79" s="179">
        <f t="shared" si="314"/>
        <v>846817</v>
      </c>
      <c r="DB79" s="179">
        <f>SUM(DB80:DB84)</f>
        <v>141769</v>
      </c>
      <c r="DC79" s="179">
        <f>SUM(DC80:DC84)</f>
        <v>169639</v>
      </c>
      <c r="DD79" s="179">
        <f t="shared" ref="DD79" si="315">SUM(DD80:DD84)</f>
        <v>311408</v>
      </c>
      <c r="DE79" s="179">
        <f>SUM(DE80:DE84)</f>
        <v>84199</v>
      </c>
      <c r="DF79" s="179">
        <f t="shared" ref="DF79:DH79" si="316">SUM(DF80:DF84)</f>
        <v>395607</v>
      </c>
      <c r="DG79" s="179">
        <f>SUM(DG80:DG84)</f>
        <v>128575</v>
      </c>
      <c r="DH79" s="179">
        <f t="shared" si="316"/>
        <v>524182</v>
      </c>
      <c r="DI79" s="179">
        <f>SUM(DI80:DI84)</f>
        <v>90365</v>
      </c>
      <c r="DJ79" s="179">
        <f>DK79-DI79</f>
        <v>183979</v>
      </c>
      <c r="DK79" s="179">
        <f>SUM(DK80:DK84)</f>
        <v>274344</v>
      </c>
    </row>
    <row r="80" spans="1:115" ht="10.5" customHeight="1" x14ac:dyDescent="0.25">
      <c r="A80" s="56"/>
      <c r="B80" s="57"/>
      <c r="C80" s="57" t="s">
        <v>299</v>
      </c>
      <c r="D80" s="58"/>
      <c r="E80" s="59"/>
      <c r="F80" s="59"/>
      <c r="G80" s="59"/>
      <c r="H80" s="175">
        <v>6446</v>
      </c>
      <c r="I80" s="175">
        <v>7246</v>
      </c>
      <c r="J80" s="178">
        <f t="shared" si="284"/>
        <v>13692</v>
      </c>
      <c r="K80" s="175">
        <v>6844</v>
      </c>
      <c r="L80" s="178">
        <f>J80+K80</f>
        <v>20536</v>
      </c>
      <c r="M80" s="175">
        <v>3705</v>
      </c>
      <c r="N80" s="175">
        <f t="shared" ref="N80:N92" si="317">L80+M80</f>
        <v>24241</v>
      </c>
      <c r="O80" s="178">
        <v>3435</v>
      </c>
      <c r="P80" s="178">
        <v>4557</v>
      </c>
      <c r="Q80" s="177">
        <f t="shared" si="285"/>
        <v>7992</v>
      </c>
      <c r="R80" s="178">
        <v>3891</v>
      </c>
      <c r="S80" s="175">
        <f t="shared" si="286"/>
        <v>11883</v>
      </c>
      <c r="T80" s="175">
        <f t="shared" si="307"/>
        <v>2198</v>
      </c>
      <c r="U80" s="175">
        <v>14081</v>
      </c>
      <c r="V80" s="178">
        <v>4848</v>
      </c>
      <c r="W80" s="178">
        <v>3523</v>
      </c>
      <c r="X80" s="175">
        <f t="shared" si="287"/>
        <v>8371</v>
      </c>
      <c r="Y80" s="178">
        <v>5623</v>
      </c>
      <c r="Z80" s="175">
        <f t="shared" si="288"/>
        <v>13994</v>
      </c>
      <c r="AA80" s="177">
        <f t="shared" si="308"/>
        <v>2460</v>
      </c>
      <c r="AB80" s="175">
        <v>16454</v>
      </c>
      <c r="AC80" s="175">
        <f>2992+771</f>
        <v>3763</v>
      </c>
      <c r="AD80" s="175">
        <f t="shared" ref="AD80:AD92" si="318">AE80-AC80</f>
        <v>841</v>
      </c>
      <c r="AE80" s="175">
        <v>4604</v>
      </c>
      <c r="AF80" s="175">
        <f t="shared" ref="AF80:AF92" si="319">AG80-AE80</f>
        <v>6401</v>
      </c>
      <c r="AG80" s="175">
        <v>11005</v>
      </c>
      <c r="AH80" s="175">
        <f>AI80-AG80</f>
        <v>2273</v>
      </c>
      <c r="AI80" s="175">
        <v>13278</v>
      </c>
      <c r="AJ80" s="175">
        <v>3954</v>
      </c>
      <c r="AK80" s="175">
        <v>4535</v>
      </c>
      <c r="AL80" s="175">
        <f t="shared" ref="AL80:AL92" si="320">SUM(AJ80:AK80)</f>
        <v>8489</v>
      </c>
      <c r="AM80" s="175">
        <v>5528</v>
      </c>
      <c r="AN80" s="175">
        <f t="shared" ref="AN80:AN92" si="321">SUM(AL80:AM80)</f>
        <v>14017</v>
      </c>
      <c r="AO80" s="175">
        <f>19818-14017</f>
        <v>5801</v>
      </c>
      <c r="AP80" s="175">
        <f>SUM(AN80:AO80)</f>
        <v>19818</v>
      </c>
      <c r="AQ80" s="175">
        <v>7603</v>
      </c>
      <c r="AR80" s="175">
        <v>8410</v>
      </c>
      <c r="AS80" s="175">
        <v>16013</v>
      </c>
      <c r="AT80" s="175">
        <v>7857</v>
      </c>
      <c r="AU80" s="175">
        <v>23870</v>
      </c>
      <c r="AV80" s="175">
        <v>9433</v>
      </c>
      <c r="AW80" s="175">
        <f>SUM(AU80:AV80)</f>
        <v>33303</v>
      </c>
      <c r="AX80" s="175">
        <v>9837</v>
      </c>
      <c r="AY80" s="175">
        <f t="shared" si="292"/>
        <v>13200</v>
      </c>
      <c r="AZ80" s="175">
        <v>23037</v>
      </c>
      <c r="BA80" s="175">
        <f t="shared" si="293"/>
        <v>13032</v>
      </c>
      <c r="BB80" s="175">
        <v>36069</v>
      </c>
      <c r="BC80" s="175">
        <f t="shared" si="293"/>
        <v>18631</v>
      </c>
      <c r="BD80" s="175">
        <v>54700</v>
      </c>
      <c r="BE80" s="175">
        <v>20132</v>
      </c>
      <c r="BF80" s="175">
        <f>36875-BE80</f>
        <v>16743</v>
      </c>
      <c r="BG80" s="175">
        <f t="shared" ref="BG80:BG92" si="322">BF80+BE80</f>
        <v>36875</v>
      </c>
      <c r="BH80" s="175">
        <f>58400-BG80</f>
        <v>21525</v>
      </c>
      <c r="BI80" s="175">
        <f t="shared" ref="BI80:BI92" si="323">BH80+BG80</f>
        <v>58400</v>
      </c>
      <c r="BJ80" s="175">
        <f>81341-BI80</f>
        <v>22941</v>
      </c>
      <c r="BK80" s="175">
        <f>BJ80+BI80</f>
        <v>81341</v>
      </c>
      <c r="BL80" s="175">
        <v>27064</v>
      </c>
      <c r="BM80" s="175">
        <f>45569-BL80</f>
        <v>18505</v>
      </c>
      <c r="BN80" s="175">
        <f>BM80+BL80</f>
        <v>45569</v>
      </c>
      <c r="BO80" s="175">
        <f>59755-BN80</f>
        <v>14186</v>
      </c>
      <c r="BP80" s="175">
        <f t="shared" ref="BP80:BP92" si="324">BO80+BN80</f>
        <v>59755</v>
      </c>
      <c r="BQ80" s="175">
        <f>68287-BP80</f>
        <v>8532</v>
      </c>
      <c r="BR80" s="175">
        <f>BQ80+BP80</f>
        <v>68287</v>
      </c>
      <c r="BS80" s="175">
        <v>8640</v>
      </c>
      <c r="BT80" s="175">
        <f>17435-BS80</f>
        <v>8795</v>
      </c>
      <c r="BU80" s="175">
        <f>BT80+BS80</f>
        <v>17435</v>
      </c>
      <c r="BV80" s="175">
        <f>25685-BU80</f>
        <v>8250</v>
      </c>
      <c r="BW80" s="175">
        <f t="shared" ref="BW80:BW92" si="325">BV80+BU80</f>
        <v>25685</v>
      </c>
      <c r="BX80" s="175">
        <f>34052-BW80</f>
        <v>8367</v>
      </c>
      <c r="BY80" s="175">
        <f>BX80+BW80</f>
        <v>34052</v>
      </c>
      <c r="BZ80" s="175">
        <v>7154</v>
      </c>
      <c r="CA80" s="175">
        <f>12923-BZ80</f>
        <v>5769</v>
      </c>
      <c r="CB80" s="175">
        <f>CA80+BZ80</f>
        <v>12923</v>
      </c>
      <c r="CC80" s="175">
        <f>18708-CB80</f>
        <v>5785</v>
      </c>
      <c r="CD80" s="175">
        <f t="shared" ref="CD80:CD92" si="326">CC80+CB80</f>
        <v>18708</v>
      </c>
      <c r="CE80" s="175">
        <f>31208-CD80</f>
        <v>12500</v>
      </c>
      <c r="CF80" s="175">
        <f>CE80+CD80</f>
        <v>31208</v>
      </c>
      <c r="CG80" s="175">
        <f>5732</f>
        <v>5732</v>
      </c>
      <c r="CH80" s="175">
        <f>11238-CG80</f>
        <v>5506</v>
      </c>
      <c r="CI80" s="175">
        <f>CH80+CG80</f>
        <v>11238</v>
      </c>
      <c r="CJ80" s="175">
        <f>15864-CI80</f>
        <v>4626</v>
      </c>
      <c r="CK80" s="175">
        <f t="shared" ref="CK80:CK92" si="327">CJ80+CI80</f>
        <v>15864</v>
      </c>
      <c r="CL80" s="175">
        <f>29909-CK80</f>
        <v>14045</v>
      </c>
      <c r="CM80" s="175">
        <f>CL80+CK80</f>
        <v>29909</v>
      </c>
      <c r="CN80" s="175">
        <v>6979</v>
      </c>
      <c r="CO80" s="175">
        <f>CP80-CN80</f>
        <v>9609</v>
      </c>
      <c r="CP80" s="175">
        <v>16588</v>
      </c>
      <c r="CQ80" s="175">
        <f>CR80-CP80</f>
        <v>9319</v>
      </c>
      <c r="CR80" s="175">
        <v>25907</v>
      </c>
      <c r="CS80" s="175">
        <f>CT80-CR80</f>
        <v>17196</v>
      </c>
      <c r="CT80" s="175">
        <v>43103</v>
      </c>
      <c r="CU80" s="175">
        <v>13600</v>
      </c>
      <c r="CV80" s="175">
        <f>CW80-CU80</f>
        <v>27696</v>
      </c>
      <c r="CW80" s="175">
        <v>41296</v>
      </c>
      <c r="CX80" s="175">
        <f>CY80-CW80</f>
        <v>28534</v>
      </c>
      <c r="CY80" s="175">
        <v>69830</v>
      </c>
      <c r="CZ80" s="175">
        <f>DA80-CY80</f>
        <v>40978</v>
      </c>
      <c r="DA80" s="175">
        <v>110808</v>
      </c>
      <c r="DB80" s="175">
        <v>39199</v>
      </c>
      <c r="DC80" s="175">
        <f>DD80-DB80</f>
        <v>36059</v>
      </c>
      <c r="DD80" s="175">
        <v>75258</v>
      </c>
      <c r="DE80" s="175">
        <f>DF80-DD80</f>
        <v>37900</v>
      </c>
      <c r="DF80" s="175">
        <v>113158</v>
      </c>
      <c r="DG80" s="175">
        <f>DH80-DF80</f>
        <v>49192</v>
      </c>
      <c r="DH80" s="175">
        <v>162350</v>
      </c>
      <c r="DI80" s="175">
        <v>37889</v>
      </c>
      <c r="DJ80" s="175">
        <f t="shared" ref="DJ80:DJ92" si="328">DK80-DI80</f>
        <v>32724</v>
      </c>
      <c r="DK80" s="175">
        <v>70613</v>
      </c>
    </row>
    <row r="81" spans="1:115" ht="10.5" customHeight="1" x14ac:dyDescent="0.25">
      <c r="A81" s="56"/>
      <c r="B81" s="57"/>
      <c r="C81" s="57" t="s">
        <v>300</v>
      </c>
      <c r="D81" s="58"/>
      <c r="E81" s="59"/>
      <c r="F81" s="59"/>
      <c r="G81" s="59"/>
      <c r="H81" s="175">
        <v>7697</v>
      </c>
      <c r="I81" s="175">
        <v>17933</v>
      </c>
      <c r="J81" s="178">
        <f t="shared" si="284"/>
        <v>25630</v>
      </c>
      <c r="K81" s="175">
        <v>8726</v>
      </c>
      <c r="L81" s="178">
        <f>J81+K81</f>
        <v>34356</v>
      </c>
      <c r="M81" s="175">
        <v>7285</v>
      </c>
      <c r="N81" s="175">
        <f t="shared" si="317"/>
        <v>41641</v>
      </c>
      <c r="O81" s="178">
        <v>5406</v>
      </c>
      <c r="P81" s="178">
        <v>4361</v>
      </c>
      <c r="Q81" s="177">
        <f t="shared" si="285"/>
        <v>9767</v>
      </c>
      <c r="R81" s="178">
        <v>5563</v>
      </c>
      <c r="S81" s="175">
        <f t="shared" si="286"/>
        <v>15330</v>
      </c>
      <c r="T81" s="175">
        <f t="shared" si="307"/>
        <v>3934</v>
      </c>
      <c r="U81" s="175">
        <v>19264</v>
      </c>
      <c r="V81" s="178">
        <v>3574</v>
      </c>
      <c r="W81" s="178">
        <v>8306</v>
      </c>
      <c r="X81" s="175">
        <f t="shared" si="287"/>
        <v>11880</v>
      </c>
      <c r="Y81" s="178">
        <v>4652</v>
      </c>
      <c r="Z81" s="175">
        <f t="shared" si="288"/>
        <v>16532</v>
      </c>
      <c r="AA81" s="177">
        <f t="shared" si="308"/>
        <v>7966</v>
      </c>
      <c r="AB81" s="175">
        <v>24498</v>
      </c>
      <c r="AC81" s="175">
        <v>8455</v>
      </c>
      <c r="AD81" s="175">
        <f t="shared" si="318"/>
        <v>11888</v>
      </c>
      <c r="AE81" s="175">
        <v>20343</v>
      </c>
      <c r="AF81" s="175">
        <f t="shared" si="319"/>
        <v>2589</v>
      </c>
      <c r="AG81" s="175">
        <v>22932</v>
      </c>
      <c r="AH81" s="175">
        <f>AI81-AG81</f>
        <v>7502</v>
      </c>
      <c r="AI81" s="175">
        <v>30434</v>
      </c>
      <c r="AJ81" s="175">
        <v>5961</v>
      </c>
      <c r="AK81" s="175">
        <v>7335</v>
      </c>
      <c r="AL81" s="175">
        <f t="shared" si="320"/>
        <v>13296</v>
      </c>
      <c r="AM81" s="175">
        <v>8753</v>
      </c>
      <c r="AN81" s="175">
        <f t="shared" si="321"/>
        <v>22049</v>
      </c>
      <c r="AO81" s="175">
        <f>34733-22049</f>
        <v>12684</v>
      </c>
      <c r="AP81" s="175">
        <f>SUM(AN81:AO81)</f>
        <v>34733</v>
      </c>
      <c r="AQ81" s="175">
        <v>19315</v>
      </c>
      <c r="AR81" s="175">
        <v>6284</v>
      </c>
      <c r="AS81" s="175">
        <v>25599</v>
      </c>
      <c r="AT81" s="175">
        <v>12570</v>
      </c>
      <c r="AU81" s="175">
        <v>38169</v>
      </c>
      <c r="AV81" s="175">
        <v>18024</v>
      </c>
      <c r="AW81" s="175">
        <f>SUM(AU81:AV81)</f>
        <v>56193</v>
      </c>
      <c r="AX81" s="175">
        <v>40720</v>
      </c>
      <c r="AY81" s="175">
        <f t="shared" si="292"/>
        <v>57252</v>
      </c>
      <c r="AZ81" s="175">
        <v>97972</v>
      </c>
      <c r="BA81" s="175">
        <f t="shared" si="293"/>
        <v>22559</v>
      </c>
      <c r="BB81" s="175">
        <v>120531</v>
      </c>
      <c r="BC81" s="175">
        <f t="shared" si="293"/>
        <v>80021</v>
      </c>
      <c r="BD81" s="175">
        <v>200552</v>
      </c>
      <c r="BE81" s="175">
        <v>104798</v>
      </c>
      <c r="BF81" s="175">
        <f>175924-BE81</f>
        <v>71126</v>
      </c>
      <c r="BG81" s="175">
        <f t="shared" si="322"/>
        <v>175924</v>
      </c>
      <c r="BH81" s="175">
        <f>187521-BG81</f>
        <v>11597</v>
      </c>
      <c r="BI81" s="175">
        <f t="shared" si="323"/>
        <v>187521</v>
      </c>
      <c r="BJ81" s="175">
        <f>223087-BI81</f>
        <v>35566</v>
      </c>
      <c r="BK81" s="175">
        <f>BJ81+BI81</f>
        <v>223087</v>
      </c>
      <c r="BL81" s="175">
        <v>50887</v>
      </c>
      <c r="BM81" s="175">
        <f>53526-BL81</f>
        <v>2639</v>
      </c>
      <c r="BN81" s="175">
        <f>BM81+BL81</f>
        <v>53526</v>
      </c>
      <c r="BO81" s="175">
        <f>71351-BN81</f>
        <v>17825</v>
      </c>
      <c r="BP81" s="175">
        <f t="shared" si="324"/>
        <v>71351</v>
      </c>
      <c r="BQ81" s="175">
        <f>80112-BP81</f>
        <v>8761</v>
      </c>
      <c r="BR81" s="175">
        <f>BQ81+BP81</f>
        <v>80112</v>
      </c>
      <c r="BS81" s="175">
        <v>21060</v>
      </c>
      <c r="BT81" s="175">
        <f>36687-BS81</f>
        <v>15627</v>
      </c>
      <c r="BU81" s="175">
        <f>BT81+BS81</f>
        <v>36687</v>
      </c>
      <c r="BV81" s="175">
        <f>75415-BU81</f>
        <v>38728</v>
      </c>
      <c r="BW81" s="175">
        <f t="shared" si="325"/>
        <v>75415</v>
      </c>
      <c r="BX81" s="175">
        <f>138299-BW81</f>
        <v>62884</v>
      </c>
      <c r="BY81" s="175">
        <f>BX81+BW81</f>
        <v>138299</v>
      </c>
      <c r="BZ81" s="175">
        <v>28823</v>
      </c>
      <c r="CA81" s="175">
        <f>45498-BZ81</f>
        <v>16675</v>
      </c>
      <c r="CB81" s="175">
        <f>CA81+BZ81</f>
        <v>45498</v>
      </c>
      <c r="CC81" s="175">
        <f>59236-CB81</f>
        <v>13738</v>
      </c>
      <c r="CD81" s="175">
        <f t="shared" si="326"/>
        <v>59236</v>
      </c>
      <c r="CE81" s="175">
        <f>122350-CD81</f>
        <v>63114</v>
      </c>
      <c r="CF81" s="175">
        <f>CE81+CD81</f>
        <v>122350</v>
      </c>
      <c r="CG81" s="175">
        <v>83249</v>
      </c>
      <c r="CH81" s="175">
        <f>115356-CG81</f>
        <v>32107</v>
      </c>
      <c r="CI81" s="175">
        <f>CH81+CG81</f>
        <v>115356</v>
      </c>
      <c r="CJ81" s="175">
        <f>144781-CI81</f>
        <v>29425</v>
      </c>
      <c r="CK81" s="175">
        <f t="shared" si="327"/>
        <v>144781</v>
      </c>
      <c r="CL81" s="175">
        <f>223539-CK81</f>
        <v>78758</v>
      </c>
      <c r="CM81" s="175">
        <f>CL81+CK81</f>
        <v>223539</v>
      </c>
      <c r="CN81" s="175">
        <v>46741</v>
      </c>
      <c r="CO81" s="175">
        <f t="shared" ref="CO81:CO84" si="329">CP81-CN81</f>
        <v>87722</v>
      </c>
      <c r="CP81" s="175">
        <v>134463</v>
      </c>
      <c r="CQ81" s="175">
        <f t="shared" ref="CQ81:CQ84" si="330">CR81-CP81</f>
        <v>30606</v>
      </c>
      <c r="CR81" s="175">
        <v>165069</v>
      </c>
      <c r="CS81" s="175">
        <f t="shared" ref="CS81:CS92" si="331">CT81-CR81</f>
        <v>33254</v>
      </c>
      <c r="CT81" s="175">
        <v>198323</v>
      </c>
      <c r="CU81" s="175">
        <v>268684</v>
      </c>
      <c r="CV81" s="175">
        <f t="shared" ref="CV81:CV84" si="332">CW81-CU81</f>
        <v>122245</v>
      </c>
      <c r="CW81" s="175">
        <v>390929</v>
      </c>
      <c r="CX81" s="175">
        <f t="shared" ref="CX81:CX84" si="333">CY81-CW81</f>
        <v>46239</v>
      </c>
      <c r="CY81" s="175">
        <v>437168</v>
      </c>
      <c r="CZ81" s="175">
        <f t="shared" ref="CZ81:CZ84" si="334">DA81-CY81</f>
        <v>68720</v>
      </c>
      <c r="DA81" s="175">
        <v>505888</v>
      </c>
      <c r="DB81" s="175">
        <v>96984</v>
      </c>
      <c r="DC81" s="175">
        <f t="shared" ref="DC81:DC84" si="335">DD81-DB81</f>
        <v>128297</v>
      </c>
      <c r="DD81" s="175">
        <v>225281</v>
      </c>
      <c r="DE81" s="175">
        <f t="shared" ref="DE81:DE84" si="336">DF81-DD81</f>
        <v>43767</v>
      </c>
      <c r="DF81" s="175">
        <v>269048</v>
      </c>
      <c r="DG81" s="175">
        <f t="shared" ref="DG81:DG84" si="337">DH81-DF81</f>
        <v>79088</v>
      </c>
      <c r="DH81" s="175">
        <v>348136</v>
      </c>
      <c r="DI81" s="175">
        <v>9455</v>
      </c>
      <c r="DJ81" s="175">
        <f t="shared" si="328"/>
        <v>32122</v>
      </c>
      <c r="DK81" s="175">
        <v>41577</v>
      </c>
    </row>
    <row r="82" spans="1:115" ht="10.5" customHeight="1" x14ac:dyDescent="0.25">
      <c r="A82" s="56"/>
      <c r="B82" s="57"/>
      <c r="C82" s="57" t="s">
        <v>301</v>
      </c>
      <c r="D82" s="58"/>
      <c r="E82" s="59"/>
      <c r="F82" s="59"/>
      <c r="G82" s="59"/>
      <c r="H82" s="175">
        <v>10540</v>
      </c>
      <c r="I82" s="175">
        <v>2460</v>
      </c>
      <c r="J82" s="178">
        <f t="shared" si="284"/>
        <v>13000</v>
      </c>
      <c r="K82" s="175">
        <v>7199</v>
      </c>
      <c r="L82" s="178">
        <f>J82+K82</f>
        <v>20199</v>
      </c>
      <c r="M82" s="175">
        <v>5288</v>
      </c>
      <c r="N82" s="175">
        <f t="shared" si="317"/>
        <v>25487</v>
      </c>
      <c r="O82" s="178">
        <v>18348</v>
      </c>
      <c r="P82" s="178">
        <v>110</v>
      </c>
      <c r="Q82" s="177">
        <f t="shared" si="285"/>
        <v>18458</v>
      </c>
      <c r="R82" s="178">
        <v>5478</v>
      </c>
      <c r="S82" s="175">
        <f t="shared" si="286"/>
        <v>23936</v>
      </c>
      <c r="T82" s="175">
        <f t="shared" si="307"/>
        <v>6244</v>
      </c>
      <c r="U82" s="175">
        <v>30180</v>
      </c>
      <c r="V82" s="178">
        <v>9182</v>
      </c>
      <c r="W82" s="178">
        <v>8469</v>
      </c>
      <c r="X82" s="175">
        <f t="shared" si="287"/>
        <v>17651</v>
      </c>
      <c r="Y82" s="178">
        <v>2231</v>
      </c>
      <c r="Z82" s="175">
        <f t="shared" si="288"/>
        <v>19882</v>
      </c>
      <c r="AA82" s="177">
        <f t="shared" si="308"/>
        <v>12030</v>
      </c>
      <c r="AB82" s="175">
        <v>31912</v>
      </c>
      <c r="AC82" s="175">
        <v>13098</v>
      </c>
      <c r="AD82" s="175">
        <f t="shared" si="318"/>
        <v>14918</v>
      </c>
      <c r="AE82" s="175">
        <v>28016</v>
      </c>
      <c r="AF82" s="175">
        <f t="shared" si="319"/>
        <v>14919</v>
      </c>
      <c r="AG82" s="175">
        <v>42935</v>
      </c>
      <c r="AH82" s="175">
        <f>AI82-AG82</f>
        <v>42634</v>
      </c>
      <c r="AI82" s="175">
        <v>85569</v>
      </c>
      <c r="AJ82" s="175">
        <v>27422</v>
      </c>
      <c r="AK82" s="175">
        <v>5704</v>
      </c>
      <c r="AL82" s="175">
        <f t="shared" si="320"/>
        <v>33126</v>
      </c>
      <c r="AM82" s="175">
        <v>20134</v>
      </c>
      <c r="AN82" s="175">
        <f t="shared" si="321"/>
        <v>53260</v>
      </c>
      <c r="AO82" s="175">
        <f>82049-53260</f>
        <v>28789</v>
      </c>
      <c r="AP82" s="175">
        <f>SUM(AN82:AO82)</f>
        <v>82049</v>
      </c>
      <c r="AQ82" s="175">
        <v>3696</v>
      </c>
      <c r="AR82" s="175">
        <v>7272</v>
      </c>
      <c r="AS82" s="175">
        <v>10968</v>
      </c>
      <c r="AT82" s="175">
        <v>6756</v>
      </c>
      <c r="AU82" s="175">
        <v>17724</v>
      </c>
      <c r="AV82" s="175">
        <v>5024</v>
      </c>
      <c r="AW82" s="175">
        <f>SUM(AU82:AV82)</f>
        <v>22748</v>
      </c>
      <c r="AX82" s="175">
        <v>7578</v>
      </c>
      <c r="AY82" s="175">
        <f t="shared" si="292"/>
        <v>5535</v>
      </c>
      <c r="AZ82" s="175">
        <v>13113</v>
      </c>
      <c r="BA82" s="175">
        <f t="shared" si="293"/>
        <v>5058</v>
      </c>
      <c r="BB82" s="175">
        <v>18171</v>
      </c>
      <c r="BC82" s="175">
        <f t="shared" si="293"/>
        <v>6332</v>
      </c>
      <c r="BD82" s="175">
        <v>24503</v>
      </c>
      <c r="BE82" s="175">
        <v>2742</v>
      </c>
      <c r="BF82" s="175">
        <f>12827-BE82</f>
        <v>10085</v>
      </c>
      <c r="BG82" s="175">
        <f t="shared" si="322"/>
        <v>12827</v>
      </c>
      <c r="BH82" s="175">
        <f>14167-BG82</f>
        <v>1340</v>
      </c>
      <c r="BI82" s="175">
        <f t="shared" si="323"/>
        <v>14167</v>
      </c>
      <c r="BJ82" s="175">
        <f>18220-BI82</f>
        <v>4053</v>
      </c>
      <c r="BK82" s="175">
        <f>BJ82+BI82</f>
        <v>18220</v>
      </c>
      <c r="BL82" s="175">
        <v>1854</v>
      </c>
      <c r="BM82" s="175">
        <f>3672-BL82</f>
        <v>1818</v>
      </c>
      <c r="BN82" s="175">
        <f>BM82+BL82</f>
        <v>3672</v>
      </c>
      <c r="BO82" s="175">
        <f>5331-BN82</f>
        <v>1659</v>
      </c>
      <c r="BP82" s="175">
        <f t="shared" si="324"/>
        <v>5331</v>
      </c>
      <c r="BQ82" s="175">
        <f>5587-BP82</f>
        <v>256</v>
      </c>
      <c r="BR82" s="175">
        <f>BQ82+BP82</f>
        <v>5587</v>
      </c>
      <c r="BS82" s="175">
        <v>0</v>
      </c>
      <c r="BT82" s="175">
        <v>0</v>
      </c>
      <c r="BU82" s="175">
        <f>BT82+BS82</f>
        <v>0</v>
      </c>
      <c r="BV82" s="175">
        <v>0</v>
      </c>
      <c r="BW82" s="175">
        <f t="shared" si="325"/>
        <v>0</v>
      </c>
      <c r="BX82" s="175">
        <v>-14</v>
      </c>
      <c r="BY82" s="175">
        <f>BX82+BW82</f>
        <v>-14</v>
      </c>
      <c r="BZ82" s="175">
        <v>0</v>
      </c>
      <c r="CA82" s="175">
        <v>0</v>
      </c>
      <c r="CB82" s="175">
        <f>CA82+BZ82</f>
        <v>0</v>
      </c>
      <c r="CC82" s="175">
        <v>0</v>
      </c>
      <c r="CD82" s="175">
        <f t="shared" si="326"/>
        <v>0</v>
      </c>
      <c r="CE82" s="175">
        <f>0</f>
        <v>0</v>
      </c>
      <c r="CF82" s="175">
        <f>CE82+CD82</f>
        <v>0</v>
      </c>
      <c r="CG82" s="175">
        <v>0</v>
      </c>
      <c r="CH82" s="175">
        <v>0</v>
      </c>
      <c r="CI82" s="175">
        <f>CH82+CG82</f>
        <v>0</v>
      </c>
      <c r="CJ82" s="175">
        <v>0</v>
      </c>
      <c r="CK82" s="175">
        <f t="shared" si="327"/>
        <v>0</v>
      </c>
      <c r="CL82" s="175">
        <f>0</f>
        <v>0</v>
      </c>
      <c r="CM82" s="175">
        <f>CL82+CK82</f>
        <v>0</v>
      </c>
      <c r="CN82" s="175">
        <v>0</v>
      </c>
      <c r="CO82" s="175">
        <f t="shared" si="329"/>
        <v>5</v>
      </c>
      <c r="CP82" s="175">
        <v>5</v>
      </c>
      <c r="CQ82" s="175">
        <f t="shared" si="330"/>
        <v>0</v>
      </c>
      <c r="CR82" s="175">
        <v>5</v>
      </c>
      <c r="CS82" s="175">
        <f t="shared" si="331"/>
        <v>0</v>
      </c>
      <c r="CT82" s="175">
        <v>5</v>
      </c>
      <c r="CU82" s="175">
        <v>0</v>
      </c>
      <c r="CV82" s="175">
        <f t="shared" si="332"/>
        <v>0</v>
      </c>
      <c r="CW82" s="175">
        <v>0</v>
      </c>
      <c r="CX82" s="175">
        <f t="shared" si="333"/>
        <v>83</v>
      </c>
      <c r="CY82" s="175">
        <v>83</v>
      </c>
      <c r="CZ82" s="175">
        <f t="shared" si="334"/>
        <v>6</v>
      </c>
      <c r="DA82" s="175">
        <v>89</v>
      </c>
      <c r="DB82" s="175">
        <v>83</v>
      </c>
      <c r="DC82" s="175">
        <f t="shared" si="335"/>
        <v>4132</v>
      </c>
      <c r="DD82" s="175">
        <v>4215</v>
      </c>
      <c r="DE82" s="175">
        <f t="shared" si="336"/>
        <v>0</v>
      </c>
      <c r="DF82" s="175">
        <v>4215</v>
      </c>
      <c r="DG82" s="175">
        <f t="shared" si="337"/>
        <v>2</v>
      </c>
      <c r="DH82" s="175">
        <v>4217</v>
      </c>
      <c r="DI82" s="175">
        <v>0</v>
      </c>
      <c r="DJ82" s="175">
        <f t="shared" si="328"/>
        <v>1</v>
      </c>
      <c r="DK82" s="175">
        <v>1</v>
      </c>
    </row>
    <row r="83" spans="1:115" ht="10.5" customHeight="1" x14ac:dyDescent="0.25">
      <c r="A83" s="103"/>
      <c r="B83" s="104"/>
      <c r="C83" s="104" t="s">
        <v>302</v>
      </c>
      <c r="D83" s="102"/>
      <c r="E83" s="105"/>
      <c r="F83" s="105"/>
      <c r="G83" s="105"/>
      <c r="H83" s="175">
        <v>5217</v>
      </c>
      <c r="I83" s="175">
        <v>37243</v>
      </c>
      <c r="J83" s="178">
        <f t="shared" si="284"/>
        <v>42460</v>
      </c>
      <c r="K83" s="175">
        <v>13867</v>
      </c>
      <c r="L83" s="178">
        <f>J83+K83</f>
        <v>56327</v>
      </c>
      <c r="M83" s="175">
        <v>5164</v>
      </c>
      <c r="N83" s="175">
        <f t="shared" si="317"/>
        <v>61491</v>
      </c>
      <c r="O83" s="178">
        <v>6233</v>
      </c>
      <c r="P83" s="178">
        <v>1803</v>
      </c>
      <c r="Q83" s="177">
        <f t="shared" si="285"/>
        <v>8036</v>
      </c>
      <c r="R83" s="178">
        <v>4655</v>
      </c>
      <c r="S83" s="175">
        <f t="shared" si="286"/>
        <v>12691</v>
      </c>
      <c r="T83" s="175">
        <f t="shared" si="307"/>
        <v>11794</v>
      </c>
      <c r="U83" s="175">
        <v>24485</v>
      </c>
      <c r="V83" s="178">
        <v>7880</v>
      </c>
      <c r="W83" s="178">
        <v>7361</v>
      </c>
      <c r="X83" s="175">
        <f t="shared" si="287"/>
        <v>15241</v>
      </c>
      <c r="Y83" s="178">
        <v>7776</v>
      </c>
      <c r="Z83" s="175">
        <f t="shared" si="288"/>
        <v>23017</v>
      </c>
      <c r="AA83" s="177">
        <f t="shared" si="308"/>
        <v>7195</v>
      </c>
      <c r="AB83" s="175">
        <v>30212</v>
      </c>
      <c r="AC83" s="175">
        <v>3038</v>
      </c>
      <c r="AD83" s="175">
        <f t="shared" si="318"/>
        <v>9770</v>
      </c>
      <c r="AE83" s="175">
        <v>12808</v>
      </c>
      <c r="AF83" s="175">
        <f t="shared" si="319"/>
        <v>4820</v>
      </c>
      <c r="AG83" s="175">
        <v>17628</v>
      </c>
      <c r="AH83" s="175">
        <f>AI83-AG83</f>
        <v>1479</v>
      </c>
      <c r="AI83" s="175">
        <v>19107</v>
      </c>
      <c r="AJ83" s="175">
        <v>3096</v>
      </c>
      <c r="AK83" s="175">
        <v>3887</v>
      </c>
      <c r="AL83" s="175">
        <f t="shared" si="320"/>
        <v>6983</v>
      </c>
      <c r="AM83" s="175">
        <v>4218</v>
      </c>
      <c r="AN83" s="175">
        <f t="shared" si="321"/>
        <v>11201</v>
      </c>
      <c r="AO83" s="175">
        <f>13540-11201</f>
        <v>2339</v>
      </c>
      <c r="AP83" s="175">
        <f>SUM(AN83:AO83)</f>
        <v>13540</v>
      </c>
      <c r="AQ83" s="175">
        <v>3120</v>
      </c>
      <c r="AR83" s="175">
        <v>4075</v>
      </c>
      <c r="AS83" s="175">
        <v>7195</v>
      </c>
      <c r="AT83" s="175">
        <v>9032</v>
      </c>
      <c r="AU83" s="175">
        <v>16227</v>
      </c>
      <c r="AV83" s="175">
        <v>8594</v>
      </c>
      <c r="AW83" s="175">
        <f>SUM(AU83:AV83)</f>
        <v>24821</v>
      </c>
      <c r="AX83" s="175">
        <v>52905</v>
      </c>
      <c r="AY83" s="175">
        <f t="shared" si="292"/>
        <v>23696</v>
      </c>
      <c r="AZ83" s="175">
        <v>76601</v>
      </c>
      <c r="BA83" s="175">
        <f t="shared" si="293"/>
        <v>66549</v>
      </c>
      <c r="BB83" s="175">
        <v>143150</v>
      </c>
      <c r="BC83" s="175">
        <f t="shared" si="293"/>
        <v>24082</v>
      </c>
      <c r="BD83" s="175">
        <v>167232</v>
      </c>
      <c r="BE83" s="175">
        <v>20970</v>
      </c>
      <c r="BF83" s="175">
        <f>38173-BE83</f>
        <v>17203</v>
      </c>
      <c r="BG83" s="175">
        <f t="shared" si="322"/>
        <v>38173</v>
      </c>
      <c r="BH83" s="175">
        <f>39069-BG83</f>
        <v>896</v>
      </c>
      <c r="BI83" s="175">
        <f t="shared" si="323"/>
        <v>39069</v>
      </c>
      <c r="BJ83" s="175">
        <f>72026-BI83</f>
        <v>32957</v>
      </c>
      <c r="BK83" s="175">
        <f>BJ83+BI83</f>
        <v>72026</v>
      </c>
      <c r="BL83" s="175">
        <v>3182</v>
      </c>
      <c r="BM83" s="175">
        <f>18840-BL83</f>
        <v>15658</v>
      </c>
      <c r="BN83" s="175">
        <f>BM83+BL83</f>
        <v>18840</v>
      </c>
      <c r="BO83" s="175">
        <f>19654-BN83</f>
        <v>814</v>
      </c>
      <c r="BP83" s="175">
        <f t="shared" si="324"/>
        <v>19654</v>
      </c>
      <c r="BQ83" s="175">
        <f>29373-BP83</f>
        <v>9719</v>
      </c>
      <c r="BR83" s="175">
        <f>BQ83+BP83</f>
        <v>29373</v>
      </c>
      <c r="BS83" s="175">
        <v>7972</v>
      </c>
      <c r="BT83" s="175">
        <f>38527-BS83</f>
        <v>30555</v>
      </c>
      <c r="BU83" s="175">
        <f>BT83+BS83</f>
        <v>38527</v>
      </c>
      <c r="BV83" s="175">
        <f>74324-BU83</f>
        <v>35797</v>
      </c>
      <c r="BW83" s="175">
        <f t="shared" si="325"/>
        <v>74324</v>
      </c>
      <c r="BX83" s="175">
        <f>111524-BW83</f>
        <v>37200</v>
      </c>
      <c r="BY83" s="175">
        <f>BX83+BW83</f>
        <v>111524</v>
      </c>
      <c r="BZ83" s="175">
        <v>11354</v>
      </c>
      <c r="CA83" s="175">
        <f>13002-BZ83</f>
        <v>1648</v>
      </c>
      <c r="CB83" s="175">
        <f>CA83+BZ83</f>
        <v>13002</v>
      </c>
      <c r="CC83" s="175">
        <f>33405-CB83</f>
        <v>20403</v>
      </c>
      <c r="CD83" s="175">
        <f t="shared" si="326"/>
        <v>33405</v>
      </c>
      <c r="CE83" s="175">
        <f>45902-CD83</f>
        <v>12497</v>
      </c>
      <c r="CF83" s="175">
        <f>CE83+CD83</f>
        <v>45902</v>
      </c>
      <c r="CG83" s="175">
        <v>75738</v>
      </c>
      <c r="CH83" s="175">
        <f>110967-CG83</f>
        <v>35229</v>
      </c>
      <c r="CI83" s="175">
        <f>CH83+CG83</f>
        <v>110967</v>
      </c>
      <c r="CJ83" s="175">
        <f>154638-CI83</f>
        <v>43671</v>
      </c>
      <c r="CK83" s="175">
        <f t="shared" si="327"/>
        <v>154638</v>
      </c>
      <c r="CL83" s="175">
        <f>175017-CK83</f>
        <v>20379</v>
      </c>
      <c r="CM83" s="175">
        <f>CL83+CK83</f>
        <v>175017</v>
      </c>
      <c r="CN83" s="175">
        <v>38360</v>
      </c>
      <c r="CO83" s="175">
        <f t="shared" si="329"/>
        <v>2266</v>
      </c>
      <c r="CP83" s="175">
        <v>40626</v>
      </c>
      <c r="CQ83" s="175">
        <f t="shared" si="330"/>
        <v>353522</v>
      </c>
      <c r="CR83" s="175">
        <v>394148</v>
      </c>
      <c r="CS83" s="175">
        <f t="shared" si="331"/>
        <v>-157554</v>
      </c>
      <c r="CT83" s="175">
        <v>236594</v>
      </c>
      <c r="CU83" s="175">
        <v>18959</v>
      </c>
      <c r="CV83" s="175">
        <f t="shared" si="332"/>
        <v>136494</v>
      </c>
      <c r="CW83" s="175">
        <v>155453</v>
      </c>
      <c r="CX83" s="175">
        <f t="shared" si="333"/>
        <v>51170</v>
      </c>
      <c r="CY83" s="175">
        <v>206623</v>
      </c>
      <c r="CZ83" s="175">
        <f t="shared" si="334"/>
        <v>9304</v>
      </c>
      <c r="DA83" s="175">
        <v>215927</v>
      </c>
      <c r="DB83" s="175">
        <v>5205</v>
      </c>
      <c r="DC83" s="175">
        <f t="shared" si="335"/>
        <v>1094</v>
      </c>
      <c r="DD83" s="175">
        <v>6299</v>
      </c>
      <c r="DE83" s="175">
        <f t="shared" si="336"/>
        <v>2449</v>
      </c>
      <c r="DF83" s="175">
        <v>8748</v>
      </c>
      <c r="DG83" s="175">
        <f t="shared" si="337"/>
        <v>293</v>
      </c>
      <c r="DH83" s="175">
        <v>9041</v>
      </c>
      <c r="DI83" s="175">
        <v>42422</v>
      </c>
      <c r="DJ83" s="175">
        <f t="shared" si="328"/>
        <v>119128</v>
      </c>
      <c r="DK83" s="175">
        <v>161550</v>
      </c>
    </row>
    <row r="84" spans="1:115" ht="10.5" customHeight="1" x14ac:dyDescent="0.25">
      <c r="A84" s="56"/>
      <c r="B84" s="57"/>
      <c r="C84" s="57" t="s">
        <v>110</v>
      </c>
      <c r="D84" s="58"/>
      <c r="E84" s="59"/>
      <c r="F84" s="59"/>
      <c r="G84" s="59"/>
      <c r="H84" s="175">
        <v>238</v>
      </c>
      <c r="I84" s="175">
        <v>752</v>
      </c>
      <c r="J84" s="178">
        <f t="shared" si="284"/>
        <v>990</v>
      </c>
      <c r="K84" s="175">
        <v>1076</v>
      </c>
      <c r="L84" s="178">
        <f>J84+K84</f>
        <v>2066</v>
      </c>
      <c r="M84" s="175">
        <v>751</v>
      </c>
      <c r="N84" s="175">
        <f t="shared" si="317"/>
        <v>2817</v>
      </c>
      <c r="O84" s="178">
        <v>951</v>
      </c>
      <c r="P84" s="178">
        <v>922</v>
      </c>
      <c r="Q84" s="177">
        <f t="shared" si="285"/>
        <v>1873</v>
      </c>
      <c r="R84" s="178">
        <v>1134</v>
      </c>
      <c r="S84" s="175">
        <f t="shared" si="286"/>
        <v>3007</v>
      </c>
      <c r="T84" s="175">
        <f t="shared" si="307"/>
        <v>219</v>
      </c>
      <c r="U84" s="175">
        <v>3226</v>
      </c>
      <c r="V84" s="178">
        <v>1588</v>
      </c>
      <c r="W84" s="178">
        <v>678</v>
      </c>
      <c r="X84" s="175">
        <f t="shared" si="287"/>
        <v>2266</v>
      </c>
      <c r="Y84" s="178">
        <v>-1678</v>
      </c>
      <c r="Z84" s="175">
        <f t="shared" si="288"/>
        <v>588</v>
      </c>
      <c r="AA84" s="177">
        <f t="shared" si="308"/>
        <v>0</v>
      </c>
      <c r="AB84" s="175">
        <v>588</v>
      </c>
      <c r="AC84" s="175">
        <v>16</v>
      </c>
      <c r="AD84" s="175">
        <f t="shared" si="318"/>
        <v>54</v>
      </c>
      <c r="AE84" s="175">
        <v>70</v>
      </c>
      <c r="AF84" s="175">
        <f t="shared" si="319"/>
        <v>35</v>
      </c>
      <c r="AG84" s="175">
        <v>105</v>
      </c>
      <c r="AH84" s="175">
        <f>AI84-AG84</f>
        <v>324</v>
      </c>
      <c r="AI84" s="175">
        <v>429</v>
      </c>
      <c r="AJ84" s="175">
        <v>190</v>
      </c>
      <c r="AK84" s="175">
        <v>168</v>
      </c>
      <c r="AL84" s="175">
        <f t="shared" si="320"/>
        <v>358</v>
      </c>
      <c r="AM84" s="175">
        <v>153</v>
      </c>
      <c r="AN84" s="175">
        <f t="shared" si="321"/>
        <v>511</v>
      </c>
      <c r="AO84" s="175">
        <f>559-511</f>
        <v>48</v>
      </c>
      <c r="AP84" s="175">
        <f>SUM(AN84:AO84)</f>
        <v>559</v>
      </c>
      <c r="AQ84" s="175">
        <v>121</v>
      </c>
      <c r="AR84" s="175">
        <v>79</v>
      </c>
      <c r="AS84" s="175">
        <v>200</v>
      </c>
      <c r="AT84" s="175">
        <v>620</v>
      </c>
      <c r="AU84" s="175">
        <v>820</v>
      </c>
      <c r="AV84" s="175">
        <v>660</v>
      </c>
      <c r="AW84" s="175">
        <f>SUM(AU84:AV84)</f>
        <v>1480</v>
      </c>
      <c r="AX84" s="175">
        <v>108</v>
      </c>
      <c r="AY84" s="175">
        <f t="shared" si="292"/>
        <v>225</v>
      </c>
      <c r="AZ84" s="175">
        <v>333</v>
      </c>
      <c r="BA84" s="175">
        <f t="shared" si="293"/>
        <v>-2</v>
      </c>
      <c r="BB84" s="175">
        <v>331</v>
      </c>
      <c r="BC84" s="175">
        <f t="shared" si="293"/>
        <v>48</v>
      </c>
      <c r="BD84" s="175">
        <v>379</v>
      </c>
      <c r="BE84" s="175">
        <v>4190</v>
      </c>
      <c r="BF84" s="175">
        <f>4471-BE84</f>
        <v>281</v>
      </c>
      <c r="BG84" s="175">
        <f t="shared" si="322"/>
        <v>4471</v>
      </c>
      <c r="BH84" s="175">
        <f>4963-BG84</f>
        <v>492</v>
      </c>
      <c r="BI84" s="175">
        <f t="shared" si="323"/>
        <v>4963</v>
      </c>
      <c r="BJ84" s="175">
        <f>4982-BI84</f>
        <v>19</v>
      </c>
      <c r="BK84" s="175">
        <f>BJ84+BI84</f>
        <v>4982</v>
      </c>
      <c r="BL84" s="175">
        <v>128</v>
      </c>
      <c r="BM84" s="175">
        <f>148-BL84</f>
        <v>20</v>
      </c>
      <c r="BN84" s="175">
        <f>BM84+BL84</f>
        <v>148</v>
      </c>
      <c r="BO84" s="175">
        <f>299-BN84</f>
        <v>151</v>
      </c>
      <c r="BP84" s="175">
        <f t="shared" si="324"/>
        <v>299</v>
      </c>
      <c r="BQ84" s="175">
        <f>326-BP84</f>
        <v>27</v>
      </c>
      <c r="BR84" s="175">
        <f>BQ84+BP84</f>
        <v>326</v>
      </c>
      <c r="BS84" s="175">
        <v>518</v>
      </c>
      <c r="BT84" s="175">
        <f>1180-BS84</f>
        <v>662</v>
      </c>
      <c r="BU84" s="175">
        <f>BT84+BS84</f>
        <v>1180</v>
      </c>
      <c r="BV84" s="175">
        <f>2540-BU84</f>
        <v>1360</v>
      </c>
      <c r="BW84" s="175">
        <f t="shared" si="325"/>
        <v>2540</v>
      </c>
      <c r="BX84" s="175">
        <f>2745-BW84</f>
        <v>205</v>
      </c>
      <c r="BY84" s="175">
        <f>BX84+BW84</f>
        <v>2745</v>
      </c>
      <c r="BZ84" s="175">
        <v>266</v>
      </c>
      <c r="CA84" s="175">
        <f>3520-BZ84</f>
        <v>3254</v>
      </c>
      <c r="CB84" s="175">
        <f>CA84+BZ84</f>
        <v>3520</v>
      </c>
      <c r="CC84" s="175">
        <f>4300-CB84</f>
        <v>780</v>
      </c>
      <c r="CD84" s="175">
        <f t="shared" si="326"/>
        <v>4300</v>
      </c>
      <c r="CE84" s="175">
        <f>4199-CD84</f>
        <v>-101</v>
      </c>
      <c r="CF84" s="175">
        <f>CE84+CD84</f>
        <v>4199</v>
      </c>
      <c r="CG84" s="175">
        <v>71</v>
      </c>
      <c r="CH84" s="175">
        <f>464-CG84</f>
        <v>393</v>
      </c>
      <c r="CI84" s="175">
        <f>CH84+CG84</f>
        <v>464</v>
      </c>
      <c r="CJ84" s="175">
        <f>983-CI84</f>
        <v>519</v>
      </c>
      <c r="CK84" s="175">
        <f t="shared" si="327"/>
        <v>983</v>
      </c>
      <c r="CL84" s="175">
        <f>1213-CK84</f>
        <v>230</v>
      </c>
      <c r="CM84" s="175">
        <f>CL84+CK84</f>
        <v>1213</v>
      </c>
      <c r="CN84" s="175">
        <v>472</v>
      </c>
      <c r="CO84" s="175">
        <f t="shared" si="329"/>
        <v>739</v>
      </c>
      <c r="CP84" s="175">
        <v>1211</v>
      </c>
      <c r="CQ84" s="175">
        <f t="shared" si="330"/>
        <v>2543</v>
      </c>
      <c r="CR84" s="175">
        <v>3754</v>
      </c>
      <c r="CS84" s="175">
        <f t="shared" si="331"/>
        <v>12930</v>
      </c>
      <c r="CT84" s="175">
        <v>16684</v>
      </c>
      <c r="CU84" s="175">
        <v>6704</v>
      </c>
      <c r="CV84" s="175">
        <f t="shared" si="332"/>
        <v>551</v>
      </c>
      <c r="CW84" s="175">
        <v>7255</v>
      </c>
      <c r="CX84" s="175">
        <f t="shared" si="333"/>
        <v>245</v>
      </c>
      <c r="CY84" s="175">
        <v>7500</v>
      </c>
      <c r="CZ84" s="175">
        <f t="shared" si="334"/>
        <v>6605</v>
      </c>
      <c r="DA84" s="175">
        <v>14105</v>
      </c>
      <c r="DB84" s="175">
        <v>298</v>
      </c>
      <c r="DC84" s="175">
        <f t="shared" si="335"/>
        <v>57</v>
      </c>
      <c r="DD84" s="175">
        <v>355</v>
      </c>
      <c r="DE84" s="175">
        <f t="shared" si="336"/>
        <v>83</v>
      </c>
      <c r="DF84" s="175">
        <v>438</v>
      </c>
      <c r="DG84" s="175">
        <f t="shared" si="337"/>
        <v>0</v>
      </c>
      <c r="DH84" s="175">
        <v>438</v>
      </c>
      <c r="DI84" s="175">
        <v>599</v>
      </c>
      <c r="DJ84" s="175">
        <f t="shared" si="328"/>
        <v>4</v>
      </c>
      <c r="DK84" s="175">
        <v>603</v>
      </c>
    </row>
    <row r="85" spans="1:115" ht="10.5" customHeight="1" x14ac:dyDescent="0.25">
      <c r="A85" s="56"/>
      <c r="B85" s="57" t="s">
        <v>303</v>
      </c>
      <c r="C85" s="57"/>
      <c r="D85" s="58"/>
      <c r="E85" s="59"/>
      <c r="F85" s="59"/>
      <c r="G85" s="59"/>
      <c r="H85" s="180">
        <f t="shared" ref="H85:R85" si="338">SUM(H86:H92)</f>
        <v>-47125</v>
      </c>
      <c r="I85" s="180">
        <f t="shared" si="338"/>
        <v>-64636</v>
      </c>
      <c r="J85" s="180">
        <f t="shared" si="338"/>
        <v>-111761</v>
      </c>
      <c r="K85" s="180">
        <f t="shared" si="338"/>
        <v>-33385</v>
      </c>
      <c r="L85" s="180">
        <f t="shared" si="338"/>
        <v>-145146</v>
      </c>
      <c r="M85" s="180">
        <f t="shared" si="338"/>
        <v>-14411</v>
      </c>
      <c r="N85" s="180">
        <f t="shared" si="338"/>
        <v>-159557</v>
      </c>
      <c r="O85" s="180">
        <f t="shared" si="338"/>
        <v>-20974</v>
      </c>
      <c r="P85" s="180">
        <f t="shared" si="338"/>
        <v>-25643</v>
      </c>
      <c r="Q85" s="180">
        <f t="shared" si="338"/>
        <v>-46617</v>
      </c>
      <c r="R85" s="180">
        <f t="shared" si="338"/>
        <v>-44736</v>
      </c>
      <c r="S85" s="180">
        <f t="shared" si="286"/>
        <v>-91353</v>
      </c>
      <c r="T85" s="175">
        <f t="shared" si="307"/>
        <v>-42034</v>
      </c>
      <c r="U85" s="180">
        <f>SUM(U86:U92)</f>
        <v>-133387</v>
      </c>
      <c r="V85" s="180">
        <f>SUM(V86:V92)</f>
        <v>-45007</v>
      </c>
      <c r="W85" s="180">
        <f>SUM(W86:W92)</f>
        <v>-16818</v>
      </c>
      <c r="X85" s="175">
        <f t="shared" si="287"/>
        <v>-61825</v>
      </c>
      <c r="Y85" s="180">
        <v>-24730</v>
      </c>
      <c r="Z85" s="175">
        <f t="shared" si="288"/>
        <v>-86555</v>
      </c>
      <c r="AA85" s="180">
        <f t="shared" si="308"/>
        <v>-32810</v>
      </c>
      <c r="AB85" s="180">
        <v>-119365</v>
      </c>
      <c r="AC85" s="180">
        <f>SUM(AC86:AC92)</f>
        <v>-46710</v>
      </c>
      <c r="AD85" s="180">
        <f>SUM(AD86:AD92)</f>
        <v>-77700</v>
      </c>
      <c r="AE85" s="180">
        <f>AC85+AD85</f>
        <v>-124410</v>
      </c>
      <c r="AF85" s="180">
        <f>SUM(AF86:AF92)</f>
        <v>-68289</v>
      </c>
      <c r="AG85" s="180">
        <f>AE85+AF85</f>
        <v>-192699</v>
      </c>
      <c r="AH85" s="180">
        <f>SUM(AH86:AH92)</f>
        <v>-28708</v>
      </c>
      <c r="AI85" s="180">
        <f>AG85+AH85</f>
        <v>-221407</v>
      </c>
      <c r="AJ85" s="180">
        <f t="shared" ref="AJ85:AP85" si="339">SUM(AJ86:AJ92)</f>
        <v>-29623</v>
      </c>
      <c r="AK85" s="180">
        <f t="shared" si="339"/>
        <v>-39449</v>
      </c>
      <c r="AL85" s="180">
        <f t="shared" si="339"/>
        <v>-69072</v>
      </c>
      <c r="AM85" s="180">
        <f t="shared" si="339"/>
        <v>-46884</v>
      </c>
      <c r="AN85" s="180">
        <f t="shared" si="339"/>
        <v>-115956</v>
      </c>
      <c r="AO85" s="180">
        <f t="shared" si="339"/>
        <v>-59638</v>
      </c>
      <c r="AP85" s="180">
        <f t="shared" si="339"/>
        <v>-175594</v>
      </c>
      <c r="AQ85" s="180">
        <f t="shared" ref="AQ85:AX85" si="340">SUM(AQ86:AQ92)</f>
        <v>-55343</v>
      </c>
      <c r="AR85" s="180">
        <f t="shared" si="340"/>
        <v>-45283</v>
      </c>
      <c r="AS85" s="180">
        <f t="shared" si="340"/>
        <v>-100626</v>
      </c>
      <c r="AT85" s="180">
        <f t="shared" si="340"/>
        <v>-55854</v>
      </c>
      <c r="AU85" s="180">
        <f t="shared" si="340"/>
        <v>-156480</v>
      </c>
      <c r="AV85" s="180">
        <f t="shared" si="340"/>
        <v>-83791</v>
      </c>
      <c r="AW85" s="180">
        <f t="shared" si="340"/>
        <v>-240271</v>
      </c>
      <c r="AX85" s="180">
        <f t="shared" si="340"/>
        <v>-146488</v>
      </c>
      <c r="AY85" s="180">
        <f t="shared" si="292"/>
        <v>-114671</v>
      </c>
      <c r="AZ85" s="180">
        <f>SUM(AZ86:AZ92)</f>
        <v>-261159</v>
      </c>
      <c r="BA85" s="180">
        <f t="shared" si="293"/>
        <v>-152186</v>
      </c>
      <c r="BB85" s="180">
        <f>SUM(BB86:BB92)</f>
        <v>-413345</v>
      </c>
      <c r="BC85" s="180">
        <f t="shared" si="293"/>
        <v>-152865</v>
      </c>
      <c r="BD85" s="180">
        <f>SUM(BD86:BD92)</f>
        <v>-566210</v>
      </c>
      <c r="BE85" s="180">
        <f>SUM(BE86:BE92)</f>
        <v>-188578</v>
      </c>
      <c r="BF85" s="180">
        <f t="shared" ref="BF85:CJ85" si="341">SUM(BF86:BF92)</f>
        <v>-127079</v>
      </c>
      <c r="BG85" s="180">
        <f t="shared" si="341"/>
        <v>-315657</v>
      </c>
      <c r="BH85" s="180">
        <f t="shared" si="341"/>
        <v>-76539</v>
      </c>
      <c r="BI85" s="175">
        <f>BH85+BG85</f>
        <v>-392196</v>
      </c>
      <c r="BJ85" s="180">
        <f>SUM(BJ86:BJ92)</f>
        <v>-121936</v>
      </c>
      <c r="BK85" s="180">
        <f t="shared" si="341"/>
        <v>-514132</v>
      </c>
      <c r="BL85" s="180">
        <f t="shared" si="341"/>
        <v>-105068</v>
      </c>
      <c r="BM85" s="180">
        <f t="shared" si="341"/>
        <v>-61113</v>
      </c>
      <c r="BN85" s="180">
        <f t="shared" si="341"/>
        <v>-166181</v>
      </c>
      <c r="BO85" s="180">
        <f t="shared" si="341"/>
        <v>-50698</v>
      </c>
      <c r="BP85" s="201">
        <f>BO85+BN85</f>
        <v>-216879</v>
      </c>
      <c r="BQ85" s="180">
        <f t="shared" si="341"/>
        <v>-59269</v>
      </c>
      <c r="BR85" s="180">
        <f>SUM(BR86:BR92)</f>
        <v>-276148</v>
      </c>
      <c r="BS85" s="180">
        <f t="shared" si="341"/>
        <v>-53372</v>
      </c>
      <c r="BT85" s="180">
        <f t="shared" si="341"/>
        <v>-70671</v>
      </c>
      <c r="BU85" s="180">
        <f t="shared" si="341"/>
        <v>-124043</v>
      </c>
      <c r="BV85" s="180">
        <f t="shared" si="341"/>
        <v>-109102</v>
      </c>
      <c r="BW85" s="175">
        <f>BV85+BU85</f>
        <v>-233145</v>
      </c>
      <c r="BX85" s="180">
        <f t="shared" si="341"/>
        <v>-126137</v>
      </c>
      <c r="BY85" s="180">
        <f>SUM(BY86:BY92)</f>
        <v>-359282</v>
      </c>
      <c r="BZ85" s="180">
        <f t="shared" si="341"/>
        <v>-68097</v>
      </c>
      <c r="CA85" s="180">
        <f t="shared" si="341"/>
        <v>-64264</v>
      </c>
      <c r="CB85" s="180">
        <f t="shared" si="341"/>
        <v>-132361</v>
      </c>
      <c r="CC85" s="180">
        <f t="shared" si="341"/>
        <v>-82014</v>
      </c>
      <c r="CD85" s="201">
        <f>CC85+CB85</f>
        <v>-214375</v>
      </c>
      <c r="CE85" s="180">
        <f t="shared" si="341"/>
        <v>-133334</v>
      </c>
      <c r="CF85" s="180">
        <f>SUM(CF86:CF92)</f>
        <v>-347709</v>
      </c>
      <c r="CG85" s="180">
        <f t="shared" si="341"/>
        <v>-190515</v>
      </c>
      <c r="CH85" s="180">
        <f t="shared" si="341"/>
        <v>-107974</v>
      </c>
      <c r="CI85" s="180">
        <f t="shared" si="341"/>
        <v>-298489</v>
      </c>
      <c r="CJ85" s="180">
        <f t="shared" si="341"/>
        <v>-104644</v>
      </c>
      <c r="CK85" s="175">
        <f>CJ85+CI85</f>
        <v>-403133</v>
      </c>
      <c r="CL85" s="180">
        <f>SUM(CL86:CL92)</f>
        <v>-118296</v>
      </c>
      <c r="CM85" s="180">
        <f>SUM(CM86:CM92)</f>
        <v>-521429</v>
      </c>
      <c r="CN85" s="180">
        <f>SUM(CN86:CN92)</f>
        <v>-126357</v>
      </c>
      <c r="CO85" s="180">
        <f>SUM(CO86:CO92)</f>
        <v>-169175</v>
      </c>
      <c r="CP85" s="180">
        <f t="shared" ref="CP85:CR85" si="342">SUM(CP86:CP92)</f>
        <v>-295532</v>
      </c>
      <c r="CQ85" s="180">
        <f>SUM(CQ86:CQ92)</f>
        <v>-479646</v>
      </c>
      <c r="CR85" s="180">
        <f t="shared" si="342"/>
        <v>-775178</v>
      </c>
      <c r="CS85" s="180">
        <f>SUM(CS86:CS92)</f>
        <v>-72088</v>
      </c>
      <c r="CT85" s="180">
        <f>SUM(CT86:CT92)</f>
        <v>-847266</v>
      </c>
      <c r="CU85" s="180">
        <f>SUM(CU86:CU92)</f>
        <v>-459927</v>
      </c>
      <c r="CV85" s="180">
        <f>SUM(CV86:CV92)</f>
        <v>-418580</v>
      </c>
      <c r="CW85" s="180">
        <f t="shared" ref="CW85" si="343">SUM(CW86:CW92)</f>
        <v>-878507</v>
      </c>
      <c r="CX85" s="180">
        <f>SUM(CX86:CX92)+1</f>
        <v>-319035</v>
      </c>
      <c r="CY85" s="180">
        <f t="shared" ref="CY85:DA85" si="344">SUM(CY86:CY92)</f>
        <v>-1197543</v>
      </c>
      <c r="CZ85" s="180">
        <f>SUM(CZ86:CZ92)</f>
        <v>-348742</v>
      </c>
      <c r="DA85" s="180">
        <f t="shared" si="344"/>
        <v>-1546285</v>
      </c>
      <c r="DB85" s="180">
        <f>SUM(DB86:DB92)</f>
        <v>-289522</v>
      </c>
      <c r="DC85" s="180">
        <f>SUM(DC86:DC92)-2</f>
        <v>-342248</v>
      </c>
      <c r="DD85" s="180">
        <f>SUM(DD86:DD92)-2</f>
        <v>-631770</v>
      </c>
      <c r="DE85" s="180">
        <f>SUM(DE86:DE92)+2</f>
        <v>-275132</v>
      </c>
      <c r="DF85" s="180">
        <f t="shared" ref="DF85:DH85" si="345">SUM(DF86:DF92)</f>
        <v>-906902</v>
      </c>
      <c r="DG85" s="180">
        <f>SUM(DG86:DG92)</f>
        <v>-328556</v>
      </c>
      <c r="DH85" s="180">
        <f t="shared" si="345"/>
        <v>-1235458</v>
      </c>
      <c r="DI85" s="180">
        <f>SUM(DI86:DI92)</f>
        <v>-280769</v>
      </c>
      <c r="DJ85" s="180">
        <f t="shared" si="328"/>
        <v>-408381</v>
      </c>
      <c r="DK85" s="180">
        <f>SUM(DK86:DK92)</f>
        <v>-689150</v>
      </c>
    </row>
    <row r="86" spans="1:115" ht="10.5" customHeight="1" x14ac:dyDescent="0.25">
      <c r="A86" s="56"/>
      <c r="B86" s="57"/>
      <c r="C86" s="57" t="s">
        <v>304</v>
      </c>
      <c r="D86" s="58"/>
      <c r="E86" s="59"/>
      <c r="F86" s="59"/>
      <c r="G86" s="59"/>
      <c r="H86" s="175">
        <v>-6426</v>
      </c>
      <c r="I86" s="175">
        <v>-7738</v>
      </c>
      <c r="J86" s="178">
        <f t="shared" si="284"/>
        <v>-14164</v>
      </c>
      <c r="K86" s="175">
        <v>-8050</v>
      </c>
      <c r="L86" s="178">
        <f t="shared" ref="L86:L97" si="346">J86+K86</f>
        <v>-22214</v>
      </c>
      <c r="M86" s="175">
        <v>-7673</v>
      </c>
      <c r="N86" s="175">
        <f t="shared" si="317"/>
        <v>-29887</v>
      </c>
      <c r="O86" s="178">
        <v>-9651</v>
      </c>
      <c r="P86" s="178">
        <f>Q86-O86</f>
        <v>-9238</v>
      </c>
      <c r="Q86" s="177">
        <v>-18889</v>
      </c>
      <c r="R86" s="178">
        <f>S86-Q86</f>
        <v>-7921</v>
      </c>
      <c r="S86" s="175">
        <v>-26810</v>
      </c>
      <c r="T86" s="175">
        <f t="shared" si="307"/>
        <v>-7741</v>
      </c>
      <c r="U86" s="175">
        <v>-34551</v>
      </c>
      <c r="V86" s="178">
        <v>-9536</v>
      </c>
      <c r="W86" s="178">
        <v>-6799</v>
      </c>
      <c r="X86" s="175">
        <f t="shared" si="287"/>
        <v>-16335</v>
      </c>
      <c r="Y86" s="178">
        <v>-6650</v>
      </c>
      <c r="Z86" s="175">
        <f t="shared" si="288"/>
        <v>-22985</v>
      </c>
      <c r="AA86" s="175">
        <f t="shared" si="308"/>
        <v>-10446</v>
      </c>
      <c r="AB86" s="175">
        <v>-33431</v>
      </c>
      <c r="AC86" s="175">
        <v>-9786</v>
      </c>
      <c r="AD86" s="175">
        <f t="shared" si="318"/>
        <v>-10307</v>
      </c>
      <c r="AE86" s="175">
        <v>-20093</v>
      </c>
      <c r="AF86" s="175">
        <f t="shared" si="319"/>
        <v>-14258</v>
      </c>
      <c r="AG86" s="175">
        <v>-34351</v>
      </c>
      <c r="AH86" s="175">
        <f>AI86-AG86</f>
        <v>-11529</v>
      </c>
      <c r="AI86" s="175">
        <v>-45880</v>
      </c>
      <c r="AJ86" s="175">
        <v>-12765</v>
      </c>
      <c r="AK86" s="175">
        <v>-12166</v>
      </c>
      <c r="AL86" s="175">
        <f t="shared" si="320"/>
        <v>-24931</v>
      </c>
      <c r="AM86" s="175">
        <v>-14643</v>
      </c>
      <c r="AN86" s="175">
        <f t="shared" si="321"/>
        <v>-39574</v>
      </c>
      <c r="AO86" s="175">
        <f>-58086+39574</f>
        <v>-18512</v>
      </c>
      <c r="AP86" s="175">
        <f>SUM(AN86:AO86)</f>
        <v>-58086</v>
      </c>
      <c r="AQ86" s="175">
        <v>-18620</v>
      </c>
      <c r="AR86" s="175">
        <v>-22672</v>
      </c>
      <c r="AS86" s="175">
        <v>-41292</v>
      </c>
      <c r="AT86" s="175">
        <v>-31085</v>
      </c>
      <c r="AU86" s="175">
        <v>-72377</v>
      </c>
      <c r="AV86" s="175">
        <v>-26760</v>
      </c>
      <c r="AW86" s="175">
        <f>SUM(AU86:AV86)</f>
        <v>-99137</v>
      </c>
      <c r="AX86" s="175">
        <v>-28416</v>
      </c>
      <c r="AY86" s="175">
        <f t="shared" si="292"/>
        <v>-21840</v>
      </c>
      <c r="AZ86" s="175">
        <v>-50256</v>
      </c>
      <c r="BA86" s="175">
        <f t="shared" si="293"/>
        <v>-37801</v>
      </c>
      <c r="BB86" s="175">
        <v>-88057</v>
      </c>
      <c r="BC86" s="175">
        <f t="shared" si="293"/>
        <v>-32825</v>
      </c>
      <c r="BD86" s="175">
        <v>-120882</v>
      </c>
      <c r="BE86" s="175">
        <v>-34215</v>
      </c>
      <c r="BF86" s="175">
        <f>-61656-BE86</f>
        <v>-27441</v>
      </c>
      <c r="BG86" s="175">
        <f t="shared" si="322"/>
        <v>-61656</v>
      </c>
      <c r="BH86" s="175">
        <f>-103224-BG86</f>
        <v>-41568</v>
      </c>
      <c r="BI86" s="175">
        <f t="shared" si="323"/>
        <v>-103224</v>
      </c>
      <c r="BJ86" s="175">
        <f>-148648-BI86</f>
        <v>-45424</v>
      </c>
      <c r="BK86" s="175">
        <f>BJ86+BI86</f>
        <v>-148648</v>
      </c>
      <c r="BL86" s="175">
        <v>-43633</v>
      </c>
      <c r="BM86" s="175">
        <f>-83161-BL86</f>
        <v>-39528</v>
      </c>
      <c r="BN86" s="175">
        <f>BM86+BL86</f>
        <v>-83161</v>
      </c>
      <c r="BO86" s="175">
        <f>-114151-BN86</f>
        <v>-30990</v>
      </c>
      <c r="BP86" s="175">
        <f t="shared" si="324"/>
        <v>-114151</v>
      </c>
      <c r="BQ86" s="175">
        <f>-142366-BP86</f>
        <v>-28215</v>
      </c>
      <c r="BR86" s="175">
        <f>BQ86+BP86</f>
        <v>-142366</v>
      </c>
      <c r="BS86" s="175">
        <v>-25691</v>
      </c>
      <c r="BT86" s="175">
        <f>-51829-BS86</f>
        <v>-26138</v>
      </c>
      <c r="BU86" s="175">
        <f>BT86+BS86</f>
        <v>-51829</v>
      </c>
      <c r="BV86" s="175">
        <f>-78989-BU86</f>
        <v>-27160</v>
      </c>
      <c r="BW86" s="175">
        <f t="shared" si="325"/>
        <v>-78989</v>
      </c>
      <c r="BX86" s="175">
        <f>-100762-BW86</f>
        <v>-21773</v>
      </c>
      <c r="BY86" s="175">
        <f>BX86+BW86</f>
        <v>-100762</v>
      </c>
      <c r="BZ86" s="175">
        <v>-24513</v>
      </c>
      <c r="CA86" s="175">
        <f>-52863-BZ86</f>
        <v>-28350</v>
      </c>
      <c r="CB86" s="175">
        <f>CA86+BZ86</f>
        <v>-52863</v>
      </c>
      <c r="CC86" s="175">
        <f>-85309-CB86</f>
        <v>-32446</v>
      </c>
      <c r="CD86" s="175">
        <f t="shared" si="326"/>
        <v>-85309</v>
      </c>
      <c r="CE86" s="175">
        <f>-113048-CD86</f>
        <v>-27739</v>
      </c>
      <c r="CF86" s="175">
        <f>CE86+CD86</f>
        <v>-113048</v>
      </c>
      <c r="CG86" s="175">
        <f>-23831</f>
        <v>-23831</v>
      </c>
      <c r="CH86" s="175">
        <f>-46881-CG86</f>
        <v>-23050</v>
      </c>
      <c r="CI86" s="175">
        <f>CH86+CG86</f>
        <v>-46881</v>
      </c>
      <c r="CJ86" s="175">
        <f>-66426-CI86</f>
        <v>-19545</v>
      </c>
      <c r="CK86" s="175">
        <f t="shared" si="327"/>
        <v>-66426</v>
      </c>
      <c r="CL86" s="175">
        <f>-84696-CK86</f>
        <v>-18270</v>
      </c>
      <c r="CM86" s="175">
        <f>CL86+CK86</f>
        <v>-84696</v>
      </c>
      <c r="CN86" s="175">
        <v>-34002</v>
      </c>
      <c r="CO86" s="175">
        <f>CP86-CN86</f>
        <v>-35146</v>
      </c>
      <c r="CP86" s="175">
        <v>-69148</v>
      </c>
      <c r="CQ86" s="175">
        <f>CR86-CP86</f>
        <v>-27316</v>
      </c>
      <c r="CR86" s="175">
        <v>-96464</v>
      </c>
      <c r="CS86" s="175">
        <f t="shared" si="331"/>
        <v>-65632</v>
      </c>
      <c r="CT86" s="175">
        <v>-162096</v>
      </c>
      <c r="CU86" s="175">
        <v>-61821</v>
      </c>
      <c r="CV86" s="175">
        <f>CW86-CU86</f>
        <v>-95789</v>
      </c>
      <c r="CW86" s="175">
        <v>-157610</v>
      </c>
      <c r="CX86" s="175">
        <f>CY86-CW86</f>
        <v>-97288</v>
      </c>
      <c r="CY86" s="175">
        <v>-254898</v>
      </c>
      <c r="CZ86" s="175">
        <f>DA86-CY86</f>
        <v>-116841</v>
      </c>
      <c r="DA86" s="175">
        <v>-371739</v>
      </c>
      <c r="DB86" s="175">
        <v>-95835</v>
      </c>
      <c r="DC86" s="175">
        <f>DD86-DB86</f>
        <v>-117074</v>
      </c>
      <c r="DD86" s="175">
        <v>-212909</v>
      </c>
      <c r="DE86" s="175">
        <f>DF86-DD86</f>
        <v>-137201</v>
      </c>
      <c r="DF86" s="175">
        <v>-350110</v>
      </c>
      <c r="DG86" s="175">
        <f>DH86-DF86</f>
        <v>-123060</v>
      </c>
      <c r="DH86" s="175">
        <v>-473170</v>
      </c>
      <c r="DI86" s="175">
        <v>-113976</v>
      </c>
      <c r="DJ86" s="175">
        <f t="shared" si="328"/>
        <v>-123241</v>
      </c>
      <c r="DK86" s="175">
        <v>-237217</v>
      </c>
    </row>
    <row r="87" spans="1:115" ht="10.5" customHeight="1" x14ac:dyDescent="0.25">
      <c r="A87" s="56"/>
      <c r="B87" s="57"/>
      <c r="C87" s="57" t="s">
        <v>305</v>
      </c>
      <c r="D87" s="58"/>
      <c r="E87" s="59"/>
      <c r="F87" s="59"/>
      <c r="G87" s="59"/>
      <c r="H87" s="175">
        <v>-7397</v>
      </c>
      <c r="I87" s="175">
        <v>-1871</v>
      </c>
      <c r="J87" s="178">
        <f t="shared" si="284"/>
        <v>-9268</v>
      </c>
      <c r="K87" s="175">
        <v>-2206</v>
      </c>
      <c r="L87" s="178">
        <f t="shared" si="346"/>
        <v>-11474</v>
      </c>
      <c r="M87" s="175">
        <v>-490</v>
      </c>
      <c r="N87" s="175">
        <f t="shared" si="317"/>
        <v>-11964</v>
      </c>
      <c r="O87" s="178">
        <v>-7959</v>
      </c>
      <c r="P87" s="178">
        <f>Q87-O87</f>
        <v>-5529</v>
      </c>
      <c r="Q87" s="177">
        <v>-13488</v>
      </c>
      <c r="R87" s="178">
        <f>S87-Q87</f>
        <v>-1992</v>
      </c>
      <c r="S87" s="175">
        <v>-15480</v>
      </c>
      <c r="T87" s="175">
        <f t="shared" si="307"/>
        <v>-2581</v>
      </c>
      <c r="U87" s="175">
        <v>-18061</v>
      </c>
      <c r="V87" s="178">
        <v>-2059</v>
      </c>
      <c r="W87" s="178">
        <v>-1034</v>
      </c>
      <c r="X87" s="175">
        <f t="shared" si="287"/>
        <v>-3093</v>
      </c>
      <c r="Y87" s="178">
        <v>-5353</v>
      </c>
      <c r="Z87" s="175">
        <f t="shared" si="288"/>
        <v>-8446</v>
      </c>
      <c r="AA87" s="175">
        <f t="shared" si="308"/>
        <v>-8992</v>
      </c>
      <c r="AB87" s="175">
        <v>-17438</v>
      </c>
      <c r="AC87" s="175">
        <v>-5490</v>
      </c>
      <c r="AD87" s="175">
        <f t="shared" si="318"/>
        <v>-9196</v>
      </c>
      <c r="AE87" s="175">
        <v>-14686</v>
      </c>
      <c r="AF87" s="175">
        <f t="shared" si="319"/>
        <v>-4413</v>
      </c>
      <c r="AG87" s="175">
        <v>-19099</v>
      </c>
      <c r="AH87" s="175">
        <f>AI87-AG87</f>
        <v>-6508</v>
      </c>
      <c r="AI87" s="175">
        <v>-25607</v>
      </c>
      <c r="AJ87" s="175">
        <v>-5388</v>
      </c>
      <c r="AK87" s="175">
        <v>-7087</v>
      </c>
      <c r="AL87" s="175">
        <f t="shared" si="320"/>
        <v>-12475</v>
      </c>
      <c r="AM87" s="175">
        <v>-11277</v>
      </c>
      <c r="AN87" s="175">
        <f t="shared" si="321"/>
        <v>-23752</v>
      </c>
      <c r="AO87" s="175">
        <f>-37990+23752</f>
        <v>-14238</v>
      </c>
      <c r="AP87" s="175">
        <f>SUM(AN87:AO87)</f>
        <v>-37990</v>
      </c>
      <c r="AQ87" s="175">
        <v>-19045</v>
      </c>
      <c r="AR87" s="175">
        <v>-7012</v>
      </c>
      <c r="AS87" s="175">
        <v>-26057</v>
      </c>
      <c r="AT87" s="175">
        <v>-17626</v>
      </c>
      <c r="AU87" s="175">
        <v>-43683</v>
      </c>
      <c r="AV87" s="175">
        <v>-44765</v>
      </c>
      <c r="AW87" s="175">
        <f>SUM(AU87:AV87)</f>
        <v>-88448</v>
      </c>
      <c r="AX87" s="175">
        <v>-107100</v>
      </c>
      <c r="AY87" s="175">
        <f t="shared" si="292"/>
        <v>-42889</v>
      </c>
      <c r="AZ87" s="175">
        <v>-149989</v>
      </c>
      <c r="BA87" s="175">
        <f t="shared" si="293"/>
        <v>-138011</v>
      </c>
      <c r="BB87" s="175">
        <v>-288000</v>
      </c>
      <c r="BC87" s="175">
        <f t="shared" si="293"/>
        <v>-58136</v>
      </c>
      <c r="BD87" s="175">
        <v>-346136</v>
      </c>
      <c r="BE87" s="175">
        <v>-62708</v>
      </c>
      <c r="BF87" s="175">
        <f>-87556-BE87</f>
        <v>-24848</v>
      </c>
      <c r="BG87" s="175">
        <f t="shared" si="322"/>
        <v>-87556</v>
      </c>
      <c r="BH87" s="175">
        <f>-94939-BG87</f>
        <v>-7383</v>
      </c>
      <c r="BI87" s="175">
        <f t="shared" si="323"/>
        <v>-94939</v>
      </c>
      <c r="BJ87" s="175">
        <f>-129600-BI87</f>
        <v>-34661</v>
      </c>
      <c r="BK87" s="175">
        <f>BJ87+BI87</f>
        <v>-129600</v>
      </c>
      <c r="BL87" s="175">
        <v>-28571</v>
      </c>
      <c r="BM87" s="175">
        <f>-44421-BL87</f>
        <v>-15850</v>
      </c>
      <c r="BN87" s="175">
        <f>BM87+BL87</f>
        <v>-44421</v>
      </c>
      <c r="BO87" s="175">
        <f>-47906-BN87</f>
        <v>-3485</v>
      </c>
      <c r="BP87" s="175">
        <f t="shared" si="324"/>
        <v>-47906</v>
      </c>
      <c r="BQ87" s="175">
        <f>-69358-BP87</f>
        <v>-21452</v>
      </c>
      <c r="BR87" s="175">
        <f>BQ87+BP87</f>
        <v>-69358</v>
      </c>
      <c r="BS87" s="175">
        <v>-17114</v>
      </c>
      <c r="BT87" s="175">
        <f>-59620-BS87</f>
        <v>-42506</v>
      </c>
      <c r="BU87" s="175">
        <f>BT87+BS87</f>
        <v>-59620</v>
      </c>
      <c r="BV87" s="175">
        <f>-114223-BU87</f>
        <v>-54603</v>
      </c>
      <c r="BW87" s="175">
        <f t="shared" si="325"/>
        <v>-114223</v>
      </c>
      <c r="BX87" s="175">
        <f>-158434-BW87</f>
        <v>-44211</v>
      </c>
      <c r="BY87" s="175">
        <f>BX87+BW87</f>
        <v>-158434</v>
      </c>
      <c r="BZ87" s="175">
        <v>-25469</v>
      </c>
      <c r="CA87" s="175">
        <f>-41428-BZ87</f>
        <v>-15959</v>
      </c>
      <c r="CB87" s="175">
        <f>CA87+BZ87</f>
        <v>-41428</v>
      </c>
      <c r="CC87" s="175">
        <f>-68539-CB87</f>
        <v>-27111</v>
      </c>
      <c r="CD87" s="175">
        <f t="shared" si="326"/>
        <v>-68539</v>
      </c>
      <c r="CE87" s="175">
        <f>-125847-CD87</f>
        <v>-57308</v>
      </c>
      <c r="CF87" s="175">
        <f>CE87+CD87</f>
        <v>-125847</v>
      </c>
      <c r="CG87" s="175">
        <f>-149938</f>
        <v>-149938</v>
      </c>
      <c r="CH87" s="175">
        <f>-216344-CG87</f>
        <v>-66406</v>
      </c>
      <c r="CI87" s="175">
        <f>CH87+CG87</f>
        <v>-216344</v>
      </c>
      <c r="CJ87" s="175">
        <f>-281158-CI87</f>
        <v>-64814</v>
      </c>
      <c r="CK87" s="175">
        <f t="shared" si="327"/>
        <v>-281158</v>
      </c>
      <c r="CL87" s="175">
        <f>-328196-CK87</f>
        <v>-47038</v>
      </c>
      <c r="CM87" s="175">
        <f>CL87+CK87</f>
        <v>-328196</v>
      </c>
      <c r="CN87" s="175">
        <v>-61942</v>
      </c>
      <c r="CO87" s="175">
        <f t="shared" ref="CO87:CQ92" si="347">CP87-CN87</f>
        <v>-26215</v>
      </c>
      <c r="CP87" s="175">
        <v>-88157</v>
      </c>
      <c r="CQ87" s="175">
        <f t="shared" si="347"/>
        <v>-119856</v>
      </c>
      <c r="CR87" s="175">
        <v>-208013</v>
      </c>
      <c r="CS87" s="175">
        <f t="shared" si="331"/>
        <v>-89683</v>
      </c>
      <c r="CT87" s="175">
        <v>-297696</v>
      </c>
      <c r="CU87" s="175">
        <v>-129993</v>
      </c>
      <c r="CV87" s="175">
        <f>CW87-CU87</f>
        <v>-138397</v>
      </c>
      <c r="CW87" s="175">
        <v>-268390</v>
      </c>
      <c r="CX87" s="175">
        <f t="shared" ref="CX87:CX92" si="348">CY87-CW87</f>
        <v>-64170</v>
      </c>
      <c r="CY87" s="175">
        <v>-332560</v>
      </c>
      <c r="CZ87" s="175">
        <f t="shared" ref="CZ87:CZ92" si="349">DA87-CY87</f>
        <v>-24986</v>
      </c>
      <c r="DA87" s="175">
        <v>-357546</v>
      </c>
      <c r="DB87" s="175">
        <v>-42803</v>
      </c>
      <c r="DC87" s="175">
        <f>DD87-DB87</f>
        <v>-47065</v>
      </c>
      <c r="DD87" s="175">
        <v>-89868</v>
      </c>
      <c r="DE87" s="175">
        <f t="shared" ref="DE87:DE92" si="350">DF87-DD87</f>
        <v>-88510</v>
      </c>
      <c r="DF87" s="175">
        <v>-178378</v>
      </c>
      <c r="DG87" s="175">
        <f t="shared" ref="DG87:DG90" si="351">DH87-DF87</f>
        <v>-29748</v>
      </c>
      <c r="DH87" s="175">
        <v>-208126</v>
      </c>
      <c r="DI87" s="175">
        <v>-45428</v>
      </c>
      <c r="DJ87" s="175">
        <f t="shared" si="328"/>
        <v>-182699</v>
      </c>
      <c r="DK87" s="175">
        <v>-228127</v>
      </c>
    </row>
    <row r="88" spans="1:115" ht="10.5" customHeight="1" x14ac:dyDescent="0.25">
      <c r="A88" s="56"/>
      <c r="B88" s="57"/>
      <c r="C88" s="104" t="s">
        <v>306</v>
      </c>
      <c r="D88" s="58"/>
      <c r="E88" s="59"/>
      <c r="F88" s="59"/>
      <c r="G88" s="59"/>
      <c r="H88" s="175">
        <v>-14886</v>
      </c>
      <c r="I88" s="175">
        <v>-10196</v>
      </c>
      <c r="J88" s="178">
        <f t="shared" si="284"/>
        <v>-25082</v>
      </c>
      <c r="K88" s="175">
        <v>-1261</v>
      </c>
      <c r="L88" s="178">
        <f t="shared" si="346"/>
        <v>-26343</v>
      </c>
      <c r="M88" s="175">
        <v>-496</v>
      </c>
      <c r="N88" s="175">
        <f t="shared" si="317"/>
        <v>-26839</v>
      </c>
      <c r="O88" s="178">
        <v>-658</v>
      </c>
      <c r="P88" s="178">
        <f>Q88-O88</f>
        <v>-6650</v>
      </c>
      <c r="Q88" s="177">
        <v>-7308</v>
      </c>
      <c r="R88" s="178">
        <f>S88-Q88</f>
        <v>-13458</v>
      </c>
      <c r="S88" s="175">
        <v>-20766</v>
      </c>
      <c r="T88" s="175">
        <f t="shared" si="307"/>
        <v>-10557</v>
      </c>
      <c r="U88" s="175">
        <v>-31323</v>
      </c>
      <c r="V88" s="178">
        <v>-7326</v>
      </c>
      <c r="W88" s="178">
        <v>-3926</v>
      </c>
      <c r="X88" s="175">
        <f t="shared" si="287"/>
        <v>-11252</v>
      </c>
      <c r="Y88" s="178">
        <v>-9780</v>
      </c>
      <c r="Z88" s="175">
        <f t="shared" si="288"/>
        <v>-21032</v>
      </c>
      <c r="AA88" s="175">
        <f t="shared" si="308"/>
        <v>-8137</v>
      </c>
      <c r="AB88" s="175">
        <v>-29169</v>
      </c>
      <c r="AC88" s="175">
        <v>-25838</v>
      </c>
      <c r="AD88" s="175">
        <f t="shared" si="318"/>
        <v>-54071</v>
      </c>
      <c r="AE88" s="175">
        <v>-79909</v>
      </c>
      <c r="AF88" s="175">
        <f t="shared" si="319"/>
        <v>-41105</v>
      </c>
      <c r="AG88" s="175">
        <v>-121014</v>
      </c>
      <c r="AH88" s="175">
        <f>AI88-AG88</f>
        <v>-9955</v>
      </c>
      <c r="AI88" s="175">
        <v>-130969</v>
      </c>
      <c r="AJ88" s="175">
        <v>-7198</v>
      </c>
      <c r="AK88" s="175">
        <v>-16509</v>
      </c>
      <c r="AL88" s="175">
        <f t="shared" si="320"/>
        <v>-23707</v>
      </c>
      <c r="AM88" s="175">
        <v>-16395</v>
      </c>
      <c r="AN88" s="175">
        <f t="shared" si="321"/>
        <v>-40102</v>
      </c>
      <c r="AO88" s="175">
        <f>-64301+40102</f>
        <v>-24199</v>
      </c>
      <c r="AP88" s="175">
        <f>SUM(AN88:AO88)</f>
        <v>-64301</v>
      </c>
      <c r="AQ88" s="175">
        <v>-4214</v>
      </c>
      <c r="AR88" s="175">
        <v>-6538</v>
      </c>
      <c r="AS88" s="175">
        <v>-10752</v>
      </c>
      <c r="AT88" s="175">
        <v>-4649</v>
      </c>
      <c r="AU88" s="175">
        <v>-15401</v>
      </c>
      <c r="AV88" s="175">
        <v>-5610</v>
      </c>
      <c r="AW88" s="175">
        <f>SUM(AU88:AV88)</f>
        <v>-21011</v>
      </c>
      <c r="AX88" s="175">
        <v>-9107</v>
      </c>
      <c r="AY88" s="175">
        <f t="shared" si="292"/>
        <v>-4336</v>
      </c>
      <c r="AZ88" s="175">
        <v>-13443</v>
      </c>
      <c r="BA88" s="175">
        <f t="shared" si="293"/>
        <v>-6360</v>
      </c>
      <c r="BB88" s="175">
        <v>-19803</v>
      </c>
      <c r="BC88" s="175">
        <f t="shared" si="293"/>
        <v>-5919</v>
      </c>
      <c r="BD88" s="175">
        <v>-25722</v>
      </c>
      <c r="BE88" s="175">
        <v>-3218</v>
      </c>
      <c r="BF88" s="175">
        <f>-11469-BE88</f>
        <v>-8251</v>
      </c>
      <c r="BG88" s="175">
        <f t="shared" si="322"/>
        <v>-11469</v>
      </c>
      <c r="BH88" s="175">
        <f>-15723-BG88</f>
        <v>-4254</v>
      </c>
      <c r="BI88" s="175">
        <f t="shared" si="323"/>
        <v>-15723</v>
      </c>
      <c r="BJ88" s="175">
        <f>-19257-BI88</f>
        <v>-3534</v>
      </c>
      <c r="BK88" s="175">
        <f>BJ88+BI88</f>
        <v>-19257</v>
      </c>
      <c r="BL88" s="175">
        <v>-2660</v>
      </c>
      <c r="BM88" s="175">
        <f>-6272-BL88</f>
        <v>-3612</v>
      </c>
      <c r="BN88" s="175">
        <f>BM88+BL88</f>
        <v>-6272</v>
      </c>
      <c r="BO88" s="175">
        <f>-6729-BN88</f>
        <v>-457</v>
      </c>
      <c r="BP88" s="175">
        <f t="shared" si="324"/>
        <v>-6729</v>
      </c>
      <c r="BQ88" s="175">
        <f>-7516-BP88</f>
        <v>-787</v>
      </c>
      <c r="BR88" s="175">
        <f>BQ88+BP88</f>
        <v>-7516</v>
      </c>
      <c r="BS88" s="175">
        <v>0</v>
      </c>
      <c r="BT88" s="175">
        <f>-BS88</f>
        <v>0</v>
      </c>
      <c r="BU88" s="175">
        <f>BT88+BS88</f>
        <v>0</v>
      </c>
      <c r="BV88" s="175">
        <v>0</v>
      </c>
      <c r="BW88" s="175">
        <f t="shared" si="325"/>
        <v>0</v>
      </c>
      <c r="BX88" s="175">
        <v>0</v>
      </c>
      <c r="BY88" s="175">
        <f>BX88+BW88</f>
        <v>0</v>
      </c>
      <c r="BZ88" s="175">
        <v>0</v>
      </c>
      <c r="CA88" s="175">
        <v>0</v>
      </c>
      <c r="CB88" s="175">
        <v>0</v>
      </c>
      <c r="CC88" s="175">
        <v>0</v>
      </c>
      <c r="CD88" s="175">
        <v>0</v>
      </c>
      <c r="CE88" s="175">
        <v>0</v>
      </c>
      <c r="CF88" s="175">
        <v>0</v>
      </c>
      <c r="CG88" s="175">
        <v>0</v>
      </c>
      <c r="CH88" s="175">
        <v>0</v>
      </c>
      <c r="CI88" s="175">
        <v>0</v>
      </c>
      <c r="CJ88" s="175">
        <v>0</v>
      </c>
      <c r="CK88" s="175">
        <v>0</v>
      </c>
      <c r="CL88" s="175">
        <v>0</v>
      </c>
      <c r="CM88" s="175">
        <v>0</v>
      </c>
      <c r="CN88" s="175">
        <v>0</v>
      </c>
      <c r="CO88" s="175">
        <v>0</v>
      </c>
      <c r="CP88" s="175">
        <v>0</v>
      </c>
      <c r="CQ88" s="175">
        <f t="shared" si="347"/>
        <v>-2600</v>
      </c>
      <c r="CR88" s="175">
        <v>-2600</v>
      </c>
      <c r="CS88" s="175">
        <f t="shared" si="331"/>
        <v>2474</v>
      </c>
      <c r="CT88" s="175">
        <v>-126</v>
      </c>
      <c r="CU88" s="175">
        <v>0</v>
      </c>
      <c r="CV88" s="175">
        <v>0</v>
      </c>
      <c r="CW88" s="175">
        <v>0</v>
      </c>
      <c r="CX88" s="175">
        <f t="shared" si="348"/>
        <v>0</v>
      </c>
      <c r="CY88" s="175">
        <v>0</v>
      </c>
      <c r="CZ88" s="175">
        <f t="shared" si="349"/>
        <v>0</v>
      </c>
      <c r="DA88" s="175">
        <v>0</v>
      </c>
      <c r="DB88" s="175">
        <v>0</v>
      </c>
      <c r="DC88" s="175">
        <v>0</v>
      </c>
      <c r="DD88" s="175">
        <v>0</v>
      </c>
      <c r="DE88" s="175">
        <f t="shared" si="350"/>
        <v>0</v>
      </c>
      <c r="DF88" s="175">
        <v>0</v>
      </c>
      <c r="DG88" s="175">
        <f t="shared" si="351"/>
        <v>0</v>
      </c>
      <c r="DH88" s="175">
        <v>0</v>
      </c>
      <c r="DI88" s="175">
        <v>0</v>
      </c>
      <c r="DJ88" s="175">
        <f t="shared" si="328"/>
        <v>0</v>
      </c>
      <c r="DK88" s="175">
        <v>0</v>
      </c>
    </row>
    <row r="89" spans="1:115" ht="10.5" customHeight="1" x14ac:dyDescent="0.25">
      <c r="A89" s="103"/>
      <c r="B89" s="104"/>
      <c r="C89" s="104" t="s">
        <v>307</v>
      </c>
      <c r="D89" s="102"/>
      <c r="E89" s="105"/>
      <c r="F89" s="105"/>
      <c r="G89" s="105"/>
      <c r="H89" s="175"/>
      <c r="I89" s="175"/>
      <c r="J89" s="178"/>
      <c r="K89" s="175"/>
      <c r="L89" s="178"/>
      <c r="M89" s="175"/>
      <c r="N89" s="175"/>
      <c r="O89" s="178"/>
      <c r="P89" s="178"/>
      <c r="Q89" s="177"/>
      <c r="R89" s="178"/>
      <c r="S89" s="175"/>
      <c r="T89" s="175"/>
      <c r="U89" s="175"/>
      <c r="V89" s="178"/>
      <c r="W89" s="178"/>
      <c r="X89" s="175"/>
      <c r="Y89" s="178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  <c r="BF89" s="175"/>
      <c r="BG89" s="175"/>
      <c r="BH89" s="175"/>
      <c r="BI89" s="175"/>
      <c r="BJ89" s="175"/>
      <c r="BK89" s="175"/>
      <c r="BL89" s="175"/>
      <c r="BM89" s="175"/>
      <c r="BN89" s="175"/>
      <c r="BO89" s="175"/>
      <c r="BP89" s="175"/>
      <c r="BQ89" s="175"/>
      <c r="BR89" s="175"/>
      <c r="BS89" s="175"/>
      <c r="BT89" s="175"/>
      <c r="BU89" s="175"/>
      <c r="BV89" s="175"/>
      <c r="BW89" s="175"/>
      <c r="BX89" s="175"/>
      <c r="BY89" s="175"/>
      <c r="BZ89" s="175">
        <v>-8586</v>
      </c>
      <c r="CA89" s="175">
        <v>-12087</v>
      </c>
      <c r="CB89" s="175">
        <v>-20673</v>
      </c>
      <c r="CC89" s="175">
        <v>-12751</v>
      </c>
      <c r="CD89" s="175">
        <v>-33424</v>
      </c>
      <c r="CE89" s="175">
        <v>-14183</v>
      </c>
      <c r="CF89" s="175">
        <v>-47607</v>
      </c>
      <c r="CG89" s="175">
        <v>-13888</v>
      </c>
      <c r="CH89" s="175">
        <v>-14706</v>
      </c>
      <c r="CI89" s="175">
        <v>-28594</v>
      </c>
      <c r="CJ89" s="175">
        <v>-14953</v>
      </c>
      <c r="CK89" s="175">
        <v>-43547</v>
      </c>
      <c r="CL89" s="175">
        <v>-17559</v>
      </c>
      <c r="CM89" s="175">
        <v>-61106</v>
      </c>
      <c r="CN89" s="175">
        <v>-18815</v>
      </c>
      <c r="CO89" s="175">
        <v>-35144</v>
      </c>
      <c r="CP89" s="175">
        <v>-53959</v>
      </c>
      <c r="CQ89" s="175">
        <f t="shared" si="347"/>
        <v>-49643</v>
      </c>
      <c r="CR89" s="175">
        <v>-103602</v>
      </c>
      <c r="CS89" s="175">
        <f t="shared" si="331"/>
        <v>-71547</v>
      </c>
      <c r="CT89" s="175">
        <v>-175149</v>
      </c>
      <c r="CU89" s="175">
        <v>-73666</v>
      </c>
      <c r="CV89" s="175">
        <f t="shared" ref="CV89:CV92" si="352">CW89-CU89</f>
        <v>-68207</v>
      </c>
      <c r="CW89" s="175">
        <v>-141873</v>
      </c>
      <c r="CX89" s="175">
        <f t="shared" si="348"/>
        <v>-68331</v>
      </c>
      <c r="CY89" s="175">
        <v>-210204</v>
      </c>
      <c r="CZ89" s="175">
        <f t="shared" si="349"/>
        <v>-70219</v>
      </c>
      <c r="DA89" s="175">
        <v>-280423</v>
      </c>
      <c r="DB89" s="175">
        <v>-74665</v>
      </c>
      <c r="DC89" s="175">
        <f t="shared" ref="DC89:DC92" si="353">DD89-DB89</f>
        <v>-75241</v>
      </c>
      <c r="DD89" s="175">
        <f>-138416+-11490</f>
        <v>-149906</v>
      </c>
      <c r="DE89" s="175">
        <f t="shared" si="350"/>
        <v>-29489</v>
      </c>
      <c r="DF89" s="175">
        <v>-179395</v>
      </c>
      <c r="DG89" s="175">
        <f t="shared" si="351"/>
        <v>-103609</v>
      </c>
      <c r="DH89" s="175">
        <v>-283004</v>
      </c>
      <c r="DI89" s="175">
        <v>-75043</v>
      </c>
      <c r="DJ89" s="175">
        <f t="shared" si="328"/>
        <v>-73900</v>
      </c>
      <c r="DK89" s="175">
        <v>-148943</v>
      </c>
    </row>
    <row r="90" spans="1:115" ht="10.5" customHeight="1" x14ac:dyDescent="0.25">
      <c r="A90" s="103"/>
      <c r="B90" s="104"/>
      <c r="C90" s="104" t="s">
        <v>417</v>
      </c>
      <c r="D90" s="102"/>
      <c r="E90" s="105"/>
      <c r="F90" s="105"/>
      <c r="G90" s="105"/>
      <c r="H90" s="175"/>
      <c r="I90" s="175"/>
      <c r="J90" s="178"/>
      <c r="K90" s="175"/>
      <c r="L90" s="178"/>
      <c r="M90" s="175"/>
      <c r="N90" s="175"/>
      <c r="O90" s="178"/>
      <c r="P90" s="178"/>
      <c r="Q90" s="177"/>
      <c r="R90" s="178"/>
      <c r="S90" s="175"/>
      <c r="T90" s="175"/>
      <c r="U90" s="175"/>
      <c r="V90" s="178"/>
      <c r="W90" s="178"/>
      <c r="X90" s="175"/>
      <c r="Y90" s="178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5"/>
      <c r="BR90" s="175"/>
      <c r="BS90" s="175"/>
      <c r="BT90" s="175"/>
      <c r="BU90" s="175"/>
      <c r="BV90" s="175"/>
      <c r="BW90" s="175"/>
      <c r="BX90" s="175"/>
      <c r="BY90" s="175"/>
      <c r="BZ90" s="175"/>
      <c r="CA90" s="175"/>
      <c r="CB90" s="175"/>
      <c r="CC90" s="175"/>
      <c r="CD90" s="175"/>
      <c r="CE90" s="175"/>
      <c r="CF90" s="175"/>
      <c r="CG90" s="175"/>
      <c r="CH90" s="175"/>
      <c r="CI90" s="175"/>
      <c r="CJ90" s="175"/>
      <c r="CK90" s="175"/>
      <c r="CL90" s="175"/>
      <c r="CM90" s="175"/>
      <c r="CN90" s="175"/>
      <c r="CO90" s="175"/>
      <c r="CP90" s="175"/>
      <c r="CQ90" s="175"/>
      <c r="CR90" s="175"/>
      <c r="CS90" s="175"/>
      <c r="CT90" s="175"/>
      <c r="CU90" s="175"/>
      <c r="CV90" s="175"/>
      <c r="CW90" s="175"/>
      <c r="CX90" s="175"/>
      <c r="CY90" s="175"/>
      <c r="CZ90" s="175"/>
      <c r="DA90" s="175"/>
      <c r="DB90" s="175"/>
      <c r="DC90" s="175"/>
      <c r="DD90" s="175"/>
      <c r="DE90" s="175">
        <v>-20479</v>
      </c>
      <c r="DF90" s="175">
        <v>-20479</v>
      </c>
      <c r="DG90" s="175">
        <f t="shared" si="351"/>
        <v>-9316</v>
      </c>
      <c r="DH90" s="175">
        <v>-29795</v>
      </c>
      <c r="DI90" s="175">
        <v>-5634</v>
      </c>
      <c r="DJ90" s="175">
        <f t="shared" si="328"/>
        <v>-5840</v>
      </c>
      <c r="DK90" s="175">
        <v>-11474</v>
      </c>
    </row>
    <row r="91" spans="1:115" ht="10.5" customHeight="1" x14ac:dyDescent="0.25">
      <c r="A91" s="56"/>
      <c r="B91" s="57"/>
      <c r="C91" s="104" t="s">
        <v>308</v>
      </c>
      <c r="D91" s="58"/>
      <c r="E91" s="59"/>
      <c r="F91" s="59"/>
      <c r="G91" s="59"/>
      <c r="H91" s="175">
        <v>-17928</v>
      </c>
      <c r="I91" s="175">
        <v>-44508</v>
      </c>
      <c r="J91" s="178">
        <f t="shared" si="284"/>
        <v>-62436</v>
      </c>
      <c r="K91" s="175">
        <v>-21358</v>
      </c>
      <c r="L91" s="178">
        <f t="shared" si="346"/>
        <v>-83794</v>
      </c>
      <c r="M91" s="175">
        <v>-5274</v>
      </c>
      <c r="N91" s="175">
        <f t="shared" si="317"/>
        <v>-89068</v>
      </c>
      <c r="O91" s="178">
        <v>-2557</v>
      </c>
      <c r="P91" s="178">
        <f>Q91-O91</f>
        <v>-3702</v>
      </c>
      <c r="Q91" s="177">
        <v>-6259</v>
      </c>
      <c r="R91" s="178">
        <f>S91-Q91</f>
        <v>-20771</v>
      </c>
      <c r="S91" s="175">
        <v>-27030</v>
      </c>
      <c r="T91" s="175">
        <f t="shared" si="307"/>
        <v>-20676</v>
      </c>
      <c r="U91" s="175">
        <v>-47706</v>
      </c>
      <c r="V91" s="178">
        <v>-25439</v>
      </c>
      <c r="W91" s="178">
        <v>-918</v>
      </c>
      <c r="X91" s="175">
        <f t="shared" si="287"/>
        <v>-26357</v>
      </c>
      <c r="Y91" s="178">
        <v>-5035</v>
      </c>
      <c r="Z91" s="175">
        <f t="shared" si="288"/>
        <v>-31392</v>
      </c>
      <c r="AA91" s="175">
        <f t="shared" si="308"/>
        <v>-4297</v>
      </c>
      <c r="AB91" s="175">
        <v>-35689</v>
      </c>
      <c r="AC91" s="175">
        <v>-4619</v>
      </c>
      <c r="AD91" s="175">
        <f t="shared" si="318"/>
        <v>-3047</v>
      </c>
      <c r="AE91" s="175">
        <v>-7666</v>
      </c>
      <c r="AF91" s="175">
        <f t="shared" si="319"/>
        <v>-7463</v>
      </c>
      <c r="AG91" s="175">
        <v>-15129</v>
      </c>
      <c r="AH91" s="175">
        <f>AI91-AG91</f>
        <v>-12</v>
      </c>
      <c r="AI91" s="175">
        <v>-15141</v>
      </c>
      <c r="AJ91" s="175">
        <v>-3177</v>
      </c>
      <c r="AK91" s="175">
        <v>-2768</v>
      </c>
      <c r="AL91" s="175">
        <f t="shared" si="320"/>
        <v>-5945</v>
      </c>
      <c r="AM91" s="175">
        <v>-3884</v>
      </c>
      <c r="AN91" s="175">
        <f t="shared" si="321"/>
        <v>-9829</v>
      </c>
      <c r="AO91" s="175">
        <f>-11443+9829</f>
        <v>-1614</v>
      </c>
      <c r="AP91" s="175">
        <f>SUM(AN91:AO91)</f>
        <v>-11443</v>
      </c>
      <c r="AQ91" s="175">
        <v>-12686</v>
      </c>
      <c r="AR91" s="175">
        <v>-7854</v>
      </c>
      <c r="AS91" s="175">
        <v>-20540</v>
      </c>
      <c r="AT91" s="175">
        <v>-1008</v>
      </c>
      <c r="AU91" s="175">
        <v>-21548</v>
      </c>
      <c r="AV91" s="175">
        <v>-5537</v>
      </c>
      <c r="AW91" s="175">
        <f>SUM(AU91:AV91)</f>
        <v>-27085</v>
      </c>
      <c r="AX91" s="175">
        <v>-135</v>
      </c>
      <c r="AY91" s="175">
        <f t="shared" si="292"/>
        <v>-44177</v>
      </c>
      <c r="AZ91" s="175">
        <v>-44312</v>
      </c>
      <c r="BA91" s="175">
        <f t="shared" si="293"/>
        <v>33520</v>
      </c>
      <c r="BB91" s="175">
        <v>-10792</v>
      </c>
      <c r="BC91" s="175">
        <f t="shared" si="293"/>
        <v>-54398</v>
      </c>
      <c r="BD91" s="175">
        <v>-65190</v>
      </c>
      <c r="BE91" s="175">
        <v>-86807</v>
      </c>
      <c r="BF91" s="175">
        <f>-149534-BE91</f>
        <v>-62727</v>
      </c>
      <c r="BG91" s="175">
        <f t="shared" si="322"/>
        <v>-149534</v>
      </c>
      <c r="BH91" s="175">
        <f>-165490-BG91</f>
        <v>-15956</v>
      </c>
      <c r="BI91" s="175">
        <f t="shared" si="323"/>
        <v>-165490</v>
      </c>
      <c r="BJ91" s="175">
        <f>-199634-BI91</f>
        <v>-34144</v>
      </c>
      <c r="BK91" s="175">
        <f>BJ91+BI91</f>
        <v>-199634</v>
      </c>
      <c r="BL91" s="175">
        <v>-27794</v>
      </c>
      <c r="BM91" s="175">
        <f>-27827-BL91</f>
        <v>-33</v>
      </c>
      <c r="BN91" s="175">
        <f>BM91+BL91</f>
        <v>-27827</v>
      </c>
      <c r="BO91" s="175">
        <f>-41273-BN91</f>
        <v>-13446</v>
      </c>
      <c r="BP91" s="175">
        <f t="shared" si="324"/>
        <v>-41273</v>
      </c>
      <c r="BQ91" s="175">
        <f>-49368-BP91</f>
        <v>-8095</v>
      </c>
      <c r="BR91" s="175">
        <f>BQ91+BP91</f>
        <v>-49368</v>
      </c>
      <c r="BS91" s="175">
        <v>-8895</v>
      </c>
      <c r="BT91" s="175">
        <f>-8971-BS91</f>
        <v>-76</v>
      </c>
      <c r="BU91" s="175">
        <f>BT91+BS91</f>
        <v>-8971</v>
      </c>
      <c r="BV91" s="175">
        <f>-34186-BU91</f>
        <v>-25215</v>
      </c>
      <c r="BW91" s="175">
        <f t="shared" si="325"/>
        <v>-34186</v>
      </c>
      <c r="BX91" s="175">
        <f>-92530-BW91</f>
        <v>-58344</v>
      </c>
      <c r="BY91" s="175">
        <f>BX91+BW91</f>
        <v>-92530</v>
      </c>
      <c r="BZ91" s="175">
        <v>-8986</v>
      </c>
      <c r="CA91" s="175">
        <f>-15253-BZ91</f>
        <v>-6267</v>
      </c>
      <c r="CB91" s="175">
        <f>CA91+BZ91</f>
        <v>-15253</v>
      </c>
      <c r="CC91" s="175">
        <f>-23411-CB91</f>
        <v>-8158</v>
      </c>
      <c r="CD91" s="175">
        <f t="shared" si="326"/>
        <v>-23411</v>
      </c>
      <c r="CE91" s="175">
        <f>-55683-CD91</f>
        <v>-32272</v>
      </c>
      <c r="CF91" s="175">
        <f>CE91+CD91</f>
        <v>-55683</v>
      </c>
      <c r="CG91" s="175">
        <v>0</v>
      </c>
      <c r="CH91" s="175">
        <f>-2474-CG91</f>
        <v>-2474</v>
      </c>
      <c r="CI91" s="175">
        <f>CH91+CG91</f>
        <v>-2474</v>
      </c>
      <c r="CJ91" s="175">
        <f>-6319-CI91</f>
        <v>-3845</v>
      </c>
      <c r="CK91" s="175">
        <f t="shared" si="327"/>
        <v>-6319</v>
      </c>
      <c r="CL91" s="175">
        <f>-40435-CK91</f>
        <v>-34116</v>
      </c>
      <c r="CM91" s="175">
        <f>CL91+CK91</f>
        <v>-40435</v>
      </c>
      <c r="CN91" s="175">
        <v>-9736</v>
      </c>
      <c r="CO91" s="175">
        <f t="shared" si="347"/>
        <v>-68753</v>
      </c>
      <c r="CP91" s="175">
        <v>-78489</v>
      </c>
      <c r="CQ91" s="175">
        <f t="shared" si="347"/>
        <v>-257939</v>
      </c>
      <c r="CR91" s="175">
        <v>-336428</v>
      </c>
      <c r="CS91" s="175">
        <f t="shared" si="331"/>
        <v>161523</v>
      </c>
      <c r="CT91" s="175">
        <v>-174905</v>
      </c>
      <c r="CU91" s="175">
        <v>-188815</v>
      </c>
      <c r="CV91" s="175">
        <f t="shared" si="352"/>
        <v>-98926</v>
      </c>
      <c r="CW91" s="175">
        <v>-287741</v>
      </c>
      <c r="CX91" s="175">
        <f t="shared" si="348"/>
        <v>-85106</v>
      </c>
      <c r="CY91" s="175">
        <v>-372847</v>
      </c>
      <c r="CZ91" s="175">
        <f t="shared" si="349"/>
        <v>-131372</v>
      </c>
      <c r="DA91" s="175">
        <v>-504219</v>
      </c>
      <c r="DB91" s="175">
        <v>-70028</v>
      </c>
      <c r="DC91" s="175">
        <f t="shared" si="353"/>
        <v>-102761</v>
      </c>
      <c r="DD91" s="175">
        <v>-172789</v>
      </c>
      <c r="DE91" s="175">
        <f t="shared" si="350"/>
        <v>4033</v>
      </c>
      <c r="DF91" s="175">
        <v>-168756</v>
      </c>
      <c r="DG91" s="175">
        <f t="shared" ref="DG91:DG92" si="354">DH91-DF91</f>
        <v>-58054</v>
      </c>
      <c r="DH91" s="175">
        <v>-226810</v>
      </c>
      <c r="DI91" s="175">
        <v>-35126</v>
      </c>
      <c r="DJ91" s="175">
        <f t="shared" si="328"/>
        <v>-17725</v>
      </c>
      <c r="DK91" s="175">
        <v>-52851</v>
      </c>
    </row>
    <row r="92" spans="1:115" ht="10.5" customHeight="1" x14ac:dyDescent="0.25">
      <c r="A92" s="56"/>
      <c r="B92" s="57"/>
      <c r="C92" s="104" t="s">
        <v>110</v>
      </c>
      <c r="D92" s="58"/>
      <c r="E92" s="59"/>
      <c r="F92" s="59"/>
      <c r="G92" s="59"/>
      <c r="H92" s="175">
        <v>-488</v>
      </c>
      <c r="I92" s="175">
        <v>-323</v>
      </c>
      <c r="J92" s="178">
        <f t="shared" si="284"/>
        <v>-811</v>
      </c>
      <c r="K92" s="175">
        <v>-510</v>
      </c>
      <c r="L92" s="178">
        <f t="shared" si="346"/>
        <v>-1321</v>
      </c>
      <c r="M92" s="175">
        <v>-478</v>
      </c>
      <c r="N92" s="175">
        <f t="shared" si="317"/>
        <v>-1799</v>
      </c>
      <c r="O92" s="178">
        <v>-149</v>
      </c>
      <c r="P92" s="178">
        <f>Q92-O92</f>
        <v>-524</v>
      </c>
      <c r="Q92" s="177">
        <v>-673</v>
      </c>
      <c r="R92" s="178">
        <f>S92-Q92</f>
        <v>-594</v>
      </c>
      <c r="S92" s="175">
        <v>-1267</v>
      </c>
      <c r="T92" s="175">
        <f t="shared" si="307"/>
        <v>-479</v>
      </c>
      <c r="U92" s="175">
        <v>-1746</v>
      </c>
      <c r="V92" s="178">
        <v>-647</v>
      </c>
      <c r="W92" s="178">
        <v>-4141</v>
      </c>
      <c r="X92" s="175">
        <f t="shared" si="287"/>
        <v>-4788</v>
      </c>
      <c r="Y92" s="178">
        <v>2088</v>
      </c>
      <c r="Z92" s="175">
        <f t="shared" si="288"/>
        <v>-2700</v>
      </c>
      <c r="AA92" s="175">
        <f t="shared" si="308"/>
        <v>-938</v>
      </c>
      <c r="AB92" s="175">
        <v>-3638</v>
      </c>
      <c r="AC92" s="175">
        <v>-977</v>
      </c>
      <c r="AD92" s="175">
        <f t="shared" si="318"/>
        <v>-1079</v>
      </c>
      <c r="AE92" s="175">
        <v>-2056</v>
      </c>
      <c r="AF92" s="175">
        <f t="shared" si="319"/>
        <v>-1050</v>
      </c>
      <c r="AG92" s="175">
        <v>-3106</v>
      </c>
      <c r="AH92" s="175">
        <f>AI92-AG92</f>
        <v>-704</v>
      </c>
      <c r="AI92" s="175">
        <v>-3810</v>
      </c>
      <c r="AJ92" s="175">
        <v>-1095</v>
      </c>
      <c r="AK92" s="175">
        <v>-919</v>
      </c>
      <c r="AL92" s="175">
        <f t="shared" si="320"/>
        <v>-2014</v>
      </c>
      <c r="AM92" s="175">
        <v>-685</v>
      </c>
      <c r="AN92" s="175">
        <f t="shared" si="321"/>
        <v>-2699</v>
      </c>
      <c r="AO92" s="175">
        <f>-3774+2699</f>
        <v>-1075</v>
      </c>
      <c r="AP92" s="175">
        <f>SUM(AN92:AO92)</f>
        <v>-3774</v>
      </c>
      <c r="AQ92" s="175">
        <v>-778</v>
      </c>
      <c r="AR92" s="175">
        <v>-1207</v>
      </c>
      <c r="AS92" s="175">
        <v>-1985</v>
      </c>
      <c r="AT92" s="175">
        <v>-1486</v>
      </c>
      <c r="AU92" s="175">
        <v>-3471</v>
      </c>
      <c r="AV92" s="175">
        <v>-1119</v>
      </c>
      <c r="AW92" s="175">
        <f>SUM(AU92:AV92)</f>
        <v>-4590</v>
      </c>
      <c r="AX92" s="175">
        <v>-1730</v>
      </c>
      <c r="AY92" s="175">
        <f t="shared" si="292"/>
        <v>-1429</v>
      </c>
      <c r="AZ92" s="175">
        <v>-3159</v>
      </c>
      <c r="BA92" s="175">
        <f t="shared" si="293"/>
        <v>-3534</v>
      </c>
      <c r="BB92" s="175">
        <v>-6693</v>
      </c>
      <c r="BC92" s="175">
        <f t="shared" si="293"/>
        <v>-1587</v>
      </c>
      <c r="BD92" s="175">
        <v>-8280</v>
      </c>
      <c r="BE92" s="175">
        <v>-1630</v>
      </c>
      <c r="BF92" s="175">
        <f>-5442-BE92</f>
        <v>-3812</v>
      </c>
      <c r="BG92" s="175">
        <f t="shared" si="322"/>
        <v>-5442</v>
      </c>
      <c r="BH92" s="175">
        <f>-12820-BG92</f>
        <v>-7378</v>
      </c>
      <c r="BI92" s="175">
        <f t="shared" si="323"/>
        <v>-12820</v>
      </c>
      <c r="BJ92" s="175">
        <f>-16993-BI92</f>
        <v>-4173</v>
      </c>
      <c r="BK92" s="175">
        <f>BJ92+BI92</f>
        <v>-16993</v>
      </c>
      <c r="BL92" s="175">
        <v>-2410</v>
      </c>
      <c r="BM92" s="175">
        <f>-4500-BL92</f>
        <v>-2090</v>
      </c>
      <c r="BN92" s="175">
        <f>BM92+BL92</f>
        <v>-4500</v>
      </c>
      <c r="BO92" s="175">
        <f>-6820-BN92</f>
        <v>-2320</v>
      </c>
      <c r="BP92" s="175">
        <f t="shared" si="324"/>
        <v>-6820</v>
      </c>
      <c r="BQ92" s="175">
        <f>-7540-BP92</f>
        <v>-720</v>
      </c>
      <c r="BR92" s="175">
        <f>BQ92+BP92</f>
        <v>-7540</v>
      </c>
      <c r="BS92" s="175">
        <v>-1672</v>
      </c>
      <c r="BT92" s="175">
        <f>-3623-BS92</f>
        <v>-1951</v>
      </c>
      <c r="BU92" s="175">
        <f>BT92+BS92</f>
        <v>-3623</v>
      </c>
      <c r="BV92" s="175">
        <f>-5747-BU92</f>
        <v>-2124</v>
      </c>
      <c r="BW92" s="175">
        <f t="shared" si="325"/>
        <v>-5747</v>
      </c>
      <c r="BX92" s="175">
        <f>-7556-BW92</f>
        <v>-1809</v>
      </c>
      <c r="BY92" s="175">
        <f>BX92+BW92</f>
        <v>-7556</v>
      </c>
      <c r="BZ92" s="175">
        <v>-543</v>
      </c>
      <c r="CA92" s="175">
        <f>-2144-BZ92</f>
        <v>-1601</v>
      </c>
      <c r="CB92" s="175">
        <f>CA92+BZ92</f>
        <v>-2144</v>
      </c>
      <c r="CC92" s="175">
        <f>-3692-CB92</f>
        <v>-1548</v>
      </c>
      <c r="CD92" s="175">
        <f t="shared" si="326"/>
        <v>-3692</v>
      </c>
      <c r="CE92" s="175">
        <f>-5524-CD92</f>
        <v>-1832</v>
      </c>
      <c r="CF92" s="175">
        <f>CE92+CD92</f>
        <v>-5524</v>
      </c>
      <c r="CG92" s="175">
        <v>-2858</v>
      </c>
      <c r="CH92" s="175">
        <f>-4196-CG92</f>
        <v>-1338</v>
      </c>
      <c r="CI92" s="175">
        <f>CH92+CG92</f>
        <v>-4196</v>
      </c>
      <c r="CJ92" s="175">
        <f>-5683-CI92</f>
        <v>-1487</v>
      </c>
      <c r="CK92" s="175">
        <f t="shared" si="327"/>
        <v>-5683</v>
      </c>
      <c r="CL92" s="175">
        <f>-6996-CK92</f>
        <v>-1313</v>
      </c>
      <c r="CM92" s="175">
        <f>CL92+CK92</f>
        <v>-6996</v>
      </c>
      <c r="CN92" s="175">
        <v>-1862</v>
      </c>
      <c r="CO92" s="175">
        <f t="shared" si="347"/>
        <v>-3917</v>
      </c>
      <c r="CP92" s="175">
        <v>-5779</v>
      </c>
      <c r="CQ92" s="175">
        <f t="shared" si="347"/>
        <v>-22292</v>
      </c>
      <c r="CR92" s="175">
        <v>-28071</v>
      </c>
      <c r="CS92" s="175">
        <f t="shared" si="331"/>
        <v>-9223</v>
      </c>
      <c r="CT92" s="175">
        <v>-37294</v>
      </c>
      <c r="CU92" s="175">
        <v>-5632</v>
      </c>
      <c r="CV92" s="175">
        <f t="shared" si="352"/>
        <v>-17261</v>
      </c>
      <c r="CW92" s="175">
        <v>-22893</v>
      </c>
      <c r="CX92" s="175">
        <f t="shared" si="348"/>
        <v>-4141</v>
      </c>
      <c r="CY92" s="175">
        <v>-27034</v>
      </c>
      <c r="CZ92" s="175">
        <f t="shared" si="349"/>
        <v>-5324</v>
      </c>
      <c r="DA92" s="175">
        <v>-32358</v>
      </c>
      <c r="DB92" s="175">
        <v>-6191</v>
      </c>
      <c r="DC92" s="175">
        <f t="shared" si="353"/>
        <v>-105</v>
      </c>
      <c r="DD92" s="175">
        <v>-6296</v>
      </c>
      <c r="DE92" s="175">
        <f t="shared" si="350"/>
        <v>-3488</v>
      </c>
      <c r="DF92" s="175">
        <v>-9784</v>
      </c>
      <c r="DG92" s="175">
        <f t="shared" si="354"/>
        <v>-4769</v>
      </c>
      <c r="DH92" s="175">
        <v>-14553</v>
      </c>
      <c r="DI92" s="175">
        <v>-5562</v>
      </c>
      <c r="DJ92" s="175">
        <f t="shared" si="328"/>
        <v>-4976</v>
      </c>
      <c r="DK92" s="175">
        <v>-10538</v>
      </c>
    </row>
    <row r="93" spans="1:115" s="137" customFormat="1" ht="10.5" customHeight="1" x14ac:dyDescent="0.25">
      <c r="A93" s="63" t="s">
        <v>309</v>
      </c>
      <c r="B93" s="64"/>
      <c r="C93" s="64"/>
      <c r="D93" s="65"/>
      <c r="E93" s="64"/>
      <c r="F93" s="64"/>
      <c r="G93" s="64"/>
      <c r="H93" s="176">
        <f t="shared" ref="H93:P93" si="355">H77+H78</f>
        <v>65681</v>
      </c>
      <c r="I93" s="176">
        <f t="shared" si="355"/>
        <v>-39067</v>
      </c>
      <c r="J93" s="176">
        <f t="shared" si="284"/>
        <v>26614</v>
      </c>
      <c r="K93" s="176">
        <f>K77+K78</f>
        <v>-68349</v>
      </c>
      <c r="L93" s="176">
        <f t="shared" si="346"/>
        <v>-41735</v>
      </c>
      <c r="M93" s="176">
        <f t="shared" si="355"/>
        <v>49309</v>
      </c>
      <c r="N93" s="176">
        <f>N77+N78</f>
        <v>7574</v>
      </c>
      <c r="O93" s="176">
        <f t="shared" si="355"/>
        <v>-2418</v>
      </c>
      <c r="P93" s="176">
        <f t="shared" si="355"/>
        <v>43387</v>
      </c>
      <c r="Q93" s="176">
        <f t="shared" si="285"/>
        <v>40969</v>
      </c>
      <c r="R93" s="176">
        <f>R77+R78</f>
        <v>29711</v>
      </c>
      <c r="S93" s="176">
        <f t="shared" si="286"/>
        <v>70680</v>
      </c>
      <c r="T93" s="176">
        <f>T77+T78</f>
        <v>13213</v>
      </c>
      <c r="U93" s="176">
        <f>U77+U78</f>
        <v>83892</v>
      </c>
      <c r="V93" s="176">
        <f>V77+V78</f>
        <v>34197</v>
      </c>
      <c r="W93" s="176">
        <f>W77+W78</f>
        <v>64337</v>
      </c>
      <c r="X93" s="184">
        <f t="shared" si="287"/>
        <v>98534</v>
      </c>
      <c r="Y93" s="176">
        <f>Y77+Y78</f>
        <v>94419</v>
      </c>
      <c r="Z93" s="184">
        <f t="shared" si="288"/>
        <v>192953</v>
      </c>
      <c r="AA93" s="176">
        <f>AA77+AA78</f>
        <v>48226</v>
      </c>
      <c r="AB93" s="176">
        <f>AB77+AB78</f>
        <v>241179</v>
      </c>
      <c r="AC93" s="176">
        <f>AC77+AC78</f>
        <v>56896</v>
      </c>
      <c r="AD93" s="176">
        <f>AD77+AD78</f>
        <v>-57769</v>
      </c>
      <c r="AE93" s="176">
        <f>AC93+AD93</f>
        <v>-873</v>
      </c>
      <c r="AF93" s="176">
        <f>AF77+AF78</f>
        <v>8854</v>
      </c>
      <c r="AG93" s="176">
        <f>AE93+AF93</f>
        <v>7981</v>
      </c>
      <c r="AH93" s="176">
        <f>AH77+AH78</f>
        <v>64550</v>
      </c>
      <c r="AI93" s="176">
        <f>AG93+AH93</f>
        <v>72531</v>
      </c>
      <c r="AJ93" s="176">
        <f t="shared" ref="AJ93:AP93" si="356">AJ77+AJ78</f>
        <v>56150</v>
      </c>
      <c r="AK93" s="176">
        <f t="shared" si="356"/>
        <v>54276</v>
      </c>
      <c r="AL93" s="176">
        <f t="shared" si="356"/>
        <v>110426</v>
      </c>
      <c r="AM93" s="176">
        <f t="shared" si="356"/>
        <v>22830</v>
      </c>
      <c r="AN93" s="176">
        <f t="shared" si="356"/>
        <v>133256</v>
      </c>
      <c r="AO93" s="176">
        <f t="shared" si="356"/>
        <v>-7672</v>
      </c>
      <c r="AP93" s="176">
        <f t="shared" si="356"/>
        <v>125584</v>
      </c>
      <c r="AQ93" s="176">
        <f t="shared" ref="AQ93:AW93" si="357">AQ77+AQ78</f>
        <v>64960</v>
      </c>
      <c r="AR93" s="176">
        <f t="shared" si="357"/>
        <v>6143</v>
      </c>
      <c r="AS93" s="176">
        <f t="shared" si="357"/>
        <v>71103</v>
      </c>
      <c r="AT93" s="176">
        <f t="shared" si="357"/>
        <v>-179</v>
      </c>
      <c r="AU93" s="176">
        <f t="shared" si="357"/>
        <v>70924</v>
      </c>
      <c r="AV93" s="176">
        <f t="shared" si="357"/>
        <v>18148</v>
      </c>
      <c r="AW93" s="176">
        <f t="shared" si="357"/>
        <v>89072</v>
      </c>
      <c r="AX93" s="176">
        <f>AX77+AX78</f>
        <v>50006</v>
      </c>
      <c r="AY93" s="176">
        <f t="shared" si="292"/>
        <v>59928</v>
      </c>
      <c r="AZ93" s="176">
        <f>AZ77+AZ78</f>
        <v>109934</v>
      </c>
      <c r="BA93" s="176">
        <f t="shared" si="293"/>
        <v>10822</v>
      </c>
      <c r="BB93" s="176">
        <f>BB77+BB78</f>
        <v>120756</v>
      </c>
      <c r="BC93" s="176">
        <f t="shared" si="293"/>
        <v>45898</v>
      </c>
      <c r="BD93" s="176">
        <f>BD77+BD78</f>
        <v>166654</v>
      </c>
      <c r="BE93" s="176">
        <f>BE77+BE78</f>
        <v>-7282</v>
      </c>
      <c r="BF93" s="176">
        <f>BF77+BF78</f>
        <v>-115271</v>
      </c>
      <c r="BG93" s="176">
        <f t="shared" ref="BG93:CK93" si="358">BG77+BG78</f>
        <v>-122553</v>
      </c>
      <c r="BH93" s="176">
        <f t="shared" si="358"/>
        <v>-39108</v>
      </c>
      <c r="BI93" s="176">
        <f t="shared" si="358"/>
        <v>-161661</v>
      </c>
      <c r="BJ93" s="176">
        <f t="shared" si="358"/>
        <v>157499</v>
      </c>
      <c r="BK93" s="176">
        <f t="shared" si="358"/>
        <v>-4161</v>
      </c>
      <c r="BL93" s="176">
        <f t="shared" si="358"/>
        <v>125272</v>
      </c>
      <c r="BM93" s="176">
        <f t="shared" si="358"/>
        <v>115521</v>
      </c>
      <c r="BN93" s="176">
        <f t="shared" si="358"/>
        <v>240793</v>
      </c>
      <c r="BO93" s="176">
        <f t="shared" si="358"/>
        <v>98032</v>
      </c>
      <c r="BP93" s="176">
        <f t="shared" si="358"/>
        <v>338825</v>
      </c>
      <c r="BQ93" s="176">
        <f t="shared" si="358"/>
        <v>162165</v>
      </c>
      <c r="BR93" s="176">
        <f>BR77+BR78</f>
        <v>500990</v>
      </c>
      <c r="BS93" s="176">
        <f t="shared" si="358"/>
        <v>252259</v>
      </c>
      <c r="BT93" s="176">
        <f t="shared" si="358"/>
        <v>249551</v>
      </c>
      <c r="BU93" s="176">
        <f t="shared" si="358"/>
        <v>501810</v>
      </c>
      <c r="BV93" s="176">
        <f t="shared" si="358"/>
        <v>43788</v>
      </c>
      <c r="BW93" s="176">
        <f t="shared" si="358"/>
        <v>545598</v>
      </c>
      <c r="BX93" s="176">
        <f t="shared" si="358"/>
        <v>39483</v>
      </c>
      <c r="BY93" s="176">
        <f>BY77+BY78</f>
        <v>585081</v>
      </c>
      <c r="BZ93" s="176">
        <f t="shared" si="358"/>
        <v>165402</v>
      </c>
      <c r="CA93" s="176">
        <f t="shared" si="358"/>
        <v>311872</v>
      </c>
      <c r="CB93" s="176">
        <f t="shared" si="358"/>
        <v>477274</v>
      </c>
      <c r="CC93" s="176">
        <f t="shared" si="358"/>
        <v>-151181</v>
      </c>
      <c r="CD93" s="176">
        <f t="shared" si="358"/>
        <v>326093</v>
      </c>
      <c r="CE93" s="176">
        <f t="shared" si="358"/>
        <v>88569</v>
      </c>
      <c r="CF93" s="176">
        <f>CF77+CF78</f>
        <v>414662</v>
      </c>
      <c r="CG93" s="176">
        <f t="shared" si="358"/>
        <v>231012</v>
      </c>
      <c r="CH93" s="176">
        <f t="shared" si="358"/>
        <v>289308</v>
      </c>
      <c r="CI93" s="176">
        <f t="shared" si="358"/>
        <v>520320</v>
      </c>
      <c r="CJ93" s="176">
        <f t="shared" si="358"/>
        <v>-61392</v>
      </c>
      <c r="CK93" s="176">
        <f t="shared" si="358"/>
        <v>458928</v>
      </c>
      <c r="CL93" s="176">
        <f>CL77+CL78</f>
        <v>230252</v>
      </c>
      <c r="CM93" s="176">
        <f>CM77+CM78</f>
        <v>689179</v>
      </c>
      <c r="CN93" s="176">
        <f>CN77+CN78</f>
        <v>571432</v>
      </c>
      <c r="CO93" s="176">
        <f>CO77+CO78</f>
        <v>651057</v>
      </c>
      <c r="CP93" s="176">
        <f t="shared" ref="CP93:CR93" si="359">CP77+CP78</f>
        <v>1222489</v>
      </c>
      <c r="CQ93" s="176">
        <f>CQ77+CQ78</f>
        <v>101724</v>
      </c>
      <c r="CR93" s="176">
        <f t="shared" si="359"/>
        <v>1324213</v>
      </c>
      <c r="CS93" s="176">
        <f>CS77+CS78</f>
        <v>236592</v>
      </c>
      <c r="CT93" s="176">
        <f>CT77+CT78</f>
        <v>1560810</v>
      </c>
      <c r="CU93" s="176">
        <f>CU77+CU78</f>
        <v>1163622</v>
      </c>
      <c r="CV93" s="176">
        <f>CV77+CV78</f>
        <v>676722</v>
      </c>
      <c r="CW93" s="176">
        <f t="shared" ref="CW93" si="360">CW77+CW78</f>
        <v>1840342</v>
      </c>
      <c r="CX93" s="176">
        <f>CX77+CX78</f>
        <v>-144531</v>
      </c>
      <c r="CY93" s="176">
        <f>CY77+CY78</f>
        <v>1695811</v>
      </c>
      <c r="CZ93" s="176">
        <f>CZ77+CZ78</f>
        <v>110014</v>
      </c>
      <c r="DA93" s="176">
        <f t="shared" ref="DA93" si="361">DA77+DA78</f>
        <v>1805825</v>
      </c>
      <c r="DB93" s="176">
        <f>DB77+DB78</f>
        <v>825523</v>
      </c>
      <c r="DC93" s="176">
        <f>DC77+DC78</f>
        <v>471395</v>
      </c>
      <c r="DD93" s="176">
        <f t="shared" ref="DD93" si="362">DD77+DD78</f>
        <v>1296918</v>
      </c>
      <c r="DE93" s="176">
        <f>DE77+DE78</f>
        <v>224032</v>
      </c>
      <c r="DF93" s="176">
        <f t="shared" ref="DF93:DH93" si="363">DF77+DF78</f>
        <v>1520950</v>
      </c>
      <c r="DG93" s="176">
        <f>DG77+DG78+1</f>
        <v>-297046</v>
      </c>
      <c r="DH93" s="176">
        <f t="shared" si="363"/>
        <v>1223905</v>
      </c>
      <c r="DI93" s="176">
        <f>DI77+DI78</f>
        <v>308117</v>
      </c>
      <c r="DJ93" s="176">
        <f>DJ77+DJ78</f>
        <v>450757</v>
      </c>
      <c r="DK93" s="176">
        <f>DK77+DK78</f>
        <v>758874</v>
      </c>
    </row>
    <row r="94" spans="1:115" s="137" customFormat="1" ht="10.5" customHeight="1" x14ac:dyDescent="0.25">
      <c r="A94" s="82" t="s">
        <v>310</v>
      </c>
      <c r="B94" s="83"/>
      <c r="C94" s="83"/>
      <c r="D94" s="84"/>
      <c r="E94" s="83"/>
      <c r="F94" s="83"/>
      <c r="G94" s="83"/>
      <c r="H94" s="174">
        <f t="shared" ref="H94:P94" si="364">H95+H96</f>
        <v>-21318</v>
      </c>
      <c r="I94" s="174">
        <f t="shared" si="364"/>
        <v>14685</v>
      </c>
      <c r="J94" s="174">
        <f t="shared" si="284"/>
        <v>-6633</v>
      </c>
      <c r="K94" s="174">
        <f t="shared" si="364"/>
        <v>24462</v>
      </c>
      <c r="L94" s="174">
        <f t="shared" si="346"/>
        <v>17829</v>
      </c>
      <c r="M94" s="174">
        <f t="shared" si="364"/>
        <v>-16279</v>
      </c>
      <c r="N94" s="174">
        <f>N95+N96</f>
        <v>1550</v>
      </c>
      <c r="O94" s="174">
        <f t="shared" si="364"/>
        <v>2076</v>
      </c>
      <c r="P94" s="174">
        <f t="shared" si="364"/>
        <v>-13438</v>
      </c>
      <c r="Q94" s="174">
        <f t="shared" si="285"/>
        <v>-11362</v>
      </c>
      <c r="R94" s="174">
        <f>R95+R96</f>
        <v>-11944</v>
      </c>
      <c r="S94" s="174">
        <f t="shared" si="286"/>
        <v>-23306</v>
      </c>
      <c r="T94" s="174">
        <f>T95+T96</f>
        <v>-1973</v>
      </c>
      <c r="U94" s="174">
        <f>U95+U96</f>
        <v>-25279</v>
      </c>
      <c r="V94" s="174">
        <f>V95+V96</f>
        <v>-11824</v>
      </c>
      <c r="W94" s="174">
        <f>W95+W96</f>
        <v>-22330</v>
      </c>
      <c r="X94" s="183">
        <f t="shared" si="287"/>
        <v>-34154</v>
      </c>
      <c r="Y94" s="174">
        <f>Y95+Y96</f>
        <v>-31810</v>
      </c>
      <c r="Z94" s="183">
        <f t="shared" si="288"/>
        <v>-65964</v>
      </c>
      <c r="AA94" s="174">
        <f>AA95+AA96</f>
        <v>-15223</v>
      </c>
      <c r="AB94" s="174">
        <f>AB95+AB96</f>
        <v>-81187</v>
      </c>
      <c r="AC94" s="174">
        <f>AC95+AC96</f>
        <v>-23736</v>
      </c>
      <c r="AD94" s="174">
        <f>AD95+AD96</f>
        <v>12496</v>
      </c>
      <c r="AE94" s="174">
        <f>AC94+AD94</f>
        <v>-11240</v>
      </c>
      <c r="AF94" s="174">
        <f>AF95+AF96</f>
        <v>-9157</v>
      </c>
      <c r="AG94" s="174">
        <f>AE94+AF94</f>
        <v>-20397</v>
      </c>
      <c r="AH94" s="174">
        <f>AH95+AH96</f>
        <v>-13704</v>
      </c>
      <c r="AI94" s="174">
        <f>AG94+AH94</f>
        <v>-34101</v>
      </c>
      <c r="AJ94" s="174">
        <f t="shared" ref="AJ94:AP94" si="365">AJ95+AJ96</f>
        <v>-9715</v>
      </c>
      <c r="AK94" s="174">
        <f t="shared" si="365"/>
        <v>-17584</v>
      </c>
      <c r="AL94" s="174">
        <f t="shared" si="365"/>
        <v>-27299</v>
      </c>
      <c r="AM94" s="174">
        <f t="shared" si="365"/>
        <v>-7628</v>
      </c>
      <c r="AN94" s="174">
        <f t="shared" si="365"/>
        <v>-34927</v>
      </c>
      <c r="AO94" s="174">
        <f t="shared" si="365"/>
        <v>5946</v>
      </c>
      <c r="AP94" s="174">
        <f t="shared" si="365"/>
        <v>-28981</v>
      </c>
      <c r="AQ94" s="174">
        <f t="shared" ref="AQ94:AX94" si="366">AQ95+AQ96</f>
        <v>-20869</v>
      </c>
      <c r="AR94" s="174">
        <f t="shared" si="366"/>
        <v>-72</v>
      </c>
      <c r="AS94" s="174">
        <f t="shared" si="366"/>
        <v>-20941</v>
      </c>
      <c r="AT94" s="174">
        <f t="shared" si="366"/>
        <v>2887</v>
      </c>
      <c r="AU94" s="174">
        <f t="shared" si="366"/>
        <v>-18054</v>
      </c>
      <c r="AV94" s="174">
        <f t="shared" si="366"/>
        <v>-875</v>
      </c>
      <c r="AW94" s="174">
        <f t="shared" si="366"/>
        <v>-18929</v>
      </c>
      <c r="AX94" s="174">
        <f t="shared" si="366"/>
        <v>-16798</v>
      </c>
      <c r="AY94" s="174">
        <f t="shared" si="292"/>
        <v>-16815</v>
      </c>
      <c r="AZ94" s="174">
        <f>AZ95+AZ96</f>
        <v>-33613</v>
      </c>
      <c r="BA94" s="174">
        <f t="shared" si="293"/>
        <v>-1307</v>
      </c>
      <c r="BB94" s="174">
        <f>BB95+BB96</f>
        <v>-34920</v>
      </c>
      <c r="BC94" s="174">
        <f t="shared" si="293"/>
        <v>-10563</v>
      </c>
      <c r="BD94" s="174">
        <f>BD95+BD96</f>
        <v>-45483</v>
      </c>
      <c r="BE94" s="174">
        <f>BE95+BE96</f>
        <v>4611</v>
      </c>
      <c r="BF94" s="174">
        <f>BF95+BF96</f>
        <v>40750</v>
      </c>
      <c r="BG94" s="174">
        <f>BG95+BG96</f>
        <v>45361</v>
      </c>
      <c r="BH94" s="174">
        <f t="shared" ref="BH94:CK94" si="367">BH95+BH96</f>
        <v>17893</v>
      </c>
      <c r="BI94" s="174">
        <f t="shared" si="367"/>
        <v>63254</v>
      </c>
      <c r="BJ94" s="174">
        <f t="shared" si="367"/>
        <v>-43452</v>
      </c>
      <c r="BK94" s="174">
        <f t="shared" si="367"/>
        <v>19802</v>
      </c>
      <c r="BL94" s="174">
        <f t="shared" si="367"/>
        <v>-41332</v>
      </c>
      <c r="BM94" s="174">
        <f t="shared" si="367"/>
        <v>-37327</v>
      </c>
      <c r="BN94" s="174">
        <f t="shared" si="367"/>
        <v>-78659</v>
      </c>
      <c r="BO94" s="174">
        <f t="shared" si="367"/>
        <v>-27532</v>
      </c>
      <c r="BP94" s="174">
        <f t="shared" si="367"/>
        <v>-106191</v>
      </c>
      <c r="BQ94" s="174">
        <f t="shared" si="367"/>
        <v>-25537</v>
      </c>
      <c r="BR94" s="174">
        <f>BR95+BR96</f>
        <v>-131728</v>
      </c>
      <c r="BS94" s="174">
        <f t="shared" si="367"/>
        <v>-83000</v>
      </c>
      <c r="BT94" s="174">
        <f t="shared" si="367"/>
        <v>-81355</v>
      </c>
      <c r="BU94" s="174">
        <f t="shared" si="367"/>
        <v>-164355</v>
      </c>
      <c r="BV94" s="174">
        <f t="shared" si="367"/>
        <v>-8201</v>
      </c>
      <c r="BW94" s="174">
        <f t="shared" si="367"/>
        <v>-172556</v>
      </c>
      <c r="BX94" s="174">
        <f t="shared" si="367"/>
        <v>-6024</v>
      </c>
      <c r="BY94" s="174">
        <f>BY95+BY96</f>
        <v>-178580</v>
      </c>
      <c r="BZ94" s="174">
        <f t="shared" si="367"/>
        <v>-54021</v>
      </c>
      <c r="CA94" s="174">
        <f t="shared" si="367"/>
        <v>-99920</v>
      </c>
      <c r="CB94" s="174">
        <f t="shared" si="367"/>
        <v>-153941</v>
      </c>
      <c r="CC94" s="174">
        <f t="shared" si="367"/>
        <v>54222</v>
      </c>
      <c r="CD94" s="174">
        <f t="shared" si="367"/>
        <v>-99719</v>
      </c>
      <c r="CE94" s="174">
        <f t="shared" si="367"/>
        <v>98</v>
      </c>
      <c r="CF94" s="174">
        <f>CF95+CF96</f>
        <v>-99621</v>
      </c>
      <c r="CG94" s="174">
        <f t="shared" si="367"/>
        <v>-74615</v>
      </c>
      <c r="CH94" s="174">
        <f t="shared" si="367"/>
        <v>-93218</v>
      </c>
      <c r="CI94" s="174">
        <f t="shared" si="367"/>
        <v>-167833</v>
      </c>
      <c r="CJ94" s="174">
        <f t="shared" si="367"/>
        <v>25682</v>
      </c>
      <c r="CK94" s="174">
        <f t="shared" si="367"/>
        <v>-142151</v>
      </c>
      <c r="CL94" s="174">
        <f>CL95+CL96</f>
        <v>-36080</v>
      </c>
      <c r="CM94" s="174">
        <f>CM95+CM96</f>
        <v>-178231</v>
      </c>
      <c r="CN94" s="174">
        <f>CN95+CN96</f>
        <v>-194628</v>
      </c>
      <c r="CO94" s="174">
        <f>CO95+CO96</f>
        <v>-203817</v>
      </c>
      <c r="CP94" s="174">
        <f t="shared" ref="CP94:CR94" si="368">CP95+CP96</f>
        <v>-398445</v>
      </c>
      <c r="CQ94" s="174">
        <f>CQ95+CQ96</f>
        <v>12031</v>
      </c>
      <c r="CR94" s="174">
        <f t="shared" si="368"/>
        <v>-386414</v>
      </c>
      <c r="CS94" s="174">
        <f>CS95+CS96</f>
        <v>-43637</v>
      </c>
      <c r="CT94" s="174">
        <f>CT95+CT96</f>
        <v>-430051</v>
      </c>
      <c r="CU94" s="174">
        <f>CU95+CU96</f>
        <v>-366560</v>
      </c>
      <c r="CV94" s="174">
        <f>CV95+CV96</f>
        <v>-191137</v>
      </c>
      <c r="CW94" s="174">
        <f t="shared" ref="CW94" si="369">CW95+CW96</f>
        <v>-557697</v>
      </c>
      <c r="CX94" s="174">
        <f>CX95+CX96</f>
        <v>66187</v>
      </c>
      <c r="CY94" s="174">
        <f t="shared" ref="CY94:DA94" si="370">CY95+CY96</f>
        <v>-491510</v>
      </c>
      <c r="CZ94" s="174">
        <f>CZ95+CZ96</f>
        <v>22418</v>
      </c>
      <c r="DA94" s="174">
        <f t="shared" si="370"/>
        <v>-469092</v>
      </c>
      <c r="DB94" s="174">
        <f>DB95+DB96</f>
        <v>-250548</v>
      </c>
      <c r="DC94" s="174">
        <f>DC95+DC96</f>
        <v>-122676</v>
      </c>
      <c r="DD94" s="174">
        <f t="shared" ref="DD94" si="371">DD95+DD96</f>
        <v>-373224</v>
      </c>
      <c r="DE94" s="174">
        <f>DE95+DE96</f>
        <v>-56760</v>
      </c>
      <c r="DF94" s="174">
        <f t="shared" ref="DF94:DH94" si="372">DF95+DF96</f>
        <v>-429984</v>
      </c>
      <c r="DG94" s="174">
        <f>DG95+DG96</f>
        <v>144060</v>
      </c>
      <c r="DH94" s="174">
        <f t="shared" si="372"/>
        <v>-285924</v>
      </c>
      <c r="DI94" s="174">
        <f>DI95+DI96</f>
        <v>-79174</v>
      </c>
      <c r="DJ94" s="174">
        <f>DJ95+DJ96</f>
        <v>-129345</v>
      </c>
      <c r="DK94" s="174">
        <f>DK95+DK96</f>
        <v>-208519</v>
      </c>
    </row>
    <row r="95" spans="1:115" ht="10.5" customHeight="1" x14ac:dyDescent="0.25">
      <c r="A95" s="97"/>
      <c r="B95" s="98" t="s">
        <v>311</v>
      </c>
      <c r="C95" s="98"/>
      <c r="D95" s="99"/>
      <c r="E95" s="100"/>
      <c r="F95" s="100"/>
      <c r="G95" s="100"/>
      <c r="H95" s="175">
        <v>-4482</v>
      </c>
      <c r="I95" s="175">
        <v>-1788</v>
      </c>
      <c r="J95" s="177">
        <f t="shared" si="284"/>
        <v>-6270</v>
      </c>
      <c r="K95" s="175">
        <v>-466</v>
      </c>
      <c r="L95" s="177">
        <f t="shared" si="346"/>
        <v>-6736</v>
      </c>
      <c r="M95" s="175">
        <v>-730</v>
      </c>
      <c r="N95" s="175">
        <f>L95+M95</f>
        <v>-7466</v>
      </c>
      <c r="O95" s="177">
        <v>-6032</v>
      </c>
      <c r="P95" s="178">
        <v>322</v>
      </c>
      <c r="Q95" s="177">
        <f t="shared" si="285"/>
        <v>-5710</v>
      </c>
      <c r="R95" s="175">
        <v>-206</v>
      </c>
      <c r="S95" s="175">
        <f t="shared" si="286"/>
        <v>-5916</v>
      </c>
      <c r="T95" s="175">
        <f>U95-S95</f>
        <v>-1145</v>
      </c>
      <c r="U95" s="175">
        <v>-7061</v>
      </c>
      <c r="V95" s="175">
        <v>-4841</v>
      </c>
      <c r="W95" s="175">
        <v>-540</v>
      </c>
      <c r="X95" s="175">
        <f t="shared" si="287"/>
        <v>-5381</v>
      </c>
      <c r="Y95" s="175">
        <v>-6086</v>
      </c>
      <c r="Z95" s="175">
        <f t="shared" si="288"/>
        <v>-11467</v>
      </c>
      <c r="AA95" s="175">
        <f>AB95-Z95</f>
        <v>-7514</v>
      </c>
      <c r="AB95" s="175">
        <v>-18981</v>
      </c>
      <c r="AC95" s="175">
        <v>-9969</v>
      </c>
      <c r="AD95" s="175">
        <f>AE95-AC95</f>
        <v>-5618</v>
      </c>
      <c r="AE95" s="175">
        <v>-15587</v>
      </c>
      <c r="AF95" s="175">
        <f>AG95-AE95</f>
        <v>-918</v>
      </c>
      <c r="AG95" s="175">
        <v>-16505</v>
      </c>
      <c r="AH95" s="175">
        <f>AI95-AG95</f>
        <v>-14019</v>
      </c>
      <c r="AI95" s="175">
        <v>-30524</v>
      </c>
      <c r="AJ95" s="175">
        <v>-21591</v>
      </c>
      <c r="AK95" s="175">
        <v>-10869</v>
      </c>
      <c r="AL95" s="175">
        <f>SUM(AJ95:AK95)</f>
        <v>-32460</v>
      </c>
      <c r="AM95" s="175">
        <v>-5305</v>
      </c>
      <c r="AN95" s="175">
        <f>SUM(AL95:AM95)</f>
        <v>-37765</v>
      </c>
      <c r="AO95" s="175">
        <f>-46441+37765</f>
        <v>-8676</v>
      </c>
      <c r="AP95" s="175">
        <f>SUM(AN95:AO95)</f>
        <v>-46441</v>
      </c>
      <c r="AQ95" s="175">
        <v>-18775</v>
      </c>
      <c r="AR95" s="175">
        <v>-13192</v>
      </c>
      <c r="AS95" s="175">
        <v>-31967</v>
      </c>
      <c r="AT95" s="175">
        <v>-6354</v>
      </c>
      <c r="AU95" s="175">
        <v>-38321</v>
      </c>
      <c r="AV95" s="175">
        <v>-5199</v>
      </c>
      <c r="AW95" s="175">
        <f>SUM(AU95:AV95)</f>
        <v>-43520</v>
      </c>
      <c r="AX95" s="175">
        <v>-11994</v>
      </c>
      <c r="AY95" s="175">
        <f t="shared" si="292"/>
        <v>-5177</v>
      </c>
      <c r="AZ95" s="175">
        <v>-17171</v>
      </c>
      <c r="BA95" s="175">
        <f t="shared" si="293"/>
        <v>-8602</v>
      </c>
      <c r="BB95" s="175">
        <v>-25773</v>
      </c>
      <c r="BC95" s="175">
        <f t="shared" si="293"/>
        <v>-7265</v>
      </c>
      <c r="BD95" s="175">
        <v>-33038</v>
      </c>
      <c r="BE95" s="175">
        <v>-5004</v>
      </c>
      <c r="BF95" s="175">
        <v>-9847</v>
      </c>
      <c r="BG95" s="175">
        <f>BF95+BE95</f>
        <v>-14851</v>
      </c>
      <c r="BH95" s="175">
        <v>-6403</v>
      </c>
      <c r="BI95" s="175">
        <f>BH95+BG95</f>
        <v>-21254</v>
      </c>
      <c r="BJ95" s="175">
        <f>-27061-BI95</f>
        <v>-5807</v>
      </c>
      <c r="BK95" s="175">
        <f>BJ95+BI95</f>
        <v>-27061</v>
      </c>
      <c r="BL95" s="175">
        <v>-2075</v>
      </c>
      <c r="BM95" s="175">
        <v>-33158</v>
      </c>
      <c r="BN95" s="175">
        <f>BM95+BL95</f>
        <v>-35233</v>
      </c>
      <c r="BO95" s="175">
        <f>-10248</f>
        <v>-10248</v>
      </c>
      <c r="BP95" s="175">
        <f>BO95+BN95</f>
        <v>-45481</v>
      </c>
      <c r="BQ95" s="175">
        <f>-77161-BP95</f>
        <v>-31680</v>
      </c>
      <c r="BR95" s="175">
        <f>BQ95+BP95</f>
        <v>-77161</v>
      </c>
      <c r="BS95" s="175">
        <v>-18236</v>
      </c>
      <c r="BT95" s="175">
        <v>-21307</v>
      </c>
      <c r="BU95" s="175">
        <f>BT95+BS95</f>
        <v>-39543</v>
      </c>
      <c r="BV95" s="175">
        <v>1773</v>
      </c>
      <c r="BW95" s="175">
        <f>BV95+BU95</f>
        <v>-37770</v>
      </c>
      <c r="BX95" s="175">
        <f>-97023-BW95</f>
        <v>-59253</v>
      </c>
      <c r="BY95" s="175">
        <f>BX95+BW95</f>
        <v>-97023</v>
      </c>
      <c r="BZ95" s="175">
        <v>-13306</v>
      </c>
      <c r="CA95" s="175">
        <v>-8805</v>
      </c>
      <c r="CB95" s="175">
        <f>CA95+BZ95</f>
        <v>-22111</v>
      </c>
      <c r="CC95" s="175">
        <v>-12676</v>
      </c>
      <c r="CD95" s="175">
        <f>CC95+CB95</f>
        <v>-34787</v>
      </c>
      <c r="CE95" s="175">
        <f>-90856-CD95</f>
        <v>-56069</v>
      </c>
      <c r="CF95" s="175">
        <f>CE95+CD95</f>
        <v>-90856</v>
      </c>
      <c r="CG95" s="175">
        <v>-1370</v>
      </c>
      <c r="CH95" s="175">
        <v>-2945</v>
      </c>
      <c r="CI95" s="175">
        <f>CH95+CG95</f>
        <v>-4315</v>
      </c>
      <c r="CJ95" s="175">
        <v>-16128</v>
      </c>
      <c r="CK95" s="175">
        <f>CJ95+CI95</f>
        <v>-20443</v>
      </c>
      <c r="CL95" s="175">
        <f>-111392-CK95</f>
        <v>-90949</v>
      </c>
      <c r="CM95" s="175">
        <f>CL95+CK95</f>
        <v>-111392</v>
      </c>
      <c r="CN95" s="175">
        <v>-36885</v>
      </c>
      <c r="CO95" s="175">
        <v>-102583</v>
      </c>
      <c r="CP95" s="175">
        <f>CO95+CN95</f>
        <v>-139468</v>
      </c>
      <c r="CQ95" s="175">
        <v>-38531</v>
      </c>
      <c r="CR95" s="175">
        <f>CQ95+CP95</f>
        <v>-177999</v>
      </c>
      <c r="CS95" s="175">
        <f>CT95-CR95</f>
        <v>3492</v>
      </c>
      <c r="CT95" s="175">
        <v>-174507</v>
      </c>
      <c r="CU95" s="175">
        <v>-316870</v>
      </c>
      <c r="CV95" s="175">
        <v>-58229</v>
      </c>
      <c r="CW95" s="175">
        <f>CV95+CU95</f>
        <v>-375099</v>
      </c>
      <c r="CX95" s="175">
        <v>-10857</v>
      </c>
      <c r="CY95" s="175">
        <f>CX95+CW95</f>
        <v>-385956</v>
      </c>
      <c r="CZ95" s="175">
        <f t="shared" ref="CZ95:CZ99" si="373">DA95-CY95</f>
        <v>-158445</v>
      </c>
      <c r="DA95" s="175">
        <v>-544401</v>
      </c>
      <c r="DB95" s="175">
        <v>-119663</v>
      </c>
      <c r="DC95" s="175">
        <v>-25309</v>
      </c>
      <c r="DD95" s="175">
        <f>DC95+DB95</f>
        <v>-144972</v>
      </c>
      <c r="DE95" s="175">
        <v>-76773</v>
      </c>
      <c r="DF95" s="175">
        <f>DE95+DD95</f>
        <v>-221745</v>
      </c>
      <c r="DG95" s="175">
        <v>-99206</v>
      </c>
      <c r="DH95" s="175">
        <f>DG95+DF95</f>
        <v>-320951</v>
      </c>
      <c r="DI95" s="175">
        <v>-21596</v>
      </c>
      <c r="DJ95" s="175">
        <v>-31210</v>
      </c>
      <c r="DK95" s="175">
        <f>DI95+DJ95</f>
        <v>-52806</v>
      </c>
    </row>
    <row r="96" spans="1:115" ht="10.5" customHeight="1" x14ac:dyDescent="0.25">
      <c r="A96" s="56"/>
      <c r="B96" s="57" t="s">
        <v>312</v>
      </c>
      <c r="C96" s="57"/>
      <c r="D96" s="58"/>
      <c r="E96" s="59"/>
      <c r="F96" s="59"/>
      <c r="G96" s="59"/>
      <c r="H96" s="175">
        <v>-16836</v>
      </c>
      <c r="I96" s="175">
        <v>16473</v>
      </c>
      <c r="J96" s="177">
        <f t="shared" si="284"/>
        <v>-363</v>
      </c>
      <c r="K96" s="175">
        <v>24928</v>
      </c>
      <c r="L96" s="177">
        <f t="shared" si="346"/>
        <v>24565</v>
      </c>
      <c r="M96" s="175">
        <v>-15549</v>
      </c>
      <c r="N96" s="175">
        <f>L96+M96</f>
        <v>9016</v>
      </c>
      <c r="O96" s="178">
        <v>8108</v>
      </c>
      <c r="P96" s="178">
        <v>-13760</v>
      </c>
      <c r="Q96" s="178">
        <f t="shared" si="285"/>
        <v>-5652</v>
      </c>
      <c r="R96" s="182">
        <v>-11738</v>
      </c>
      <c r="S96" s="182">
        <f t="shared" si="286"/>
        <v>-17390</v>
      </c>
      <c r="T96" s="175">
        <f>U96-S96</f>
        <v>-828</v>
      </c>
      <c r="U96" s="175">
        <v>-18218</v>
      </c>
      <c r="V96" s="182">
        <v>-6983</v>
      </c>
      <c r="W96" s="182">
        <v>-21790</v>
      </c>
      <c r="X96" s="182">
        <f t="shared" si="287"/>
        <v>-28773</v>
      </c>
      <c r="Y96" s="182">
        <v>-25724</v>
      </c>
      <c r="Z96" s="182">
        <f t="shared" si="288"/>
        <v>-54497</v>
      </c>
      <c r="AA96" s="182">
        <f>AB96-Z96</f>
        <v>-7709</v>
      </c>
      <c r="AB96" s="175">
        <v>-62206</v>
      </c>
      <c r="AC96" s="175">
        <v>-13767</v>
      </c>
      <c r="AD96" s="175">
        <f>AE96-AC96</f>
        <v>18114</v>
      </c>
      <c r="AE96" s="175">
        <v>4347</v>
      </c>
      <c r="AF96" s="175">
        <f>AG96-AE96</f>
        <v>-8239</v>
      </c>
      <c r="AG96" s="175">
        <v>-3892</v>
      </c>
      <c r="AH96" s="175">
        <f>AI96-AG96</f>
        <v>315</v>
      </c>
      <c r="AI96" s="175">
        <v>-3577</v>
      </c>
      <c r="AJ96" s="175">
        <v>11876</v>
      </c>
      <c r="AK96" s="175">
        <v>-6715</v>
      </c>
      <c r="AL96" s="175">
        <f>SUM(AJ96:AK96)</f>
        <v>5161</v>
      </c>
      <c r="AM96" s="175">
        <v>-2323</v>
      </c>
      <c r="AN96" s="175">
        <f>SUM(AL96:AM96)</f>
        <v>2838</v>
      </c>
      <c r="AO96" s="175">
        <f>17460-2838</f>
        <v>14622</v>
      </c>
      <c r="AP96" s="175">
        <f>SUM(AN96:AO96)</f>
        <v>17460</v>
      </c>
      <c r="AQ96" s="175">
        <v>-2094</v>
      </c>
      <c r="AR96" s="175">
        <v>13120</v>
      </c>
      <c r="AS96" s="175">
        <v>11026</v>
      </c>
      <c r="AT96" s="175">
        <v>9241</v>
      </c>
      <c r="AU96" s="175">
        <v>20267</v>
      </c>
      <c r="AV96" s="175">
        <v>4324</v>
      </c>
      <c r="AW96" s="175">
        <f>SUM(AU96:AV96)</f>
        <v>24591</v>
      </c>
      <c r="AX96" s="175">
        <v>-4804</v>
      </c>
      <c r="AY96" s="175">
        <f t="shared" si="292"/>
        <v>-11638</v>
      </c>
      <c r="AZ96" s="175">
        <v>-16442</v>
      </c>
      <c r="BA96" s="175">
        <f t="shared" si="293"/>
        <v>7295</v>
      </c>
      <c r="BB96" s="175">
        <v>-9147</v>
      </c>
      <c r="BC96" s="175">
        <f t="shared" si="293"/>
        <v>-3298</v>
      </c>
      <c r="BD96" s="175">
        <v>-12445</v>
      </c>
      <c r="BE96" s="175">
        <v>9615</v>
      </c>
      <c r="BF96" s="175">
        <v>50597</v>
      </c>
      <c r="BG96" s="175">
        <f>BF96+BE96</f>
        <v>60212</v>
      </c>
      <c r="BH96" s="175">
        <v>24296</v>
      </c>
      <c r="BI96" s="175">
        <f>BH96+BG96</f>
        <v>84508</v>
      </c>
      <c r="BJ96" s="175">
        <f>46863-BI96</f>
        <v>-37645</v>
      </c>
      <c r="BK96" s="175">
        <f>BJ96+BI96</f>
        <v>46863</v>
      </c>
      <c r="BL96" s="175">
        <v>-39257</v>
      </c>
      <c r="BM96" s="175">
        <v>-4169</v>
      </c>
      <c r="BN96" s="175">
        <f>BM96+BL96</f>
        <v>-43426</v>
      </c>
      <c r="BO96" s="175">
        <v>-17284</v>
      </c>
      <c r="BP96" s="175">
        <f>BO96+BN96</f>
        <v>-60710</v>
      </c>
      <c r="BQ96" s="175">
        <f>-54567-BP96</f>
        <v>6143</v>
      </c>
      <c r="BR96" s="175">
        <f>BQ96+BP96</f>
        <v>-54567</v>
      </c>
      <c r="BS96" s="175">
        <v>-64764</v>
      </c>
      <c r="BT96" s="175">
        <v>-60048</v>
      </c>
      <c r="BU96" s="175">
        <f>BT96+BS96</f>
        <v>-124812</v>
      </c>
      <c r="BV96" s="175">
        <v>-9974</v>
      </c>
      <c r="BW96" s="175">
        <f>BV96+BU96</f>
        <v>-134786</v>
      </c>
      <c r="BX96" s="175">
        <f>-81557-BW96</f>
        <v>53229</v>
      </c>
      <c r="BY96" s="175">
        <f>BX96+BW96</f>
        <v>-81557</v>
      </c>
      <c r="BZ96" s="175">
        <v>-40715</v>
      </c>
      <c r="CA96" s="175">
        <v>-91115</v>
      </c>
      <c r="CB96" s="175">
        <f>CA96+BZ96</f>
        <v>-131830</v>
      </c>
      <c r="CC96" s="175">
        <f>66899-1</f>
        <v>66898</v>
      </c>
      <c r="CD96" s="175">
        <f>CC96+CB96</f>
        <v>-64932</v>
      </c>
      <c r="CE96" s="175">
        <f>-8765-CD96</f>
        <v>56167</v>
      </c>
      <c r="CF96" s="175">
        <f>CE96+CD96</f>
        <v>-8765</v>
      </c>
      <c r="CG96" s="175">
        <v>-73245</v>
      </c>
      <c r="CH96" s="175">
        <v>-90273</v>
      </c>
      <c r="CI96" s="175">
        <f>CH96+CG96</f>
        <v>-163518</v>
      </c>
      <c r="CJ96" s="175">
        <v>41810</v>
      </c>
      <c r="CK96" s="175">
        <f>CJ96+CI96</f>
        <v>-121708</v>
      </c>
      <c r="CL96" s="175">
        <f>-66839-CK96</f>
        <v>54869</v>
      </c>
      <c r="CM96" s="175">
        <f>CL96+CK96</f>
        <v>-66839</v>
      </c>
      <c r="CN96" s="175">
        <v>-157743</v>
      </c>
      <c r="CO96" s="175">
        <v>-101234</v>
      </c>
      <c r="CP96" s="175">
        <f>CO96+CN96</f>
        <v>-258977</v>
      </c>
      <c r="CQ96" s="175">
        <v>50562</v>
      </c>
      <c r="CR96" s="175">
        <f>CQ96+CP96</f>
        <v>-208415</v>
      </c>
      <c r="CS96" s="175">
        <f>CT96-CR96</f>
        <v>-47129</v>
      </c>
      <c r="CT96" s="175">
        <v>-255544</v>
      </c>
      <c r="CU96" s="175">
        <v>-49690</v>
      </c>
      <c r="CV96" s="175">
        <v>-132908</v>
      </c>
      <c r="CW96" s="175">
        <f>CV96+CU96</f>
        <v>-182598</v>
      </c>
      <c r="CX96" s="175">
        <v>77044</v>
      </c>
      <c r="CY96" s="175">
        <f>CX96+CW96</f>
        <v>-105554</v>
      </c>
      <c r="CZ96" s="175">
        <f t="shared" si="373"/>
        <v>180863</v>
      </c>
      <c r="DA96" s="175">
        <v>75309</v>
      </c>
      <c r="DB96" s="175">
        <v>-130885</v>
      </c>
      <c r="DC96" s="175">
        <v>-97367</v>
      </c>
      <c r="DD96" s="175">
        <f>DC96+DB96</f>
        <v>-228252</v>
      </c>
      <c r="DE96" s="175">
        <v>20013</v>
      </c>
      <c r="DF96" s="175">
        <f>DE96+DD96</f>
        <v>-208239</v>
      </c>
      <c r="DG96" s="175">
        <v>243266</v>
      </c>
      <c r="DH96" s="175">
        <f>DG96+DF96</f>
        <v>35027</v>
      </c>
      <c r="DI96" s="175">
        <v>-57578</v>
      </c>
      <c r="DJ96" s="175">
        <v>-98135</v>
      </c>
      <c r="DK96" s="175">
        <f>DI96+DJ96</f>
        <v>-155713</v>
      </c>
    </row>
    <row r="97" spans="1:115" s="137" customFormat="1" ht="10.5" customHeight="1" x14ac:dyDescent="0.25">
      <c r="A97" s="82" t="s">
        <v>313</v>
      </c>
      <c r="B97" s="83"/>
      <c r="C97" s="83"/>
      <c r="D97" s="84"/>
      <c r="E97" s="83"/>
      <c r="F97" s="83"/>
      <c r="G97" s="83"/>
      <c r="H97" s="181">
        <f t="shared" ref="H97:P97" si="374">H93+H94</f>
        <v>44363</v>
      </c>
      <c r="I97" s="181">
        <f t="shared" si="374"/>
        <v>-24382</v>
      </c>
      <c r="J97" s="181">
        <f t="shared" si="284"/>
        <v>19981</v>
      </c>
      <c r="K97" s="181">
        <f t="shared" si="374"/>
        <v>-43887</v>
      </c>
      <c r="L97" s="181">
        <f t="shared" si="346"/>
        <v>-23906</v>
      </c>
      <c r="M97" s="181">
        <f t="shared" si="374"/>
        <v>33030</v>
      </c>
      <c r="N97" s="181">
        <f>N93+N94</f>
        <v>9124</v>
      </c>
      <c r="O97" s="181">
        <f t="shared" si="374"/>
        <v>-342</v>
      </c>
      <c r="P97" s="181">
        <f t="shared" si="374"/>
        <v>29949</v>
      </c>
      <c r="Q97" s="181">
        <f t="shared" si="285"/>
        <v>29607</v>
      </c>
      <c r="R97" s="181">
        <f>R93+R94</f>
        <v>17767</v>
      </c>
      <c r="S97" s="181">
        <f t="shared" si="286"/>
        <v>47374</v>
      </c>
      <c r="T97" s="181">
        <f>T93+T94</f>
        <v>11240</v>
      </c>
      <c r="U97" s="181">
        <f>U93+U94</f>
        <v>58613</v>
      </c>
      <c r="V97" s="181">
        <f>V93+V94</f>
        <v>22373</v>
      </c>
      <c r="W97" s="181">
        <f>W93+W94</f>
        <v>42007</v>
      </c>
      <c r="X97" s="183">
        <f t="shared" si="287"/>
        <v>64380</v>
      </c>
      <c r="Y97" s="181">
        <f>Y93+Y94</f>
        <v>62609</v>
      </c>
      <c r="Z97" s="183">
        <f t="shared" si="288"/>
        <v>126989</v>
      </c>
      <c r="AA97" s="181">
        <f>AA93+AA94</f>
        <v>33003</v>
      </c>
      <c r="AB97" s="181">
        <f>AB93+AB94</f>
        <v>159992</v>
      </c>
      <c r="AC97" s="181">
        <f>AC93+AC94</f>
        <v>33160</v>
      </c>
      <c r="AD97" s="181">
        <f>AD93+AD94</f>
        <v>-45273</v>
      </c>
      <c r="AE97" s="181">
        <f>AC97+AD97</f>
        <v>-12113</v>
      </c>
      <c r="AF97" s="181">
        <f>AF93+AF94</f>
        <v>-303</v>
      </c>
      <c r="AG97" s="181">
        <f>AE97+AF97</f>
        <v>-12416</v>
      </c>
      <c r="AH97" s="181">
        <f>AH93+AH94</f>
        <v>50846</v>
      </c>
      <c r="AI97" s="181">
        <f>AG97+AH97</f>
        <v>38430</v>
      </c>
      <c r="AJ97" s="181">
        <f t="shared" ref="AJ97:AP97" si="375">AJ93+AJ94</f>
        <v>46435</v>
      </c>
      <c r="AK97" s="181">
        <f t="shared" si="375"/>
        <v>36692</v>
      </c>
      <c r="AL97" s="181">
        <f t="shared" si="375"/>
        <v>83127</v>
      </c>
      <c r="AM97" s="181">
        <f t="shared" si="375"/>
        <v>15202</v>
      </c>
      <c r="AN97" s="181">
        <f t="shared" si="375"/>
        <v>98329</v>
      </c>
      <c r="AO97" s="181">
        <f t="shared" si="375"/>
        <v>-1726</v>
      </c>
      <c r="AP97" s="181">
        <f t="shared" si="375"/>
        <v>96603</v>
      </c>
      <c r="AQ97" s="181">
        <f t="shared" ref="AQ97:AX97" si="376">AQ93+AQ94</f>
        <v>44091</v>
      </c>
      <c r="AR97" s="181">
        <f t="shared" si="376"/>
        <v>6071</v>
      </c>
      <c r="AS97" s="181">
        <f t="shared" si="376"/>
        <v>50162</v>
      </c>
      <c r="AT97" s="181">
        <f t="shared" si="376"/>
        <v>2708</v>
      </c>
      <c r="AU97" s="181">
        <f t="shared" si="376"/>
        <v>52870</v>
      </c>
      <c r="AV97" s="181">
        <f t="shared" si="376"/>
        <v>17273</v>
      </c>
      <c r="AW97" s="181">
        <f t="shared" si="376"/>
        <v>70143</v>
      </c>
      <c r="AX97" s="181">
        <f t="shared" si="376"/>
        <v>33208</v>
      </c>
      <c r="AY97" s="181">
        <f t="shared" si="292"/>
        <v>43113</v>
      </c>
      <c r="AZ97" s="181">
        <f>AZ93+AZ94</f>
        <v>76321</v>
      </c>
      <c r="BA97" s="181">
        <f t="shared" si="293"/>
        <v>9515</v>
      </c>
      <c r="BB97" s="181">
        <f>BB93+BB94</f>
        <v>85836</v>
      </c>
      <c r="BC97" s="181">
        <f t="shared" si="293"/>
        <v>35335</v>
      </c>
      <c r="BD97" s="181">
        <f>BD93+BD94</f>
        <v>121171</v>
      </c>
      <c r="BE97" s="181">
        <f>BE93+BE94</f>
        <v>-2671</v>
      </c>
      <c r="BF97" s="181">
        <f>BF93+BF94</f>
        <v>-74521</v>
      </c>
      <c r="BG97" s="181">
        <f>BG93+BG94</f>
        <v>-77192</v>
      </c>
      <c r="BH97" s="181">
        <f t="shared" ref="BH97:CK97" si="377">BH93+BH94</f>
        <v>-21215</v>
      </c>
      <c r="BI97" s="181">
        <f t="shared" si="377"/>
        <v>-98407</v>
      </c>
      <c r="BJ97" s="181">
        <f t="shared" si="377"/>
        <v>114047</v>
      </c>
      <c r="BK97" s="181">
        <f t="shared" si="377"/>
        <v>15641</v>
      </c>
      <c r="BL97" s="181">
        <f>BL93+BL94</f>
        <v>83940</v>
      </c>
      <c r="BM97" s="181">
        <f>BM93+BM94</f>
        <v>78194</v>
      </c>
      <c r="BN97" s="181">
        <f>BN93+BN94</f>
        <v>162134</v>
      </c>
      <c r="BO97" s="181">
        <f t="shared" si="377"/>
        <v>70500</v>
      </c>
      <c r="BP97" s="181">
        <f t="shared" si="377"/>
        <v>232634</v>
      </c>
      <c r="BQ97" s="181">
        <f t="shared" si="377"/>
        <v>136628</v>
      </c>
      <c r="BR97" s="181">
        <f>BR93+BR94</f>
        <v>369262</v>
      </c>
      <c r="BS97" s="181">
        <f t="shared" si="377"/>
        <v>169259</v>
      </c>
      <c r="BT97" s="181">
        <f t="shared" si="377"/>
        <v>168196</v>
      </c>
      <c r="BU97" s="181">
        <f t="shared" si="377"/>
        <v>337455</v>
      </c>
      <c r="BV97" s="181">
        <f t="shared" si="377"/>
        <v>35587</v>
      </c>
      <c r="BW97" s="181">
        <f t="shared" si="377"/>
        <v>373042</v>
      </c>
      <c r="BX97" s="181">
        <f t="shared" si="377"/>
        <v>33459</v>
      </c>
      <c r="BY97" s="181">
        <f>BY93+BY94</f>
        <v>406501</v>
      </c>
      <c r="BZ97" s="181">
        <f t="shared" si="377"/>
        <v>111381</v>
      </c>
      <c r="CA97" s="181">
        <f t="shared" si="377"/>
        <v>211952</v>
      </c>
      <c r="CB97" s="181">
        <f t="shared" si="377"/>
        <v>323333</v>
      </c>
      <c r="CC97" s="181">
        <f t="shared" si="377"/>
        <v>-96959</v>
      </c>
      <c r="CD97" s="181">
        <f t="shared" si="377"/>
        <v>226374</v>
      </c>
      <c r="CE97" s="181">
        <f t="shared" si="377"/>
        <v>88667</v>
      </c>
      <c r="CF97" s="181">
        <f>CF93+CF94</f>
        <v>315041</v>
      </c>
      <c r="CG97" s="181">
        <f t="shared" si="377"/>
        <v>156397</v>
      </c>
      <c r="CH97" s="181">
        <f t="shared" si="377"/>
        <v>196090</v>
      </c>
      <c r="CI97" s="181">
        <f t="shared" si="377"/>
        <v>352487</v>
      </c>
      <c r="CJ97" s="181">
        <f t="shared" si="377"/>
        <v>-35710</v>
      </c>
      <c r="CK97" s="181">
        <f t="shared" si="377"/>
        <v>316777</v>
      </c>
      <c r="CL97" s="181">
        <f>CL93+CL94</f>
        <v>194172</v>
      </c>
      <c r="CM97" s="181">
        <f>CM93+CM94</f>
        <v>510948</v>
      </c>
      <c r="CN97" s="181">
        <f>CN93+CN94</f>
        <v>376804</v>
      </c>
      <c r="CO97" s="181">
        <f>CO93+CO94</f>
        <v>447240</v>
      </c>
      <c r="CP97" s="181">
        <f t="shared" ref="CP97" si="378">CP93+CP94</f>
        <v>824044</v>
      </c>
      <c r="CQ97" s="181">
        <f t="shared" ref="CQ97:CU97" si="379">CQ93+CQ94</f>
        <v>113755</v>
      </c>
      <c r="CR97" s="181">
        <f t="shared" si="379"/>
        <v>937799</v>
      </c>
      <c r="CS97" s="181">
        <f t="shared" si="379"/>
        <v>192955</v>
      </c>
      <c r="CT97" s="181">
        <f t="shared" si="379"/>
        <v>1130759</v>
      </c>
      <c r="CU97" s="181">
        <f t="shared" si="379"/>
        <v>797062</v>
      </c>
      <c r="CV97" s="181">
        <f>CV93+CV94</f>
        <v>485585</v>
      </c>
      <c r="CW97" s="181">
        <f t="shared" ref="CW97:CX97" si="380">CW93+CW94</f>
        <v>1282645</v>
      </c>
      <c r="CX97" s="181">
        <f t="shared" si="380"/>
        <v>-78344</v>
      </c>
      <c r="CY97" s="181">
        <f>CY93+CY94</f>
        <v>1204301</v>
      </c>
      <c r="CZ97" s="181">
        <f>CZ93+CZ94+1</f>
        <v>132433</v>
      </c>
      <c r="DA97" s="181">
        <f t="shared" ref="DA97:DB97" si="381">DA93+DA94</f>
        <v>1336733</v>
      </c>
      <c r="DB97" s="181">
        <f t="shared" si="381"/>
        <v>574975</v>
      </c>
      <c r="DC97" s="181">
        <f t="shared" ref="DC97:DF97" si="382">DC93+DC94</f>
        <v>348719</v>
      </c>
      <c r="DD97" s="181">
        <f t="shared" si="382"/>
        <v>923694</v>
      </c>
      <c r="DE97" s="181">
        <f t="shared" si="382"/>
        <v>167272</v>
      </c>
      <c r="DF97" s="181">
        <f t="shared" si="382"/>
        <v>1090966</v>
      </c>
      <c r="DG97" s="181">
        <f t="shared" ref="DG97" si="383">DG93+DG94</f>
        <v>-152986</v>
      </c>
      <c r="DH97" s="181">
        <f>DH93+DH94-1</f>
        <v>937980</v>
      </c>
      <c r="DI97" s="181">
        <f t="shared" ref="DI97:DJ97" si="384">DI93+DI94</f>
        <v>228943</v>
      </c>
      <c r="DJ97" s="181">
        <f t="shared" si="384"/>
        <v>321412</v>
      </c>
      <c r="DK97" s="181">
        <f t="shared" ref="DK97" si="385">DK93+DK94</f>
        <v>550355</v>
      </c>
    </row>
    <row r="98" spans="1:115" ht="10.5" customHeight="1" x14ac:dyDescent="0.25">
      <c r="A98" s="97"/>
      <c r="B98" s="98" t="s">
        <v>412</v>
      </c>
      <c r="C98" s="98"/>
      <c r="D98" s="99"/>
      <c r="E98" s="100"/>
      <c r="F98" s="100"/>
      <c r="G98" s="100"/>
      <c r="H98" s="175">
        <f>H97</f>
        <v>44363</v>
      </c>
      <c r="I98" s="175">
        <f t="shared" ref="I98:AB98" si="386">I97</f>
        <v>-24382</v>
      </c>
      <c r="J98" s="175">
        <f t="shared" si="386"/>
        <v>19981</v>
      </c>
      <c r="K98" s="175">
        <f t="shared" si="386"/>
        <v>-43887</v>
      </c>
      <c r="L98" s="175">
        <f t="shared" si="386"/>
        <v>-23906</v>
      </c>
      <c r="M98" s="175">
        <f t="shared" si="386"/>
        <v>33030</v>
      </c>
      <c r="N98" s="175">
        <f t="shared" si="386"/>
        <v>9124</v>
      </c>
      <c r="O98" s="175">
        <f t="shared" si="386"/>
        <v>-342</v>
      </c>
      <c r="P98" s="175">
        <f t="shared" si="386"/>
        <v>29949</v>
      </c>
      <c r="Q98" s="175">
        <f t="shared" si="386"/>
        <v>29607</v>
      </c>
      <c r="R98" s="175">
        <f t="shared" si="386"/>
        <v>17767</v>
      </c>
      <c r="S98" s="175">
        <f t="shared" si="386"/>
        <v>47374</v>
      </c>
      <c r="T98" s="175">
        <f t="shared" si="386"/>
        <v>11240</v>
      </c>
      <c r="U98" s="175">
        <f t="shared" si="386"/>
        <v>58613</v>
      </c>
      <c r="V98" s="175">
        <f t="shared" si="386"/>
        <v>22373</v>
      </c>
      <c r="W98" s="175">
        <f t="shared" si="386"/>
        <v>42007</v>
      </c>
      <c r="X98" s="175">
        <f t="shared" si="386"/>
        <v>64380</v>
      </c>
      <c r="Y98" s="175">
        <f t="shared" si="386"/>
        <v>62609</v>
      </c>
      <c r="Z98" s="175">
        <f t="shared" si="386"/>
        <v>126989</v>
      </c>
      <c r="AA98" s="175">
        <f t="shared" si="386"/>
        <v>33003</v>
      </c>
      <c r="AB98" s="175">
        <f t="shared" si="386"/>
        <v>159992</v>
      </c>
      <c r="AC98" s="175">
        <f>AC97</f>
        <v>33160</v>
      </c>
      <c r="AD98" s="175">
        <v>-45937</v>
      </c>
      <c r="AE98" s="175">
        <f>AE97-664</f>
        <v>-12777</v>
      </c>
      <c r="AF98" s="175">
        <f>-670</f>
        <v>-670</v>
      </c>
      <c r="AG98" s="175">
        <f>AE98+AF98</f>
        <v>-13447</v>
      </c>
      <c r="AH98" s="175">
        <f>AH97-AH99</f>
        <v>50888</v>
      </c>
      <c r="AI98" s="175">
        <f>AI97-AI99</f>
        <v>37441</v>
      </c>
      <c r="AJ98" s="175">
        <f>AJ97-AJ99</f>
        <v>46189</v>
      </c>
      <c r="AK98" s="175">
        <v>36300</v>
      </c>
      <c r="AL98" s="175">
        <f>SUM(AJ98:AK98)</f>
        <v>82489</v>
      </c>
      <c r="AM98" s="175">
        <f>97449-82489</f>
        <v>14960</v>
      </c>
      <c r="AN98" s="175">
        <f>SUM(AL98:AM98)</f>
        <v>97449</v>
      </c>
      <c r="AO98" s="175">
        <f>95573-97449</f>
        <v>-1876</v>
      </c>
      <c r="AP98" s="175">
        <f>SUM(AN98:AO98)</f>
        <v>95573</v>
      </c>
      <c r="AQ98" s="175">
        <v>43647</v>
      </c>
      <c r="AR98" s="175">
        <v>5559</v>
      </c>
      <c r="AS98" s="175">
        <v>49206</v>
      </c>
      <c r="AT98" s="175">
        <v>2019</v>
      </c>
      <c r="AU98" s="175">
        <v>51225</v>
      </c>
      <c r="AV98" s="175">
        <v>16674</v>
      </c>
      <c r="AW98" s="175">
        <f>SUM(AU98:AV98)</f>
        <v>67899</v>
      </c>
      <c r="AX98" s="175">
        <v>33666</v>
      </c>
      <c r="AY98" s="175">
        <f t="shared" si="292"/>
        <v>42274</v>
      </c>
      <c r="AZ98" s="175">
        <v>75940</v>
      </c>
      <c r="BA98" s="175">
        <f t="shared" si="293"/>
        <v>11568</v>
      </c>
      <c r="BB98" s="175">
        <v>87508</v>
      </c>
      <c r="BC98" s="175">
        <f t="shared" si="293"/>
        <v>35020</v>
      </c>
      <c r="BD98" s="175">
        <v>122528</v>
      </c>
      <c r="BE98" s="175">
        <v>-6770</v>
      </c>
      <c r="BF98" s="175">
        <v>-58640</v>
      </c>
      <c r="BG98" s="175">
        <f>BF98+BE98</f>
        <v>-65410</v>
      </c>
      <c r="BH98" s="175">
        <v>-17219</v>
      </c>
      <c r="BI98" s="175">
        <f>BH98+BG98</f>
        <v>-82629</v>
      </c>
      <c r="BJ98" s="175">
        <f>29945-BI98</f>
        <v>112574</v>
      </c>
      <c r="BK98" s="175">
        <f>BJ98+BI98</f>
        <v>29945</v>
      </c>
      <c r="BL98" s="175">
        <v>74738</v>
      </c>
      <c r="BM98" s="175">
        <v>76565</v>
      </c>
      <c r="BN98" s="175">
        <f>BM98+BL98</f>
        <v>151303</v>
      </c>
      <c r="BO98" s="175">
        <v>68791</v>
      </c>
      <c r="BP98" s="175">
        <f>BO98+BN98</f>
        <v>220094</v>
      </c>
      <c r="BQ98" s="175">
        <f>356341-BP98</f>
        <v>136247</v>
      </c>
      <c r="BR98" s="175">
        <f>BQ98+BP98</f>
        <v>356341</v>
      </c>
      <c r="BS98" s="175">
        <v>154321</v>
      </c>
      <c r="BT98" s="175">
        <v>157048</v>
      </c>
      <c r="BU98" s="175">
        <f>BT98+BS98</f>
        <v>311369</v>
      </c>
      <c r="BV98" s="175">
        <v>35793</v>
      </c>
      <c r="BW98" s="175">
        <f>BV98+BU98</f>
        <v>347162</v>
      </c>
      <c r="BX98" s="175">
        <f>BY98-BW98</f>
        <v>34088</v>
      </c>
      <c r="BY98" s="175">
        <v>381250</v>
      </c>
      <c r="BZ98" s="175">
        <v>101867</v>
      </c>
      <c r="CA98" s="175">
        <v>205391</v>
      </c>
      <c r="CB98" s="175">
        <f>CA98+BZ98</f>
        <v>307258</v>
      </c>
      <c r="CC98" s="175">
        <v>-80298</v>
      </c>
      <c r="CD98" s="175">
        <f>CC98+CB98</f>
        <v>226960</v>
      </c>
      <c r="CE98" s="175">
        <f>CF98-CD98</f>
        <v>84554</v>
      </c>
      <c r="CF98" s="175">
        <v>311514</v>
      </c>
      <c r="CG98" s="175">
        <v>143525</v>
      </c>
      <c r="CH98" s="175">
        <v>185695</v>
      </c>
      <c r="CI98" s="175">
        <f>CH98+CG98</f>
        <v>329220</v>
      </c>
      <c r="CJ98" s="175">
        <v>-23749</v>
      </c>
      <c r="CK98" s="175">
        <f>CJ98+CI98</f>
        <v>305471</v>
      </c>
      <c r="CL98" s="175">
        <f>488674-CK98</f>
        <v>183203</v>
      </c>
      <c r="CM98" s="175">
        <f>CL98+CK98</f>
        <v>488674</v>
      </c>
      <c r="CN98" s="175">
        <v>342860</v>
      </c>
      <c r="CO98" s="175">
        <v>418724</v>
      </c>
      <c r="CP98" s="175">
        <f>CO98+CN98</f>
        <v>761584</v>
      </c>
      <c r="CQ98" s="175">
        <v>121012</v>
      </c>
      <c r="CR98" s="175">
        <f>CQ98+CP98</f>
        <v>882596</v>
      </c>
      <c r="CS98" s="175">
        <f>CT98-CR98</f>
        <v>179520</v>
      </c>
      <c r="CT98" s="175">
        <v>1062116</v>
      </c>
      <c r="CU98" s="175">
        <v>745124</v>
      </c>
      <c r="CV98" s="175">
        <v>473920</v>
      </c>
      <c r="CW98" s="175">
        <f>CV98+CU98-1</f>
        <v>1219043</v>
      </c>
      <c r="CX98" s="175">
        <v>-63655</v>
      </c>
      <c r="CY98" s="175">
        <f>CX98+CW98</f>
        <v>1155388</v>
      </c>
      <c r="CZ98" s="175">
        <f t="shared" si="373"/>
        <v>112071</v>
      </c>
      <c r="DA98" s="175">
        <v>1267459</v>
      </c>
      <c r="DB98" s="175">
        <v>538904</v>
      </c>
      <c r="DC98" s="175">
        <v>334197</v>
      </c>
      <c r="DD98" s="175">
        <f>DC98+DB98</f>
        <v>873101</v>
      </c>
      <c r="DE98" s="175">
        <v>164827</v>
      </c>
      <c r="DF98" s="175">
        <f>DE98+DD98</f>
        <v>1037928</v>
      </c>
      <c r="DG98" s="175">
        <v>-142328</v>
      </c>
      <c r="DH98" s="175">
        <f>DG98+DF98</f>
        <v>895600</v>
      </c>
      <c r="DI98" s="175">
        <v>222991</v>
      </c>
      <c r="DJ98" s="175">
        <v>320195</v>
      </c>
      <c r="DK98" s="175">
        <v>543186</v>
      </c>
    </row>
    <row r="99" spans="1:115" ht="10.5" customHeight="1" x14ac:dyDescent="0.25">
      <c r="A99" s="56"/>
      <c r="B99" s="98" t="s">
        <v>413</v>
      </c>
      <c r="C99" s="57"/>
      <c r="D99" s="58"/>
      <c r="E99" s="59"/>
      <c r="F99" s="59"/>
      <c r="G99" s="59"/>
      <c r="H99" s="185">
        <v>0</v>
      </c>
      <c r="I99" s="185">
        <v>0</v>
      </c>
      <c r="J99" s="185">
        <v>0</v>
      </c>
      <c r="K99" s="185">
        <v>0</v>
      </c>
      <c r="L99" s="185">
        <v>0</v>
      </c>
      <c r="M99" s="185">
        <v>0</v>
      </c>
      <c r="N99" s="185">
        <v>0</v>
      </c>
      <c r="O99" s="185">
        <v>0</v>
      </c>
      <c r="P99" s="185">
        <v>0</v>
      </c>
      <c r="Q99" s="185">
        <v>0</v>
      </c>
      <c r="R99" s="185">
        <v>0</v>
      </c>
      <c r="S99" s="185">
        <v>0</v>
      </c>
      <c r="T99" s="185">
        <v>0</v>
      </c>
      <c r="U99" s="185">
        <v>0</v>
      </c>
      <c r="V99" s="185">
        <v>0</v>
      </c>
      <c r="W99" s="185">
        <v>0</v>
      </c>
      <c r="X99" s="185">
        <v>0</v>
      </c>
      <c r="Y99" s="185">
        <v>0</v>
      </c>
      <c r="Z99" s="185">
        <v>0</v>
      </c>
      <c r="AA99" s="185">
        <v>0</v>
      </c>
      <c r="AB99" s="185">
        <v>0</v>
      </c>
      <c r="AC99" s="185">
        <v>0</v>
      </c>
      <c r="AD99" s="185">
        <f>AD97-AD98</f>
        <v>664</v>
      </c>
      <c r="AE99" s="185">
        <v>664</v>
      </c>
      <c r="AF99" s="185">
        <f>367</f>
        <v>367</v>
      </c>
      <c r="AG99" s="185">
        <f>AE99+AF99</f>
        <v>1031</v>
      </c>
      <c r="AH99" s="185">
        <f>325-367</f>
        <v>-42</v>
      </c>
      <c r="AI99" s="185">
        <f>AG99+AH99</f>
        <v>989</v>
      </c>
      <c r="AJ99" s="185">
        <f>46435-46189</f>
        <v>246</v>
      </c>
      <c r="AK99" s="185">
        <v>392</v>
      </c>
      <c r="AL99" s="185">
        <f>SUM(AJ99:AK99)</f>
        <v>638</v>
      </c>
      <c r="AM99" s="185">
        <f>880-638</f>
        <v>242</v>
      </c>
      <c r="AN99" s="185">
        <f>SUM(AL99:AM99)</f>
        <v>880</v>
      </c>
      <c r="AO99" s="185">
        <f>1030-880</f>
        <v>150</v>
      </c>
      <c r="AP99" s="185">
        <f>SUM(AN99:AO99)</f>
        <v>1030</v>
      </c>
      <c r="AQ99" s="185">
        <v>444</v>
      </c>
      <c r="AR99" s="175">
        <v>512</v>
      </c>
      <c r="AS99" s="185">
        <v>956</v>
      </c>
      <c r="AT99" s="175">
        <v>689</v>
      </c>
      <c r="AU99" s="185">
        <v>1645</v>
      </c>
      <c r="AV99" s="185">
        <v>600</v>
      </c>
      <c r="AW99" s="185">
        <f>SUM(AU99:AV99)</f>
        <v>2245</v>
      </c>
      <c r="AX99" s="185">
        <v>-458</v>
      </c>
      <c r="AY99" s="185">
        <f t="shared" si="292"/>
        <v>839</v>
      </c>
      <c r="AZ99" s="185">
        <v>381</v>
      </c>
      <c r="BA99" s="185">
        <f t="shared" si="293"/>
        <v>-2053</v>
      </c>
      <c r="BB99" s="185">
        <v>-1672</v>
      </c>
      <c r="BC99" s="185">
        <f t="shared" si="293"/>
        <v>314</v>
      </c>
      <c r="BD99" s="185">
        <v>-1358</v>
      </c>
      <c r="BE99" s="185">
        <v>4099</v>
      </c>
      <c r="BF99" s="185">
        <v>-15881</v>
      </c>
      <c r="BG99" s="175">
        <f>BF99+BE99</f>
        <v>-11782</v>
      </c>
      <c r="BH99" s="185">
        <v>-3996</v>
      </c>
      <c r="BI99" s="175">
        <f>BH99+BG99</f>
        <v>-15778</v>
      </c>
      <c r="BJ99" s="185">
        <f>-14304-BI99</f>
        <v>1474</v>
      </c>
      <c r="BK99" s="175">
        <f>BJ99+BI99</f>
        <v>-14304</v>
      </c>
      <c r="BL99" s="185">
        <v>9202</v>
      </c>
      <c r="BM99" s="185">
        <v>1629</v>
      </c>
      <c r="BN99" s="175">
        <f>BM99+BL99</f>
        <v>10831</v>
      </c>
      <c r="BO99" s="185">
        <v>1709</v>
      </c>
      <c r="BP99" s="175">
        <f>BO99+BN99</f>
        <v>12540</v>
      </c>
      <c r="BQ99" s="185">
        <f>12921-BP99</f>
        <v>381</v>
      </c>
      <c r="BR99" s="175">
        <f>BQ99+BP99</f>
        <v>12921</v>
      </c>
      <c r="BS99" s="185">
        <v>14938</v>
      </c>
      <c r="BT99" s="185">
        <v>11148</v>
      </c>
      <c r="BU99" s="175">
        <f>BT99+BS99</f>
        <v>26086</v>
      </c>
      <c r="BV99" s="185">
        <v>-206</v>
      </c>
      <c r="BW99" s="175">
        <f>BV99+BU99</f>
        <v>25880</v>
      </c>
      <c r="BX99" s="175">
        <f>BY99-BW99</f>
        <v>-629</v>
      </c>
      <c r="BY99" s="185">
        <v>25251</v>
      </c>
      <c r="BZ99" s="185">
        <v>9514</v>
      </c>
      <c r="CA99" s="185">
        <v>6561</v>
      </c>
      <c r="CB99" s="175">
        <f>CA99+BZ99</f>
        <v>16075</v>
      </c>
      <c r="CC99" s="185">
        <v>-16661</v>
      </c>
      <c r="CD99" s="175">
        <f>CC99+CB99</f>
        <v>-586</v>
      </c>
      <c r="CE99" s="175">
        <f>CF99-CD99</f>
        <v>4113</v>
      </c>
      <c r="CF99" s="185">
        <v>3527</v>
      </c>
      <c r="CG99" s="185">
        <v>12872</v>
      </c>
      <c r="CH99" s="185">
        <v>10395</v>
      </c>
      <c r="CI99" s="175">
        <f>CH99+CG99</f>
        <v>23267</v>
      </c>
      <c r="CJ99" s="185">
        <v>-11961</v>
      </c>
      <c r="CK99" s="175">
        <f>CJ99+CI99</f>
        <v>11306</v>
      </c>
      <c r="CL99" s="185">
        <f>22274-CK99</f>
        <v>10968</v>
      </c>
      <c r="CM99" s="175">
        <f>CL99+CK99</f>
        <v>22274</v>
      </c>
      <c r="CN99" s="185">
        <v>33944</v>
      </c>
      <c r="CO99" s="185">
        <v>28516</v>
      </c>
      <c r="CP99" s="175">
        <f>CO99+CN99</f>
        <v>62460</v>
      </c>
      <c r="CQ99" s="185">
        <v>-7257</v>
      </c>
      <c r="CR99" s="175">
        <f>CQ99+CP99</f>
        <v>55203</v>
      </c>
      <c r="CS99" s="175">
        <f>CT99-CR99</f>
        <v>13440</v>
      </c>
      <c r="CT99" s="175">
        <v>68643</v>
      </c>
      <c r="CU99" s="175">
        <v>51938</v>
      </c>
      <c r="CV99" s="175">
        <v>11665</v>
      </c>
      <c r="CW99" s="175">
        <f>CV99+CU99-1</f>
        <v>63602</v>
      </c>
      <c r="CX99" s="185">
        <v>-14690</v>
      </c>
      <c r="CY99" s="175">
        <f>CX99+CW99</f>
        <v>48912</v>
      </c>
      <c r="CZ99" s="175">
        <f t="shared" si="373"/>
        <v>20362</v>
      </c>
      <c r="DA99" s="175">
        <v>69274</v>
      </c>
      <c r="DB99" s="175">
        <v>36071</v>
      </c>
      <c r="DC99" s="175">
        <v>14522</v>
      </c>
      <c r="DD99" s="175">
        <f>DC99+DB99</f>
        <v>50593</v>
      </c>
      <c r="DE99" s="185">
        <v>2445</v>
      </c>
      <c r="DF99" s="175">
        <f>DE99+DD99</f>
        <v>53038</v>
      </c>
      <c r="DG99" s="185">
        <v>-10658</v>
      </c>
      <c r="DH99" s="175">
        <f>DG99+DF99</f>
        <v>42380</v>
      </c>
      <c r="DI99" s="175">
        <v>5952</v>
      </c>
      <c r="DJ99" s="175">
        <v>1217</v>
      </c>
      <c r="DK99" s="175">
        <v>7169</v>
      </c>
    </row>
    <row r="100" spans="1:115" x14ac:dyDescent="0.2">
      <c r="M100" s="96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DD100" s="10"/>
    </row>
    <row r="101" spans="1:115" x14ac:dyDescent="0.2">
      <c r="M101" s="127"/>
      <c r="DF101" s="10"/>
    </row>
    <row r="102" spans="1:115" x14ac:dyDescent="0.2">
      <c r="M102" s="96"/>
      <c r="DF102" s="10"/>
    </row>
    <row r="103" spans="1:115" x14ac:dyDescent="0.2">
      <c r="M103" s="127"/>
      <c r="DF103" s="222"/>
    </row>
    <row r="104" spans="1:115" x14ac:dyDescent="0.2">
      <c r="M104" s="127"/>
      <c r="N104" s="127"/>
      <c r="P104" s="127"/>
      <c r="DC104" s="221"/>
    </row>
    <row r="105" spans="1:115" x14ac:dyDescent="0.2">
      <c r="M105" s="127"/>
      <c r="N105" s="127"/>
      <c r="P105" s="127"/>
      <c r="DC105" s="221"/>
    </row>
  </sheetData>
  <customSheetViews>
    <customSheetView guid="{123C4F1C-4895-46DD-B59E-C96253E6CB23}" showGridLines="0" fitToPage="1" showRuler="0">
      <pane xSplit="9" ySplit="7" topLeftCell="S60" activePane="bottomRight" state="frozen"/>
      <selection pane="bottomRight" activeCell="T90" sqref="T90"/>
      <pageMargins left="0" right="0" top="0" bottom="0" header="0" footer="0"/>
      <pageSetup paperSize="9" scale="66" orientation="portrait" r:id="rId1"/>
      <headerFooter alignWithMargins="0"/>
    </customSheetView>
    <customSheetView guid="{87BBC8EC-E3DC-4681-ADCF-155BFED637D3}" showGridLines="0" fitToPage="1" showRuler="0">
      <pane xSplit="9" ySplit="7" topLeftCell="J56" activePane="bottomRight" state="frozen"/>
      <selection pane="bottomRight" activeCell="M78" activeCellId="7" sqref="M65 M67 M69 M74 M73 M76 M77 M78"/>
      <pageMargins left="0" right="0" top="0" bottom="0" header="0" footer="0"/>
      <pageSetup paperSize="9" scale="66" orientation="portrait" r:id="rId2"/>
      <headerFooter alignWithMargins="0"/>
    </customSheetView>
    <customSheetView guid="{541190A4-AA4E-4E6C-B49E-AED913B3B1F4}" showGridLines="0" fitToPage="1" hiddenColumns="1" showRuler="0">
      <pane xSplit="9" ySplit="7" topLeftCell="O29" activePane="bottomRight" state="frozen"/>
      <selection pane="bottomRight" activeCell="R125" sqref="R125 M67 M69 M74 M73 M76 M77 M78"/>
      <pageMargins left="0" right="0" top="0" bottom="0" header="0" footer="0"/>
      <pageSetup paperSize="9" scale="66" orientation="portrait" r:id="rId3"/>
      <headerFooter alignWithMargins="0"/>
    </customSheetView>
    <customSheetView guid="{2F2F03EC-AF42-4C78-9418-7B0DEBF08052}" showGridLines="0" fitToPage="1">
      <pane xSplit="9" ySplit="7" topLeftCell="P71" activePane="bottomRight" state="frozen"/>
      <selection pane="bottomRight" activeCell="R66" sqref="R66 M67 M69 M74 M73 M76 M77 M78"/>
      <pageMargins left="0" right="0" top="0" bottom="0" header="0" footer="0"/>
      <pageSetup paperSize="9" scale="66" orientation="portrait" r:id="rId4"/>
      <headerFooter alignWithMargins="0"/>
    </customSheetView>
  </customSheetViews>
  <mergeCells count="4">
    <mergeCell ref="A4:O4"/>
    <mergeCell ref="A3:AL3"/>
    <mergeCell ref="A2:AI2"/>
    <mergeCell ref="A6:G7"/>
  </mergeCells>
  <phoneticPr fontId="3" type="noConversion"/>
  <pageMargins left="0.59055118110236227" right="0" top="0.27559055118110237" bottom="0.23622047244094491" header="0.19685039370078741" footer="0.23622047244094491"/>
  <pageSetup paperSize="9" scale="10" fitToHeight="2" orientation="portrait" r:id="rId5"/>
  <headerFooter alignWithMargins="0"/>
  <ignoredErrors>
    <ignoredError sqref="H31:I32 K31:K32 O31:P32 R31:R32 V31:W32 Y31:Y32 H40:I40 K40 O40:P40 R40 V40:W40 Y40 R58 K58 O58:P58 V58:W58 H97:I97 K97 O97:P97 R97 V97:W97 Y97 V93:W94 M31:M32 M40 M58 M77 M93:M94 M97 S57:S58 T58 T31:T32 T40 T93:T94 T97 R93:R94 AA58 AA31:AA32 AA40 AA77 AA93:AA94 AA97 Q57:Q58 Z57:Z58 H58:I58 O77:P77 J57:J58 Y93:Y94 X85:Z85 X57:X58 O93:P94 H93:I94 K93:K94 Y58 L57:L58 R77:T77 Z77:Z79 V77:Y77 L77:L78 H77:K77 Q77:Q84 X50:X54 S50:S54 Q50:Q54 J50:J54 Z50:Z54 L50:L54 X93:X97 Q93:Q97 Z93:Z97 S93:S97 J93:J97 L93:L97 S79:S85 X79:Y79 J79:J84 V48:AA48 H48:M48 O48:T48 S31:S37 J31:J37 Z31:Z37 L31:L37 Q31:Q37 X31:X37 S39:S45 J39:J45 Z39:Z45 L39:L45 Q39:Q45 X39:X45 S47 J47 Z47 L47 Q47 X47" formula="1"/>
    <ignoredError sqref="AL39:AL45 AL31:AL37" formulaRange="1"/>
  </ignoredErrors>
  <drawing r:id="rId6"/>
  <legacy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593C"/>
    <pageSetUpPr fitToPage="1"/>
  </sheetPr>
  <dimension ref="A1:DM55"/>
  <sheetViews>
    <sheetView showGridLines="0" zoomScaleNormal="100" workbookViewId="0">
      <pane xSplit="7" ySplit="7" topLeftCell="CU22" activePane="bottomRight" state="frozen"/>
      <selection pane="topRight" activeCell="J1" sqref="J1"/>
      <selection pane="bottomLeft" activeCell="A8" sqref="A8"/>
      <selection pane="bottomRight" activeCell="DM11" sqref="DM11"/>
    </sheetView>
  </sheetViews>
  <sheetFormatPr defaultColWidth="9.1796875" defaultRowHeight="10" x14ac:dyDescent="0.2"/>
  <cols>
    <col min="1" max="1" width="1.1796875" style="8" customWidth="1"/>
    <col min="2" max="2" width="1.54296875" style="8" customWidth="1"/>
    <col min="3" max="3" width="1.7265625" style="8" customWidth="1"/>
    <col min="4" max="7" width="9.1796875" style="8"/>
    <col min="8" max="17" width="9.1796875" style="8" bestFit="1"/>
    <col min="18" max="20" width="9.1796875" style="8"/>
    <col min="21" max="21" width="10" style="8" bestFit="1" customWidth="1"/>
    <col min="22" max="26" width="9.1796875" style="8"/>
    <col min="27" max="27" width="8.26953125" style="8" bestFit="1" customWidth="1"/>
    <col min="28" max="28" width="10" style="8" customWidth="1"/>
    <col min="29" max="34" width="8.26953125" style="8" bestFit="1" customWidth="1"/>
    <col min="35" max="35" width="9" style="8" bestFit="1" customWidth="1"/>
    <col min="36" max="39" width="8.26953125" style="8" bestFit="1" customWidth="1"/>
    <col min="40" max="43" width="9" style="8" bestFit="1" customWidth="1"/>
    <col min="44" max="44" width="9" style="8" customWidth="1"/>
    <col min="45" max="45" width="9" style="8" bestFit="1" customWidth="1"/>
    <col min="46" max="46" width="9" style="8" customWidth="1"/>
    <col min="47" max="47" width="9" style="8" bestFit="1" customWidth="1"/>
    <col min="48" max="50" width="9.54296875" style="8" bestFit="1" customWidth="1"/>
    <col min="51" max="51" width="9.54296875" style="8" customWidth="1"/>
    <col min="52" max="52" width="9.54296875" style="8" bestFit="1" customWidth="1"/>
    <col min="53" max="53" width="9.54296875" style="8" customWidth="1"/>
    <col min="54" max="54" width="9.54296875" style="8" bestFit="1" customWidth="1"/>
    <col min="55" max="55" width="9.54296875" style="8" customWidth="1"/>
    <col min="56" max="56" width="9.54296875" style="8" bestFit="1" customWidth="1"/>
    <col min="57" max="61" width="9.1796875" style="8"/>
    <col min="62" max="63" width="9.54296875" style="8" bestFit="1" customWidth="1"/>
    <col min="64" max="68" width="9.1796875" style="8"/>
    <col min="69" max="70" width="9.54296875" style="8" bestFit="1" customWidth="1"/>
    <col min="71" max="74" width="9.1796875" style="8"/>
    <col min="75" max="77" width="9.54296875" style="8" bestFit="1" customWidth="1"/>
    <col min="78" max="80" width="9.1796875" style="8"/>
    <col min="81" max="84" width="9.54296875" style="8" bestFit="1" customWidth="1"/>
    <col min="85" max="85" width="9.1796875" style="8"/>
    <col min="86" max="89" width="9.54296875" style="8" bestFit="1" customWidth="1"/>
    <col min="90" max="90" width="9.1796875" style="8"/>
    <col min="91" max="91" width="9.54296875" style="8" bestFit="1" customWidth="1"/>
    <col min="92" max="92" width="9.1796875" style="8" customWidth="1"/>
    <col min="93" max="94" width="9.54296875" style="8" customWidth="1"/>
    <col min="95" max="95" width="9.1796875" style="8" customWidth="1"/>
    <col min="96" max="100" width="9.54296875" style="8" customWidth="1"/>
    <col min="101" max="104" width="9.08984375" style="8" customWidth="1"/>
    <col min="105" max="105" width="9.36328125" style="8" customWidth="1"/>
    <col min="106" max="107" width="9.08984375" style="8" customWidth="1"/>
    <col min="108" max="108" width="9.1796875" style="8" customWidth="1"/>
    <col min="109" max="111" width="9.08984375" style="8" customWidth="1"/>
    <col min="112" max="112" width="9.36328125" style="8" customWidth="1"/>
    <col min="113" max="16384" width="9.1796875" style="8"/>
  </cols>
  <sheetData>
    <row r="1" spans="1:115" ht="11.25" customHeight="1" x14ac:dyDescent="0.25">
      <c r="N1" s="40"/>
      <c r="Q1" s="40"/>
    </row>
    <row r="2" spans="1:115" ht="15.75" customHeight="1" x14ac:dyDescent="0.3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</row>
    <row r="3" spans="1:115" ht="15.75" customHeight="1" x14ac:dyDescent="0.3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</row>
    <row r="4" spans="1:115" ht="11.25" customHeight="1" x14ac:dyDescent="0.2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BD4" s="202"/>
    </row>
    <row r="5" spans="1:115" ht="11.25" customHeight="1" x14ac:dyDescent="0.25">
      <c r="N5" s="40"/>
      <c r="Q5" s="40"/>
    </row>
    <row r="6" spans="1:115" ht="9.75" customHeight="1" x14ac:dyDescent="0.25">
      <c r="A6" s="239" t="s">
        <v>19</v>
      </c>
      <c r="B6" s="239"/>
      <c r="C6" s="239"/>
      <c r="D6" s="239"/>
      <c r="E6" s="239"/>
      <c r="F6" s="239"/>
      <c r="G6" s="239"/>
      <c r="H6" s="11" t="s">
        <v>20</v>
      </c>
      <c r="I6" s="11" t="s">
        <v>20</v>
      </c>
      <c r="J6" s="11" t="s">
        <v>20</v>
      </c>
      <c r="K6" s="11" t="s">
        <v>20</v>
      </c>
      <c r="L6" s="11" t="s">
        <v>20</v>
      </c>
      <c r="M6" s="11" t="s">
        <v>21</v>
      </c>
      <c r="N6" s="11" t="s">
        <v>21</v>
      </c>
      <c r="O6" s="11" t="s">
        <v>21</v>
      </c>
      <c r="P6" s="11" t="s">
        <v>21</v>
      </c>
      <c r="Q6" s="11" t="s">
        <v>21</v>
      </c>
      <c r="R6" s="11" t="s">
        <v>21</v>
      </c>
      <c r="S6" s="11" t="s">
        <v>21</v>
      </c>
      <c r="T6" s="11" t="s">
        <v>21</v>
      </c>
      <c r="U6" s="11" t="s">
        <v>21</v>
      </c>
      <c r="V6" s="11" t="s">
        <v>21</v>
      </c>
      <c r="W6" s="11" t="s">
        <v>21</v>
      </c>
      <c r="X6" s="11" t="s">
        <v>21</v>
      </c>
      <c r="Y6" s="11" t="s">
        <v>21</v>
      </c>
      <c r="Z6" s="11" t="s">
        <v>21</v>
      </c>
      <c r="AA6" s="11" t="s">
        <v>21</v>
      </c>
      <c r="AB6" s="11" t="s">
        <v>21</v>
      </c>
      <c r="AC6" s="11" t="s">
        <v>21</v>
      </c>
      <c r="AD6" s="11" t="s">
        <v>21</v>
      </c>
      <c r="AE6" s="11" t="s">
        <v>21</v>
      </c>
      <c r="AF6" s="11" t="s">
        <v>21</v>
      </c>
      <c r="AG6" s="11" t="s">
        <v>21</v>
      </c>
      <c r="AH6" s="11" t="s">
        <v>21</v>
      </c>
      <c r="AI6" s="11" t="s">
        <v>21</v>
      </c>
      <c r="AJ6" s="11" t="s">
        <v>21</v>
      </c>
      <c r="AK6" s="11" t="s">
        <v>21</v>
      </c>
      <c r="AL6" s="11" t="s">
        <v>21</v>
      </c>
      <c r="AM6" s="11" t="s">
        <v>21</v>
      </c>
      <c r="AN6" s="11" t="s">
        <v>21</v>
      </c>
      <c r="AO6" s="11" t="s">
        <v>21</v>
      </c>
      <c r="AP6" s="11" t="s">
        <v>21</v>
      </c>
      <c r="AQ6" s="11" t="s">
        <v>21</v>
      </c>
      <c r="AR6" s="11" t="s">
        <v>21</v>
      </c>
      <c r="AS6" s="11" t="s">
        <v>21</v>
      </c>
      <c r="AT6" s="11" t="s">
        <v>21</v>
      </c>
      <c r="AU6" s="11" t="s">
        <v>21</v>
      </c>
      <c r="AV6" s="11" t="s">
        <v>21</v>
      </c>
      <c r="AW6" s="11" t="s">
        <v>21</v>
      </c>
      <c r="AX6" s="11" t="s">
        <v>21</v>
      </c>
      <c r="AY6" s="11" t="s">
        <v>21</v>
      </c>
      <c r="AZ6" s="11" t="s">
        <v>21</v>
      </c>
      <c r="BA6" s="11" t="s">
        <v>21</v>
      </c>
      <c r="BB6" s="11" t="s">
        <v>21</v>
      </c>
      <c r="BC6" s="11" t="s">
        <v>21</v>
      </c>
      <c r="BD6" s="11" t="s">
        <v>21</v>
      </c>
      <c r="BE6" s="11" t="s">
        <v>21</v>
      </c>
      <c r="BF6" s="11" t="s">
        <v>21</v>
      </c>
      <c r="BG6" s="11" t="s">
        <v>21</v>
      </c>
      <c r="BH6" s="11" t="s">
        <v>21</v>
      </c>
      <c r="BI6" s="11" t="s">
        <v>21</v>
      </c>
      <c r="BJ6" s="11" t="s">
        <v>21</v>
      </c>
      <c r="BK6" s="11" t="s">
        <v>21</v>
      </c>
      <c r="BL6" s="11" t="s">
        <v>21</v>
      </c>
      <c r="BM6" s="11" t="s">
        <v>21</v>
      </c>
      <c r="BN6" s="11" t="s">
        <v>21</v>
      </c>
      <c r="BO6" s="11" t="s">
        <v>21</v>
      </c>
      <c r="BP6" s="11" t="s">
        <v>21</v>
      </c>
      <c r="BQ6" s="11" t="s">
        <v>21</v>
      </c>
      <c r="BR6" s="11" t="s">
        <v>21</v>
      </c>
      <c r="BS6" s="11" t="s">
        <v>21</v>
      </c>
      <c r="BT6" s="11" t="s">
        <v>21</v>
      </c>
      <c r="BU6" s="11" t="s">
        <v>21</v>
      </c>
      <c r="BV6" s="11" t="s">
        <v>21</v>
      </c>
      <c r="BW6" s="11" t="s">
        <v>21</v>
      </c>
      <c r="BX6" s="11" t="s">
        <v>21</v>
      </c>
      <c r="BY6" s="11" t="s">
        <v>21</v>
      </c>
      <c r="BZ6" s="11" t="s">
        <v>21</v>
      </c>
      <c r="CA6" s="11" t="s">
        <v>21</v>
      </c>
      <c r="CB6" s="11" t="s">
        <v>21</v>
      </c>
      <c r="CC6" s="11" t="s">
        <v>21</v>
      </c>
      <c r="CD6" s="11" t="s">
        <v>21</v>
      </c>
      <c r="CE6" s="11" t="s">
        <v>21</v>
      </c>
      <c r="CF6" s="11" t="s">
        <v>21</v>
      </c>
      <c r="CG6" s="11" t="s">
        <v>21</v>
      </c>
      <c r="CH6" s="11" t="s">
        <v>21</v>
      </c>
      <c r="CI6" s="11" t="s">
        <v>21</v>
      </c>
      <c r="CJ6" s="11" t="s">
        <v>21</v>
      </c>
      <c r="CK6" s="11" t="s">
        <v>21</v>
      </c>
      <c r="CL6" s="11" t="s">
        <v>21</v>
      </c>
      <c r="CM6" s="11" t="s">
        <v>21</v>
      </c>
      <c r="CN6" s="11" t="s">
        <v>21</v>
      </c>
      <c r="CO6" s="11" t="s">
        <v>21</v>
      </c>
      <c r="CP6" s="11" t="s">
        <v>21</v>
      </c>
      <c r="CQ6" s="11" t="s">
        <v>21</v>
      </c>
      <c r="CR6" s="11" t="s">
        <v>21</v>
      </c>
      <c r="CS6" s="11" t="s">
        <v>21</v>
      </c>
      <c r="CT6" s="11" t="s">
        <v>21</v>
      </c>
      <c r="CU6" s="11" t="s">
        <v>21</v>
      </c>
      <c r="CV6" s="11" t="s">
        <v>21</v>
      </c>
      <c r="CW6" s="11" t="s">
        <v>21</v>
      </c>
      <c r="CX6" s="11" t="s">
        <v>21</v>
      </c>
      <c r="CY6" s="11" t="s">
        <v>21</v>
      </c>
      <c r="CZ6" s="11" t="s">
        <v>21</v>
      </c>
      <c r="DA6" s="11" t="s">
        <v>21</v>
      </c>
      <c r="DB6" s="11" t="s">
        <v>21</v>
      </c>
      <c r="DC6" s="11" t="s">
        <v>21</v>
      </c>
      <c r="DD6" s="11" t="s">
        <v>21</v>
      </c>
      <c r="DE6" s="11" t="s">
        <v>21</v>
      </c>
      <c r="DF6" s="11" t="s">
        <v>21</v>
      </c>
      <c r="DG6" s="11" t="s">
        <v>21</v>
      </c>
      <c r="DH6" s="11" t="s">
        <v>21</v>
      </c>
      <c r="DI6" s="11" t="s">
        <v>21</v>
      </c>
      <c r="DJ6" s="11" t="s">
        <v>21</v>
      </c>
      <c r="DK6" s="11" t="s">
        <v>21</v>
      </c>
    </row>
    <row r="7" spans="1:115" ht="12.75" customHeight="1" x14ac:dyDescent="0.25">
      <c r="A7" s="244" t="s">
        <v>19</v>
      </c>
      <c r="B7" s="244"/>
      <c r="C7" s="244"/>
      <c r="D7" s="244"/>
      <c r="E7" s="244"/>
      <c r="F7" s="244"/>
      <c r="G7" s="244"/>
      <c r="H7" s="11" t="s">
        <v>22</v>
      </c>
      <c r="I7" s="11" t="s">
        <v>23</v>
      </c>
      <c r="J7" s="11" t="s">
        <v>198</v>
      </c>
      <c r="K7" s="11" t="s">
        <v>24</v>
      </c>
      <c r="L7" s="11" t="s">
        <v>199</v>
      </c>
      <c r="M7" s="11" t="s">
        <v>200</v>
      </c>
      <c r="N7" s="205" t="s">
        <v>25</v>
      </c>
      <c r="O7" s="11" t="s">
        <v>26</v>
      </c>
      <c r="P7" s="11" t="s">
        <v>27</v>
      </c>
      <c r="Q7" s="11" t="s">
        <v>201</v>
      </c>
      <c r="R7" s="11" t="s">
        <v>28</v>
      </c>
      <c r="S7" s="11" t="s">
        <v>202</v>
      </c>
      <c r="T7" s="11" t="s">
        <v>203</v>
      </c>
      <c r="U7" s="205" t="s">
        <v>29</v>
      </c>
      <c r="V7" s="11" t="s">
        <v>30</v>
      </c>
      <c r="W7" s="11" t="s">
        <v>31</v>
      </c>
      <c r="X7" s="11" t="s">
        <v>204</v>
      </c>
      <c r="Y7" s="11" t="s">
        <v>32</v>
      </c>
      <c r="Z7" s="11" t="s">
        <v>205</v>
      </c>
      <c r="AA7" s="11" t="s">
        <v>206</v>
      </c>
      <c r="AB7" s="205" t="s">
        <v>33</v>
      </c>
      <c r="AC7" s="11" t="s">
        <v>34</v>
      </c>
      <c r="AD7" s="11" t="s">
        <v>35</v>
      </c>
      <c r="AE7" s="11" t="s">
        <v>207</v>
      </c>
      <c r="AF7" s="11" t="s">
        <v>36</v>
      </c>
      <c r="AG7" s="11" t="s">
        <v>208</v>
      </c>
      <c r="AH7" s="11" t="s">
        <v>209</v>
      </c>
      <c r="AI7" s="205" t="s">
        <v>37</v>
      </c>
      <c r="AJ7" s="11" t="s">
        <v>38</v>
      </c>
      <c r="AK7" s="11" t="s">
        <v>39</v>
      </c>
      <c r="AL7" s="11" t="s">
        <v>210</v>
      </c>
      <c r="AM7" s="11" t="s">
        <v>40</v>
      </c>
      <c r="AN7" s="11" t="s">
        <v>314</v>
      </c>
      <c r="AO7" s="11" t="s">
        <v>315</v>
      </c>
      <c r="AP7" s="11" t="s">
        <v>41</v>
      </c>
      <c r="AQ7" s="11" t="s">
        <v>213</v>
      </c>
      <c r="AR7" s="11" t="s">
        <v>214</v>
      </c>
      <c r="AS7" s="11" t="s">
        <v>215</v>
      </c>
      <c r="AT7" s="11" t="s">
        <v>216</v>
      </c>
      <c r="AU7" s="11" t="s">
        <v>217</v>
      </c>
      <c r="AV7" s="11" t="s">
        <v>218</v>
      </c>
      <c r="AW7" s="11" t="s">
        <v>45</v>
      </c>
      <c r="AX7" s="11" t="s">
        <v>219</v>
      </c>
      <c r="AY7" s="11" t="s">
        <v>220</v>
      </c>
      <c r="AZ7" s="11" t="s">
        <v>221</v>
      </c>
      <c r="BA7" s="11" t="s">
        <v>222</v>
      </c>
      <c r="BB7" s="11" t="s">
        <v>223</v>
      </c>
      <c r="BC7" s="11" t="s">
        <v>224</v>
      </c>
      <c r="BD7" s="11" t="s">
        <v>49</v>
      </c>
      <c r="BE7" s="11" t="s">
        <v>225</v>
      </c>
      <c r="BF7" s="11" t="s">
        <v>226</v>
      </c>
      <c r="BG7" s="11" t="s">
        <v>221</v>
      </c>
      <c r="BH7" s="11" t="s">
        <v>228</v>
      </c>
      <c r="BI7" s="11" t="s">
        <v>229</v>
      </c>
      <c r="BJ7" s="11" t="s">
        <v>230</v>
      </c>
      <c r="BK7" s="11" t="s">
        <v>53</v>
      </c>
      <c r="BL7" s="11" t="s">
        <v>231</v>
      </c>
      <c r="BM7" s="11" t="s">
        <v>232</v>
      </c>
      <c r="BN7" s="11" t="s">
        <v>233</v>
      </c>
      <c r="BO7" s="11" t="s">
        <v>228</v>
      </c>
      <c r="BP7" s="11" t="s">
        <v>235</v>
      </c>
      <c r="BQ7" s="11" t="s">
        <v>236</v>
      </c>
      <c r="BR7" s="11" t="s">
        <v>57</v>
      </c>
      <c r="BS7" s="11" t="s">
        <v>237</v>
      </c>
      <c r="BT7" s="11" t="s">
        <v>238</v>
      </c>
      <c r="BU7" s="11" t="s">
        <v>239</v>
      </c>
      <c r="BV7" s="11" t="s">
        <v>240</v>
      </c>
      <c r="BW7" s="11" t="s">
        <v>241</v>
      </c>
      <c r="BX7" s="11" t="s">
        <v>242</v>
      </c>
      <c r="BY7" s="11" t="s">
        <v>61</v>
      </c>
      <c r="BZ7" s="11" t="s">
        <v>243</v>
      </c>
      <c r="CA7" s="11" t="s">
        <v>244</v>
      </c>
      <c r="CB7" s="11" t="s">
        <v>245</v>
      </c>
      <c r="CC7" s="11" t="s">
        <v>246</v>
      </c>
      <c r="CD7" s="11" t="s">
        <v>247</v>
      </c>
      <c r="CE7" s="11" t="s">
        <v>248</v>
      </c>
      <c r="CF7" s="11" t="s">
        <v>65</v>
      </c>
      <c r="CG7" s="11" t="s">
        <v>249</v>
      </c>
      <c r="CH7" s="11" t="s">
        <v>250</v>
      </c>
      <c r="CI7" s="11" t="s">
        <v>251</v>
      </c>
      <c r="CJ7" s="11" t="s">
        <v>252</v>
      </c>
      <c r="CK7" s="11" t="s">
        <v>253</v>
      </c>
      <c r="CL7" s="11" t="s">
        <v>254</v>
      </c>
      <c r="CM7" s="205" t="s">
        <v>134</v>
      </c>
      <c r="CN7" s="11" t="s">
        <v>255</v>
      </c>
      <c r="CO7" s="11" t="s">
        <v>256</v>
      </c>
      <c r="CP7" s="11" t="s">
        <v>257</v>
      </c>
      <c r="CQ7" s="11" t="s">
        <v>258</v>
      </c>
      <c r="CR7" s="11" t="s">
        <v>259</v>
      </c>
      <c r="CS7" s="11" t="s">
        <v>260</v>
      </c>
      <c r="CT7" s="205" t="s">
        <v>72</v>
      </c>
      <c r="CU7" s="11" t="s">
        <v>135</v>
      </c>
      <c r="CV7" s="11" t="s">
        <v>394</v>
      </c>
      <c r="CW7" s="11" t="s">
        <v>395</v>
      </c>
      <c r="CX7" s="11" t="s">
        <v>398</v>
      </c>
      <c r="CY7" s="11" t="s">
        <v>399</v>
      </c>
      <c r="CZ7" s="11" t="s">
        <v>403</v>
      </c>
      <c r="DA7" s="205" t="s">
        <v>400</v>
      </c>
      <c r="DB7" s="11" t="s">
        <v>406</v>
      </c>
      <c r="DC7" s="11" t="s">
        <v>407</v>
      </c>
      <c r="DD7" s="11" t="s">
        <v>408</v>
      </c>
      <c r="DE7" s="11" t="s">
        <v>415</v>
      </c>
      <c r="DF7" s="11" t="s">
        <v>416</v>
      </c>
      <c r="DG7" s="11" t="s">
        <v>423</v>
      </c>
      <c r="DH7" s="205" t="s">
        <v>424</v>
      </c>
      <c r="DI7" s="11" t="s">
        <v>433</v>
      </c>
      <c r="DJ7" s="11" t="s">
        <v>436</v>
      </c>
      <c r="DK7" s="11" t="s">
        <v>437</v>
      </c>
    </row>
    <row r="8" spans="1:115" ht="10.5" x14ac:dyDescent="0.25">
      <c r="A8" s="49" t="s">
        <v>316</v>
      </c>
      <c r="B8" s="50"/>
      <c r="C8" s="50"/>
      <c r="D8" s="51"/>
      <c r="E8" s="52"/>
      <c r="F8" s="52"/>
      <c r="G8" s="52"/>
      <c r="H8" s="53">
        <f t="shared" ref="H8:AJ8" si="0">SUM(H9:H12)</f>
        <v>238805</v>
      </c>
      <c r="I8" s="54">
        <f t="shared" si="0"/>
        <v>138729</v>
      </c>
      <c r="J8" s="54">
        <f t="shared" si="0"/>
        <v>377534</v>
      </c>
      <c r="K8" s="54">
        <f t="shared" si="0"/>
        <v>133143</v>
      </c>
      <c r="L8" s="54">
        <f t="shared" si="0"/>
        <v>510677</v>
      </c>
      <c r="M8" s="54">
        <f t="shared" si="0"/>
        <v>190988</v>
      </c>
      <c r="N8" s="54">
        <f t="shared" si="0"/>
        <v>701665</v>
      </c>
      <c r="O8" s="54">
        <f t="shared" si="0"/>
        <v>203214</v>
      </c>
      <c r="P8" s="54">
        <f t="shared" si="0"/>
        <v>223111</v>
      </c>
      <c r="Q8" s="54">
        <f t="shared" si="0"/>
        <v>426325</v>
      </c>
      <c r="R8" s="54">
        <f t="shared" si="0"/>
        <v>243748</v>
      </c>
      <c r="S8" s="54">
        <f t="shared" si="0"/>
        <v>670073</v>
      </c>
      <c r="T8" s="54">
        <f t="shared" si="0"/>
        <v>338030</v>
      </c>
      <c r="U8" s="54">
        <f t="shared" si="0"/>
        <v>1008103</v>
      </c>
      <c r="V8" s="54">
        <f t="shared" si="0"/>
        <v>214115</v>
      </c>
      <c r="W8" s="54">
        <f t="shared" si="0"/>
        <v>220933</v>
      </c>
      <c r="X8" s="54">
        <f t="shared" si="0"/>
        <v>435048</v>
      </c>
      <c r="Y8" s="54">
        <f t="shared" si="0"/>
        <v>294587</v>
      </c>
      <c r="Z8" s="54">
        <f t="shared" si="0"/>
        <v>729635</v>
      </c>
      <c r="AA8" s="54">
        <f t="shared" si="0"/>
        <v>358113</v>
      </c>
      <c r="AB8" s="54">
        <f t="shared" si="0"/>
        <v>1087748</v>
      </c>
      <c r="AC8" s="54">
        <f t="shared" si="0"/>
        <v>350969</v>
      </c>
      <c r="AD8" s="54">
        <f t="shared" si="0"/>
        <v>261916</v>
      </c>
      <c r="AE8" s="54">
        <f t="shared" si="0"/>
        <v>612885</v>
      </c>
      <c r="AF8" s="54">
        <f t="shared" si="0"/>
        <v>325204</v>
      </c>
      <c r="AG8" s="55">
        <f t="shared" si="0"/>
        <v>938089</v>
      </c>
      <c r="AH8" s="54">
        <f t="shared" si="0"/>
        <v>367223</v>
      </c>
      <c r="AI8" s="55">
        <f t="shared" si="0"/>
        <v>1305312</v>
      </c>
      <c r="AJ8" s="54">
        <f t="shared" si="0"/>
        <v>288202</v>
      </c>
      <c r="AK8" s="54">
        <f t="shared" ref="AK8:AQ8" si="1">SUM(AK9:AK12)</f>
        <v>342396</v>
      </c>
      <c r="AL8" s="54">
        <f t="shared" si="1"/>
        <v>630598</v>
      </c>
      <c r="AM8" s="54">
        <f t="shared" si="1"/>
        <v>327253</v>
      </c>
      <c r="AN8" s="54">
        <f t="shared" si="1"/>
        <v>957851</v>
      </c>
      <c r="AO8" s="54">
        <f t="shared" si="1"/>
        <v>439659</v>
      </c>
      <c r="AP8" s="54">
        <f t="shared" si="1"/>
        <v>1397510</v>
      </c>
      <c r="AQ8" s="54">
        <f t="shared" si="1"/>
        <v>418047</v>
      </c>
      <c r="AR8" s="54">
        <f t="shared" ref="AR8:AX8" si="2">SUM(AR9:AR12)</f>
        <v>431027</v>
      </c>
      <c r="AS8" s="54">
        <f t="shared" si="2"/>
        <v>849074</v>
      </c>
      <c r="AT8" s="54">
        <f t="shared" si="2"/>
        <v>360160</v>
      </c>
      <c r="AU8" s="54">
        <f t="shared" si="2"/>
        <v>1209234</v>
      </c>
      <c r="AV8" s="54">
        <f t="shared" si="2"/>
        <v>531916</v>
      </c>
      <c r="AW8" s="54">
        <f t="shared" si="2"/>
        <v>1741150</v>
      </c>
      <c r="AX8" s="54">
        <f t="shared" si="2"/>
        <v>444237</v>
      </c>
      <c r="AY8" s="54">
        <f>AZ8-AX8</f>
        <v>557191</v>
      </c>
      <c r="AZ8" s="54">
        <f>SUM(AZ9:AZ12)</f>
        <v>1001428</v>
      </c>
      <c r="BA8" s="54">
        <f>BB8-AZ8</f>
        <v>413164</v>
      </c>
      <c r="BB8" s="54">
        <f>SUM(BB9:BB12)</f>
        <v>1414592</v>
      </c>
      <c r="BC8" s="54">
        <f>BD8-BB8</f>
        <v>732087</v>
      </c>
      <c r="BD8" s="54">
        <f>SUM(BD9:BD12)</f>
        <v>2146679</v>
      </c>
      <c r="BE8" s="54">
        <f>SUM(BE9:BE12)</f>
        <v>503382</v>
      </c>
      <c r="BF8" s="54">
        <f>SUM(BF9:BF12)</f>
        <v>379466</v>
      </c>
      <c r="BG8" s="54">
        <f t="shared" ref="BG8:CK8" si="3">SUM(BG9:BG12)</f>
        <v>882848</v>
      </c>
      <c r="BH8" s="54">
        <f t="shared" si="3"/>
        <v>328811</v>
      </c>
      <c r="BI8" s="54">
        <f t="shared" si="3"/>
        <v>1211659</v>
      </c>
      <c r="BJ8" s="54">
        <f>SUM(BJ9:BJ12)</f>
        <v>625056</v>
      </c>
      <c r="BK8" s="54">
        <f t="shared" si="3"/>
        <v>1836715</v>
      </c>
      <c r="BL8" s="54">
        <f t="shared" si="3"/>
        <v>447573</v>
      </c>
      <c r="BM8" s="54">
        <f>SUM(BM9:BM12)</f>
        <v>501248</v>
      </c>
      <c r="BN8" s="54">
        <f t="shared" si="3"/>
        <v>948821</v>
      </c>
      <c r="BO8" s="54">
        <f>SUM(BO9:BO12)</f>
        <v>659660</v>
      </c>
      <c r="BP8" s="54">
        <f t="shared" si="3"/>
        <v>1608481</v>
      </c>
      <c r="BQ8" s="54">
        <f>SUM(BQ9:BQ12)</f>
        <v>833085</v>
      </c>
      <c r="BR8" s="54">
        <f t="shared" si="3"/>
        <v>2441566</v>
      </c>
      <c r="BS8" s="54">
        <f t="shared" si="3"/>
        <v>675023</v>
      </c>
      <c r="BT8" s="54">
        <f>SUM(BT9:BT12)</f>
        <v>812380</v>
      </c>
      <c r="BU8" s="54">
        <f t="shared" si="3"/>
        <v>1487403</v>
      </c>
      <c r="BV8" s="54">
        <f>SUM(BV9:BV12)</f>
        <v>635011</v>
      </c>
      <c r="BW8" s="54">
        <f t="shared" si="3"/>
        <v>2122414</v>
      </c>
      <c r="BX8" s="54">
        <f>SUM(BX9:BX12)</f>
        <v>1015483</v>
      </c>
      <c r="BY8" s="54">
        <f t="shared" si="3"/>
        <v>3137897</v>
      </c>
      <c r="BZ8" s="54">
        <f t="shared" si="3"/>
        <v>853776</v>
      </c>
      <c r="CA8" s="54">
        <f>SUM(CA9:CA12)</f>
        <v>871153</v>
      </c>
      <c r="CB8" s="54">
        <f t="shared" si="3"/>
        <v>1724929</v>
      </c>
      <c r="CC8" s="54">
        <f>SUM(CC9:CC12)</f>
        <v>649568</v>
      </c>
      <c r="CD8" s="54">
        <f t="shared" si="3"/>
        <v>2374497</v>
      </c>
      <c r="CE8" s="54">
        <f>SUM(CE9:CE12)</f>
        <v>1009910</v>
      </c>
      <c r="CF8" s="54">
        <f t="shared" si="3"/>
        <v>3384407</v>
      </c>
      <c r="CG8" s="54">
        <f t="shared" si="3"/>
        <v>1024124</v>
      </c>
      <c r="CH8" s="54">
        <f>SUM(CH9:CH12)</f>
        <v>1119263</v>
      </c>
      <c r="CI8" s="54">
        <f t="shared" si="3"/>
        <v>2143387</v>
      </c>
      <c r="CJ8" s="54">
        <f>SUM(CJ9:CJ12)</f>
        <v>978791</v>
      </c>
      <c r="CK8" s="54">
        <f t="shared" si="3"/>
        <v>3122178</v>
      </c>
      <c r="CL8" s="54">
        <f t="shared" ref="CL8:CR8" si="4">SUM(CL9:CL12)</f>
        <v>1568332</v>
      </c>
      <c r="CM8" s="54">
        <f t="shared" si="4"/>
        <v>4690510</v>
      </c>
      <c r="CN8" s="54">
        <f t="shared" si="4"/>
        <v>1748336</v>
      </c>
      <c r="CO8" s="54">
        <f t="shared" si="4"/>
        <v>1894402</v>
      </c>
      <c r="CP8" s="54">
        <f t="shared" si="4"/>
        <v>3642738</v>
      </c>
      <c r="CQ8" s="54">
        <f t="shared" si="4"/>
        <v>1394706</v>
      </c>
      <c r="CR8" s="54">
        <f t="shared" si="4"/>
        <v>5037444</v>
      </c>
      <c r="CS8" s="54">
        <f t="shared" ref="CS8:CT8" si="5">SUM(CS9:CS12)</f>
        <v>2350478</v>
      </c>
      <c r="CT8" s="54">
        <f t="shared" si="5"/>
        <v>7387922</v>
      </c>
      <c r="CU8" s="54">
        <f t="shared" ref="CU8:DA8" si="6">SUM(CU9:CU14)</f>
        <v>3602978</v>
      </c>
      <c r="CV8" s="54">
        <f t="shared" si="6"/>
        <v>2615565</v>
      </c>
      <c r="CW8" s="54">
        <f t="shared" si="6"/>
        <v>6218543</v>
      </c>
      <c r="CX8" s="54">
        <f t="shared" si="6"/>
        <v>1563084</v>
      </c>
      <c r="CY8" s="54">
        <f t="shared" si="6"/>
        <v>7781627</v>
      </c>
      <c r="CZ8" s="54">
        <f t="shared" si="6"/>
        <v>2351781</v>
      </c>
      <c r="DA8" s="54">
        <f t="shared" si="6"/>
        <v>10133408</v>
      </c>
      <c r="DB8" s="54">
        <f>SUM(DB9:DB14)</f>
        <v>3022700</v>
      </c>
      <c r="DC8" s="54">
        <f>SUM(DC9:DC14)</f>
        <v>2528682</v>
      </c>
      <c r="DD8" s="54">
        <f>SUM(DD9:DD14)</f>
        <v>5551382</v>
      </c>
      <c r="DE8" s="54">
        <f>SUM(DE9:DE14)</f>
        <v>2223467</v>
      </c>
      <c r="DF8" s="54">
        <f>SUM(DF9:DF14)</f>
        <v>7774849</v>
      </c>
      <c r="DG8" s="54">
        <f>SUM(DG9:DG13)</f>
        <v>2059002</v>
      </c>
      <c r="DH8" s="54">
        <f>SUM(DH9:DH14)</f>
        <v>9833851</v>
      </c>
      <c r="DI8" s="54">
        <f>SUM(DI9:DI14)</f>
        <v>2131045</v>
      </c>
      <c r="DJ8" s="54">
        <f>SUM(DJ9:DJ14)</f>
        <v>4503575</v>
      </c>
      <c r="DK8" s="54">
        <f>DJ8+DI8</f>
        <v>6634620</v>
      </c>
    </row>
    <row r="9" spans="1:115" ht="10.5" x14ac:dyDescent="0.25">
      <c r="A9" s="56"/>
      <c r="B9" s="57"/>
      <c r="C9" s="57" t="s">
        <v>317</v>
      </c>
      <c r="D9" s="58"/>
      <c r="E9" s="59"/>
      <c r="F9" s="59"/>
      <c r="G9" s="59"/>
      <c r="H9" s="60">
        <v>179149</v>
      </c>
      <c r="I9" s="61">
        <v>161749</v>
      </c>
      <c r="J9" s="61">
        <f>H9+I9</f>
        <v>340898</v>
      </c>
      <c r="K9" s="61">
        <f>L9-J9</f>
        <v>147220</v>
      </c>
      <c r="L9" s="61">
        <v>488118</v>
      </c>
      <c r="M9" s="61">
        <f>N9-L9</f>
        <v>161701</v>
      </c>
      <c r="N9" s="61">
        <v>649819</v>
      </c>
      <c r="O9" s="61">
        <v>190053</v>
      </c>
      <c r="P9" s="61">
        <v>153241</v>
      </c>
      <c r="Q9" s="61">
        <f>O9+P9</f>
        <v>343294</v>
      </c>
      <c r="R9" s="61">
        <v>153135</v>
      </c>
      <c r="S9" s="61">
        <f>Q9+R9</f>
        <v>496429</v>
      </c>
      <c r="T9" s="61">
        <v>285352</v>
      </c>
      <c r="U9" s="61">
        <f>S9+T9</f>
        <v>781781</v>
      </c>
      <c r="V9" s="61">
        <v>164808</v>
      </c>
      <c r="W9" s="61">
        <v>142708</v>
      </c>
      <c r="X9" s="61">
        <f>V9+W9</f>
        <v>307516</v>
      </c>
      <c r="Y9" s="61">
        <v>182546</v>
      </c>
      <c r="Z9" s="61">
        <f>X9+Y9</f>
        <v>490062</v>
      </c>
      <c r="AA9" s="61">
        <v>314690</v>
      </c>
      <c r="AB9" s="61">
        <f>Z9+AA9</f>
        <v>804752</v>
      </c>
      <c r="AC9" s="61">
        <v>263114</v>
      </c>
      <c r="AD9" s="61">
        <f>AE9-AC9</f>
        <v>242555</v>
      </c>
      <c r="AE9" s="61">
        <v>505669</v>
      </c>
      <c r="AF9" s="61">
        <f>AG9-AE9</f>
        <v>240015</v>
      </c>
      <c r="AG9" s="62">
        <v>745684</v>
      </c>
      <c r="AH9" s="61">
        <f>AI9-AG9</f>
        <v>323000</v>
      </c>
      <c r="AI9" s="62">
        <v>1068684</v>
      </c>
      <c r="AJ9" s="61">
        <v>273216</v>
      </c>
      <c r="AK9" s="61">
        <f>543206-273216</f>
        <v>269990</v>
      </c>
      <c r="AL9" s="61">
        <f>SUM(AJ9:AK9)</f>
        <v>543206</v>
      </c>
      <c r="AM9" s="61">
        <f>776469-543206</f>
        <v>233263</v>
      </c>
      <c r="AN9" s="61">
        <f>SUM(AL9:AM9)</f>
        <v>776469</v>
      </c>
      <c r="AO9" s="61">
        <f>1137523-776469</f>
        <v>361054</v>
      </c>
      <c r="AP9" s="61">
        <f>SUM(AN9:AO9)</f>
        <v>1137523</v>
      </c>
      <c r="AQ9" s="61">
        <v>293595</v>
      </c>
      <c r="AR9" s="61">
        <v>391837</v>
      </c>
      <c r="AS9" s="61">
        <v>685432</v>
      </c>
      <c r="AT9" s="61">
        <v>308383</v>
      </c>
      <c r="AU9" s="61">
        <v>993815</v>
      </c>
      <c r="AV9" s="61">
        <v>436741</v>
      </c>
      <c r="AW9" s="61">
        <f>SUM(AU9:AV9)</f>
        <v>1430556</v>
      </c>
      <c r="AX9" s="61">
        <v>337354</v>
      </c>
      <c r="AY9" s="61">
        <f t="shared" ref="AY9:AY51" si="7">AZ9-AX9</f>
        <v>468637</v>
      </c>
      <c r="AZ9" s="61">
        <v>805991</v>
      </c>
      <c r="BA9" s="61">
        <f t="shared" ref="BA9:BC51" si="8">BB9-AZ9</f>
        <v>308519</v>
      </c>
      <c r="BB9" s="61">
        <v>1114510</v>
      </c>
      <c r="BC9" s="61">
        <f t="shared" si="8"/>
        <v>662294</v>
      </c>
      <c r="BD9" s="61">
        <v>1776804</v>
      </c>
      <c r="BE9" s="61">
        <v>410025</v>
      </c>
      <c r="BF9" s="61">
        <f>853948-BE9</f>
        <v>443923</v>
      </c>
      <c r="BG9" s="61">
        <f>BE9+BF9</f>
        <v>853948</v>
      </c>
      <c r="BH9" s="61">
        <f>BI9-BG9</f>
        <v>323792</v>
      </c>
      <c r="BI9" s="61">
        <v>1177740</v>
      </c>
      <c r="BJ9" s="61">
        <f>BK9-BI9</f>
        <v>541713</v>
      </c>
      <c r="BK9" s="61">
        <v>1719453</v>
      </c>
      <c r="BL9" s="61">
        <v>329565</v>
      </c>
      <c r="BM9" s="61">
        <f>BN9-BL9</f>
        <v>353777</v>
      </c>
      <c r="BN9" s="61">
        <v>683342</v>
      </c>
      <c r="BO9" s="61">
        <f>BP9-BN9</f>
        <v>512716</v>
      </c>
      <c r="BP9" s="61">
        <v>1196058</v>
      </c>
      <c r="BQ9" s="61">
        <f>BR9-BP9</f>
        <v>785397</v>
      </c>
      <c r="BR9" s="61">
        <v>1981455</v>
      </c>
      <c r="BS9" s="61">
        <v>425628</v>
      </c>
      <c r="BT9" s="61">
        <f>BU9-BS9</f>
        <v>503145</v>
      </c>
      <c r="BU9" s="61">
        <v>928773</v>
      </c>
      <c r="BV9" s="61">
        <f>BW9-BU9</f>
        <v>455537</v>
      </c>
      <c r="BW9" s="61">
        <v>1384310</v>
      </c>
      <c r="BX9" s="61">
        <f>BY9-BW9</f>
        <v>891601</v>
      </c>
      <c r="BY9" s="61">
        <v>2275911</v>
      </c>
      <c r="BZ9" s="61">
        <v>689540</v>
      </c>
      <c r="CA9" s="61">
        <f>CB9-BZ9</f>
        <v>442681</v>
      </c>
      <c r="CB9" s="61">
        <v>1132221</v>
      </c>
      <c r="CC9" s="61">
        <f>CD9-CB9</f>
        <v>725137</v>
      </c>
      <c r="CD9" s="61">
        <v>1857358</v>
      </c>
      <c r="CE9" s="61">
        <f>CF9-CD9</f>
        <v>908305</v>
      </c>
      <c r="CF9" s="61">
        <v>2765663</v>
      </c>
      <c r="CG9" s="61">
        <v>716433</v>
      </c>
      <c r="CH9" s="61">
        <f>CI9-CG9</f>
        <v>680553</v>
      </c>
      <c r="CI9" s="61">
        <v>1396986</v>
      </c>
      <c r="CJ9" s="61">
        <f>CK9-CI9</f>
        <v>948348</v>
      </c>
      <c r="CK9" s="61">
        <v>2345334</v>
      </c>
      <c r="CL9" s="61">
        <f>CM9-CK9</f>
        <v>1379393</v>
      </c>
      <c r="CM9" s="61">
        <v>3724727</v>
      </c>
      <c r="CN9" s="61">
        <v>978721</v>
      </c>
      <c r="CO9" s="61">
        <f>CP9-CN9</f>
        <v>1204484</v>
      </c>
      <c r="CP9" s="61">
        <v>2183205</v>
      </c>
      <c r="CQ9" s="61">
        <f>CR9-CP9</f>
        <v>1001766</v>
      </c>
      <c r="CR9" s="61">
        <v>3184971</v>
      </c>
      <c r="CS9" s="61">
        <f>CT9-CR9</f>
        <v>1893630</v>
      </c>
      <c r="CT9" s="61">
        <v>5078601</v>
      </c>
      <c r="CU9" s="61">
        <v>2483314</v>
      </c>
      <c r="CV9" s="61">
        <f>CW9-CU9</f>
        <v>1758557</v>
      </c>
      <c r="CW9" s="61">
        <v>4241871</v>
      </c>
      <c r="CX9" s="61">
        <f>CY9-CW9</f>
        <v>1412709</v>
      </c>
      <c r="CY9" s="61">
        <v>5654580</v>
      </c>
      <c r="CZ9" s="61">
        <f>DA9-CY9</f>
        <v>1944916</v>
      </c>
      <c r="DA9" s="61">
        <v>7599496</v>
      </c>
      <c r="DB9" s="61">
        <v>2092818</v>
      </c>
      <c r="DC9" s="61">
        <f>DD9-DB9</f>
        <v>1644934</v>
      </c>
      <c r="DD9" s="61">
        <v>3737752</v>
      </c>
      <c r="DE9" s="61">
        <f t="shared" ref="DE9:DE14" si="9">DF9-DD9</f>
        <v>1689214</v>
      </c>
      <c r="DF9" s="61">
        <v>5426966</v>
      </c>
      <c r="DG9" s="61">
        <f t="shared" ref="DG9:DG14" si="10">DH9-DF9</f>
        <v>1961935</v>
      </c>
      <c r="DH9" s="61">
        <v>7388901</v>
      </c>
      <c r="DI9" s="61">
        <v>1993345</v>
      </c>
      <c r="DJ9" s="61">
        <v>3370736</v>
      </c>
      <c r="DK9" s="61">
        <f t="shared" ref="DK9:DK51" si="11">DJ9+DI9</f>
        <v>5364081</v>
      </c>
    </row>
    <row r="10" spans="1:115" ht="10.5" x14ac:dyDescent="0.25">
      <c r="A10" s="56"/>
      <c r="B10" s="57"/>
      <c r="C10" s="57" t="s">
        <v>318</v>
      </c>
      <c r="D10" s="58"/>
      <c r="E10" s="59"/>
      <c r="F10" s="59"/>
      <c r="G10" s="59"/>
      <c r="H10" s="60">
        <v>714</v>
      </c>
      <c r="I10" s="61">
        <v>643</v>
      </c>
      <c r="J10" s="61">
        <f>H10+I10</f>
        <v>1357</v>
      </c>
      <c r="K10" s="61">
        <f>L10-J10</f>
        <v>320</v>
      </c>
      <c r="L10" s="61">
        <v>1677</v>
      </c>
      <c r="M10" s="61">
        <f>N10-L10</f>
        <v>1395</v>
      </c>
      <c r="N10" s="61">
        <v>3072</v>
      </c>
      <c r="O10" s="61">
        <v>1670</v>
      </c>
      <c r="P10" s="61">
        <v>1355</v>
      </c>
      <c r="Q10" s="61">
        <f>O10+P10</f>
        <v>3025</v>
      </c>
      <c r="R10" s="61">
        <f>21750-23003</f>
        <v>-1253</v>
      </c>
      <c r="S10" s="61">
        <f>Q10+R10</f>
        <v>1772</v>
      </c>
      <c r="T10" s="61">
        <v>5443</v>
      </c>
      <c r="U10" s="61">
        <f>S10+T10</f>
        <v>7215</v>
      </c>
      <c r="V10" s="61">
        <v>-331</v>
      </c>
      <c r="W10" s="61">
        <v>101</v>
      </c>
      <c r="X10" s="61">
        <f>V10+W10</f>
        <v>-230</v>
      </c>
      <c r="Y10" s="61">
        <v>2105</v>
      </c>
      <c r="Z10" s="61">
        <f>X10+Y10</f>
        <v>1875</v>
      </c>
      <c r="AA10" s="61">
        <v>2806</v>
      </c>
      <c r="AB10" s="61">
        <f>Z10+AA10</f>
        <v>4681</v>
      </c>
      <c r="AC10" s="61">
        <v>2540</v>
      </c>
      <c r="AD10" s="61">
        <f t="shared" ref="AD10:AD21" si="12">AE10-AC10</f>
        <v>4715</v>
      </c>
      <c r="AE10" s="61">
        <v>7255</v>
      </c>
      <c r="AF10" s="61">
        <f t="shared" ref="AF10:AF21" si="13">AG10-AE10</f>
        <v>2358</v>
      </c>
      <c r="AG10" s="62">
        <v>9613</v>
      </c>
      <c r="AH10" s="61">
        <f>AI10-AG10</f>
        <v>2961</v>
      </c>
      <c r="AI10" s="62">
        <v>12574</v>
      </c>
      <c r="AJ10" s="61">
        <v>2967</v>
      </c>
      <c r="AK10" s="61">
        <f>5941-2967</f>
        <v>2974</v>
      </c>
      <c r="AL10" s="61">
        <f t="shared" ref="AL10:AL21" si="14">SUM(AJ10:AK10)</f>
        <v>5941</v>
      </c>
      <c r="AM10" s="61">
        <f>4938-5941</f>
        <v>-1003</v>
      </c>
      <c r="AN10" s="61">
        <f t="shared" ref="AN10:AP21" si="15">SUM(AL10:AM10)</f>
        <v>4938</v>
      </c>
      <c r="AO10" s="61">
        <f>20940-4938</f>
        <v>16002</v>
      </c>
      <c r="AP10" s="61">
        <f t="shared" si="15"/>
        <v>20940</v>
      </c>
      <c r="AQ10" s="61">
        <f>108895-94199</f>
        <v>14696</v>
      </c>
      <c r="AR10" s="61">
        <v>29837</v>
      </c>
      <c r="AS10" s="61">
        <v>17405</v>
      </c>
      <c r="AT10" s="61">
        <v>4089</v>
      </c>
      <c r="AU10" s="61">
        <v>21494</v>
      </c>
      <c r="AV10" s="61">
        <v>779</v>
      </c>
      <c r="AW10" s="61">
        <f t="shared" ref="AW10:AW21" si="16">SUM(AU10:AV10)</f>
        <v>22273</v>
      </c>
      <c r="AX10" s="61">
        <v>2341</v>
      </c>
      <c r="AY10" s="61">
        <f t="shared" si="7"/>
        <v>907</v>
      </c>
      <c r="AZ10" s="61">
        <v>3248</v>
      </c>
      <c r="BA10" s="61">
        <f t="shared" si="8"/>
        <v>3558</v>
      </c>
      <c r="BB10" s="61">
        <v>6806</v>
      </c>
      <c r="BC10" s="61">
        <f t="shared" si="8"/>
        <v>21756</v>
      </c>
      <c r="BD10" s="61">
        <v>28562</v>
      </c>
      <c r="BE10" s="61">
        <v>1590</v>
      </c>
      <c r="BF10" s="61">
        <f>5127-BE10</f>
        <v>3537</v>
      </c>
      <c r="BG10" s="61">
        <f>BE10+BF10</f>
        <v>5127</v>
      </c>
      <c r="BH10" s="61">
        <f t="shared" ref="BH10:BJ21" si="17">BI10-BG10</f>
        <v>-2072</v>
      </c>
      <c r="BI10" s="61">
        <v>3055</v>
      </c>
      <c r="BJ10" s="61">
        <f t="shared" si="17"/>
        <v>28641</v>
      </c>
      <c r="BK10" s="61">
        <v>31696</v>
      </c>
      <c r="BL10" s="61">
        <v>5614</v>
      </c>
      <c r="BM10" s="61">
        <f>BN10-BL10</f>
        <v>3040</v>
      </c>
      <c r="BN10" s="61">
        <v>8654</v>
      </c>
      <c r="BO10" s="61">
        <f>BP10-BN10</f>
        <v>2282</v>
      </c>
      <c r="BP10" s="61">
        <v>10936</v>
      </c>
      <c r="BQ10" s="61">
        <f>BR10-BP10</f>
        <v>10063</v>
      </c>
      <c r="BR10" s="61">
        <v>20999</v>
      </c>
      <c r="BS10" s="61">
        <v>2898</v>
      </c>
      <c r="BT10" s="61">
        <f>BU10-BS10</f>
        <v>4601</v>
      </c>
      <c r="BU10" s="61">
        <v>7499</v>
      </c>
      <c r="BV10" s="61">
        <f>BW10-BU10</f>
        <v>2083</v>
      </c>
      <c r="BW10" s="61">
        <v>9582</v>
      </c>
      <c r="BX10" s="61">
        <f>BY10-BW10</f>
        <v>12935</v>
      </c>
      <c r="BY10" s="61">
        <v>22517</v>
      </c>
      <c r="BZ10" s="61">
        <v>174</v>
      </c>
      <c r="CA10" s="61">
        <f>CB10-BZ10</f>
        <v>4720</v>
      </c>
      <c r="CB10" s="61">
        <v>4894</v>
      </c>
      <c r="CC10" s="61">
        <f>CD10-CB10</f>
        <v>8697</v>
      </c>
      <c r="CD10" s="61">
        <v>13591</v>
      </c>
      <c r="CE10" s="61">
        <f>CF10-CD10</f>
        <v>6257</v>
      </c>
      <c r="CF10" s="61">
        <v>19848</v>
      </c>
      <c r="CG10" s="61">
        <v>2196</v>
      </c>
      <c r="CH10" s="61">
        <f>CI10-CG10</f>
        <v>1309</v>
      </c>
      <c r="CI10" s="61">
        <v>3505</v>
      </c>
      <c r="CJ10" s="61">
        <f>CK10-CI10</f>
        <v>9973</v>
      </c>
      <c r="CK10" s="61">
        <v>13478</v>
      </c>
      <c r="CL10" s="61">
        <f>CM10-CK10</f>
        <v>66388</v>
      </c>
      <c r="CM10" s="61">
        <v>79866</v>
      </c>
      <c r="CN10" s="61">
        <v>8748</v>
      </c>
      <c r="CO10" s="61">
        <f>CP10-CN10</f>
        <v>10799</v>
      </c>
      <c r="CP10" s="61">
        <v>19547</v>
      </c>
      <c r="CQ10" s="61">
        <f>CR10-CP10</f>
        <v>111609</v>
      </c>
      <c r="CR10" s="61">
        <v>131156</v>
      </c>
      <c r="CS10" s="61">
        <f>CT10-CR10</f>
        <v>8749</v>
      </c>
      <c r="CT10" s="61">
        <v>139905</v>
      </c>
      <c r="CU10" s="61">
        <v>-5393</v>
      </c>
      <c r="CV10" s="61">
        <f>CW10-CU10</f>
        <v>54412</v>
      </c>
      <c r="CW10" s="61">
        <v>49019</v>
      </c>
      <c r="CX10" s="61">
        <f>CY10-CW10</f>
        <v>13789</v>
      </c>
      <c r="CY10" s="61">
        <v>62808</v>
      </c>
      <c r="CZ10" s="61">
        <f>DA10-CY10</f>
        <v>26240</v>
      </c>
      <c r="DA10" s="61">
        <v>89048</v>
      </c>
      <c r="DB10" s="61">
        <v>6023</v>
      </c>
      <c r="DC10" s="61">
        <f>DD10-DB10</f>
        <v>82079</v>
      </c>
      <c r="DD10" s="61">
        <v>88102</v>
      </c>
      <c r="DE10" s="61">
        <f t="shared" si="9"/>
        <v>14538</v>
      </c>
      <c r="DF10" s="61">
        <v>102640</v>
      </c>
      <c r="DG10" s="61">
        <f t="shared" si="10"/>
        <v>16556</v>
      </c>
      <c r="DH10" s="61">
        <v>119196</v>
      </c>
      <c r="DI10" s="61">
        <v>14371</v>
      </c>
      <c r="DJ10" s="61">
        <v>34890</v>
      </c>
      <c r="DK10" s="61">
        <f t="shared" si="11"/>
        <v>49261</v>
      </c>
    </row>
    <row r="11" spans="1:115" ht="10.5" x14ac:dyDescent="0.25">
      <c r="A11" s="56"/>
      <c r="B11" s="57"/>
      <c r="C11" s="57" t="s">
        <v>319</v>
      </c>
      <c r="D11" s="58"/>
      <c r="E11" s="59"/>
      <c r="F11" s="59"/>
      <c r="G11" s="59"/>
      <c r="H11" s="60">
        <v>19126</v>
      </c>
      <c r="I11" s="61">
        <v>2432</v>
      </c>
      <c r="J11" s="61">
        <f>H11+I11</f>
        <v>21558</v>
      </c>
      <c r="K11" s="61">
        <f>L11-J11</f>
        <v>21118</v>
      </c>
      <c r="L11" s="61">
        <v>42676</v>
      </c>
      <c r="M11" s="61">
        <f>N11-L11</f>
        <v>15110</v>
      </c>
      <c r="N11" s="61">
        <v>57786</v>
      </c>
      <c r="O11" s="61">
        <v>14157</v>
      </c>
      <c r="P11" s="61">
        <v>8782</v>
      </c>
      <c r="Q11" s="61">
        <f>O11+P11</f>
        <v>22939</v>
      </c>
      <c r="R11" s="61">
        <v>19994</v>
      </c>
      <c r="S11" s="61">
        <f>Q11+R11</f>
        <v>42933</v>
      </c>
      <c r="T11" s="61">
        <v>36950</v>
      </c>
      <c r="U11" s="61">
        <f>S11+T11</f>
        <v>79883</v>
      </c>
      <c r="V11" s="61">
        <v>9176</v>
      </c>
      <c r="W11" s="61">
        <v>12710</v>
      </c>
      <c r="X11" s="61">
        <f>V11+W11</f>
        <v>21886</v>
      </c>
      <c r="Y11" s="61">
        <v>16957</v>
      </c>
      <c r="Z11" s="61">
        <f>X11+Y11</f>
        <v>38843</v>
      </c>
      <c r="AA11" s="61">
        <v>29867</v>
      </c>
      <c r="AB11" s="61">
        <f>Z11+AA11</f>
        <v>68710</v>
      </c>
      <c r="AC11" s="61">
        <v>15943</v>
      </c>
      <c r="AD11" s="61">
        <f t="shared" si="12"/>
        <v>15240</v>
      </c>
      <c r="AE11" s="61">
        <v>31183</v>
      </c>
      <c r="AF11" s="61">
        <f t="shared" si="13"/>
        <v>34891</v>
      </c>
      <c r="AG11" s="62">
        <v>66074</v>
      </c>
      <c r="AH11" s="61">
        <f>AI11-AG11</f>
        <v>23649</v>
      </c>
      <c r="AI11" s="62">
        <v>89723</v>
      </c>
      <c r="AJ11" s="61">
        <v>2776</v>
      </c>
      <c r="AK11" s="61">
        <f>7736-2776</f>
        <v>4960</v>
      </c>
      <c r="AL11" s="61">
        <f t="shared" si="14"/>
        <v>7736</v>
      </c>
      <c r="AM11" s="61">
        <f>48104-7736</f>
        <v>40368</v>
      </c>
      <c r="AN11" s="61">
        <f t="shared" si="15"/>
        <v>48104</v>
      </c>
      <c r="AO11" s="61">
        <f>92755-48104</f>
        <v>44651</v>
      </c>
      <c r="AP11" s="61">
        <f t="shared" si="15"/>
        <v>92755</v>
      </c>
      <c r="AQ11" s="61">
        <v>15557</v>
      </c>
      <c r="AR11" s="61">
        <v>2709</v>
      </c>
      <c r="AS11" s="61">
        <v>22201</v>
      </c>
      <c r="AT11" s="61">
        <v>31185</v>
      </c>
      <c r="AU11" s="61">
        <v>53386</v>
      </c>
      <c r="AV11" s="61">
        <v>71764</v>
      </c>
      <c r="AW11" s="61">
        <f t="shared" si="16"/>
        <v>125150</v>
      </c>
      <c r="AX11" s="61">
        <v>10265</v>
      </c>
      <c r="AY11" s="61">
        <f t="shared" si="7"/>
        <v>9659</v>
      </c>
      <c r="AZ11" s="61">
        <v>19924</v>
      </c>
      <c r="BA11" s="61">
        <f t="shared" si="8"/>
        <v>24689</v>
      </c>
      <c r="BB11" s="61">
        <v>44613</v>
      </c>
      <c r="BC11" s="61">
        <f t="shared" si="8"/>
        <v>16870</v>
      </c>
      <c r="BD11" s="61">
        <v>61483</v>
      </c>
      <c r="BE11" s="61">
        <v>4608</v>
      </c>
      <c r="BF11" s="61">
        <f>14602-BE11</f>
        <v>9994</v>
      </c>
      <c r="BG11" s="61">
        <f>BE11+BF11</f>
        <v>14602</v>
      </c>
      <c r="BH11" s="61">
        <f t="shared" si="17"/>
        <v>12985</v>
      </c>
      <c r="BI11" s="61">
        <v>27587</v>
      </c>
      <c r="BJ11" s="61">
        <f t="shared" si="17"/>
        <v>275</v>
      </c>
      <c r="BK11" s="61">
        <v>27862</v>
      </c>
      <c r="BL11" s="61">
        <v>3005</v>
      </c>
      <c r="BM11" s="61">
        <f>BN11-BL11</f>
        <v>14509</v>
      </c>
      <c r="BN11" s="61">
        <v>17514</v>
      </c>
      <c r="BO11" s="61">
        <f>BP11-BN11</f>
        <v>43221</v>
      </c>
      <c r="BP11" s="61">
        <v>60735</v>
      </c>
      <c r="BQ11" s="61">
        <f>BR11-BP11</f>
        <v>16530</v>
      </c>
      <c r="BR11" s="61">
        <v>77265</v>
      </c>
      <c r="BS11" s="61">
        <v>7090</v>
      </c>
      <c r="BT11" s="61">
        <f>BU11-BS11</f>
        <v>16376</v>
      </c>
      <c r="BU11" s="61">
        <v>23466</v>
      </c>
      <c r="BV11" s="61">
        <f>BW11-BU11</f>
        <v>48257</v>
      </c>
      <c r="BW11" s="61">
        <v>71723</v>
      </c>
      <c r="BX11" s="61">
        <f>BY11-BW11</f>
        <v>652568</v>
      </c>
      <c r="BY11" s="61">
        <v>724291</v>
      </c>
      <c r="BZ11" s="61">
        <v>17565</v>
      </c>
      <c r="CA11" s="61">
        <f>CB11-BZ11</f>
        <v>30009</v>
      </c>
      <c r="CB11" s="61">
        <v>47574</v>
      </c>
      <c r="CC11" s="61">
        <f>CD11-CB11</f>
        <v>37531</v>
      </c>
      <c r="CD11" s="61">
        <v>85105</v>
      </c>
      <c r="CE11" s="61">
        <f>CF11-CD11</f>
        <v>9040</v>
      </c>
      <c r="CF11" s="61">
        <v>94145</v>
      </c>
      <c r="CG11" s="61">
        <v>11321</v>
      </c>
      <c r="CH11" s="61">
        <f>CI11-CG11</f>
        <v>16121</v>
      </c>
      <c r="CI11" s="61">
        <v>27442</v>
      </c>
      <c r="CJ11" s="61">
        <f>CK11-CI11</f>
        <v>45720</v>
      </c>
      <c r="CK11" s="61">
        <v>73162</v>
      </c>
      <c r="CL11" s="61">
        <f>CM11-CK11</f>
        <v>37221</v>
      </c>
      <c r="CM11" s="61">
        <v>110383</v>
      </c>
      <c r="CN11" s="61">
        <v>22977</v>
      </c>
      <c r="CO11" s="61">
        <f>CP11-CN11</f>
        <v>35076</v>
      </c>
      <c r="CP11" s="61">
        <v>58053</v>
      </c>
      <c r="CQ11" s="61">
        <f>CR11-CP11</f>
        <v>80203</v>
      </c>
      <c r="CR11" s="61">
        <v>138256</v>
      </c>
      <c r="CS11" s="61">
        <f>CT11-CR11</f>
        <v>70001</v>
      </c>
      <c r="CT11" s="61">
        <v>208257</v>
      </c>
      <c r="CU11" s="61">
        <v>36937</v>
      </c>
      <c r="CV11" s="61">
        <f>CW11-CU11</f>
        <v>78905</v>
      </c>
      <c r="CW11" s="61">
        <v>115842</v>
      </c>
      <c r="CX11" s="61">
        <f>CY11-CW11</f>
        <v>120654</v>
      </c>
      <c r="CY11" s="61">
        <v>236496</v>
      </c>
      <c r="CZ11" s="61">
        <f>DA11-CY11</f>
        <v>63058</v>
      </c>
      <c r="DA11" s="61">
        <v>299554</v>
      </c>
      <c r="DB11" s="61">
        <v>125368</v>
      </c>
      <c r="DC11" s="61">
        <f>DD11-DB11</f>
        <v>110604</v>
      </c>
      <c r="DD11" s="61">
        <v>235972</v>
      </c>
      <c r="DE11" s="61">
        <f t="shared" si="9"/>
        <v>126130</v>
      </c>
      <c r="DF11" s="61">
        <v>362102</v>
      </c>
      <c r="DG11" s="61">
        <f t="shared" si="10"/>
        <v>86500</v>
      </c>
      <c r="DH11" s="61">
        <v>448602</v>
      </c>
      <c r="DI11" s="61">
        <v>85444</v>
      </c>
      <c r="DJ11" s="61">
        <v>299743</v>
      </c>
      <c r="DK11" s="61">
        <f t="shared" si="11"/>
        <v>385187</v>
      </c>
    </row>
    <row r="12" spans="1:115" ht="10.5" x14ac:dyDescent="0.25">
      <c r="A12" s="56"/>
      <c r="B12" s="57"/>
      <c r="C12" s="57" t="s">
        <v>320</v>
      </c>
      <c r="D12" s="58"/>
      <c r="E12" s="59"/>
      <c r="F12" s="59"/>
      <c r="G12" s="59"/>
      <c r="H12" s="60">
        <v>39816</v>
      </c>
      <c r="I12" s="61">
        <v>-26095</v>
      </c>
      <c r="J12" s="61">
        <f>H12+I12</f>
        <v>13721</v>
      </c>
      <c r="K12" s="61">
        <f>L12-J12</f>
        <v>-35515</v>
      </c>
      <c r="L12" s="61">
        <v>-21794</v>
      </c>
      <c r="M12" s="61">
        <f>N12-L12</f>
        <v>12782</v>
      </c>
      <c r="N12" s="61">
        <v>-9012</v>
      </c>
      <c r="O12" s="61">
        <v>-2666</v>
      </c>
      <c r="P12" s="61">
        <v>59733</v>
      </c>
      <c r="Q12" s="61">
        <f>O12+P12</f>
        <v>57067</v>
      </c>
      <c r="R12" s="61">
        <v>71872</v>
      </c>
      <c r="S12" s="61">
        <f>Q12+R12</f>
        <v>128939</v>
      </c>
      <c r="T12" s="61">
        <v>10285</v>
      </c>
      <c r="U12" s="61">
        <f>S12+T12</f>
        <v>139224</v>
      </c>
      <c r="V12" s="61">
        <v>40462</v>
      </c>
      <c r="W12" s="61">
        <v>65414</v>
      </c>
      <c r="X12" s="61">
        <f>V12+W12</f>
        <v>105876</v>
      </c>
      <c r="Y12" s="61">
        <v>92979</v>
      </c>
      <c r="Z12" s="61">
        <f>X12+Y12</f>
        <v>198855</v>
      </c>
      <c r="AA12" s="61">
        <v>10750</v>
      </c>
      <c r="AB12" s="61">
        <f>Z12+AA12</f>
        <v>209605</v>
      </c>
      <c r="AC12" s="61">
        <v>69372</v>
      </c>
      <c r="AD12" s="61">
        <f t="shared" si="12"/>
        <v>-594</v>
      </c>
      <c r="AE12" s="61">
        <v>68778</v>
      </c>
      <c r="AF12" s="61">
        <f t="shared" si="13"/>
        <v>47940</v>
      </c>
      <c r="AG12" s="62">
        <v>116718</v>
      </c>
      <c r="AH12" s="61">
        <f>AI12-AG12</f>
        <v>17613</v>
      </c>
      <c r="AI12" s="62">
        <v>134331</v>
      </c>
      <c r="AJ12" s="61">
        <v>9243</v>
      </c>
      <c r="AK12" s="61">
        <f>73715-9243</f>
        <v>64472</v>
      </c>
      <c r="AL12" s="61">
        <f t="shared" si="14"/>
        <v>73715</v>
      </c>
      <c r="AM12" s="61">
        <f>128340-73715</f>
        <v>54625</v>
      </c>
      <c r="AN12" s="61">
        <f t="shared" si="15"/>
        <v>128340</v>
      </c>
      <c r="AO12" s="61">
        <f>146292-128340</f>
        <v>17952</v>
      </c>
      <c r="AP12" s="61">
        <f t="shared" si="15"/>
        <v>146292</v>
      </c>
      <c r="AQ12" s="61">
        <v>94199</v>
      </c>
      <c r="AR12" s="61">
        <v>6644</v>
      </c>
      <c r="AS12" s="61">
        <v>124036</v>
      </c>
      <c r="AT12" s="61">
        <v>16503</v>
      </c>
      <c r="AU12" s="61">
        <v>140539</v>
      </c>
      <c r="AV12" s="61">
        <v>22632</v>
      </c>
      <c r="AW12" s="61">
        <f t="shared" si="16"/>
        <v>163171</v>
      </c>
      <c r="AX12" s="61">
        <v>94277</v>
      </c>
      <c r="AY12" s="61">
        <f t="shared" si="7"/>
        <v>77988</v>
      </c>
      <c r="AZ12" s="61">
        <v>172265</v>
      </c>
      <c r="BA12" s="61">
        <f t="shared" si="8"/>
        <v>76398</v>
      </c>
      <c r="BB12" s="61">
        <v>248663</v>
      </c>
      <c r="BC12" s="61">
        <f t="shared" si="8"/>
        <v>31167</v>
      </c>
      <c r="BD12" s="61">
        <v>279830</v>
      </c>
      <c r="BE12" s="61">
        <v>87159</v>
      </c>
      <c r="BF12" s="61">
        <f>9171-BE12</f>
        <v>-77988</v>
      </c>
      <c r="BG12" s="61">
        <f>BE12+BF12</f>
        <v>9171</v>
      </c>
      <c r="BH12" s="61">
        <f t="shared" si="17"/>
        <v>-5894</v>
      </c>
      <c r="BI12" s="61">
        <v>3277</v>
      </c>
      <c r="BJ12" s="61">
        <f t="shared" si="17"/>
        <v>54427</v>
      </c>
      <c r="BK12" s="61">
        <v>57704</v>
      </c>
      <c r="BL12" s="61">
        <v>109389</v>
      </c>
      <c r="BM12" s="61">
        <f>BN12-BL12</f>
        <v>129922</v>
      </c>
      <c r="BN12" s="61">
        <v>239311</v>
      </c>
      <c r="BO12" s="61">
        <f>BP12-BN12</f>
        <v>101441</v>
      </c>
      <c r="BP12" s="61">
        <v>340752</v>
      </c>
      <c r="BQ12" s="61">
        <f>BR12-BP12</f>
        <v>21095</v>
      </c>
      <c r="BR12" s="61">
        <v>361847</v>
      </c>
      <c r="BS12" s="61">
        <v>239407</v>
      </c>
      <c r="BT12" s="61">
        <f>BU12-BS12</f>
        <v>288258</v>
      </c>
      <c r="BU12" s="61">
        <v>527665</v>
      </c>
      <c r="BV12" s="61">
        <f>BW12-BU12</f>
        <v>129134</v>
      </c>
      <c r="BW12" s="61">
        <v>656799</v>
      </c>
      <c r="BX12" s="61">
        <f>BY12-BW12</f>
        <v>-541621</v>
      </c>
      <c r="BY12" s="61">
        <v>115178</v>
      </c>
      <c r="BZ12" s="61">
        <v>146497</v>
      </c>
      <c r="CA12" s="61">
        <f>CB12-BZ12</f>
        <v>393743</v>
      </c>
      <c r="CB12" s="61">
        <v>540240</v>
      </c>
      <c r="CC12" s="61">
        <f>CD12-CB12</f>
        <v>-121797</v>
      </c>
      <c r="CD12" s="61">
        <v>418443</v>
      </c>
      <c r="CE12" s="61">
        <f>CF12-CD12</f>
        <v>86308</v>
      </c>
      <c r="CF12" s="61">
        <v>504751</v>
      </c>
      <c r="CG12" s="61">
        <v>294174</v>
      </c>
      <c r="CH12" s="61">
        <f>CI12-CG12</f>
        <v>421280</v>
      </c>
      <c r="CI12" s="61">
        <v>715454</v>
      </c>
      <c r="CJ12" s="61">
        <f>CK12-CI12</f>
        <v>-25250</v>
      </c>
      <c r="CK12" s="61">
        <v>690204</v>
      </c>
      <c r="CL12" s="61">
        <f>CM12-CK12</f>
        <v>85330</v>
      </c>
      <c r="CM12" s="61">
        <v>775534</v>
      </c>
      <c r="CN12" s="61">
        <v>737890</v>
      </c>
      <c r="CO12" s="61">
        <f>CP12-CN12</f>
        <v>644043</v>
      </c>
      <c r="CP12" s="61">
        <v>1381933</v>
      </c>
      <c r="CQ12" s="61">
        <f>CR12-CP12</f>
        <v>201128</v>
      </c>
      <c r="CR12" s="61">
        <v>1583061</v>
      </c>
      <c r="CS12" s="61">
        <f>CT12-CR12</f>
        <v>378098</v>
      </c>
      <c r="CT12" s="61">
        <v>1961159</v>
      </c>
      <c r="CU12" s="61">
        <v>1086728</v>
      </c>
      <c r="CV12" s="61">
        <f>CW12-CU12</f>
        <v>723691</v>
      </c>
      <c r="CW12" s="61">
        <v>1810419</v>
      </c>
      <c r="CX12" s="61">
        <f>CY12-CW12</f>
        <v>30067</v>
      </c>
      <c r="CY12" s="61">
        <v>1840486</v>
      </c>
      <c r="CZ12" s="61">
        <f>DA12-CY12</f>
        <v>376190</v>
      </c>
      <c r="DA12" s="61">
        <v>2216676</v>
      </c>
      <c r="DB12" s="61">
        <v>854871</v>
      </c>
      <c r="DC12" s="61">
        <f>DD12-DB12</f>
        <v>685770</v>
      </c>
      <c r="DD12" s="61">
        <v>1540641</v>
      </c>
      <c r="DE12" s="61">
        <f t="shared" si="9"/>
        <v>452533</v>
      </c>
      <c r="DF12" s="61">
        <v>1993174</v>
      </c>
      <c r="DG12" s="61">
        <f t="shared" si="10"/>
        <v>-72709</v>
      </c>
      <c r="DH12" s="61">
        <v>1920465</v>
      </c>
      <c r="DI12" s="61">
        <v>-140763</v>
      </c>
      <c r="DJ12" s="61">
        <v>656648</v>
      </c>
      <c r="DK12" s="61">
        <f t="shared" si="11"/>
        <v>515885</v>
      </c>
    </row>
    <row r="13" spans="1:115" ht="10.5" x14ac:dyDescent="0.25">
      <c r="A13" s="56"/>
      <c r="B13" s="57"/>
      <c r="C13" s="57" t="s">
        <v>427</v>
      </c>
      <c r="D13" s="58"/>
      <c r="E13" s="59"/>
      <c r="F13" s="59"/>
      <c r="G13" s="59"/>
      <c r="H13" s="60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2"/>
      <c r="AH13" s="61"/>
      <c r="AI13" s="62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>
        <v>1392</v>
      </c>
      <c r="CV13" s="61">
        <v>0</v>
      </c>
      <c r="CW13" s="61">
        <v>1392</v>
      </c>
      <c r="CX13" s="61">
        <f>CY13-CW13</f>
        <v>-14135</v>
      </c>
      <c r="CY13" s="61">
        <v>-12743</v>
      </c>
      <c r="CZ13" s="61">
        <f>DA13-CY13</f>
        <v>-58623</v>
      </c>
      <c r="DA13" s="61">
        <v>-71366</v>
      </c>
      <c r="DB13" s="61">
        <v>-56380</v>
      </c>
      <c r="DC13" s="61">
        <v>16290</v>
      </c>
      <c r="DD13" s="61">
        <v>-40090</v>
      </c>
      <c r="DE13" s="61">
        <f t="shared" si="9"/>
        <v>-55554</v>
      </c>
      <c r="DF13" s="61">
        <v>-95644</v>
      </c>
      <c r="DG13" s="61">
        <f t="shared" si="10"/>
        <v>66720</v>
      </c>
      <c r="DH13" s="61">
        <v>-28924</v>
      </c>
      <c r="DI13" s="61">
        <v>178648</v>
      </c>
      <c r="DJ13" s="61">
        <v>141558</v>
      </c>
      <c r="DK13" s="61">
        <f t="shared" si="11"/>
        <v>320206</v>
      </c>
    </row>
    <row r="14" spans="1:115" ht="10.5" x14ac:dyDescent="0.25">
      <c r="A14" s="56"/>
      <c r="B14" s="57"/>
      <c r="C14" s="57" t="s">
        <v>411</v>
      </c>
      <c r="D14" s="58"/>
      <c r="E14" s="59"/>
      <c r="F14" s="59"/>
      <c r="G14" s="59"/>
      <c r="H14" s="60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2"/>
      <c r="AH14" s="61"/>
      <c r="AI14" s="62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>
        <f>DD14-DB14</f>
        <v>-10995</v>
      </c>
      <c r="DD14" s="61">
        <v>-10995</v>
      </c>
      <c r="DE14" s="61">
        <f t="shared" si="9"/>
        <v>-3394</v>
      </c>
      <c r="DF14" s="61">
        <v>-14389</v>
      </c>
      <c r="DG14" s="61">
        <f t="shared" si="10"/>
        <v>0</v>
      </c>
      <c r="DH14" s="61">
        <v>-14389</v>
      </c>
      <c r="DI14" s="61"/>
      <c r="DJ14" s="61"/>
      <c r="DK14" s="61">
        <f t="shared" si="11"/>
        <v>0</v>
      </c>
    </row>
    <row r="15" spans="1:115" ht="10.5" x14ac:dyDescent="0.25">
      <c r="A15" s="63" t="s">
        <v>321</v>
      </c>
      <c r="B15" s="64"/>
      <c r="C15" s="64"/>
      <c r="D15" s="65"/>
      <c r="E15" s="66"/>
      <c r="F15" s="66"/>
      <c r="G15" s="66"/>
      <c r="H15" s="53">
        <f>SUM(H16:H19)</f>
        <v>-121116</v>
      </c>
      <c r="I15" s="53">
        <f t="shared" ref="I15:AJ15" si="18">SUM(I16:I19)</f>
        <v>-124908</v>
      </c>
      <c r="J15" s="53">
        <f t="shared" si="18"/>
        <v>-246024</v>
      </c>
      <c r="K15" s="53">
        <f t="shared" si="18"/>
        <v>-154563</v>
      </c>
      <c r="L15" s="53">
        <f t="shared" si="18"/>
        <v>-400587</v>
      </c>
      <c r="M15" s="53">
        <f t="shared" si="18"/>
        <v>-110178</v>
      </c>
      <c r="N15" s="53">
        <f t="shared" si="18"/>
        <v>-510765</v>
      </c>
      <c r="O15" s="53">
        <f t="shared" si="18"/>
        <v>-166889</v>
      </c>
      <c r="P15" s="53">
        <f t="shared" si="18"/>
        <v>-113426</v>
      </c>
      <c r="Q15" s="53">
        <f t="shared" si="18"/>
        <v>-280315</v>
      </c>
      <c r="R15" s="53">
        <f t="shared" si="18"/>
        <v>-132186</v>
      </c>
      <c r="S15" s="53">
        <f t="shared" si="18"/>
        <v>-412501</v>
      </c>
      <c r="T15" s="53">
        <f t="shared" si="18"/>
        <v>-221030</v>
      </c>
      <c r="U15" s="53">
        <f t="shared" si="18"/>
        <v>-633531</v>
      </c>
      <c r="V15" s="53">
        <f t="shared" si="18"/>
        <v>-117544</v>
      </c>
      <c r="W15" s="53">
        <f t="shared" si="18"/>
        <v>-124524</v>
      </c>
      <c r="X15" s="53">
        <f t="shared" si="18"/>
        <v>-242068</v>
      </c>
      <c r="Y15" s="53">
        <f t="shared" si="18"/>
        <v>-131717</v>
      </c>
      <c r="Z15" s="53">
        <f t="shared" si="18"/>
        <v>-373785</v>
      </c>
      <c r="AA15" s="53">
        <f t="shared" si="18"/>
        <v>-232157</v>
      </c>
      <c r="AB15" s="53">
        <f t="shared" si="18"/>
        <v>-605942</v>
      </c>
      <c r="AC15" s="53">
        <f t="shared" si="18"/>
        <v>-202846</v>
      </c>
      <c r="AD15" s="53">
        <f t="shared" si="18"/>
        <v>-193099</v>
      </c>
      <c r="AE15" s="53">
        <f t="shared" si="18"/>
        <v>-395945</v>
      </c>
      <c r="AF15" s="53">
        <f t="shared" si="18"/>
        <v>-168998</v>
      </c>
      <c r="AG15" s="53">
        <f t="shared" si="18"/>
        <v>-564943</v>
      </c>
      <c r="AH15" s="53">
        <f t="shared" si="18"/>
        <v>-208557</v>
      </c>
      <c r="AI15" s="53">
        <f t="shared" si="18"/>
        <v>-773500</v>
      </c>
      <c r="AJ15" s="53">
        <f t="shared" si="18"/>
        <v>-131567</v>
      </c>
      <c r="AK15" s="53">
        <f t="shared" ref="AK15:AQ15" si="19">SUM(AK16:AK19)</f>
        <v>-153575</v>
      </c>
      <c r="AL15" s="53">
        <f t="shared" si="19"/>
        <v>-285142</v>
      </c>
      <c r="AM15" s="53">
        <f t="shared" si="19"/>
        <v>-185661</v>
      </c>
      <c r="AN15" s="53">
        <f t="shared" si="19"/>
        <v>-470803</v>
      </c>
      <c r="AO15" s="53">
        <f t="shared" si="19"/>
        <v>-297642</v>
      </c>
      <c r="AP15" s="53">
        <f t="shared" si="19"/>
        <v>-768445</v>
      </c>
      <c r="AQ15" s="53">
        <f t="shared" si="19"/>
        <v>-228398</v>
      </c>
      <c r="AR15" s="53">
        <f t="shared" ref="AR15:AX15" si="20">SUM(AR16:AR19)</f>
        <v>-265541</v>
      </c>
      <c r="AS15" s="53">
        <f t="shared" si="20"/>
        <v>-493939</v>
      </c>
      <c r="AT15" s="53">
        <f t="shared" si="20"/>
        <v>-234852</v>
      </c>
      <c r="AU15" s="53">
        <f t="shared" si="20"/>
        <v>-728791</v>
      </c>
      <c r="AV15" s="53">
        <f t="shared" si="20"/>
        <v>-343708</v>
      </c>
      <c r="AW15" s="53">
        <f t="shared" si="20"/>
        <v>-1072499</v>
      </c>
      <c r="AX15" s="53">
        <f t="shared" si="20"/>
        <v>-219521</v>
      </c>
      <c r="AY15" s="53">
        <f t="shared" si="7"/>
        <v>-293544</v>
      </c>
      <c r="AZ15" s="53">
        <f>SUM(AZ16:AZ19)</f>
        <v>-513065</v>
      </c>
      <c r="BA15" s="53">
        <f t="shared" si="8"/>
        <v>-224125</v>
      </c>
      <c r="BB15" s="53">
        <f>SUM(BB16:BB19)</f>
        <v>-737190</v>
      </c>
      <c r="BC15" s="53">
        <f t="shared" si="8"/>
        <v>-418968</v>
      </c>
      <c r="BD15" s="53">
        <f>SUM(BD16:BD19)</f>
        <v>-1156158</v>
      </c>
      <c r="BE15" s="53">
        <f>SUM(BE16:BE19)</f>
        <v>-313365</v>
      </c>
      <c r="BF15" s="53">
        <f>SUM(BF16:BF19)</f>
        <v>-294471</v>
      </c>
      <c r="BG15" s="53">
        <f t="shared" ref="BG15:CK15" si="21">SUM(BG16:BG19)</f>
        <v>-607836</v>
      </c>
      <c r="BH15" s="53">
        <f t="shared" si="21"/>
        <v>-211997</v>
      </c>
      <c r="BI15" s="53">
        <f t="shared" si="21"/>
        <v>-819833</v>
      </c>
      <c r="BJ15" s="53">
        <f>SUM(BJ16:BJ19)</f>
        <v>-364076</v>
      </c>
      <c r="BK15" s="53">
        <f t="shared" si="21"/>
        <v>-1183909</v>
      </c>
      <c r="BL15" s="53">
        <f t="shared" si="21"/>
        <v>-252181</v>
      </c>
      <c r="BM15" s="53">
        <f>SUM(BM16:BM19)</f>
        <v>-240309</v>
      </c>
      <c r="BN15" s="53">
        <f t="shared" si="21"/>
        <v>-492490</v>
      </c>
      <c r="BO15" s="53">
        <f>SUM(BO16:BO19)</f>
        <v>-369479</v>
      </c>
      <c r="BP15" s="53">
        <f t="shared" si="21"/>
        <v>-861969</v>
      </c>
      <c r="BQ15" s="53">
        <f>SUM(BQ16:BQ19)</f>
        <v>-577574</v>
      </c>
      <c r="BR15" s="53">
        <f t="shared" si="21"/>
        <v>-1439543</v>
      </c>
      <c r="BS15" s="53">
        <f t="shared" si="21"/>
        <v>-338885</v>
      </c>
      <c r="BT15" s="53">
        <f>SUM(BT16:BT19)</f>
        <v>-415805</v>
      </c>
      <c r="BU15" s="53">
        <f t="shared" si="21"/>
        <v>-754690</v>
      </c>
      <c r="BV15" s="53">
        <f>SUM(BV16:BV19)</f>
        <v>-423953</v>
      </c>
      <c r="BW15" s="53">
        <f t="shared" si="21"/>
        <v>-1178643</v>
      </c>
      <c r="BX15" s="53">
        <f>SUM(BX16:BX19)</f>
        <v>-725848</v>
      </c>
      <c r="BY15" s="53">
        <f t="shared" si="21"/>
        <v>-1904491</v>
      </c>
      <c r="BZ15" s="53">
        <f t="shared" si="21"/>
        <v>-522471</v>
      </c>
      <c r="CA15" s="53">
        <f>SUM(CA16:CA19)</f>
        <v>-392779</v>
      </c>
      <c r="CB15" s="53">
        <f t="shared" si="21"/>
        <v>-915250</v>
      </c>
      <c r="CC15" s="53">
        <f>SUM(CC16:CC19)</f>
        <v>-571605</v>
      </c>
      <c r="CD15" s="53">
        <f t="shared" si="21"/>
        <v>-1486855</v>
      </c>
      <c r="CE15" s="53">
        <f>SUM(CE16:CE19)</f>
        <v>-700554</v>
      </c>
      <c r="CF15" s="53">
        <f>SUM(CF16:CF19)</f>
        <v>-2187409</v>
      </c>
      <c r="CG15" s="53">
        <f t="shared" si="21"/>
        <v>-586137</v>
      </c>
      <c r="CH15" s="53">
        <f>SUM(CH16:CH19)</f>
        <v>-562916</v>
      </c>
      <c r="CI15" s="53">
        <f t="shared" si="21"/>
        <v>-1149053</v>
      </c>
      <c r="CJ15" s="53">
        <f>SUM(CJ16:CJ19)</f>
        <v>-694738</v>
      </c>
      <c r="CK15" s="53">
        <f t="shared" si="21"/>
        <v>-1843791</v>
      </c>
      <c r="CL15" s="53">
        <f>SUM(CL16:CL19)</f>
        <v>-931159</v>
      </c>
      <c r="CM15" s="53">
        <f>SUM(CM16:CM19)</f>
        <v>-2774950</v>
      </c>
      <c r="CN15" s="53">
        <f>SUM(CN16:CN19)</f>
        <v>-857085</v>
      </c>
      <c r="CO15" s="53">
        <f>SUM(CO16:CO19)</f>
        <v>-888621</v>
      </c>
      <c r="CP15" s="53">
        <f t="shared" ref="CP15:CR15" si="22">SUM(CP16:CP19)</f>
        <v>-1745706</v>
      </c>
      <c r="CQ15" s="53">
        <f>SUM(CQ16:CQ19)</f>
        <v>-823576</v>
      </c>
      <c r="CR15" s="53">
        <f t="shared" si="22"/>
        <v>-2569282</v>
      </c>
      <c r="CS15" s="53">
        <f>SUM(CS16:CS19)</f>
        <v>-1276522</v>
      </c>
      <c r="CT15" s="53">
        <f>SUM(CT16:CT19)</f>
        <v>-3845804</v>
      </c>
      <c r="CU15" s="53">
        <f>SUM(CU16:CU19)</f>
        <v>-1930156</v>
      </c>
      <c r="CV15" s="53">
        <f>SUM(CV16:CV19)</f>
        <v>-1607393</v>
      </c>
      <c r="CW15" s="53">
        <f t="shared" ref="CW15:DC15" si="23">SUM(CW16:CW19)</f>
        <v>-3537549</v>
      </c>
      <c r="CX15" s="53">
        <f t="shared" si="23"/>
        <v>-1258140</v>
      </c>
      <c r="CY15" s="53">
        <f t="shared" si="23"/>
        <v>-4795689</v>
      </c>
      <c r="CZ15" s="53">
        <f t="shared" si="23"/>
        <v>-1200667</v>
      </c>
      <c r="DA15" s="53">
        <f>SUM(DA16:DA19)</f>
        <v>-5996356</v>
      </c>
      <c r="DB15" s="53">
        <f t="shared" si="23"/>
        <v>-1756380</v>
      </c>
      <c r="DC15" s="53">
        <f t="shared" si="23"/>
        <v>-1327230</v>
      </c>
      <c r="DD15" s="53">
        <f>SUM(DD16:DD19)</f>
        <v>-3083610</v>
      </c>
      <c r="DE15" s="53">
        <f>SUM(DE16:DE19)</f>
        <v>-1804112</v>
      </c>
      <c r="DF15" s="53">
        <f>SUM(DF16:DF19)</f>
        <v>-4887722</v>
      </c>
      <c r="DG15" s="53">
        <f t="shared" ref="DG15:DI15" si="24">SUM(DG16:DG19)</f>
        <v>-1758690</v>
      </c>
      <c r="DH15" s="53">
        <f t="shared" si="24"/>
        <v>-6646412</v>
      </c>
      <c r="DI15" s="53">
        <f t="shared" si="24"/>
        <v>-1321501</v>
      </c>
      <c r="DJ15" s="53">
        <f t="shared" ref="DJ15:DK15" si="25">SUM(DJ16:DJ19)</f>
        <v>-2765376</v>
      </c>
      <c r="DK15" s="53">
        <f t="shared" si="11"/>
        <v>-4086877</v>
      </c>
    </row>
    <row r="16" spans="1:115" ht="10.5" x14ac:dyDescent="0.25">
      <c r="A16" s="56"/>
      <c r="B16" s="57"/>
      <c r="C16" s="57" t="s">
        <v>322</v>
      </c>
      <c r="D16" s="58"/>
      <c r="E16" s="59"/>
      <c r="F16" s="59"/>
      <c r="G16" s="59"/>
      <c r="H16" s="60">
        <v>-35</v>
      </c>
      <c r="I16" s="61">
        <v>-16</v>
      </c>
      <c r="J16" s="61">
        <f t="shared" ref="J16:J21" si="26">H16+I16</f>
        <v>-51</v>
      </c>
      <c r="K16" s="61">
        <f t="shared" ref="K16:K21" si="27">L16-J16</f>
        <v>268</v>
      </c>
      <c r="L16" s="61">
        <v>217</v>
      </c>
      <c r="M16" s="61">
        <f t="shared" ref="M16:M21" si="28">N16-L16</f>
        <v>-937</v>
      </c>
      <c r="N16" s="61">
        <v>-720</v>
      </c>
      <c r="O16" s="61">
        <v>-236</v>
      </c>
      <c r="P16" s="61">
        <v>-182</v>
      </c>
      <c r="Q16" s="61">
        <f t="shared" ref="Q16:Q21" si="29">O16+P16</f>
        <v>-418</v>
      </c>
      <c r="R16" s="61">
        <v>-2346</v>
      </c>
      <c r="S16" s="61">
        <f t="shared" ref="S16:S21" si="30">Q16+R16</f>
        <v>-2764</v>
      </c>
      <c r="T16" s="61">
        <v>-4894</v>
      </c>
      <c r="U16" s="61">
        <f t="shared" ref="U16:U21" si="31">S16+T16</f>
        <v>-7658</v>
      </c>
      <c r="V16" s="61">
        <v>-550</v>
      </c>
      <c r="W16" s="61">
        <v>-837</v>
      </c>
      <c r="X16" s="61">
        <f t="shared" ref="X16:X21" si="32">V16+W16</f>
        <v>-1387</v>
      </c>
      <c r="Y16" s="61">
        <v>-498</v>
      </c>
      <c r="Z16" s="61">
        <f t="shared" ref="Z16:Z21" si="33">X16+Y16</f>
        <v>-1885</v>
      </c>
      <c r="AA16" s="61">
        <v>-612</v>
      </c>
      <c r="AB16" s="61">
        <f t="shared" ref="AB16:AB21" si="34">Z16+AA16</f>
        <v>-2497</v>
      </c>
      <c r="AC16" s="61">
        <v>-1639</v>
      </c>
      <c r="AD16" s="61">
        <f t="shared" si="12"/>
        <v>-1327</v>
      </c>
      <c r="AE16" s="61">
        <v>-2966</v>
      </c>
      <c r="AF16" s="61">
        <f t="shared" si="13"/>
        <v>-1693</v>
      </c>
      <c r="AG16" s="62">
        <v>-4659</v>
      </c>
      <c r="AH16" s="61">
        <f t="shared" ref="AH16:AH21" si="35">AI16-AG16</f>
        <v>1295</v>
      </c>
      <c r="AI16" s="62">
        <v>-3364</v>
      </c>
      <c r="AJ16" s="61">
        <v>-2247</v>
      </c>
      <c r="AK16" s="61">
        <f>-1333+2247</f>
        <v>914</v>
      </c>
      <c r="AL16" s="61">
        <f t="shared" si="14"/>
        <v>-1333</v>
      </c>
      <c r="AM16" s="61">
        <f>-3008+1333</f>
        <v>-1675</v>
      </c>
      <c r="AN16" s="61">
        <f t="shared" si="15"/>
        <v>-3008</v>
      </c>
      <c r="AO16" s="61">
        <f>-14134+3008</f>
        <v>-11126</v>
      </c>
      <c r="AP16" s="61">
        <f t="shared" si="15"/>
        <v>-14134</v>
      </c>
      <c r="AQ16" s="61">
        <v>-15594</v>
      </c>
      <c r="AR16" s="61">
        <v>588</v>
      </c>
      <c r="AS16" s="61">
        <v>-15006</v>
      </c>
      <c r="AT16" s="61">
        <v>-4254</v>
      </c>
      <c r="AU16" s="61">
        <v>-19260</v>
      </c>
      <c r="AV16" s="61">
        <v>-1407</v>
      </c>
      <c r="AW16" s="61">
        <f t="shared" si="16"/>
        <v>-20667</v>
      </c>
      <c r="AX16" s="61">
        <v>-2751</v>
      </c>
      <c r="AY16" s="61">
        <f t="shared" si="7"/>
        <v>-1498</v>
      </c>
      <c r="AZ16" s="61">
        <v>-4249</v>
      </c>
      <c r="BA16" s="61">
        <f t="shared" si="8"/>
        <v>-4505</v>
      </c>
      <c r="BB16" s="61">
        <v>-8754</v>
      </c>
      <c r="BC16" s="61">
        <f>BD16-BB16</f>
        <v>-15698</v>
      </c>
      <c r="BD16" s="61">
        <v>-24452</v>
      </c>
      <c r="BE16" s="61">
        <v>-4476</v>
      </c>
      <c r="BF16" s="61">
        <f>-8196-BE16</f>
        <v>-3720</v>
      </c>
      <c r="BG16" s="61">
        <f t="shared" ref="BG16:BG21" si="36">BE16+BF16</f>
        <v>-8196</v>
      </c>
      <c r="BH16" s="61">
        <f t="shared" si="17"/>
        <v>-2317</v>
      </c>
      <c r="BI16" s="61">
        <v>-10513</v>
      </c>
      <c r="BJ16" s="61">
        <f t="shared" si="17"/>
        <v>-602</v>
      </c>
      <c r="BK16" s="61">
        <v>-11115</v>
      </c>
      <c r="BL16" s="61">
        <v>-6696</v>
      </c>
      <c r="BM16" s="61">
        <f t="shared" ref="BM16:BM21" si="37">BN16-BL16</f>
        <v>-1789</v>
      </c>
      <c r="BN16" s="61">
        <v>-8485</v>
      </c>
      <c r="BO16" s="61">
        <f t="shared" ref="BO16:BO21" si="38">BP16-BN16</f>
        <v>-4328</v>
      </c>
      <c r="BP16" s="61">
        <v>-12813</v>
      </c>
      <c r="BQ16" s="61">
        <f t="shared" ref="BQ16:BQ21" si="39">BR16-BP16</f>
        <v>-59860</v>
      </c>
      <c r="BR16" s="61">
        <v>-72673</v>
      </c>
      <c r="BS16" s="61">
        <v>-2001</v>
      </c>
      <c r="BT16" s="61">
        <f t="shared" ref="BT16:BT21" si="40">BU16-BS16</f>
        <v>-877</v>
      </c>
      <c r="BU16" s="61">
        <v>-2878</v>
      </c>
      <c r="BV16" s="61">
        <f t="shared" ref="BV16:BV21" si="41">BW16-BU16</f>
        <v>-2260</v>
      </c>
      <c r="BW16" s="61">
        <v>-5138</v>
      </c>
      <c r="BX16" s="61">
        <f t="shared" ref="BX16:BX21" si="42">BY16-BW16</f>
        <v>-1762</v>
      </c>
      <c r="BY16" s="61">
        <v>-6900</v>
      </c>
      <c r="BZ16" s="61">
        <v>-1747</v>
      </c>
      <c r="CA16" s="61">
        <f t="shared" ref="CA16:CA21" si="43">CB16-BZ16</f>
        <v>-1767</v>
      </c>
      <c r="CB16" s="61">
        <v>-3514</v>
      </c>
      <c r="CC16" s="61">
        <f t="shared" ref="CC16:CC21" si="44">CD16-CB16</f>
        <v>-4977</v>
      </c>
      <c r="CD16" s="61">
        <v>-8491</v>
      </c>
      <c r="CE16" s="61">
        <f t="shared" ref="CE16:CE21" si="45">CF16-CD16</f>
        <v>-48923</v>
      </c>
      <c r="CF16" s="61">
        <v>-57414</v>
      </c>
      <c r="CG16" s="61">
        <v>-1477</v>
      </c>
      <c r="CH16" s="61">
        <f t="shared" ref="CH16:CH21" si="46">CI16-CG16</f>
        <v>-574</v>
      </c>
      <c r="CI16" s="61">
        <v>-2051</v>
      </c>
      <c r="CJ16" s="61">
        <f t="shared" ref="CJ16:CJ21" si="47">CK16-CI16</f>
        <v>-9289</v>
      </c>
      <c r="CK16" s="61">
        <v>-11340</v>
      </c>
      <c r="CL16" s="61">
        <f t="shared" ref="CL16:CL21" si="48">CM16-CK16</f>
        <v>-60761</v>
      </c>
      <c r="CM16" s="61">
        <v>-72101</v>
      </c>
      <c r="CN16" s="61">
        <v>-8381</v>
      </c>
      <c r="CO16" s="61">
        <f t="shared" ref="CO16:CO21" si="49">CP16-CN16</f>
        <v>-4413</v>
      </c>
      <c r="CP16" s="61">
        <v>-12794</v>
      </c>
      <c r="CQ16" s="61">
        <f t="shared" ref="CQ16:CQ21" si="50">CR16-CP16</f>
        <v>-17498</v>
      </c>
      <c r="CR16" s="61">
        <v>-30292</v>
      </c>
      <c r="CS16" s="61">
        <f t="shared" ref="CS16:CS21" si="51">CT16-CR16</f>
        <v>-18591</v>
      </c>
      <c r="CT16" s="61">
        <v>-48883</v>
      </c>
      <c r="CU16" s="61">
        <v>-12487</v>
      </c>
      <c r="CV16" s="61">
        <f t="shared" ref="CV16:CV21" si="52">CW16-CU16</f>
        <v>-13088</v>
      </c>
      <c r="CW16" s="61">
        <v>-25575</v>
      </c>
      <c r="CX16" s="61">
        <f t="shared" ref="CX16:CX21" si="53">CY16-CW16</f>
        <v>-24030</v>
      </c>
      <c r="CY16" s="61">
        <v>-49605</v>
      </c>
      <c r="CZ16" s="61">
        <f t="shared" ref="CZ16:CZ21" si="54">DA16-CY16</f>
        <v>-52782</v>
      </c>
      <c r="DA16" s="61">
        <v>-102387</v>
      </c>
      <c r="DB16" s="61">
        <v>-5383</v>
      </c>
      <c r="DC16" s="61">
        <f t="shared" ref="DC16:DC21" si="55">DD16-DB16</f>
        <v>-34889</v>
      </c>
      <c r="DD16" s="61">
        <v>-40272</v>
      </c>
      <c r="DE16" s="61">
        <f t="shared" ref="DE16" si="56">DF16-DD16</f>
        <v>-14036</v>
      </c>
      <c r="DF16" s="61">
        <v>-54308</v>
      </c>
      <c r="DG16" s="61">
        <f t="shared" ref="DG16:DG21" si="57">DH16-DF16</f>
        <v>-28951</v>
      </c>
      <c r="DH16" s="61">
        <v>-83259</v>
      </c>
      <c r="DI16" s="61">
        <v>-11116</v>
      </c>
      <c r="DJ16" s="61">
        <v>-26392</v>
      </c>
      <c r="DK16" s="61">
        <f t="shared" si="11"/>
        <v>-37508</v>
      </c>
    </row>
    <row r="17" spans="1:117" ht="10.5" x14ac:dyDescent="0.25">
      <c r="A17" s="56"/>
      <c r="B17" s="57"/>
      <c r="C17" s="57" t="s">
        <v>323</v>
      </c>
      <c r="D17" s="58"/>
      <c r="E17" s="59"/>
      <c r="F17" s="59"/>
      <c r="G17" s="59"/>
      <c r="H17" s="60">
        <v>-56664</v>
      </c>
      <c r="I17" s="61">
        <v>-48149</v>
      </c>
      <c r="J17" s="61">
        <f t="shared" si="26"/>
        <v>-104813</v>
      </c>
      <c r="K17" s="61">
        <f t="shared" si="27"/>
        <v>-71430</v>
      </c>
      <c r="L17" s="61">
        <v>-176243</v>
      </c>
      <c r="M17" s="61">
        <f t="shared" si="28"/>
        <v>-83145</v>
      </c>
      <c r="N17" s="61">
        <v>-259388</v>
      </c>
      <c r="O17" s="61">
        <v>-52793</v>
      </c>
      <c r="P17" s="61">
        <v>-41595</v>
      </c>
      <c r="Q17" s="61">
        <f t="shared" si="29"/>
        <v>-94388</v>
      </c>
      <c r="R17" s="61">
        <v>-54777</v>
      </c>
      <c r="S17" s="61">
        <f t="shared" si="30"/>
        <v>-149165</v>
      </c>
      <c r="T17" s="61">
        <v>-90347</v>
      </c>
      <c r="U17" s="61">
        <f t="shared" si="31"/>
        <v>-239512</v>
      </c>
      <c r="V17" s="61">
        <v>-29987</v>
      </c>
      <c r="W17" s="61">
        <v>-39549</v>
      </c>
      <c r="X17" s="61">
        <f t="shared" si="32"/>
        <v>-69536</v>
      </c>
      <c r="Y17" s="61">
        <v>-43825</v>
      </c>
      <c r="Z17" s="61">
        <f t="shared" si="33"/>
        <v>-113361</v>
      </c>
      <c r="AA17" s="61">
        <v>-103236</v>
      </c>
      <c r="AB17" s="61">
        <f t="shared" si="34"/>
        <v>-216597</v>
      </c>
      <c r="AC17" s="61">
        <v>-64095</v>
      </c>
      <c r="AD17" s="61">
        <f t="shared" si="12"/>
        <v>-50010</v>
      </c>
      <c r="AE17" s="61">
        <v>-114105</v>
      </c>
      <c r="AF17" s="61">
        <f t="shared" si="13"/>
        <v>-72423</v>
      </c>
      <c r="AG17" s="62">
        <v>-186528</v>
      </c>
      <c r="AH17" s="61">
        <f t="shared" si="35"/>
        <v>-83383</v>
      </c>
      <c r="AI17" s="62">
        <v>-269911</v>
      </c>
      <c r="AJ17" s="61">
        <v>-32380</v>
      </c>
      <c r="AK17" s="61">
        <f>-83446+32380</f>
        <v>-51066</v>
      </c>
      <c r="AL17" s="61">
        <f t="shared" si="14"/>
        <v>-83446</v>
      </c>
      <c r="AM17" s="61">
        <f>-169076+83446</f>
        <v>-85630</v>
      </c>
      <c r="AN17" s="61">
        <f t="shared" si="15"/>
        <v>-169076</v>
      </c>
      <c r="AO17" s="61">
        <f>-279746+169076</f>
        <v>-110670</v>
      </c>
      <c r="AP17" s="61">
        <f t="shared" si="15"/>
        <v>-279746</v>
      </c>
      <c r="AQ17" s="61">
        <v>-54791</v>
      </c>
      <c r="AR17" s="61">
        <v>-59117</v>
      </c>
      <c r="AS17" s="61">
        <v>-113908</v>
      </c>
      <c r="AT17" s="61">
        <v>-89841</v>
      </c>
      <c r="AU17" s="61">
        <v>-203749</v>
      </c>
      <c r="AV17" s="61">
        <v>-158643</v>
      </c>
      <c r="AW17" s="61">
        <f t="shared" si="16"/>
        <v>-362392</v>
      </c>
      <c r="AX17" s="61">
        <v>-64931</v>
      </c>
      <c r="AY17" s="61">
        <f t="shared" si="7"/>
        <v>-69423</v>
      </c>
      <c r="AZ17" s="61">
        <v>-134354</v>
      </c>
      <c r="BA17" s="61">
        <f t="shared" si="8"/>
        <v>-80039</v>
      </c>
      <c r="BB17" s="61">
        <v>-214393</v>
      </c>
      <c r="BC17" s="61">
        <f t="shared" si="8"/>
        <v>-126944</v>
      </c>
      <c r="BD17" s="61">
        <v>-341337</v>
      </c>
      <c r="BE17" s="61">
        <v>-70227</v>
      </c>
      <c r="BF17" s="61">
        <f>-166470-BE17</f>
        <v>-96243</v>
      </c>
      <c r="BG17" s="61">
        <f t="shared" si="36"/>
        <v>-166470</v>
      </c>
      <c r="BH17" s="61">
        <f t="shared" si="17"/>
        <v>-72674</v>
      </c>
      <c r="BI17" s="61">
        <v>-239144</v>
      </c>
      <c r="BJ17" s="61">
        <f t="shared" si="17"/>
        <v>-113119</v>
      </c>
      <c r="BK17" s="61">
        <v>-352263</v>
      </c>
      <c r="BL17" s="61">
        <v>-54109</v>
      </c>
      <c r="BM17" s="61">
        <f t="shared" si="37"/>
        <v>-64040</v>
      </c>
      <c r="BN17" s="61">
        <v>-118149</v>
      </c>
      <c r="BO17" s="61">
        <f t="shared" si="38"/>
        <v>-117738</v>
      </c>
      <c r="BP17" s="61">
        <v>-235887</v>
      </c>
      <c r="BQ17" s="61">
        <f t="shared" si="39"/>
        <v>-157167</v>
      </c>
      <c r="BR17" s="61">
        <v>-393054</v>
      </c>
      <c r="BS17" s="61">
        <v>-89380</v>
      </c>
      <c r="BT17" s="61">
        <f t="shared" si="40"/>
        <v>-104573</v>
      </c>
      <c r="BU17" s="61">
        <v>-193953</v>
      </c>
      <c r="BV17" s="61">
        <f t="shared" si="41"/>
        <v>-128211</v>
      </c>
      <c r="BW17" s="61">
        <v>-322164</v>
      </c>
      <c r="BX17" s="61">
        <f t="shared" si="42"/>
        <v>-221763</v>
      </c>
      <c r="BY17" s="61">
        <v>-543927</v>
      </c>
      <c r="BZ17" s="61">
        <v>-145260</v>
      </c>
      <c r="CA17" s="61">
        <f t="shared" si="43"/>
        <v>-118893</v>
      </c>
      <c r="CB17" s="61">
        <v>-264153</v>
      </c>
      <c r="CC17" s="61">
        <f t="shared" si="44"/>
        <v>-185702</v>
      </c>
      <c r="CD17" s="61">
        <v>-449855</v>
      </c>
      <c r="CE17" s="61">
        <f t="shared" si="45"/>
        <v>-206097</v>
      </c>
      <c r="CF17" s="61">
        <v>-655952</v>
      </c>
      <c r="CG17" s="61">
        <v>-142116</v>
      </c>
      <c r="CH17" s="61">
        <f t="shared" si="46"/>
        <v>-142032</v>
      </c>
      <c r="CI17" s="61">
        <v>-284148</v>
      </c>
      <c r="CJ17" s="61">
        <f t="shared" si="47"/>
        <v>-192389</v>
      </c>
      <c r="CK17" s="61">
        <v>-476537</v>
      </c>
      <c r="CL17" s="61">
        <f t="shared" si="48"/>
        <v>-267321</v>
      </c>
      <c r="CM17" s="61">
        <v>-743858</v>
      </c>
      <c r="CN17" s="61">
        <v>-178719</v>
      </c>
      <c r="CO17" s="61">
        <f t="shared" si="49"/>
        <v>-212052</v>
      </c>
      <c r="CP17" s="61">
        <v>-390771</v>
      </c>
      <c r="CQ17" s="61">
        <f t="shared" si="50"/>
        <v>-223545</v>
      </c>
      <c r="CR17" s="61">
        <v>-614316</v>
      </c>
      <c r="CS17" s="61">
        <f t="shared" si="51"/>
        <v>-326305</v>
      </c>
      <c r="CT17" s="61">
        <v>-940621</v>
      </c>
      <c r="CU17" s="61">
        <v>-327561</v>
      </c>
      <c r="CV17" s="61">
        <v>-397985</v>
      </c>
      <c r="CW17" s="61">
        <f>-755770-1392+31616</f>
        <v>-725546</v>
      </c>
      <c r="CX17" s="61">
        <f>CY17-CW17</f>
        <v>-270463</v>
      </c>
      <c r="CY17" s="61">
        <f>-1050525+12743+41773</f>
        <v>-996009</v>
      </c>
      <c r="CZ17" s="61">
        <f t="shared" si="54"/>
        <v>-116113</v>
      </c>
      <c r="DA17" s="61">
        <f>-1276153+71366+92665</f>
        <v>-1112122</v>
      </c>
      <c r="DB17" s="61">
        <f>-412798+32116</f>
        <v>-380682</v>
      </c>
      <c r="DC17" s="61">
        <f t="shared" si="55"/>
        <v>-299788</v>
      </c>
      <c r="DD17" s="61">
        <f>-713151+32681</f>
        <v>-680470</v>
      </c>
      <c r="DE17" s="61">
        <f>DF17-DD17</f>
        <v>-772424</v>
      </c>
      <c r="DF17" s="61">
        <v>-1452894</v>
      </c>
      <c r="DG17" s="61">
        <f t="shared" si="57"/>
        <v>-348857</v>
      </c>
      <c r="DH17" s="61">
        <v>-1801751</v>
      </c>
      <c r="DI17" s="61">
        <f>-425069</f>
        <v>-425069</v>
      </c>
      <c r="DJ17" s="61">
        <v>-1039231</v>
      </c>
      <c r="DK17" s="61">
        <f t="shared" si="11"/>
        <v>-1464300</v>
      </c>
    </row>
    <row r="18" spans="1:117" ht="10.5" x14ac:dyDescent="0.25">
      <c r="A18" s="56"/>
      <c r="B18" s="57"/>
      <c r="C18" s="57" t="s">
        <v>324</v>
      </c>
      <c r="D18" s="58"/>
      <c r="E18" s="59"/>
      <c r="F18" s="59"/>
      <c r="G18" s="59"/>
      <c r="H18" s="60">
        <v>0</v>
      </c>
      <c r="I18" s="61">
        <v>-11950</v>
      </c>
      <c r="J18" s="61">
        <f t="shared" si="26"/>
        <v>-11950</v>
      </c>
      <c r="K18" s="61">
        <f t="shared" si="27"/>
        <v>-15472</v>
      </c>
      <c r="L18" s="61">
        <v>-27422</v>
      </c>
      <c r="M18" s="61">
        <f t="shared" si="28"/>
        <v>27422</v>
      </c>
      <c r="N18" s="61">
        <v>0</v>
      </c>
      <c r="O18" s="61">
        <v>-3478</v>
      </c>
      <c r="P18" s="61">
        <v>1241</v>
      </c>
      <c r="Q18" s="61">
        <f t="shared" si="29"/>
        <v>-2237</v>
      </c>
      <c r="R18" s="61">
        <v>1401</v>
      </c>
      <c r="S18" s="61">
        <f t="shared" si="30"/>
        <v>-836</v>
      </c>
      <c r="T18" s="61">
        <v>628</v>
      </c>
      <c r="U18" s="61">
        <f t="shared" si="31"/>
        <v>-208</v>
      </c>
      <c r="V18" s="61">
        <v>-2268</v>
      </c>
      <c r="W18" s="61">
        <v>-1979</v>
      </c>
      <c r="X18" s="61">
        <f t="shared" si="32"/>
        <v>-4247</v>
      </c>
      <c r="Y18" s="61">
        <v>4256</v>
      </c>
      <c r="Z18" s="61">
        <f t="shared" si="33"/>
        <v>9</v>
      </c>
      <c r="AA18" s="61">
        <v>-212</v>
      </c>
      <c r="AB18" s="61">
        <f t="shared" si="34"/>
        <v>-203</v>
      </c>
      <c r="AC18" s="61">
        <v>166</v>
      </c>
      <c r="AD18" s="61">
        <f t="shared" si="12"/>
        <v>-2403</v>
      </c>
      <c r="AE18" s="61">
        <v>-2237</v>
      </c>
      <c r="AF18" s="61">
        <f t="shared" si="13"/>
        <v>-1865</v>
      </c>
      <c r="AG18" s="62">
        <v>-4102</v>
      </c>
      <c r="AH18" s="61">
        <f t="shared" si="35"/>
        <v>1233</v>
      </c>
      <c r="AI18" s="62">
        <v>-2869</v>
      </c>
      <c r="AJ18" s="61">
        <v>1872</v>
      </c>
      <c r="AK18" s="61">
        <f>-906-1872</f>
        <v>-2778</v>
      </c>
      <c r="AL18" s="61">
        <f t="shared" si="14"/>
        <v>-906</v>
      </c>
      <c r="AM18" s="61">
        <f>3242+906</f>
        <v>4148</v>
      </c>
      <c r="AN18" s="61">
        <f t="shared" si="15"/>
        <v>3242</v>
      </c>
      <c r="AO18" s="61">
        <f>4202-3242</f>
        <v>960</v>
      </c>
      <c r="AP18" s="61">
        <f t="shared" si="15"/>
        <v>4202</v>
      </c>
      <c r="AQ18" s="61">
        <v>87</v>
      </c>
      <c r="AR18" s="61">
        <v>-183</v>
      </c>
      <c r="AS18" s="61">
        <v>-96</v>
      </c>
      <c r="AT18" s="61">
        <v>-2384</v>
      </c>
      <c r="AU18" s="61">
        <v>-2480</v>
      </c>
      <c r="AV18" s="61">
        <v>2646</v>
      </c>
      <c r="AW18" s="61">
        <f t="shared" si="16"/>
        <v>166</v>
      </c>
      <c r="AX18" s="61">
        <v>-26</v>
      </c>
      <c r="AY18" s="61">
        <f t="shared" si="7"/>
        <v>-56</v>
      </c>
      <c r="AZ18" s="61">
        <v>-82</v>
      </c>
      <c r="BA18" s="61">
        <f t="shared" si="8"/>
        <v>-615</v>
      </c>
      <c r="BB18" s="61">
        <v>-697</v>
      </c>
      <c r="BC18" s="61">
        <f t="shared" si="8"/>
        <v>-306</v>
      </c>
      <c r="BD18" s="61">
        <v>-1003</v>
      </c>
      <c r="BE18" s="61">
        <v>-915</v>
      </c>
      <c r="BF18" s="61">
        <f>790-BE18</f>
        <v>1705</v>
      </c>
      <c r="BG18" s="61">
        <f t="shared" si="36"/>
        <v>790</v>
      </c>
      <c r="BH18" s="61">
        <f t="shared" si="17"/>
        <v>-931</v>
      </c>
      <c r="BI18" s="61">
        <v>-141</v>
      </c>
      <c r="BJ18" s="61">
        <f t="shared" si="17"/>
        <v>726</v>
      </c>
      <c r="BK18" s="61">
        <v>585</v>
      </c>
      <c r="BL18" s="61">
        <v>497</v>
      </c>
      <c r="BM18" s="61">
        <f t="shared" si="37"/>
        <v>0</v>
      </c>
      <c r="BN18" s="61">
        <v>497</v>
      </c>
      <c r="BO18" s="61">
        <f t="shared" si="38"/>
        <v>-1</v>
      </c>
      <c r="BP18" s="61">
        <v>496</v>
      </c>
      <c r="BQ18" s="61">
        <f t="shared" si="39"/>
        <v>0</v>
      </c>
      <c r="BR18" s="61">
        <v>496</v>
      </c>
      <c r="BS18" s="61">
        <v>0</v>
      </c>
      <c r="BT18" s="61">
        <f t="shared" si="40"/>
        <v>0</v>
      </c>
      <c r="BU18" s="61">
        <v>0</v>
      </c>
      <c r="BV18" s="61">
        <f t="shared" si="41"/>
        <v>0</v>
      </c>
      <c r="BW18" s="61">
        <v>0</v>
      </c>
      <c r="BX18" s="61">
        <f t="shared" si="42"/>
        <v>0</v>
      </c>
      <c r="BY18" s="61">
        <v>0</v>
      </c>
      <c r="BZ18" s="61">
        <v>0</v>
      </c>
      <c r="CA18" s="61">
        <f t="shared" si="43"/>
        <v>0</v>
      </c>
      <c r="CB18" s="61">
        <v>0</v>
      </c>
      <c r="CC18" s="61">
        <f t="shared" si="44"/>
        <v>-428</v>
      </c>
      <c r="CD18" s="61">
        <v>-428</v>
      </c>
      <c r="CE18" s="61">
        <f t="shared" si="45"/>
        <v>336</v>
      </c>
      <c r="CF18" s="61">
        <v>-92</v>
      </c>
      <c r="CG18" s="61">
        <v>0</v>
      </c>
      <c r="CH18" s="61">
        <f t="shared" si="46"/>
        <v>-259</v>
      </c>
      <c r="CI18" s="61">
        <v>-259</v>
      </c>
      <c r="CJ18" s="61">
        <f t="shared" si="47"/>
        <v>259</v>
      </c>
      <c r="CK18" s="61">
        <v>0</v>
      </c>
      <c r="CL18" s="61">
        <f t="shared" si="48"/>
        <v>0</v>
      </c>
      <c r="CM18" s="61">
        <v>0</v>
      </c>
      <c r="CN18" s="61">
        <v>0</v>
      </c>
      <c r="CO18" s="61">
        <f t="shared" si="49"/>
        <v>0</v>
      </c>
      <c r="CP18" s="61">
        <v>0</v>
      </c>
      <c r="CQ18" s="61">
        <f t="shared" si="50"/>
        <v>-3168</v>
      </c>
      <c r="CR18" s="61">
        <v>-3168</v>
      </c>
      <c r="CS18" s="61">
        <f t="shared" si="51"/>
        <v>3168</v>
      </c>
      <c r="CT18" s="61">
        <v>0</v>
      </c>
      <c r="CU18" s="61">
        <v>-423</v>
      </c>
      <c r="CV18" s="61">
        <f t="shared" si="52"/>
        <v>29</v>
      </c>
      <c r="CW18" s="61">
        <v>-394</v>
      </c>
      <c r="CX18" s="61">
        <f t="shared" si="53"/>
        <v>-1</v>
      </c>
      <c r="CY18" s="61">
        <v>-395</v>
      </c>
      <c r="CZ18" s="61">
        <f t="shared" si="54"/>
        <v>0</v>
      </c>
      <c r="DA18" s="61">
        <v>-395</v>
      </c>
      <c r="DB18" s="61">
        <v>0</v>
      </c>
      <c r="DC18" s="61">
        <f t="shared" si="55"/>
        <v>0</v>
      </c>
      <c r="DD18" s="61">
        <v>0</v>
      </c>
      <c r="DE18" s="61">
        <f t="shared" ref="DE18:DE21" si="58">DF18-DD18</f>
        <v>0</v>
      </c>
      <c r="DF18" s="61">
        <v>0</v>
      </c>
      <c r="DG18" s="61">
        <f t="shared" si="57"/>
        <v>0</v>
      </c>
      <c r="DH18" s="61">
        <v>0</v>
      </c>
      <c r="DI18" s="61">
        <v>0</v>
      </c>
      <c r="DJ18" s="61">
        <v>0</v>
      </c>
      <c r="DK18" s="61">
        <f t="shared" si="11"/>
        <v>0</v>
      </c>
    </row>
    <row r="19" spans="1:117" ht="10.5" x14ac:dyDescent="0.25">
      <c r="A19" s="56"/>
      <c r="B19" s="57"/>
      <c r="C19" s="57" t="s">
        <v>155</v>
      </c>
      <c r="D19" s="58"/>
      <c r="E19" s="59"/>
      <c r="F19" s="59"/>
      <c r="G19" s="59"/>
      <c r="H19" s="60">
        <f>H20+H21</f>
        <v>-64417</v>
      </c>
      <c r="I19" s="60">
        <f t="shared" ref="I19:AJ19" si="59">I20+I21</f>
        <v>-64793</v>
      </c>
      <c r="J19" s="60">
        <f t="shared" si="59"/>
        <v>-129210</v>
      </c>
      <c r="K19" s="60">
        <f t="shared" si="59"/>
        <v>-67929</v>
      </c>
      <c r="L19" s="60">
        <f t="shared" si="59"/>
        <v>-197139</v>
      </c>
      <c r="M19" s="60">
        <f t="shared" si="59"/>
        <v>-53518</v>
      </c>
      <c r="N19" s="60">
        <f t="shared" si="59"/>
        <v>-250657</v>
      </c>
      <c r="O19" s="60">
        <f t="shared" si="59"/>
        <v>-110382</v>
      </c>
      <c r="P19" s="60">
        <f t="shared" si="59"/>
        <v>-72890</v>
      </c>
      <c r="Q19" s="60">
        <f t="shared" si="59"/>
        <v>-183272</v>
      </c>
      <c r="R19" s="60">
        <f t="shared" si="59"/>
        <v>-76464</v>
      </c>
      <c r="S19" s="60">
        <f t="shared" si="59"/>
        <v>-259736</v>
      </c>
      <c r="T19" s="60">
        <f t="shared" si="59"/>
        <v>-126417</v>
      </c>
      <c r="U19" s="60">
        <f t="shared" si="59"/>
        <v>-386153</v>
      </c>
      <c r="V19" s="60">
        <f t="shared" si="59"/>
        <v>-84739</v>
      </c>
      <c r="W19" s="60">
        <f t="shared" si="59"/>
        <v>-82159</v>
      </c>
      <c r="X19" s="60">
        <f t="shared" si="59"/>
        <v>-166898</v>
      </c>
      <c r="Y19" s="60">
        <f t="shared" si="59"/>
        <v>-91650</v>
      </c>
      <c r="Z19" s="60">
        <f t="shared" si="59"/>
        <v>-258548</v>
      </c>
      <c r="AA19" s="60">
        <f t="shared" si="59"/>
        <v>-128097</v>
      </c>
      <c r="AB19" s="60">
        <f t="shared" si="59"/>
        <v>-386645</v>
      </c>
      <c r="AC19" s="60">
        <f t="shared" si="59"/>
        <v>-137278</v>
      </c>
      <c r="AD19" s="60">
        <f t="shared" si="59"/>
        <v>-139359</v>
      </c>
      <c r="AE19" s="60">
        <f t="shared" si="59"/>
        <v>-276637</v>
      </c>
      <c r="AF19" s="60">
        <f t="shared" si="59"/>
        <v>-93017</v>
      </c>
      <c r="AG19" s="60">
        <f t="shared" si="59"/>
        <v>-369654</v>
      </c>
      <c r="AH19" s="60">
        <f t="shared" si="59"/>
        <v>-127702</v>
      </c>
      <c r="AI19" s="60">
        <f t="shared" si="59"/>
        <v>-497356</v>
      </c>
      <c r="AJ19" s="60">
        <f t="shared" si="59"/>
        <v>-98812</v>
      </c>
      <c r="AK19" s="60">
        <f>AK20+AK21</f>
        <v>-100645</v>
      </c>
      <c r="AL19" s="61">
        <f t="shared" si="14"/>
        <v>-199457</v>
      </c>
      <c r="AM19" s="60">
        <f>AM20+AM21</f>
        <v>-102504</v>
      </c>
      <c r="AN19" s="61">
        <f t="shared" si="15"/>
        <v>-301961</v>
      </c>
      <c r="AO19" s="61">
        <f>AO20+AO21</f>
        <v>-176806</v>
      </c>
      <c r="AP19" s="61">
        <f t="shared" si="15"/>
        <v>-478767</v>
      </c>
      <c r="AQ19" s="61">
        <f>AQ20+AQ21</f>
        <v>-158100</v>
      </c>
      <c r="AR19" s="61">
        <v>-206829</v>
      </c>
      <c r="AS19" s="61">
        <f>AS20+AS21</f>
        <v>-364929</v>
      </c>
      <c r="AT19" s="61">
        <v>-138373</v>
      </c>
      <c r="AU19" s="61">
        <f>AU20+AU21</f>
        <v>-503302</v>
      </c>
      <c r="AV19" s="61">
        <f>AV20+AV21</f>
        <v>-186304</v>
      </c>
      <c r="AW19" s="61">
        <f t="shared" si="16"/>
        <v>-689606</v>
      </c>
      <c r="AX19" s="61">
        <f>AX20+AX21</f>
        <v>-151813</v>
      </c>
      <c r="AY19" s="61">
        <f t="shared" si="7"/>
        <v>-222567</v>
      </c>
      <c r="AZ19" s="61">
        <f>AZ20+AZ21</f>
        <v>-374380</v>
      </c>
      <c r="BA19" s="61">
        <f t="shared" si="8"/>
        <v>-138966</v>
      </c>
      <c r="BB19" s="61">
        <f>BB20+BB21</f>
        <v>-513346</v>
      </c>
      <c r="BC19" s="61">
        <f t="shared" si="8"/>
        <v>-276020</v>
      </c>
      <c r="BD19" s="61">
        <f>BD20+BD21</f>
        <v>-789366</v>
      </c>
      <c r="BE19" s="61">
        <v>-237747</v>
      </c>
      <c r="BF19" s="61">
        <f>-433960-BE19</f>
        <v>-196213</v>
      </c>
      <c r="BG19" s="61">
        <f t="shared" si="36"/>
        <v>-433960</v>
      </c>
      <c r="BH19" s="61">
        <f t="shared" si="17"/>
        <v>-136075</v>
      </c>
      <c r="BI19" s="61">
        <v>-570035</v>
      </c>
      <c r="BJ19" s="61">
        <f t="shared" si="17"/>
        <v>-251081</v>
      </c>
      <c r="BK19" s="61">
        <v>-821116</v>
      </c>
      <c r="BL19" s="61">
        <v>-191873</v>
      </c>
      <c r="BM19" s="61">
        <f t="shared" si="37"/>
        <v>-174480</v>
      </c>
      <c r="BN19" s="61">
        <v>-366353</v>
      </c>
      <c r="BO19" s="61">
        <f t="shared" si="38"/>
        <v>-247412</v>
      </c>
      <c r="BP19" s="61">
        <v>-613765</v>
      </c>
      <c r="BQ19" s="61">
        <f t="shared" si="39"/>
        <v>-360547</v>
      </c>
      <c r="BR19" s="61">
        <v>-974312</v>
      </c>
      <c r="BS19" s="61">
        <v>-247504</v>
      </c>
      <c r="BT19" s="61">
        <f t="shared" si="40"/>
        <v>-310355</v>
      </c>
      <c r="BU19" s="61">
        <v>-557859</v>
      </c>
      <c r="BV19" s="61">
        <f t="shared" si="41"/>
        <v>-293482</v>
      </c>
      <c r="BW19" s="61">
        <v>-851341</v>
      </c>
      <c r="BX19" s="61">
        <f t="shared" si="42"/>
        <v>-502323</v>
      </c>
      <c r="BY19" s="61">
        <v>-1353664</v>
      </c>
      <c r="BZ19" s="61">
        <v>-375464</v>
      </c>
      <c r="CA19" s="61">
        <f t="shared" si="43"/>
        <v>-272119</v>
      </c>
      <c r="CB19" s="61">
        <v>-647583</v>
      </c>
      <c r="CC19" s="61">
        <f t="shared" si="44"/>
        <v>-380498</v>
      </c>
      <c r="CD19" s="61">
        <v>-1028081</v>
      </c>
      <c r="CE19" s="61">
        <f t="shared" si="45"/>
        <v>-445870</v>
      </c>
      <c r="CF19" s="61">
        <v>-1473951</v>
      </c>
      <c r="CG19" s="61">
        <v>-442544</v>
      </c>
      <c r="CH19" s="61">
        <f t="shared" si="46"/>
        <v>-420051</v>
      </c>
      <c r="CI19" s="61">
        <v>-862595</v>
      </c>
      <c r="CJ19" s="61">
        <f t="shared" si="47"/>
        <v>-493319</v>
      </c>
      <c r="CK19" s="61">
        <v>-1355914</v>
      </c>
      <c r="CL19" s="61">
        <f t="shared" si="48"/>
        <v>-603077</v>
      </c>
      <c r="CM19" s="61">
        <f>CM20+CM21</f>
        <v>-1958991</v>
      </c>
      <c r="CN19" s="61">
        <v>-669985</v>
      </c>
      <c r="CO19" s="61">
        <f t="shared" si="49"/>
        <v>-672156</v>
      </c>
      <c r="CP19" s="61">
        <f>CP20+CP21</f>
        <v>-1342141</v>
      </c>
      <c r="CQ19" s="61">
        <f t="shared" si="50"/>
        <v>-579365</v>
      </c>
      <c r="CR19" s="61">
        <f>CR20+CR21</f>
        <v>-1921506</v>
      </c>
      <c r="CS19" s="61">
        <f t="shared" si="51"/>
        <v>-934794</v>
      </c>
      <c r="CT19" s="61">
        <f>CT20+CT21</f>
        <v>-2856300</v>
      </c>
      <c r="CU19" s="61">
        <v>-1589685</v>
      </c>
      <c r="CV19" s="61">
        <f t="shared" si="52"/>
        <v>-1196349</v>
      </c>
      <c r="CW19" s="61">
        <f>CW20+CW21</f>
        <v>-2786034</v>
      </c>
      <c r="CX19" s="61">
        <f t="shared" si="53"/>
        <v>-963646</v>
      </c>
      <c r="CY19" s="61">
        <f>CY20+CY21</f>
        <v>-3749680</v>
      </c>
      <c r="CZ19" s="61">
        <f t="shared" si="54"/>
        <v>-1031772</v>
      </c>
      <c r="DA19" s="61">
        <f>DA20+DA21</f>
        <v>-4781452</v>
      </c>
      <c r="DB19" s="61">
        <f>DB20+DB21</f>
        <v>-1370315</v>
      </c>
      <c r="DC19" s="61">
        <f t="shared" si="55"/>
        <v>-992553</v>
      </c>
      <c r="DD19" s="61">
        <f>DD20+DD21</f>
        <v>-2362868</v>
      </c>
      <c r="DE19" s="61">
        <f>DF19-DD19</f>
        <v>-1017652</v>
      </c>
      <c r="DF19" s="61">
        <f>DF20+DF21</f>
        <v>-3380520</v>
      </c>
      <c r="DG19" s="61">
        <f t="shared" si="57"/>
        <v>-1380882</v>
      </c>
      <c r="DH19" s="61">
        <f>DH20+DH21</f>
        <v>-4761402</v>
      </c>
      <c r="DI19" s="61">
        <f>DI20+DI21</f>
        <v>-885316</v>
      </c>
      <c r="DJ19" s="61">
        <f>DJ20+DJ21</f>
        <v>-1699753</v>
      </c>
      <c r="DK19" s="61">
        <f t="shared" si="11"/>
        <v>-2585069</v>
      </c>
    </row>
    <row r="20" spans="1:117" ht="10.5" x14ac:dyDescent="0.25">
      <c r="A20" s="56"/>
      <c r="B20" s="57"/>
      <c r="C20" s="161" t="s">
        <v>325</v>
      </c>
      <c r="D20" s="58"/>
      <c r="E20" s="59"/>
      <c r="F20" s="59"/>
      <c r="G20" s="59"/>
      <c r="H20" s="60">
        <v>-49431</v>
      </c>
      <c r="I20" s="61">
        <v>-63297</v>
      </c>
      <c r="J20" s="61">
        <f t="shared" si="26"/>
        <v>-112728</v>
      </c>
      <c r="K20" s="61">
        <f t="shared" si="27"/>
        <v>-70841</v>
      </c>
      <c r="L20" s="61">
        <v>-183569</v>
      </c>
      <c r="M20" s="61">
        <f t="shared" si="28"/>
        <v>-63469</v>
      </c>
      <c r="N20" s="61">
        <v>-247038</v>
      </c>
      <c r="O20" s="61">
        <v>-85727</v>
      </c>
      <c r="P20" s="61">
        <v>-65000</v>
      </c>
      <c r="Q20" s="61">
        <f t="shared" si="29"/>
        <v>-150727</v>
      </c>
      <c r="R20" s="61">
        <v>-57777</v>
      </c>
      <c r="S20" s="61">
        <f t="shared" si="30"/>
        <v>-208504</v>
      </c>
      <c r="T20" s="61">
        <v>-82212</v>
      </c>
      <c r="U20" s="61">
        <f t="shared" si="31"/>
        <v>-290716</v>
      </c>
      <c r="V20" s="61">
        <v>-41816</v>
      </c>
      <c r="W20" s="61">
        <v>-47491</v>
      </c>
      <c r="X20" s="61">
        <f t="shared" si="32"/>
        <v>-89307</v>
      </c>
      <c r="Y20" s="61">
        <v>-49557</v>
      </c>
      <c r="Z20" s="61">
        <f t="shared" si="33"/>
        <v>-138864</v>
      </c>
      <c r="AA20" s="61">
        <v>-72278</v>
      </c>
      <c r="AB20" s="61">
        <f t="shared" si="34"/>
        <v>-211142</v>
      </c>
      <c r="AC20" s="61">
        <v>-71349</v>
      </c>
      <c r="AD20" s="61">
        <f t="shared" si="12"/>
        <v>-82733</v>
      </c>
      <c r="AE20" s="61">
        <v>-154082</v>
      </c>
      <c r="AF20" s="61">
        <f t="shared" si="13"/>
        <v>-65672</v>
      </c>
      <c r="AG20" s="62">
        <v>-219754</v>
      </c>
      <c r="AH20" s="61">
        <f t="shared" si="35"/>
        <v>-96151</v>
      </c>
      <c r="AI20" s="62">
        <v>-315905</v>
      </c>
      <c r="AJ20" s="61">
        <v>-70183</v>
      </c>
      <c r="AK20" s="61">
        <f>-173885+70183</f>
        <v>-103702</v>
      </c>
      <c r="AL20" s="61">
        <f t="shared" si="14"/>
        <v>-173885</v>
      </c>
      <c r="AM20" s="61">
        <f>-250106+173885</f>
        <v>-76221</v>
      </c>
      <c r="AN20" s="61">
        <f t="shared" si="15"/>
        <v>-250106</v>
      </c>
      <c r="AO20" s="61">
        <f>-364741+250106</f>
        <v>-114635</v>
      </c>
      <c r="AP20" s="61">
        <f t="shared" si="15"/>
        <v>-364741</v>
      </c>
      <c r="AQ20" s="61">
        <v>-89579</v>
      </c>
      <c r="AR20" s="61">
        <v>-146252</v>
      </c>
      <c r="AS20" s="61">
        <v>-235831</v>
      </c>
      <c r="AT20" s="61">
        <v>-107543</v>
      </c>
      <c r="AU20" s="61">
        <v>-343374</v>
      </c>
      <c r="AV20" s="61">
        <v>-153634</v>
      </c>
      <c r="AW20" s="61">
        <f t="shared" si="16"/>
        <v>-497008</v>
      </c>
      <c r="AX20" s="61">
        <v>-110092</v>
      </c>
      <c r="AY20" s="61">
        <f t="shared" si="7"/>
        <v>-159283</v>
      </c>
      <c r="AZ20" s="61">
        <v>-269375</v>
      </c>
      <c r="BA20" s="61">
        <f t="shared" si="8"/>
        <v>-98074</v>
      </c>
      <c r="BB20" s="61">
        <v>-367449</v>
      </c>
      <c r="BC20" s="61">
        <f t="shared" si="8"/>
        <v>-194647</v>
      </c>
      <c r="BD20" s="61">
        <v>-562096</v>
      </c>
      <c r="BE20" s="61">
        <v>-150985</v>
      </c>
      <c r="BF20" s="61">
        <f>-339751-BE20</f>
        <v>-188766</v>
      </c>
      <c r="BG20" s="61">
        <f t="shared" si="36"/>
        <v>-339751</v>
      </c>
      <c r="BH20" s="61">
        <f t="shared" si="17"/>
        <v>-148045</v>
      </c>
      <c r="BI20" s="61">
        <v>-487796</v>
      </c>
      <c r="BJ20" s="61">
        <f t="shared" si="17"/>
        <v>-248388</v>
      </c>
      <c r="BK20" s="61">
        <v>-736184</v>
      </c>
      <c r="BL20" s="61">
        <v>-121078</v>
      </c>
      <c r="BM20" s="61">
        <f t="shared" si="37"/>
        <v>-133834</v>
      </c>
      <c r="BN20" s="61">
        <v>-254912</v>
      </c>
      <c r="BO20" s="61">
        <f t="shared" si="38"/>
        <v>-170910</v>
      </c>
      <c r="BP20" s="61">
        <v>-425822</v>
      </c>
      <c r="BQ20" s="61">
        <f t="shared" si="39"/>
        <v>-221190</v>
      </c>
      <c r="BR20" s="61">
        <v>-647012</v>
      </c>
      <c r="BS20" s="61">
        <v>-140939</v>
      </c>
      <c r="BT20" s="61">
        <f t="shared" si="40"/>
        <v>-154283</v>
      </c>
      <c r="BU20" s="61">
        <v>-295222</v>
      </c>
      <c r="BV20" s="61">
        <f t="shared" si="41"/>
        <v>-171488</v>
      </c>
      <c r="BW20" s="61">
        <v>-466710</v>
      </c>
      <c r="BX20" s="61">
        <f t="shared" si="42"/>
        <v>-267678</v>
      </c>
      <c r="BY20" s="61">
        <v>-734388</v>
      </c>
      <c r="BZ20" s="61">
        <v>-215017</v>
      </c>
      <c r="CA20" s="61">
        <f t="shared" si="43"/>
        <v>-146383</v>
      </c>
      <c r="CB20" s="61">
        <v>-361400</v>
      </c>
      <c r="CC20" s="61">
        <f t="shared" si="44"/>
        <v>-267443</v>
      </c>
      <c r="CD20" s="61">
        <v>-628843</v>
      </c>
      <c r="CE20" s="61">
        <f t="shared" si="45"/>
        <v>-320842</v>
      </c>
      <c r="CF20" s="61">
        <v>-949685</v>
      </c>
      <c r="CG20" s="61">
        <v>-256169</v>
      </c>
      <c r="CH20" s="61">
        <f t="shared" si="46"/>
        <v>-224530</v>
      </c>
      <c r="CI20" s="61">
        <v>-480699</v>
      </c>
      <c r="CJ20" s="61">
        <f t="shared" si="47"/>
        <v>-309882</v>
      </c>
      <c r="CK20" s="61">
        <v>-790581</v>
      </c>
      <c r="CL20" s="61">
        <f t="shared" si="48"/>
        <v>-417414</v>
      </c>
      <c r="CM20" s="61">
        <v>-1207995</v>
      </c>
      <c r="CN20" s="61">
        <v>-314052</v>
      </c>
      <c r="CO20" s="61">
        <f t="shared" si="49"/>
        <v>-302881</v>
      </c>
      <c r="CP20" s="61">
        <v>-616933</v>
      </c>
      <c r="CQ20" s="61">
        <f t="shared" si="50"/>
        <v>-328252</v>
      </c>
      <c r="CR20" s="61">
        <v>-945185</v>
      </c>
      <c r="CS20" s="61">
        <f t="shared" si="51"/>
        <v>-485681</v>
      </c>
      <c r="CT20" s="61">
        <v>-1430866</v>
      </c>
      <c r="CU20" s="61">
        <v>-693500</v>
      </c>
      <c r="CV20" s="61">
        <f t="shared" si="52"/>
        <v>-577096</v>
      </c>
      <c r="CW20" s="61">
        <v>-1270596</v>
      </c>
      <c r="CX20" s="61">
        <f t="shared" si="53"/>
        <v>-707270</v>
      </c>
      <c r="CY20" s="61">
        <v>-1977866</v>
      </c>
      <c r="CZ20" s="61">
        <f t="shared" si="54"/>
        <v>-565905</v>
      </c>
      <c r="DA20" s="61">
        <v>-2543771</v>
      </c>
      <c r="DB20" s="61">
        <f>-743657+56380</f>
        <v>-687277</v>
      </c>
      <c r="DC20" s="61">
        <f t="shared" si="55"/>
        <v>-521123</v>
      </c>
      <c r="DD20" s="61">
        <f>-1208400</f>
        <v>-1208400</v>
      </c>
      <c r="DE20" s="61">
        <f t="shared" si="58"/>
        <v>-691434</v>
      </c>
      <c r="DF20" s="61">
        <v>-1899834</v>
      </c>
      <c r="DG20" s="61">
        <f t="shared" si="57"/>
        <v>-774909</v>
      </c>
      <c r="DH20" s="61">
        <v>-2674743</v>
      </c>
      <c r="DI20" s="61">
        <f>-781304</f>
        <v>-781304</v>
      </c>
      <c r="DJ20" s="61">
        <v>-1392258</v>
      </c>
      <c r="DK20" s="61">
        <f t="shared" si="11"/>
        <v>-2173562</v>
      </c>
    </row>
    <row r="21" spans="1:117" ht="10.5" x14ac:dyDescent="0.25">
      <c r="A21" s="56"/>
      <c r="B21" s="57"/>
      <c r="C21" s="161" t="s">
        <v>326</v>
      </c>
      <c r="D21" s="58"/>
      <c r="E21" s="59"/>
      <c r="F21" s="59"/>
      <c r="G21" s="59"/>
      <c r="H21" s="60">
        <v>-14986</v>
      </c>
      <c r="I21" s="61">
        <v>-1496</v>
      </c>
      <c r="J21" s="61">
        <f t="shared" si="26"/>
        <v>-16482</v>
      </c>
      <c r="K21" s="61">
        <f t="shared" si="27"/>
        <v>2912</v>
      </c>
      <c r="L21" s="61">
        <v>-13570</v>
      </c>
      <c r="M21" s="61">
        <f t="shared" si="28"/>
        <v>9951</v>
      </c>
      <c r="N21" s="61">
        <v>-3619</v>
      </c>
      <c r="O21" s="61">
        <v>-24655</v>
      </c>
      <c r="P21" s="61">
        <v>-7890</v>
      </c>
      <c r="Q21" s="61">
        <f t="shared" si="29"/>
        <v>-32545</v>
      </c>
      <c r="R21" s="61">
        <v>-18687</v>
      </c>
      <c r="S21" s="61">
        <f t="shared" si="30"/>
        <v>-51232</v>
      </c>
      <c r="T21" s="61">
        <v>-44205</v>
      </c>
      <c r="U21" s="61">
        <f t="shared" si="31"/>
        <v>-95437</v>
      </c>
      <c r="V21" s="61">
        <v>-42923</v>
      </c>
      <c r="W21" s="61">
        <v>-34668</v>
      </c>
      <c r="X21" s="61">
        <f t="shared" si="32"/>
        <v>-77591</v>
      </c>
      <c r="Y21" s="61">
        <v>-42093</v>
      </c>
      <c r="Z21" s="61">
        <f t="shared" si="33"/>
        <v>-119684</v>
      </c>
      <c r="AA21" s="61">
        <v>-55819</v>
      </c>
      <c r="AB21" s="61">
        <f t="shared" si="34"/>
        <v>-175503</v>
      </c>
      <c r="AC21" s="61">
        <v>-65929</v>
      </c>
      <c r="AD21" s="61">
        <f t="shared" si="12"/>
        <v>-56626</v>
      </c>
      <c r="AE21" s="61">
        <v>-122555</v>
      </c>
      <c r="AF21" s="61">
        <f t="shared" si="13"/>
        <v>-27345</v>
      </c>
      <c r="AG21" s="62">
        <v>-149900</v>
      </c>
      <c r="AH21" s="61">
        <f t="shared" si="35"/>
        <v>-31551</v>
      </c>
      <c r="AI21" s="62">
        <v>-181451</v>
      </c>
      <c r="AJ21" s="61">
        <v>-28629</v>
      </c>
      <c r="AK21" s="61">
        <f>-25572+28629</f>
        <v>3057</v>
      </c>
      <c r="AL21" s="61">
        <f t="shared" si="14"/>
        <v>-25572</v>
      </c>
      <c r="AM21" s="61">
        <f>-51855+25572</f>
        <v>-26283</v>
      </c>
      <c r="AN21" s="61">
        <f t="shared" si="15"/>
        <v>-51855</v>
      </c>
      <c r="AO21" s="61">
        <f>-114026+51855</f>
        <v>-62171</v>
      </c>
      <c r="AP21" s="61">
        <f t="shared" si="15"/>
        <v>-114026</v>
      </c>
      <c r="AQ21" s="61">
        <v>-68521</v>
      </c>
      <c r="AR21" s="61">
        <v>-60577</v>
      </c>
      <c r="AS21" s="61">
        <v>-129098</v>
      </c>
      <c r="AT21" s="61">
        <v>-30830</v>
      </c>
      <c r="AU21" s="61">
        <v>-159928</v>
      </c>
      <c r="AV21" s="61">
        <v>-32670</v>
      </c>
      <c r="AW21" s="61">
        <f t="shared" si="16"/>
        <v>-192598</v>
      </c>
      <c r="AX21" s="61">
        <v>-41721</v>
      </c>
      <c r="AY21" s="61">
        <f t="shared" si="7"/>
        <v>-63284</v>
      </c>
      <c r="AZ21" s="61">
        <v>-105005</v>
      </c>
      <c r="BA21" s="61">
        <f t="shared" si="8"/>
        <v>-40892</v>
      </c>
      <c r="BB21" s="61">
        <v>-145897</v>
      </c>
      <c r="BC21" s="61">
        <f t="shared" si="8"/>
        <v>-81373</v>
      </c>
      <c r="BD21" s="61">
        <v>-227270</v>
      </c>
      <c r="BE21" s="61">
        <v>-86762</v>
      </c>
      <c r="BF21" s="61">
        <f>-94209-BE21</f>
        <v>-7447</v>
      </c>
      <c r="BG21" s="61">
        <f t="shared" si="36"/>
        <v>-94209</v>
      </c>
      <c r="BH21" s="61">
        <f t="shared" si="17"/>
        <v>11970</v>
      </c>
      <c r="BI21" s="61">
        <v>-82239</v>
      </c>
      <c r="BJ21" s="61">
        <f t="shared" si="17"/>
        <v>-2693</v>
      </c>
      <c r="BK21" s="61">
        <v>-84932</v>
      </c>
      <c r="BL21" s="61">
        <v>-70795</v>
      </c>
      <c r="BM21" s="61">
        <f t="shared" si="37"/>
        <v>-40616</v>
      </c>
      <c r="BN21" s="61">
        <v>-111411</v>
      </c>
      <c r="BO21" s="61">
        <f t="shared" si="38"/>
        <v>-76532</v>
      </c>
      <c r="BP21" s="61">
        <v>-187943</v>
      </c>
      <c r="BQ21" s="61">
        <f t="shared" si="39"/>
        <v>-139357</v>
      </c>
      <c r="BR21" s="61">
        <v>-327300</v>
      </c>
      <c r="BS21" s="61">
        <v>-106565</v>
      </c>
      <c r="BT21" s="61">
        <f t="shared" si="40"/>
        <v>-156072</v>
      </c>
      <c r="BU21" s="61">
        <v>-262637</v>
      </c>
      <c r="BV21" s="61">
        <f t="shared" si="41"/>
        <v>-121994</v>
      </c>
      <c r="BW21" s="61">
        <v>-384631</v>
      </c>
      <c r="BX21" s="61">
        <f t="shared" si="42"/>
        <v>-234645</v>
      </c>
      <c r="BY21" s="61">
        <v>-619276</v>
      </c>
      <c r="BZ21" s="61">
        <v>-160447</v>
      </c>
      <c r="CA21" s="61">
        <f t="shared" si="43"/>
        <v>-125736</v>
      </c>
      <c r="CB21" s="61">
        <v>-286183</v>
      </c>
      <c r="CC21" s="61">
        <f t="shared" si="44"/>
        <v>-113055</v>
      </c>
      <c r="CD21" s="61">
        <v>-399238</v>
      </c>
      <c r="CE21" s="61">
        <f t="shared" si="45"/>
        <v>-125028</v>
      </c>
      <c r="CF21" s="61">
        <v>-524266</v>
      </c>
      <c r="CG21" s="61">
        <v>-186375</v>
      </c>
      <c r="CH21" s="61">
        <f t="shared" si="46"/>
        <v>-195521</v>
      </c>
      <c r="CI21" s="61">
        <v>-381896</v>
      </c>
      <c r="CJ21" s="61">
        <f t="shared" si="47"/>
        <v>-183437</v>
      </c>
      <c r="CK21" s="61">
        <v>-565333</v>
      </c>
      <c r="CL21" s="61">
        <f t="shared" si="48"/>
        <v>-185663</v>
      </c>
      <c r="CM21" s="61">
        <v>-750996</v>
      </c>
      <c r="CN21" s="61">
        <v>-355933</v>
      </c>
      <c r="CO21" s="61">
        <f t="shared" si="49"/>
        <v>-369275</v>
      </c>
      <c r="CP21" s="61">
        <v>-725208</v>
      </c>
      <c r="CQ21" s="61">
        <f t="shared" si="50"/>
        <v>-251113</v>
      </c>
      <c r="CR21" s="61">
        <v>-976321</v>
      </c>
      <c r="CS21" s="61">
        <f t="shared" si="51"/>
        <v>-449113</v>
      </c>
      <c r="CT21" s="61">
        <v>-1425434</v>
      </c>
      <c r="CU21" s="61">
        <v>-896185</v>
      </c>
      <c r="CV21" s="61">
        <f t="shared" si="52"/>
        <v>-619253</v>
      </c>
      <c r="CW21" s="61">
        <v>-1515438</v>
      </c>
      <c r="CX21" s="61">
        <f t="shared" si="53"/>
        <v>-256376</v>
      </c>
      <c r="CY21" s="61">
        <v>-1771814</v>
      </c>
      <c r="CZ21" s="61">
        <f t="shared" si="54"/>
        <v>-465867</v>
      </c>
      <c r="DA21" s="61">
        <v>-2237681</v>
      </c>
      <c r="DB21" s="61">
        <v>-683038</v>
      </c>
      <c r="DC21" s="61">
        <f t="shared" si="55"/>
        <v>-471430</v>
      </c>
      <c r="DD21" s="61">
        <v>-1154468</v>
      </c>
      <c r="DE21" s="61">
        <f t="shared" si="58"/>
        <v>-326218</v>
      </c>
      <c r="DF21" s="61">
        <v>-1480686</v>
      </c>
      <c r="DG21" s="61">
        <f t="shared" si="57"/>
        <v>-605973</v>
      </c>
      <c r="DH21" s="61">
        <v>-2086659</v>
      </c>
      <c r="DI21" s="61">
        <v>-104012</v>
      </c>
      <c r="DJ21" s="61">
        <v>-307495</v>
      </c>
      <c r="DK21" s="61">
        <f t="shared" si="11"/>
        <v>-411507</v>
      </c>
    </row>
    <row r="22" spans="1:117" ht="10.5" x14ac:dyDescent="0.25">
      <c r="A22" s="63" t="s">
        <v>327</v>
      </c>
      <c r="B22" s="64"/>
      <c r="C22" s="64"/>
      <c r="D22" s="65"/>
      <c r="E22" s="66"/>
      <c r="F22" s="66"/>
      <c r="G22" s="66"/>
      <c r="H22" s="67">
        <f t="shared" ref="H22:AJ22" si="60">H8+H15</f>
        <v>117689</v>
      </c>
      <c r="I22" s="68">
        <f t="shared" si="60"/>
        <v>13821</v>
      </c>
      <c r="J22" s="68">
        <f t="shared" si="60"/>
        <v>131510</v>
      </c>
      <c r="K22" s="68">
        <f t="shared" si="60"/>
        <v>-21420</v>
      </c>
      <c r="L22" s="68">
        <f t="shared" si="60"/>
        <v>110090</v>
      </c>
      <c r="M22" s="68">
        <f t="shared" si="60"/>
        <v>80810</v>
      </c>
      <c r="N22" s="68">
        <f t="shared" si="60"/>
        <v>190900</v>
      </c>
      <c r="O22" s="68">
        <f t="shared" si="60"/>
        <v>36325</v>
      </c>
      <c r="P22" s="68">
        <f t="shared" si="60"/>
        <v>109685</v>
      </c>
      <c r="Q22" s="68">
        <f t="shared" si="60"/>
        <v>146010</v>
      </c>
      <c r="R22" s="68">
        <f t="shared" si="60"/>
        <v>111562</v>
      </c>
      <c r="S22" s="68">
        <f t="shared" si="60"/>
        <v>257572</v>
      </c>
      <c r="T22" s="68">
        <f t="shared" si="60"/>
        <v>117000</v>
      </c>
      <c r="U22" s="68">
        <f t="shared" si="60"/>
        <v>374572</v>
      </c>
      <c r="V22" s="68">
        <f t="shared" si="60"/>
        <v>96571</v>
      </c>
      <c r="W22" s="68">
        <f t="shared" si="60"/>
        <v>96409</v>
      </c>
      <c r="X22" s="68">
        <f t="shared" si="60"/>
        <v>192980</v>
      </c>
      <c r="Y22" s="68">
        <f t="shared" si="60"/>
        <v>162870</v>
      </c>
      <c r="Z22" s="68">
        <f t="shared" si="60"/>
        <v>355850</v>
      </c>
      <c r="AA22" s="68">
        <f t="shared" si="60"/>
        <v>125956</v>
      </c>
      <c r="AB22" s="68">
        <f t="shared" si="60"/>
        <v>481806</v>
      </c>
      <c r="AC22" s="68">
        <f t="shared" si="60"/>
        <v>148123</v>
      </c>
      <c r="AD22" s="68">
        <f t="shared" si="60"/>
        <v>68817</v>
      </c>
      <c r="AE22" s="68">
        <f t="shared" si="60"/>
        <v>216940</v>
      </c>
      <c r="AF22" s="68">
        <f t="shared" si="60"/>
        <v>156206</v>
      </c>
      <c r="AG22" s="69">
        <f t="shared" si="60"/>
        <v>373146</v>
      </c>
      <c r="AH22" s="68">
        <f t="shared" si="60"/>
        <v>158666</v>
      </c>
      <c r="AI22" s="69">
        <f t="shared" si="60"/>
        <v>531812</v>
      </c>
      <c r="AJ22" s="68">
        <f t="shared" si="60"/>
        <v>156635</v>
      </c>
      <c r="AK22" s="68">
        <f t="shared" ref="AK22:AP22" si="61">AK8+AK15</f>
        <v>188821</v>
      </c>
      <c r="AL22" s="68">
        <f t="shared" si="61"/>
        <v>345456</v>
      </c>
      <c r="AM22" s="68">
        <f t="shared" si="61"/>
        <v>141592</v>
      </c>
      <c r="AN22" s="68">
        <f t="shared" si="61"/>
        <v>487048</v>
      </c>
      <c r="AO22" s="68">
        <f t="shared" si="61"/>
        <v>142017</v>
      </c>
      <c r="AP22" s="68">
        <f t="shared" si="61"/>
        <v>629065</v>
      </c>
      <c r="AQ22" s="68">
        <f t="shared" ref="AQ22:AX22" si="62">AQ8+AQ15</f>
        <v>189649</v>
      </c>
      <c r="AR22" s="68">
        <f t="shared" si="62"/>
        <v>165486</v>
      </c>
      <c r="AS22" s="68">
        <f t="shared" si="62"/>
        <v>355135</v>
      </c>
      <c r="AT22" s="68">
        <f t="shared" si="62"/>
        <v>125308</v>
      </c>
      <c r="AU22" s="68">
        <f t="shared" si="62"/>
        <v>480443</v>
      </c>
      <c r="AV22" s="68">
        <f t="shared" si="62"/>
        <v>188208</v>
      </c>
      <c r="AW22" s="68">
        <f t="shared" si="62"/>
        <v>668651</v>
      </c>
      <c r="AX22" s="68">
        <f t="shared" si="62"/>
        <v>224716</v>
      </c>
      <c r="AY22" s="68">
        <f t="shared" si="7"/>
        <v>263647</v>
      </c>
      <c r="AZ22" s="68">
        <f>AZ8+AZ15</f>
        <v>488363</v>
      </c>
      <c r="BA22" s="68">
        <f t="shared" si="8"/>
        <v>189039</v>
      </c>
      <c r="BB22" s="68">
        <f>BB8+BB15</f>
        <v>677402</v>
      </c>
      <c r="BC22" s="68">
        <f t="shared" si="8"/>
        <v>313119</v>
      </c>
      <c r="BD22" s="68">
        <f>BD8+BD15</f>
        <v>990521</v>
      </c>
      <c r="BE22" s="68">
        <f>BE8+BE15</f>
        <v>190017</v>
      </c>
      <c r="BF22" s="68">
        <f>BF8+BF15</f>
        <v>84995</v>
      </c>
      <c r="BG22" s="68">
        <f t="shared" ref="BG22:CK22" si="63">BG8+BG15</f>
        <v>275012</v>
      </c>
      <c r="BH22" s="68">
        <f t="shared" si="63"/>
        <v>116814</v>
      </c>
      <c r="BI22" s="68">
        <f t="shared" si="63"/>
        <v>391826</v>
      </c>
      <c r="BJ22" s="68">
        <f>BJ8+BJ15</f>
        <v>260980</v>
      </c>
      <c r="BK22" s="68">
        <f t="shared" si="63"/>
        <v>652806</v>
      </c>
      <c r="BL22" s="68">
        <f t="shared" si="63"/>
        <v>195392</v>
      </c>
      <c r="BM22" s="68">
        <f>BM8+BM15</f>
        <v>260939</v>
      </c>
      <c r="BN22" s="68">
        <f t="shared" si="63"/>
        <v>456331</v>
      </c>
      <c r="BO22" s="68">
        <f>BO8+BO15</f>
        <v>290181</v>
      </c>
      <c r="BP22" s="68">
        <f t="shared" si="63"/>
        <v>746512</v>
      </c>
      <c r="BQ22" s="68">
        <f>BQ8+BQ15</f>
        <v>255511</v>
      </c>
      <c r="BR22" s="68">
        <f t="shared" si="63"/>
        <v>1002023</v>
      </c>
      <c r="BS22" s="68">
        <f t="shared" si="63"/>
        <v>336138</v>
      </c>
      <c r="BT22" s="68">
        <f>BT8+BT15</f>
        <v>396575</v>
      </c>
      <c r="BU22" s="68">
        <f t="shared" si="63"/>
        <v>732713</v>
      </c>
      <c r="BV22" s="68">
        <f>BV8+BV15</f>
        <v>211058</v>
      </c>
      <c r="BW22" s="68">
        <f t="shared" si="63"/>
        <v>943771</v>
      </c>
      <c r="BX22" s="68">
        <f>BX8+BX15</f>
        <v>289635</v>
      </c>
      <c r="BY22" s="68">
        <f t="shared" si="63"/>
        <v>1233406</v>
      </c>
      <c r="BZ22" s="68">
        <f t="shared" si="63"/>
        <v>331305</v>
      </c>
      <c r="CA22" s="68">
        <f>CA8+CA15</f>
        <v>478374</v>
      </c>
      <c r="CB22" s="68">
        <f t="shared" si="63"/>
        <v>809679</v>
      </c>
      <c r="CC22" s="68">
        <f>CC8+CC15</f>
        <v>77963</v>
      </c>
      <c r="CD22" s="68">
        <f t="shared" si="63"/>
        <v>887642</v>
      </c>
      <c r="CE22" s="68">
        <f>CE8+CE15</f>
        <v>309356</v>
      </c>
      <c r="CF22" s="68">
        <f t="shared" si="63"/>
        <v>1196998</v>
      </c>
      <c r="CG22" s="68">
        <f t="shared" si="63"/>
        <v>437987</v>
      </c>
      <c r="CH22" s="68">
        <f>CH8+CH15</f>
        <v>556347</v>
      </c>
      <c r="CI22" s="68">
        <f t="shared" si="63"/>
        <v>994334</v>
      </c>
      <c r="CJ22" s="68">
        <f>CJ8+CJ15</f>
        <v>284053</v>
      </c>
      <c r="CK22" s="68">
        <f t="shared" si="63"/>
        <v>1278387</v>
      </c>
      <c r="CL22" s="68">
        <f>CL8+CL15</f>
        <v>637173</v>
      </c>
      <c r="CM22" s="68">
        <f>CM8+CM15</f>
        <v>1915560</v>
      </c>
      <c r="CN22" s="68">
        <f>CN8+CN15</f>
        <v>891251</v>
      </c>
      <c r="CO22" s="68">
        <f>CO8+CO15</f>
        <v>1005781</v>
      </c>
      <c r="CP22" s="68">
        <f t="shared" ref="CP22:CR22" si="64">CP8+CP15</f>
        <v>1897032</v>
      </c>
      <c r="CQ22" s="68">
        <f>CQ8+CQ15</f>
        <v>571130</v>
      </c>
      <c r="CR22" s="68">
        <f t="shared" si="64"/>
        <v>2468162</v>
      </c>
      <c r="CS22" s="68">
        <f>CS8+CS15</f>
        <v>1073956</v>
      </c>
      <c r="CT22" s="68">
        <f>CT8+CT15</f>
        <v>3542118</v>
      </c>
      <c r="CU22" s="68">
        <f>CU8+CU15</f>
        <v>1672822</v>
      </c>
      <c r="CV22" s="68">
        <f>CV8+CV15</f>
        <v>1008172</v>
      </c>
      <c r="CW22" s="68">
        <f t="shared" ref="CW22:DC22" si="65">CW8+CW15</f>
        <v>2680994</v>
      </c>
      <c r="CX22" s="68">
        <f t="shared" si="65"/>
        <v>304944</v>
      </c>
      <c r="CY22" s="68">
        <f t="shared" si="65"/>
        <v>2985938</v>
      </c>
      <c r="CZ22" s="68">
        <f t="shared" si="65"/>
        <v>1151114</v>
      </c>
      <c r="DA22" s="68">
        <f>DA8+DA15</f>
        <v>4137052</v>
      </c>
      <c r="DB22" s="68">
        <f t="shared" si="65"/>
        <v>1266320</v>
      </c>
      <c r="DC22" s="68">
        <f t="shared" si="65"/>
        <v>1201452</v>
      </c>
      <c r="DD22" s="68">
        <f>DD8+DD15</f>
        <v>2467772</v>
      </c>
      <c r="DE22" s="68">
        <f t="shared" ref="DE22" si="66">DE8+DE15</f>
        <v>419355</v>
      </c>
      <c r="DF22" s="68">
        <f>DF8+DF15</f>
        <v>2887127</v>
      </c>
      <c r="DG22" s="68">
        <f t="shared" ref="DG22" si="67">DG8+DG15</f>
        <v>300312</v>
      </c>
      <c r="DH22" s="68">
        <f>DH8+DH15</f>
        <v>3187439</v>
      </c>
      <c r="DI22" s="68">
        <f t="shared" ref="DI22" si="68">DI8+DI15</f>
        <v>809544</v>
      </c>
      <c r="DJ22" s="68">
        <f t="shared" ref="DJ22:DK22" si="69">DJ8+DJ15</f>
        <v>1738199</v>
      </c>
      <c r="DK22" s="68">
        <f t="shared" si="11"/>
        <v>2547743</v>
      </c>
    </row>
    <row r="23" spans="1:117" ht="10.5" x14ac:dyDescent="0.25">
      <c r="A23" s="63" t="s">
        <v>328</v>
      </c>
      <c r="B23" s="64"/>
      <c r="C23" s="64"/>
      <c r="D23" s="65"/>
      <c r="E23" s="66"/>
      <c r="F23" s="66"/>
      <c r="G23" s="66"/>
      <c r="H23" s="53">
        <f t="shared" ref="H23:AB23" si="70">H24+H25</f>
        <v>-9142</v>
      </c>
      <c r="I23" s="54">
        <f t="shared" si="70"/>
        <v>-17681</v>
      </c>
      <c r="J23" s="54">
        <f t="shared" si="70"/>
        <v>-26823</v>
      </c>
      <c r="K23" s="54">
        <f t="shared" si="70"/>
        <v>-19770</v>
      </c>
      <c r="L23" s="54">
        <f t="shared" si="70"/>
        <v>-46593</v>
      </c>
      <c r="M23" s="54">
        <f t="shared" si="70"/>
        <v>-12058</v>
      </c>
      <c r="N23" s="54">
        <f t="shared" si="70"/>
        <v>-58651</v>
      </c>
      <c r="O23" s="54">
        <f t="shared" si="70"/>
        <v>-13789</v>
      </c>
      <c r="P23" s="54">
        <f t="shared" si="70"/>
        <v>-18247</v>
      </c>
      <c r="Q23" s="54">
        <f t="shared" si="70"/>
        <v>-32036</v>
      </c>
      <c r="R23" s="54">
        <f t="shared" si="70"/>
        <v>-18965</v>
      </c>
      <c r="S23" s="54">
        <f t="shared" si="70"/>
        <v>-51001</v>
      </c>
      <c r="T23" s="54">
        <f t="shared" si="70"/>
        <v>-27296</v>
      </c>
      <c r="U23" s="54">
        <f t="shared" si="70"/>
        <v>-78297</v>
      </c>
      <c r="V23" s="54">
        <f t="shared" si="70"/>
        <v>-9465</v>
      </c>
      <c r="W23" s="54">
        <f t="shared" si="70"/>
        <v>-15648</v>
      </c>
      <c r="X23" s="54">
        <f t="shared" si="70"/>
        <v>-25113</v>
      </c>
      <c r="Y23" s="54">
        <f t="shared" si="70"/>
        <v>-18331</v>
      </c>
      <c r="Z23" s="54">
        <f t="shared" si="70"/>
        <v>-43444</v>
      </c>
      <c r="AA23" s="54">
        <f t="shared" si="70"/>
        <v>-25551</v>
      </c>
      <c r="AB23" s="54">
        <f t="shared" si="70"/>
        <v>-68995</v>
      </c>
      <c r="AC23" s="54">
        <f t="shared" ref="AC23:AJ23" si="71">AC24+AC25</f>
        <v>-21135</v>
      </c>
      <c r="AD23" s="54">
        <f t="shared" si="71"/>
        <v>-23158</v>
      </c>
      <c r="AE23" s="54">
        <f t="shared" si="71"/>
        <v>-44293</v>
      </c>
      <c r="AF23" s="54">
        <f t="shared" si="71"/>
        <v>-27675</v>
      </c>
      <c r="AG23" s="55">
        <f t="shared" si="71"/>
        <v>-71968</v>
      </c>
      <c r="AH23" s="54">
        <f t="shared" si="71"/>
        <v>-26098</v>
      </c>
      <c r="AI23" s="55">
        <f t="shared" si="71"/>
        <v>-98066</v>
      </c>
      <c r="AJ23" s="55">
        <f t="shared" si="71"/>
        <v>-19150</v>
      </c>
      <c r="AK23" s="55">
        <f t="shared" ref="AK23:AQ23" si="72">AK24+AK25</f>
        <v>-34075</v>
      </c>
      <c r="AL23" s="55">
        <f t="shared" si="72"/>
        <v>-53225</v>
      </c>
      <c r="AM23" s="55">
        <f t="shared" si="72"/>
        <v>-34121</v>
      </c>
      <c r="AN23" s="55">
        <f t="shared" si="72"/>
        <v>-87346</v>
      </c>
      <c r="AO23" s="55">
        <f t="shared" si="72"/>
        <v>-28171</v>
      </c>
      <c r="AP23" s="55">
        <f t="shared" si="72"/>
        <v>-115517</v>
      </c>
      <c r="AQ23" s="55">
        <f t="shared" si="72"/>
        <v>-17169</v>
      </c>
      <c r="AR23" s="55">
        <f t="shared" ref="AR23:AX23" si="73">AR24+AR25</f>
        <v>-32057</v>
      </c>
      <c r="AS23" s="55">
        <f t="shared" si="73"/>
        <v>-49226</v>
      </c>
      <c r="AT23" s="55">
        <f t="shared" si="73"/>
        <v>-27356</v>
      </c>
      <c r="AU23" s="55">
        <f t="shared" si="73"/>
        <v>-76582</v>
      </c>
      <c r="AV23" s="55">
        <f t="shared" si="73"/>
        <v>-23337</v>
      </c>
      <c r="AW23" s="55">
        <f t="shared" si="73"/>
        <v>-99919</v>
      </c>
      <c r="AX23" s="55">
        <f t="shared" si="73"/>
        <v>-17007</v>
      </c>
      <c r="AY23" s="55">
        <f t="shared" si="7"/>
        <v>-33235</v>
      </c>
      <c r="AZ23" s="55">
        <f>AZ24+AZ25</f>
        <v>-50242</v>
      </c>
      <c r="BA23" s="55">
        <f t="shared" si="8"/>
        <v>-24577</v>
      </c>
      <c r="BB23" s="55">
        <f>BB24+BB25</f>
        <v>-74819</v>
      </c>
      <c r="BC23" s="55">
        <f t="shared" si="8"/>
        <v>-31984</v>
      </c>
      <c r="BD23" s="55">
        <f>BD24+BD25</f>
        <v>-106803</v>
      </c>
      <c r="BE23" s="55">
        <f>BE24+BE25</f>
        <v>-20283</v>
      </c>
      <c r="BF23" s="55">
        <f>BF24+BF25</f>
        <v>-33175</v>
      </c>
      <c r="BG23" s="55">
        <f t="shared" ref="BG23:CK23" si="74">BG24+BG25</f>
        <v>-53458</v>
      </c>
      <c r="BH23" s="55">
        <f t="shared" si="74"/>
        <v>-23626</v>
      </c>
      <c r="BI23" s="55">
        <f t="shared" si="74"/>
        <v>-77084</v>
      </c>
      <c r="BJ23" s="55">
        <f>BJ24+BJ25</f>
        <v>-27158</v>
      </c>
      <c r="BK23" s="55">
        <f t="shared" si="74"/>
        <v>-104242</v>
      </c>
      <c r="BL23" s="55">
        <f t="shared" si="74"/>
        <v>-13233</v>
      </c>
      <c r="BM23" s="55">
        <f>BM24+BM25</f>
        <v>-24486</v>
      </c>
      <c r="BN23" s="55">
        <f t="shared" si="74"/>
        <v>-37719</v>
      </c>
      <c r="BO23" s="55">
        <f>BO24+BO25</f>
        <v>-27384</v>
      </c>
      <c r="BP23" s="55">
        <f t="shared" si="74"/>
        <v>-65103</v>
      </c>
      <c r="BQ23" s="55">
        <f>BQ24+BQ25</f>
        <v>-26403</v>
      </c>
      <c r="BR23" s="55">
        <f t="shared" si="74"/>
        <v>-91506</v>
      </c>
      <c r="BS23" s="55">
        <f t="shared" si="74"/>
        <v>-15045</v>
      </c>
      <c r="BT23" s="55">
        <f>BT24+BT25</f>
        <v>-25833</v>
      </c>
      <c r="BU23" s="55">
        <f t="shared" si="74"/>
        <v>-40878</v>
      </c>
      <c r="BV23" s="55">
        <f>BV24+BV25</f>
        <v>-23093</v>
      </c>
      <c r="BW23" s="55">
        <f t="shared" si="74"/>
        <v>-63971</v>
      </c>
      <c r="BX23" s="55">
        <f>BX24+BX25</f>
        <v>-47260</v>
      </c>
      <c r="BY23" s="55">
        <f t="shared" si="74"/>
        <v>-111231</v>
      </c>
      <c r="BZ23" s="55">
        <f t="shared" si="74"/>
        <v>-20336</v>
      </c>
      <c r="CA23" s="55">
        <f>CA24+CA25</f>
        <v>-21798</v>
      </c>
      <c r="CB23" s="55">
        <f t="shared" si="74"/>
        <v>-42134</v>
      </c>
      <c r="CC23" s="55">
        <f>CC24+CC25</f>
        <v>-33682</v>
      </c>
      <c r="CD23" s="55">
        <f t="shared" si="74"/>
        <v>-75816</v>
      </c>
      <c r="CE23" s="55">
        <f>CE24+CE25</f>
        <v>-103080</v>
      </c>
      <c r="CF23" s="55">
        <f t="shared" si="74"/>
        <v>-178896</v>
      </c>
      <c r="CG23" s="55">
        <f t="shared" si="74"/>
        <v>-25279</v>
      </c>
      <c r="CH23" s="55">
        <f>CH24+CH25</f>
        <v>-50125</v>
      </c>
      <c r="CI23" s="55">
        <f t="shared" si="74"/>
        <v>-75404</v>
      </c>
      <c r="CJ23" s="55">
        <f>CJ24+CJ25</f>
        <v>-59035</v>
      </c>
      <c r="CK23" s="55">
        <f t="shared" si="74"/>
        <v>-134439</v>
      </c>
      <c r="CL23" s="55">
        <f>CL24+CL25</f>
        <v>-58910</v>
      </c>
      <c r="CM23" s="55">
        <f>CM24+CM25</f>
        <v>-193349</v>
      </c>
      <c r="CN23" s="55">
        <f>CN24+CN25</f>
        <v>-43985</v>
      </c>
      <c r="CO23" s="55">
        <f>CO24+CO25</f>
        <v>-56954</v>
      </c>
      <c r="CP23" s="55">
        <f t="shared" ref="CP23:CR23" si="75">CP24+CP25</f>
        <v>-100939</v>
      </c>
      <c r="CQ23" s="55">
        <f>CQ24+CQ25</f>
        <v>-85471</v>
      </c>
      <c r="CR23" s="55">
        <f t="shared" si="75"/>
        <v>-186410</v>
      </c>
      <c r="CS23" s="55">
        <f>CS24+CS25</f>
        <v>-92747</v>
      </c>
      <c r="CT23" s="55">
        <f>CT24+CT25</f>
        <v>-279157</v>
      </c>
      <c r="CU23" s="55">
        <f>CU24+CU25</f>
        <v>-126692</v>
      </c>
      <c r="CV23" s="55">
        <f>CV24+CV25</f>
        <v>-104828</v>
      </c>
      <c r="CW23" s="55">
        <f t="shared" ref="CW23:DC23" si="76">CW24+CW25</f>
        <v>-231520</v>
      </c>
      <c r="CX23" s="55">
        <f t="shared" si="76"/>
        <v>-101670</v>
      </c>
      <c r="CY23" s="55">
        <f t="shared" si="76"/>
        <v>-333190</v>
      </c>
      <c r="CZ23" s="55">
        <f t="shared" si="76"/>
        <v>-155367</v>
      </c>
      <c r="DA23" s="55">
        <f t="shared" si="76"/>
        <v>-488557</v>
      </c>
      <c r="DB23" s="55">
        <f t="shared" si="76"/>
        <v>-121792</v>
      </c>
      <c r="DC23" s="55">
        <f t="shared" si="76"/>
        <v>-112351</v>
      </c>
      <c r="DD23" s="55">
        <f>DD24+DD25</f>
        <v>-234143</v>
      </c>
      <c r="DE23" s="55">
        <f t="shared" ref="DE23:DI23" si="77">DE24+DE25</f>
        <v>-134625</v>
      </c>
      <c r="DF23" s="55">
        <f t="shared" si="77"/>
        <v>-368768</v>
      </c>
      <c r="DG23" s="55">
        <f t="shared" si="77"/>
        <v>-150462</v>
      </c>
      <c r="DH23" s="55">
        <f t="shared" si="77"/>
        <v>-519230</v>
      </c>
      <c r="DI23" s="55">
        <f t="shared" si="77"/>
        <v>-132235</v>
      </c>
      <c r="DJ23" s="55">
        <f t="shared" ref="DJ23:DK23" si="78">DJ24+DJ25</f>
        <v>-262836</v>
      </c>
      <c r="DK23" s="55">
        <f t="shared" si="11"/>
        <v>-395071</v>
      </c>
    </row>
    <row r="24" spans="1:117" ht="10.5" x14ac:dyDescent="0.25">
      <c r="A24" s="56"/>
      <c r="B24" s="57"/>
      <c r="C24" s="57" t="s">
        <v>329</v>
      </c>
      <c r="D24" s="58"/>
      <c r="E24" s="59"/>
      <c r="F24" s="59"/>
      <c r="G24" s="59"/>
      <c r="H24" s="60">
        <v>-9142</v>
      </c>
      <c r="I24" s="61">
        <v>-17681</v>
      </c>
      <c r="J24" s="61">
        <f>H24+I24</f>
        <v>-26823</v>
      </c>
      <c r="K24" s="61">
        <f>L24-J24</f>
        <v>-19770</v>
      </c>
      <c r="L24" s="61">
        <v>-46593</v>
      </c>
      <c r="M24" s="61">
        <f>N24-L24</f>
        <v>-12058</v>
      </c>
      <c r="N24" s="61">
        <v>-58651</v>
      </c>
      <c r="O24" s="61">
        <v>-13789</v>
      </c>
      <c r="P24" s="61">
        <v>-18247</v>
      </c>
      <c r="Q24" s="61">
        <f>O24+P24</f>
        <v>-32036</v>
      </c>
      <c r="R24" s="61">
        <v>-18965</v>
      </c>
      <c r="S24" s="61">
        <f>Q24+R24</f>
        <v>-51001</v>
      </c>
      <c r="T24" s="61">
        <v>-27296</v>
      </c>
      <c r="U24" s="61">
        <f>S24+T24</f>
        <v>-78297</v>
      </c>
      <c r="V24" s="61">
        <v>-9465</v>
      </c>
      <c r="W24" s="61">
        <v>-15648</v>
      </c>
      <c r="X24" s="61">
        <f>V24+W24</f>
        <v>-25113</v>
      </c>
      <c r="Y24" s="61">
        <v>-18331</v>
      </c>
      <c r="Z24" s="61">
        <f>X24+Y24</f>
        <v>-43444</v>
      </c>
      <c r="AA24" s="61">
        <v>-25551</v>
      </c>
      <c r="AB24" s="61">
        <f>Z24+AA24</f>
        <v>-68995</v>
      </c>
      <c r="AC24" s="61">
        <v>-21135</v>
      </c>
      <c r="AD24" s="61">
        <f>AE24-AC24</f>
        <v>-23158</v>
      </c>
      <c r="AE24" s="61">
        <v>-44293</v>
      </c>
      <c r="AF24" s="61">
        <f>AG24-AE24</f>
        <v>-27675</v>
      </c>
      <c r="AG24" s="62">
        <v>-71968</v>
      </c>
      <c r="AH24" s="61">
        <f>AI24-AG24</f>
        <v>-26098</v>
      </c>
      <c r="AI24" s="62">
        <v>-98066</v>
      </c>
      <c r="AJ24" s="146">
        <v>-19150</v>
      </c>
      <c r="AK24" s="61">
        <f>-53225+19150</f>
        <v>-34075</v>
      </c>
      <c r="AL24" s="61">
        <f>SUM(AJ24:AK24)</f>
        <v>-53225</v>
      </c>
      <c r="AM24" s="61">
        <f>-87346+53225</f>
        <v>-34121</v>
      </c>
      <c r="AN24" s="61">
        <f>SUM(AL24:AM24)</f>
        <v>-87346</v>
      </c>
      <c r="AO24" s="61">
        <f>-115517+87346</f>
        <v>-28171</v>
      </c>
      <c r="AP24" s="61">
        <f>SUM(AN24:AO24)</f>
        <v>-115517</v>
      </c>
      <c r="AQ24" s="61">
        <v>-17169</v>
      </c>
      <c r="AR24" s="61">
        <v>-32057</v>
      </c>
      <c r="AS24" s="61">
        <v>-49226</v>
      </c>
      <c r="AT24" s="61">
        <v>-27356</v>
      </c>
      <c r="AU24" s="61">
        <v>-76582</v>
      </c>
      <c r="AV24" s="61">
        <v>-23337</v>
      </c>
      <c r="AW24" s="61">
        <f>SUM(AU24:AV24)</f>
        <v>-99919</v>
      </c>
      <c r="AX24" s="61">
        <v>-17007</v>
      </c>
      <c r="AY24" s="61">
        <f t="shared" si="7"/>
        <v>-33235</v>
      </c>
      <c r="AZ24" s="61">
        <v>-50242</v>
      </c>
      <c r="BA24" s="61">
        <f t="shared" si="8"/>
        <v>-24577</v>
      </c>
      <c r="BB24" s="61">
        <v>-74819</v>
      </c>
      <c r="BC24" s="61">
        <f t="shared" si="8"/>
        <v>-31984</v>
      </c>
      <c r="BD24" s="61">
        <v>-106803</v>
      </c>
      <c r="BE24" s="61">
        <v>-20283</v>
      </c>
      <c r="BF24" s="61">
        <f>-53458-BE24</f>
        <v>-33175</v>
      </c>
      <c r="BG24" s="61">
        <f>BE24+BF24</f>
        <v>-53458</v>
      </c>
      <c r="BH24" s="61">
        <f t="shared" ref="BH24:BJ25" si="79">BI24-BG24</f>
        <v>-23626</v>
      </c>
      <c r="BI24" s="61">
        <v>-77084</v>
      </c>
      <c r="BJ24" s="61">
        <f t="shared" si="79"/>
        <v>-27158</v>
      </c>
      <c r="BK24" s="61">
        <v>-104242</v>
      </c>
      <c r="BL24" s="61">
        <v>-13233</v>
      </c>
      <c r="BM24" s="61">
        <f>BN24-BL24</f>
        <v>-24486</v>
      </c>
      <c r="BN24" s="61">
        <v>-37719</v>
      </c>
      <c r="BO24" s="61">
        <f>BP24-BN24</f>
        <v>-27384</v>
      </c>
      <c r="BP24" s="61">
        <v>-65103</v>
      </c>
      <c r="BQ24" s="61">
        <f>BR24-BP24</f>
        <v>-26403</v>
      </c>
      <c r="BR24" s="61">
        <v>-91506</v>
      </c>
      <c r="BS24" s="61">
        <v>-15045</v>
      </c>
      <c r="BT24" s="61">
        <f>BU24-BS24</f>
        <v>-25833</v>
      </c>
      <c r="BU24" s="61">
        <v>-40878</v>
      </c>
      <c r="BV24" s="61">
        <f>BW24-BU24</f>
        <v>-23093</v>
      </c>
      <c r="BW24" s="61">
        <v>-63971</v>
      </c>
      <c r="BX24" s="61">
        <f>BY24-BW24</f>
        <v>-47260</v>
      </c>
      <c r="BY24" s="61">
        <v>-111231</v>
      </c>
      <c r="BZ24" s="61">
        <v>-20336</v>
      </c>
      <c r="CA24" s="61">
        <f>CB24-BZ24</f>
        <v>-21798</v>
      </c>
      <c r="CB24" s="61">
        <v>-42134</v>
      </c>
      <c r="CC24" s="61">
        <f>CD24-CB24</f>
        <v>-33682</v>
      </c>
      <c r="CD24" s="61">
        <v>-75816</v>
      </c>
      <c r="CE24" s="61">
        <f>CF24-CD24</f>
        <v>-29994</v>
      </c>
      <c r="CF24" s="61">
        <v>-105810</v>
      </c>
      <c r="CG24" s="61">
        <v>-19234</v>
      </c>
      <c r="CH24" s="61">
        <f>CI24-CG24</f>
        <v>-30257</v>
      </c>
      <c r="CI24" s="61">
        <v>-49491</v>
      </c>
      <c r="CJ24" s="61">
        <f>CK24-CI24</f>
        <v>-35491</v>
      </c>
      <c r="CK24" s="61">
        <v>-84982</v>
      </c>
      <c r="CL24" s="61">
        <f>CM24-CK24</f>
        <v>-34704</v>
      </c>
      <c r="CM24" s="61">
        <v>-119686</v>
      </c>
      <c r="CN24" s="61">
        <v>-25377</v>
      </c>
      <c r="CO24" s="61">
        <f>CP24-CN24</f>
        <v>-35380</v>
      </c>
      <c r="CP24" s="61">
        <v>-60757</v>
      </c>
      <c r="CQ24" s="61">
        <f>CR24-CP24</f>
        <v>-38798</v>
      </c>
      <c r="CR24" s="61">
        <v>-99555</v>
      </c>
      <c r="CS24" s="61">
        <f>CT24-CR24</f>
        <v>-46315</v>
      </c>
      <c r="CT24" s="61">
        <v>-145870</v>
      </c>
      <c r="CU24" s="61">
        <v>-50527</v>
      </c>
      <c r="CV24" s="61">
        <f>CW24-CU24</f>
        <v>-38850</v>
      </c>
      <c r="CW24" s="61">
        <v>-89377</v>
      </c>
      <c r="CX24" s="61">
        <f>CY24-CW24</f>
        <v>-35744</v>
      </c>
      <c r="CY24" s="61">
        <v>-125121</v>
      </c>
      <c r="CZ24" s="61">
        <f>DA24-CY24</f>
        <v>-52693</v>
      </c>
      <c r="DA24" s="61">
        <v>-177814</v>
      </c>
      <c r="DB24" s="61">
        <v>-48283</v>
      </c>
      <c r="DC24" s="61">
        <f>DD24-DB24</f>
        <v>-51904</v>
      </c>
      <c r="DD24" s="61">
        <v>-100187</v>
      </c>
      <c r="DE24" s="61">
        <f>DF24-DD24</f>
        <v>-57371</v>
      </c>
      <c r="DF24" s="61">
        <v>-157558</v>
      </c>
      <c r="DG24" s="61">
        <f>DH24-DF24</f>
        <v>-62130</v>
      </c>
      <c r="DH24" s="61">
        <v>-219688</v>
      </c>
      <c r="DI24" s="61">
        <v>-60263</v>
      </c>
      <c r="DJ24" s="61">
        <v>-125309</v>
      </c>
      <c r="DK24" s="61">
        <f t="shared" si="11"/>
        <v>-185572</v>
      </c>
    </row>
    <row r="25" spans="1:117" ht="10.5" x14ac:dyDescent="0.25">
      <c r="A25" s="56"/>
      <c r="B25" s="57"/>
      <c r="C25" s="57" t="s">
        <v>428</v>
      </c>
      <c r="D25" s="58"/>
      <c r="E25" s="59"/>
      <c r="F25" s="59"/>
      <c r="G25" s="59"/>
      <c r="H25" s="60">
        <v>0</v>
      </c>
      <c r="I25" s="61">
        <v>0</v>
      </c>
      <c r="J25" s="61">
        <f>H25+I25</f>
        <v>0</v>
      </c>
      <c r="K25" s="61">
        <f>L25-J25</f>
        <v>0</v>
      </c>
      <c r="L25" s="70">
        <v>0</v>
      </c>
      <c r="M25" s="61">
        <f>N25-L25</f>
        <v>0</v>
      </c>
      <c r="N25" s="61">
        <v>0</v>
      </c>
      <c r="O25" s="61">
        <v>0</v>
      </c>
      <c r="P25" s="61">
        <v>0</v>
      </c>
      <c r="Q25" s="61">
        <f>O25+P25</f>
        <v>0</v>
      </c>
      <c r="R25" s="61">
        <v>0</v>
      </c>
      <c r="S25" s="61">
        <f>Q25+R25</f>
        <v>0</v>
      </c>
      <c r="T25" s="61">
        <v>0</v>
      </c>
      <c r="U25" s="61">
        <f>S25+T25</f>
        <v>0</v>
      </c>
      <c r="V25" s="61">
        <v>0</v>
      </c>
      <c r="W25" s="61">
        <v>0</v>
      </c>
      <c r="X25" s="61">
        <f>V25+W25</f>
        <v>0</v>
      </c>
      <c r="Y25" s="61">
        <v>0</v>
      </c>
      <c r="Z25" s="61">
        <f>X25+Y25</f>
        <v>0</v>
      </c>
      <c r="AA25" s="61">
        <v>0</v>
      </c>
      <c r="AB25" s="61">
        <f>Z25+AA25</f>
        <v>0</v>
      </c>
      <c r="AC25" s="61">
        <v>0</v>
      </c>
      <c r="AD25" s="61">
        <f>AE25-AC25</f>
        <v>0</v>
      </c>
      <c r="AE25" s="61">
        <v>0</v>
      </c>
      <c r="AF25" s="61">
        <f>AG25-AE25</f>
        <v>0</v>
      </c>
      <c r="AG25" s="62">
        <v>0</v>
      </c>
      <c r="AH25" s="61">
        <f>AI25-AG25</f>
        <v>0</v>
      </c>
      <c r="AI25" s="62">
        <v>0</v>
      </c>
      <c r="AJ25" s="61">
        <f>AQ25-AI25</f>
        <v>0</v>
      </c>
      <c r="AK25" s="61">
        <v>0</v>
      </c>
      <c r="AL25" s="61">
        <f>SUM(AJ25:AK25)</f>
        <v>0</v>
      </c>
      <c r="AM25" s="61">
        <v>0</v>
      </c>
      <c r="AN25" s="61">
        <f>SUM(AL25:AM25)</f>
        <v>0</v>
      </c>
      <c r="AO25" s="61">
        <f>SUM(AM25:AN25)</f>
        <v>0</v>
      </c>
      <c r="AP25" s="61">
        <f>SUM(AN25:AO25)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f>SUM(AU25:AV25)</f>
        <v>0</v>
      </c>
      <c r="AX25" s="61">
        <v>0</v>
      </c>
      <c r="AY25" s="61">
        <f t="shared" si="7"/>
        <v>0</v>
      </c>
      <c r="AZ25" s="61">
        <v>0</v>
      </c>
      <c r="BA25" s="61">
        <f t="shared" si="8"/>
        <v>0</v>
      </c>
      <c r="BB25" s="61">
        <v>0</v>
      </c>
      <c r="BC25" s="61">
        <f t="shared" si="8"/>
        <v>0</v>
      </c>
      <c r="BD25" s="61">
        <v>0</v>
      </c>
      <c r="BE25" s="61">
        <v>0</v>
      </c>
      <c r="BF25" s="61">
        <v>0</v>
      </c>
      <c r="BG25" s="61">
        <f>BE25+BF25</f>
        <v>0</v>
      </c>
      <c r="BH25" s="61">
        <f t="shared" si="79"/>
        <v>0</v>
      </c>
      <c r="BI25" s="61">
        <v>0</v>
      </c>
      <c r="BJ25" s="61">
        <f t="shared" si="79"/>
        <v>0</v>
      </c>
      <c r="BK25" s="61">
        <v>0</v>
      </c>
      <c r="BL25" s="61">
        <v>0</v>
      </c>
      <c r="BM25" s="61">
        <f>BN25-BL25</f>
        <v>0</v>
      </c>
      <c r="BN25" s="61">
        <v>0</v>
      </c>
      <c r="BO25" s="61">
        <f>BP25-BN25</f>
        <v>0</v>
      </c>
      <c r="BP25" s="61">
        <v>0</v>
      </c>
      <c r="BQ25" s="61">
        <f>BR25-BP25</f>
        <v>0</v>
      </c>
      <c r="BR25" s="61">
        <v>0</v>
      </c>
      <c r="BS25" s="61">
        <v>0</v>
      </c>
      <c r="BT25" s="61">
        <f>BU25-BS25</f>
        <v>0</v>
      </c>
      <c r="BU25" s="61">
        <v>0</v>
      </c>
      <c r="BV25" s="61">
        <f>BW25-BU25</f>
        <v>0</v>
      </c>
      <c r="BW25" s="61">
        <v>0</v>
      </c>
      <c r="BX25" s="61">
        <f>BY25-BW25</f>
        <v>0</v>
      </c>
      <c r="BY25" s="61">
        <v>0</v>
      </c>
      <c r="BZ25" s="61">
        <v>0</v>
      </c>
      <c r="CA25" s="61">
        <f>CB25-BZ25</f>
        <v>0</v>
      </c>
      <c r="CB25" s="61">
        <v>0</v>
      </c>
      <c r="CC25" s="61">
        <f>CD25-CB25</f>
        <v>0</v>
      </c>
      <c r="CD25" s="61">
        <v>0</v>
      </c>
      <c r="CE25" s="61">
        <f>CF25-CD25</f>
        <v>-73086</v>
      </c>
      <c r="CF25" s="61">
        <v>-73086</v>
      </c>
      <c r="CG25" s="61">
        <v>-6045</v>
      </c>
      <c r="CH25" s="61">
        <f>CI25-CG25</f>
        <v>-19868</v>
      </c>
      <c r="CI25" s="61">
        <v>-25913</v>
      </c>
      <c r="CJ25" s="61">
        <f>CK25-CI25</f>
        <v>-23544</v>
      </c>
      <c r="CK25" s="61">
        <v>-49457</v>
      </c>
      <c r="CL25" s="61">
        <f>CM25-CK25</f>
        <v>-24206</v>
      </c>
      <c r="CM25" s="61">
        <v>-73663</v>
      </c>
      <c r="CN25" s="61">
        <v>-18608</v>
      </c>
      <c r="CO25" s="61">
        <f>CP25-CN25</f>
        <v>-21574</v>
      </c>
      <c r="CP25" s="61">
        <v>-40182</v>
      </c>
      <c r="CQ25" s="61">
        <f>CR25-CP25</f>
        <v>-46673</v>
      </c>
      <c r="CR25" s="61">
        <v>-86855</v>
      </c>
      <c r="CS25" s="61">
        <f>CT25-CR25</f>
        <v>-46432</v>
      </c>
      <c r="CT25" s="61">
        <v>-133287</v>
      </c>
      <c r="CU25" s="61">
        <v>-76165</v>
      </c>
      <c r="CV25" s="61">
        <f>CW25-CU25</f>
        <v>-65978</v>
      </c>
      <c r="CW25" s="61">
        <v>-142143</v>
      </c>
      <c r="CX25" s="61">
        <f>CY25-CW25</f>
        <v>-65926</v>
      </c>
      <c r="CY25" s="61">
        <v>-208069</v>
      </c>
      <c r="CZ25" s="61">
        <f>DA25-CY25</f>
        <v>-102674</v>
      </c>
      <c r="DA25" s="61">
        <v>-310743</v>
      </c>
      <c r="DB25" s="61">
        <v>-73509</v>
      </c>
      <c r="DC25" s="61">
        <f>DD25-DB25</f>
        <v>-60447</v>
      </c>
      <c r="DD25" s="61">
        <v>-133956</v>
      </c>
      <c r="DE25" s="61">
        <f>DF25-DD25</f>
        <v>-77254</v>
      </c>
      <c r="DF25" s="61">
        <v>-211210</v>
      </c>
      <c r="DG25" s="61">
        <f>DH25-DF25</f>
        <v>-88332</v>
      </c>
      <c r="DH25" s="61">
        <v>-299542</v>
      </c>
      <c r="DI25" s="61">
        <v>-71972</v>
      </c>
      <c r="DJ25" s="61">
        <v>-137527</v>
      </c>
      <c r="DK25" s="61">
        <f t="shared" si="11"/>
        <v>-209499</v>
      </c>
    </row>
    <row r="26" spans="1:117" ht="10.5" x14ac:dyDescent="0.25">
      <c r="A26" s="63" t="s">
        <v>330</v>
      </c>
      <c r="B26" s="64"/>
      <c r="C26" s="64"/>
      <c r="D26" s="65"/>
      <c r="E26" s="66"/>
      <c r="F26" s="66"/>
      <c r="G26" s="66"/>
      <c r="H26" s="71">
        <f t="shared" ref="H26:AB26" si="80">H22+H23</f>
        <v>108547</v>
      </c>
      <c r="I26" s="72">
        <f t="shared" si="80"/>
        <v>-3860</v>
      </c>
      <c r="J26" s="72">
        <f t="shared" si="80"/>
        <v>104687</v>
      </c>
      <c r="K26" s="72">
        <f t="shared" si="80"/>
        <v>-41190</v>
      </c>
      <c r="L26" s="72">
        <f t="shared" si="80"/>
        <v>63497</v>
      </c>
      <c r="M26" s="72">
        <f t="shared" si="80"/>
        <v>68752</v>
      </c>
      <c r="N26" s="72">
        <f t="shared" si="80"/>
        <v>132249</v>
      </c>
      <c r="O26" s="72">
        <f t="shared" si="80"/>
        <v>22536</v>
      </c>
      <c r="P26" s="72">
        <f t="shared" si="80"/>
        <v>91438</v>
      </c>
      <c r="Q26" s="72">
        <f t="shared" si="80"/>
        <v>113974</v>
      </c>
      <c r="R26" s="72">
        <f t="shared" si="80"/>
        <v>92597</v>
      </c>
      <c r="S26" s="72">
        <f t="shared" si="80"/>
        <v>206571</v>
      </c>
      <c r="T26" s="72">
        <f t="shared" si="80"/>
        <v>89704</v>
      </c>
      <c r="U26" s="72">
        <f t="shared" si="80"/>
        <v>296275</v>
      </c>
      <c r="V26" s="72">
        <f t="shared" si="80"/>
        <v>87106</v>
      </c>
      <c r="W26" s="72">
        <f t="shared" si="80"/>
        <v>80761</v>
      </c>
      <c r="X26" s="72">
        <f t="shared" si="80"/>
        <v>167867</v>
      </c>
      <c r="Y26" s="72">
        <f t="shared" si="80"/>
        <v>144539</v>
      </c>
      <c r="Z26" s="72">
        <f t="shared" si="80"/>
        <v>312406</v>
      </c>
      <c r="AA26" s="72">
        <f t="shared" si="80"/>
        <v>100405</v>
      </c>
      <c r="AB26" s="72">
        <f t="shared" si="80"/>
        <v>412811</v>
      </c>
      <c r="AC26" s="72">
        <f t="shared" ref="AC26:AI26" si="81">AC22+AC23</f>
        <v>126988</v>
      </c>
      <c r="AD26" s="72">
        <f t="shared" si="81"/>
        <v>45659</v>
      </c>
      <c r="AE26" s="72">
        <f t="shared" si="81"/>
        <v>172647</v>
      </c>
      <c r="AF26" s="72">
        <f t="shared" si="81"/>
        <v>128531</v>
      </c>
      <c r="AG26" s="73">
        <f t="shared" si="81"/>
        <v>301178</v>
      </c>
      <c r="AH26" s="72">
        <f t="shared" si="81"/>
        <v>132568</v>
      </c>
      <c r="AI26" s="73">
        <f t="shared" si="81"/>
        <v>433746</v>
      </c>
      <c r="AJ26" s="72">
        <f t="shared" ref="AJ26:AP26" si="82">AJ22+AJ23</f>
        <v>137485</v>
      </c>
      <c r="AK26" s="72">
        <f t="shared" si="82"/>
        <v>154746</v>
      </c>
      <c r="AL26" s="72">
        <f t="shared" si="82"/>
        <v>292231</v>
      </c>
      <c r="AM26" s="72">
        <f t="shared" si="82"/>
        <v>107471</v>
      </c>
      <c r="AN26" s="72">
        <f t="shared" si="82"/>
        <v>399702</v>
      </c>
      <c r="AO26" s="72">
        <f t="shared" si="82"/>
        <v>113846</v>
      </c>
      <c r="AP26" s="72">
        <f t="shared" si="82"/>
        <v>513548</v>
      </c>
      <c r="AQ26" s="72">
        <f t="shared" ref="AQ26:AX26" si="83">AQ22+AQ23</f>
        <v>172480</v>
      </c>
      <c r="AR26" s="72">
        <f t="shared" si="83"/>
        <v>133429</v>
      </c>
      <c r="AS26" s="72">
        <f t="shared" si="83"/>
        <v>305909</v>
      </c>
      <c r="AT26" s="72">
        <f t="shared" si="83"/>
        <v>97952</v>
      </c>
      <c r="AU26" s="72">
        <f t="shared" si="83"/>
        <v>403861</v>
      </c>
      <c r="AV26" s="72">
        <f t="shared" si="83"/>
        <v>164871</v>
      </c>
      <c r="AW26" s="72">
        <f t="shared" si="83"/>
        <v>568732</v>
      </c>
      <c r="AX26" s="72">
        <f t="shared" si="83"/>
        <v>207709</v>
      </c>
      <c r="AY26" s="72">
        <f t="shared" si="7"/>
        <v>230412</v>
      </c>
      <c r="AZ26" s="72">
        <f>AZ22+AZ23</f>
        <v>438121</v>
      </c>
      <c r="BA26" s="72">
        <f t="shared" si="8"/>
        <v>164462</v>
      </c>
      <c r="BB26" s="72">
        <f>BB22+BB23</f>
        <v>602583</v>
      </c>
      <c r="BC26" s="72">
        <f t="shared" si="8"/>
        <v>281135</v>
      </c>
      <c r="BD26" s="72">
        <f>BD22+BD23</f>
        <v>883718</v>
      </c>
      <c r="BE26" s="72">
        <f>BE22+BE23</f>
        <v>169734</v>
      </c>
      <c r="BF26" s="72">
        <f>BF22+BF23</f>
        <v>51820</v>
      </c>
      <c r="BG26" s="72">
        <f t="shared" ref="BG26:CK26" si="84">BG22+BG23</f>
        <v>221554</v>
      </c>
      <c r="BH26" s="72">
        <f t="shared" si="84"/>
        <v>93188</v>
      </c>
      <c r="BI26" s="72">
        <f t="shared" si="84"/>
        <v>314742</v>
      </c>
      <c r="BJ26" s="72">
        <f>BJ22+BJ23</f>
        <v>233822</v>
      </c>
      <c r="BK26" s="72">
        <f t="shared" si="84"/>
        <v>548564</v>
      </c>
      <c r="BL26" s="72">
        <f t="shared" si="84"/>
        <v>182159</v>
      </c>
      <c r="BM26" s="72">
        <f>BM22+BM23</f>
        <v>236453</v>
      </c>
      <c r="BN26" s="72">
        <f t="shared" si="84"/>
        <v>418612</v>
      </c>
      <c r="BO26" s="72">
        <f>BO22+BO23</f>
        <v>262797</v>
      </c>
      <c r="BP26" s="72">
        <f t="shared" si="84"/>
        <v>681409</v>
      </c>
      <c r="BQ26" s="72">
        <f>BQ22+BQ23</f>
        <v>229108</v>
      </c>
      <c r="BR26" s="72">
        <f t="shared" si="84"/>
        <v>910517</v>
      </c>
      <c r="BS26" s="72">
        <f t="shared" si="84"/>
        <v>321093</v>
      </c>
      <c r="BT26" s="72">
        <f>BT22+BT23</f>
        <v>370742</v>
      </c>
      <c r="BU26" s="72">
        <f t="shared" si="84"/>
        <v>691835</v>
      </c>
      <c r="BV26" s="72">
        <f>BV22+BV23</f>
        <v>187965</v>
      </c>
      <c r="BW26" s="72">
        <f t="shared" si="84"/>
        <v>879800</v>
      </c>
      <c r="BX26" s="72">
        <f>BX22+BX23</f>
        <v>242375</v>
      </c>
      <c r="BY26" s="72">
        <f t="shared" si="84"/>
        <v>1122175</v>
      </c>
      <c r="BZ26" s="72">
        <f t="shared" si="84"/>
        <v>310969</v>
      </c>
      <c r="CA26" s="72">
        <f>CA22+CA23</f>
        <v>456576</v>
      </c>
      <c r="CB26" s="72">
        <f t="shared" si="84"/>
        <v>767545</v>
      </c>
      <c r="CC26" s="72">
        <f>CC22+CC23</f>
        <v>44281</v>
      </c>
      <c r="CD26" s="72">
        <f t="shared" si="84"/>
        <v>811826</v>
      </c>
      <c r="CE26" s="72">
        <f>CE22+CE23</f>
        <v>206276</v>
      </c>
      <c r="CF26" s="72">
        <f t="shared" si="84"/>
        <v>1018102</v>
      </c>
      <c r="CG26" s="72">
        <f t="shared" si="84"/>
        <v>412708</v>
      </c>
      <c r="CH26" s="72">
        <f>CH22+CH23</f>
        <v>506222</v>
      </c>
      <c r="CI26" s="72">
        <f t="shared" si="84"/>
        <v>918930</v>
      </c>
      <c r="CJ26" s="72">
        <f>CJ22+CJ23</f>
        <v>225018</v>
      </c>
      <c r="CK26" s="72">
        <f t="shared" si="84"/>
        <v>1143948</v>
      </c>
      <c r="CL26" s="72">
        <f>CL22+CL23</f>
        <v>578263</v>
      </c>
      <c r="CM26" s="72">
        <f>CM22+CM23</f>
        <v>1722211</v>
      </c>
      <c r="CN26" s="72">
        <f>CN22+CN23</f>
        <v>847266</v>
      </c>
      <c r="CO26" s="72">
        <f>CO22+CO23</f>
        <v>948827</v>
      </c>
      <c r="CP26" s="72">
        <f t="shared" ref="CP26:CR26" si="85">CP22+CP23</f>
        <v>1796093</v>
      </c>
      <c r="CQ26" s="72">
        <f>CQ22+CQ23</f>
        <v>485659</v>
      </c>
      <c r="CR26" s="72">
        <f t="shared" si="85"/>
        <v>2281752</v>
      </c>
      <c r="CS26" s="72">
        <f>CS22+CS23</f>
        <v>981209</v>
      </c>
      <c r="CT26" s="72">
        <f>CT22+CT23</f>
        <v>3262961</v>
      </c>
      <c r="CU26" s="72">
        <f>CU22+CU23</f>
        <v>1546130</v>
      </c>
      <c r="CV26" s="72">
        <f>CV22+CV23</f>
        <v>903344</v>
      </c>
      <c r="CW26" s="72">
        <f t="shared" ref="CW26:DB26" si="86">CW22+CW23</f>
        <v>2449474</v>
      </c>
      <c r="CX26" s="72">
        <f t="shared" si="86"/>
        <v>203274</v>
      </c>
      <c r="CY26" s="72">
        <f t="shared" si="86"/>
        <v>2652748</v>
      </c>
      <c r="CZ26" s="72">
        <f t="shared" si="86"/>
        <v>995747</v>
      </c>
      <c r="DA26" s="72">
        <f t="shared" si="86"/>
        <v>3648495</v>
      </c>
      <c r="DB26" s="72">
        <f t="shared" si="86"/>
        <v>1144528</v>
      </c>
      <c r="DC26" s="72">
        <f>DC22+DC23</f>
        <v>1089101</v>
      </c>
      <c r="DD26" s="72">
        <f>DD22+DD23</f>
        <v>2233629</v>
      </c>
      <c r="DE26" s="72">
        <f>DE22+DE23</f>
        <v>284730</v>
      </c>
      <c r="DF26" s="72">
        <f>DF22+DF23</f>
        <v>2518359</v>
      </c>
      <c r="DG26" s="72">
        <f t="shared" ref="DG26:DI26" si="87">DG22+DG23</f>
        <v>149850</v>
      </c>
      <c r="DH26" s="72">
        <f t="shared" si="87"/>
        <v>2668209</v>
      </c>
      <c r="DI26" s="72">
        <f t="shared" si="87"/>
        <v>677309</v>
      </c>
      <c r="DJ26" s="72">
        <f t="shared" ref="DJ26:DK26" si="88">DJ22+DJ23</f>
        <v>1475363</v>
      </c>
      <c r="DK26" s="72">
        <f t="shared" si="11"/>
        <v>2152672</v>
      </c>
    </row>
    <row r="27" spans="1:117" ht="10.5" x14ac:dyDescent="0.25">
      <c r="A27" s="63" t="s">
        <v>331</v>
      </c>
      <c r="B27" s="64"/>
      <c r="C27" s="64"/>
      <c r="D27" s="65"/>
      <c r="E27" s="66"/>
      <c r="F27" s="66"/>
      <c r="G27" s="66"/>
      <c r="H27" s="74">
        <f t="shared" ref="H27:AB27" si="89">SUM(H28:H30)</f>
        <v>29525</v>
      </c>
      <c r="I27" s="75">
        <f t="shared" si="89"/>
        <v>66182</v>
      </c>
      <c r="J27" s="75">
        <f t="shared" si="89"/>
        <v>95707</v>
      </c>
      <c r="K27" s="75">
        <f t="shared" si="89"/>
        <v>38069</v>
      </c>
      <c r="L27" s="75">
        <f t="shared" si="89"/>
        <v>133776</v>
      </c>
      <c r="M27" s="75">
        <f t="shared" si="89"/>
        <v>23176</v>
      </c>
      <c r="N27" s="75">
        <f t="shared" si="89"/>
        <v>156952</v>
      </c>
      <c r="O27" s="75">
        <f t="shared" si="89"/>
        <v>35204</v>
      </c>
      <c r="P27" s="75">
        <f t="shared" si="89"/>
        <v>15401</v>
      </c>
      <c r="Q27" s="75">
        <f t="shared" si="89"/>
        <v>50605</v>
      </c>
      <c r="R27" s="75">
        <f t="shared" si="89"/>
        <v>26856</v>
      </c>
      <c r="S27" s="75">
        <f t="shared" si="89"/>
        <v>77461</v>
      </c>
      <c r="T27" s="75">
        <f t="shared" si="89"/>
        <v>38445</v>
      </c>
      <c r="U27" s="75">
        <f t="shared" si="89"/>
        <v>115906</v>
      </c>
      <c r="V27" s="75">
        <f t="shared" si="89"/>
        <v>34105</v>
      </c>
      <c r="W27" s="75">
        <f t="shared" si="89"/>
        <v>40363</v>
      </c>
      <c r="X27" s="75">
        <f t="shared" si="89"/>
        <v>74468</v>
      </c>
      <c r="Y27" s="75">
        <f t="shared" si="89"/>
        <v>28271</v>
      </c>
      <c r="Z27" s="75">
        <f t="shared" si="89"/>
        <v>102739</v>
      </c>
      <c r="AA27" s="75">
        <f t="shared" si="89"/>
        <v>44644</v>
      </c>
      <c r="AB27" s="75">
        <f t="shared" si="89"/>
        <v>147383</v>
      </c>
      <c r="AC27" s="75">
        <f t="shared" ref="AC27:AI27" si="90">SUM(AC28:AC30)</f>
        <v>32937</v>
      </c>
      <c r="AD27" s="75">
        <f t="shared" si="90"/>
        <v>32358</v>
      </c>
      <c r="AE27" s="75">
        <f t="shared" si="90"/>
        <v>65295</v>
      </c>
      <c r="AF27" s="75">
        <f t="shared" si="90"/>
        <v>22228</v>
      </c>
      <c r="AG27" s="76">
        <f t="shared" si="90"/>
        <v>87523</v>
      </c>
      <c r="AH27" s="75">
        <f t="shared" si="90"/>
        <v>35428</v>
      </c>
      <c r="AI27" s="76">
        <f t="shared" si="90"/>
        <v>122951</v>
      </c>
      <c r="AJ27" s="75">
        <f t="shared" ref="AJ27:AQ27" si="91">SUM(AJ28:AJ30)</f>
        <v>31745</v>
      </c>
      <c r="AK27" s="75">
        <f t="shared" si="91"/>
        <v>16345</v>
      </c>
      <c r="AL27" s="75">
        <f t="shared" si="91"/>
        <v>48090</v>
      </c>
      <c r="AM27" s="75">
        <f t="shared" si="91"/>
        <v>30177</v>
      </c>
      <c r="AN27" s="75">
        <f t="shared" si="91"/>
        <v>78267</v>
      </c>
      <c r="AO27" s="75">
        <f t="shared" si="91"/>
        <v>29613</v>
      </c>
      <c r="AP27" s="75">
        <f t="shared" si="91"/>
        <v>107880</v>
      </c>
      <c r="AQ27" s="75">
        <f t="shared" si="91"/>
        <v>34348</v>
      </c>
      <c r="AR27" s="75">
        <f t="shared" ref="AR27:AX27" si="92">SUM(AR28:AR30)</f>
        <v>26493</v>
      </c>
      <c r="AS27" s="75">
        <f t="shared" si="92"/>
        <v>60841</v>
      </c>
      <c r="AT27" s="75">
        <f t="shared" si="92"/>
        <v>39043</v>
      </c>
      <c r="AU27" s="75">
        <f t="shared" si="92"/>
        <v>99884</v>
      </c>
      <c r="AV27" s="75">
        <f t="shared" si="92"/>
        <v>39491</v>
      </c>
      <c r="AW27" s="75">
        <f t="shared" si="92"/>
        <v>139375</v>
      </c>
      <c r="AX27" s="75">
        <f t="shared" si="92"/>
        <v>108969</v>
      </c>
      <c r="AY27" s="75">
        <f t="shared" si="7"/>
        <v>94544</v>
      </c>
      <c r="AZ27" s="75">
        <f>SUM(AZ28:AZ30)</f>
        <v>203513</v>
      </c>
      <c r="BA27" s="75">
        <f t="shared" si="8"/>
        <v>105819</v>
      </c>
      <c r="BB27" s="75">
        <f>SUM(BB28:BB30)</f>
        <v>309332</v>
      </c>
      <c r="BC27" s="75">
        <f t="shared" si="8"/>
        <v>125313</v>
      </c>
      <c r="BD27" s="75">
        <f>SUM(BD28:BD30)</f>
        <v>434645</v>
      </c>
      <c r="BE27" s="75">
        <f>SUM(BE28:BE30)</f>
        <v>152616</v>
      </c>
      <c r="BF27" s="75">
        <f>SUM(BF28:BF30)</f>
        <v>116521</v>
      </c>
      <c r="BG27" s="75">
        <f t="shared" ref="BG27:CK27" si="93">SUM(BG28:BG30)</f>
        <v>269137</v>
      </c>
      <c r="BH27" s="75">
        <f t="shared" si="93"/>
        <v>37889</v>
      </c>
      <c r="BI27" s="75">
        <f t="shared" si="93"/>
        <v>307026</v>
      </c>
      <c r="BJ27" s="75">
        <f>SUM(BJ28:BJ30)</f>
        <v>102380</v>
      </c>
      <c r="BK27" s="75">
        <f t="shared" si="93"/>
        <v>409406</v>
      </c>
      <c r="BL27" s="75">
        <f t="shared" si="93"/>
        <v>121421</v>
      </c>
      <c r="BM27" s="75">
        <f>SUM(BM28:BM30)</f>
        <v>45605</v>
      </c>
      <c r="BN27" s="75">
        <f t="shared" si="93"/>
        <v>167026</v>
      </c>
      <c r="BO27" s="75">
        <f>SUM(BO28:BO30)</f>
        <v>-958</v>
      </c>
      <c r="BP27" s="75">
        <f t="shared" si="93"/>
        <v>166068</v>
      </c>
      <c r="BQ27" s="75">
        <f>SUM(BQ28:BQ30)</f>
        <v>141196</v>
      </c>
      <c r="BR27" s="75">
        <f t="shared" si="93"/>
        <v>307264</v>
      </c>
      <c r="BS27" s="75">
        <f t="shared" si="93"/>
        <v>51370</v>
      </c>
      <c r="BT27" s="75">
        <f>SUM(BT28:BT30)</f>
        <v>52964</v>
      </c>
      <c r="BU27" s="75">
        <f t="shared" si="93"/>
        <v>104334</v>
      </c>
      <c r="BV27" s="75">
        <f>SUM(BV28:BV30)</f>
        <v>89042</v>
      </c>
      <c r="BW27" s="75">
        <f t="shared" si="93"/>
        <v>193376</v>
      </c>
      <c r="BX27" s="75">
        <f>SUM(BX28:BX30)</f>
        <v>123998</v>
      </c>
      <c r="BY27" s="75">
        <f t="shared" si="93"/>
        <v>317374</v>
      </c>
      <c r="BZ27" s="75">
        <f t="shared" si="93"/>
        <v>51892</v>
      </c>
      <c r="CA27" s="75">
        <f>SUM(CA28:CA30)</f>
        <v>31421</v>
      </c>
      <c r="CB27" s="75">
        <f t="shared" si="93"/>
        <v>83313</v>
      </c>
      <c r="CC27" s="75">
        <f>SUM(CC28:CC30)</f>
        <v>45844</v>
      </c>
      <c r="CD27" s="75">
        <f t="shared" si="93"/>
        <v>129157</v>
      </c>
      <c r="CE27" s="75">
        <f>SUM(CE28:CE30)</f>
        <v>98015</v>
      </c>
      <c r="CF27" s="75">
        <f t="shared" si="93"/>
        <v>227172</v>
      </c>
      <c r="CG27" s="75">
        <f t="shared" si="93"/>
        <v>171215</v>
      </c>
      <c r="CH27" s="75">
        <f>SUM(CH28:CH30)</f>
        <v>81898</v>
      </c>
      <c r="CI27" s="75">
        <f t="shared" si="93"/>
        <v>253113</v>
      </c>
      <c r="CJ27" s="75">
        <f>SUM(CJ28:CJ30)</f>
        <v>67572</v>
      </c>
      <c r="CK27" s="75">
        <f t="shared" si="93"/>
        <v>320685</v>
      </c>
      <c r="CL27" s="75">
        <f>SUM(CL28:CL30)</f>
        <v>115193</v>
      </c>
      <c r="CM27" s="75">
        <f>SUM(CM28:CM30)</f>
        <v>435878</v>
      </c>
      <c r="CN27" s="75">
        <f>SUM(CN28:CN30)</f>
        <v>93757</v>
      </c>
      <c r="CO27" s="75">
        <f>SUM(CO28:CO30)</f>
        <v>102853</v>
      </c>
      <c r="CP27" s="75">
        <f t="shared" ref="CP27:CR27" si="94">SUM(CP28:CP30)</f>
        <v>196610</v>
      </c>
      <c r="CQ27" s="75">
        <f>SUM(CQ28:CQ30)</f>
        <v>398220</v>
      </c>
      <c r="CR27" s="75">
        <f t="shared" si="94"/>
        <v>594830</v>
      </c>
      <c r="CS27" s="75">
        <f>SUM(CS28:CS30)</f>
        <v>-90795</v>
      </c>
      <c r="CT27" s="75">
        <f>SUM(CT28:CT30)</f>
        <v>504035</v>
      </c>
      <c r="CU27" s="75">
        <f>SUM(CU28:CU30)</f>
        <v>330999</v>
      </c>
      <c r="CV27" s="75">
        <f>SUM(CV28:CV30)</f>
        <v>289097</v>
      </c>
      <c r="CW27" s="75">
        <f t="shared" ref="CW27:DC27" si="95">SUM(CW28:CW30)</f>
        <v>620096</v>
      </c>
      <c r="CX27" s="75">
        <f t="shared" si="95"/>
        <v>133238</v>
      </c>
      <c r="CY27" s="75">
        <f t="shared" si="95"/>
        <v>753334</v>
      </c>
      <c r="CZ27" s="75">
        <f t="shared" si="95"/>
        <v>147061</v>
      </c>
      <c r="DA27" s="75">
        <f t="shared" si="95"/>
        <v>900395</v>
      </c>
      <c r="DB27" s="75">
        <f t="shared" si="95"/>
        <v>288462</v>
      </c>
      <c r="DC27" s="75">
        <f t="shared" si="95"/>
        <v>23273</v>
      </c>
      <c r="DD27" s="75">
        <f>SUM(DD28:DD30)</f>
        <v>311735</v>
      </c>
      <c r="DE27" s="75">
        <f t="shared" ref="DE27:DI27" si="96">SUM(DE28:DE30)</f>
        <v>84382</v>
      </c>
      <c r="DF27" s="75">
        <f t="shared" si="96"/>
        <v>396117</v>
      </c>
      <c r="DG27" s="75">
        <f t="shared" si="96"/>
        <v>128751</v>
      </c>
      <c r="DH27" s="75">
        <f t="shared" si="96"/>
        <v>524868</v>
      </c>
      <c r="DI27" s="75">
        <f t="shared" si="96"/>
        <v>90550</v>
      </c>
      <c r="DJ27" s="75">
        <f t="shared" ref="DJ27:DK27" si="97">SUM(DJ28:DJ30)</f>
        <v>274691</v>
      </c>
      <c r="DK27" s="75">
        <f t="shared" si="11"/>
        <v>365241</v>
      </c>
    </row>
    <row r="28" spans="1:117" ht="10.5" x14ac:dyDescent="0.25">
      <c r="A28" s="56"/>
      <c r="B28" s="57"/>
      <c r="C28" s="57" t="s">
        <v>332</v>
      </c>
      <c r="D28" s="58"/>
      <c r="E28" s="59"/>
      <c r="F28" s="59"/>
      <c r="G28" s="59"/>
      <c r="H28" s="60">
        <v>0</v>
      </c>
      <c r="I28" s="61">
        <v>0</v>
      </c>
      <c r="J28" s="61">
        <f>H28+I28</f>
        <v>0</v>
      </c>
      <c r="K28" s="61">
        <f>L28-J28</f>
        <v>0</v>
      </c>
      <c r="L28" s="61">
        <v>0</v>
      </c>
      <c r="M28" s="61">
        <f>N28-L28</f>
        <v>0</v>
      </c>
      <c r="N28" s="61">
        <v>0</v>
      </c>
      <c r="O28" s="61">
        <v>0</v>
      </c>
      <c r="P28" s="61">
        <v>0</v>
      </c>
      <c r="Q28" s="61">
        <f>O28+P28</f>
        <v>0</v>
      </c>
      <c r="R28" s="61">
        <v>0</v>
      </c>
      <c r="S28" s="61">
        <f>Q28+R28</f>
        <v>0</v>
      </c>
      <c r="T28" s="61">
        <v>0</v>
      </c>
      <c r="U28" s="61">
        <v>0</v>
      </c>
      <c r="V28" s="61">
        <v>0</v>
      </c>
      <c r="W28" s="61">
        <v>0</v>
      </c>
      <c r="X28" s="61">
        <f>V28+W28</f>
        <v>0</v>
      </c>
      <c r="Y28" s="61">
        <v>0</v>
      </c>
      <c r="Z28" s="61">
        <f>X28+Y28</f>
        <v>0</v>
      </c>
      <c r="AA28" s="61">
        <v>0</v>
      </c>
      <c r="AB28" s="61">
        <f>Z28+AA28</f>
        <v>0</v>
      </c>
      <c r="AC28" s="61">
        <v>0</v>
      </c>
      <c r="AD28" s="61">
        <f>AE28-AC28</f>
        <v>0</v>
      </c>
      <c r="AE28" s="61">
        <v>0</v>
      </c>
      <c r="AF28" s="61">
        <f>AG28-AE28</f>
        <v>0</v>
      </c>
      <c r="AG28" s="62">
        <v>0</v>
      </c>
      <c r="AH28" s="61">
        <f>AI28-AG28</f>
        <v>0</v>
      </c>
      <c r="AI28" s="62">
        <v>0</v>
      </c>
      <c r="AJ28" s="61">
        <v>0</v>
      </c>
      <c r="AK28" s="61">
        <v>0</v>
      </c>
      <c r="AL28" s="61">
        <f>SUM(AJ28:AK28)</f>
        <v>0</v>
      </c>
      <c r="AM28" s="61">
        <v>0</v>
      </c>
      <c r="AN28" s="61">
        <f>SUM(AL28:AM28)</f>
        <v>0</v>
      </c>
      <c r="AO28" s="61">
        <f>SUM(AM28:AN28)</f>
        <v>0</v>
      </c>
      <c r="AP28" s="61">
        <f>SUM(AN28:AO28)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f>SUM(AU28:AV28)</f>
        <v>0</v>
      </c>
      <c r="AX28" s="61">
        <v>0</v>
      </c>
      <c r="AY28" s="61">
        <f t="shared" si="7"/>
        <v>0</v>
      </c>
      <c r="AZ28" s="61">
        <v>0</v>
      </c>
      <c r="BA28" s="61">
        <f t="shared" si="8"/>
        <v>0</v>
      </c>
      <c r="BB28" s="61">
        <v>0</v>
      </c>
      <c r="BC28" s="61">
        <f t="shared" si="8"/>
        <v>0</v>
      </c>
      <c r="BD28" s="61">
        <v>0</v>
      </c>
      <c r="BE28" s="61">
        <v>0</v>
      </c>
      <c r="BF28" s="61">
        <v>0</v>
      </c>
      <c r="BG28" s="61">
        <f>BE28+BF28</f>
        <v>0</v>
      </c>
      <c r="BH28" s="61">
        <v>0</v>
      </c>
      <c r="BI28" s="61">
        <v>0</v>
      </c>
      <c r="BJ28" s="61">
        <v>0</v>
      </c>
      <c r="BK28" s="61">
        <v>0</v>
      </c>
      <c r="BL28" s="61">
        <v>0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61">
        <v>0</v>
      </c>
      <c r="BW28" s="61">
        <v>0</v>
      </c>
      <c r="BX28" s="61">
        <v>0</v>
      </c>
      <c r="BY28" s="61">
        <v>0</v>
      </c>
      <c r="BZ28" s="61">
        <v>0</v>
      </c>
      <c r="CA28" s="61">
        <v>0</v>
      </c>
      <c r="CB28" s="61">
        <v>0</v>
      </c>
      <c r="CC28" s="61">
        <v>0</v>
      </c>
      <c r="CD28" s="61">
        <v>0</v>
      </c>
      <c r="CE28" s="61">
        <v>0</v>
      </c>
      <c r="CF28" s="61">
        <v>0</v>
      </c>
      <c r="CG28" s="61">
        <v>0</v>
      </c>
      <c r="CH28" s="61">
        <v>0</v>
      </c>
      <c r="CI28" s="61">
        <v>0</v>
      </c>
      <c r="CJ28" s="61">
        <v>0</v>
      </c>
      <c r="CK28" s="61">
        <v>0</v>
      </c>
      <c r="CL28" s="61">
        <v>0</v>
      </c>
      <c r="CM28" s="61">
        <v>0</v>
      </c>
      <c r="CN28" s="61">
        <v>0</v>
      </c>
      <c r="CO28" s="61">
        <v>0</v>
      </c>
      <c r="CP28" s="61">
        <v>0</v>
      </c>
      <c r="CQ28" s="61">
        <v>0</v>
      </c>
      <c r="CR28" s="61">
        <v>0</v>
      </c>
      <c r="CS28" s="61">
        <v>0</v>
      </c>
      <c r="CT28" s="61">
        <v>0</v>
      </c>
      <c r="CU28" s="61">
        <v>0</v>
      </c>
      <c r="CV28" s="61">
        <v>0</v>
      </c>
      <c r="CW28" s="61">
        <v>0</v>
      </c>
      <c r="CX28" s="61">
        <v>0</v>
      </c>
      <c r="CY28" s="61">
        <v>0</v>
      </c>
      <c r="CZ28" s="61">
        <v>0</v>
      </c>
      <c r="DA28" s="61">
        <v>0</v>
      </c>
      <c r="DB28" s="61">
        <v>0</v>
      </c>
      <c r="DC28" s="61">
        <v>0</v>
      </c>
      <c r="DD28" s="61">
        <v>0</v>
      </c>
      <c r="DE28" s="61">
        <v>0</v>
      </c>
      <c r="DF28" s="61">
        <v>0</v>
      </c>
      <c r="DG28" s="61">
        <v>0</v>
      </c>
      <c r="DH28" s="61">
        <v>0</v>
      </c>
      <c r="DI28" s="61">
        <v>0</v>
      </c>
      <c r="DJ28" s="61">
        <v>-9</v>
      </c>
      <c r="DK28" s="61">
        <f t="shared" si="11"/>
        <v>-9</v>
      </c>
    </row>
    <row r="29" spans="1:117" ht="10.5" x14ac:dyDescent="0.25">
      <c r="A29" s="56"/>
      <c r="B29" s="57"/>
      <c r="C29" s="57" t="s">
        <v>298</v>
      </c>
      <c r="D29" s="58"/>
      <c r="E29" s="59"/>
      <c r="F29" s="59"/>
      <c r="G29" s="59"/>
      <c r="H29" s="60">
        <v>29483</v>
      </c>
      <c r="I29" s="61">
        <v>66135</v>
      </c>
      <c r="J29" s="61">
        <f>H29+I29</f>
        <v>95618</v>
      </c>
      <c r="K29" s="61">
        <f>L29-J29</f>
        <v>38003</v>
      </c>
      <c r="L29" s="61">
        <v>133621</v>
      </c>
      <c r="M29" s="61">
        <f>N29-L29</f>
        <v>23137</v>
      </c>
      <c r="N29" s="61">
        <v>156758</v>
      </c>
      <c r="O29" s="61">
        <v>35160</v>
      </c>
      <c r="P29" s="61">
        <v>15358</v>
      </c>
      <c r="Q29" s="61">
        <f>O29+P29</f>
        <v>50518</v>
      </c>
      <c r="R29" s="61">
        <v>26804</v>
      </c>
      <c r="S29" s="61">
        <f>Q29+R29</f>
        <v>77322</v>
      </c>
      <c r="T29" s="61">
        <v>38370</v>
      </c>
      <c r="U29" s="61">
        <f>S29+T29</f>
        <v>115692</v>
      </c>
      <c r="V29" s="61">
        <v>34061</v>
      </c>
      <c r="W29" s="61">
        <v>40320</v>
      </c>
      <c r="X29" s="61">
        <f>V29+W29</f>
        <v>74381</v>
      </c>
      <c r="Y29" s="61">
        <v>28215</v>
      </c>
      <c r="Z29" s="61">
        <f>X29+Y29</f>
        <v>102596</v>
      </c>
      <c r="AA29" s="61">
        <v>44532</v>
      </c>
      <c r="AB29" s="61">
        <f>Z29+AA29</f>
        <v>147128</v>
      </c>
      <c r="AC29" s="61">
        <v>32888</v>
      </c>
      <c r="AD29" s="61">
        <f>AE29-AC29</f>
        <v>32309</v>
      </c>
      <c r="AE29" s="61">
        <v>65197</v>
      </c>
      <c r="AF29" s="61">
        <f>AG29-AE29</f>
        <v>22108</v>
      </c>
      <c r="AG29" s="62">
        <v>87305</v>
      </c>
      <c r="AH29" s="61">
        <f>AI29-AG29</f>
        <v>35381</v>
      </c>
      <c r="AI29" s="62">
        <v>122686</v>
      </c>
      <c r="AJ29" s="61">
        <v>31695</v>
      </c>
      <c r="AK29" s="61">
        <f>47762-31695</f>
        <v>16067</v>
      </c>
      <c r="AL29" s="61">
        <f>SUM(AJ29:AK29)</f>
        <v>47762</v>
      </c>
      <c r="AM29" s="61">
        <f>77818-47762</f>
        <v>30056</v>
      </c>
      <c r="AN29" s="61">
        <f>SUM(AL29:AM29)</f>
        <v>77818</v>
      </c>
      <c r="AO29" s="61">
        <f>107101-77818</f>
        <v>29283</v>
      </c>
      <c r="AP29" s="61">
        <f>SUM(AN29:AO29)</f>
        <v>107101</v>
      </c>
      <c r="AQ29" s="61">
        <v>34296</v>
      </c>
      <c r="AR29" s="61">
        <v>26409</v>
      </c>
      <c r="AS29" s="61">
        <v>60705</v>
      </c>
      <c r="AT29" s="61">
        <v>38920</v>
      </c>
      <c r="AU29" s="61">
        <v>99625</v>
      </c>
      <c r="AV29" s="61">
        <v>39387</v>
      </c>
      <c r="AW29" s="61">
        <f>SUM(AU29:AV29)</f>
        <v>139012</v>
      </c>
      <c r="AX29" s="61">
        <v>108724</v>
      </c>
      <c r="AY29" s="61">
        <f t="shared" si="7"/>
        <v>94449</v>
      </c>
      <c r="AZ29" s="61">
        <v>203173</v>
      </c>
      <c r="BA29" s="61">
        <f t="shared" si="8"/>
        <v>105586</v>
      </c>
      <c r="BB29" s="61">
        <v>308759</v>
      </c>
      <c r="BC29" s="61">
        <f t="shared" si="8"/>
        <v>125243</v>
      </c>
      <c r="BD29" s="61">
        <v>434002</v>
      </c>
      <c r="BE29" s="61">
        <v>152489</v>
      </c>
      <c r="BF29" s="61">
        <f>268917-BE29</f>
        <v>116428</v>
      </c>
      <c r="BG29" s="61">
        <f>BE29+BF29</f>
        <v>268917</v>
      </c>
      <c r="BH29" s="61">
        <f t="shared" ref="BH29:BJ30" si="98">BI29-BG29</f>
        <v>36092</v>
      </c>
      <c r="BI29" s="61">
        <v>305009</v>
      </c>
      <c r="BJ29" s="61">
        <f t="shared" si="98"/>
        <v>98350</v>
      </c>
      <c r="BK29" s="61">
        <v>403359</v>
      </c>
      <c r="BL29" s="61">
        <v>118402</v>
      </c>
      <c r="BM29" s="61">
        <f>BN29-BL29</f>
        <v>41853</v>
      </c>
      <c r="BN29" s="61">
        <v>160255</v>
      </c>
      <c r="BO29" s="61">
        <f>BP29-BN29</f>
        <v>-3864</v>
      </c>
      <c r="BP29" s="61">
        <v>156391</v>
      </c>
      <c r="BQ29" s="61">
        <f>BR29-BP29</f>
        <v>137944</v>
      </c>
      <c r="BR29" s="61">
        <v>294335</v>
      </c>
      <c r="BS29" s="61">
        <v>46551</v>
      </c>
      <c r="BT29" s="61">
        <f>BU29-BS29</f>
        <v>49030</v>
      </c>
      <c r="BU29" s="61">
        <v>95581</v>
      </c>
      <c r="BV29" s="61">
        <f>BW29-BU29</f>
        <v>82977</v>
      </c>
      <c r="BW29" s="61">
        <v>178558</v>
      </c>
      <c r="BX29" s="61">
        <f>BY29-BW29</f>
        <v>119904</v>
      </c>
      <c r="BY29" s="61">
        <v>298462</v>
      </c>
      <c r="BZ29" s="61">
        <v>47597</v>
      </c>
      <c r="CA29" s="61">
        <f>CB29-BZ29</f>
        <v>27346</v>
      </c>
      <c r="CB29" s="61">
        <v>74943</v>
      </c>
      <c r="CC29" s="61">
        <f>CD29-CB29</f>
        <v>40706</v>
      </c>
      <c r="CD29" s="61">
        <v>115649</v>
      </c>
      <c r="CE29" s="61">
        <f>CF29-CD29</f>
        <v>91709</v>
      </c>
      <c r="CF29" s="61">
        <v>207358</v>
      </c>
      <c r="CG29" s="61">
        <v>164773</v>
      </c>
      <c r="CH29" s="61">
        <f>CI29-CG29</f>
        <v>73252</v>
      </c>
      <c r="CI29" s="61">
        <v>238025</v>
      </c>
      <c r="CJ29" s="61">
        <f>CK29-CI29</f>
        <v>78241</v>
      </c>
      <c r="CK29" s="61">
        <v>316266</v>
      </c>
      <c r="CL29" s="61">
        <f>CM29-CK29</f>
        <v>113412</v>
      </c>
      <c r="CM29" s="61">
        <v>429678</v>
      </c>
      <c r="CN29" s="61">
        <v>92552</v>
      </c>
      <c r="CO29" s="61">
        <f>CP29-CN29</f>
        <v>100341</v>
      </c>
      <c r="CP29" s="61">
        <v>192893</v>
      </c>
      <c r="CQ29" s="61">
        <f>CR29-CP29</f>
        <v>395990</v>
      </c>
      <c r="CR29" s="61">
        <v>588883</v>
      </c>
      <c r="CS29" s="61">
        <f>CT29-CR29</f>
        <v>-94174</v>
      </c>
      <c r="CT29" s="61">
        <v>494709</v>
      </c>
      <c r="CU29" s="61">
        <v>328642</v>
      </c>
      <c r="CV29" s="61">
        <f>CW29-CU29</f>
        <v>285994</v>
      </c>
      <c r="CW29" s="61">
        <v>614636</v>
      </c>
      <c r="CX29" s="61">
        <f>CY29-CW29</f>
        <v>132417</v>
      </c>
      <c r="CY29" s="61">
        <v>747053</v>
      </c>
      <c r="CZ29" s="61">
        <f>DA29-CY29</f>
        <v>142173</v>
      </c>
      <c r="DA29" s="61">
        <v>889226</v>
      </c>
      <c r="DB29" s="61">
        <v>286716</v>
      </c>
      <c r="DC29" s="61">
        <f>DD29-DB29</f>
        <v>24692</v>
      </c>
      <c r="DD29" s="61">
        <v>311408</v>
      </c>
      <c r="DE29" s="61">
        <f>DF29-DD29</f>
        <v>84199</v>
      </c>
      <c r="DF29" s="61">
        <v>395607</v>
      </c>
      <c r="DG29" s="61">
        <f>DH29-DF29</f>
        <v>128575</v>
      </c>
      <c r="DH29" s="61">
        <v>524182</v>
      </c>
      <c r="DI29" s="61">
        <v>90365</v>
      </c>
      <c r="DJ29" s="61">
        <v>274344</v>
      </c>
      <c r="DK29" s="61">
        <f t="shared" si="11"/>
        <v>364709</v>
      </c>
    </row>
    <row r="30" spans="1:117" ht="10.5" x14ac:dyDescent="0.25">
      <c r="A30" s="56"/>
      <c r="B30" s="57"/>
      <c r="C30" s="57" t="s">
        <v>155</v>
      </c>
      <c r="D30" s="58"/>
      <c r="E30" s="59"/>
      <c r="F30" s="59"/>
      <c r="G30" s="59"/>
      <c r="H30" s="60">
        <v>42</v>
      </c>
      <c r="I30" s="61">
        <v>47</v>
      </c>
      <c r="J30" s="61">
        <f>H30+I30</f>
        <v>89</v>
      </c>
      <c r="K30" s="61">
        <f>L30-J30</f>
        <v>66</v>
      </c>
      <c r="L30" s="61">
        <v>155</v>
      </c>
      <c r="M30" s="61">
        <f>N30-L30</f>
        <v>39</v>
      </c>
      <c r="N30" s="61">
        <v>194</v>
      </c>
      <c r="O30" s="61">
        <v>44</v>
      </c>
      <c r="P30" s="61">
        <v>43</v>
      </c>
      <c r="Q30" s="61">
        <f>O30+P30</f>
        <v>87</v>
      </c>
      <c r="R30" s="61">
        <v>52</v>
      </c>
      <c r="S30" s="61">
        <f>Q30+R30</f>
        <v>139</v>
      </c>
      <c r="T30" s="61">
        <v>75</v>
      </c>
      <c r="U30" s="61">
        <f>S30+T30</f>
        <v>214</v>
      </c>
      <c r="V30" s="61">
        <v>44</v>
      </c>
      <c r="W30" s="61">
        <v>43</v>
      </c>
      <c r="X30" s="61">
        <f>V30+W30</f>
        <v>87</v>
      </c>
      <c r="Y30" s="61">
        <v>56</v>
      </c>
      <c r="Z30" s="61">
        <f>X30+Y30</f>
        <v>143</v>
      </c>
      <c r="AA30" s="61">
        <v>112</v>
      </c>
      <c r="AB30" s="61">
        <f>Z30+AA30</f>
        <v>255</v>
      </c>
      <c r="AC30" s="61">
        <v>49</v>
      </c>
      <c r="AD30" s="61">
        <f>AE30-AC30</f>
        <v>49</v>
      </c>
      <c r="AE30" s="61">
        <v>98</v>
      </c>
      <c r="AF30" s="61">
        <f>AG30-AE30</f>
        <v>120</v>
      </c>
      <c r="AG30" s="62">
        <v>218</v>
      </c>
      <c r="AH30" s="61">
        <f>AI30-AG30</f>
        <v>47</v>
      </c>
      <c r="AI30" s="62">
        <v>265</v>
      </c>
      <c r="AJ30" s="61">
        <v>50</v>
      </c>
      <c r="AK30" s="61">
        <f>328-50</f>
        <v>278</v>
      </c>
      <c r="AL30" s="61">
        <f>SUM(AJ30:AK30)</f>
        <v>328</v>
      </c>
      <c r="AM30" s="61">
        <f>449-328</f>
        <v>121</v>
      </c>
      <c r="AN30" s="61">
        <f>SUM(AL30:AM30)</f>
        <v>449</v>
      </c>
      <c r="AO30" s="61">
        <f>779-449</f>
        <v>330</v>
      </c>
      <c r="AP30" s="61">
        <f>SUM(AN30:AO30)</f>
        <v>779</v>
      </c>
      <c r="AQ30" s="61">
        <v>52</v>
      </c>
      <c r="AR30" s="61">
        <v>84</v>
      </c>
      <c r="AS30" s="61">
        <v>136</v>
      </c>
      <c r="AT30" s="61">
        <v>123</v>
      </c>
      <c r="AU30" s="61">
        <v>259</v>
      </c>
      <c r="AV30" s="61">
        <v>104</v>
      </c>
      <c r="AW30" s="61">
        <f>SUM(AU30:AV30)</f>
        <v>363</v>
      </c>
      <c r="AX30" s="61">
        <v>245</v>
      </c>
      <c r="AY30" s="61">
        <f t="shared" si="7"/>
        <v>95</v>
      </c>
      <c r="AZ30" s="61">
        <v>340</v>
      </c>
      <c r="BA30" s="61">
        <f t="shared" si="8"/>
        <v>233</v>
      </c>
      <c r="BB30" s="61">
        <v>573</v>
      </c>
      <c r="BC30" s="61">
        <f t="shared" si="8"/>
        <v>70</v>
      </c>
      <c r="BD30" s="61">
        <v>643</v>
      </c>
      <c r="BE30" s="61">
        <v>127</v>
      </c>
      <c r="BF30" s="61">
        <f>220-BE30</f>
        <v>93</v>
      </c>
      <c r="BG30" s="61">
        <f>BE30+BF30</f>
        <v>220</v>
      </c>
      <c r="BH30" s="61">
        <f t="shared" si="98"/>
        <v>1797</v>
      </c>
      <c r="BI30" s="61">
        <v>2017</v>
      </c>
      <c r="BJ30" s="61">
        <f t="shared" si="98"/>
        <v>4030</v>
      </c>
      <c r="BK30" s="61">
        <v>6047</v>
      </c>
      <c r="BL30" s="61">
        <v>3019</v>
      </c>
      <c r="BM30" s="61">
        <f>BN30-BL30</f>
        <v>3752</v>
      </c>
      <c r="BN30" s="61">
        <v>6771</v>
      </c>
      <c r="BO30" s="61">
        <f>BP30-BN30</f>
        <v>2906</v>
      </c>
      <c r="BP30" s="61">
        <v>9677</v>
      </c>
      <c r="BQ30" s="61">
        <f>BR30-BP30</f>
        <v>3252</v>
      </c>
      <c r="BR30" s="61">
        <v>12929</v>
      </c>
      <c r="BS30" s="61">
        <v>4819</v>
      </c>
      <c r="BT30" s="61">
        <f>BU30-BS30</f>
        <v>3934</v>
      </c>
      <c r="BU30" s="61">
        <v>8753</v>
      </c>
      <c r="BV30" s="61">
        <f>BW30-BU30</f>
        <v>6065</v>
      </c>
      <c r="BW30" s="61">
        <v>14818</v>
      </c>
      <c r="BX30" s="61">
        <f>BY30-BW30</f>
        <v>4094</v>
      </c>
      <c r="BY30" s="61">
        <v>18912</v>
      </c>
      <c r="BZ30" s="61">
        <v>4295</v>
      </c>
      <c r="CA30" s="61">
        <f>CB30-BZ30</f>
        <v>4075</v>
      </c>
      <c r="CB30" s="61">
        <v>8370</v>
      </c>
      <c r="CC30" s="61">
        <f>CD30-CB30</f>
        <v>5138</v>
      </c>
      <c r="CD30" s="61">
        <v>13508</v>
      </c>
      <c r="CE30" s="61">
        <f>CF30-CD30</f>
        <v>6306</v>
      </c>
      <c r="CF30" s="61">
        <v>19814</v>
      </c>
      <c r="CG30" s="61">
        <v>6442</v>
      </c>
      <c r="CH30" s="61">
        <f>CI30-CG30</f>
        <v>8646</v>
      </c>
      <c r="CI30" s="61">
        <v>15088</v>
      </c>
      <c r="CJ30" s="61">
        <f>CK30-CI30</f>
        <v>-10669</v>
      </c>
      <c r="CK30" s="61">
        <v>4419</v>
      </c>
      <c r="CL30" s="61">
        <f>CM30-CK30</f>
        <v>1781</v>
      </c>
      <c r="CM30" s="61">
        <v>6200</v>
      </c>
      <c r="CN30" s="61">
        <v>1205</v>
      </c>
      <c r="CO30" s="61">
        <f>CP30-CN30</f>
        <v>2512</v>
      </c>
      <c r="CP30" s="61">
        <v>3717</v>
      </c>
      <c r="CQ30" s="61">
        <f>CR30-CP30</f>
        <v>2230</v>
      </c>
      <c r="CR30" s="61">
        <v>5947</v>
      </c>
      <c r="CS30" s="61">
        <f>CT30-CR30</f>
        <v>3379</v>
      </c>
      <c r="CT30" s="61">
        <v>9326</v>
      </c>
      <c r="CU30" s="61">
        <v>2357</v>
      </c>
      <c r="CV30" s="61">
        <f>CW30-CU30</f>
        <v>3103</v>
      </c>
      <c r="CW30" s="61">
        <v>5460</v>
      </c>
      <c r="CX30" s="61">
        <f>CY30-CW30</f>
        <v>821</v>
      </c>
      <c r="CY30" s="61">
        <v>6281</v>
      </c>
      <c r="CZ30" s="61">
        <f>DA30-CY30</f>
        <v>4888</v>
      </c>
      <c r="DA30" s="61">
        <v>11169</v>
      </c>
      <c r="DB30" s="61">
        <v>1746</v>
      </c>
      <c r="DC30" s="61">
        <f>DD30-DB30</f>
        <v>-1419</v>
      </c>
      <c r="DD30" s="61">
        <v>327</v>
      </c>
      <c r="DE30" s="61">
        <f>DF30-DD30</f>
        <v>183</v>
      </c>
      <c r="DF30" s="61">
        <v>510</v>
      </c>
      <c r="DG30" s="61">
        <f>DH30-DF30</f>
        <v>176</v>
      </c>
      <c r="DH30" s="61">
        <v>686</v>
      </c>
      <c r="DI30" s="61">
        <v>185</v>
      </c>
      <c r="DJ30" s="61">
        <v>356</v>
      </c>
      <c r="DK30" s="61">
        <f t="shared" si="11"/>
        <v>541</v>
      </c>
    </row>
    <row r="31" spans="1:117" ht="10.5" x14ac:dyDescent="0.25">
      <c r="A31" s="63" t="s">
        <v>333</v>
      </c>
      <c r="B31" s="64"/>
      <c r="C31" s="64"/>
      <c r="D31" s="65"/>
      <c r="E31" s="66"/>
      <c r="F31" s="66"/>
      <c r="G31" s="66"/>
      <c r="H31" s="71">
        <f t="shared" ref="H31:AB31" si="99">H26+H27</f>
        <v>138072</v>
      </c>
      <c r="I31" s="72">
        <f t="shared" si="99"/>
        <v>62322</v>
      </c>
      <c r="J31" s="72">
        <f t="shared" si="99"/>
        <v>200394</v>
      </c>
      <c r="K31" s="72">
        <f t="shared" si="99"/>
        <v>-3121</v>
      </c>
      <c r="L31" s="72">
        <f t="shared" si="99"/>
        <v>197273</v>
      </c>
      <c r="M31" s="72">
        <f t="shared" si="99"/>
        <v>91928</v>
      </c>
      <c r="N31" s="72">
        <f t="shared" si="99"/>
        <v>289201</v>
      </c>
      <c r="O31" s="72">
        <f t="shared" si="99"/>
        <v>57740</v>
      </c>
      <c r="P31" s="72">
        <f t="shared" si="99"/>
        <v>106839</v>
      </c>
      <c r="Q31" s="72">
        <f t="shared" si="99"/>
        <v>164579</v>
      </c>
      <c r="R31" s="72">
        <f t="shared" si="99"/>
        <v>119453</v>
      </c>
      <c r="S31" s="72">
        <f t="shared" si="99"/>
        <v>284032</v>
      </c>
      <c r="T31" s="72">
        <f t="shared" si="99"/>
        <v>128149</v>
      </c>
      <c r="U31" s="72">
        <f t="shared" si="99"/>
        <v>412181</v>
      </c>
      <c r="V31" s="72">
        <f t="shared" si="99"/>
        <v>121211</v>
      </c>
      <c r="W31" s="72">
        <f t="shared" si="99"/>
        <v>121124</v>
      </c>
      <c r="X31" s="72">
        <f t="shared" si="99"/>
        <v>242335</v>
      </c>
      <c r="Y31" s="72">
        <f t="shared" si="99"/>
        <v>172810</v>
      </c>
      <c r="Z31" s="72">
        <f t="shared" si="99"/>
        <v>415145</v>
      </c>
      <c r="AA31" s="72">
        <f t="shared" si="99"/>
        <v>145049</v>
      </c>
      <c r="AB31" s="72">
        <f t="shared" si="99"/>
        <v>560194</v>
      </c>
      <c r="AC31" s="72">
        <f t="shared" ref="AC31:AI31" si="100">AC26+AC27</f>
        <v>159925</v>
      </c>
      <c r="AD31" s="72">
        <f t="shared" si="100"/>
        <v>78017</v>
      </c>
      <c r="AE31" s="72">
        <f t="shared" si="100"/>
        <v>237942</v>
      </c>
      <c r="AF31" s="72">
        <f t="shared" si="100"/>
        <v>150759</v>
      </c>
      <c r="AG31" s="73">
        <f t="shared" si="100"/>
        <v>388701</v>
      </c>
      <c r="AH31" s="72">
        <f t="shared" si="100"/>
        <v>167996</v>
      </c>
      <c r="AI31" s="73">
        <f t="shared" si="100"/>
        <v>556697</v>
      </c>
      <c r="AJ31" s="72">
        <f t="shared" ref="AJ31:AP31" si="101">AJ26+AJ27</f>
        <v>169230</v>
      </c>
      <c r="AK31" s="72">
        <f t="shared" si="101"/>
        <v>171091</v>
      </c>
      <c r="AL31" s="72">
        <f t="shared" si="101"/>
        <v>340321</v>
      </c>
      <c r="AM31" s="72">
        <f t="shared" si="101"/>
        <v>137648</v>
      </c>
      <c r="AN31" s="72">
        <f t="shared" si="101"/>
        <v>477969</v>
      </c>
      <c r="AO31" s="72">
        <f t="shared" si="101"/>
        <v>143459</v>
      </c>
      <c r="AP31" s="72">
        <f t="shared" si="101"/>
        <v>621428</v>
      </c>
      <c r="AQ31" s="72">
        <f t="shared" ref="AQ31:AX31" si="102">AQ26+AQ27</f>
        <v>206828</v>
      </c>
      <c r="AR31" s="72">
        <f t="shared" si="102"/>
        <v>159922</v>
      </c>
      <c r="AS31" s="72">
        <f t="shared" si="102"/>
        <v>366750</v>
      </c>
      <c r="AT31" s="72">
        <f t="shared" si="102"/>
        <v>136995</v>
      </c>
      <c r="AU31" s="72">
        <f t="shared" si="102"/>
        <v>503745</v>
      </c>
      <c r="AV31" s="72">
        <f t="shared" si="102"/>
        <v>204362</v>
      </c>
      <c r="AW31" s="72">
        <f t="shared" si="102"/>
        <v>708107</v>
      </c>
      <c r="AX31" s="72">
        <f t="shared" si="102"/>
        <v>316678</v>
      </c>
      <c r="AY31" s="72">
        <f t="shared" si="7"/>
        <v>324956</v>
      </c>
      <c r="AZ31" s="72">
        <f>AZ26+AZ27</f>
        <v>641634</v>
      </c>
      <c r="BA31" s="72">
        <f t="shared" si="8"/>
        <v>270281</v>
      </c>
      <c r="BB31" s="72">
        <f>BB26+BB27</f>
        <v>911915</v>
      </c>
      <c r="BC31" s="72">
        <f t="shared" si="8"/>
        <v>406448</v>
      </c>
      <c r="BD31" s="72">
        <f>BD26+BD27</f>
        <v>1318363</v>
      </c>
      <c r="BE31" s="72">
        <f>BE26+BE27</f>
        <v>322350</v>
      </c>
      <c r="BF31" s="72">
        <f>BF26+BF27</f>
        <v>168341</v>
      </c>
      <c r="BG31" s="72">
        <f t="shared" ref="BG31:CK31" si="103">BG26+BG27</f>
        <v>490691</v>
      </c>
      <c r="BH31" s="72">
        <f t="shared" si="103"/>
        <v>131077</v>
      </c>
      <c r="BI31" s="72">
        <f t="shared" si="103"/>
        <v>621768</v>
      </c>
      <c r="BJ31" s="72">
        <f>BJ26+BJ27</f>
        <v>336202</v>
      </c>
      <c r="BK31" s="72">
        <f t="shared" si="103"/>
        <v>957970</v>
      </c>
      <c r="BL31" s="72">
        <f t="shared" si="103"/>
        <v>303580</v>
      </c>
      <c r="BM31" s="72">
        <f>BM26+BM27</f>
        <v>282058</v>
      </c>
      <c r="BN31" s="72">
        <f t="shared" si="103"/>
        <v>585638</v>
      </c>
      <c r="BO31" s="72">
        <f>BO26+BO27</f>
        <v>261839</v>
      </c>
      <c r="BP31" s="72">
        <f t="shared" si="103"/>
        <v>847477</v>
      </c>
      <c r="BQ31" s="72">
        <f>BQ26+BQ27</f>
        <v>370304</v>
      </c>
      <c r="BR31" s="72">
        <f t="shared" si="103"/>
        <v>1217781</v>
      </c>
      <c r="BS31" s="72">
        <f t="shared" si="103"/>
        <v>372463</v>
      </c>
      <c r="BT31" s="72">
        <f>BT26+BT27</f>
        <v>423706</v>
      </c>
      <c r="BU31" s="72">
        <f t="shared" si="103"/>
        <v>796169</v>
      </c>
      <c r="BV31" s="72">
        <f>BV26+BV27</f>
        <v>277007</v>
      </c>
      <c r="BW31" s="72">
        <f t="shared" si="103"/>
        <v>1073176</v>
      </c>
      <c r="BX31" s="72">
        <f>BX26+BX27</f>
        <v>366373</v>
      </c>
      <c r="BY31" s="72">
        <f t="shared" si="103"/>
        <v>1439549</v>
      </c>
      <c r="BZ31" s="72">
        <f t="shared" si="103"/>
        <v>362861</v>
      </c>
      <c r="CA31" s="72">
        <f>CA26+CA27</f>
        <v>487997</v>
      </c>
      <c r="CB31" s="72">
        <f t="shared" si="103"/>
        <v>850858</v>
      </c>
      <c r="CC31" s="72">
        <f>CC26+CC27</f>
        <v>90125</v>
      </c>
      <c r="CD31" s="72">
        <f t="shared" si="103"/>
        <v>940983</v>
      </c>
      <c r="CE31" s="72">
        <f>CE26+CE27</f>
        <v>304291</v>
      </c>
      <c r="CF31" s="72">
        <f t="shared" si="103"/>
        <v>1245274</v>
      </c>
      <c r="CG31" s="72">
        <f t="shared" si="103"/>
        <v>583923</v>
      </c>
      <c r="CH31" s="72">
        <f>CH26+CH27</f>
        <v>588120</v>
      </c>
      <c r="CI31" s="72">
        <f t="shared" si="103"/>
        <v>1172043</v>
      </c>
      <c r="CJ31" s="72">
        <f>CJ26+CJ27</f>
        <v>292590</v>
      </c>
      <c r="CK31" s="72">
        <f t="shared" si="103"/>
        <v>1464633</v>
      </c>
      <c r="CL31" s="72">
        <f>CL26+CL27</f>
        <v>693456</v>
      </c>
      <c r="CM31" s="72">
        <f>CM26+CM27</f>
        <v>2158089</v>
      </c>
      <c r="CN31" s="72">
        <f>CN26+CN27</f>
        <v>941023</v>
      </c>
      <c r="CO31" s="72">
        <f>CO26+CO27</f>
        <v>1051680</v>
      </c>
      <c r="CP31" s="72">
        <f t="shared" ref="CP31:CR31" si="104">CP26+CP27</f>
        <v>1992703</v>
      </c>
      <c r="CQ31" s="72">
        <f>CQ26+CQ27</f>
        <v>883879</v>
      </c>
      <c r="CR31" s="72">
        <f t="shared" si="104"/>
        <v>2876582</v>
      </c>
      <c r="CS31" s="72">
        <f>CS26+CS27</f>
        <v>890414</v>
      </c>
      <c r="CT31" s="72">
        <f>CT26+CT27</f>
        <v>3766996</v>
      </c>
      <c r="CU31" s="72">
        <f>CU26+CU27</f>
        <v>1877129</v>
      </c>
      <c r="CV31" s="72">
        <f>CV26+CV27</f>
        <v>1192441</v>
      </c>
      <c r="CW31" s="72">
        <f t="shared" ref="CW31:DB31" si="105">CW26+CW27</f>
        <v>3069570</v>
      </c>
      <c r="CX31" s="72">
        <f t="shared" si="105"/>
        <v>336512</v>
      </c>
      <c r="CY31" s="72">
        <f t="shared" si="105"/>
        <v>3406082</v>
      </c>
      <c r="CZ31" s="72">
        <f t="shared" si="105"/>
        <v>1142808</v>
      </c>
      <c r="DA31" s="72">
        <f t="shared" si="105"/>
        <v>4548890</v>
      </c>
      <c r="DB31" s="72">
        <f t="shared" si="105"/>
        <v>1432990</v>
      </c>
      <c r="DC31" s="72">
        <f>DC26+DC27</f>
        <v>1112374</v>
      </c>
      <c r="DD31" s="72">
        <f>DD26+DD27</f>
        <v>2545364</v>
      </c>
      <c r="DE31" s="72">
        <f>DE26+DE27</f>
        <v>369112</v>
      </c>
      <c r="DF31" s="72">
        <f t="shared" ref="DF31:DI31" si="106">DF26+DF27</f>
        <v>2914476</v>
      </c>
      <c r="DG31" s="72">
        <f t="shared" si="106"/>
        <v>278601</v>
      </c>
      <c r="DH31" s="72">
        <f t="shared" si="106"/>
        <v>3193077</v>
      </c>
      <c r="DI31" s="72">
        <f t="shared" si="106"/>
        <v>767859</v>
      </c>
      <c r="DJ31" s="72">
        <f t="shared" ref="DJ31:DK31" si="107">DJ26+DJ27</f>
        <v>1750054</v>
      </c>
      <c r="DK31" s="72">
        <f t="shared" si="11"/>
        <v>2517913</v>
      </c>
    </row>
    <row r="32" spans="1:117" ht="10.5" x14ac:dyDescent="0.25">
      <c r="A32" s="63" t="s">
        <v>334</v>
      </c>
      <c r="B32" s="64"/>
      <c r="C32" s="64"/>
      <c r="D32" s="65"/>
      <c r="E32" s="66"/>
      <c r="F32" s="66"/>
      <c r="G32" s="66"/>
      <c r="H32" s="71">
        <f t="shared" ref="H32:AJ32" si="108">H33+H38+H42+H46+H51</f>
        <v>138072</v>
      </c>
      <c r="I32" s="72">
        <f t="shared" si="108"/>
        <v>62322</v>
      </c>
      <c r="J32" s="72">
        <f t="shared" si="108"/>
        <v>200394</v>
      </c>
      <c r="K32" s="72">
        <f t="shared" si="108"/>
        <v>-3121</v>
      </c>
      <c r="L32" s="72">
        <f t="shared" si="108"/>
        <v>197273</v>
      </c>
      <c r="M32" s="72">
        <f t="shared" si="108"/>
        <v>91928</v>
      </c>
      <c r="N32" s="72">
        <f t="shared" si="108"/>
        <v>289201</v>
      </c>
      <c r="O32" s="72">
        <f t="shared" si="108"/>
        <v>57740</v>
      </c>
      <c r="P32" s="72">
        <f t="shared" si="108"/>
        <v>106839</v>
      </c>
      <c r="Q32" s="72">
        <f t="shared" si="108"/>
        <v>164579</v>
      </c>
      <c r="R32" s="72">
        <f t="shared" si="108"/>
        <v>119453</v>
      </c>
      <c r="S32" s="72">
        <f t="shared" si="108"/>
        <v>284032</v>
      </c>
      <c r="T32" s="72">
        <f t="shared" si="108"/>
        <v>128149</v>
      </c>
      <c r="U32" s="72">
        <f t="shared" si="108"/>
        <v>412181</v>
      </c>
      <c r="V32" s="72">
        <f t="shared" si="108"/>
        <v>121211</v>
      </c>
      <c r="W32" s="72">
        <f t="shared" si="108"/>
        <v>121124</v>
      </c>
      <c r="X32" s="72">
        <f t="shared" si="108"/>
        <v>242335</v>
      </c>
      <c r="Y32" s="72">
        <f t="shared" si="108"/>
        <v>172810</v>
      </c>
      <c r="Z32" s="72">
        <f t="shared" si="108"/>
        <v>415145</v>
      </c>
      <c r="AA32" s="72">
        <f t="shared" si="108"/>
        <v>145049</v>
      </c>
      <c r="AB32" s="72">
        <f t="shared" si="108"/>
        <v>560194</v>
      </c>
      <c r="AC32" s="72">
        <f t="shared" si="108"/>
        <v>159925</v>
      </c>
      <c r="AD32" s="72">
        <f t="shared" si="108"/>
        <v>78017</v>
      </c>
      <c r="AE32" s="72">
        <f t="shared" si="108"/>
        <v>237942</v>
      </c>
      <c r="AF32" s="72">
        <f t="shared" si="108"/>
        <v>150759</v>
      </c>
      <c r="AG32" s="73">
        <f t="shared" si="108"/>
        <v>388701</v>
      </c>
      <c r="AH32" s="72">
        <f t="shared" si="108"/>
        <v>167996</v>
      </c>
      <c r="AI32" s="73">
        <f t="shared" si="108"/>
        <v>556697</v>
      </c>
      <c r="AJ32" s="72">
        <f t="shared" si="108"/>
        <v>169230</v>
      </c>
      <c r="AK32" s="72">
        <f t="shared" ref="AK32:AQ32" si="109">AK33+AK38+AK42+AK46+AK51</f>
        <v>171091</v>
      </c>
      <c r="AL32" s="72">
        <f t="shared" si="109"/>
        <v>340321</v>
      </c>
      <c r="AM32" s="72">
        <f t="shared" si="109"/>
        <v>137648</v>
      </c>
      <c r="AN32" s="72">
        <f t="shared" si="109"/>
        <v>477969</v>
      </c>
      <c r="AO32" s="72">
        <f t="shared" si="109"/>
        <v>143459</v>
      </c>
      <c r="AP32" s="72">
        <f t="shared" si="109"/>
        <v>621428</v>
      </c>
      <c r="AQ32" s="72">
        <f t="shared" si="109"/>
        <v>206828</v>
      </c>
      <c r="AR32" s="72">
        <f t="shared" ref="AR32:AW32" si="110">AR33+AR38+AR42+AR46+AR51</f>
        <v>159922</v>
      </c>
      <c r="AS32" s="72">
        <f t="shared" si="110"/>
        <v>366750</v>
      </c>
      <c r="AT32" s="72">
        <f t="shared" si="110"/>
        <v>136995</v>
      </c>
      <c r="AU32" s="72">
        <f t="shared" si="110"/>
        <v>503745</v>
      </c>
      <c r="AV32" s="72">
        <f t="shared" si="110"/>
        <v>204362</v>
      </c>
      <c r="AW32" s="72">
        <f t="shared" si="110"/>
        <v>708107</v>
      </c>
      <c r="AX32" s="72">
        <f>AX33+AX38+AX42+AX46+AX51</f>
        <v>316678</v>
      </c>
      <c r="AY32" s="72">
        <f t="shared" si="7"/>
        <v>324956</v>
      </c>
      <c r="AZ32" s="72">
        <f>AZ33+AZ38+AZ42+AZ46+AZ51</f>
        <v>641634</v>
      </c>
      <c r="BA32" s="72">
        <f t="shared" si="8"/>
        <v>270281</v>
      </c>
      <c r="BB32" s="72">
        <f>BB33+BB38+BB42+BB46+BB51</f>
        <v>911915</v>
      </c>
      <c r="BC32" s="72">
        <f t="shared" si="8"/>
        <v>406448</v>
      </c>
      <c r="BD32" s="72">
        <f>BD33+BD38+BD42+BD46+BD51</f>
        <v>1318363</v>
      </c>
      <c r="BE32" s="72">
        <f>BE33+BE38+BE42+BE46+BE51</f>
        <v>322350</v>
      </c>
      <c r="BF32" s="72">
        <f>BF33+BF38+BF42+BF46+BF51</f>
        <v>168341</v>
      </c>
      <c r="BG32" s="72">
        <f>BG33+BG38+BG42+BG46+BG51</f>
        <v>490691</v>
      </c>
      <c r="BH32" s="72">
        <f t="shared" ref="BH32:CK32" si="111">BH33+BH38+BH42+BH46+BH51</f>
        <v>131077</v>
      </c>
      <c r="BI32" s="72">
        <f t="shared" si="111"/>
        <v>621768</v>
      </c>
      <c r="BJ32" s="72">
        <f>BJ33+BJ38+BJ42+BJ46+BJ51</f>
        <v>336202</v>
      </c>
      <c r="BK32" s="72">
        <f t="shared" si="111"/>
        <v>957970</v>
      </c>
      <c r="BL32" s="72">
        <f t="shared" si="111"/>
        <v>303580</v>
      </c>
      <c r="BM32" s="72">
        <f>BM33+BM38+BM42+BM46+BM51</f>
        <v>282058</v>
      </c>
      <c r="BN32" s="72">
        <f t="shared" si="111"/>
        <v>585638</v>
      </c>
      <c r="BO32" s="72">
        <f>BO33+BO38+BO42+BO46+BO51</f>
        <v>261839</v>
      </c>
      <c r="BP32" s="72">
        <f t="shared" si="111"/>
        <v>847477</v>
      </c>
      <c r="BQ32" s="72">
        <f>BQ33+BQ38+BQ42+BQ46+BQ51</f>
        <v>370304</v>
      </c>
      <c r="BR32" s="72">
        <f t="shared" si="111"/>
        <v>1217781</v>
      </c>
      <c r="BS32" s="72">
        <f t="shared" si="111"/>
        <v>372463</v>
      </c>
      <c r="BT32" s="72">
        <f>BT33+BT38+BT42+BT46+BT51</f>
        <v>423706</v>
      </c>
      <c r="BU32" s="72">
        <f t="shared" si="111"/>
        <v>796169</v>
      </c>
      <c r="BV32" s="72">
        <f>BV33+BV38+BV42+BV46+BV51</f>
        <v>277007</v>
      </c>
      <c r="BW32" s="72">
        <f t="shared" si="111"/>
        <v>1073176</v>
      </c>
      <c r="BX32" s="72">
        <f>BX33+BX38+BX42+BX46+BX51</f>
        <v>366373</v>
      </c>
      <c r="BY32" s="72">
        <f>BY33+BY38+BY42+BY46+BY51</f>
        <v>1439549</v>
      </c>
      <c r="BZ32" s="72">
        <f t="shared" si="111"/>
        <v>362861</v>
      </c>
      <c r="CA32" s="72">
        <f>CA33+CA38+CA42+CA46+CA51</f>
        <v>487997</v>
      </c>
      <c r="CB32" s="72">
        <f t="shared" si="111"/>
        <v>850858</v>
      </c>
      <c r="CC32" s="72">
        <f>CC33+CC38+CC42+CC46+CC51</f>
        <v>90125</v>
      </c>
      <c r="CD32" s="72">
        <f t="shared" si="111"/>
        <v>940983</v>
      </c>
      <c r="CE32" s="72">
        <f>CE33+CE38+CE42+CE46+CE51</f>
        <v>304291</v>
      </c>
      <c r="CF32" s="72">
        <f t="shared" si="111"/>
        <v>1245274</v>
      </c>
      <c r="CG32" s="72">
        <f t="shared" si="111"/>
        <v>583923</v>
      </c>
      <c r="CH32" s="72">
        <f>CH33+CH38+CH42+CH46+CH51</f>
        <v>588120</v>
      </c>
      <c r="CI32" s="72">
        <f t="shared" si="111"/>
        <v>1172043</v>
      </c>
      <c r="CJ32" s="72">
        <f>CJ33+CJ38+CJ42+CJ46+CJ51</f>
        <v>292590</v>
      </c>
      <c r="CK32" s="72">
        <f t="shared" si="111"/>
        <v>1464633</v>
      </c>
      <c r="CL32" s="72">
        <f>CL33+CL38+CL42+CL46+CL51</f>
        <v>693456</v>
      </c>
      <c r="CM32" s="72">
        <f>CM33+CM38+CM42+CM46+CM51</f>
        <v>2158089</v>
      </c>
      <c r="CN32" s="72">
        <f>CN33+CN38+CN42+CN46+CN51</f>
        <v>941023</v>
      </c>
      <c r="CO32" s="72">
        <f>CO33+CO38+CO42+CO46+CO51</f>
        <v>1051680</v>
      </c>
      <c r="CP32" s="72">
        <f t="shared" ref="CP32:CR32" si="112">CP33+CP38+CP42+CP46+CP51</f>
        <v>1992703</v>
      </c>
      <c r="CQ32" s="72">
        <f>CQ33+CQ38+CQ42+CQ46+CQ51</f>
        <v>883879</v>
      </c>
      <c r="CR32" s="72">
        <f t="shared" si="112"/>
        <v>2876582</v>
      </c>
      <c r="CS32" s="72">
        <f>CS33+CS38+CS42+CS46+CS51</f>
        <v>890414</v>
      </c>
      <c r="CT32" s="72">
        <f>CT33+CT38+CT42+CT46+CT51</f>
        <v>3766996</v>
      </c>
      <c r="CU32" s="72">
        <f>CU33+CU38+CU42+CU46+CU51</f>
        <v>1877129</v>
      </c>
      <c r="CV32" s="72">
        <f>CV33+CV38+CV42+CV46+CV51</f>
        <v>1192441</v>
      </c>
      <c r="CW32" s="72">
        <f t="shared" ref="CW32:DB32" si="113">CW33+CW38+CW42+CW46+CW51</f>
        <v>3069570</v>
      </c>
      <c r="CX32" s="72">
        <f t="shared" si="113"/>
        <v>336512</v>
      </c>
      <c r="CY32" s="72">
        <f t="shared" si="113"/>
        <v>3406082</v>
      </c>
      <c r="CZ32" s="72">
        <f t="shared" si="113"/>
        <v>1142808</v>
      </c>
      <c r="DA32" s="72">
        <f t="shared" si="113"/>
        <v>4548890</v>
      </c>
      <c r="DB32" s="72">
        <f t="shared" si="113"/>
        <v>1432990</v>
      </c>
      <c r="DC32" s="72">
        <f>DC33+DC38+DC42+DC46+DC51</f>
        <v>1112374</v>
      </c>
      <c r="DD32" s="72">
        <f>DD33+DD38+DD42+DD46+DD51</f>
        <v>2545364</v>
      </c>
      <c r="DE32" s="72">
        <f>DE33+DE38+DE42+DE46+DE51</f>
        <v>369112</v>
      </c>
      <c r="DF32" s="72">
        <f t="shared" ref="DF32:DI32" si="114">DF33+DF38+DF42+DF46+DF51</f>
        <v>2914476</v>
      </c>
      <c r="DG32" s="72">
        <f t="shared" si="114"/>
        <v>278601</v>
      </c>
      <c r="DH32" s="72">
        <f t="shared" si="114"/>
        <v>3193077</v>
      </c>
      <c r="DI32" s="72">
        <f t="shared" si="114"/>
        <v>767859</v>
      </c>
      <c r="DJ32" s="72">
        <f t="shared" ref="DJ32:DK32" si="115">DJ33+DJ38+DJ42+DJ46+DJ51</f>
        <v>1750054</v>
      </c>
      <c r="DK32" s="72">
        <f t="shared" si="11"/>
        <v>2517913</v>
      </c>
      <c r="DM32" s="10"/>
    </row>
    <row r="33" spans="1:115" ht="10.5" x14ac:dyDescent="0.25">
      <c r="A33" s="63"/>
      <c r="B33" s="64" t="s">
        <v>335</v>
      </c>
      <c r="C33" s="64"/>
      <c r="D33" s="65"/>
      <c r="E33" s="66"/>
      <c r="F33" s="66"/>
      <c r="G33" s="66"/>
      <c r="H33" s="74">
        <f t="shared" ref="H33:AB33" si="116">SUM(H34:H37)</f>
        <v>14317</v>
      </c>
      <c r="I33" s="75">
        <f t="shared" si="116"/>
        <v>20466</v>
      </c>
      <c r="J33" s="75">
        <f t="shared" si="116"/>
        <v>34783</v>
      </c>
      <c r="K33" s="75">
        <f t="shared" si="116"/>
        <v>22798</v>
      </c>
      <c r="L33" s="75">
        <f t="shared" si="116"/>
        <v>57581</v>
      </c>
      <c r="M33" s="75">
        <f t="shared" si="116"/>
        <v>19448</v>
      </c>
      <c r="N33" s="75">
        <f t="shared" si="116"/>
        <v>77029</v>
      </c>
      <c r="O33" s="75">
        <f t="shared" si="116"/>
        <v>16535</v>
      </c>
      <c r="P33" s="75">
        <f t="shared" si="116"/>
        <v>21106</v>
      </c>
      <c r="Q33" s="75">
        <f t="shared" si="116"/>
        <v>37641</v>
      </c>
      <c r="R33" s="75">
        <f t="shared" si="116"/>
        <v>21563</v>
      </c>
      <c r="S33" s="75">
        <f t="shared" si="116"/>
        <v>59204</v>
      </c>
      <c r="T33" s="75">
        <f t="shared" si="116"/>
        <v>32721</v>
      </c>
      <c r="U33" s="75">
        <f t="shared" si="116"/>
        <v>91925</v>
      </c>
      <c r="V33" s="75">
        <f t="shared" si="116"/>
        <v>17471</v>
      </c>
      <c r="W33" s="75">
        <f t="shared" si="116"/>
        <v>19357</v>
      </c>
      <c r="X33" s="75">
        <f t="shared" si="116"/>
        <v>36828</v>
      </c>
      <c r="Y33" s="75">
        <f t="shared" si="116"/>
        <v>28070</v>
      </c>
      <c r="Z33" s="75">
        <f t="shared" si="116"/>
        <v>64898</v>
      </c>
      <c r="AA33" s="75">
        <f t="shared" si="116"/>
        <v>35293</v>
      </c>
      <c r="AB33" s="75">
        <f t="shared" si="116"/>
        <v>100191</v>
      </c>
      <c r="AC33" s="75">
        <f t="shared" ref="AC33:AI33" si="117">SUM(AC34:AC37)</f>
        <v>29003</v>
      </c>
      <c r="AD33" s="75">
        <f t="shared" si="117"/>
        <v>27589</v>
      </c>
      <c r="AE33" s="75">
        <f t="shared" si="117"/>
        <v>56592</v>
      </c>
      <c r="AF33" s="75">
        <f t="shared" si="117"/>
        <v>29686</v>
      </c>
      <c r="AG33" s="76">
        <f t="shared" si="117"/>
        <v>86278</v>
      </c>
      <c r="AH33" s="75">
        <f t="shared" si="117"/>
        <v>35262</v>
      </c>
      <c r="AI33" s="76">
        <f t="shared" si="117"/>
        <v>121540</v>
      </c>
      <c r="AJ33" s="75">
        <f t="shared" ref="AJ33:AQ33" si="118">SUM(AJ34:AJ37)</f>
        <v>30277</v>
      </c>
      <c r="AK33" s="75">
        <f t="shared" si="118"/>
        <v>38653</v>
      </c>
      <c r="AL33" s="75">
        <f t="shared" si="118"/>
        <v>68930</v>
      </c>
      <c r="AM33" s="75">
        <f t="shared" si="118"/>
        <v>37110</v>
      </c>
      <c r="AN33" s="75">
        <f t="shared" si="118"/>
        <v>106040</v>
      </c>
      <c r="AO33" s="75">
        <f t="shared" si="118"/>
        <v>45332</v>
      </c>
      <c r="AP33" s="75">
        <f t="shared" si="118"/>
        <v>151372</v>
      </c>
      <c r="AQ33" s="75">
        <f t="shared" si="118"/>
        <v>34547</v>
      </c>
      <c r="AR33" s="75">
        <f t="shared" ref="AR33:AX33" si="119">SUM(AR34:AR37)</f>
        <v>45506</v>
      </c>
      <c r="AS33" s="75">
        <f t="shared" si="119"/>
        <v>80053</v>
      </c>
      <c r="AT33" s="75">
        <f t="shared" si="119"/>
        <v>43141</v>
      </c>
      <c r="AU33" s="75">
        <f t="shared" si="119"/>
        <v>123194</v>
      </c>
      <c r="AV33" s="75">
        <f t="shared" si="119"/>
        <v>50185</v>
      </c>
      <c r="AW33" s="75">
        <f t="shared" si="119"/>
        <v>173379</v>
      </c>
      <c r="AX33" s="75">
        <f t="shared" si="119"/>
        <v>36600</v>
      </c>
      <c r="AY33" s="75">
        <f t="shared" si="7"/>
        <v>48154</v>
      </c>
      <c r="AZ33" s="75">
        <f>SUM(AZ34:AZ37)</f>
        <v>84754</v>
      </c>
      <c r="BA33" s="75">
        <f t="shared" si="8"/>
        <v>41419</v>
      </c>
      <c r="BB33" s="75">
        <f>SUM(BB34:BB37)</f>
        <v>126173</v>
      </c>
      <c r="BC33" s="75">
        <f t="shared" si="8"/>
        <v>61921</v>
      </c>
      <c r="BD33" s="75">
        <f>SUM(BD34:BD37)</f>
        <v>188094</v>
      </c>
      <c r="BE33" s="75">
        <f>SUM(BE34:BE37)</f>
        <v>45935</v>
      </c>
      <c r="BF33" s="75">
        <f>SUM(BF34:BF37)</f>
        <v>56833</v>
      </c>
      <c r="BG33" s="75">
        <f t="shared" ref="BG33:CK33" si="120">SUM(BG34:BG37)</f>
        <v>102768</v>
      </c>
      <c r="BH33" s="75">
        <f t="shared" si="120"/>
        <v>49195</v>
      </c>
      <c r="BI33" s="75">
        <f t="shared" si="120"/>
        <v>151963</v>
      </c>
      <c r="BJ33" s="75">
        <f>SUM(BJ34:BJ37)</f>
        <v>61065</v>
      </c>
      <c r="BK33" s="75">
        <f t="shared" si="120"/>
        <v>213028</v>
      </c>
      <c r="BL33" s="75">
        <f t="shared" si="120"/>
        <v>39611</v>
      </c>
      <c r="BM33" s="75">
        <f>SUM(BM34:BM37)</f>
        <v>52089</v>
      </c>
      <c r="BN33" s="75">
        <f t="shared" si="120"/>
        <v>91700</v>
      </c>
      <c r="BO33" s="75">
        <f>SUM(BO34:BO37)</f>
        <v>66644</v>
      </c>
      <c r="BP33" s="75">
        <f t="shared" si="120"/>
        <v>158344</v>
      </c>
      <c r="BQ33" s="75">
        <f>SUM(BQ34:BQ37)</f>
        <v>75572</v>
      </c>
      <c r="BR33" s="75">
        <f t="shared" si="120"/>
        <v>233916</v>
      </c>
      <c r="BS33" s="75">
        <f t="shared" si="120"/>
        <v>53603</v>
      </c>
      <c r="BT33" s="75">
        <f>SUM(BT34:BT37)</f>
        <v>61101</v>
      </c>
      <c r="BU33" s="75">
        <f t="shared" si="120"/>
        <v>114704</v>
      </c>
      <c r="BV33" s="75">
        <f>SUM(BV34:BV37)</f>
        <v>67241</v>
      </c>
      <c r="BW33" s="75">
        <f t="shared" si="120"/>
        <v>181945</v>
      </c>
      <c r="BX33" s="75">
        <f>SUM(BX34:BX37)</f>
        <v>97894</v>
      </c>
      <c r="BY33" s="75">
        <f t="shared" si="120"/>
        <v>279839</v>
      </c>
      <c r="BZ33" s="75">
        <f t="shared" si="120"/>
        <v>69651</v>
      </c>
      <c r="CA33" s="75">
        <f>SUM(CA34:CA37)</f>
        <v>65355</v>
      </c>
      <c r="CB33" s="75">
        <f t="shared" si="120"/>
        <v>135006</v>
      </c>
      <c r="CC33" s="75">
        <f>SUM(CC34:CC37)</f>
        <v>88497</v>
      </c>
      <c r="CD33" s="75">
        <f t="shared" si="120"/>
        <v>223503</v>
      </c>
      <c r="CE33" s="75">
        <f>SUM(CE34:CE37)</f>
        <v>89215</v>
      </c>
      <c r="CF33" s="75">
        <f t="shared" si="120"/>
        <v>312718</v>
      </c>
      <c r="CG33" s="75">
        <f t="shared" si="120"/>
        <v>72502</v>
      </c>
      <c r="CH33" s="75">
        <f>SUM(CH34:CH37)</f>
        <v>71028</v>
      </c>
      <c r="CI33" s="75">
        <f t="shared" si="120"/>
        <v>143530</v>
      </c>
      <c r="CJ33" s="75">
        <f>SUM(CJ34:CJ37)</f>
        <v>90760</v>
      </c>
      <c r="CK33" s="75">
        <f t="shared" si="120"/>
        <v>234290</v>
      </c>
      <c r="CL33" s="75">
        <f>SUM(CL34:CL37)</f>
        <v>110613</v>
      </c>
      <c r="CM33" s="75">
        <f>SUM(CM34:CM37)</f>
        <v>344903</v>
      </c>
      <c r="CN33" s="75">
        <f>SUM(CN34:CN37)</f>
        <v>95609</v>
      </c>
      <c r="CO33" s="75">
        <f>SUM(CO34:CO37)</f>
        <v>104455</v>
      </c>
      <c r="CP33" s="75">
        <f t="shared" ref="CP33:CR33" si="121">SUM(CP34:CP37)</f>
        <v>200064</v>
      </c>
      <c r="CQ33" s="75">
        <f>SUM(CQ34:CQ37)</f>
        <v>135675</v>
      </c>
      <c r="CR33" s="75">
        <f t="shared" si="121"/>
        <v>335739</v>
      </c>
      <c r="CS33" s="75">
        <f>SUM(CS34:CS37)</f>
        <v>153965</v>
      </c>
      <c r="CT33" s="75">
        <f>SUM(CT34:CT37)</f>
        <v>489704</v>
      </c>
      <c r="CU33" s="75">
        <f>SUM(CU34:CU37)</f>
        <v>149118</v>
      </c>
      <c r="CV33" s="75">
        <f>SUM(CV34:CV37)</f>
        <v>116352</v>
      </c>
      <c r="CW33" s="75">
        <f t="shared" ref="CW33:DC33" si="122">SUM(CW34:CW37)</f>
        <v>265470</v>
      </c>
      <c r="CX33" s="75">
        <f t="shared" si="122"/>
        <v>148020</v>
      </c>
      <c r="CY33" s="75">
        <f t="shared" si="122"/>
        <v>413490</v>
      </c>
      <c r="CZ33" s="75">
        <f t="shared" si="122"/>
        <v>195244</v>
      </c>
      <c r="DA33" s="75">
        <f t="shared" si="122"/>
        <v>608734</v>
      </c>
      <c r="DB33" s="75">
        <f t="shared" si="122"/>
        <v>174781</v>
      </c>
      <c r="DC33" s="75">
        <f t="shared" si="122"/>
        <v>152572</v>
      </c>
      <c r="DD33" s="75">
        <f>SUM(DD34:DD37)</f>
        <v>327353</v>
      </c>
      <c r="DE33" s="75">
        <f t="shared" ref="DE33:DI33" si="123">SUM(DE34:DE37)</f>
        <v>187753</v>
      </c>
      <c r="DF33" s="75">
        <f t="shared" si="123"/>
        <v>515106</v>
      </c>
      <c r="DG33" s="75">
        <f t="shared" si="123"/>
        <v>175029</v>
      </c>
      <c r="DH33" s="75">
        <f t="shared" si="123"/>
        <v>690135</v>
      </c>
      <c r="DI33" s="75">
        <f t="shared" si="123"/>
        <v>178263</v>
      </c>
      <c r="DJ33" s="75">
        <f t="shared" ref="DJ33:DK33" si="124">SUM(DJ34:DJ37)</f>
        <v>361370</v>
      </c>
      <c r="DK33" s="75">
        <f t="shared" si="11"/>
        <v>539633</v>
      </c>
    </row>
    <row r="34" spans="1:115" ht="10.5" x14ac:dyDescent="0.25">
      <c r="A34" s="56"/>
      <c r="B34" s="57"/>
      <c r="C34" s="57" t="s">
        <v>336</v>
      </c>
      <c r="D34" s="58"/>
      <c r="E34" s="59"/>
      <c r="F34" s="59"/>
      <c r="G34" s="59"/>
      <c r="H34" s="60">
        <v>9977</v>
      </c>
      <c r="I34" s="61">
        <v>14100</v>
      </c>
      <c r="J34" s="61">
        <f>H34+I34</f>
        <v>24077</v>
      </c>
      <c r="K34" s="61">
        <f>L34-J34</f>
        <v>14382</v>
      </c>
      <c r="L34" s="61">
        <v>38459</v>
      </c>
      <c r="M34" s="61">
        <f>N34-L34</f>
        <v>13093</v>
      </c>
      <c r="N34" s="61">
        <v>51552</v>
      </c>
      <c r="O34" s="61">
        <v>11974</v>
      </c>
      <c r="P34" s="61">
        <v>14093</v>
      </c>
      <c r="Q34" s="61">
        <f>O34+P34</f>
        <v>26067</v>
      </c>
      <c r="R34" s="61">
        <v>15650</v>
      </c>
      <c r="S34" s="61">
        <f>Q34+R34</f>
        <v>41717</v>
      </c>
      <c r="T34" s="61">
        <v>19755</v>
      </c>
      <c r="U34" s="61">
        <f>S34+T34</f>
        <v>61472</v>
      </c>
      <c r="V34" s="61">
        <v>10022</v>
      </c>
      <c r="W34" s="61">
        <v>17881</v>
      </c>
      <c r="X34" s="61">
        <f>V34+W34</f>
        <v>27903</v>
      </c>
      <c r="Y34" s="61">
        <v>8283</v>
      </c>
      <c r="Z34" s="61">
        <f>X34+Y34</f>
        <v>36186</v>
      </c>
      <c r="AA34" s="61">
        <v>19129</v>
      </c>
      <c r="AB34" s="61">
        <f>Z34+AA34</f>
        <v>55315</v>
      </c>
      <c r="AC34" s="61">
        <v>16992</v>
      </c>
      <c r="AD34" s="61">
        <f t="shared" ref="AD34:AD49" si="125">AE34-AC34</f>
        <v>17819</v>
      </c>
      <c r="AE34" s="61">
        <v>34811</v>
      </c>
      <c r="AF34" s="61">
        <f t="shared" ref="AF34:AF49" si="126">AG34-AE34</f>
        <v>20426</v>
      </c>
      <c r="AG34" s="62">
        <v>55237</v>
      </c>
      <c r="AH34" s="61">
        <f>AI34-AG34</f>
        <v>25030</v>
      </c>
      <c r="AI34" s="62">
        <v>80267</v>
      </c>
      <c r="AJ34" s="61">
        <v>19483</v>
      </c>
      <c r="AK34" s="61">
        <f>43225-19483</f>
        <v>23742</v>
      </c>
      <c r="AL34" s="61">
        <f t="shared" ref="AL34:AL50" si="127">SUM(AJ34:AK34)</f>
        <v>43225</v>
      </c>
      <c r="AM34" s="61">
        <f>66857-43225</f>
        <v>23632</v>
      </c>
      <c r="AN34" s="61">
        <f t="shared" ref="AN34:AP50" si="128">SUM(AL34:AM34)</f>
        <v>66857</v>
      </c>
      <c r="AO34" s="61">
        <f>95297-66857</f>
        <v>28440</v>
      </c>
      <c r="AP34" s="61">
        <f t="shared" si="128"/>
        <v>95297</v>
      </c>
      <c r="AQ34" s="61">
        <v>20180</v>
      </c>
      <c r="AR34" s="61">
        <v>28588</v>
      </c>
      <c r="AS34" s="61">
        <v>48768</v>
      </c>
      <c r="AT34" s="61">
        <v>27126</v>
      </c>
      <c r="AU34" s="61">
        <v>75894</v>
      </c>
      <c r="AV34" s="61">
        <v>34996</v>
      </c>
      <c r="AW34" s="61">
        <f t="shared" ref="AW34:AW50" si="129">SUM(AU34:AV34)</f>
        <v>110890</v>
      </c>
      <c r="AX34" s="61">
        <v>23046</v>
      </c>
      <c r="AY34" s="61">
        <f t="shared" si="7"/>
        <v>30931</v>
      </c>
      <c r="AZ34" s="61">
        <v>53977</v>
      </c>
      <c r="BA34" s="61">
        <f t="shared" si="8"/>
        <v>26543</v>
      </c>
      <c r="BB34" s="61">
        <v>80520</v>
      </c>
      <c r="BC34" s="61">
        <f t="shared" si="8"/>
        <v>38772</v>
      </c>
      <c r="BD34" s="61">
        <v>119292</v>
      </c>
      <c r="BE34" s="61">
        <v>27463</v>
      </c>
      <c r="BF34" s="61">
        <f>65454-BE34</f>
        <v>37991</v>
      </c>
      <c r="BG34" s="61">
        <f>BE34+BF34</f>
        <v>65454</v>
      </c>
      <c r="BH34" s="61">
        <f t="shared" ref="BH34:BJ35" si="130">BI34-BG34</f>
        <v>32898</v>
      </c>
      <c r="BI34" s="61">
        <v>98352</v>
      </c>
      <c r="BJ34" s="61">
        <f t="shared" si="130"/>
        <v>41375</v>
      </c>
      <c r="BK34" s="61">
        <v>139727</v>
      </c>
      <c r="BL34" s="61">
        <v>22995</v>
      </c>
      <c r="BM34" s="61">
        <f>BN34-BL34</f>
        <v>31065</v>
      </c>
      <c r="BN34" s="61">
        <v>54060</v>
      </c>
      <c r="BO34" s="61">
        <f>BP34-BN34</f>
        <v>38425</v>
      </c>
      <c r="BP34" s="61">
        <v>92485</v>
      </c>
      <c r="BQ34" s="61">
        <f>BR34-BP34</f>
        <v>44426</v>
      </c>
      <c r="BR34" s="61">
        <v>136911</v>
      </c>
      <c r="BS34" s="61">
        <v>30880</v>
      </c>
      <c r="BT34" s="61">
        <f>BU34-BS34</f>
        <v>37952</v>
      </c>
      <c r="BU34" s="61">
        <v>68832</v>
      </c>
      <c r="BV34" s="61">
        <f>BW34-BU34</f>
        <v>39083</v>
      </c>
      <c r="BW34" s="61">
        <v>107915</v>
      </c>
      <c r="BX34" s="61">
        <f>BY34-BW34</f>
        <v>59908</v>
      </c>
      <c r="BY34" s="61">
        <v>167823</v>
      </c>
      <c r="BZ34" s="61">
        <v>42239</v>
      </c>
      <c r="CA34" s="61">
        <f>CB34-BZ34</f>
        <v>40114</v>
      </c>
      <c r="CB34" s="61">
        <v>82353</v>
      </c>
      <c r="CC34" s="61">
        <f>CD34-CB34</f>
        <v>55154</v>
      </c>
      <c r="CD34" s="61">
        <v>137507</v>
      </c>
      <c r="CE34" s="61">
        <f>CF34-CD34</f>
        <v>54226</v>
      </c>
      <c r="CF34" s="61">
        <v>191733</v>
      </c>
      <c r="CG34" s="61">
        <v>42948</v>
      </c>
      <c r="CH34" s="61">
        <f>CI34-CG34</f>
        <v>42588</v>
      </c>
      <c r="CI34" s="61">
        <v>85536</v>
      </c>
      <c r="CJ34" s="61">
        <f>CK34-CI34</f>
        <v>53725</v>
      </c>
      <c r="CK34" s="61">
        <v>139261</v>
      </c>
      <c r="CL34" s="61">
        <f>CM34-CK34</f>
        <v>58816</v>
      </c>
      <c r="CM34" s="61">
        <v>198077</v>
      </c>
      <c r="CN34" s="61">
        <v>54960</v>
      </c>
      <c r="CO34" s="61">
        <f>CP34-CN34</f>
        <v>60710</v>
      </c>
      <c r="CP34" s="61">
        <v>115670</v>
      </c>
      <c r="CQ34" s="61">
        <f>CR34-CP34</f>
        <v>70232</v>
      </c>
      <c r="CR34" s="61">
        <v>185902</v>
      </c>
      <c r="CS34" s="61">
        <f>CT34-CR34</f>
        <v>81856</v>
      </c>
      <c r="CT34" s="61">
        <v>267758</v>
      </c>
      <c r="CU34" s="61">
        <v>79744</v>
      </c>
      <c r="CV34" s="61">
        <f>CW34-CU34</f>
        <v>60647</v>
      </c>
      <c r="CW34" s="61">
        <v>140391</v>
      </c>
      <c r="CX34" s="61">
        <f>CY34-CW34</f>
        <v>83864</v>
      </c>
      <c r="CY34" s="61">
        <v>224255</v>
      </c>
      <c r="CZ34" s="61">
        <f>DA34-CY34</f>
        <v>119160</v>
      </c>
      <c r="DA34" s="61">
        <v>343415</v>
      </c>
      <c r="DB34" s="61">
        <v>89019</v>
      </c>
      <c r="DC34" s="61">
        <f>DD34-DB34</f>
        <v>84408</v>
      </c>
      <c r="DD34" s="61">
        <v>173427</v>
      </c>
      <c r="DE34" s="61">
        <f>DF34-DD34</f>
        <v>195764</v>
      </c>
      <c r="DF34" s="61">
        <v>369191</v>
      </c>
      <c r="DG34" s="61">
        <f>DH34-DF34</f>
        <v>120082</v>
      </c>
      <c r="DH34" s="61">
        <v>489273</v>
      </c>
      <c r="DI34" s="61">
        <v>124100</v>
      </c>
      <c r="DJ34" s="61">
        <v>255343</v>
      </c>
      <c r="DK34" s="61">
        <f t="shared" si="11"/>
        <v>379443</v>
      </c>
    </row>
    <row r="35" spans="1:115" ht="10.5" x14ac:dyDescent="0.25">
      <c r="A35" s="56"/>
      <c r="B35" s="57"/>
      <c r="C35" s="57" t="s">
        <v>337</v>
      </c>
      <c r="D35" s="58"/>
      <c r="E35" s="59"/>
      <c r="F35" s="59"/>
      <c r="G35" s="59"/>
      <c r="H35" s="60">
        <v>3623</v>
      </c>
      <c r="I35" s="61">
        <v>5396</v>
      </c>
      <c r="J35" s="61">
        <f>H35+I35</f>
        <v>9019</v>
      </c>
      <c r="K35" s="61">
        <f>L35-J35</f>
        <v>7434</v>
      </c>
      <c r="L35" s="61">
        <v>16453</v>
      </c>
      <c r="M35" s="61">
        <f>N35-L35</f>
        <v>5450</v>
      </c>
      <c r="N35" s="61">
        <v>21903</v>
      </c>
      <c r="O35" s="61">
        <v>3692</v>
      </c>
      <c r="P35" s="61">
        <v>5986</v>
      </c>
      <c r="Q35" s="61">
        <f>O35+P35</f>
        <v>9678</v>
      </c>
      <c r="R35" s="61">
        <v>4663</v>
      </c>
      <c r="S35" s="61">
        <f>Q35+R35</f>
        <v>14341</v>
      </c>
      <c r="T35" s="61">
        <v>11027</v>
      </c>
      <c r="U35" s="61">
        <f>S35+T35</f>
        <v>25368</v>
      </c>
      <c r="V35" s="61">
        <v>6646</v>
      </c>
      <c r="W35" s="61">
        <v>541</v>
      </c>
      <c r="X35" s="61">
        <f>V35+W35</f>
        <v>7187</v>
      </c>
      <c r="Y35" s="61">
        <v>18630</v>
      </c>
      <c r="Z35" s="61">
        <f>X35+Y35</f>
        <v>25817</v>
      </c>
      <c r="AA35" s="61">
        <v>14237</v>
      </c>
      <c r="AB35" s="61">
        <f>Z35+AA35</f>
        <v>40054</v>
      </c>
      <c r="AC35" s="61">
        <v>10139</v>
      </c>
      <c r="AD35" s="61">
        <f t="shared" si="125"/>
        <v>8769</v>
      </c>
      <c r="AE35" s="61">
        <v>18908</v>
      </c>
      <c r="AF35" s="61">
        <f t="shared" si="126"/>
        <v>7637</v>
      </c>
      <c r="AG35" s="62">
        <v>26545</v>
      </c>
      <c r="AH35" s="61">
        <f>AI35-AG35</f>
        <v>8199</v>
      </c>
      <c r="AI35" s="62">
        <v>34744</v>
      </c>
      <c r="AJ35" s="61">
        <v>9230</v>
      </c>
      <c r="AK35" s="61">
        <f>22169-9230</f>
        <v>12939</v>
      </c>
      <c r="AL35" s="61">
        <f t="shared" si="127"/>
        <v>22169</v>
      </c>
      <c r="AM35" s="61">
        <f>33661-22169</f>
        <v>11492</v>
      </c>
      <c r="AN35" s="61">
        <f t="shared" si="128"/>
        <v>33661</v>
      </c>
      <c r="AO35" s="61">
        <f>48161-33661</f>
        <v>14500</v>
      </c>
      <c r="AP35" s="61">
        <f t="shared" si="128"/>
        <v>48161</v>
      </c>
      <c r="AQ35" s="61">
        <v>12626</v>
      </c>
      <c r="AR35" s="61">
        <v>14788</v>
      </c>
      <c r="AS35" s="61">
        <v>27414</v>
      </c>
      <c r="AT35" s="61">
        <v>13833</v>
      </c>
      <c r="AU35" s="61">
        <v>41247</v>
      </c>
      <c r="AV35" s="61">
        <v>12526</v>
      </c>
      <c r="AW35" s="61">
        <f t="shared" si="129"/>
        <v>53773</v>
      </c>
      <c r="AX35" s="61">
        <v>11685</v>
      </c>
      <c r="AY35" s="61">
        <f t="shared" si="7"/>
        <v>14847</v>
      </c>
      <c r="AZ35" s="61">
        <v>26532</v>
      </c>
      <c r="BA35" s="61">
        <f t="shared" si="8"/>
        <v>12610</v>
      </c>
      <c r="BB35" s="61">
        <v>39142</v>
      </c>
      <c r="BC35" s="61">
        <f t="shared" si="8"/>
        <v>19939</v>
      </c>
      <c r="BD35" s="61">
        <v>59081</v>
      </c>
      <c r="BE35" s="61">
        <v>16045</v>
      </c>
      <c r="BF35" s="61">
        <f>31684-BE35</f>
        <v>15639</v>
      </c>
      <c r="BG35" s="61">
        <f>BE35+BF35</f>
        <v>31684</v>
      </c>
      <c r="BH35" s="61">
        <f t="shared" si="130"/>
        <v>13329</v>
      </c>
      <c r="BI35" s="61">
        <v>45013</v>
      </c>
      <c r="BJ35" s="61">
        <f t="shared" si="130"/>
        <v>16245</v>
      </c>
      <c r="BK35" s="61">
        <v>61258</v>
      </c>
      <c r="BL35" s="61">
        <v>14647</v>
      </c>
      <c r="BM35" s="61">
        <f>BN35-BL35</f>
        <v>18562</v>
      </c>
      <c r="BN35" s="61">
        <v>33209</v>
      </c>
      <c r="BO35" s="61">
        <f>BP35-BN35</f>
        <v>24534</v>
      </c>
      <c r="BP35" s="61">
        <v>57743</v>
      </c>
      <c r="BQ35" s="61">
        <f>BR35-BP35</f>
        <v>27429</v>
      </c>
      <c r="BR35" s="61">
        <v>85172</v>
      </c>
      <c r="BS35" s="61">
        <v>20011</v>
      </c>
      <c r="BT35" s="61">
        <f>BU35-BS35</f>
        <v>20154</v>
      </c>
      <c r="BU35" s="61">
        <v>40165</v>
      </c>
      <c r="BV35" s="61">
        <f>BW35-BU35</f>
        <v>24797</v>
      </c>
      <c r="BW35" s="61">
        <v>64962</v>
      </c>
      <c r="BX35" s="61">
        <f>BY35-BW35</f>
        <v>33789</v>
      </c>
      <c r="BY35" s="61">
        <v>98751</v>
      </c>
      <c r="BZ35" s="61">
        <v>24209</v>
      </c>
      <c r="CA35" s="61">
        <f>CB35-BZ35</f>
        <v>22319</v>
      </c>
      <c r="CB35" s="61">
        <v>46528</v>
      </c>
      <c r="CC35" s="61">
        <f>CD35-CB35</f>
        <v>26474</v>
      </c>
      <c r="CD35" s="61">
        <v>73002</v>
      </c>
      <c r="CE35" s="61">
        <f>CF35-CD35</f>
        <v>30270</v>
      </c>
      <c r="CF35" s="61">
        <v>103272</v>
      </c>
      <c r="CG35" s="61">
        <v>23706</v>
      </c>
      <c r="CH35" s="61">
        <f>CI35-CG35</f>
        <v>25370</v>
      </c>
      <c r="CI35" s="61">
        <v>49076</v>
      </c>
      <c r="CJ35" s="61">
        <f>CK35-CI35</f>
        <v>32648</v>
      </c>
      <c r="CK35" s="61">
        <v>81724</v>
      </c>
      <c r="CL35" s="61">
        <f>CM35-CK35</f>
        <v>46568</v>
      </c>
      <c r="CM35" s="61">
        <v>128292</v>
      </c>
      <c r="CN35" s="61">
        <v>33267</v>
      </c>
      <c r="CO35" s="61">
        <f>CP35-CN35</f>
        <v>39737</v>
      </c>
      <c r="CP35" s="61">
        <v>73004</v>
      </c>
      <c r="CQ35" s="61">
        <f>CR35-CP35</f>
        <v>60771</v>
      </c>
      <c r="CR35" s="61">
        <v>133775</v>
      </c>
      <c r="CS35" s="61">
        <f>CT35-CR35</f>
        <v>65800</v>
      </c>
      <c r="CT35" s="61">
        <v>199575</v>
      </c>
      <c r="CU35" s="61">
        <v>56555</v>
      </c>
      <c r="CV35" s="61">
        <f>CW35-CU35</f>
        <v>50856</v>
      </c>
      <c r="CW35" s="61">
        <v>107411</v>
      </c>
      <c r="CX35" s="61">
        <f>CY35-CW35</f>
        <v>57728</v>
      </c>
      <c r="CY35" s="61">
        <v>165139</v>
      </c>
      <c r="CZ35" s="61">
        <f>DA35-CY35</f>
        <v>68919</v>
      </c>
      <c r="DA35" s="61">
        <v>234058</v>
      </c>
      <c r="DB35" s="61">
        <v>74824</v>
      </c>
      <c r="DC35" s="61">
        <f>DD35-DB35</f>
        <v>66409</v>
      </c>
      <c r="DD35" s="61">
        <v>141233</v>
      </c>
      <c r="DE35" s="61">
        <f>DF35-DD35</f>
        <v>-15888</v>
      </c>
      <c r="DF35" s="61">
        <v>125345</v>
      </c>
      <c r="DG35" s="61">
        <f>DH35-DF35</f>
        <v>48112</v>
      </c>
      <c r="DH35" s="61">
        <v>173457</v>
      </c>
      <c r="DI35" s="61">
        <v>47059</v>
      </c>
      <c r="DJ35" s="61">
        <v>92011</v>
      </c>
      <c r="DK35" s="61">
        <f t="shared" si="11"/>
        <v>139070</v>
      </c>
    </row>
    <row r="36" spans="1:115" ht="10.5" x14ac:dyDescent="0.25">
      <c r="A36" s="56"/>
      <c r="B36" s="57"/>
      <c r="C36" s="57" t="s">
        <v>338</v>
      </c>
      <c r="D36" s="58"/>
      <c r="E36" s="59"/>
      <c r="F36" s="59"/>
      <c r="G36" s="59"/>
      <c r="H36" s="60">
        <v>717</v>
      </c>
      <c r="I36" s="61">
        <v>970</v>
      </c>
      <c r="J36" s="61">
        <f>H36+I36</f>
        <v>1687</v>
      </c>
      <c r="K36" s="61">
        <f>L36-J36</f>
        <v>982</v>
      </c>
      <c r="L36" s="61">
        <v>2669</v>
      </c>
      <c r="M36" s="61">
        <f>N36-L36</f>
        <v>905</v>
      </c>
      <c r="N36" s="61">
        <v>3574</v>
      </c>
      <c r="O36" s="61">
        <v>869</v>
      </c>
      <c r="P36" s="61">
        <v>1027</v>
      </c>
      <c r="Q36" s="61">
        <f>O36+P36</f>
        <v>1896</v>
      </c>
      <c r="R36" s="61">
        <v>1250</v>
      </c>
      <c r="S36" s="61">
        <f>Q36+R36</f>
        <v>3146</v>
      </c>
      <c r="T36" s="61">
        <v>1939</v>
      </c>
      <c r="U36" s="61">
        <f>S36+T36</f>
        <v>5085</v>
      </c>
      <c r="V36" s="61">
        <v>803</v>
      </c>
      <c r="W36" s="61">
        <v>935</v>
      </c>
      <c r="X36" s="61">
        <f>V36+W36</f>
        <v>1738</v>
      </c>
      <c r="Y36" s="61">
        <v>1157</v>
      </c>
      <c r="Z36" s="61">
        <f>X36+Y36</f>
        <v>2895</v>
      </c>
      <c r="AA36" s="61">
        <v>1927</v>
      </c>
      <c r="AB36" s="61">
        <f>Z36+AA36</f>
        <v>4822</v>
      </c>
      <c r="AC36" s="61">
        <v>1872</v>
      </c>
      <c r="AD36" s="61">
        <f t="shared" si="125"/>
        <v>1001</v>
      </c>
      <c r="AE36" s="61">
        <v>2873</v>
      </c>
      <c r="AF36" s="61">
        <f t="shared" si="126"/>
        <v>1623</v>
      </c>
      <c r="AG36" s="62">
        <v>4496</v>
      </c>
      <c r="AH36" s="61">
        <f>AI36-AG36</f>
        <v>2033</v>
      </c>
      <c r="AI36" s="62">
        <v>6529</v>
      </c>
      <c r="AJ36" s="61">
        <v>1564</v>
      </c>
      <c r="AK36" s="61">
        <f>3536-1564</f>
        <v>1972</v>
      </c>
      <c r="AL36" s="61">
        <f t="shared" si="127"/>
        <v>3536</v>
      </c>
      <c r="AM36" s="61">
        <f>5522-3536</f>
        <v>1986</v>
      </c>
      <c r="AN36" s="61">
        <f t="shared" si="128"/>
        <v>5522</v>
      </c>
      <c r="AO36" s="61">
        <f>7914-5522</f>
        <v>2392</v>
      </c>
      <c r="AP36" s="61">
        <f t="shared" si="128"/>
        <v>7914</v>
      </c>
      <c r="AQ36" s="61">
        <v>1741</v>
      </c>
      <c r="AR36" s="61">
        <v>2130</v>
      </c>
      <c r="AS36" s="61">
        <v>3871</v>
      </c>
      <c r="AT36" s="61">
        <v>2182</v>
      </c>
      <c r="AU36" s="61">
        <v>6053</v>
      </c>
      <c r="AV36" s="61">
        <v>2663</v>
      </c>
      <c r="AW36" s="61">
        <f t="shared" si="129"/>
        <v>8716</v>
      </c>
      <c r="AX36" s="61">
        <v>1869</v>
      </c>
      <c r="AY36" s="61">
        <f t="shared" si="7"/>
        <v>2376</v>
      </c>
      <c r="AZ36" s="61">
        <v>4245</v>
      </c>
      <c r="BA36" s="61">
        <f t="shared" si="8"/>
        <v>2266</v>
      </c>
      <c r="BB36" s="61">
        <v>6511</v>
      </c>
      <c r="BC36" s="61">
        <f t="shared" si="8"/>
        <v>3210</v>
      </c>
      <c r="BD36" s="61">
        <v>9721</v>
      </c>
      <c r="BE36" s="61">
        <v>2427</v>
      </c>
      <c r="BF36" s="61">
        <f>5630-BE36</f>
        <v>3203</v>
      </c>
      <c r="BG36" s="61">
        <f>BE36+BF36</f>
        <v>5630</v>
      </c>
      <c r="BH36" s="61">
        <f t="shared" ref="BH36:BJ37" si="131">BI36-BG36</f>
        <v>2968</v>
      </c>
      <c r="BI36" s="61">
        <v>8598</v>
      </c>
      <c r="BJ36" s="61">
        <f t="shared" si="131"/>
        <v>3445</v>
      </c>
      <c r="BK36" s="61">
        <v>12043</v>
      </c>
      <c r="BL36" s="61">
        <v>1969</v>
      </c>
      <c r="BM36" s="61">
        <f>BN36-BL36</f>
        <v>2462</v>
      </c>
      <c r="BN36" s="61">
        <v>4431</v>
      </c>
      <c r="BO36" s="61">
        <f>BP36-BN36</f>
        <v>3685</v>
      </c>
      <c r="BP36" s="61">
        <v>8116</v>
      </c>
      <c r="BQ36" s="61">
        <f>BR36-BP36</f>
        <v>3717</v>
      </c>
      <c r="BR36" s="61">
        <v>11833</v>
      </c>
      <c r="BS36" s="61">
        <v>2712</v>
      </c>
      <c r="BT36" s="61">
        <f>BU36-BS36</f>
        <v>2995</v>
      </c>
      <c r="BU36" s="61">
        <v>5707</v>
      </c>
      <c r="BV36" s="61">
        <f>BW36-BU36</f>
        <v>3361</v>
      </c>
      <c r="BW36" s="61">
        <v>9068</v>
      </c>
      <c r="BX36" s="61">
        <f>BY36-BW36</f>
        <v>4197</v>
      </c>
      <c r="BY36" s="61">
        <v>13265</v>
      </c>
      <c r="BZ36" s="61">
        <v>3203</v>
      </c>
      <c r="CA36" s="61">
        <f>CB36-BZ36</f>
        <v>2922</v>
      </c>
      <c r="CB36" s="61">
        <v>6125</v>
      </c>
      <c r="CC36" s="61">
        <f>CD36-CB36</f>
        <v>6869</v>
      </c>
      <c r="CD36" s="61">
        <v>12994</v>
      </c>
      <c r="CE36" s="61">
        <f>CF36-CD36</f>
        <v>4719</v>
      </c>
      <c r="CF36" s="61">
        <v>17713</v>
      </c>
      <c r="CG36" s="61">
        <v>5848</v>
      </c>
      <c r="CH36" s="61">
        <f>CI36-CG36</f>
        <v>3070</v>
      </c>
      <c r="CI36" s="61">
        <v>8918</v>
      </c>
      <c r="CJ36" s="61">
        <f>CK36-CI36</f>
        <v>4387</v>
      </c>
      <c r="CK36" s="61">
        <v>13305</v>
      </c>
      <c r="CL36" s="61">
        <f>CM36-CK36</f>
        <v>5229</v>
      </c>
      <c r="CM36" s="61">
        <v>18534</v>
      </c>
      <c r="CN36" s="61">
        <v>7382</v>
      </c>
      <c r="CO36" s="61">
        <f>CP36-CN36</f>
        <v>4008</v>
      </c>
      <c r="CP36" s="61">
        <v>11390</v>
      </c>
      <c r="CQ36" s="61">
        <f>CR36-CP36</f>
        <v>4672</v>
      </c>
      <c r="CR36" s="61">
        <v>16062</v>
      </c>
      <c r="CS36" s="61">
        <f>CT36-CR36</f>
        <v>6309</v>
      </c>
      <c r="CT36" s="61">
        <v>22371</v>
      </c>
      <c r="CU36" s="61">
        <v>12819</v>
      </c>
      <c r="CV36" s="61">
        <f>CW36-CU36</f>
        <v>4849</v>
      </c>
      <c r="CW36" s="61">
        <v>17668</v>
      </c>
      <c r="CX36" s="61">
        <f>CY36-CW36</f>
        <v>6428</v>
      </c>
      <c r="CY36" s="61">
        <v>24096</v>
      </c>
      <c r="CZ36" s="61">
        <f>DA36-CY36</f>
        <v>7165</v>
      </c>
      <c r="DA36" s="61">
        <v>31261</v>
      </c>
      <c r="DB36" s="61">
        <v>10938</v>
      </c>
      <c r="DC36" s="61">
        <f>DD36-DB36</f>
        <v>1755</v>
      </c>
      <c r="DD36" s="61">
        <v>12693</v>
      </c>
      <c r="DE36" s="61">
        <f>DF36-DD36</f>
        <v>7877</v>
      </c>
      <c r="DF36" s="61">
        <v>20570</v>
      </c>
      <c r="DG36" s="61">
        <f>DH36-DF36</f>
        <v>6835</v>
      </c>
      <c r="DH36" s="61">
        <v>27405</v>
      </c>
      <c r="DI36" s="61">
        <v>7104</v>
      </c>
      <c r="DJ36" s="61">
        <v>14016</v>
      </c>
      <c r="DK36" s="61">
        <f t="shared" si="11"/>
        <v>21120</v>
      </c>
    </row>
    <row r="37" spans="1:115" ht="10.5" x14ac:dyDescent="0.25">
      <c r="A37" s="56"/>
      <c r="B37" s="57"/>
      <c r="C37" s="57" t="s">
        <v>155</v>
      </c>
      <c r="D37" s="58"/>
      <c r="E37" s="59"/>
      <c r="F37" s="59"/>
      <c r="G37" s="59"/>
      <c r="H37" s="60">
        <v>0</v>
      </c>
      <c r="I37" s="61">
        <v>0</v>
      </c>
      <c r="J37" s="61">
        <f>H37+I37</f>
        <v>0</v>
      </c>
      <c r="K37" s="61">
        <f>L37-J37</f>
        <v>0</v>
      </c>
      <c r="L37" s="77">
        <v>0</v>
      </c>
      <c r="M37" s="61">
        <f>N37-L37</f>
        <v>0</v>
      </c>
      <c r="N37" s="61">
        <v>0</v>
      </c>
      <c r="O37" s="61">
        <v>0</v>
      </c>
      <c r="P37" s="61">
        <v>0</v>
      </c>
      <c r="Q37" s="61">
        <f>O37+P37</f>
        <v>0</v>
      </c>
      <c r="R37" s="61">
        <v>0</v>
      </c>
      <c r="S37" s="61">
        <f>Q37+R37</f>
        <v>0</v>
      </c>
      <c r="T37" s="61">
        <v>0</v>
      </c>
      <c r="U37" s="61">
        <f>S37+T37</f>
        <v>0</v>
      </c>
      <c r="V37" s="61">
        <v>0</v>
      </c>
      <c r="W37" s="61">
        <v>0</v>
      </c>
      <c r="X37" s="61">
        <f>V37+W37</f>
        <v>0</v>
      </c>
      <c r="Y37" s="61">
        <v>0</v>
      </c>
      <c r="Z37" s="61">
        <f>X37+Y37</f>
        <v>0</v>
      </c>
      <c r="AA37" s="61">
        <v>0</v>
      </c>
      <c r="AB37" s="61">
        <f>Z37+AA37</f>
        <v>0</v>
      </c>
      <c r="AC37" s="61">
        <v>0</v>
      </c>
      <c r="AD37" s="61">
        <f t="shared" si="125"/>
        <v>0</v>
      </c>
      <c r="AE37" s="61">
        <v>0</v>
      </c>
      <c r="AF37" s="61">
        <f t="shared" si="126"/>
        <v>0</v>
      </c>
      <c r="AG37" s="62">
        <v>0</v>
      </c>
      <c r="AH37" s="61">
        <f>AI37-AG37</f>
        <v>0</v>
      </c>
      <c r="AI37" s="62">
        <v>0</v>
      </c>
      <c r="AJ37" s="61">
        <f>AQ37-AI37</f>
        <v>0</v>
      </c>
      <c r="AK37" s="61">
        <v>0</v>
      </c>
      <c r="AL37" s="61">
        <f t="shared" si="127"/>
        <v>0</v>
      </c>
      <c r="AM37" s="61">
        <v>0</v>
      </c>
      <c r="AN37" s="61">
        <f t="shared" si="128"/>
        <v>0</v>
      </c>
      <c r="AO37" s="61">
        <f t="shared" si="128"/>
        <v>0</v>
      </c>
      <c r="AP37" s="61">
        <f t="shared" si="128"/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f t="shared" si="129"/>
        <v>0</v>
      </c>
      <c r="AX37" s="61">
        <v>0</v>
      </c>
      <c r="AY37" s="61">
        <f t="shared" si="7"/>
        <v>0</v>
      </c>
      <c r="AZ37" s="61">
        <v>0</v>
      </c>
      <c r="BA37" s="61">
        <f t="shared" si="8"/>
        <v>0</v>
      </c>
      <c r="BB37" s="61">
        <v>0</v>
      </c>
      <c r="BC37" s="61">
        <f t="shared" si="8"/>
        <v>0</v>
      </c>
      <c r="BD37" s="61">
        <v>0</v>
      </c>
      <c r="BE37" s="61">
        <v>0</v>
      </c>
      <c r="BF37" s="61">
        <v>0</v>
      </c>
      <c r="BG37" s="61">
        <f>BE37+BF37</f>
        <v>0</v>
      </c>
      <c r="BH37" s="61">
        <f t="shared" si="131"/>
        <v>0</v>
      </c>
      <c r="BI37" s="61">
        <v>0</v>
      </c>
      <c r="BJ37" s="61">
        <f t="shared" si="131"/>
        <v>0</v>
      </c>
      <c r="BK37" s="61">
        <v>0</v>
      </c>
      <c r="BL37" s="61">
        <v>0</v>
      </c>
      <c r="BM37" s="61">
        <f>BN37-BL37</f>
        <v>0</v>
      </c>
      <c r="BN37" s="61">
        <v>0</v>
      </c>
      <c r="BO37" s="61">
        <f>BP37-BN37</f>
        <v>0</v>
      </c>
      <c r="BP37" s="61">
        <v>0</v>
      </c>
      <c r="BQ37" s="61">
        <f>BR37-BP37</f>
        <v>0</v>
      </c>
      <c r="BR37" s="61">
        <v>0</v>
      </c>
      <c r="BS37" s="61">
        <v>0</v>
      </c>
      <c r="BT37" s="61">
        <f>BU37-BS37</f>
        <v>0</v>
      </c>
      <c r="BU37" s="61">
        <v>0</v>
      </c>
      <c r="BV37" s="61">
        <f>BW37-BU37</f>
        <v>0</v>
      </c>
      <c r="BW37" s="61">
        <v>0</v>
      </c>
      <c r="BX37" s="61">
        <f>BY37-BW37</f>
        <v>0</v>
      </c>
      <c r="BY37" s="61">
        <v>0</v>
      </c>
      <c r="BZ37" s="61">
        <v>0</v>
      </c>
      <c r="CA37" s="61">
        <f>CB37-BZ37</f>
        <v>0</v>
      </c>
      <c r="CB37" s="61">
        <v>0</v>
      </c>
      <c r="CC37" s="61">
        <f>CD37-CB37</f>
        <v>0</v>
      </c>
      <c r="CD37" s="61">
        <v>0</v>
      </c>
      <c r="CE37" s="61">
        <f>CF37-CD37</f>
        <v>0</v>
      </c>
      <c r="CF37" s="61">
        <v>0</v>
      </c>
      <c r="CG37" s="61">
        <v>0</v>
      </c>
      <c r="CH37" s="61">
        <f>CI37-CG37</f>
        <v>0</v>
      </c>
      <c r="CI37" s="61">
        <v>0</v>
      </c>
      <c r="CJ37" s="61">
        <f>CK37-CI37</f>
        <v>0</v>
      </c>
      <c r="CK37" s="61">
        <v>0</v>
      </c>
      <c r="CL37" s="61">
        <f>CM37-CK37</f>
        <v>0</v>
      </c>
      <c r="CM37" s="61">
        <v>0</v>
      </c>
      <c r="CN37" s="61">
        <v>0</v>
      </c>
      <c r="CO37" s="61">
        <f>CP37-CN37</f>
        <v>0</v>
      </c>
      <c r="CP37" s="61">
        <v>0</v>
      </c>
      <c r="CQ37" s="61">
        <f>CR37-CP37</f>
        <v>0</v>
      </c>
      <c r="CR37" s="61">
        <v>0</v>
      </c>
      <c r="CS37" s="61">
        <f>CT37-CR37</f>
        <v>0</v>
      </c>
      <c r="CT37" s="61">
        <v>0</v>
      </c>
      <c r="CU37" s="61">
        <v>0</v>
      </c>
      <c r="CV37" s="61">
        <f>CW37-CU37</f>
        <v>0</v>
      </c>
      <c r="CW37" s="61">
        <v>0</v>
      </c>
      <c r="CX37" s="61">
        <f>CY37-CW37</f>
        <v>0</v>
      </c>
      <c r="CY37" s="61">
        <v>0</v>
      </c>
      <c r="CZ37" s="61">
        <f>DA37-CY37</f>
        <v>0</v>
      </c>
      <c r="DA37" s="61">
        <v>0</v>
      </c>
      <c r="DB37" s="61">
        <v>0</v>
      </c>
      <c r="DC37" s="61">
        <f>DD37-DB37</f>
        <v>0</v>
      </c>
      <c r="DD37" s="61">
        <v>0</v>
      </c>
      <c r="DE37" s="61">
        <f>DF37-DD37</f>
        <v>0</v>
      </c>
      <c r="DF37" s="61">
        <v>0</v>
      </c>
      <c r="DG37" s="61">
        <f>DH37-DF37</f>
        <v>0</v>
      </c>
      <c r="DH37" s="61">
        <v>0</v>
      </c>
      <c r="DI37" s="61">
        <v>0</v>
      </c>
      <c r="DJ37" s="61">
        <v>0</v>
      </c>
      <c r="DK37" s="61">
        <f t="shared" si="11"/>
        <v>0</v>
      </c>
    </row>
    <row r="38" spans="1:115" ht="10.5" x14ac:dyDescent="0.25">
      <c r="A38" s="63"/>
      <c r="B38" s="64" t="s">
        <v>339</v>
      </c>
      <c r="C38" s="64"/>
      <c r="D38" s="65"/>
      <c r="E38" s="66"/>
      <c r="F38" s="66"/>
      <c r="G38" s="66"/>
      <c r="H38" s="74">
        <f t="shared" ref="H38:AB38" si="132">SUM(H39:H41)</f>
        <v>24698</v>
      </c>
      <c r="I38" s="75">
        <f t="shared" si="132"/>
        <v>-8795</v>
      </c>
      <c r="J38" s="75">
        <f t="shared" si="132"/>
        <v>15903</v>
      </c>
      <c r="K38" s="75">
        <f t="shared" si="132"/>
        <v>-17380</v>
      </c>
      <c r="L38" s="75">
        <f t="shared" si="132"/>
        <v>-1477</v>
      </c>
      <c r="M38" s="75">
        <f t="shared" si="132"/>
        <v>24446</v>
      </c>
      <c r="N38" s="75">
        <f t="shared" si="132"/>
        <v>22969</v>
      </c>
      <c r="O38" s="75">
        <f t="shared" si="132"/>
        <v>15943</v>
      </c>
      <c r="P38" s="75">
        <f t="shared" si="132"/>
        <v>27771</v>
      </c>
      <c r="Q38" s="75">
        <f t="shared" si="132"/>
        <v>43714</v>
      </c>
      <c r="R38" s="75">
        <f t="shared" si="132"/>
        <v>35464</v>
      </c>
      <c r="S38" s="75">
        <f t="shared" si="132"/>
        <v>79178</v>
      </c>
      <c r="T38" s="75">
        <f t="shared" si="132"/>
        <v>124807</v>
      </c>
      <c r="U38" s="75">
        <f t="shared" si="132"/>
        <v>203985</v>
      </c>
      <c r="V38" s="75">
        <f t="shared" si="132"/>
        <v>34761</v>
      </c>
      <c r="W38" s="75">
        <f t="shared" si="132"/>
        <v>38348</v>
      </c>
      <c r="X38" s="75">
        <f t="shared" si="132"/>
        <v>73109</v>
      </c>
      <c r="Y38" s="75">
        <f t="shared" si="132"/>
        <v>56263</v>
      </c>
      <c r="Z38" s="75">
        <f t="shared" si="132"/>
        <v>129372</v>
      </c>
      <c r="AA38" s="75">
        <f t="shared" si="132"/>
        <v>39455</v>
      </c>
      <c r="AB38" s="75">
        <f t="shared" si="132"/>
        <v>168827</v>
      </c>
      <c r="AC38" s="75">
        <f t="shared" ref="AC38:AI38" si="133">SUM(AC39:AC41)</f>
        <v>46386</v>
      </c>
      <c r="AD38" s="75">
        <f t="shared" si="133"/>
        <v>17693</v>
      </c>
      <c r="AE38" s="75">
        <f t="shared" si="133"/>
        <v>64079</v>
      </c>
      <c r="AF38" s="75">
        <f t="shared" si="133"/>
        <v>46647</v>
      </c>
      <c r="AG38" s="76">
        <f t="shared" si="133"/>
        <v>110726</v>
      </c>
      <c r="AH38" s="75">
        <f t="shared" si="133"/>
        <v>41092</v>
      </c>
      <c r="AI38" s="76">
        <f t="shared" si="133"/>
        <v>151818</v>
      </c>
      <c r="AJ38" s="75">
        <f t="shared" ref="AJ38:AQ38" si="134">SUM(AJ39:AJ41)</f>
        <v>58955</v>
      </c>
      <c r="AK38" s="75">
        <f t="shared" si="134"/>
        <v>48261</v>
      </c>
      <c r="AL38" s="75">
        <f t="shared" si="134"/>
        <v>107216</v>
      </c>
      <c r="AM38" s="75">
        <f t="shared" si="134"/>
        <v>30181</v>
      </c>
      <c r="AN38" s="75">
        <f t="shared" si="134"/>
        <v>137397</v>
      </c>
      <c r="AO38" s="75">
        <f t="shared" si="134"/>
        <v>28660</v>
      </c>
      <c r="AP38" s="75">
        <f t="shared" si="134"/>
        <v>166057</v>
      </c>
      <c r="AQ38" s="75">
        <f t="shared" si="134"/>
        <v>52322</v>
      </c>
      <c r="AR38" s="75">
        <f t="shared" ref="AR38:AX38" si="135">SUM(AR39:AR41)</f>
        <v>47486</v>
      </c>
      <c r="AS38" s="75">
        <f t="shared" si="135"/>
        <v>99808</v>
      </c>
      <c r="AT38" s="75">
        <f t="shared" si="135"/>
        <v>28859</v>
      </c>
      <c r="AU38" s="75">
        <f t="shared" si="135"/>
        <v>128667</v>
      </c>
      <c r="AV38" s="75">
        <f t="shared" si="135"/>
        <v>39215</v>
      </c>
      <c r="AW38" s="75">
        <f t="shared" si="135"/>
        <v>167882</v>
      </c>
      <c r="AX38" s="75">
        <f t="shared" si="135"/>
        <v>45736</v>
      </c>
      <c r="AY38" s="75">
        <f t="shared" si="7"/>
        <v>54577</v>
      </c>
      <c r="AZ38" s="75">
        <f>SUM(AZ39:AZ41)</f>
        <v>100313</v>
      </c>
      <c r="BA38" s="75">
        <f t="shared" si="8"/>
        <v>34424</v>
      </c>
      <c r="BB38" s="75">
        <f>SUM(BB39:BB41)</f>
        <v>134737</v>
      </c>
      <c r="BC38" s="75">
        <f t="shared" si="8"/>
        <v>53331</v>
      </c>
      <c r="BD38" s="75">
        <f>SUM(BD39:BD41)</f>
        <v>188068</v>
      </c>
      <c r="BE38" s="75">
        <f>SUM(BE39:BE41)</f>
        <v>26075</v>
      </c>
      <c r="BF38" s="75">
        <f>SUM(BF39:BF41)</f>
        <v>1736</v>
      </c>
      <c r="BG38" s="75">
        <f t="shared" ref="BG38:CK38" si="136">SUM(BG39:BG41)</f>
        <v>27811</v>
      </c>
      <c r="BH38" s="75">
        <f t="shared" si="136"/>
        <v>34761</v>
      </c>
      <c r="BI38" s="75">
        <f t="shared" si="136"/>
        <v>62572</v>
      </c>
      <c r="BJ38" s="75">
        <f>SUM(BJ39:BJ41)</f>
        <v>76009</v>
      </c>
      <c r="BK38" s="75">
        <f t="shared" si="136"/>
        <v>138581</v>
      </c>
      <c r="BL38" s="75">
        <f t="shared" si="136"/>
        <v>73833</v>
      </c>
      <c r="BM38" s="75">
        <f>SUM(BM39:BM41)</f>
        <v>78286</v>
      </c>
      <c r="BN38" s="75">
        <f t="shared" si="136"/>
        <v>152119</v>
      </c>
      <c r="BO38" s="75">
        <f>SUM(BO39:BO41)</f>
        <v>66917</v>
      </c>
      <c r="BP38" s="75">
        <f t="shared" si="136"/>
        <v>219036</v>
      </c>
      <c r="BQ38" s="75">
        <f>SUM(BQ39:BQ41)</f>
        <v>74903</v>
      </c>
      <c r="BR38" s="75">
        <f t="shared" si="136"/>
        <v>293939</v>
      </c>
      <c r="BS38" s="75">
        <f t="shared" si="136"/>
        <v>83257</v>
      </c>
      <c r="BT38" s="75">
        <f>SUM(BT39:BT41)</f>
        <v>87497</v>
      </c>
      <c r="BU38" s="75">
        <f t="shared" si="136"/>
        <v>170754</v>
      </c>
      <c r="BV38" s="75">
        <f>SUM(BV39:BV41)</f>
        <v>18097</v>
      </c>
      <c r="BW38" s="75">
        <f t="shared" si="136"/>
        <v>188851</v>
      </c>
      <c r="BX38" s="75">
        <f>SUM(BX39:BX41)</f>
        <v>-8118</v>
      </c>
      <c r="BY38" s="75">
        <f t="shared" si="136"/>
        <v>180733</v>
      </c>
      <c r="BZ38" s="75">
        <f t="shared" si="136"/>
        <v>58103</v>
      </c>
      <c r="CA38" s="75">
        <f>SUM(CA39:CA41)</f>
        <v>93692</v>
      </c>
      <c r="CB38" s="75">
        <f t="shared" si="136"/>
        <v>151795</v>
      </c>
      <c r="CC38" s="75">
        <f>SUM(CC39:CC41)</f>
        <v>-34835</v>
      </c>
      <c r="CD38" s="75">
        <f t="shared" si="136"/>
        <v>116960</v>
      </c>
      <c r="CE38" s="75">
        <f>SUM(CE39:CE41)</f>
        <v>7475</v>
      </c>
      <c r="CF38" s="75">
        <f t="shared" si="136"/>
        <v>124435</v>
      </c>
      <c r="CG38" s="75">
        <f t="shared" si="136"/>
        <v>88759</v>
      </c>
      <c r="CH38" s="75">
        <f>SUM(CH39:CH41)</f>
        <v>101543</v>
      </c>
      <c r="CI38" s="75">
        <f t="shared" si="136"/>
        <v>190302</v>
      </c>
      <c r="CJ38" s="75">
        <f>SUM(CJ39:CJ41)</f>
        <v>-5847</v>
      </c>
      <c r="CK38" s="75">
        <f t="shared" si="136"/>
        <v>184455</v>
      </c>
      <c r="CL38" s="75">
        <f>SUM(CL39:CL41)</f>
        <v>46002</v>
      </c>
      <c r="CM38" s="75">
        <f>SUM(CM39:CM41)</f>
        <v>230457</v>
      </c>
      <c r="CN38" s="75">
        <f>SUM(CN39:CN41)</f>
        <v>213370</v>
      </c>
      <c r="CO38" s="75">
        <f>SUM(CO39:CO41)</f>
        <v>201763</v>
      </c>
      <c r="CP38" s="75">
        <f t="shared" ref="CP38:CR38" si="137">SUM(CP39:CP41)</f>
        <v>415133</v>
      </c>
      <c r="CQ38" s="75">
        <f>SUM(CQ39:CQ41)</f>
        <v>134397</v>
      </c>
      <c r="CR38" s="75">
        <f t="shared" si="137"/>
        <v>549530</v>
      </c>
      <c r="CS38" s="75">
        <f>SUM(CS39:CS41)</f>
        <v>147901</v>
      </c>
      <c r="CT38" s="75">
        <f>SUM(CT39:CT41)</f>
        <v>697431</v>
      </c>
      <c r="CU38" s="75">
        <f>SUM(CU39:CU41)</f>
        <v>420195</v>
      </c>
      <c r="CV38" s="75">
        <f>SUM(CV39:CV41)</f>
        <v>72766</v>
      </c>
      <c r="CW38" s="75">
        <f t="shared" ref="CW38:DC38" si="138">SUM(CW39:CW41)</f>
        <v>492961</v>
      </c>
      <c r="CX38" s="75">
        <f t="shared" si="138"/>
        <v>-5848</v>
      </c>
      <c r="CY38" s="75">
        <f t="shared" si="138"/>
        <v>487113</v>
      </c>
      <c r="CZ38" s="75">
        <f t="shared" si="138"/>
        <v>483155</v>
      </c>
      <c r="DA38" s="75">
        <f t="shared" si="138"/>
        <v>970268</v>
      </c>
      <c r="DB38" s="75">
        <f t="shared" si="138"/>
        <v>362715</v>
      </c>
      <c r="DC38" s="75">
        <f t="shared" si="138"/>
        <v>263826</v>
      </c>
      <c r="DD38" s="75">
        <f>SUM(DD39:DD41)</f>
        <v>626541</v>
      </c>
      <c r="DE38" s="75">
        <f t="shared" ref="DE38:DI38" si="139">SUM(DE39:DE41)</f>
        <v>-284332</v>
      </c>
      <c r="DF38" s="75">
        <f t="shared" si="139"/>
        <v>342209</v>
      </c>
      <c r="DG38" s="75">
        <f t="shared" si="139"/>
        <v>-135588</v>
      </c>
      <c r="DH38" s="75">
        <f t="shared" si="139"/>
        <v>206621</v>
      </c>
      <c r="DI38" s="75">
        <f t="shared" si="139"/>
        <v>75744</v>
      </c>
      <c r="DJ38" s="75">
        <f t="shared" ref="DJ38:DK38" si="140">SUM(DJ39:DJ41)</f>
        <v>141174</v>
      </c>
      <c r="DK38" s="75">
        <f t="shared" si="11"/>
        <v>216918</v>
      </c>
    </row>
    <row r="39" spans="1:115" ht="10.5" x14ac:dyDescent="0.25">
      <c r="A39" s="56"/>
      <c r="B39" s="57"/>
      <c r="C39" s="57" t="s">
        <v>340</v>
      </c>
      <c r="D39" s="58"/>
      <c r="E39" s="59"/>
      <c r="F39" s="59"/>
      <c r="G39" s="59"/>
      <c r="H39" s="60">
        <v>24559</v>
      </c>
      <c r="I39" s="61">
        <v>-10779</v>
      </c>
      <c r="J39" s="61">
        <f>H39+I39</f>
        <v>13780</v>
      </c>
      <c r="K39" s="61">
        <f>L39-J39</f>
        <v>-22494</v>
      </c>
      <c r="L39" s="61">
        <v>-8714</v>
      </c>
      <c r="M39" s="61">
        <f>N39-L39</f>
        <v>18762</v>
      </c>
      <c r="N39" s="61">
        <v>10048</v>
      </c>
      <c r="O39" s="61">
        <v>10951</v>
      </c>
      <c r="P39" s="61">
        <v>26272</v>
      </c>
      <c r="Q39" s="61">
        <f>O39+P39</f>
        <v>37223</v>
      </c>
      <c r="R39" s="61">
        <v>26455</v>
      </c>
      <c r="S39" s="61">
        <f>Q39+R39</f>
        <v>63678</v>
      </c>
      <c r="T39" s="61">
        <v>110397</v>
      </c>
      <c r="U39" s="61">
        <f>S39+T39</f>
        <v>174075</v>
      </c>
      <c r="V39" s="61">
        <v>29277</v>
      </c>
      <c r="W39" s="61">
        <v>34206</v>
      </c>
      <c r="X39" s="61">
        <f>V39+W39</f>
        <v>63483</v>
      </c>
      <c r="Y39" s="61">
        <v>53187</v>
      </c>
      <c r="Z39" s="61">
        <f>X39+Y39</f>
        <v>116670</v>
      </c>
      <c r="AA39" s="61">
        <v>27825</v>
      </c>
      <c r="AB39" s="61">
        <f>Z39+AA39</f>
        <v>144495</v>
      </c>
      <c r="AC39" s="61">
        <v>40426</v>
      </c>
      <c r="AD39" s="61">
        <f t="shared" si="125"/>
        <v>7525</v>
      </c>
      <c r="AE39" s="61">
        <v>47951</v>
      </c>
      <c r="AF39" s="61">
        <f t="shared" si="126"/>
        <v>25320</v>
      </c>
      <c r="AG39" s="62">
        <v>73271</v>
      </c>
      <c r="AH39" s="61">
        <f>AI39-AG39</f>
        <v>31965</v>
      </c>
      <c r="AI39" s="62">
        <v>105236</v>
      </c>
      <c r="AJ39" s="61">
        <v>26602</v>
      </c>
      <c r="AK39" s="61">
        <f>65462-26602</f>
        <v>38860</v>
      </c>
      <c r="AL39" s="61">
        <f t="shared" si="127"/>
        <v>65462</v>
      </c>
      <c r="AM39" s="61">
        <f>86439-65462</f>
        <v>20977</v>
      </c>
      <c r="AN39" s="61">
        <f t="shared" si="128"/>
        <v>86439</v>
      </c>
      <c r="AO39" s="61">
        <f>100396-86439</f>
        <v>13957</v>
      </c>
      <c r="AP39" s="61">
        <f t="shared" si="128"/>
        <v>100396</v>
      </c>
      <c r="AQ39" s="61">
        <v>41536</v>
      </c>
      <c r="AR39" s="61">
        <v>30536</v>
      </c>
      <c r="AS39" s="61">
        <v>72072</v>
      </c>
      <c r="AT39" s="61">
        <v>18704</v>
      </c>
      <c r="AU39" s="61">
        <v>90776</v>
      </c>
      <c r="AV39" s="61">
        <v>20879</v>
      </c>
      <c r="AW39" s="61">
        <f t="shared" si="129"/>
        <v>111655</v>
      </c>
      <c r="AX39" s="61">
        <v>36197</v>
      </c>
      <c r="AY39" s="61">
        <f t="shared" si="7"/>
        <v>43881</v>
      </c>
      <c r="AZ39" s="61">
        <v>80078</v>
      </c>
      <c r="BA39" s="61">
        <f t="shared" si="8"/>
        <v>23664</v>
      </c>
      <c r="BB39" s="61">
        <v>103742</v>
      </c>
      <c r="BC39" s="61">
        <f t="shared" si="8"/>
        <v>34897</v>
      </c>
      <c r="BD39" s="61">
        <v>138639</v>
      </c>
      <c r="BE39" s="61">
        <v>17466</v>
      </c>
      <c r="BF39" s="61">
        <f>6144-BE39</f>
        <v>-11322</v>
      </c>
      <c r="BG39" s="61">
        <f>BE39+BF39</f>
        <v>6144</v>
      </c>
      <c r="BH39" s="61">
        <f t="shared" ref="BH39:BJ41" si="141">BI39-BG39</f>
        <v>12723</v>
      </c>
      <c r="BI39" s="61">
        <v>18867</v>
      </c>
      <c r="BJ39" s="61">
        <f t="shared" si="141"/>
        <v>73095</v>
      </c>
      <c r="BK39" s="61">
        <v>91962</v>
      </c>
      <c r="BL39" s="61">
        <v>65717</v>
      </c>
      <c r="BM39" s="61">
        <f>BN39-BL39</f>
        <v>68112</v>
      </c>
      <c r="BN39" s="61">
        <v>133829</v>
      </c>
      <c r="BO39" s="61">
        <f>BP39-BN39</f>
        <v>55901</v>
      </c>
      <c r="BP39" s="61">
        <v>189730</v>
      </c>
      <c r="BQ39" s="61">
        <f>BR39-BP39</f>
        <v>58586</v>
      </c>
      <c r="BR39" s="61">
        <v>248316</v>
      </c>
      <c r="BS39" s="61">
        <v>81129</v>
      </c>
      <c r="BT39" s="61">
        <f>BU39-BS39</f>
        <v>88023</v>
      </c>
      <c r="BU39" s="61">
        <v>169152</v>
      </c>
      <c r="BV39" s="61">
        <f>BW39-BU39</f>
        <v>16528</v>
      </c>
      <c r="BW39" s="61">
        <v>185680</v>
      </c>
      <c r="BX39" s="61">
        <f>BY39-BW39</f>
        <v>-7007</v>
      </c>
      <c r="BY39" s="61">
        <v>178673</v>
      </c>
      <c r="BZ39" s="61">
        <v>57383</v>
      </c>
      <c r="CA39" s="61">
        <f>CB39-BZ39</f>
        <v>93986</v>
      </c>
      <c r="CB39" s="61">
        <v>151369</v>
      </c>
      <c r="CC39" s="61">
        <f>CD39-CB39</f>
        <v>-36850</v>
      </c>
      <c r="CD39" s="61">
        <v>114519</v>
      </c>
      <c r="CE39" s="61">
        <f>CF39-CD39</f>
        <v>3582</v>
      </c>
      <c r="CF39" s="61">
        <v>118101</v>
      </c>
      <c r="CG39" s="61">
        <v>84614</v>
      </c>
      <c r="CH39" s="61">
        <f>CI39-CG39</f>
        <v>99578</v>
      </c>
      <c r="CI39" s="61">
        <v>184192</v>
      </c>
      <c r="CJ39" s="61">
        <f>CK39-CI39</f>
        <v>-7002</v>
      </c>
      <c r="CK39" s="61">
        <v>177190</v>
      </c>
      <c r="CL39" s="61">
        <f>CM39-CK39</f>
        <v>44351</v>
      </c>
      <c r="CM39" s="61">
        <v>221541</v>
      </c>
      <c r="CN39" s="61">
        <v>201367</v>
      </c>
      <c r="CO39" s="61">
        <f>CP39-CN39</f>
        <v>204543</v>
      </c>
      <c r="CP39" s="61">
        <v>405910</v>
      </c>
      <c r="CQ39" s="61">
        <f>CR39-CP39</f>
        <v>59366</v>
      </c>
      <c r="CR39" s="61">
        <v>465276</v>
      </c>
      <c r="CS39" s="61">
        <f>CT39-CR39</f>
        <v>100559</v>
      </c>
      <c r="CT39" s="61">
        <v>565835</v>
      </c>
      <c r="CU39" s="61">
        <v>397438</v>
      </c>
      <c r="CV39" s="61">
        <f>CW39-CU39</f>
        <v>159283</v>
      </c>
      <c r="CW39" s="61">
        <v>556721</v>
      </c>
      <c r="CX39" s="61">
        <f>CY39-CW39</f>
        <v>496</v>
      </c>
      <c r="CY39" s="61">
        <v>557217</v>
      </c>
      <c r="CZ39" s="61">
        <f>DA39-CY39</f>
        <v>247972</v>
      </c>
      <c r="DA39" s="61">
        <v>805189</v>
      </c>
      <c r="DB39" s="61">
        <v>318339</v>
      </c>
      <c r="DC39" s="61">
        <f>DD39-DB39</f>
        <v>221382</v>
      </c>
      <c r="DD39" s="61">
        <v>539721</v>
      </c>
      <c r="DE39" s="61">
        <f>DF39-DD39</f>
        <v>-212495</v>
      </c>
      <c r="DF39" s="61">
        <v>327226</v>
      </c>
      <c r="DG39" s="61">
        <f>DH39-DF39</f>
        <v>-143533</v>
      </c>
      <c r="DH39" s="61">
        <v>183693</v>
      </c>
      <c r="DI39" s="61">
        <v>65604</v>
      </c>
      <c r="DJ39" s="61">
        <v>136663</v>
      </c>
      <c r="DK39" s="61">
        <f t="shared" si="11"/>
        <v>202267</v>
      </c>
    </row>
    <row r="40" spans="1:115" ht="10.5" x14ac:dyDescent="0.25">
      <c r="A40" s="56"/>
      <c r="B40" s="57"/>
      <c r="C40" s="57" t="s">
        <v>341</v>
      </c>
      <c r="D40" s="58"/>
      <c r="E40" s="59"/>
      <c r="F40" s="59"/>
      <c r="G40" s="59"/>
      <c r="H40" s="60">
        <v>137</v>
      </c>
      <c r="I40" s="61">
        <v>1971</v>
      </c>
      <c r="J40" s="61">
        <f>H40+I40</f>
        <v>2108</v>
      </c>
      <c r="K40" s="61">
        <f>L40-J40</f>
        <v>5098</v>
      </c>
      <c r="L40" s="61">
        <v>7206</v>
      </c>
      <c r="M40" s="61">
        <f>N40-L40</f>
        <v>5694</v>
      </c>
      <c r="N40" s="61">
        <v>12900</v>
      </c>
      <c r="O40" s="61">
        <v>4975</v>
      </c>
      <c r="P40" s="61">
        <v>1472</v>
      </c>
      <c r="Q40" s="61">
        <f>O40+P40</f>
        <v>6447</v>
      </c>
      <c r="R40" s="61">
        <v>8991</v>
      </c>
      <c r="S40" s="61">
        <f>Q40+R40</f>
        <v>15438</v>
      </c>
      <c r="T40" s="61">
        <v>14385</v>
      </c>
      <c r="U40" s="61">
        <f>S40+T40</f>
        <v>29823</v>
      </c>
      <c r="V40" s="61">
        <v>5455</v>
      </c>
      <c r="W40" s="61">
        <v>4150</v>
      </c>
      <c r="X40" s="61">
        <f>V40+W40</f>
        <v>9605</v>
      </c>
      <c r="Y40" s="61">
        <v>3073</v>
      </c>
      <c r="Z40" s="61">
        <f>X40+Y40</f>
        <v>12678</v>
      </c>
      <c r="AA40" s="61">
        <v>11629</v>
      </c>
      <c r="AB40" s="61">
        <f>Z40+AA40</f>
        <v>24307</v>
      </c>
      <c r="AC40" s="61">
        <v>5960</v>
      </c>
      <c r="AD40" s="61">
        <f t="shared" si="125"/>
        <v>10168</v>
      </c>
      <c r="AE40" s="61">
        <v>16128</v>
      </c>
      <c r="AF40" s="61">
        <f t="shared" si="126"/>
        <v>21320</v>
      </c>
      <c r="AG40" s="62">
        <v>37448</v>
      </c>
      <c r="AH40" s="61">
        <f>AI40-AG40</f>
        <v>9127</v>
      </c>
      <c r="AI40" s="62">
        <v>46575</v>
      </c>
      <c r="AJ40" s="61">
        <v>32353</v>
      </c>
      <c r="AK40" s="61">
        <f>41734-32353</f>
        <v>9381</v>
      </c>
      <c r="AL40" s="61">
        <f t="shared" si="127"/>
        <v>41734</v>
      </c>
      <c r="AM40" s="61">
        <f>50893-41734</f>
        <v>9159</v>
      </c>
      <c r="AN40" s="61">
        <f t="shared" si="128"/>
        <v>50893</v>
      </c>
      <c r="AO40" s="61">
        <f>65473-50893</f>
        <v>14580</v>
      </c>
      <c r="AP40" s="61">
        <f t="shared" si="128"/>
        <v>65473</v>
      </c>
      <c r="AQ40" s="61">
        <v>10722</v>
      </c>
      <c r="AR40" s="61">
        <v>16762</v>
      </c>
      <c r="AS40" s="61">
        <v>27484</v>
      </c>
      <c r="AT40" s="61">
        <v>10092</v>
      </c>
      <c r="AU40" s="61">
        <v>37576</v>
      </c>
      <c r="AV40" s="61">
        <v>18224</v>
      </c>
      <c r="AW40" s="61">
        <f t="shared" si="129"/>
        <v>55800</v>
      </c>
      <c r="AX40" s="61">
        <v>9453</v>
      </c>
      <c r="AY40" s="61">
        <f t="shared" si="7"/>
        <v>10614</v>
      </c>
      <c r="AZ40" s="61">
        <v>20067</v>
      </c>
      <c r="BA40" s="61">
        <f t="shared" si="8"/>
        <v>10673</v>
      </c>
      <c r="BB40" s="61">
        <v>30740</v>
      </c>
      <c r="BC40" s="61">
        <f t="shared" si="8"/>
        <v>18353</v>
      </c>
      <c r="BD40" s="61">
        <v>49093</v>
      </c>
      <c r="BE40" s="61">
        <v>8519</v>
      </c>
      <c r="BF40" s="61">
        <f>21486-BE40</f>
        <v>12967</v>
      </c>
      <c r="BG40" s="61">
        <f>BE40+BF40</f>
        <v>21486</v>
      </c>
      <c r="BH40" s="61">
        <f t="shared" si="141"/>
        <v>21950</v>
      </c>
      <c r="BI40" s="61">
        <v>43436</v>
      </c>
      <c r="BJ40" s="61">
        <f t="shared" si="141"/>
        <v>2820</v>
      </c>
      <c r="BK40" s="61">
        <v>46256</v>
      </c>
      <c r="BL40" s="61">
        <v>8019</v>
      </c>
      <c r="BM40" s="61">
        <f>BN40-BL40</f>
        <v>10077</v>
      </c>
      <c r="BN40" s="61">
        <v>18096</v>
      </c>
      <c r="BO40" s="61">
        <f>BP40-BN40</f>
        <v>10920</v>
      </c>
      <c r="BP40" s="61">
        <v>29016</v>
      </c>
      <c r="BQ40" s="61">
        <f>BR40-BP40</f>
        <v>16215</v>
      </c>
      <c r="BR40" s="61">
        <v>45231</v>
      </c>
      <c r="BS40" s="61">
        <v>2023</v>
      </c>
      <c r="BT40" s="61">
        <f>BU40-BS40</f>
        <v>-631</v>
      </c>
      <c r="BU40" s="61">
        <v>1392</v>
      </c>
      <c r="BV40" s="61">
        <f>BW40-BU40</f>
        <v>1464</v>
      </c>
      <c r="BW40" s="61">
        <v>2856</v>
      </c>
      <c r="BX40" s="61">
        <f>BY40-BW40</f>
        <v>-1435</v>
      </c>
      <c r="BY40" s="61">
        <v>1421</v>
      </c>
      <c r="BZ40" s="61">
        <v>615</v>
      </c>
      <c r="CA40" s="61">
        <f>CB40-BZ40</f>
        <v>-510</v>
      </c>
      <c r="CB40" s="61">
        <v>105</v>
      </c>
      <c r="CC40" s="61">
        <f>CD40-CB40</f>
        <v>1898</v>
      </c>
      <c r="CD40" s="61">
        <v>2003</v>
      </c>
      <c r="CE40" s="61">
        <f>CF40-CD40</f>
        <v>3743</v>
      </c>
      <c r="CF40" s="61">
        <v>5746</v>
      </c>
      <c r="CG40" s="61">
        <v>4029</v>
      </c>
      <c r="CH40" s="61">
        <f>CI40-CG40</f>
        <v>1858</v>
      </c>
      <c r="CI40" s="61">
        <v>5887</v>
      </c>
      <c r="CJ40" s="61">
        <f>CK40-CI40</f>
        <v>996</v>
      </c>
      <c r="CK40" s="61">
        <v>6883</v>
      </c>
      <c r="CL40" s="61">
        <f>CM40-CK40</f>
        <v>1543</v>
      </c>
      <c r="CM40" s="61">
        <v>8426</v>
      </c>
      <c r="CN40" s="61">
        <v>11892</v>
      </c>
      <c r="CO40" s="61">
        <f>CP40-CN40</f>
        <v>-2906</v>
      </c>
      <c r="CP40" s="61">
        <v>8986</v>
      </c>
      <c r="CQ40" s="61">
        <f>CR40-CP40</f>
        <v>74808</v>
      </c>
      <c r="CR40" s="61">
        <v>83794</v>
      </c>
      <c r="CS40" s="61">
        <f>CT40-CR40</f>
        <v>47132</v>
      </c>
      <c r="CT40" s="61">
        <v>130926</v>
      </c>
      <c r="CU40" s="61">
        <v>22582</v>
      </c>
      <c r="CV40" s="61">
        <f>CW40-CU40</f>
        <v>-86764</v>
      </c>
      <c r="CW40" s="61">
        <v>-64182</v>
      </c>
      <c r="CX40" s="61">
        <f>CY40-CW40</f>
        <v>-6820</v>
      </c>
      <c r="CY40" s="61">
        <v>-71002</v>
      </c>
      <c r="CZ40" s="61">
        <f>DA40-CY40</f>
        <v>234870</v>
      </c>
      <c r="DA40" s="61">
        <v>163868</v>
      </c>
      <c r="DB40" s="61">
        <v>44139</v>
      </c>
      <c r="DC40" s="61">
        <f>DD40-DB40</f>
        <v>41976</v>
      </c>
      <c r="DD40" s="61">
        <v>86115</v>
      </c>
      <c r="DE40" s="61">
        <f>DF40-DD40</f>
        <v>-72155</v>
      </c>
      <c r="DF40" s="61">
        <v>13960</v>
      </c>
      <c r="DG40" s="61">
        <f>DH40-DF40</f>
        <v>7595</v>
      </c>
      <c r="DH40" s="61">
        <v>21555</v>
      </c>
      <c r="DI40" s="61">
        <v>9895</v>
      </c>
      <c r="DJ40" s="61">
        <v>3809</v>
      </c>
      <c r="DK40" s="61">
        <f t="shared" si="11"/>
        <v>13704</v>
      </c>
    </row>
    <row r="41" spans="1:115" ht="10.5" x14ac:dyDescent="0.25">
      <c r="A41" s="56"/>
      <c r="B41" s="57"/>
      <c r="C41" s="57" t="s">
        <v>342</v>
      </c>
      <c r="D41" s="58"/>
      <c r="E41" s="59"/>
      <c r="F41" s="59"/>
      <c r="G41" s="59"/>
      <c r="H41" s="60">
        <v>2</v>
      </c>
      <c r="I41" s="61">
        <v>13</v>
      </c>
      <c r="J41" s="61">
        <f>H41+I41</f>
        <v>15</v>
      </c>
      <c r="K41" s="61">
        <f>L41-J41</f>
        <v>16</v>
      </c>
      <c r="L41" s="61">
        <v>31</v>
      </c>
      <c r="M41" s="61">
        <f>N41-L41</f>
        <v>-10</v>
      </c>
      <c r="N41" s="61">
        <v>21</v>
      </c>
      <c r="O41" s="61">
        <v>17</v>
      </c>
      <c r="P41" s="61">
        <v>27</v>
      </c>
      <c r="Q41" s="61">
        <f>O41+P41</f>
        <v>44</v>
      </c>
      <c r="R41" s="61">
        <v>18</v>
      </c>
      <c r="S41" s="61">
        <f>Q41+R41</f>
        <v>62</v>
      </c>
      <c r="T41" s="61">
        <v>25</v>
      </c>
      <c r="U41" s="61">
        <f>S41+T41</f>
        <v>87</v>
      </c>
      <c r="V41" s="61">
        <v>29</v>
      </c>
      <c r="W41" s="61">
        <v>-8</v>
      </c>
      <c r="X41" s="61">
        <f>V41+W41</f>
        <v>21</v>
      </c>
      <c r="Y41" s="61">
        <v>3</v>
      </c>
      <c r="Z41" s="61">
        <f>X41+Y41</f>
        <v>24</v>
      </c>
      <c r="AA41" s="61">
        <v>1</v>
      </c>
      <c r="AB41" s="61">
        <f>Z41+AA41</f>
        <v>25</v>
      </c>
      <c r="AC41" s="61">
        <v>0</v>
      </c>
      <c r="AD41" s="61">
        <f t="shared" si="125"/>
        <v>0</v>
      </c>
      <c r="AE41" s="61">
        <v>0</v>
      </c>
      <c r="AF41" s="61">
        <f t="shared" si="126"/>
        <v>7</v>
      </c>
      <c r="AG41" s="62">
        <v>7</v>
      </c>
      <c r="AH41" s="61">
        <f>AI41-AG41</f>
        <v>0</v>
      </c>
      <c r="AI41" s="62">
        <v>7</v>
      </c>
      <c r="AJ41" s="61">
        <v>0</v>
      </c>
      <c r="AK41" s="61">
        <v>20</v>
      </c>
      <c r="AL41" s="61">
        <f t="shared" si="127"/>
        <v>20</v>
      </c>
      <c r="AM41" s="61">
        <v>45</v>
      </c>
      <c r="AN41" s="61">
        <f t="shared" si="128"/>
        <v>65</v>
      </c>
      <c r="AO41" s="61">
        <f>188-65</f>
        <v>123</v>
      </c>
      <c r="AP41" s="61">
        <f t="shared" si="128"/>
        <v>188</v>
      </c>
      <c r="AQ41" s="61">
        <v>64</v>
      </c>
      <c r="AR41" s="61">
        <v>188</v>
      </c>
      <c r="AS41" s="61">
        <v>252</v>
      </c>
      <c r="AT41" s="61">
        <v>63</v>
      </c>
      <c r="AU41" s="61">
        <v>315</v>
      </c>
      <c r="AV41" s="61">
        <v>112</v>
      </c>
      <c r="AW41" s="61">
        <f t="shared" si="129"/>
        <v>427</v>
      </c>
      <c r="AX41" s="61">
        <v>86</v>
      </c>
      <c r="AY41" s="61">
        <f t="shared" si="7"/>
        <v>82</v>
      </c>
      <c r="AZ41" s="61">
        <v>168</v>
      </c>
      <c r="BA41" s="61">
        <f t="shared" si="8"/>
        <v>87</v>
      </c>
      <c r="BB41" s="61">
        <v>255</v>
      </c>
      <c r="BC41" s="61">
        <f t="shared" si="8"/>
        <v>81</v>
      </c>
      <c r="BD41" s="61">
        <v>336</v>
      </c>
      <c r="BE41" s="61">
        <v>90</v>
      </c>
      <c r="BF41" s="61">
        <f>181-BE41</f>
        <v>91</v>
      </c>
      <c r="BG41" s="61">
        <f>BE41+BF41</f>
        <v>181</v>
      </c>
      <c r="BH41" s="61">
        <f t="shared" si="141"/>
        <v>88</v>
      </c>
      <c r="BI41" s="61">
        <v>269</v>
      </c>
      <c r="BJ41" s="61">
        <f t="shared" si="141"/>
        <v>94</v>
      </c>
      <c r="BK41" s="61">
        <v>363</v>
      </c>
      <c r="BL41" s="61">
        <v>97</v>
      </c>
      <c r="BM41" s="61">
        <f>BN41-BL41</f>
        <v>97</v>
      </c>
      <c r="BN41" s="61">
        <v>194</v>
      </c>
      <c r="BO41" s="61">
        <f>BP41-BN41</f>
        <v>96</v>
      </c>
      <c r="BP41" s="61">
        <v>290</v>
      </c>
      <c r="BQ41" s="61">
        <f>BR41-BP41</f>
        <v>102</v>
      </c>
      <c r="BR41" s="61">
        <v>392</v>
      </c>
      <c r="BS41" s="61">
        <v>105</v>
      </c>
      <c r="BT41" s="61">
        <f>BU41-BS41</f>
        <v>105</v>
      </c>
      <c r="BU41" s="61">
        <v>210</v>
      </c>
      <c r="BV41" s="61">
        <f>BW41-BU41</f>
        <v>105</v>
      </c>
      <c r="BW41" s="61">
        <v>315</v>
      </c>
      <c r="BX41" s="61">
        <f>BY41-BW41</f>
        <v>324</v>
      </c>
      <c r="BY41" s="61">
        <v>639</v>
      </c>
      <c r="BZ41" s="61">
        <v>105</v>
      </c>
      <c r="CA41" s="61">
        <f>CB41-BZ41</f>
        <v>216</v>
      </c>
      <c r="CB41" s="61">
        <v>321</v>
      </c>
      <c r="CC41" s="61">
        <f>CD41-CB41</f>
        <v>117</v>
      </c>
      <c r="CD41" s="61">
        <v>438</v>
      </c>
      <c r="CE41" s="61">
        <f>CF41-CD41</f>
        <v>150</v>
      </c>
      <c r="CF41" s="61">
        <v>588</v>
      </c>
      <c r="CG41" s="61">
        <v>116</v>
      </c>
      <c r="CH41" s="61">
        <f>CI41-CG41</f>
        <v>107</v>
      </c>
      <c r="CI41" s="61">
        <v>223</v>
      </c>
      <c r="CJ41" s="61">
        <f>CK41-CI41</f>
        <v>159</v>
      </c>
      <c r="CK41" s="61">
        <v>382</v>
      </c>
      <c r="CL41" s="61">
        <f>CM41-CK41</f>
        <v>108</v>
      </c>
      <c r="CM41" s="61">
        <v>490</v>
      </c>
      <c r="CN41" s="61">
        <v>111</v>
      </c>
      <c r="CO41" s="61">
        <f>CP41-CN41</f>
        <v>126</v>
      </c>
      <c r="CP41" s="61">
        <v>237</v>
      </c>
      <c r="CQ41" s="61">
        <f>CR41-CP41</f>
        <v>223</v>
      </c>
      <c r="CR41" s="61">
        <v>460</v>
      </c>
      <c r="CS41" s="61">
        <f>CT41-CR41</f>
        <v>210</v>
      </c>
      <c r="CT41" s="61">
        <v>670</v>
      </c>
      <c r="CU41" s="61">
        <v>175</v>
      </c>
      <c r="CV41" s="61">
        <f>CW41-CU41</f>
        <v>247</v>
      </c>
      <c r="CW41" s="61">
        <v>422</v>
      </c>
      <c r="CX41" s="61">
        <f>CY41-CW41</f>
        <v>476</v>
      </c>
      <c r="CY41" s="61">
        <v>898</v>
      </c>
      <c r="CZ41" s="61">
        <f>DA41-CY41</f>
        <v>313</v>
      </c>
      <c r="DA41" s="61">
        <v>1211</v>
      </c>
      <c r="DB41" s="61">
        <v>237</v>
      </c>
      <c r="DC41" s="61">
        <f>DD41-DB41</f>
        <v>468</v>
      </c>
      <c r="DD41" s="61">
        <v>705</v>
      </c>
      <c r="DE41" s="61">
        <f>DF41-DD41</f>
        <v>318</v>
      </c>
      <c r="DF41" s="61">
        <v>1023</v>
      </c>
      <c r="DG41" s="61">
        <f>DH41-DF41</f>
        <v>350</v>
      </c>
      <c r="DH41" s="61">
        <v>1373</v>
      </c>
      <c r="DI41" s="61">
        <v>245</v>
      </c>
      <c r="DJ41" s="61">
        <v>702</v>
      </c>
      <c r="DK41" s="61">
        <f t="shared" si="11"/>
        <v>947</v>
      </c>
    </row>
    <row r="42" spans="1:115" ht="10.5" x14ac:dyDescent="0.25">
      <c r="A42" s="63"/>
      <c r="B42" s="64" t="s">
        <v>343</v>
      </c>
      <c r="C42" s="64"/>
      <c r="D42" s="65"/>
      <c r="E42" s="66"/>
      <c r="F42" s="66"/>
      <c r="G42" s="66"/>
      <c r="H42" s="74">
        <f t="shared" ref="H42:AB42" si="142">SUM(H43:H45)</f>
        <v>54694</v>
      </c>
      <c r="I42" s="75">
        <f t="shared" si="142"/>
        <v>75033</v>
      </c>
      <c r="J42" s="75">
        <f t="shared" si="142"/>
        <v>129727</v>
      </c>
      <c r="K42" s="75">
        <f t="shared" si="142"/>
        <v>35348</v>
      </c>
      <c r="L42" s="75">
        <f t="shared" si="142"/>
        <v>165075</v>
      </c>
      <c r="M42" s="75">
        <f t="shared" si="142"/>
        <v>15004</v>
      </c>
      <c r="N42" s="75">
        <f t="shared" si="142"/>
        <v>180079</v>
      </c>
      <c r="O42" s="75">
        <f t="shared" si="142"/>
        <v>25604</v>
      </c>
      <c r="P42" s="75">
        <f t="shared" si="142"/>
        <v>28013</v>
      </c>
      <c r="Q42" s="75">
        <f t="shared" si="142"/>
        <v>53617</v>
      </c>
      <c r="R42" s="75">
        <f t="shared" si="142"/>
        <v>44659</v>
      </c>
      <c r="S42" s="75">
        <f t="shared" si="142"/>
        <v>98276</v>
      </c>
      <c r="T42" s="75">
        <f t="shared" si="142"/>
        <v>-40618</v>
      </c>
      <c r="U42" s="75">
        <f t="shared" si="142"/>
        <v>57658</v>
      </c>
      <c r="V42" s="75">
        <f t="shared" si="142"/>
        <v>46606</v>
      </c>
      <c r="W42" s="75">
        <f t="shared" si="142"/>
        <v>21412</v>
      </c>
      <c r="X42" s="75">
        <f t="shared" si="142"/>
        <v>68018</v>
      </c>
      <c r="Y42" s="75">
        <f t="shared" si="142"/>
        <v>25868</v>
      </c>
      <c r="Z42" s="75">
        <f t="shared" si="142"/>
        <v>93886</v>
      </c>
      <c r="AA42" s="75">
        <f t="shared" si="142"/>
        <v>37298</v>
      </c>
      <c r="AB42" s="75">
        <f t="shared" si="142"/>
        <v>131184</v>
      </c>
      <c r="AC42" s="75">
        <f t="shared" ref="AC42:AI42" si="143">SUM(AC43:AC45)</f>
        <v>51376</v>
      </c>
      <c r="AD42" s="75">
        <f t="shared" si="143"/>
        <v>78008</v>
      </c>
      <c r="AE42" s="75">
        <f t="shared" si="143"/>
        <v>129384</v>
      </c>
      <c r="AF42" s="75">
        <f t="shared" si="143"/>
        <v>74729</v>
      </c>
      <c r="AG42" s="76">
        <f t="shared" si="143"/>
        <v>204113</v>
      </c>
      <c r="AH42" s="75">
        <f t="shared" si="143"/>
        <v>40796</v>
      </c>
      <c r="AI42" s="76">
        <f t="shared" si="143"/>
        <v>244909</v>
      </c>
      <c r="AJ42" s="75">
        <f t="shared" ref="AJ42:AQ42" si="144">SUM(AJ43:AJ45)</f>
        <v>33563</v>
      </c>
      <c r="AK42" s="75">
        <f t="shared" si="144"/>
        <v>47485</v>
      </c>
      <c r="AL42" s="75">
        <f t="shared" si="144"/>
        <v>81048</v>
      </c>
      <c r="AM42" s="75">
        <f t="shared" si="144"/>
        <v>55156</v>
      </c>
      <c r="AN42" s="75">
        <f t="shared" si="144"/>
        <v>136204</v>
      </c>
      <c r="AO42" s="75">
        <f t="shared" si="144"/>
        <v>71192</v>
      </c>
      <c r="AP42" s="75">
        <f t="shared" si="144"/>
        <v>207396</v>
      </c>
      <c r="AQ42" s="75">
        <f t="shared" si="144"/>
        <v>75868</v>
      </c>
      <c r="AR42" s="75">
        <f t="shared" ref="AR42:AX42" si="145">SUM(AR43:AR45)</f>
        <v>60859</v>
      </c>
      <c r="AS42" s="75">
        <f t="shared" si="145"/>
        <v>136727</v>
      </c>
      <c r="AT42" s="75">
        <f t="shared" si="145"/>
        <v>62287</v>
      </c>
      <c r="AU42" s="75">
        <f t="shared" si="145"/>
        <v>199014</v>
      </c>
      <c r="AV42" s="75">
        <f t="shared" si="145"/>
        <v>97689</v>
      </c>
      <c r="AW42" s="75">
        <f t="shared" si="145"/>
        <v>296703</v>
      </c>
      <c r="AX42" s="75">
        <f t="shared" si="145"/>
        <v>201133</v>
      </c>
      <c r="AY42" s="75">
        <f t="shared" si="7"/>
        <v>179112</v>
      </c>
      <c r="AZ42" s="75">
        <f>SUM(AZ43:AZ45)</f>
        <v>380245</v>
      </c>
      <c r="BA42" s="75">
        <f t="shared" si="8"/>
        <v>184924</v>
      </c>
      <c r="BB42" s="75">
        <f>SUM(BB43:BB45)</f>
        <v>565169</v>
      </c>
      <c r="BC42" s="75">
        <f t="shared" si="8"/>
        <v>255862</v>
      </c>
      <c r="BD42" s="75">
        <f>SUM(BD43:BD45)</f>
        <v>821031</v>
      </c>
      <c r="BE42" s="75">
        <f>SUM(BE43:BE45)</f>
        <v>253011</v>
      </c>
      <c r="BF42" s="75">
        <f>SUM(BF43:BF45)</f>
        <v>184293</v>
      </c>
      <c r="BG42" s="75">
        <f t="shared" ref="BG42:CK42" si="146">SUM(BG43:BG45)</f>
        <v>437304</v>
      </c>
      <c r="BH42" s="75">
        <f t="shared" si="146"/>
        <v>68336</v>
      </c>
      <c r="BI42" s="75">
        <f t="shared" si="146"/>
        <v>505640</v>
      </c>
      <c r="BJ42" s="75">
        <f>SUM(BJ43:BJ45)</f>
        <v>85080</v>
      </c>
      <c r="BK42" s="75">
        <f t="shared" si="146"/>
        <v>590720</v>
      </c>
      <c r="BL42" s="75">
        <f t="shared" si="146"/>
        <v>106196</v>
      </c>
      <c r="BM42" s="75">
        <f>SUM(BM43:BM45)</f>
        <v>73489</v>
      </c>
      <c r="BN42" s="75">
        <f t="shared" si="146"/>
        <v>179685</v>
      </c>
      <c r="BO42" s="75">
        <f>SUM(BO43:BO45)</f>
        <v>57778</v>
      </c>
      <c r="BP42" s="75">
        <f t="shared" si="146"/>
        <v>237463</v>
      </c>
      <c r="BQ42" s="75">
        <f>SUM(BQ43:BQ45)</f>
        <v>83201</v>
      </c>
      <c r="BR42" s="75">
        <f t="shared" si="146"/>
        <v>320664</v>
      </c>
      <c r="BS42" s="75">
        <f t="shared" si="146"/>
        <v>66344</v>
      </c>
      <c r="BT42" s="75">
        <f>SUM(BT43:BT45)</f>
        <v>106912</v>
      </c>
      <c r="BU42" s="75">
        <f t="shared" si="146"/>
        <v>173256</v>
      </c>
      <c r="BV42" s="75">
        <f>SUM(BV43:BV45)</f>
        <v>156082</v>
      </c>
      <c r="BW42" s="75">
        <f t="shared" si="146"/>
        <v>329338</v>
      </c>
      <c r="BX42" s="75">
        <f>SUM(BX43:BX45)</f>
        <v>243138</v>
      </c>
      <c r="BY42" s="75">
        <f t="shared" si="146"/>
        <v>572476</v>
      </c>
      <c r="BZ42" s="75">
        <f t="shared" si="146"/>
        <v>123726</v>
      </c>
      <c r="CA42" s="75">
        <f>SUM(CA43:CA45)</f>
        <v>116998</v>
      </c>
      <c r="CB42" s="75">
        <f t="shared" si="146"/>
        <v>240724</v>
      </c>
      <c r="CC42" s="75">
        <f>SUM(CC43:CC45)</f>
        <v>133422</v>
      </c>
      <c r="CD42" s="75">
        <f t="shared" si="146"/>
        <v>374146</v>
      </c>
      <c r="CE42" s="75">
        <f>SUM(CE43:CE45)</f>
        <v>118934</v>
      </c>
      <c r="CF42" s="75">
        <f t="shared" si="146"/>
        <v>493080</v>
      </c>
      <c r="CG42" s="75">
        <f t="shared" si="146"/>
        <v>266265</v>
      </c>
      <c r="CH42" s="75">
        <f>SUM(CH43:CH45)</f>
        <v>219459</v>
      </c>
      <c r="CI42" s="75">
        <f t="shared" si="146"/>
        <v>485724</v>
      </c>
      <c r="CJ42" s="75">
        <f>SUM(CJ43:CJ45)</f>
        <v>243387</v>
      </c>
      <c r="CK42" s="75">
        <f t="shared" si="146"/>
        <v>729111</v>
      </c>
      <c r="CL42" s="75">
        <f>SUM(CL43:CL45)</f>
        <v>342670</v>
      </c>
      <c r="CM42" s="75">
        <f>SUM(CM43:CM45)</f>
        <v>1071781</v>
      </c>
      <c r="CN42" s="75">
        <f>SUM(CN43:CN45)</f>
        <v>255240</v>
      </c>
      <c r="CO42" s="75">
        <f>SUM(CO43:CO45)</f>
        <v>298222</v>
      </c>
      <c r="CP42" s="75">
        <f t="shared" ref="CP42:CR42" si="147">SUM(CP43:CP45)</f>
        <v>553462</v>
      </c>
      <c r="CQ42" s="75">
        <f>SUM(CQ43:CQ45)</f>
        <v>500052</v>
      </c>
      <c r="CR42" s="75">
        <f t="shared" si="147"/>
        <v>1053514</v>
      </c>
      <c r="CS42" s="75">
        <f>SUM(CS43:CS45)</f>
        <v>395588</v>
      </c>
      <c r="CT42" s="75">
        <f>SUM(CT43:CT45)</f>
        <v>1449102</v>
      </c>
      <c r="CU42" s="75">
        <f>SUM(CU43:CU45)</f>
        <v>510754</v>
      </c>
      <c r="CV42" s="75">
        <f>SUM(CV43:CV45)</f>
        <v>517740</v>
      </c>
      <c r="CW42" s="75">
        <f t="shared" ref="CW42:DC42" si="148">SUM(CW43:CW45)</f>
        <v>1028494</v>
      </c>
      <c r="CX42" s="75">
        <f t="shared" si="148"/>
        <v>272685</v>
      </c>
      <c r="CY42" s="75">
        <f t="shared" si="148"/>
        <v>1301179</v>
      </c>
      <c r="CZ42" s="75">
        <f t="shared" si="148"/>
        <v>331976</v>
      </c>
      <c r="DA42" s="75">
        <f t="shared" si="148"/>
        <v>1633155</v>
      </c>
      <c r="DB42" s="75">
        <f t="shared" si="148"/>
        <v>320519</v>
      </c>
      <c r="DC42" s="75">
        <f t="shared" si="148"/>
        <v>347257</v>
      </c>
      <c r="DD42" s="75">
        <f>SUM(DD43:DD45)</f>
        <v>667776</v>
      </c>
      <c r="DE42" s="75">
        <f t="shared" ref="DE42:DI42" si="149">SUM(DE43:DE45)</f>
        <v>298419</v>
      </c>
      <c r="DF42" s="75">
        <f t="shared" si="149"/>
        <v>966195</v>
      </c>
      <c r="DG42" s="75">
        <f t="shared" si="149"/>
        <v>392146</v>
      </c>
      <c r="DH42" s="75">
        <f t="shared" si="149"/>
        <v>1358341</v>
      </c>
      <c r="DI42" s="75">
        <f t="shared" si="149"/>
        <v>284909</v>
      </c>
      <c r="DJ42" s="75">
        <f t="shared" ref="DJ42:DK42" si="150">SUM(DJ43:DJ45)</f>
        <v>697155</v>
      </c>
      <c r="DK42" s="75">
        <f t="shared" si="11"/>
        <v>982064</v>
      </c>
    </row>
    <row r="43" spans="1:115" ht="10.5" x14ac:dyDescent="0.25">
      <c r="A43" s="56"/>
      <c r="B43" s="57"/>
      <c r="C43" s="57" t="s">
        <v>344</v>
      </c>
      <c r="D43" s="58"/>
      <c r="E43" s="59"/>
      <c r="F43" s="59"/>
      <c r="G43" s="59"/>
      <c r="H43" s="60">
        <v>53194</v>
      </c>
      <c r="I43" s="61">
        <v>68597</v>
      </c>
      <c r="J43" s="61">
        <f>H43+I43</f>
        <v>121791</v>
      </c>
      <c r="K43" s="61">
        <f>L43-J43</f>
        <v>32415</v>
      </c>
      <c r="L43" s="61">
        <v>154206</v>
      </c>
      <c r="M43" s="61">
        <f>N43-L43</f>
        <v>11082</v>
      </c>
      <c r="N43" s="61">
        <v>165288</v>
      </c>
      <c r="O43" s="61">
        <v>21735</v>
      </c>
      <c r="P43" s="61">
        <v>25439</v>
      </c>
      <c r="Q43" s="61">
        <f>O43+P43</f>
        <v>47174</v>
      </c>
      <c r="R43" s="61">
        <v>44345</v>
      </c>
      <c r="S43" s="61">
        <f>Q43+R43</f>
        <v>91519</v>
      </c>
      <c r="T43" s="61">
        <v>-47587</v>
      </c>
      <c r="U43" s="61">
        <f>S43+T43</f>
        <v>43932</v>
      </c>
      <c r="V43" s="61">
        <v>44736</v>
      </c>
      <c r="W43" s="61">
        <v>17685</v>
      </c>
      <c r="X43" s="61">
        <f>V43+W43</f>
        <v>62421</v>
      </c>
      <c r="Y43" s="61">
        <v>24732</v>
      </c>
      <c r="Z43" s="61">
        <f>X43+Y43</f>
        <v>87153</v>
      </c>
      <c r="AA43" s="61">
        <v>32001</v>
      </c>
      <c r="AB43" s="61">
        <f>Z43+AA43</f>
        <v>119154</v>
      </c>
      <c r="AC43" s="61">
        <v>46112</v>
      </c>
      <c r="AD43" s="61">
        <f t="shared" si="125"/>
        <v>76930</v>
      </c>
      <c r="AE43" s="61">
        <v>123042</v>
      </c>
      <c r="AF43" s="61">
        <f t="shared" si="126"/>
        <v>69811</v>
      </c>
      <c r="AG43" s="62">
        <v>192853</v>
      </c>
      <c r="AH43" s="61">
        <f>AI43-AG43</f>
        <v>38660</v>
      </c>
      <c r="AI43" s="62">
        <v>231513</v>
      </c>
      <c r="AJ43" s="61">
        <v>32862</v>
      </c>
      <c r="AK43" s="61">
        <f>72593-32862</f>
        <v>39731</v>
      </c>
      <c r="AL43" s="61">
        <f t="shared" si="127"/>
        <v>72593</v>
      </c>
      <c r="AM43" s="61">
        <f>120128-72593</f>
        <v>47535</v>
      </c>
      <c r="AN43" s="61">
        <f t="shared" si="128"/>
        <v>120128</v>
      </c>
      <c r="AO43" s="61">
        <f>184482-120128</f>
        <v>64354</v>
      </c>
      <c r="AP43" s="61">
        <f t="shared" si="128"/>
        <v>184482</v>
      </c>
      <c r="AQ43" s="61">
        <v>74392</v>
      </c>
      <c r="AR43" s="61">
        <v>48579</v>
      </c>
      <c r="AS43" s="61">
        <v>122971</v>
      </c>
      <c r="AT43" s="61">
        <v>55962</v>
      </c>
      <c r="AU43" s="61">
        <v>178933</v>
      </c>
      <c r="AV43" s="61">
        <v>89122</v>
      </c>
      <c r="AW43" s="61">
        <f t="shared" si="129"/>
        <v>268055</v>
      </c>
      <c r="AX43" s="61">
        <v>196856</v>
      </c>
      <c r="AY43" s="61">
        <f t="shared" si="7"/>
        <v>164965</v>
      </c>
      <c r="AZ43" s="61">
        <v>361821</v>
      </c>
      <c r="BA43" s="61">
        <f t="shared" si="8"/>
        <v>177677</v>
      </c>
      <c r="BB43" s="61">
        <v>539498</v>
      </c>
      <c r="BC43" s="61">
        <f t="shared" si="8"/>
        <v>240587</v>
      </c>
      <c r="BD43" s="61">
        <v>780085</v>
      </c>
      <c r="BE43" s="61">
        <v>249247</v>
      </c>
      <c r="BF43" s="61">
        <f>414440-BE43</f>
        <v>165193</v>
      </c>
      <c r="BG43" s="61">
        <f>BE43+BF43</f>
        <v>414440</v>
      </c>
      <c r="BH43" s="61">
        <f t="shared" ref="BH43:BJ45" si="151">BI43-BG43</f>
        <v>59493</v>
      </c>
      <c r="BI43" s="61">
        <v>473933</v>
      </c>
      <c r="BJ43" s="61">
        <f t="shared" si="151"/>
        <v>63743</v>
      </c>
      <c r="BK43" s="61">
        <v>537676</v>
      </c>
      <c r="BL43" s="61">
        <v>104099</v>
      </c>
      <c r="BM43" s="61">
        <f>BN43-BL43</f>
        <v>61673</v>
      </c>
      <c r="BN43" s="61">
        <v>165772</v>
      </c>
      <c r="BO43" s="61">
        <f>BP43-BN43</f>
        <v>48831</v>
      </c>
      <c r="BP43" s="61">
        <v>214603</v>
      </c>
      <c r="BQ43" s="61">
        <f>BR43-BP43</f>
        <v>59256</v>
      </c>
      <c r="BR43" s="61">
        <v>273859</v>
      </c>
      <c r="BS43" s="61">
        <v>53362</v>
      </c>
      <c r="BT43" s="61">
        <f>BU43-BS43</f>
        <v>92139</v>
      </c>
      <c r="BU43" s="61">
        <v>145501</v>
      </c>
      <c r="BV43" s="61">
        <f>BW43-BU43</f>
        <v>144866</v>
      </c>
      <c r="BW43" s="61">
        <v>290367</v>
      </c>
      <c r="BX43" s="61">
        <f>BY43-BW43</f>
        <v>199263</v>
      </c>
      <c r="BY43" s="61">
        <v>489630</v>
      </c>
      <c r="BZ43" s="61">
        <v>111085</v>
      </c>
      <c r="CA43" s="61">
        <f>CB43-BZ43</f>
        <v>97087</v>
      </c>
      <c r="CB43" s="61">
        <v>208172</v>
      </c>
      <c r="CC43" s="61">
        <f>CD43-CB43</f>
        <v>101961</v>
      </c>
      <c r="CD43" s="61">
        <v>310133</v>
      </c>
      <c r="CE43" s="61">
        <f>CF43-CD43</f>
        <v>156950</v>
      </c>
      <c r="CF43" s="61">
        <v>467083</v>
      </c>
      <c r="CG43" s="61">
        <v>257188</v>
      </c>
      <c r="CH43" s="61">
        <f>CI43-CG43</f>
        <v>216713</v>
      </c>
      <c r="CI43" s="61">
        <v>473901</v>
      </c>
      <c r="CJ43" s="61">
        <f>CK43-CI43</f>
        <v>237321</v>
      </c>
      <c r="CK43" s="61">
        <v>711222</v>
      </c>
      <c r="CL43" s="61">
        <f>CM43-CK43</f>
        <v>338736</v>
      </c>
      <c r="CM43" s="61">
        <v>1049958</v>
      </c>
      <c r="CN43" s="61">
        <v>251246</v>
      </c>
      <c r="CO43" s="61">
        <f>CP43-CN43</f>
        <v>293300</v>
      </c>
      <c r="CP43" s="61">
        <v>544546</v>
      </c>
      <c r="CQ43" s="61">
        <f>CR43-CP43</f>
        <v>491012</v>
      </c>
      <c r="CR43" s="61">
        <v>1035558</v>
      </c>
      <c r="CS43" s="61">
        <f>CT43-CR43</f>
        <v>391321</v>
      </c>
      <c r="CT43" s="61">
        <v>1426879</v>
      </c>
      <c r="CU43" s="61">
        <v>503839</v>
      </c>
      <c r="CV43" s="61">
        <f>CW43-CU43</f>
        <v>481382</v>
      </c>
      <c r="CW43" s="61">
        <v>985221</v>
      </c>
      <c r="CX43" s="61">
        <f>CY43-CW43</f>
        <v>259834</v>
      </c>
      <c r="CY43" s="61">
        <v>1245055</v>
      </c>
      <c r="CZ43" s="61">
        <f>DA43-CY43</f>
        <v>276660</v>
      </c>
      <c r="DA43" s="61">
        <v>1521715</v>
      </c>
      <c r="DB43" s="61">
        <v>288149</v>
      </c>
      <c r="DC43" s="61">
        <f>DD43-DB43</f>
        <v>340923</v>
      </c>
      <c r="DD43" s="61">
        <v>629072</v>
      </c>
      <c r="DE43" s="61">
        <f>DF43-DD43</f>
        <v>274521</v>
      </c>
      <c r="DF43" s="61">
        <v>903593</v>
      </c>
      <c r="DG43" s="61">
        <f>DH43-DF43</f>
        <v>326999</v>
      </c>
      <c r="DH43" s="61">
        <v>1230592</v>
      </c>
      <c r="DI43" s="61">
        <v>279634</v>
      </c>
      <c r="DJ43" s="61">
        <v>686478</v>
      </c>
      <c r="DK43" s="61">
        <f t="shared" si="11"/>
        <v>966112</v>
      </c>
    </row>
    <row r="44" spans="1:115" ht="10.5" x14ac:dyDescent="0.25">
      <c r="A44" s="56"/>
      <c r="B44" s="57"/>
      <c r="C44" s="57" t="s">
        <v>288</v>
      </c>
      <c r="D44" s="58"/>
      <c r="E44" s="59"/>
      <c r="F44" s="59"/>
      <c r="G44" s="59"/>
      <c r="H44" s="60">
        <v>1956</v>
      </c>
      <c r="I44" s="61">
        <v>5980</v>
      </c>
      <c r="J44" s="61">
        <f>H44+I44</f>
        <v>7936</v>
      </c>
      <c r="K44" s="61">
        <f>L44-J44</f>
        <v>2933</v>
      </c>
      <c r="L44" s="61">
        <v>10869</v>
      </c>
      <c r="M44" s="61">
        <f>N44-L44</f>
        <v>3922</v>
      </c>
      <c r="N44" s="61">
        <v>14791</v>
      </c>
      <c r="O44" s="61">
        <v>3869</v>
      </c>
      <c r="P44" s="61">
        <v>2574</v>
      </c>
      <c r="Q44" s="61">
        <f>O44+P44</f>
        <v>6443</v>
      </c>
      <c r="R44" s="61">
        <v>314</v>
      </c>
      <c r="S44" s="61">
        <f>Q44+R44</f>
        <v>6757</v>
      </c>
      <c r="T44" s="61">
        <v>6969</v>
      </c>
      <c r="U44" s="61">
        <f>S44+T44</f>
        <v>13726</v>
      </c>
      <c r="V44" s="61">
        <v>1870</v>
      </c>
      <c r="W44" s="61">
        <v>3727</v>
      </c>
      <c r="X44" s="61">
        <f>V44+W44</f>
        <v>5597</v>
      </c>
      <c r="Y44" s="61">
        <v>1136</v>
      </c>
      <c r="Z44" s="61">
        <f>X44+Y44</f>
        <v>6733</v>
      </c>
      <c r="AA44" s="61">
        <v>5297</v>
      </c>
      <c r="AB44" s="61">
        <f>Z44+AA44</f>
        <v>12030</v>
      </c>
      <c r="AC44" s="61">
        <v>5264</v>
      </c>
      <c r="AD44" s="61">
        <f t="shared" si="125"/>
        <v>1078</v>
      </c>
      <c r="AE44" s="61">
        <v>6342</v>
      </c>
      <c r="AF44" s="61">
        <f t="shared" si="126"/>
        <v>4918</v>
      </c>
      <c r="AG44" s="61">
        <v>11260</v>
      </c>
      <c r="AH44" s="61">
        <f>AI44-AG44</f>
        <v>2136</v>
      </c>
      <c r="AI44" s="61">
        <v>13396</v>
      </c>
      <c r="AJ44" s="61">
        <v>701</v>
      </c>
      <c r="AK44" s="61">
        <f>8455-701</f>
        <v>7754</v>
      </c>
      <c r="AL44" s="61">
        <f t="shared" si="127"/>
        <v>8455</v>
      </c>
      <c r="AM44" s="61">
        <f>16076-8455</f>
        <v>7621</v>
      </c>
      <c r="AN44" s="61">
        <f t="shared" si="128"/>
        <v>16076</v>
      </c>
      <c r="AO44" s="61">
        <f>22914-16076</f>
        <v>6838</v>
      </c>
      <c r="AP44" s="61">
        <f t="shared" si="128"/>
        <v>22914</v>
      </c>
      <c r="AQ44" s="61">
        <v>1476</v>
      </c>
      <c r="AR44" s="61">
        <v>12280</v>
      </c>
      <c r="AS44" s="61">
        <v>13756</v>
      </c>
      <c r="AT44" s="61">
        <v>6325</v>
      </c>
      <c r="AU44" s="61">
        <v>20081</v>
      </c>
      <c r="AV44" s="61">
        <v>8567</v>
      </c>
      <c r="AW44" s="61">
        <f t="shared" si="129"/>
        <v>28648</v>
      </c>
      <c r="AX44" s="61">
        <v>4277</v>
      </c>
      <c r="AY44" s="61">
        <f t="shared" si="7"/>
        <v>14147</v>
      </c>
      <c r="AZ44" s="61">
        <v>18424</v>
      </c>
      <c r="BA44" s="61">
        <f t="shared" si="8"/>
        <v>7247</v>
      </c>
      <c r="BB44" s="61">
        <v>25671</v>
      </c>
      <c r="BC44" s="61">
        <f t="shared" si="8"/>
        <v>15275</v>
      </c>
      <c r="BD44" s="61">
        <v>40946</v>
      </c>
      <c r="BE44" s="61">
        <v>3764</v>
      </c>
      <c r="BF44" s="61">
        <f>22864-BE44</f>
        <v>19100</v>
      </c>
      <c r="BG44" s="61">
        <f>BE44+BF44</f>
        <v>22864</v>
      </c>
      <c r="BH44" s="61">
        <f t="shared" si="151"/>
        <v>8843</v>
      </c>
      <c r="BI44" s="61">
        <v>31707</v>
      </c>
      <c r="BJ44" s="61">
        <f t="shared" si="151"/>
        <v>21337</v>
      </c>
      <c r="BK44" s="61">
        <v>53044</v>
      </c>
      <c r="BL44" s="61">
        <v>2097</v>
      </c>
      <c r="BM44" s="61">
        <f>BN44-BL44</f>
        <v>11816</v>
      </c>
      <c r="BN44" s="61">
        <v>13913</v>
      </c>
      <c r="BO44" s="61">
        <f>BP44-BN44</f>
        <v>8947</v>
      </c>
      <c r="BP44" s="61">
        <v>22860</v>
      </c>
      <c r="BQ44" s="61">
        <f>BR44-BP44</f>
        <v>23945</v>
      </c>
      <c r="BR44" s="61">
        <v>46805</v>
      </c>
      <c r="BS44" s="61">
        <v>12982</v>
      </c>
      <c r="BT44" s="61">
        <f>BU44-BS44</f>
        <v>14773</v>
      </c>
      <c r="BU44" s="61">
        <v>27755</v>
      </c>
      <c r="BV44" s="61">
        <f>BW44-BU44</f>
        <v>11216</v>
      </c>
      <c r="BW44" s="61">
        <v>38971</v>
      </c>
      <c r="BX44" s="61">
        <f>BY44-BW44</f>
        <v>43875</v>
      </c>
      <c r="BY44" s="61">
        <v>82846</v>
      </c>
      <c r="BZ44" s="61">
        <v>12641</v>
      </c>
      <c r="CA44" s="61">
        <f>CB44-BZ44</f>
        <v>19911</v>
      </c>
      <c r="CB44" s="61">
        <v>32552</v>
      </c>
      <c r="CC44" s="61">
        <f>CD44-CB44</f>
        <v>31461</v>
      </c>
      <c r="CD44" s="61">
        <v>64013</v>
      </c>
      <c r="CE44" s="61">
        <f>CF44-CD44</f>
        <v>-38016</v>
      </c>
      <c r="CF44" s="61">
        <v>25997</v>
      </c>
      <c r="CG44" s="61">
        <v>9077</v>
      </c>
      <c r="CH44" s="61">
        <f>CI44-CG44</f>
        <v>2746</v>
      </c>
      <c r="CI44" s="61">
        <v>11823</v>
      </c>
      <c r="CJ44" s="61">
        <f>CK44-CI44</f>
        <v>6066</v>
      </c>
      <c r="CK44" s="61">
        <v>17889</v>
      </c>
      <c r="CL44" s="61">
        <f>CM44-CK44</f>
        <v>3934</v>
      </c>
      <c r="CM44" s="61">
        <v>21823</v>
      </c>
      <c r="CN44" s="61">
        <v>3994</v>
      </c>
      <c r="CO44" s="61">
        <f>CP44-CN44</f>
        <v>4922</v>
      </c>
      <c r="CP44" s="61">
        <v>8916</v>
      </c>
      <c r="CQ44" s="61">
        <f>CR44-CP44</f>
        <v>9040</v>
      </c>
      <c r="CR44" s="61">
        <v>17956</v>
      </c>
      <c r="CS44" s="61">
        <f>CT44-CR44</f>
        <v>4267</v>
      </c>
      <c r="CT44" s="61">
        <v>22223</v>
      </c>
      <c r="CU44" s="61">
        <v>6915</v>
      </c>
      <c r="CV44" s="61">
        <f>CW44-CU44</f>
        <v>4742</v>
      </c>
      <c r="CW44" s="61">
        <v>11657</v>
      </c>
      <c r="CX44" s="61">
        <f>CY44-CW44</f>
        <v>2694</v>
      </c>
      <c r="CY44" s="61">
        <v>14351</v>
      </c>
      <c r="CZ44" s="61">
        <f>DA44-CY44</f>
        <v>4424</v>
      </c>
      <c r="DA44" s="61">
        <v>18775</v>
      </c>
      <c r="DB44" s="61">
        <v>254</v>
      </c>
      <c r="DC44" s="61">
        <f>DD44-DB44</f>
        <v>5769</v>
      </c>
      <c r="DD44" s="61">
        <v>6023</v>
      </c>
      <c r="DE44" s="61">
        <f>DF44-DD44</f>
        <v>5126</v>
      </c>
      <c r="DF44" s="61">
        <v>11149</v>
      </c>
      <c r="DG44" s="61">
        <f>DH44-DF44</f>
        <v>4699</v>
      </c>
      <c r="DH44" s="61">
        <v>15848</v>
      </c>
      <c r="DI44" s="61">
        <v>3178</v>
      </c>
      <c r="DJ44" s="61">
        <v>6154</v>
      </c>
      <c r="DK44" s="61">
        <f t="shared" si="11"/>
        <v>9332</v>
      </c>
    </row>
    <row r="45" spans="1:115" ht="10.5" x14ac:dyDescent="0.25">
      <c r="A45" s="56"/>
      <c r="B45" s="57"/>
      <c r="C45" s="57" t="s">
        <v>155</v>
      </c>
      <c r="D45" s="58"/>
      <c r="E45" s="59"/>
      <c r="F45" s="59"/>
      <c r="G45" s="59"/>
      <c r="H45" s="60">
        <v>-456</v>
      </c>
      <c r="I45" s="61">
        <v>456</v>
      </c>
      <c r="J45" s="61">
        <f>H45+I45</f>
        <v>0</v>
      </c>
      <c r="K45" s="61">
        <f>L45-J45</f>
        <v>0</v>
      </c>
      <c r="L45" s="77">
        <v>0</v>
      </c>
      <c r="M45" s="61">
        <f>N45-L45</f>
        <v>0</v>
      </c>
      <c r="N45" s="61">
        <v>0</v>
      </c>
      <c r="O45" s="61">
        <v>0</v>
      </c>
      <c r="P45" s="61">
        <v>0</v>
      </c>
      <c r="Q45" s="61">
        <f>O45+P45</f>
        <v>0</v>
      </c>
      <c r="R45" s="61">
        <v>0</v>
      </c>
      <c r="S45" s="61">
        <f>Q45+R45</f>
        <v>0</v>
      </c>
      <c r="T45" s="61">
        <v>0</v>
      </c>
      <c r="U45" s="61">
        <f>S45+T45</f>
        <v>0</v>
      </c>
      <c r="V45" s="61">
        <v>0</v>
      </c>
      <c r="W45" s="61">
        <v>0</v>
      </c>
      <c r="X45" s="61">
        <f>V45+W45</f>
        <v>0</v>
      </c>
      <c r="Y45" s="61">
        <v>0</v>
      </c>
      <c r="Z45" s="61">
        <f>X45+Y45</f>
        <v>0</v>
      </c>
      <c r="AA45" s="61">
        <v>0</v>
      </c>
      <c r="AB45" s="61">
        <f>Z45+AA45</f>
        <v>0</v>
      </c>
      <c r="AC45" s="61">
        <v>0</v>
      </c>
      <c r="AD45" s="61">
        <f t="shared" si="125"/>
        <v>0</v>
      </c>
      <c r="AE45" s="61"/>
      <c r="AF45" s="61">
        <f t="shared" si="126"/>
        <v>0</v>
      </c>
      <c r="AG45" s="62">
        <v>0</v>
      </c>
      <c r="AH45" s="61">
        <f>AI45-AG45</f>
        <v>0</v>
      </c>
      <c r="AI45" s="62">
        <v>0</v>
      </c>
      <c r="AJ45" s="61">
        <v>0</v>
      </c>
      <c r="AK45" s="61">
        <v>0</v>
      </c>
      <c r="AL45" s="61">
        <f t="shared" si="127"/>
        <v>0</v>
      </c>
      <c r="AM45" s="61">
        <v>0</v>
      </c>
      <c r="AN45" s="61">
        <f t="shared" si="128"/>
        <v>0</v>
      </c>
      <c r="AO45" s="61">
        <f t="shared" si="128"/>
        <v>0</v>
      </c>
      <c r="AP45" s="61">
        <f t="shared" si="128"/>
        <v>0</v>
      </c>
      <c r="AQ45" s="61">
        <v>0</v>
      </c>
      <c r="AR45" s="61">
        <v>0</v>
      </c>
      <c r="AS45" s="61">
        <v>0</v>
      </c>
      <c r="AT45" s="61">
        <v>0</v>
      </c>
      <c r="AU45" s="61">
        <v>0</v>
      </c>
      <c r="AV45" s="61">
        <v>0</v>
      </c>
      <c r="AW45" s="61">
        <f t="shared" si="129"/>
        <v>0</v>
      </c>
      <c r="AX45" s="61">
        <v>0</v>
      </c>
      <c r="AY45" s="61">
        <f t="shared" si="7"/>
        <v>0</v>
      </c>
      <c r="AZ45" s="61">
        <v>0</v>
      </c>
      <c r="BA45" s="61">
        <f t="shared" si="8"/>
        <v>0</v>
      </c>
      <c r="BB45" s="61">
        <v>0</v>
      </c>
      <c r="BC45" s="61">
        <f t="shared" si="8"/>
        <v>0</v>
      </c>
      <c r="BD45" s="61">
        <v>0</v>
      </c>
      <c r="BE45" s="61">
        <v>0</v>
      </c>
      <c r="BF45" s="61">
        <v>0</v>
      </c>
      <c r="BG45" s="61">
        <f>BE45+BF45</f>
        <v>0</v>
      </c>
      <c r="BH45" s="61">
        <f t="shared" si="151"/>
        <v>0</v>
      </c>
      <c r="BI45" s="61">
        <v>0</v>
      </c>
      <c r="BJ45" s="61">
        <f t="shared" si="151"/>
        <v>0</v>
      </c>
      <c r="BK45" s="61">
        <v>0</v>
      </c>
      <c r="BL45" s="61">
        <v>0</v>
      </c>
      <c r="BM45" s="61">
        <f>BN45-BL45</f>
        <v>0</v>
      </c>
      <c r="BN45" s="61">
        <v>0</v>
      </c>
      <c r="BO45" s="61">
        <f>BP45-BN45</f>
        <v>0</v>
      </c>
      <c r="BP45" s="61">
        <v>0</v>
      </c>
      <c r="BQ45" s="61">
        <f>BR45-BP45</f>
        <v>0</v>
      </c>
      <c r="BR45" s="61">
        <v>0</v>
      </c>
      <c r="BS45" s="61">
        <v>0</v>
      </c>
      <c r="BT45" s="61">
        <f>BU45-BS45</f>
        <v>0</v>
      </c>
      <c r="BU45" s="61">
        <v>0</v>
      </c>
      <c r="BV45" s="61">
        <f>BW45-BU45</f>
        <v>0</v>
      </c>
      <c r="BW45" s="61">
        <v>0</v>
      </c>
      <c r="BX45" s="61">
        <f>BY45-BW45</f>
        <v>0</v>
      </c>
      <c r="BY45" s="61">
        <v>0</v>
      </c>
      <c r="BZ45" s="61">
        <v>0</v>
      </c>
      <c r="CA45" s="61">
        <f>CB45-BZ45</f>
        <v>0</v>
      </c>
      <c r="CB45" s="61">
        <v>0</v>
      </c>
      <c r="CC45" s="61">
        <f>CD45-CB45</f>
        <v>0</v>
      </c>
      <c r="CD45" s="61">
        <v>0</v>
      </c>
      <c r="CE45" s="61">
        <f>CF45-CD45</f>
        <v>0</v>
      </c>
      <c r="CF45" s="61">
        <v>0</v>
      </c>
      <c r="CG45" s="61">
        <v>0</v>
      </c>
      <c r="CH45" s="61">
        <f>CI45-CG45</f>
        <v>0</v>
      </c>
      <c r="CI45" s="61">
        <v>0</v>
      </c>
      <c r="CJ45" s="61">
        <f>CK45-CI45</f>
        <v>0</v>
      </c>
      <c r="CK45" s="61">
        <v>0</v>
      </c>
      <c r="CL45" s="61">
        <f>CM45-CK45</f>
        <v>0</v>
      </c>
      <c r="CM45" s="61">
        <v>0</v>
      </c>
      <c r="CN45" s="61">
        <v>0</v>
      </c>
      <c r="CO45" s="61">
        <f>CP45-CN45</f>
        <v>0</v>
      </c>
      <c r="CP45" s="61">
        <v>0</v>
      </c>
      <c r="CQ45" s="61">
        <f>CR45-CP45</f>
        <v>0</v>
      </c>
      <c r="CR45" s="61">
        <v>0</v>
      </c>
      <c r="CS45" s="61">
        <f>CT45-CR45</f>
        <v>0</v>
      </c>
      <c r="CT45" s="61">
        <v>0</v>
      </c>
      <c r="CU45" s="61">
        <v>0</v>
      </c>
      <c r="CV45" s="61">
        <f>CW45-CU45</f>
        <v>31616</v>
      </c>
      <c r="CW45" s="61">
        <v>31616</v>
      </c>
      <c r="CX45" s="61">
        <f>CY45-CW45</f>
        <v>10157</v>
      </c>
      <c r="CY45" s="61">
        <v>41773</v>
      </c>
      <c r="CZ45" s="61">
        <f>DA45-CY45</f>
        <v>50892</v>
      </c>
      <c r="DA45" s="61">
        <v>92665</v>
      </c>
      <c r="DB45" s="61">
        <v>32116</v>
      </c>
      <c r="DC45" s="61">
        <f>DD45-DB45</f>
        <v>565</v>
      </c>
      <c r="DD45" s="61">
        <v>32681</v>
      </c>
      <c r="DE45" s="61">
        <f>DF45-DD45</f>
        <v>18772</v>
      </c>
      <c r="DF45" s="61">
        <v>51453</v>
      </c>
      <c r="DG45" s="61">
        <f>DH45-DF45</f>
        <v>60448</v>
      </c>
      <c r="DH45" s="61">
        <v>111901</v>
      </c>
      <c r="DI45" s="61">
        <v>2097</v>
      </c>
      <c r="DJ45" s="61">
        <v>4523</v>
      </c>
      <c r="DK45" s="61">
        <f t="shared" si="11"/>
        <v>6620</v>
      </c>
    </row>
    <row r="46" spans="1:115" ht="10.5" x14ac:dyDescent="0.25">
      <c r="A46" s="63"/>
      <c r="B46" s="64" t="s">
        <v>345</v>
      </c>
      <c r="C46" s="64"/>
      <c r="D46" s="65"/>
      <c r="E46" s="66"/>
      <c r="F46" s="66"/>
      <c r="G46" s="66"/>
      <c r="H46" s="74">
        <f t="shared" ref="H46:AE46" si="152">SUM(H47:H49)</f>
        <v>44363</v>
      </c>
      <c r="I46" s="75">
        <f t="shared" si="152"/>
        <v>-24382</v>
      </c>
      <c r="J46" s="75">
        <f t="shared" si="152"/>
        <v>19981</v>
      </c>
      <c r="K46" s="75">
        <f t="shared" si="152"/>
        <v>-43887</v>
      </c>
      <c r="L46" s="75">
        <f t="shared" si="152"/>
        <v>-23906</v>
      </c>
      <c r="M46" s="75">
        <f t="shared" si="152"/>
        <v>33030</v>
      </c>
      <c r="N46" s="75">
        <f t="shared" si="152"/>
        <v>9124</v>
      </c>
      <c r="O46" s="75">
        <f t="shared" si="152"/>
        <v>-342</v>
      </c>
      <c r="P46" s="75">
        <f t="shared" si="152"/>
        <v>29949</v>
      </c>
      <c r="Q46" s="75">
        <f t="shared" si="152"/>
        <v>29607</v>
      </c>
      <c r="R46" s="75">
        <f t="shared" si="152"/>
        <v>17767</v>
      </c>
      <c r="S46" s="75">
        <f t="shared" si="152"/>
        <v>47374</v>
      </c>
      <c r="T46" s="75">
        <f t="shared" si="152"/>
        <v>11239</v>
      </c>
      <c r="U46" s="75">
        <f t="shared" si="152"/>
        <v>58613</v>
      </c>
      <c r="V46" s="75">
        <f t="shared" si="152"/>
        <v>22373</v>
      </c>
      <c r="W46" s="75">
        <f t="shared" si="152"/>
        <v>42007</v>
      </c>
      <c r="X46" s="75">
        <f t="shared" si="152"/>
        <v>64380</v>
      </c>
      <c r="Y46" s="75">
        <f t="shared" si="152"/>
        <v>62609</v>
      </c>
      <c r="Z46" s="75">
        <f t="shared" si="152"/>
        <v>126989</v>
      </c>
      <c r="AA46" s="75">
        <f t="shared" si="152"/>
        <v>33003</v>
      </c>
      <c r="AB46" s="75">
        <f t="shared" si="152"/>
        <v>159992</v>
      </c>
      <c r="AC46" s="75">
        <f t="shared" si="152"/>
        <v>33160</v>
      </c>
      <c r="AD46" s="75">
        <f t="shared" si="152"/>
        <v>-45273</v>
      </c>
      <c r="AE46" s="75">
        <f t="shared" si="152"/>
        <v>-12113</v>
      </c>
      <c r="AF46" s="75">
        <f t="shared" ref="AF46:AL46" si="153">SUM(AF47:AF50)</f>
        <v>-303</v>
      </c>
      <c r="AG46" s="76">
        <f t="shared" si="153"/>
        <v>-12416</v>
      </c>
      <c r="AH46" s="75">
        <f t="shared" si="153"/>
        <v>50846</v>
      </c>
      <c r="AI46" s="76">
        <f t="shared" si="153"/>
        <v>38430</v>
      </c>
      <c r="AJ46" s="75">
        <f t="shared" si="153"/>
        <v>46435</v>
      </c>
      <c r="AK46" s="75">
        <f t="shared" si="153"/>
        <v>36692</v>
      </c>
      <c r="AL46" s="75">
        <f t="shared" si="153"/>
        <v>83127</v>
      </c>
      <c r="AM46" s="75">
        <f t="shared" ref="AM46:AS46" si="154">SUM(AM47:AM50)</f>
        <v>15201</v>
      </c>
      <c r="AN46" s="75">
        <f t="shared" si="154"/>
        <v>98328</v>
      </c>
      <c r="AO46" s="75">
        <f t="shared" si="154"/>
        <v>-1725</v>
      </c>
      <c r="AP46" s="75">
        <f t="shared" si="154"/>
        <v>96603</v>
      </c>
      <c r="AQ46" s="75">
        <f t="shared" si="154"/>
        <v>44091</v>
      </c>
      <c r="AR46" s="75">
        <f>SUM(AR47:AR50)</f>
        <v>6071</v>
      </c>
      <c r="AS46" s="75">
        <f t="shared" si="154"/>
        <v>50162</v>
      </c>
      <c r="AT46" s="75">
        <f>SUM(AT47:AT50)</f>
        <v>2708</v>
      </c>
      <c r="AU46" s="75">
        <f>SUM(AU47:AU50)</f>
        <v>52870</v>
      </c>
      <c r="AV46" s="75">
        <f>SUM(AV47:AV50)</f>
        <v>17273</v>
      </c>
      <c r="AW46" s="75">
        <f>SUM(AW47:AW50)</f>
        <v>70143</v>
      </c>
      <c r="AX46" s="75">
        <f>SUM(AX47:AX50)</f>
        <v>33209</v>
      </c>
      <c r="AY46" s="75">
        <f t="shared" si="7"/>
        <v>43113</v>
      </c>
      <c r="AZ46" s="75">
        <f>SUM(AZ47:AZ50)</f>
        <v>76322</v>
      </c>
      <c r="BA46" s="75">
        <f t="shared" si="8"/>
        <v>9514</v>
      </c>
      <c r="BB46" s="75">
        <f>SUM(BB47:BB50)</f>
        <v>85836</v>
      </c>
      <c r="BC46" s="75">
        <f t="shared" si="8"/>
        <v>35334</v>
      </c>
      <c r="BD46" s="75">
        <f>SUM(BD47:BD50)</f>
        <v>121170</v>
      </c>
      <c r="BE46" s="75">
        <f>SUM(BE47:BE50)</f>
        <v>-2671</v>
      </c>
      <c r="BF46" s="75">
        <f>SUM(BF47:BF50)</f>
        <v>-74521</v>
      </c>
      <c r="BG46" s="75">
        <f t="shared" ref="BG46:CK46" si="155">SUM(BG47:BG50)</f>
        <v>-77192</v>
      </c>
      <c r="BH46" s="75">
        <f t="shared" si="155"/>
        <v>-21215</v>
      </c>
      <c r="BI46" s="75">
        <f t="shared" si="155"/>
        <v>-98407</v>
      </c>
      <c r="BJ46" s="75">
        <f>SUM(BJ47:BJ50)</f>
        <v>114048</v>
      </c>
      <c r="BK46" s="75">
        <f t="shared" si="155"/>
        <v>15641</v>
      </c>
      <c r="BL46" s="75">
        <f t="shared" si="155"/>
        <v>83940</v>
      </c>
      <c r="BM46" s="75">
        <f>SUM(BM47:BM50)</f>
        <v>78194</v>
      </c>
      <c r="BN46" s="75">
        <f t="shared" si="155"/>
        <v>162134</v>
      </c>
      <c r="BO46" s="75">
        <f>SUM(BO47:BO50)</f>
        <v>70500</v>
      </c>
      <c r="BP46" s="75">
        <f t="shared" si="155"/>
        <v>232634</v>
      </c>
      <c r="BQ46" s="75">
        <f>SUM(BQ47:BQ50)</f>
        <v>136628</v>
      </c>
      <c r="BR46" s="75">
        <f t="shared" si="155"/>
        <v>369262</v>
      </c>
      <c r="BS46" s="75">
        <f t="shared" si="155"/>
        <v>169259</v>
      </c>
      <c r="BT46" s="75">
        <f>SUM(BT47:BT50)</f>
        <v>168196</v>
      </c>
      <c r="BU46" s="75">
        <f t="shared" si="155"/>
        <v>337455</v>
      </c>
      <c r="BV46" s="75">
        <f>SUM(BV47:BV50)</f>
        <v>35587</v>
      </c>
      <c r="BW46" s="75">
        <f t="shared" si="155"/>
        <v>373042</v>
      </c>
      <c r="BX46" s="75">
        <f>SUM(BX47:BX50)</f>
        <v>33459</v>
      </c>
      <c r="BY46" s="75">
        <f t="shared" si="155"/>
        <v>406501</v>
      </c>
      <c r="BZ46" s="75">
        <f t="shared" si="155"/>
        <v>111381</v>
      </c>
      <c r="CA46" s="75">
        <f>SUM(CA47:CA50)</f>
        <v>211952</v>
      </c>
      <c r="CB46" s="75">
        <f t="shared" si="155"/>
        <v>323333</v>
      </c>
      <c r="CC46" s="75">
        <f>SUM(CC47:CC50)</f>
        <v>-96959</v>
      </c>
      <c r="CD46" s="75">
        <f t="shared" si="155"/>
        <v>226374</v>
      </c>
      <c r="CE46" s="75">
        <f>SUM(CE47:CE50)</f>
        <v>88667</v>
      </c>
      <c r="CF46" s="75">
        <f t="shared" si="155"/>
        <v>315041</v>
      </c>
      <c r="CG46" s="75">
        <f t="shared" si="155"/>
        <v>156397</v>
      </c>
      <c r="CH46" s="75">
        <f>SUM(CH47:CH50)</f>
        <v>196090</v>
      </c>
      <c r="CI46" s="75">
        <f t="shared" si="155"/>
        <v>352487</v>
      </c>
      <c r="CJ46" s="75">
        <f>SUM(CJ47:CJ50)</f>
        <v>-35710</v>
      </c>
      <c r="CK46" s="75">
        <f t="shared" si="155"/>
        <v>316777</v>
      </c>
      <c r="CL46" s="75">
        <f>SUM(CL47:CL50)</f>
        <v>194171</v>
      </c>
      <c r="CM46" s="75">
        <f>SUM(CM47:CM50)</f>
        <v>510948</v>
      </c>
      <c r="CN46" s="75">
        <f>SUM(CN47:CN50)</f>
        <v>376804</v>
      </c>
      <c r="CO46" s="75">
        <f>SUM(CO47:CO50)</f>
        <v>447240</v>
      </c>
      <c r="CP46" s="75">
        <f t="shared" ref="CP46:CR46" si="156">SUM(CP47:CP50)</f>
        <v>824044</v>
      </c>
      <c r="CQ46" s="75">
        <f>SUM(CQ47:CQ50)</f>
        <v>113755</v>
      </c>
      <c r="CR46" s="75">
        <f t="shared" si="156"/>
        <v>937799</v>
      </c>
      <c r="CS46" s="75">
        <f>SUM(CS47:CS50)</f>
        <v>192960</v>
      </c>
      <c r="CT46" s="75">
        <f>SUM(CT47:CT50)</f>
        <v>1130759</v>
      </c>
      <c r="CU46" s="75">
        <f>SUM(CU47:CU50)</f>
        <v>797062</v>
      </c>
      <c r="CV46" s="75">
        <f>SUM(CV47:CV50)</f>
        <v>485583</v>
      </c>
      <c r="CW46" s="75">
        <f t="shared" ref="CW46:DC46" si="157">SUM(CW47:CW50)</f>
        <v>1282645</v>
      </c>
      <c r="CX46" s="75">
        <f t="shared" si="157"/>
        <v>-78345</v>
      </c>
      <c r="CY46" s="75">
        <f t="shared" si="157"/>
        <v>1204300</v>
      </c>
      <c r="CZ46" s="75">
        <f t="shared" si="157"/>
        <v>132433</v>
      </c>
      <c r="DA46" s="75">
        <f t="shared" si="157"/>
        <v>1336733</v>
      </c>
      <c r="DB46" s="75">
        <f t="shared" si="157"/>
        <v>574975</v>
      </c>
      <c r="DC46" s="75">
        <f t="shared" si="157"/>
        <v>348719</v>
      </c>
      <c r="DD46" s="75">
        <f>SUM(DD47:DD50)</f>
        <v>923694</v>
      </c>
      <c r="DE46" s="75">
        <f t="shared" ref="DE46" si="158">SUM(DE47:DE50)</f>
        <v>167272</v>
      </c>
      <c r="DF46" s="75">
        <f>SUM(DF47:DF50)</f>
        <v>1090966</v>
      </c>
      <c r="DG46" s="75">
        <f t="shared" ref="DG46:DI46" si="159">SUM(DG47:DG50)</f>
        <v>-152986</v>
      </c>
      <c r="DH46" s="75">
        <f t="shared" si="159"/>
        <v>937980</v>
      </c>
      <c r="DI46" s="75">
        <f t="shared" si="159"/>
        <v>228943</v>
      </c>
      <c r="DJ46" s="75">
        <f t="shared" ref="DJ46:DK46" si="160">SUM(DJ47:DJ50)</f>
        <v>550355</v>
      </c>
      <c r="DK46" s="75">
        <f t="shared" si="11"/>
        <v>779298</v>
      </c>
    </row>
    <row r="47" spans="1:115" ht="10.5" x14ac:dyDescent="0.25">
      <c r="A47" s="56"/>
      <c r="B47" s="57"/>
      <c r="C47" s="57" t="s">
        <v>346</v>
      </c>
      <c r="D47" s="58"/>
      <c r="E47" s="59"/>
      <c r="F47" s="59"/>
      <c r="G47" s="59"/>
      <c r="H47" s="60">
        <v>0</v>
      </c>
      <c r="I47" s="61">
        <v>0</v>
      </c>
      <c r="J47" s="61">
        <f>H47+I47</f>
        <v>0</v>
      </c>
      <c r="K47" s="61">
        <f>L47-J47</f>
        <v>0</v>
      </c>
      <c r="L47" s="61">
        <v>0</v>
      </c>
      <c r="M47" s="61">
        <f>N47-L47</f>
        <v>0</v>
      </c>
      <c r="N47" s="61">
        <v>0</v>
      </c>
      <c r="O47" s="61">
        <v>0</v>
      </c>
      <c r="P47" s="61">
        <v>0</v>
      </c>
      <c r="Q47" s="61">
        <f>O47+P47</f>
        <v>0</v>
      </c>
      <c r="R47" s="61">
        <v>0</v>
      </c>
      <c r="S47" s="61">
        <f>Q47+R47</f>
        <v>0</v>
      </c>
      <c r="T47" s="61">
        <v>15592</v>
      </c>
      <c r="U47" s="61">
        <f>S47+T47</f>
        <v>15592</v>
      </c>
      <c r="V47" s="61">
        <v>0</v>
      </c>
      <c r="W47" s="61">
        <v>0</v>
      </c>
      <c r="X47" s="61">
        <f>V47+W47</f>
        <v>0</v>
      </c>
      <c r="Y47" s="61">
        <v>0</v>
      </c>
      <c r="Z47" s="61">
        <f>X47+Y47</f>
        <v>0</v>
      </c>
      <c r="AA47" s="61">
        <v>38654</v>
      </c>
      <c r="AB47" s="61">
        <f>Z47+AA47</f>
        <v>38654</v>
      </c>
      <c r="AC47" s="61">
        <v>0</v>
      </c>
      <c r="AD47" s="61">
        <f t="shared" si="125"/>
        <v>0</v>
      </c>
      <c r="AE47" s="61">
        <v>0</v>
      </c>
      <c r="AF47" s="61">
        <f t="shared" si="126"/>
        <v>0</v>
      </c>
      <c r="AG47" s="62">
        <v>0</v>
      </c>
      <c r="AH47" s="61">
        <f>AI47-AG47</f>
        <v>9526</v>
      </c>
      <c r="AI47" s="62">
        <v>9526</v>
      </c>
      <c r="AJ47" s="61">
        <v>0</v>
      </c>
      <c r="AK47" s="61">
        <v>0</v>
      </c>
      <c r="AL47" s="61">
        <f t="shared" si="127"/>
        <v>0</v>
      </c>
      <c r="AM47" s="61">
        <v>0</v>
      </c>
      <c r="AN47" s="61">
        <f t="shared" si="128"/>
        <v>0</v>
      </c>
      <c r="AO47" s="61">
        <v>23952</v>
      </c>
      <c r="AP47" s="61">
        <f t="shared" si="128"/>
        <v>23952</v>
      </c>
      <c r="AQ47" s="61">
        <v>0</v>
      </c>
      <c r="AR47" s="61">
        <v>0</v>
      </c>
      <c r="AS47" s="61">
        <v>0</v>
      </c>
      <c r="AT47" s="61">
        <v>0</v>
      </c>
      <c r="AU47" s="61">
        <v>0</v>
      </c>
      <c r="AV47" s="61">
        <v>18485</v>
      </c>
      <c r="AW47" s="61">
        <f t="shared" si="129"/>
        <v>18485</v>
      </c>
      <c r="AX47" s="61">
        <v>18485</v>
      </c>
      <c r="AY47" s="61">
        <f t="shared" si="7"/>
        <v>-16974</v>
      </c>
      <c r="AZ47" s="61">
        <v>1511</v>
      </c>
      <c r="BA47" s="61">
        <f t="shared" si="8"/>
        <v>-1511</v>
      </c>
      <c r="BB47" s="61">
        <v>0</v>
      </c>
      <c r="BC47" s="61">
        <f t="shared" si="8"/>
        <v>0</v>
      </c>
      <c r="BD47" s="61">
        <v>0</v>
      </c>
      <c r="BE47" s="61">
        <v>0</v>
      </c>
      <c r="BF47" s="61">
        <v>0</v>
      </c>
      <c r="BG47" s="61">
        <f>BE47+BF47</f>
        <v>0</v>
      </c>
      <c r="BH47" s="61">
        <f t="shared" ref="BH47:BJ50" si="161">BI47-BG47</f>
        <v>0</v>
      </c>
      <c r="BI47" s="61">
        <v>0</v>
      </c>
      <c r="BJ47" s="61">
        <f t="shared" si="161"/>
        <v>0</v>
      </c>
      <c r="BK47" s="61">
        <v>0</v>
      </c>
      <c r="BL47" s="61">
        <v>0</v>
      </c>
      <c r="BM47" s="61">
        <f>BN47-BL47</f>
        <v>0</v>
      </c>
      <c r="BN47" s="61">
        <v>0</v>
      </c>
      <c r="BO47" s="61">
        <f>BP47-BN47</f>
        <v>0</v>
      </c>
      <c r="BP47" s="61">
        <v>0</v>
      </c>
      <c r="BQ47" s="61">
        <f>BR47-BP47</f>
        <v>83595</v>
      </c>
      <c r="BR47" s="61">
        <v>83595</v>
      </c>
      <c r="BS47" s="61">
        <v>0</v>
      </c>
      <c r="BT47" s="61">
        <f>BU47-BS47</f>
        <v>0</v>
      </c>
      <c r="BU47" s="61">
        <v>0</v>
      </c>
      <c r="BV47" s="61">
        <f>BW47-BU47</f>
        <v>0</v>
      </c>
      <c r="BW47" s="61">
        <v>0</v>
      </c>
      <c r="BX47" s="61">
        <f>BY47-BW47</f>
        <v>95441</v>
      </c>
      <c r="BY47" s="61">
        <v>95441</v>
      </c>
      <c r="BZ47" s="61">
        <v>0</v>
      </c>
      <c r="CA47" s="61">
        <f>CB47-BZ47</f>
        <v>0</v>
      </c>
      <c r="CB47" s="61">
        <v>0</v>
      </c>
      <c r="CC47" s="61">
        <f>CD47-CB47</f>
        <v>0</v>
      </c>
      <c r="CD47" s="61">
        <v>0</v>
      </c>
      <c r="CE47" s="61">
        <f>CF47-CD47</f>
        <v>0</v>
      </c>
      <c r="CF47" s="61">
        <v>0</v>
      </c>
      <c r="CG47" s="61">
        <v>0</v>
      </c>
      <c r="CH47" s="61">
        <f>CI47-CG47</f>
        <v>0</v>
      </c>
      <c r="CI47" s="61">
        <v>0</v>
      </c>
      <c r="CJ47" s="61">
        <f>CK47-CI47</f>
        <v>0</v>
      </c>
      <c r="CK47" s="61">
        <v>0</v>
      </c>
      <c r="CL47" s="61">
        <f>CM47-CK47</f>
        <v>83673</v>
      </c>
      <c r="CM47" s="61">
        <v>83673</v>
      </c>
      <c r="CN47" s="61">
        <v>0</v>
      </c>
      <c r="CO47" s="61">
        <f>CP47-CN47</f>
        <v>0</v>
      </c>
      <c r="CP47" s="61">
        <v>0</v>
      </c>
      <c r="CQ47" s="61">
        <f>CR47-CP47</f>
        <v>0</v>
      </c>
      <c r="CR47" s="61">
        <v>0</v>
      </c>
      <c r="CS47" s="61">
        <f>CT47-CR47</f>
        <v>288353</v>
      </c>
      <c r="CT47" s="61">
        <v>288353</v>
      </c>
      <c r="CU47" s="61">
        <v>0</v>
      </c>
      <c r="CV47" s="61">
        <f>CW47-CU47</f>
        <v>0</v>
      </c>
      <c r="CW47" s="61">
        <v>0</v>
      </c>
      <c r="CX47" s="61">
        <f>CY47-CW47</f>
        <v>0</v>
      </c>
      <c r="CY47" s="61">
        <v>0</v>
      </c>
      <c r="CZ47" s="61">
        <f>DA47-CY47</f>
        <v>288839</v>
      </c>
      <c r="DA47" s="61">
        <v>288839</v>
      </c>
      <c r="DB47" s="61">
        <v>0</v>
      </c>
      <c r="DC47" s="61">
        <f>DD47-DB47</f>
        <v>0</v>
      </c>
      <c r="DD47" s="61">
        <v>0</v>
      </c>
      <c r="DE47" s="61">
        <f>DF47-DD47</f>
        <v>0</v>
      </c>
      <c r="DF47" s="61">
        <v>0</v>
      </c>
      <c r="DG47" s="61">
        <f>DH47-DF47</f>
        <v>200432</v>
      </c>
      <c r="DH47" s="61">
        <v>200432</v>
      </c>
      <c r="DI47" s="61">
        <v>0</v>
      </c>
      <c r="DJ47" s="61">
        <v>0</v>
      </c>
      <c r="DK47" s="61">
        <f t="shared" si="11"/>
        <v>0</v>
      </c>
    </row>
    <row r="48" spans="1:115" ht="10.5" x14ac:dyDescent="0.25">
      <c r="A48" s="56"/>
      <c r="B48" s="57"/>
      <c r="C48" s="57" t="s">
        <v>347</v>
      </c>
      <c r="D48" s="58"/>
      <c r="E48" s="59"/>
      <c r="F48" s="59"/>
      <c r="G48" s="59"/>
      <c r="H48" s="60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2"/>
      <c r="AH48" s="61"/>
      <c r="AI48" s="62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>
        <f>CM48-CK48</f>
        <v>37117</v>
      </c>
      <c r="CM48" s="61">
        <v>37117</v>
      </c>
      <c r="CN48" s="61"/>
      <c r="CO48" s="61"/>
      <c r="CP48" s="61"/>
      <c r="CQ48" s="61"/>
      <c r="CR48" s="61"/>
      <c r="CS48" s="61">
        <f>CT48-CR48</f>
        <v>0</v>
      </c>
      <c r="CT48" s="61">
        <v>0</v>
      </c>
      <c r="CU48" s="61">
        <v>0</v>
      </c>
      <c r="CV48" s="61"/>
      <c r="CW48" s="61"/>
      <c r="CX48" s="61"/>
      <c r="CY48" s="61"/>
      <c r="CZ48" s="61">
        <f>DA48-CY48</f>
        <v>71000</v>
      </c>
      <c r="DA48" s="61">
        <v>71000</v>
      </c>
      <c r="DB48" s="61">
        <v>0</v>
      </c>
      <c r="DC48" s="61">
        <v>0</v>
      </c>
      <c r="DD48" s="61">
        <v>0</v>
      </c>
      <c r="DE48" s="61"/>
      <c r="DF48" s="61"/>
      <c r="DG48" s="61">
        <f>DH48-DF48</f>
        <v>24000</v>
      </c>
      <c r="DH48" s="61">
        <v>24000</v>
      </c>
      <c r="DI48" s="61">
        <v>0</v>
      </c>
      <c r="DJ48" s="61">
        <v>0</v>
      </c>
      <c r="DK48" s="61">
        <f t="shared" si="11"/>
        <v>0</v>
      </c>
    </row>
    <row r="49" spans="1:115" ht="10.5" x14ac:dyDescent="0.25">
      <c r="A49" s="56"/>
      <c r="B49" s="57"/>
      <c r="C49" s="57" t="s">
        <v>348</v>
      </c>
      <c r="D49" s="58"/>
      <c r="E49" s="59"/>
      <c r="F49" s="59"/>
      <c r="G49" s="59"/>
      <c r="H49" s="60">
        <v>44363</v>
      </c>
      <c r="I49" s="61">
        <v>-24382</v>
      </c>
      <c r="J49" s="61">
        <f>H49+I49</f>
        <v>19981</v>
      </c>
      <c r="K49" s="61">
        <f>L49-J49</f>
        <v>-43887</v>
      </c>
      <c r="L49" s="61">
        <v>-23906</v>
      </c>
      <c r="M49" s="61">
        <f>N49-L49</f>
        <v>33030</v>
      </c>
      <c r="N49" s="61">
        <v>9124</v>
      </c>
      <c r="O49" s="61">
        <v>-342</v>
      </c>
      <c r="P49" s="61">
        <v>29949</v>
      </c>
      <c r="Q49" s="61">
        <f>O49+P49</f>
        <v>29607</v>
      </c>
      <c r="R49" s="61">
        <v>17767</v>
      </c>
      <c r="S49" s="61">
        <f>Q49+R49</f>
        <v>47374</v>
      </c>
      <c r="T49" s="61">
        <v>-4353</v>
      </c>
      <c r="U49" s="61">
        <f>S49+T49</f>
        <v>43021</v>
      </c>
      <c r="V49" s="61">
        <v>22373</v>
      </c>
      <c r="W49" s="61">
        <v>42007</v>
      </c>
      <c r="X49" s="61">
        <f>V49+W49</f>
        <v>64380</v>
      </c>
      <c r="Y49" s="61">
        <v>62609</v>
      </c>
      <c r="Z49" s="61">
        <f>X49+Y49</f>
        <v>126989</v>
      </c>
      <c r="AA49" s="61">
        <v>-5651</v>
      </c>
      <c r="AB49" s="61">
        <f>Z49+AA49</f>
        <v>121338</v>
      </c>
      <c r="AC49" s="61">
        <v>33160</v>
      </c>
      <c r="AD49" s="61">
        <f t="shared" si="125"/>
        <v>-45273</v>
      </c>
      <c r="AE49" s="61">
        <v>-12113</v>
      </c>
      <c r="AF49" s="61">
        <f t="shared" si="126"/>
        <v>-670</v>
      </c>
      <c r="AG49" s="62">
        <f>-12416-AG50</f>
        <v>-12783</v>
      </c>
      <c r="AH49" s="61">
        <f>AI49-AG49</f>
        <v>41362</v>
      </c>
      <c r="AI49" s="62">
        <v>28579</v>
      </c>
      <c r="AJ49" s="61">
        <v>46189</v>
      </c>
      <c r="AK49" s="61">
        <f>82489-46189</f>
        <v>36300</v>
      </c>
      <c r="AL49" s="61">
        <f t="shared" si="127"/>
        <v>82489</v>
      </c>
      <c r="AM49" s="61">
        <v>14959</v>
      </c>
      <c r="AN49" s="61">
        <f t="shared" si="128"/>
        <v>97448</v>
      </c>
      <c r="AO49" s="61">
        <f>71680-97448</f>
        <v>-25768</v>
      </c>
      <c r="AP49" s="61">
        <f t="shared" si="128"/>
        <v>71680</v>
      </c>
      <c r="AQ49" s="61">
        <v>43647</v>
      </c>
      <c r="AR49" s="61">
        <v>5559</v>
      </c>
      <c r="AS49" s="61">
        <v>49206</v>
      </c>
      <c r="AT49" s="61">
        <v>2019</v>
      </c>
      <c r="AU49" s="61">
        <v>51225</v>
      </c>
      <c r="AV49" s="61">
        <v>-360</v>
      </c>
      <c r="AW49" s="61">
        <f t="shared" si="129"/>
        <v>50865</v>
      </c>
      <c r="AX49" s="61">
        <v>16633</v>
      </c>
      <c r="AY49" s="61">
        <f t="shared" si="7"/>
        <v>59248</v>
      </c>
      <c r="AZ49" s="61">
        <v>75881</v>
      </c>
      <c r="BA49" s="61">
        <f t="shared" si="8"/>
        <v>11627</v>
      </c>
      <c r="BB49" s="61">
        <v>87508</v>
      </c>
      <c r="BC49" s="61">
        <f t="shared" si="8"/>
        <v>35020</v>
      </c>
      <c r="BD49" s="61">
        <v>122528</v>
      </c>
      <c r="BE49" s="61">
        <v>-6770</v>
      </c>
      <c r="BF49" s="61">
        <f>-65410-BE49</f>
        <v>-58640</v>
      </c>
      <c r="BG49" s="61">
        <f>BE49+BF49</f>
        <v>-65410</v>
      </c>
      <c r="BH49" s="61">
        <f t="shared" si="161"/>
        <v>-17219</v>
      </c>
      <c r="BI49" s="61">
        <v>-82629</v>
      </c>
      <c r="BJ49" s="61">
        <f t="shared" si="161"/>
        <v>112574</v>
      </c>
      <c r="BK49" s="61">
        <v>29945</v>
      </c>
      <c r="BL49" s="61">
        <v>74738</v>
      </c>
      <c r="BM49" s="61">
        <f>BN49-BL49</f>
        <v>76565</v>
      </c>
      <c r="BN49" s="61">
        <v>151303</v>
      </c>
      <c r="BO49" s="61">
        <f>BP49-BN49</f>
        <v>68791</v>
      </c>
      <c r="BP49" s="61">
        <v>220094</v>
      </c>
      <c r="BQ49" s="61">
        <f>BR49-BP49</f>
        <v>52652</v>
      </c>
      <c r="BR49" s="61">
        <v>272746</v>
      </c>
      <c r="BS49" s="61">
        <v>154321</v>
      </c>
      <c r="BT49" s="61">
        <f>BU49-BS49</f>
        <v>157048</v>
      </c>
      <c r="BU49" s="61">
        <v>311369</v>
      </c>
      <c r="BV49" s="61">
        <f>BW49-BU49</f>
        <v>35793</v>
      </c>
      <c r="BW49" s="61">
        <v>347162</v>
      </c>
      <c r="BX49" s="61">
        <f>BY49-BW49</f>
        <v>-61353</v>
      </c>
      <c r="BY49" s="61">
        <v>285809</v>
      </c>
      <c r="BZ49" s="61">
        <v>101867</v>
      </c>
      <c r="CA49" s="61">
        <f>CB49-BZ49</f>
        <v>205391</v>
      </c>
      <c r="CB49" s="61">
        <v>307258</v>
      </c>
      <c r="CC49" s="61">
        <f>CD49-CB49</f>
        <v>-80298</v>
      </c>
      <c r="CD49" s="61">
        <v>226960</v>
      </c>
      <c r="CE49" s="61">
        <f>CF49-CD49</f>
        <v>84554</v>
      </c>
      <c r="CF49" s="61">
        <v>311514</v>
      </c>
      <c r="CG49" s="61">
        <v>143525</v>
      </c>
      <c r="CH49" s="61">
        <f>CI49-CG49</f>
        <v>185695</v>
      </c>
      <c r="CI49" s="61">
        <v>329220</v>
      </c>
      <c r="CJ49" s="61">
        <f>CK49-CI49</f>
        <v>-23749</v>
      </c>
      <c r="CK49" s="61">
        <v>305471</v>
      </c>
      <c r="CL49" s="61">
        <f>CM49-CK49</f>
        <v>62413</v>
      </c>
      <c r="CM49" s="61">
        <v>367884</v>
      </c>
      <c r="CN49" s="61">
        <v>342860</v>
      </c>
      <c r="CO49" s="61">
        <f>CP49-CN49</f>
        <v>418724</v>
      </c>
      <c r="CP49" s="61">
        <v>761584</v>
      </c>
      <c r="CQ49" s="61">
        <f>CR49-CP49</f>
        <v>121012</v>
      </c>
      <c r="CR49" s="61">
        <v>882596</v>
      </c>
      <c r="CS49" s="61">
        <f>CT49-CR49</f>
        <v>-108833</v>
      </c>
      <c r="CT49" s="61">
        <v>773763</v>
      </c>
      <c r="CU49" s="61">
        <v>745124</v>
      </c>
      <c r="CV49" s="61">
        <f>CW49-CU49</f>
        <v>473919</v>
      </c>
      <c r="CW49" s="61">
        <v>1219043</v>
      </c>
      <c r="CX49" s="61">
        <f>CY49-CW49</f>
        <v>-63655</v>
      </c>
      <c r="CY49" s="61">
        <v>1155388</v>
      </c>
      <c r="CZ49" s="61">
        <f>DA49-CY49</f>
        <v>-247767</v>
      </c>
      <c r="DA49" s="61">
        <v>907621</v>
      </c>
      <c r="DB49" s="61">
        <v>538904</v>
      </c>
      <c r="DC49" s="61">
        <f>DD49-DB49</f>
        <v>334197</v>
      </c>
      <c r="DD49" s="61">
        <v>873101</v>
      </c>
      <c r="DE49" s="61">
        <f>DF49-DD49</f>
        <v>164827</v>
      </c>
      <c r="DF49" s="61">
        <v>1037928</v>
      </c>
      <c r="DG49" s="61">
        <f>DH49-DF49</f>
        <v>-366760</v>
      </c>
      <c r="DH49" s="61">
        <v>671168</v>
      </c>
      <c r="DI49" s="61">
        <v>222991</v>
      </c>
      <c r="DJ49" s="61">
        <v>543186</v>
      </c>
      <c r="DK49" s="61">
        <f t="shared" si="11"/>
        <v>766177</v>
      </c>
    </row>
    <row r="50" spans="1:115" ht="10.5" x14ac:dyDescent="0.25">
      <c r="A50" s="78"/>
      <c r="B50" s="79"/>
      <c r="C50" s="79" t="s">
        <v>349</v>
      </c>
      <c r="D50" s="80"/>
      <c r="E50" s="81"/>
      <c r="F50" s="81"/>
      <c r="G50" s="81"/>
      <c r="H50" s="60">
        <v>0</v>
      </c>
      <c r="I50" s="61">
        <v>0</v>
      </c>
      <c r="J50" s="61">
        <v>0</v>
      </c>
      <c r="K50" s="61">
        <v>0</v>
      </c>
      <c r="L50" s="61">
        <v>0</v>
      </c>
      <c r="M50" s="61">
        <v>0</v>
      </c>
      <c r="N50" s="61">
        <v>0</v>
      </c>
      <c r="O50" s="61">
        <v>0</v>
      </c>
      <c r="P50" s="61">
        <v>0</v>
      </c>
      <c r="Q50" s="61">
        <v>0</v>
      </c>
      <c r="R50" s="61">
        <v>0</v>
      </c>
      <c r="S50" s="61">
        <v>0</v>
      </c>
      <c r="T50" s="61">
        <v>0</v>
      </c>
      <c r="U50" s="61">
        <v>0</v>
      </c>
      <c r="V50" s="61">
        <v>0</v>
      </c>
      <c r="W50" s="61">
        <v>0</v>
      </c>
      <c r="X50" s="61">
        <v>0</v>
      </c>
      <c r="Y50" s="61">
        <v>0</v>
      </c>
      <c r="Z50" s="61">
        <v>0</v>
      </c>
      <c r="AA50" s="61">
        <v>0</v>
      </c>
      <c r="AB50" s="61">
        <v>0</v>
      </c>
      <c r="AC50" s="61">
        <v>0</v>
      </c>
      <c r="AD50" s="61">
        <v>0</v>
      </c>
      <c r="AE50" s="61">
        <v>0</v>
      </c>
      <c r="AF50" s="61">
        <f>AG50-AE50</f>
        <v>367</v>
      </c>
      <c r="AG50" s="62">
        <v>367</v>
      </c>
      <c r="AH50" s="61">
        <f>AI50-AG50</f>
        <v>-42</v>
      </c>
      <c r="AI50" s="62">
        <v>325</v>
      </c>
      <c r="AJ50" s="61">
        <v>246</v>
      </c>
      <c r="AK50" s="61">
        <f>638-246</f>
        <v>392</v>
      </c>
      <c r="AL50" s="61">
        <f t="shared" si="127"/>
        <v>638</v>
      </c>
      <c r="AM50" s="61">
        <v>242</v>
      </c>
      <c r="AN50" s="61">
        <f t="shared" si="128"/>
        <v>880</v>
      </c>
      <c r="AO50" s="61">
        <f>971-880</f>
        <v>91</v>
      </c>
      <c r="AP50" s="61">
        <f t="shared" si="128"/>
        <v>971</v>
      </c>
      <c r="AQ50" s="61">
        <v>444</v>
      </c>
      <c r="AR50" s="61">
        <v>512</v>
      </c>
      <c r="AS50" s="61">
        <v>956</v>
      </c>
      <c r="AT50" s="61">
        <v>689</v>
      </c>
      <c r="AU50" s="61">
        <v>1645</v>
      </c>
      <c r="AV50" s="61">
        <v>-852</v>
      </c>
      <c r="AW50" s="61">
        <f t="shared" si="129"/>
        <v>793</v>
      </c>
      <c r="AX50" s="61">
        <v>-1909</v>
      </c>
      <c r="AY50" s="61">
        <f t="shared" si="7"/>
        <v>839</v>
      </c>
      <c r="AZ50" s="61">
        <v>-1070</v>
      </c>
      <c r="BA50" s="61">
        <f t="shared" si="8"/>
        <v>-602</v>
      </c>
      <c r="BB50" s="61">
        <v>-1672</v>
      </c>
      <c r="BC50" s="61">
        <f t="shared" si="8"/>
        <v>314</v>
      </c>
      <c r="BD50" s="61">
        <v>-1358</v>
      </c>
      <c r="BE50" s="61">
        <v>4099</v>
      </c>
      <c r="BF50" s="61">
        <f>-11782-BE50</f>
        <v>-15881</v>
      </c>
      <c r="BG50" s="61">
        <f>BE50+BF50</f>
        <v>-11782</v>
      </c>
      <c r="BH50" s="61">
        <f t="shared" si="161"/>
        <v>-3996</v>
      </c>
      <c r="BI50" s="61">
        <v>-15778</v>
      </c>
      <c r="BJ50" s="61">
        <f t="shared" si="161"/>
        <v>1474</v>
      </c>
      <c r="BK50" s="61">
        <v>-14304</v>
      </c>
      <c r="BL50" s="61">
        <v>9202</v>
      </c>
      <c r="BM50" s="61">
        <f>BN50-BL50</f>
        <v>1629</v>
      </c>
      <c r="BN50" s="61">
        <v>10831</v>
      </c>
      <c r="BO50" s="61">
        <f>BP50-BN50</f>
        <v>1709</v>
      </c>
      <c r="BP50" s="61">
        <v>12540</v>
      </c>
      <c r="BQ50" s="61">
        <f>BR50-BP50</f>
        <v>381</v>
      </c>
      <c r="BR50" s="61">
        <v>12921</v>
      </c>
      <c r="BS50" s="61">
        <v>14938</v>
      </c>
      <c r="BT50" s="61">
        <f>BU50-BS50</f>
        <v>11148</v>
      </c>
      <c r="BU50" s="61">
        <v>26086</v>
      </c>
      <c r="BV50" s="61">
        <f>BW50-BU50</f>
        <v>-206</v>
      </c>
      <c r="BW50" s="61">
        <v>25880</v>
      </c>
      <c r="BX50" s="61">
        <f>BY50-BW50</f>
        <v>-629</v>
      </c>
      <c r="BY50" s="61">
        <v>25251</v>
      </c>
      <c r="BZ50" s="61">
        <v>9514</v>
      </c>
      <c r="CA50" s="61">
        <f>CB50-BZ50</f>
        <v>6561</v>
      </c>
      <c r="CB50" s="61">
        <v>16075</v>
      </c>
      <c r="CC50" s="61">
        <f>CD50-CB50</f>
        <v>-16661</v>
      </c>
      <c r="CD50" s="61">
        <v>-586</v>
      </c>
      <c r="CE50" s="61">
        <f>CF50-CD50</f>
        <v>4113</v>
      </c>
      <c r="CF50" s="61">
        <v>3527</v>
      </c>
      <c r="CG50" s="61">
        <v>12872</v>
      </c>
      <c r="CH50" s="61">
        <f>CI50-CG50</f>
        <v>10395</v>
      </c>
      <c r="CI50" s="61">
        <v>23267</v>
      </c>
      <c r="CJ50" s="61">
        <f>CK50-CI50</f>
        <v>-11961</v>
      </c>
      <c r="CK50" s="61">
        <v>11306</v>
      </c>
      <c r="CL50" s="61">
        <f>CM50-CK50</f>
        <v>10968</v>
      </c>
      <c r="CM50" s="61">
        <v>22274</v>
      </c>
      <c r="CN50" s="61">
        <v>33944</v>
      </c>
      <c r="CO50" s="61">
        <f>CP50-CN50</f>
        <v>28516</v>
      </c>
      <c r="CP50" s="61">
        <v>62460</v>
      </c>
      <c r="CQ50" s="61">
        <f>CR50-CP50</f>
        <v>-7257</v>
      </c>
      <c r="CR50" s="61">
        <v>55203</v>
      </c>
      <c r="CS50" s="61">
        <f>CT50-CR50</f>
        <v>13440</v>
      </c>
      <c r="CT50" s="61">
        <v>68643</v>
      </c>
      <c r="CU50" s="61">
        <v>51938</v>
      </c>
      <c r="CV50" s="61">
        <f>CW50-CU50</f>
        <v>11664</v>
      </c>
      <c r="CW50" s="61">
        <v>63602</v>
      </c>
      <c r="CX50" s="61">
        <f>CY50-CW50</f>
        <v>-14690</v>
      </c>
      <c r="CY50" s="61">
        <v>48912</v>
      </c>
      <c r="CZ50" s="61">
        <f>DA50-CY50</f>
        <v>20361</v>
      </c>
      <c r="DA50" s="61">
        <v>69273</v>
      </c>
      <c r="DB50" s="61">
        <v>36071</v>
      </c>
      <c r="DC50" s="61">
        <f>DD50-DB50</f>
        <v>14522</v>
      </c>
      <c r="DD50" s="61">
        <v>50593</v>
      </c>
      <c r="DE50" s="61">
        <f>DF50-DD50</f>
        <v>2445</v>
      </c>
      <c r="DF50" s="61">
        <v>53038</v>
      </c>
      <c r="DG50" s="61">
        <f>DH50-DF50</f>
        <v>-10658</v>
      </c>
      <c r="DH50" s="61">
        <v>42380</v>
      </c>
      <c r="DI50" s="61">
        <v>5952</v>
      </c>
      <c r="DJ50" s="61">
        <v>7169</v>
      </c>
      <c r="DK50" s="61">
        <f t="shared" si="11"/>
        <v>13121</v>
      </c>
    </row>
    <row r="51" spans="1:115" ht="10.5" x14ac:dyDescent="0.25">
      <c r="A51" s="82"/>
      <c r="B51" s="83" t="s">
        <v>155</v>
      </c>
      <c r="C51" s="83"/>
      <c r="D51" s="84"/>
      <c r="E51" s="85"/>
      <c r="F51" s="85"/>
      <c r="G51" s="85"/>
      <c r="H51" s="86">
        <v>0</v>
      </c>
      <c r="I51" s="87">
        <v>0</v>
      </c>
      <c r="J51" s="87">
        <f>H51+I51</f>
        <v>0</v>
      </c>
      <c r="K51" s="87">
        <v>0</v>
      </c>
      <c r="L51" s="87">
        <v>0</v>
      </c>
      <c r="M51" s="87">
        <v>0</v>
      </c>
      <c r="N51" s="87">
        <v>0</v>
      </c>
      <c r="O51" s="87">
        <v>0</v>
      </c>
      <c r="P51" s="87">
        <v>0</v>
      </c>
      <c r="Q51" s="87">
        <f>O51+P51</f>
        <v>0</v>
      </c>
      <c r="R51" s="87">
        <v>0</v>
      </c>
      <c r="S51" s="87">
        <f>Q51+R51</f>
        <v>0</v>
      </c>
      <c r="T51" s="87">
        <v>0</v>
      </c>
      <c r="U51" s="87">
        <f>S51+T51</f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8">
        <v>0</v>
      </c>
      <c r="AH51" s="87">
        <v>0</v>
      </c>
      <c r="AI51" s="88">
        <v>0</v>
      </c>
      <c r="AJ51" s="87">
        <v>0</v>
      </c>
      <c r="AK51" s="87">
        <v>0</v>
      </c>
      <c r="AL51" s="87">
        <v>0</v>
      </c>
      <c r="AM51" s="87">
        <v>0</v>
      </c>
      <c r="AN51" s="87">
        <v>0</v>
      </c>
      <c r="AO51" s="87">
        <v>0</v>
      </c>
      <c r="AP51" s="87">
        <v>0</v>
      </c>
      <c r="AQ51" s="87">
        <v>0</v>
      </c>
      <c r="AR51" s="87">
        <v>0</v>
      </c>
      <c r="AS51" s="87">
        <v>0</v>
      </c>
      <c r="AT51" s="87">
        <v>0</v>
      </c>
      <c r="AU51" s="87">
        <v>0</v>
      </c>
      <c r="AV51" s="87">
        <v>0</v>
      </c>
      <c r="AW51" s="87">
        <v>0</v>
      </c>
      <c r="AX51" s="87">
        <v>0</v>
      </c>
      <c r="AY51" s="87">
        <f t="shared" si="7"/>
        <v>0</v>
      </c>
      <c r="AZ51" s="87">
        <v>0</v>
      </c>
      <c r="BA51" s="87">
        <f t="shared" si="8"/>
        <v>0</v>
      </c>
      <c r="BB51" s="87">
        <v>0</v>
      </c>
      <c r="BC51" s="87">
        <f t="shared" si="8"/>
        <v>0</v>
      </c>
      <c r="BD51" s="87">
        <v>0</v>
      </c>
      <c r="BE51" s="87">
        <v>0</v>
      </c>
      <c r="BF51" s="87">
        <v>0</v>
      </c>
      <c r="BG51" s="87">
        <v>0</v>
      </c>
      <c r="BH51" s="87">
        <v>0</v>
      </c>
      <c r="BI51" s="87">
        <v>0</v>
      </c>
      <c r="BJ51" s="87">
        <v>0</v>
      </c>
      <c r="BK51" s="87">
        <v>0</v>
      </c>
      <c r="BL51" s="87">
        <v>0</v>
      </c>
      <c r="BM51" s="87">
        <v>0</v>
      </c>
      <c r="BN51" s="87">
        <v>0</v>
      </c>
      <c r="BO51" s="87">
        <v>0</v>
      </c>
      <c r="BP51" s="87">
        <v>0</v>
      </c>
      <c r="BQ51" s="87">
        <v>0</v>
      </c>
      <c r="BR51" s="87">
        <v>0</v>
      </c>
      <c r="BS51" s="87">
        <v>0</v>
      </c>
      <c r="BT51" s="87">
        <v>0</v>
      </c>
      <c r="BU51" s="87">
        <v>0</v>
      </c>
      <c r="BV51" s="87">
        <v>0</v>
      </c>
      <c r="BW51" s="87">
        <v>0</v>
      </c>
      <c r="BX51" s="87">
        <v>0</v>
      </c>
      <c r="BY51" s="87">
        <v>0</v>
      </c>
      <c r="BZ51" s="87">
        <v>0</v>
      </c>
      <c r="CA51" s="87">
        <v>0</v>
      </c>
      <c r="CB51" s="87">
        <v>0</v>
      </c>
      <c r="CC51" s="87">
        <v>0</v>
      </c>
      <c r="CD51" s="87">
        <v>0</v>
      </c>
      <c r="CE51" s="87">
        <v>0</v>
      </c>
      <c r="CF51" s="87">
        <v>0</v>
      </c>
      <c r="CG51" s="87">
        <v>0</v>
      </c>
      <c r="CH51" s="87">
        <v>0</v>
      </c>
      <c r="CI51" s="87">
        <v>0</v>
      </c>
      <c r="CJ51" s="87">
        <v>0</v>
      </c>
      <c r="CK51" s="87">
        <v>0</v>
      </c>
      <c r="CL51" s="87">
        <v>0</v>
      </c>
      <c r="CM51" s="87">
        <v>0</v>
      </c>
      <c r="CN51" s="87">
        <v>0</v>
      </c>
      <c r="CO51" s="87">
        <v>0</v>
      </c>
      <c r="CP51" s="87">
        <v>0</v>
      </c>
      <c r="CQ51" s="87">
        <v>0</v>
      </c>
      <c r="CR51" s="87">
        <v>0</v>
      </c>
      <c r="CS51" s="87">
        <v>0</v>
      </c>
      <c r="CT51" s="87">
        <v>0</v>
      </c>
      <c r="CU51" s="87">
        <v>0</v>
      </c>
      <c r="CV51" s="87">
        <v>0</v>
      </c>
      <c r="CW51" s="87">
        <v>0</v>
      </c>
      <c r="CX51" s="87">
        <v>0</v>
      </c>
      <c r="CY51" s="87">
        <v>0</v>
      </c>
      <c r="CZ51" s="87">
        <v>0</v>
      </c>
      <c r="DA51" s="87">
        <v>0</v>
      </c>
      <c r="DB51" s="87">
        <v>0</v>
      </c>
      <c r="DC51" s="87">
        <v>0</v>
      </c>
      <c r="DD51" s="87">
        <v>0</v>
      </c>
      <c r="DE51" s="87">
        <v>0</v>
      </c>
      <c r="DF51" s="87">
        <v>0</v>
      </c>
      <c r="DG51" s="87">
        <v>0</v>
      </c>
      <c r="DH51" s="87">
        <v>0</v>
      </c>
      <c r="DI51" s="87">
        <v>0</v>
      </c>
      <c r="DJ51" s="87">
        <v>0</v>
      </c>
      <c r="DK51" s="87">
        <f t="shared" si="11"/>
        <v>0</v>
      </c>
    </row>
    <row r="52" spans="1:115" x14ac:dyDescent="0.2">
      <c r="H52" s="10">
        <f>H31-H32</f>
        <v>0</v>
      </c>
      <c r="I52" s="10">
        <f t="shared" ref="I52:AI52" si="162">I31-I32</f>
        <v>0</v>
      </c>
      <c r="J52" s="10">
        <f t="shared" si="162"/>
        <v>0</v>
      </c>
      <c r="K52" s="10">
        <f t="shared" si="162"/>
        <v>0</v>
      </c>
      <c r="L52" s="10">
        <f t="shared" si="162"/>
        <v>0</v>
      </c>
      <c r="M52" s="10">
        <f t="shared" si="162"/>
        <v>0</v>
      </c>
      <c r="N52" s="10">
        <f t="shared" si="162"/>
        <v>0</v>
      </c>
      <c r="O52" s="10">
        <f t="shared" si="162"/>
        <v>0</v>
      </c>
      <c r="P52" s="10">
        <f t="shared" si="162"/>
        <v>0</v>
      </c>
      <c r="Q52" s="10">
        <f t="shared" si="162"/>
        <v>0</v>
      </c>
      <c r="R52" s="10">
        <f t="shared" si="162"/>
        <v>0</v>
      </c>
      <c r="S52" s="10">
        <f t="shared" si="162"/>
        <v>0</v>
      </c>
      <c r="T52" s="10">
        <f t="shared" si="162"/>
        <v>0</v>
      </c>
      <c r="U52" s="10">
        <f t="shared" si="162"/>
        <v>0</v>
      </c>
      <c r="V52" s="10">
        <f t="shared" si="162"/>
        <v>0</v>
      </c>
      <c r="W52" s="10">
        <f t="shared" si="162"/>
        <v>0</v>
      </c>
      <c r="X52" s="10">
        <f t="shared" si="162"/>
        <v>0</v>
      </c>
      <c r="Y52" s="10">
        <f t="shared" si="162"/>
        <v>0</v>
      </c>
      <c r="Z52" s="10">
        <f t="shared" si="162"/>
        <v>0</v>
      </c>
      <c r="AA52" s="10">
        <f t="shared" si="162"/>
        <v>0</v>
      </c>
      <c r="AB52" s="10">
        <f t="shared" si="162"/>
        <v>0</v>
      </c>
      <c r="AC52" s="10">
        <f t="shared" si="162"/>
        <v>0</v>
      </c>
      <c r="AD52" s="10">
        <f t="shared" si="162"/>
        <v>0</v>
      </c>
      <c r="AE52" s="10">
        <f t="shared" si="162"/>
        <v>0</v>
      </c>
      <c r="AF52" s="10">
        <f t="shared" si="162"/>
        <v>0</v>
      </c>
      <c r="AG52" s="10">
        <f t="shared" si="162"/>
        <v>0</v>
      </c>
      <c r="AH52" s="10">
        <f t="shared" si="162"/>
        <v>0</v>
      </c>
      <c r="AI52" s="10">
        <f t="shared" si="162"/>
        <v>0</v>
      </c>
      <c r="AJ52" s="10">
        <f t="shared" ref="AJ52:AP52" si="163">AJ31-AJ32</f>
        <v>0</v>
      </c>
      <c r="AK52" s="10">
        <f t="shared" si="163"/>
        <v>0</v>
      </c>
      <c r="AL52" s="10">
        <f t="shared" si="163"/>
        <v>0</v>
      </c>
      <c r="AM52" s="10">
        <f t="shared" si="163"/>
        <v>0</v>
      </c>
      <c r="AN52" s="10">
        <f t="shared" si="163"/>
        <v>0</v>
      </c>
      <c r="AO52" s="10">
        <f t="shared" si="163"/>
        <v>0</v>
      </c>
      <c r="AP52" s="10">
        <f t="shared" si="163"/>
        <v>0</v>
      </c>
      <c r="AQ52" s="10">
        <f t="shared" ref="AQ52:AX52" si="164">AQ31-AQ32</f>
        <v>0</v>
      </c>
      <c r="AR52" s="10">
        <f t="shared" si="164"/>
        <v>0</v>
      </c>
      <c r="AS52" s="10">
        <f t="shared" si="164"/>
        <v>0</v>
      </c>
      <c r="AT52" s="10">
        <f t="shared" si="164"/>
        <v>0</v>
      </c>
      <c r="AU52" s="10">
        <f t="shared" si="164"/>
        <v>0</v>
      </c>
      <c r="AV52" s="10">
        <f t="shared" si="164"/>
        <v>0</v>
      </c>
      <c r="AW52" s="10">
        <f t="shared" si="164"/>
        <v>0</v>
      </c>
      <c r="AX52" s="10">
        <f t="shared" si="164"/>
        <v>0</v>
      </c>
      <c r="AY52" s="10"/>
      <c r="AZ52" s="10">
        <f>AZ31-AZ32</f>
        <v>0</v>
      </c>
      <c r="BA52" s="10"/>
      <c r="BB52" s="10">
        <f>BB31-BB32</f>
        <v>0</v>
      </c>
      <c r="BC52" s="10"/>
      <c r="BD52" s="10">
        <f>BD31-BD32</f>
        <v>0</v>
      </c>
      <c r="BE52" s="10">
        <f>BE31-BE32</f>
        <v>0</v>
      </c>
      <c r="BF52" s="10">
        <f>BF31-BF32</f>
        <v>0</v>
      </c>
      <c r="BG52" s="10">
        <f>BG31-BG32</f>
        <v>0</v>
      </c>
      <c r="BH52" s="10">
        <f t="shared" ref="BH52:CK52" si="165">BH31-BH32</f>
        <v>0</v>
      </c>
      <c r="BI52" s="10">
        <f t="shared" si="165"/>
        <v>0</v>
      </c>
      <c r="BJ52" s="10">
        <f>BJ31-BJ32</f>
        <v>0</v>
      </c>
      <c r="BK52" s="10">
        <f t="shared" si="165"/>
        <v>0</v>
      </c>
      <c r="BL52" s="10">
        <f t="shared" si="165"/>
        <v>0</v>
      </c>
      <c r="BM52" s="10">
        <f>BM31-BM32</f>
        <v>0</v>
      </c>
      <c r="BN52" s="10">
        <f t="shared" si="165"/>
        <v>0</v>
      </c>
      <c r="BO52" s="10">
        <f>BO31-BO32</f>
        <v>0</v>
      </c>
      <c r="BP52" s="10">
        <f t="shared" si="165"/>
        <v>0</v>
      </c>
      <c r="BQ52" s="10">
        <f>BQ31-BQ32</f>
        <v>0</v>
      </c>
      <c r="BR52" s="10">
        <f t="shared" si="165"/>
        <v>0</v>
      </c>
      <c r="BS52" s="10">
        <f t="shared" si="165"/>
        <v>0</v>
      </c>
      <c r="BT52" s="10">
        <f>BT31-BT32</f>
        <v>0</v>
      </c>
      <c r="BU52" s="10">
        <f t="shared" si="165"/>
        <v>0</v>
      </c>
      <c r="BV52" s="10">
        <f>BV31-BV32</f>
        <v>0</v>
      </c>
      <c r="BW52" s="10">
        <f t="shared" si="165"/>
        <v>0</v>
      </c>
      <c r="BX52" s="10">
        <f>BX31-BX32</f>
        <v>0</v>
      </c>
      <c r="BY52" s="10">
        <f t="shared" si="165"/>
        <v>0</v>
      </c>
      <c r="BZ52" s="10">
        <f t="shared" si="165"/>
        <v>0</v>
      </c>
      <c r="CA52" s="10">
        <f>CA31-CA32</f>
        <v>0</v>
      </c>
      <c r="CB52" s="10">
        <f t="shared" si="165"/>
        <v>0</v>
      </c>
      <c r="CC52" s="10">
        <f>CC31-CC32</f>
        <v>0</v>
      </c>
      <c r="CD52" s="10">
        <f t="shared" si="165"/>
        <v>0</v>
      </c>
      <c r="CE52" s="10">
        <f>CE31-CE32</f>
        <v>0</v>
      </c>
      <c r="CF52" s="10">
        <f t="shared" si="165"/>
        <v>0</v>
      </c>
      <c r="CG52" s="10">
        <f t="shared" si="165"/>
        <v>0</v>
      </c>
      <c r="CH52" s="10">
        <f>CH31-CH32</f>
        <v>0</v>
      </c>
      <c r="CI52" s="10">
        <f t="shared" si="165"/>
        <v>0</v>
      </c>
      <c r="CJ52" s="10">
        <f>CJ31-CJ32</f>
        <v>0</v>
      </c>
      <c r="CK52" s="10">
        <f t="shared" si="165"/>
        <v>0</v>
      </c>
      <c r="CL52" s="10">
        <f t="shared" ref="CL52:CR52" si="166">CL31-CL32</f>
        <v>0</v>
      </c>
      <c r="CM52" s="10">
        <f t="shared" si="166"/>
        <v>0</v>
      </c>
      <c r="CN52" s="10">
        <f t="shared" si="166"/>
        <v>0</v>
      </c>
      <c r="CO52" s="10">
        <f t="shared" si="166"/>
        <v>0</v>
      </c>
      <c r="CP52" s="10">
        <f t="shared" si="166"/>
        <v>0</v>
      </c>
      <c r="CQ52" s="10">
        <f t="shared" si="166"/>
        <v>0</v>
      </c>
      <c r="CR52" s="10">
        <f t="shared" si="166"/>
        <v>0</v>
      </c>
      <c r="CS52" s="10">
        <f t="shared" ref="CS52:CT52" si="167">CS31-CS32</f>
        <v>0</v>
      </c>
      <c r="CT52" s="10">
        <f t="shared" si="167"/>
        <v>0</v>
      </c>
      <c r="CU52" s="10">
        <f t="shared" ref="CU52:CZ52" si="168">CU31-CU32</f>
        <v>0</v>
      </c>
      <c r="CV52" s="10">
        <f t="shared" si="168"/>
        <v>0</v>
      </c>
      <c r="CW52" s="10">
        <f t="shared" si="168"/>
        <v>0</v>
      </c>
      <c r="CX52" s="10">
        <f t="shared" si="168"/>
        <v>0</v>
      </c>
      <c r="CY52" s="10">
        <f t="shared" si="168"/>
        <v>0</v>
      </c>
      <c r="CZ52" s="10">
        <f t="shared" si="168"/>
        <v>0</v>
      </c>
      <c r="DA52" s="10">
        <f>DA31-DA32</f>
        <v>0</v>
      </c>
      <c r="DB52" s="10">
        <f>DB31-DB32</f>
        <v>0</v>
      </c>
      <c r="DC52" s="10">
        <f>DC31-DC32</f>
        <v>0</v>
      </c>
      <c r="DD52" s="10">
        <f>DD31-DD32</f>
        <v>0</v>
      </c>
      <c r="DE52" s="10">
        <f t="shared" ref="DE52:DF52" si="169">DE31-DE32</f>
        <v>0</v>
      </c>
      <c r="DF52" s="10">
        <f t="shared" si="169"/>
        <v>0</v>
      </c>
      <c r="DG52" s="10">
        <f>DG31-DG32</f>
        <v>0</v>
      </c>
      <c r="DH52" s="10">
        <f>DH31-DH32</f>
        <v>0</v>
      </c>
      <c r="DI52" s="10">
        <f>DI31-DI32</f>
        <v>0</v>
      </c>
      <c r="DJ52" s="10">
        <f>DJ31-DJ32</f>
        <v>0</v>
      </c>
      <c r="DK52" s="10"/>
    </row>
    <row r="54" spans="1:115" ht="10.5" x14ac:dyDescent="0.25">
      <c r="A54" s="90"/>
      <c r="B54" s="89"/>
      <c r="C54" s="89"/>
      <c r="D54" s="91"/>
      <c r="E54" s="90"/>
      <c r="F54" s="90"/>
      <c r="G54" s="90"/>
    </row>
    <row r="55" spans="1:115" x14ac:dyDescent="0.2">
      <c r="D55" s="91"/>
    </row>
  </sheetData>
  <customSheetViews>
    <customSheetView guid="{123C4F1C-4895-46DD-B59E-C96253E6CB23}" showGridLines="0" fitToPage="1" showRuler="0" topLeftCell="L25">
      <selection activeCell="O54" sqref="O54"/>
      <pageMargins left="0" right="0" top="0" bottom="0" header="0" footer="0"/>
      <pageSetup paperSize="9" scale="82" orientation="landscape" r:id="rId1"/>
      <headerFooter alignWithMargins="0"/>
    </customSheetView>
    <customSheetView guid="{87BBC8EC-E3DC-4681-ADCF-155BFED637D3}" showGridLines="0" fitToPage="1" showRuler="0" topLeftCell="E1">
      <selection activeCell="Q20" sqref="Q20"/>
      <pageMargins left="0" right="0" top="0" bottom="0" header="0" footer="0"/>
      <pageSetup paperSize="9" scale="82" orientation="landscape" r:id="rId2"/>
      <headerFooter alignWithMargins="0"/>
    </customSheetView>
    <customSheetView guid="{541190A4-AA4E-4E6C-B49E-AED913B3B1F4}" showGridLines="0" fitToPage="1" showRuler="0" topLeftCell="H15">
      <selection activeCell="Q49" sqref="Q49"/>
      <pageMargins left="0" right="0" top="0" bottom="0" header="0" footer="0"/>
      <pageSetup paperSize="9" scale="82" orientation="landscape" r:id="rId3"/>
      <headerFooter alignWithMargins="0"/>
    </customSheetView>
    <customSheetView guid="{2F2F03EC-AF42-4C78-9418-7B0DEBF08052}" showPageBreaks="1" showGridLines="0" fitToPage="1" hiddenColumns="1">
      <selection activeCell="V1" sqref="V1:V65536"/>
      <pageMargins left="0" right="0" top="0" bottom="0" header="0" footer="0"/>
      <pageSetup paperSize="9" scale="76" orientation="landscape" r:id="rId4"/>
    </customSheetView>
  </customSheetViews>
  <mergeCells count="4">
    <mergeCell ref="A4:Q4"/>
    <mergeCell ref="A6:G7"/>
    <mergeCell ref="A2:AI2"/>
    <mergeCell ref="A3:AP3"/>
  </mergeCells>
  <phoneticPr fontId="8" type="noConversion"/>
  <pageMargins left="0.82677165354330717" right="0.51181102362204722" top="0.31496062992125984" bottom="0.27559055118110237" header="0.31496062992125984" footer="0.31496062992125984"/>
  <pageSetup paperSize="9" scale="10" orientation="portrait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593C"/>
    <pageSetUpPr fitToPage="1"/>
  </sheetPr>
  <dimension ref="A1:DE32"/>
  <sheetViews>
    <sheetView showGridLines="0" zoomScaleNormal="100" workbookViewId="0">
      <pane xSplit="1" ySplit="6" topLeftCell="CO7" activePane="bottomRight" state="frozen"/>
      <selection pane="topRight" activeCell="M20" sqref="M20"/>
      <selection pane="bottomLeft" activeCell="M20" sqref="M20"/>
      <selection pane="bottomRight" activeCell="CU44" sqref="CU44"/>
    </sheetView>
  </sheetViews>
  <sheetFormatPr defaultColWidth="9.1796875" defaultRowHeight="10" x14ac:dyDescent="0.2"/>
  <cols>
    <col min="1" max="1" width="44.1796875" style="8" customWidth="1"/>
    <col min="2" max="2" width="9.1796875" style="8" bestFit="1"/>
    <col min="3" max="3" width="8.81640625" style="8" customWidth="1"/>
    <col min="4" max="4" width="9.453125" style="8" bestFit="1" customWidth="1"/>
    <col min="5" max="5" width="9.1796875" style="8"/>
    <col min="6" max="6" width="9" style="8" customWidth="1"/>
    <col min="7" max="7" width="8.7265625" style="8" customWidth="1"/>
    <col min="8" max="8" width="9.1796875" style="8" bestFit="1"/>
    <col min="9" max="9" width="9.26953125" style="8" bestFit="1" customWidth="1"/>
    <col min="10" max="10" width="8.81640625" style="8" customWidth="1"/>
    <col min="11" max="11" width="9.26953125" style="8" bestFit="1" customWidth="1"/>
    <col min="12" max="12" width="9.453125" style="8" bestFit="1" customWidth="1"/>
    <col min="13" max="21" width="9.1796875" style="8" bestFit="1"/>
    <col min="22" max="22" width="10" style="8" bestFit="1" customWidth="1"/>
    <col min="23" max="28" width="9.1796875" style="8"/>
    <col min="29" max="38" width="10" style="8" bestFit="1" customWidth="1"/>
    <col min="39" max="39" width="10" style="8" customWidth="1"/>
    <col min="40" max="43" width="10" style="8" bestFit="1" customWidth="1"/>
    <col min="44" max="49" width="9.1796875" style="8"/>
    <col min="50" max="50" width="9.54296875" style="8" bestFit="1" customWidth="1"/>
    <col min="51" max="56" width="9.1796875" style="8"/>
    <col min="57" max="57" width="9.54296875" style="8" bestFit="1" customWidth="1"/>
    <col min="58" max="63" width="9.1796875" style="8"/>
    <col min="64" max="64" width="9.54296875" style="8" bestFit="1" customWidth="1"/>
    <col min="65" max="68" width="9.1796875" style="8"/>
    <col min="69" max="69" width="9.54296875" style="8" bestFit="1" customWidth="1"/>
    <col min="70" max="70" width="9.1796875" style="8"/>
    <col min="71" max="71" width="9.54296875" style="8" bestFit="1" customWidth="1"/>
    <col min="72" max="75" width="9.1796875" style="8"/>
    <col min="76" max="76" width="9.54296875" style="8" bestFit="1" customWidth="1"/>
    <col min="77" max="77" width="9.1796875" style="8"/>
    <col min="78" max="78" width="9.54296875" style="8" bestFit="1" customWidth="1"/>
    <col min="79" max="80" width="9.1796875" style="8"/>
    <col min="81" max="81" width="9.54296875" style="8" bestFit="1" customWidth="1"/>
    <col min="82" max="82" width="9.1796875" style="8"/>
    <col min="83" max="83" width="9.54296875" style="8" bestFit="1" customWidth="1"/>
    <col min="84" max="84" width="9.1796875" style="8"/>
    <col min="85" max="86" width="9.54296875" style="8" bestFit="1" customWidth="1"/>
    <col min="87" max="87" width="9.1796875" style="8"/>
    <col min="88" max="90" width="9.54296875" style="8" bestFit="1" customWidth="1"/>
    <col min="91" max="91" width="11.1796875" style="8" bestFit="1" customWidth="1"/>
    <col min="92" max="93" width="9.54296875" style="8" bestFit="1" customWidth="1"/>
    <col min="94" max="94" width="9.1796875" style="8"/>
    <col min="95" max="95" width="9.54296875" style="8" bestFit="1" customWidth="1"/>
    <col min="96" max="103" width="9.1796875" style="8"/>
    <col min="104" max="106" width="9.1796875" style="8" customWidth="1"/>
    <col min="107" max="16384" width="9.1796875" style="8"/>
  </cols>
  <sheetData>
    <row r="1" spans="1:109" ht="11.25" customHeight="1" x14ac:dyDescent="0.25">
      <c r="A1" s="39"/>
      <c r="N1" s="40"/>
      <c r="Q1" s="40"/>
    </row>
    <row r="2" spans="1:109" ht="15.75" customHeight="1" x14ac:dyDescent="0.35">
      <c r="A2" s="238" t="s">
        <v>350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</row>
    <row r="3" spans="1:109" ht="15.75" customHeight="1" x14ac:dyDescent="0.35">
      <c r="A3" s="238" t="s">
        <v>351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145"/>
      <c r="AL3" s="145"/>
      <c r="AM3" s="145"/>
      <c r="AN3" s="145"/>
      <c r="AO3" s="145"/>
      <c r="AP3" s="145"/>
    </row>
    <row r="4" spans="1:109" ht="11.25" customHeight="1" x14ac:dyDescent="0.2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09" ht="11.25" customHeight="1" x14ac:dyDescent="0.2">
      <c r="A5" s="128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</row>
    <row r="6" spans="1:109" ht="15" customHeight="1" x14ac:dyDescent="0.25">
      <c r="A6" s="129" t="s">
        <v>352</v>
      </c>
      <c r="B6" s="41" t="s">
        <v>22</v>
      </c>
      <c r="C6" s="41" t="s">
        <v>23</v>
      </c>
      <c r="D6" s="42" t="s">
        <v>198</v>
      </c>
      <c r="E6" s="41" t="s">
        <v>24</v>
      </c>
      <c r="F6" s="42" t="s">
        <v>199</v>
      </c>
      <c r="G6" s="41" t="s">
        <v>200</v>
      </c>
      <c r="H6" s="42">
        <v>2009</v>
      </c>
      <c r="I6" s="41" t="s">
        <v>26</v>
      </c>
      <c r="J6" s="41" t="s">
        <v>27</v>
      </c>
      <c r="K6" s="42" t="s">
        <v>201</v>
      </c>
      <c r="L6" s="41" t="s">
        <v>28</v>
      </c>
      <c r="M6" s="42" t="s">
        <v>202</v>
      </c>
      <c r="N6" s="41" t="s">
        <v>203</v>
      </c>
      <c r="O6" s="42">
        <v>2010</v>
      </c>
      <c r="P6" s="41" t="s">
        <v>30</v>
      </c>
      <c r="Q6" s="41" t="s">
        <v>31</v>
      </c>
      <c r="R6" s="42" t="s">
        <v>204</v>
      </c>
      <c r="S6" s="41" t="s">
        <v>32</v>
      </c>
      <c r="T6" s="42" t="s">
        <v>205</v>
      </c>
      <c r="U6" s="41" t="s">
        <v>206</v>
      </c>
      <c r="V6" s="41">
        <v>2011</v>
      </c>
      <c r="W6" s="41" t="s">
        <v>34</v>
      </c>
      <c r="X6" s="41" t="s">
        <v>35</v>
      </c>
      <c r="Y6" s="42" t="s">
        <v>207</v>
      </c>
      <c r="Z6" s="41" t="s">
        <v>36</v>
      </c>
      <c r="AA6" s="42" t="s">
        <v>208</v>
      </c>
      <c r="AB6" s="41" t="s">
        <v>209</v>
      </c>
      <c r="AC6" s="42">
        <v>2012</v>
      </c>
      <c r="AD6" s="42" t="s">
        <v>38</v>
      </c>
      <c r="AE6" s="42" t="s">
        <v>39</v>
      </c>
      <c r="AF6" s="42" t="s">
        <v>210</v>
      </c>
      <c r="AG6" s="42" t="s">
        <v>40</v>
      </c>
      <c r="AH6" s="42" t="s">
        <v>211</v>
      </c>
      <c r="AI6" s="42" t="s">
        <v>212</v>
      </c>
      <c r="AJ6" s="42">
        <v>2013</v>
      </c>
      <c r="AK6" s="42" t="s">
        <v>213</v>
      </c>
      <c r="AL6" s="42" t="s">
        <v>214</v>
      </c>
      <c r="AM6" s="42" t="s">
        <v>353</v>
      </c>
      <c r="AN6" s="42" t="s">
        <v>216</v>
      </c>
      <c r="AO6" s="42" t="s">
        <v>217</v>
      </c>
      <c r="AP6" s="42" t="s">
        <v>218</v>
      </c>
      <c r="AQ6" s="42">
        <v>2014</v>
      </c>
      <c r="AR6" s="42" t="s">
        <v>219</v>
      </c>
      <c r="AS6" s="42" t="s">
        <v>220</v>
      </c>
      <c r="AT6" s="42" t="s">
        <v>221</v>
      </c>
      <c r="AU6" s="42" t="s">
        <v>222</v>
      </c>
      <c r="AV6" s="42" t="s">
        <v>223</v>
      </c>
      <c r="AW6" s="42" t="s">
        <v>224</v>
      </c>
      <c r="AX6" s="199" t="s">
        <v>49</v>
      </c>
      <c r="AY6" s="42" t="s">
        <v>225</v>
      </c>
      <c r="AZ6" s="42" t="s">
        <v>226</v>
      </c>
      <c r="BA6" s="42" t="s">
        <v>227</v>
      </c>
      <c r="BB6" s="42" t="s">
        <v>228</v>
      </c>
      <c r="BC6" s="42" t="s">
        <v>229</v>
      </c>
      <c r="BD6" s="42" t="s">
        <v>230</v>
      </c>
      <c r="BE6" s="199" t="s">
        <v>53</v>
      </c>
      <c r="BF6" s="42" t="s">
        <v>231</v>
      </c>
      <c r="BG6" s="42" t="s">
        <v>232</v>
      </c>
      <c r="BH6" s="42" t="s">
        <v>233</v>
      </c>
      <c r="BI6" s="42" t="s">
        <v>234</v>
      </c>
      <c r="BJ6" s="42" t="s">
        <v>235</v>
      </c>
      <c r="BK6" s="42" t="s">
        <v>236</v>
      </c>
      <c r="BL6" s="199" t="s">
        <v>57</v>
      </c>
      <c r="BM6" s="42" t="s">
        <v>237</v>
      </c>
      <c r="BN6" s="42" t="s">
        <v>238</v>
      </c>
      <c r="BO6" s="42" t="s">
        <v>239</v>
      </c>
      <c r="BP6" s="42" t="s">
        <v>240</v>
      </c>
      <c r="BQ6" s="42" t="s">
        <v>241</v>
      </c>
      <c r="BR6" s="42" t="s">
        <v>242</v>
      </c>
      <c r="BS6" s="199" t="s">
        <v>61</v>
      </c>
      <c r="BT6" s="42" t="s">
        <v>243</v>
      </c>
      <c r="BU6" s="42" t="s">
        <v>244</v>
      </c>
      <c r="BV6" s="42" t="s">
        <v>245</v>
      </c>
      <c r="BW6" s="42" t="s">
        <v>246</v>
      </c>
      <c r="BX6" s="42" t="s">
        <v>247</v>
      </c>
      <c r="BY6" s="42" t="s">
        <v>248</v>
      </c>
      <c r="BZ6" s="199" t="s">
        <v>65</v>
      </c>
      <c r="CA6" s="42" t="s">
        <v>249</v>
      </c>
      <c r="CB6" s="42" t="s">
        <v>250</v>
      </c>
      <c r="CC6" s="42" t="s">
        <v>251</v>
      </c>
      <c r="CD6" s="42" t="s">
        <v>252</v>
      </c>
      <c r="CE6" s="42" t="s">
        <v>253</v>
      </c>
      <c r="CF6" s="42" t="s">
        <v>254</v>
      </c>
      <c r="CG6" s="208" t="s">
        <v>134</v>
      </c>
      <c r="CH6" s="42" t="s">
        <v>255</v>
      </c>
      <c r="CI6" s="42" t="s">
        <v>256</v>
      </c>
      <c r="CJ6" s="42" t="s">
        <v>257</v>
      </c>
      <c r="CK6" s="42" t="s">
        <v>258</v>
      </c>
      <c r="CL6" s="42" t="s">
        <v>259</v>
      </c>
      <c r="CM6" s="42" t="s">
        <v>260</v>
      </c>
      <c r="CN6" s="208" t="s">
        <v>72</v>
      </c>
      <c r="CO6" s="42" t="s">
        <v>135</v>
      </c>
      <c r="CP6" s="42" t="s">
        <v>394</v>
      </c>
      <c r="CQ6" s="42" t="s">
        <v>395</v>
      </c>
      <c r="CR6" s="42" t="s">
        <v>398</v>
      </c>
      <c r="CS6" s="42" t="s">
        <v>399</v>
      </c>
      <c r="CT6" s="42" t="s">
        <v>403</v>
      </c>
      <c r="CU6" s="208" t="s">
        <v>400</v>
      </c>
      <c r="CV6" s="42" t="s">
        <v>406</v>
      </c>
      <c r="CW6" s="42" t="s">
        <v>407</v>
      </c>
      <c r="CX6" s="42" t="s">
        <v>408</v>
      </c>
      <c r="CY6" s="42" t="s">
        <v>415</v>
      </c>
      <c r="CZ6" s="42" t="s">
        <v>416</v>
      </c>
      <c r="DA6" s="225" t="s">
        <v>423</v>
      </c>
      <c r="DB6" s="225">
        <v>2023</v>
      </c>
      <c r="DC6" s="42" t="s">
        <v>433</v>
      </c>
      <c r="DD6" s="42" t="s">
        <v>436</v>
      </c>
      <c r="DE6" s="42" t="s">
        <v>437</v>
      </c>
    </row>
    <row r="7" spans="1:109" ht="10.5" x14ac:dyDescent="0.25">
      <c r="A7" s="130" t="s">
        <v>354</v>
      </c>
      <c r="B7" s="43">
        <v>204522</v>
      </c>
      <c r="C7" s="43">
        <v>120588</v>
      </c>
      <c r="D7" s="43">
        <f>C7+B7</f>
        <v>325110</v>
      </c>
      <c r="E7" s="43">
        <v>99629</v>
      </c>
      <c r="F7" s="43">
        <f>D7+E7</f>
        <v>424739</v>
      </c>
      <c r="G7" s="43">
        <v>163221</v>
      </c>
      <c r="H7" s="43">
        <f>B7+C7+E7+G7</f>
        <v>587960</v>
      </c>
      <c r="I7" s="43">
        <v>177185</v>
      </c>
      <c r="J7" s="43">
        <v>206420</v>
      </c>
      <c r="K7" s="43">
        <f>I7+J7</f>
        <v>383605</v>
      </c>
      <c r="L7" s="43">
        <v>219830</v>
      </c>
      <c r="M7" s="43">
        <f>K7+L7</f>
        <v>603435</v>
      </c>
      <c r="N7" s="43">
        <f>O7-M7</f>
        <v>285278</v>
      </c>
      <c r="O7" s="43">
        <v>888713</v>
      </c>
      <c r="P7" s="43">
        <v>196277</v>
      </c>
      <c r="Q7" s="43">
        <v>210104</v>
      </c>
      <c r="R7" s="43">
        <f>P7+Q7</f>
        <v>406381</v>
      </c>
      <c r="S7" s="43">
        <v>275682</v>
      </c>
      <c r="T7" s="43">
        <f>R7+S7</f>
        <v>682063</v>
      </c>
      <c r="U7" s="43">
        <v>323577</v>
      </c>
      <c r="V7" s="43">
        <v>1005640</v>
      </c>
      <c r="W7" s="43">
        <v>324814</v>
      </c>
      <c r="X7" s="43">
        <f>Y7-W7</f>
        <v>226785</v>
      </c>
      <c r="Y7" s="43">
        <v>551599</v>
      </c>
      <c r="Z7" s="43">
        <f>AA7-Y7</f>
        <v>268251</v>
      </c>
      <c r="AA7" s="43">
        <f>DRE!AG8</f>
        <v>819850</v>
      </c>
      <c r="AB7" s="43">
        <f>AC7-AA7</f>
        <v>298893</v>
      </c>
      <c r="AC7" s="43">
        <f>DRE!AI8</f>
        <v>1118743</v>
      </c>
      <c r="AD7" s="43">
        <f>DRE!AJ8</f>
        <v>256868</v>
      </c>
      <c r="AE7" s="43">
        <f>DRE!AK8</f>
        <v>317296</v>
      </c>
      <c r="AF7" s="43">
        <f>DRE!AL8</f>
        <v>574164</v>
      </c>
      <c r="AG7" s="43">
        <f>DRE!AM8</f>
        <v>268662</v>
      </c>
      <c r="AH7" s="43">
        <f>DRE!AN8</f>
        <v>842826</v>
      </c>
      <c r="AI7" s="43">
        <f>DRE!AO8</f>
        <v>338694</v>
      </c>
      <c r="AJ7" s="43">
        <f>DRE!AP8</f>
        <v>1181520</v>
      </c>
      <c r="AK7" s="43">
        <f>DRE!AQ8</f>
        <v>350778</v>
      </c>
      <c r="AL7" s="43">
        <f>DRE!AR8</f>
        <v>395602</v>
      </c>
      <c r="AM7" s="43">
        <f>DRE!AS8</f>
        <v>746380</v>
      </c>
      <c r="AN7" s="43">
        <f>DRE!AT8</f>
        <v>314187</v>
      </c>
      <c r="AO7" s="43">
        <f>DRE!AU8</f>
        <v>1060567</v>
      </c>
      <c r="AP7" s="43">
        <f>DRE!AV8</f>
        <v>438608</v>
      </c>
      <c r="AQ7" s="43">
        <f>DRE!AW8</f>
        <v>1499175</v>
      </c>
      <c r="AR7" s="43">
        <f>DRE!AX8</f>
        <v>364271</v>
      </c>
      <c r="AS7" s="43">
        <f>DRE!AY8</f>
        <v>470995</v>
      </c>
      <c r="AT7" s="43">
        <f>DRE!AZ8</f>
        <v>835266</v>
      </c>
      <c r="AU7" s="43">
        <f>DRE!BA8</f>
        <v>342698</v>
      </c>
      <c r="AV7" s="43">
        <f>DRE!BB8</f>
        <v>1177964</v>
      </c>
      <c r="AW7" s="43">
        <f>DRE!BC8</f>
        <v>583617</v>
      </c>
      <c r="AX7" s="43">
        <f>DRE!BD8</f>
        <v>1761581</v>
      </c>
      <c r="AY7" s="43">
        <f>DRE!BE8</f>
        <v>421202</v>
      </c>
      <c r="AZ7" s="43">
        <f>DRE!BF8</f>
        <v>291193</v>
      </c>
      <c r="BA7" s="43">
        <f t="shared" ref="BA7:BA16" si="0">AZ7+AY7</f>
        <v>712395</v>
      </c>
      <c r="BB7" s="43">
        <f>DRE!BH8</f>
        <v>317615</v>
      </c>
      <c r="BC7" s="43">
        <f t="shared" ref="BC7:BC16" si="1">BB7+BA7</f>
        <v>1030010</v>
      </c>
      <c r="BD7" s="43">
        <f>DRE!BJ8</f>
        <v>629639</v>
      </c>
      <c r="BE7" s="43">
        <f t="shared" ref="BE7:BE16" si="2">BD7+BC7</f>
        <v>1659649</v>
      </c>
      <c r="BF7" s="43">
        <f>DRE!BL8</f>
        <v>459121</v>
      </c>
      <c r="BG7" s="43">
        <f>DRE!BM8</f>
        <v>472929</v>
      </c>
      <c r="BH7" s="43">
        <f>BG7+BF7</f>
        <v>932050</v>
      </c>
      <c r="BI7" s="43">
        <f>DRE!BO8</f>
        <v>561029</v>
      </c>
      <c r="BJ7" s="43">
        <f>BI7+BH7</f>
        <v>1493079</v>
      </c>
      <c r="BK7" s="43">
        <f>DRE!BQ8</f>
        <v>726822</v>
      </c>
      <c r="BL7" s="43">
        <f>BK7+BJ7</f>
        <v>2219901</v>
      </c>
      <c r="BM7" s="43">
        <f>DRE!BS8</f>
        <v>662704</v>
      </c>
      <c r="BN7" s="43">
        <f>DRE!BT8</f>
        <v>752666</v>
      </c>
      <c r="BO7" s="43">
        <f>BN7+BM7</f>
        <v>1415370</v>
      </c>
      <c r="BP7" s="43">
        <f>DRE!BV8</f>
        <v>537585</v>
      </c>
      <c r="BQ7" s="43">
        <f>BP7+BO7</f>
        <v>1952955</v>
      </c>
      <c r="BR7" s="43">
        <f>DRE!BX8</f>
        <v>870513</v>
      </c>
      <c r="BS7" s="43">
        <f>BR7+BQ7</f>
        <v>2823468</v>
      </c>
      <c r="BT7" s="43">
        <f>DRE!BZ8</f>
        <v>765330</v>
      </c>
      <c r="BU7" s="43">
        <f>DRE!CA8</f>
        <v>806801</v>
      </c>
      <c r="BV7" s="43">
        <f>BU7+BT7</f>
        <v>1572131</v>
      </c>
      <c r="BW7" s="43">
        <f>DRE!CC8</f>
        <v>563106</v>
      </c>
      <c r="BX7" s="43">
        <f>BW7+BV7</f>
        <v>2135237</v>
      </c>
      <c r="BY7" s="43">
        <f>DRE!CE8</f>
        <v>905419</v>
      </c>
      <c r="BZ7" s="43">
        <f>BY7+BX7</f>
        <v>3040656</v>
      </c>
      <c r="CA7" s="43">
        <f>DRE!CG8</f>
        <v>926806</v>
      </c>
      <c r="CB7" s="43">
        <f>DRE!CH8</f>
        <v>983909</v>
      </c>
      <c r="CC7" s="43">
        <f>CB7+CA7</f>
        <v>1910715</v>
      </c>
      <c r="CD7" s="43">
        <f>DRE!CJ8</f>
        <v>751264</v>
      </c>
      <c r="CE7" s="43">
        <f>CD7+CC7</f>
        <v>2661979</v>
      </c>
      <c r="CF7" s="43">
        <f>DRE!CL8</f>
        <v>1211099</v>
      </c>
      <c r="CG7" s="43">
        <f t="shared" ref="CG7:CG13" si="3">CF7+CE7</f>
        <v>3873078</v>
      </c>
      <c r="CH7" s="43">
        <f>DRE!CN8</f>
        <v>1565380</v>
      </c>
      <c r="CI7" s="43">
        <f>DRE!CO8</f>
        <v>1687897</v>
      </c>
      <c r="CJ7" s="43">
        <f>DRE!CP8</f>
        <v>3253277</v>
      </c>
      <c r="CK7" s="43">
        <f>DRE!CQ8</f>
        <v>1143497</v>
      </c>
      <c r="CL7" s="43">
        <f>DRE!CR8</f>
        <v>4396769</v>
      </c>
      <c r="CM7" s="43">
        <f>DRE!CS8</f>
        <v>1927596</v>
      </c>
      <c r="CN7" s="43">
        <f>CM7+CL7+4</f>
        <v>6324369</v>
      </c>
      <c r="CO7" s="43">
        <f>DRE!CU8</f>
        <v>3497197</v>
      </c>
      <c r="CP7" s="43">
        <f>DRE!CV8</f>
        <v>2388583</v>
      </c>
      <c r="CQ7" s="43">
        <f>DRE!CW8</f>
        <v>5885780</v>
      </c>
      <c r="CR7" s="43">
        <f>DRE!CX8</f>
        <v>1369027</v>
      </c>
      <c r="CS7" s="43">
        <f>DRE!CY8</f>
        <v>7254808</v>
      </c>
      <c r="CT7" s="43">
        <f>DRE!CZ8</f>
        <v>2263538</v>
      </c>
      <c r="CU7" s="43">
        <f>DRE!DA8</f>
        <v>9518344</v>
      </c>
      <c r="CV7" s="43">
        <f>DRE!DB8</f>
        <v>3017806</v>
      </c>
      <c r="CW7" s="43">
        <f>DRE!DC8</f>
        <v>2146482</v>
      </c>
      <c r="CX7" s="43">
        <f>DRE!DD8</f>
        <v>5164288</v>
      </c>
      <c r="CY7" s="43">
        <f>DRE!DE8</f>
        <v>2045131</v>
      </c>
      <c r="CZ7" s="43">
        <f>DRE!DF8</f>
        <v>7209419</v>
      </c>
      <c r="DA7" s="43">
        <f>DRE!DG8</f>
        <v>1912705</v>
      </c>
      <c r="DB7" s="43">
        <f>DRE!DH8</f>
        <v>9122124</v>
      </c>
      <c r="DC7" s="43">
        <f>[3]DRE!DI8</f>
        <v>1994799</v>
      </c>
      <c r="DD7" s="43">
        <f>1351597+797411-37090</f>
        <v>2111918</v>
      </c>
      <c r="DE7" s="43">
        <f>SUM(DC7:DD7)</f>
        <v>4106717</v>
      </c>
    </row>
    <row r="8" spans="1:109" ht="10.5" x14ac:dyDescent="0.25">
      <c r="A8" s="131" t="s">
        <v>355</v>
      </c>
      <c r="B8" s="43">
        <v>-105452</v>
      </c>
      <c r="C8" s="43">
        <v>-147367</v>
      </c>
      <c r="D8" s="43">
        <f>C8+B8</f>
        <v>-252819</v>
      </c>
      <c r="E8" s="43">
        <v>-150329</v>
      </c>
      <c r="F8" s="43">
        <f>D8+E8</f>
        <v>-403148</v>
      </c>
      <c r="G8" s="43">
        <v>-99197</v>
      </c>
      <c r="H8" s="43">
        <f>B8+C8+E8+G8</f>
        <v>-502345</v>
      </c>
      <c r="I8" s="43">
        <v>-176091</v>
      </c>
      <c r="J8" s="43">
        <v>-131610</v>
      </c>
      <c r="K8" s="43">
        <f>I8+J8</f>
        <v>-307701</v>
      </c>
      <c r="L8" s="43">
        <v>-141432</v>
      </c>
      <c r="M8" s="43">
        <f>K8+L8</f>
        <v>-449133</v>
      </c>
      <c r="N8" s="43">
        <f>O8-M8</f>
        <v>-219876</v>
      </c>
      <c r="O8" s="43">
        <v>-669009</v>
      </c>
      <c r="P8" s="43">
        <v>-121541</v>
      </c>
      <c r="Q8" s="43">
        <v>-135876</v>
      </c>
      <c r="R8" s="43">
        <f>P8+Q8</f>
        <v>-257417</v>
      </c>
      <c r="S8" s="43">
        <v>-148044</v>
      </c>
      <c r="T8" s="43">
        <f>R8+S8</f>
        <v>-405461</v>
      </c>
      <c r="U8" s="43">
        <v>-234391</v>
      </c>
      <c r="V8" s="43">
        <v>-639852</v>
      </c>
      <c r="W8" s="43">
        <v>-220845</v>
      </c>
      <c r="X8" s="43">
        <f>Y8-W8</f>
        <v>-223180</v>
      </c>
      <c r="Y8" s="43">
        <v>-444025</v>
      </c>
      <c r="Z8" s="43">
        <f t="shared" ref="Z8:Z20" si="4">AA8-Y8</f>
        <v>-195252</v>
      </c>
      <c r="AA8" s="43">
        <f>DRE!AG31</f>
        <v>-639277</v>
      </c>
      <c r="AB8" s="43">
        <f t="shared" ref="AB8:AB16" si="5">AC8-AA8</f>
        <v>-225679</v>
      </c>
      <c r="AC8" s="43">
        <f>DRE!AI31</f>
        <v>-864956</v>
      </c>
      <c r="AD8" s="43">
        <f>DRE!AJ31</f>
        <v>-184584</v>
      </c>
      <c r="AE8" s="43">
        <f>DRE!AK31</f>
        <v>-220612</v>
      </c>
      <c r="AF8" s="43">
        <f>DRE!AL31</f>
        <v>-405196</v>
      </c>
      <c r="AG8" s="43">
        <f>DRE!AM31</f>
        <v>-212791</v>
      </c>
      <c r="AH8" s="43">
        <f>DRE!AN31</f>
        <v>-617987</v>
      </c>
      <c r="AI8" s="43">
        <f>DRE!AO31</f>
        <v>-302247</v>
      </c>
      <c r="AJ8" s="43">
        <f>DRE!AP31</f>
        <v>-920234</v>
      </c>
      <c r="AK8" s="43">
        <f>DRE!AQ31</f>
        <v>-234284</v>
      </c>
      <c r="AL8" s="43">
        <f>DRE!AR31</f>
        <v>-343159</v>
      </c>
      <c r="AM8" s="43">
        <f>DRE!AS31</f>
        <v>-577443</v>
      </c>
      <c r="AN8" s="43">
        <f>DRE!AT31</f>
        <v>-260887</v>
      </c>
      <c r="AO8" s="43">
        <f>DRE!AU31</f>
        <v>-838330</v>
      </c>
      <c r="AP8" s="43">
        <f>DRE!AV31</f>
        <v>-327760</v>
      </c>
      <c r="AQ8" s="43">
        <f>DRE!AW31</f>
        <v>-1166090</v>
      </c>
      <c r="AR8" s="43">
        <f>DRE!AX31</f>
        <v>-242355</v>
      </c>
      <c r="AS8" s="43">
        <f>DRE!AY31</f>
        <v>-365185</v>
      </c>
      <c r="AT8" s="43">
        <f>DRE!AZ31</f>
        <v>-607540</v>
      </c>
      <c r="AU8" s="43">
        <f>DRE!BA31</f>
        <v>-255053</v>
      </c>
      <c r="AV8" s="43">
        <f>DRE!BB31</f>
        <v>-862593</v>
      </c>
      <c r="AW8" s="43">
        <f>DRE!BC31</f>
        <v>-465867</v>
      </c>
      <c r="AX8" s="43">
        <f>DRE!BD31</f>
        <v>-1328460</v>
      </c>
      <c r="AY8" s="43">
        <f>DRE!BE31</f>
        <v>-347529</v>
      </c>
      <c r="AZ8" s="43">
        <f>DRE!BF31</f>
        <v>-363402</v>
      </c>
      <c r="BA8" s="43">
        <f t="shared" si="0"/>
        <v>-710931</v>
      </c>
      <c r="BB8" s="43">
        <f>DRE!BH31</f>
        <v>-277417</v>
      </c>
      <c r="BC8" s="43">
        <f t="shared" si="1"/>
        <v>-988348</v>
      </c>
      <c r="BD8" s="43">
        <f>DRE!BJ31</f>
        <v>-424833</v>
      </c>
      <c r="BE8" s="43">
        <f t="shared" si="2"/>
        <v>-1413181</v>
      </c>
      <c r="BF8" s="43">
        <f>DRE!BL31</f>
        <v>-274171</v>
      </c>
      <c r="BG8" s="43">
        <f>DRE!BM31</f>
        <v>-303451</v>
      </c>
      <c r="BH8" s="43">
        <f>BG8+BF8</f>
        <v>-577622</v>
      </c>
      <c r="BI8" s="43">
        <f>DRE!BO31</f>
        <v>-405476</v>
      </c>
      <c r="BJ8" s="43">
        <f t="shared" ref="BJ8:BJ20" si="6">BI8+BH8</f>
        <v>-983098</v>
      </c>
      <c r="BK8" s="43">
        <f>DRE!BQ31</f>
        <v>-559510</v>
      </c>
      <c r="BL8" s="43">
        <f t="shared" ref="BL8:BL20" si="7">BK8+BJ8</f>
        <v>-1542608</v>
      </c>
      <c r="BM8" s="43">
        <f>DRE!BS31</f>
        <v>-348244</v>
      </c>
      <c r="BN8" s="43">
        <f>DRE!BT31</f>
        <v>-451239</v>
      </c>
      <c r="BO8" s="43">
        <f t="shared" ref="BO8:BO20" si="8">BN8+BM8</f>
        <v>-799483</v>
      </c>
      <c r="BP8" s="43">
        <f>DRE!BV31</f>
        <v>-423087</v>
      </c>
      <c r="BQ8" s="43">
        <f>BP8+BO8</f>
        <v>-1222570</v>
      </c>
      <c r="BR8" s="43">
        <f>DRE!BX31</f>
        <v>-754940</v>
      </c>
      <c r="BS8" s="43">
        <f>BR8+BQ8</f>
        <v>-1977510</v>
      </c>
      <c r="BT8" s="43">
        <f>DRE!BZ31</f>
        <v>-513559</v>
      </c>
      <c r="BU8" s="43">
        <f>DRE!CA31</f>
        <v>-412246</v>
      </c>
      <c r="BV8" s="43">
        <f t="shared" ref="BV8:BV20" si="9">BU8+BT8</f>
        <v>-925805</v>
      </c>
      <c r="BW8" s="43">
        <f>DRE!CC31</f>
        <v>-625331</v>
      </c>
      <c r="BX8" s="43">
        <f t="shared" ref="BX8:BX20" si="10">BW8+BV8</f>
        <v>-1551136</v>
      </c>
      <c r="BY8" s="43">
        <f>DRE!CE31</f>
        <v>-706336</v>
      </c>
      <c r="BZ8" s="43">
        <f t="shared" ref="BZ8:BZ20" si="11">BY8+BX8</f>
        <v>-2257472</v>
      </c>
      <c r="CA8" s="43">
        <f>DRE!CG31</f>
        <v>-599258</v>
      </c>
      <c r="CB8" s="43">
        <f>DRE!CH31</f>
        <v>-596453</v>
      </c>
      <c r="CC8" s="43">
        <f t="shared" ref="CC8:CC19" si="12">CB8+CA8</f>
        <v>-1195711</v>
      </c>
      <c r="CD8" s="43">
        <f>DRE!CJ31</f>
        <v>-734456</v>
      </c>
      <c r="CE8" s="43">
        <f t="shared" ref="CE8:CE20" si="13">CD8+CC8</f>
        <v>-1930167</v>
      </c>
      <c r="CF8" s="43">
        <f>DRE!CL31</f>
        <v>-872611</v>
      </c>
      <c r="CG8" s="43">
        <f t="shared" si="3"/>
        <v>-2802778</v>
      </c>
      <c r="CH8" s="43">
        <f>DRE!CN31</f>
        <v>-868018</v>
      </c>
      <c r="CI8" s="43">
        <f>DRE!CO31</f>
        <v>-895666</v>
      </c>
      <c r="CJ8" s="43">
        <f>DRE!CP31</f>
        <v>-1763685</v>
      </c>
      <c r="CK8" s="43">
        <f>DRE!CQ31</f>
        <v>-934982</v>
      </c>
      <c r="CL8" s="43">
        <f>DRE!CR31</f>
        <v>-2698667</v>
      </c>
      <c r="CM8" s="43">
        <f>DRE!CS31</f>
        <v>-1378058</v>
      </c>
      <c r="CN8" s="43">
        <f t="shared" ref="CN8:CN12" si="14">CM8+CL8</f>
        <v>-4076725</v>
      </c>
      <c r="CO8" s="43">
        <f>DRE!CU31</f>
        <v>-2018520</v>
      </c>
      <c r="CP8" s="43">
        <f>DRE!CV31</f>
        <v>-1460217</v>
      </c>
      <c r="CQ8" s="43">
        <f>DRE!CW31</f>
        <v>-3478737</v>
      </c>
      <c r="CR8" s="43">
        <f>DRE!CX31</f>
        <v>-1201799</v>
      </c>
      <c r="CS8" s="43">
        <f>DRE!CY31</f>
        <v>-4680536</v>
      </c>
      <c r="CT8" s="43">
        <f>DRE!CZ31</f>
        <v>-1706509</v>
      </c>
      <c r="CU8" s="43">
        <f>DRE!DA31</f>
        <v>-6387045</v>
      </c>
      <c r="CV8" s="43">
        <f>DRE!DB31</f>
        <v>-1850020</v>
      </c>
      <c r="CW8" s="43">
        <f>DRE!DC31</f>
        <v>-1413502</v>
      </c>
      <c r="CX8" s="43">
        <f>DRE!DD31</f>
        <v>-3263522</v>
      </c>
      <c r="CY8" s="43">
        <f>DRE!DE31</f>
        <v>-1458879</v>
      </c>
      <c r="CZ8" s="43">
        <f>DRE!DF31</f>
        <v>-4722401</v>
      </c>
      <c r="DA8" s="43">
        <f>DRE!DG31</f>
        <v>-1779030</v>
      </c>
      <c r="DB8" s="43">
        <f>DRE!DH31</f>
        <v>-6501430</v>
      </c>
      <c r="DC8" s="43">
        <f>[3]DRE!DI31</f>
        <v>-1348583</v>
      </c>
      <c r="DD8" s="43">
        <v>-1280856</v>
      </c>
      <c r="DE8" s="43">
        <f t="shared" ref="DE8:DE26" si="15">SUM(DC8:DD8)</f>
        <v>-2629439</v>
      </c>
    </row>
    <row r="9" spans="1:109" ht="10.5" x14ac:dyDescent="0.25">
      <c r="A9" s="132" t="s">
        <v>356</v>
      </c>
      <c r="B9" s="44">
        <f>B7+B8</f>
        <v>99070</v>
      </c>
      <c r="C9" s="44">
        <f t="shared" ref="C9:V9" si="16">C7+C8</f>
        <v>-26779</v>
      </c>
      <c r="D9" s="44">
        <f t="shared" si="16"/>
        <v>72291</v>
      </c>
      <c r="E9" s="44">
        <f t="shared" si="16"/>
        <v>-50700</v>
      </c>
      <c r="F9" s="44">
        <f t="shared" si="16"/>
        <v>21591</v>
      </c>
      <c r="G9" s="44">
        <f t="shared" si="16"/>
        <v>64024</v>
      </c>
      <c r="H9" s="44">
        <f t="shared" si="16"/>
        <v>85615</v>
      </c>
      <c r="I9" s="44">
        <f t="shared" si="16"/>
        <v>1094</v>
      </c>
      <c r="J9" s="44">
        <f t="shared" si="16"/>
        <v>74810</v>
      </c>
      <c r="K9" s="44">
        <f t="shared" si="16"/>
        <v>75904</v>
      </c>
      <c r="L9" s="44">
        <f t="shared" si="16"/>
        <v>78398</v>
      </c>
      <c r="M9" s="44">
        <f t="shared" si="16"/>
        <v>154302</v>
      </c>
      <c r="N9" s="43">
        <f t="shared" si="16"/>
        <v>65402</v>
      </c>
      <c r="O9" s="43">
        <f t="shared" si="16"/>
        <v>219704</v>
      </c>
      <c r="P9" s="44">
        <f t="shared" si="16"/>
        <v>74736</v>
      </c>
      <c r="Q9" s="44">
        <f t="shared" si="16"/>
        <v>74228</v>
      </c>
      <c r="R9" s="44">
        <f t="shared" si="16"/>
        <v>148964</v>
      </c>
      <c r="S9" s="44">
        <f t="shared" si="16"/>
        <v>127638</v>
      </c>
      <c r="T9" s="44">
        <f t="shared" si="16"/>
        <v>276602</v>
      </c>
      <c r="U9" s="44">
        <f t="shared" si="16"/>
        <v>89186</v>
      </c>
      <c r="V9" s="44">
        <f t="shared" si="16"/>
        <v>365788</v>
      </c>
      <c r="W9" s="44">
        <f>W7+W8</f>
        <v>103969</v>
      </c>
      <c r="X9" s="44">
        <f>X7+X8</f>
        <v>3605</v>
      </c>
      <c r="Y9" s="44">
        <f>Y7+Y8</f>
        <v>107574</v>
      </c>
      <c r="Z9" s="43">
        <f t="shared" si="4"/>
        <v>72999</v>
      </c>
      <c r="AA9" s="44">
        <f>AA7+AA8</f>
        <v>180573</v>
      </c>
      <c r="AB9" s="43">
        <f t="shared" si="5"/>
        <v>73214</v>
      </c>
      <c r="AC9" s="44">
        <f t="shared" ref="AC9:AH9" si="17">AC7+AC8</f>
        <v>253787</v>
      </c>
      <c r="AD9" s="44">
        <f t="shared" si="17"/>
        <v>72284</v>
      </c>
      <c r="AE9" s="44">
        <f t="shared" si="17"/>
        <v>96684</v>
      </c>
      <c r="AF9" s="44">
        <f t="shared" si="17"/>
        <v>168968</v>
      </c>
      <c r="AG9" s="44">
        <f t="shared" si="17"/>
        <v>55871</v>
      </c>
      <c r="AH9" s="44">
        <f t="shared" si="17"/>
        <v>224839</v>
      </c>
      <c r="AI9" s="44">
        <f t="shared" ref="AI9:AP9" si="18">AI7+AI8</f>
        <v>36447</v>
      </c>
      <c r="AJ9" s="44">
        <f t="shared" si="18"/>
        <v>261286</v>
      </c>
      <c r="AK9" s="44">
        <f t="shared" si="18"/>
        <v>116494</v>
      </c>
      <c r="AL9" s="44">
        <f t="shared" si="18"/>
        <v>52443</v>
      </c>
      <c r="AM9" s="44">
        <f t="shared" si="18"/>
        <v>168937</v>
      </c>
      <c r="AN9" s="44">
        <f t="shared" si="18"/>
        <v>53300</v>
      </c>
      <c r="AO9" s="44">
        <f t="shared" si="18"/>
        <v>222237</v>
      </c>
      <c r="AP9" s="44">
        <f t="shared" si="18"/>
        <v>110848</v>
      </c>
      <c r="AQ9" s="44">
        <f t="shared" ref="AQ9:AX9" si="19">AQ7+AQ8</f>
        <v>333085</v>
      </c>
      <c r="AR9" s="44">
        <f t="shared" si="19"/>
        <v>121916</v>
      </c>
      <c r="AS9" s="44">
        <f t="shared" si="19"/>
        <v>105810</v>
      </c>
      <c r="AT9" s="44">
        <f t="shared" si="19"/>
        <v>227726</v>
      </c>
      <c r="AU9" s="44">
        <f t="shared" si="19"/>
        <v>87645</v>
      </c>
      <c r="AV9" s="44">
        <f t="shared" si="19"/>
        <v>315371</v>
      </c>
      <c r="AW9" s="44">
        <f t="shared" si="19"/>
        <v>117750</v>
      </c>
      <c r="AX9" s="44">
        <f t="shared" si="19"/>
        <v>433121</v>
      </c>
      <c r="AY9" s="44">
        <f>AY7+AY8</f>
        <v>73673</v>
      </c>
      <c r="AZ9" s="44">
        <f>AZ7+AZ8</f>
        <v>-72209</v>
      </c>
      <c r="BA9" s="43">
        <f t="shared" si="0"/>
        <v>1464</v>
      </c>
      <c r="BB9" s="44">
        <f>BB7+BB8</f>
        <v>40198</v>
      </c>
      <c r="BC9" s="43">
        <f t="shared" si="1"/>
        <v>41662</v>
      </c>
      <c r="BD9" s="44">
        <f>BD7+BD8</f>
        <v>204806</v>
      </c>
      <c r="BE9" s="43">
        <f t="shared" si="2"/>
        <v>246468</v>
      </c>
      <c r="BF9" s="44">
        <f>BF7+BF8</f>
        <v>184950</v>
      </c>
      <c r="BG9" s="44">
        <f>BG7+BG8</f>
        <v>169478</v>
      </c>
      <c r="BH9" s="43">
        <f>BG9+BF9</f>
        <v>354428</v>
      </c>
      <c r="BI9" s="44">
        <f>BI7+BI8</f>
        <v>155553</v>
      </c>
      <c r="BJ9" s="43">
        <f t="shared" si="6"/>
        <v>509981</v>
      </c>
      <c r="BK9" s="44">
        <f>BK7+BK8</f>
        <v>167312</v>
      </c>
      <c r="BL9" s="43">
        <f t="shared" si="7"/>
        <v>677293</v>
      </c>
      <c r="BM9" s="44">
        <f>BM7+BM8</f>
        <v>314460</v>
      </c>
      <c r="BN9" s="44">
        <f>BN7+BN8</f>
        <v>301427</v>
      </c>
      <c r="BO9" s="43">
        <f t="shared" si="8"/>
        <v>615887</v>
      </c>
      <c r="BP9" s="44">
        <f>BP7+BP8</f>
        <v>114498</v>
      </c>
      <c r="BQ9" s="43">
        <f t="shared" ref="BQ9:BQ20" si="20">BP9+BO9</f>
        <v>730385</v>
      </c>
      <c r="BR9" s="44">
        <f>BR7+BR8</f>
        <v>115573</v>
      </c>
      <c r="BS9" s="43">
        <f t="shared" ref="BS9:BS20" si="21">BR9+BQ9</f>
        <v>845958</v>
      </c>
      <c r="BT9" s="44">
        <f>BT7+BT8</f>
        <v>251771</v>
      </c>
      <c r="BU9" s="44">
        <f>BU7+BU8</f>
        <v>394555</v>
      </c>
      <c r="BV9" s="43">
        <f t="shared" si="9"/>
        <v>646326</v>
      </c>
      <c r="BW9" s="44">
        <f>BW7+BW8</f>
        <v>-62225</v>
      </c>
      <c r="BX9" s="43">
        <f t="shared" si="10"/>
        <v>584101</v>
      </c>
      <c r="BY9" s="44">
        <f>BY7+BY8</f>
        <v>199083</v>
      </c>
      <c r="BZ9" s="43">
        <f t="shared" si="11"/>
        <v>783184</v>
      </c>
      <c r="CA9" s="44">
        <f>CA7+CA8</f>
        <v>327548</v>
      </c>
      <c r="CB9" s="44">
        <f>CB7+CB8</f>
        <v>387456</v>
      </c>
      <c r="CC9" s="43">
        <f t="shared" si="12"/>
        <v>715004</v>
      </c>
      <c r="CD9" s="44">
        <f>CD7+CD8</f>
        <v>16808</v>
      </c>
      <c r="CE9" s="43">
        <f t="shared" si="13"/>
        <v>731812</v>
      </c>
      <c r="CF9" s="44">
        <f>CF7+CF8</f>
        <v>338488</v>
      </c>
      <c r="CG9" s="43">
        <f t="shared" si="3"/>
        <v>1070300</v>
      </c>
      <c r="CH9" s="44">
        <f>CH7+CH8</f>
        <v>697362</v>
      </c>
      <c r="CI9" s="44">
        <f>CI7+CI8</f>
        <v>792231</v>
      </c>
      <c r="CJ9" s="44">
        <f>CJ7+CJ8-1</f>
        <v>1489591</v>
      </c>
      <c r="CK9" s="44">
        <f t="shared" ref="CK9:CL9" si="22">CK7+CK8</f>
        <v>208515</v>
      </c>
      <c r="CL9" s="44">
        <f t="shared" si="22"/>
        <v>1698102</v>
      </c>
      <c r="CM9" s="44">
        <f>CM7+CM8</f>
        <v>549538</v>
      </c>
      <c r="CN9" s="43">
        <f>CM9+CL9+4</f>
        <v>2247644</v>
      </c>
      <c r="CO9" s="44">
        <f>CO7+CO8</f>
        <v>1478677</v>
      </c>
      <c r="CP9" s="44">
        <f>CP7+CP8</f>
        <v>928366</v>
      </c>
      <c r="CQ9" s="44">
        <f>CQ7+CQ8</f>
        <v>2407043</v>
      </c>
      <c r="CR9" s="44">
        <f>CR7+CR8-2</f>
        <v>167226</v>
      </c>
      <c r="CS9" s="44">
        <f t="shared" ref="CS9:CU9" si="23">CS7+CS8</f>
        <v>2574272</v>
      </c>
      <c r="CT9" s="44">
        <f>CT7+CT8-2</f>
        <v>557027</v>
      </c>
      <c r="CU9" s="44">
        <f t="shared" si="23"/>
        <v>3131299</v>
      </c>
      <c r="CV9" s="44">
        <f t="shared" ref="CV9" si="24">CV7+CV8</f>
        <v>1167786</v>
      </c>
      <c r="CW9" s="44">
        <f>CW7+CW8</f>
        <v>732980</v>
      </c>
      <c r="CX9" s="44">
        <f>CX7+CX8</f>
        <v>1900766</v>
      </c>
      <c r="CY9" s="44">
        <f>CY7+CY8</f>
        <v>586252</v>
      </c>
      <c r="CZ9" s="44">
        <f t="shared" ref="CZ9:DC9" si="25">CZ7+CZ8</f>
        <v>2487018</v>
      </c>
      <c r="DA9" s="44">
        <f t="shared" si="25"/>
        <v>133675</v>
      </c>
      <c r="DB9" s="44">
        <f t="shared" si="25"/>
        <v>2620694</v>
      </c>
      <c r="DC9" s="44">
        <f t="shared" si="25"/>
        <v>646216</v>
      </c>
      <c r="DD9" s="44">
        <f t="shared" ref="DD9" si="26">DD7+DD8</f>
        <v>831062</v>
      </c>
      <c r="DE9" s="44">
        <f t="shared" si="15"/>
        <v>1477278</v>
      </c>
    </row>
    <row r="10" spans="1:109" x14ac:dyDescent="0.2">
      <c r="A10" s="38" t="s">
        <v>357</v>
      </c>
      <c r="B10" s="45">
        <v>-9114</v>
      </c>
      <c r="C10" s="45">
        <v>-6949</v>
      </c>
      <c r="D10" s="45">
        <f>C10+B10</f>
        <v>-16063</v>
      </c>
      <c r="E10" s="45">
        <v>-11996</v>
      </c>
      <c r="F10" s="45">
        <f>D10+E10</f>
        <v>-28059</v>
      </c>
      <c r="G10" s="45">
        <v>-15088</v>
      </c>
      <c r="H10" s="45">
        <f>B10+C10+E10+G10</f>
        <v>-43147</v>
      </c>
      <c r="I10" s="45">
        <v>-11708</v>
      </c>
      <c r="J10" s="45">
        <v>-9118</v>
      </c>
      <c r="K10" s="45">
        <f>I10+J10</f>
        <v>-20826</v>
      </c>
      <c r="L10" s="45">
        <v>-13378</v>
      </c>
      <c r="M10" s="45">
        <f>K10+L10</f>
        <v>-34204</v>
      </c>
      <c r="N10" s="45">
        <f>O10-M10</f>
        <v>-22440</v>
      </c>
      <c r="O10" s="45">
        <v>-56644</v>
      </c>
      <c r="P10" s="45">
        <v>-8336</v>
      </c>
      <c r="Q10" s="45">
        <v>-6902</v>
      </c>
      <c r="R10" s="45">
        <f>P10+Q10</f>
        <v>-15238</v>
      </c>
      <c r="S10" s="45">
        <v>-11057</v>
      </c>
      <c r="T10" s="45">
        <f>R10+S10</f>
        <v>-26295</v>
      </c>
      <c r="U10" s="45">
        <v>-20470</v>
      </c>
      <c r="V10" s="45">
        <v>-46765</v>
      </c>
      <c r="W10" s="45">
        <v>-15942</v>
      </c>
      <c r="X10" s="45">
        <f t="shared" ref="X10:X16" si="27">Y10-W10</f>
        <v>-13403</v>
      </c>
      <c r="Y10" s="45">
        <v>-29345</v>
      </c>
      <c r="Z10" s="45">
        <f t="shared" si="4"/>
        <v>-14577</v>
      </c>
      <c r="AA10" s="45">
        <f>DRE!AG50</f>
        <v>-43922</v>
      </c>
      <c r="AB10" s="45">
        <f t="shared" si="5"/>
        <v>-23927</v>
      </c>
      <c r="AC10" s="45">
        <f>DRE!AI50</f>
        <v>-67849</v>
      </c>
      <c r="AD10" s="45">
        <f>DRE!AJ50</f>
        <v>-16362</v>
      </c>
      <c r="AE10" s="45">
        <f>DRE!AK50</f>
        <v>-15449</v>
      </c>
      <c r="AF10" s="45">
        <f>DRE!AL50</f>
        <v>-31811</v>
      </c>
      <c r="AG10" s="45">
        <f>DRE!AM50</f>
        <v>-11671</v>
      </c>
      <c r="AH10" s="45">
        <f>DRE!AN50</f>
        <v>-43482</v>
      </c>
      <c r="AI10" s="45">
        <f>DRE!AO50</f>
        <v>-20509</v>
      </c>
      <c r="AJ10" s="45">
        <f>DRE!AP50</f>
        <v>-63991</v>
      </c>
      <c r="AK10" s="45">
        <f>DRE!AQ50</f>
        <v>-13622</v>
      </c>
      <c r="AL10" s="45">
        <f>DRE!AR50</f>
        <v>-14067</v>
      </c>
      <c r="AM10" s="45">
        <f>DRE!AS50</f>
        <v>-27689</v>
      </c>
      <c r="AN10" s="45">
        <f>DRE!AT50</f>
        <v>-20521</v>
      </c>
      <c r="AO10" s="45">
        <f>DRE!AU50</f>
        <v>-48210</v>
      </c>
      <c r="AP10" s="45">
        <f>DRE!AV50</f>
        <v>-37125</v>
      </c>
      <c r="AQ10" s="45">
        <f>DRE!AW50</f>
        <v>-85335</v>
      </c>
      <c r="AR10" s="45">
        <f>DRE!AX50</f>
        <v>-20560</v>
      </c>
      <c r="AS10" s="45">
        <f>DRE!AY50</f>
        <v>-16650</v>
      </c>
      <c r="AT10" s="45">
        <f>DRE!AZ50</f>
        <v>-37210</v>
      </c>
      <c r="AU10" s="45">
        <f>DRE!BA50</f>
        <v>-17620</v>
      </c>
      <c r="AV10" s="45">
        <f>DRE!BB50</f>
        <v>-54830</v>
      </c>
      <c r="AW10" s="45">
        <f>DRE!BC50</f>
        <v>-37240</v>
      </c>
      <c r="AX10" s="45">
        <f>DRE!BD50</f>
        <v>-92070</v>
      </c>
      <c r="AY10" s="45">
        <f>DRE!BE50</f>
        <v>-21433</v>
      </c>
      <c r="AZ10" s="45">
        <f>DRE!BF50</f>
        <v>-17513</v>
      </c>
      <c r="BA10" s="45">
        <f t="shared" si="0"/>
        <v>-38946</v>
      </c>
      <c r="BB10" s="45">
        <f>DRE!BH50</f>
        <v>-23607</v>
      </c>
      <c r="BC10" s="45">
        <f t="shared" si="1"/>
        <v>-62553</v>
      </c>
      <c r="BD10" s="45">
        <f>DRE!BJ50</f>
        <v>-35036</v>
      </c>
      <c r="BE10" s="45">
        <f t="shared" si="2"/>
        <v>-97589</v>
      </c>
      <c r="BF10" s="45">
        <f>DRE!BL50</f>
        <v>-16117</v>
      </c>
      <c r="BG10" s="45">
        <f>DRE!BM50</f>
        <v>-13101</v>
      </c>
      <c r="BH10" s="45">
        <f t="shared" ref="BH10:BH20" si="28">BG10+BF10</f>
        <v>-29218</v>
      </c>
      <c r="BI10" s="45">
        <f>DRE!BO50</f>
        <v>-19674</v>
      </c>
      <c r="BJ10" s="45">
        <f t="shared" si="6"/>
        <v>-48892</v>
      </c>
      <c r="BK10" s="45">
        <f>DRE!BQ50</f>
        <v>-41314</v>
      </c>
      <c r="BL10" s="45">
        <f t="shared" si="7"/>
        <v>-90206</v>
      </c>
      <c r="BM10" s="45">
        <f>DRE!BS50</f>
        <v>-23765</v>
      </c>
      <c r="BN10" s="45">
        <f>DRE!BT50</f>
        <v>-17559</v>
      </c>
      <c r="BO10" s="45">
        <f t="shared" si="8"/>
        <v>-41324</v>
      </c>
      <c r="BP10" s="45">
        <f>DRE!BV50</f>
        <v>-22122</v>
      </c>
      <c r="BQ10" s="45">
        <f>BP10+BO10</f>
        <v>-63446</v>
      </c>
      <c r="BR10" s="45">
        <f>DRE!BX50</f>
        <v>-55228</v>
      </c>
      <c r="BS10" s="45">
        <f>BR10+BQ10</f>
        <v>-118674</v>
      </c>
      <c r="BT10" s="45">
        <f>DRE!BZ50</f>
        <v>-32945</v>
      </c>
      <c r="BU10" s="45">
        <f>DRE!CA50</f>
        <v>-24523</v>
      </c>
      <c r="BV10" s="45">
        <f t="shared" si="9"/>
        <v>-57468</v>
      </c>
      <c r="BW10" s="45">
        <f>DRE!CC50</f>
        <v>-32031</v>
      </c>
      <c r="BX10" s="45">
        <f t="shared" si="10"/>
        <v>-89499</v>
      </c>
      <c r="BY10" s="45">
        <f>DRE!CE50</f>
        <v>-63473</v>
      </c>
      <c r="BZ10" s="45">
        <f t="shared" si="11"/>
        <v>-152972</v>
      </c>
      <c r="CA10" s="45">
        <f>DRE!CG50</f>
        <v>-41773</v>
      </c>
      <c r="CB10" s="45">
        <f>DRE!CH50</f>
        <v>-36849</v>
      </c>
      <c r="CC10" s="45">
        <f t="shared" si="12"/>
        <v>-78622</v>
      </c>
      <c r="CD10" s="45">
        <f>DRE!CJ50</f>
        <v>-23251</v>
      </c>
      <c r="CE10" s="45">
        <f t="shared" si="13"/>
        <v>-101873</v>
      </c>
      <c r="CF10" s="45">
        <f>DRE!CL50</f>
        <v>-72089</v>
      </c>
      <c r="CG10" s="45">
        <f t="shared" si="3"/>
        <v>-173962</v>
      </c>
      <c r="CH10" s="45">
        <f>DRE!CN50</f>
        <v>-53379</v>
      </c>
      <c r="CI10" s="45">
        <f>DRE!CO50</f>
        <v>-32787</v>
      </c>
      <c r="CJ10" s="45">
        <f>DRE!CP50</f>
        <v>-86166</v>
      </c>
      <c r="CK10" s="45">
        <f>DRE!CQ50</f>
        <v>-37736</v>
      </c>
      <c r="CL10" s="45">
        <f>DRE!CR50</f>
        <v>-123901</v>
      </c>
      <c r="CM10" s="45">
        <f>DRE!CS50</f>
        <v>-88658</v>
      </c>
      <c r="CN10" s="45">
        <f t="shared" si="14"/>
        <v>-212559</v>
      </c>
      <c r="CO10" s="45">
        <f>DRE!CU50</f>
        <v>-77064</v>
      </c>
      <c r="CP10" s="45">
        <f>DRE!CV50</f>
        <v>-94402</v>
      </c>
      <c r="CQ10" s="45">
        <f>DRE!CW50</f>
        <v>-171466</v>
      </c>
      <c r="CR10" s="45">
        <f>DRE!CX50+1</f>
        <v>-63630</v>
      </c>
      <c r="CS10" s="45">
        <f>DRE!CY50</f>
        <v>-235097</v>
      </c>
      <c r="CT10" s="45">
        <f>DRE!CZ50+1</f>
        <v>-144565</v>
      </c>
      <c r="CU10" s="45">
        <f>DRE!DA50</f>
        <v>-379663</v>
      </c>
      <c r="CV10" s="45">
        <f>DRE!DB50</f>
        <v>-97668</v>
      </c>
      <c r="CW10" s="45">
        <f>DRE!DC50</f>
        <v>-51488</v>
      </c>
      <c r="CX10" s="45">
        <f>DRE!DD50</f>
        <v>-149156</v>
      </c>
      <c r="CY10" s="45">
        <f>DRE!DE50</f>
        <v>-84992</v>
      </c>
      <c r="CZ10" s="45">
        <f>DRE!DF50</f>
        <v>-234148</v>
      </c>
      <c r="DA10" s="45">
        <f>DRE!DG50</f>
        <v>-154711</v>
      </c>
      <c r="DB10" s="45">
        <f>DRE!DH50</f>
        <v>-388859</v>
      </c>
      <c r="DC10" s="45">
        <f>[3]DRE!DI50</f>
        <v>-68855</v>
      </c>
      <c r="DD10" s="45">
        <v>-91827</v>
      </c>
      <c r="DE10" s="45">
        <f t="shared" si="15"/>
        <v>-160682</v>
      </c>
    </row>
    <row r="11" spans="1:109" x14ac:dyDescent="0.2">
      <c r="A11" s="38" t="s">
        <v>358</v>
      </c>
      <c r="B11" s="45">
        <v>-6511</v>
      </c>
      <c r="C11" s="45">
        <v>-6041</v>
      </c>
      <c r="D11" s="45">
        <f>C11+B11</f>
        <v>-12552</v>
      </c>
      <c r="E11" s="45">
        <v>-9202</v>
      </c>
      <c r="F11" s="45">
        <f>D11+E11</f>
        <v>-21754</v>
      </c>
      <c r="G11" s="45">
        <v>-7345</v>
      </c>
      <c r="H11" s="45">
        <f>B11+C11+E11+G11</f>
        <v>-29099</v>
      </c>
      <c r="I11" s="45">
        <v>-6156</v>
      </c>
      <c r="J11" s="45">
        <v>-8573</v>
      </c>
      <c r="K11" s="45">
        <f>I11+J11</f>
        <v>-14729</v>
      </c>
      <c r="L11" s="45">
        <v>-7994</v>
      </c>
      <c r="M11" s="45">
        <f>K11+L11</f>
        <v>-22723</v>
      </c>
      <c r="N11" s="45">
        <f>O11-M11</f>
        <v>-11800</v>
      </c>
      <c r="O11" s="45">
        <v>-34523</v>
      </c>
      <c r="P11" s="45">
        <v>-11868</v>
      </c>
      <c r="Q11" s="45">
        <v>-11800</v>
      </c>
      <c r="R11" s="45">
        <f>P11+Q11</f>
        <v>-23668</v>
      </c>
      <c r="S11" s="45">
        <v>-15220</v>
      </c>
      <c r="T11" s="45">
        <f>R11+S11</f>
        <v>-38888</v>
      </c>
      <c r="U11" s="45">
        <v>-18900</v>
      </c>
      <c r="V11" s="45">
        <v>-57788</v>
      </c>
      <c r="W11" s="45">
        <v>-11963</v>
      </c>
      <c r="X11" s="45">
        <f t="shared" si="27"/>
        <v>-9655</v>
      </c>
      <c r="Y11" s="45">
        <v>-21618</v>
      </c>
      <c r="Z11" s="45">
        <f t="shared" si="4"/>
        <v>-8375</v>
      </c>
      <c r="AA11" s="45">
        <f>DRE!AG59</f>
        <v>-29993</v>
      </c>
      <c r="AB11" s="45">
        <f t="shared" si="5"/>
        <v>-8131</v>
      </c>
      <c r="AC11" s="45">
        <f>DRE!AI59</f>
        <v>-38124</v>
      </c>
      <c r="AD11" s="45">
        <f>DRE!AJ59</f>
        <v>-8774</v>
      </c>
      <c r="AE11" s="45">
        <f>DRE!AK59</f>
        <v>-9040</v>
      </c>
      <c r="AF11" s="45">
        <f>DRE!AL59</f>
        <v>-17814</v>
      </c>
      <c r="AG11" s="45">
        <f>DRE!AM59</f>
        <v>-9640</v>
      </c>
      <c r="AH11" s="45">
        <f>DRE!AN59</f>
        <v>-27454</v>
      </c>
      <c r="AI11" s="45">
        <f>DRE!AO59</f>
        <v>-11818</v>
      </c>
      <c r="AJ11" s="45">
        <f>DRE!AP59</f>
        <v>-39272</v>
      </c>
      <c r="AK11" s="45">
        <f>DRE!AQ59</f>
        <v>-11161</v>
      </c>
      <c r="AL11" s="45">
        <f>DRE!AR59</f>
        <v>-11641</v>
      </c>
      <c r="AM11" s="45">
        <f>DRE!AS59</f>
        <v>-22802</v>
      </c>
      <c r="AN11" s="45">
        <f>DRE!AT59</f>
        <v>-11382</v>
      </c>
      <c r="AO11" s="45">
        <f>DRE!AU59</f>
        <v>-34184</v>
      </c>
      <c r="AP11" s="45">
        <f>DRE!AV59</f>
        <v>-10080</v>
      </c>
      <c r="AQ11" s="45">
        <f>DRE!AW59</f>
        <v>-44264</v>
      </c>
      <c r="AR11" s="45">
        <f>DRE!AX59</f>
        <v>-11733</v>
      </c>
      <c r="AS11" s="45">
        <f>DRE!AY59</f>
        <v>-11040</v>
      </c>
      <c r="AT11" s="45">
        <f>DRE!AZ59</f>
        <v>-22773</v>
      </c>
      <c r="AU11" s="45">
        <f>DRE!BA59</f>
        <v>-11472</v>
      </c>
      <c r="AV11" s="45">
        <f>DRE!BB59</f>
        <v>-34245</v>
      </c>
      <c r="AW11" s="45">
        <f>DRE!BC59</f>
        <v>-13464</v>
      </c>
      <c r="AX11" s="45">
        <f>DRE!BD59</f>
        <v>-47709</v>
      </c>
      <c r="AY11" s="45">
        <f>DRE!BE59</f>
        <v>-14679</v>
      </c>
      <c r="AZ11" s="45">
        <f>DRE!BF59</f>
        <v>-10823</v>
      </c>
      <c r="BA11" s="45">
        <f t="shared" si="0"/>
        <v>-25502</v>
      </c>
      <c r="BB11" s="45">
        <f>DRE!BH59</f>
        <v>-9797</v>
      </c>
      <c r="BC11" s="45">
        <f t="shared" si="1"/>
        <v>-35299</v>
      </c>
      <c r="BD11" s="45">
        <f>DRE!BJ59</f>
        <v>-10435</v>
      </c>
      <c r="BE11" s="45">
        <f t="shared" si="2"/>
        <v>-45734</v>
      </c>
      <c r="BF11" s="45">
        <f>DRE!BL59</f>
        <v>-15383</v>
      </c>
      <c r="BG11" s="45">
        <f>DRE!BM59</f>
        <v>-17114</v>
      </c>
      <c r="BH11" s="45">
        <f t="shared" si="28"/>
        <v>-32497</v>
      </c>
      <c r="BI11" s="45">
        <f>DRE!BO59</f>
        <v>-18729</v>
      </c>
      <c r="BJ11" s="45">
        <f t="shared" si="6"/>
        <v>-51226</v>
      </c>
      <c r="BK11" s="45">
        <f>DRE!BQ59</f>
        <v>-21821</v>
      </c>
      <c r="BL11" s="45">
        <f>BK11+BJ11</f>
        <v>-73047</v>
      </c>
      <c r="BM11" s="45">
        <f>DRE!BS59</f>
        <v>-17426</v>
      </c>
      <c r="BN11" s="45">
        <f>DRE!BT59</f>
        <v>-20003</v>
      </c>
      <c r="BO11" s="45">
        <f t="shared" si="8"/>
        <v>-37429</v>
      </c>
      <c r="BP11" s="45">
        <f>DRE!BV59</f>
        <v>-22562</v>
      </c>
      <c r="BQ11" s="45">
        <f t="shared" si="20"/>
        <v>-59991</v>
      </c>
      <c r="BR11" s="45">
        <f>DRE!BX59</f>
        <v>-27542</v>
      </c>
      <c r="BS11" s="45">
        <f t="shared" si="21"/>
        <v>-87533</v>
      </c>
      <c r="BT11" s="45">
        <f>DRE!BZ59</f>
        <v>-24175</v>
      </c>
      <c r="BU11" s="45">
        <f>DRE!CA59</f>
        <v>-22480</v>
      </c>
      <c r="BV11" s="45">
        <f t="shared" si="9"/>
        <v>-46655</v>
      </c>
      <c r="BW11" s="45">
        <f>DRE!CC59</f>
        <v>-19663</v>
      </c>
      <c r="BX11" s="45">
        <f t="shared" si="10"/>
        <v>-66318</v>
      </c>
      <c r="BY11" s="45">
        <f>DRE!CE59</f>
        <v>-23006</v>
      </c>
      <c r="BZ11" s="45">
        <f t="shared" si="11"/>
        <v>-89324</v>
      </c>
      <c r="CA11" s="45">
        <f>DRE!CG59</f>
        <v>-23140</v>
      </c>
      <c r="CB11" s="45">
        <f>DRE!CH59</f>
        <v>-24216</v>
      </c>
      <c r="CC11" s="45">
        <f t="shared" si="12"/>
        <v>-47356</v>
      </c>
      <c r="CD11" s="45">
        <f>DRE!CJ59</f>
        <v>-25168</v>
      </c>
      <c r="CE11" s="45">
        <f t="shared" si="13"/>
        <v>-72524</v>
      </c>
      <c r="CF11" s="45">
        <f>DRE!CL59</f>
        <v>-42930</v>
      </c>
      <c r="CG11" s="45">
        <f t="shared" si="3"/>
        <v>-115454</v>
      </c>
      <c r="CH11" s="45">
        <f>DRE!CN59</f>
        <v>-33127</v>
      </c>
      <c r="CI11" s="45">
        <f>DRE!CO59</f>
        <v>-43042</v>
      </c>
      <c r="CJ11" s="45">
        <f>DRE!CP59</f>
        <v>-76169</v>
      </c>
      <c r="CK11" s="45">
        <f>DRE!CQ59</f>
        <v>-79006</v>
      </c>
      <c r="CL11" s="45">
        <f>DRE!CR59</f>
        <v>-155176</v>
      </c>
      <c r="CM11" s="45">
        <f>DRE!CS59</f>
        <v>-67322</v>
      </c>
      <c r="CN11" s="45">
        <f t="shared" si="14"/>
        <v>-222498</v>
      </c>
      <c r="CO11" s="45">
        <f>DRE!CU59</f>
        <v>-62924</v>
      </c>
      <c r="CP11" s="45">
        <f>DRE!CV59</f>
        <v>-68086</v>
      </c>
      <c r="CQ11" s="45">
        <f>DRE!CW59</f>
        <v>-131010</v>
      </c>
      <c r="CR11" s="45">
        <f>DRE!CX59-2</f>
        <v>-60531</v>
      </c>
      <c r="CS11" s="45">
        <f>DRE!CY59</f>
        <v>-191539</v>
      </c>
      <c r="CT11" s="45">
        <f>DRE!CZ59</f>
        <v>-68695</v>
      </c>
      <c r="CU11" s="45">
        <f>DRE!DA59</f>
        <v>-260230</v>
      </c>
      <c r="CV11" s="45">
        <f>DRE!DB59</f>
        <v>-82588</v>
      </c>
      <c r="CW11" s="45">
        <f>DRE!DC59</f>
        <v>-71391</v>
      </c>
      <c r="CX11" s="45">
        <f>DRE!DD59</f>
        <v>-153979</v>
      </c>
      <c r="CY11" s="45">
        <f>DRE!DE59</f>
        <v>-74933</v>
      </c>
      <c r="CZ11" s="45">
        <f>DRE!DF59</f>
        <v>-228912</v>
      </c>
      <c r="DA11" s="45">
        <f>DRE!DG59</f>
        <v>-56240</v>
      </c>
      <c r="DB11" s="45">
        <f>DRE!DH59</f>
        <v>-285152</v>
      </c>
      <c r="DC11" s="45">
        <f>[3]DRE!DI59</f>
        <v>-68355</v>
      </c>
      <c r="DD11" s="45">
        <v>-69225</v>
      </c>
      <c r="DE11" s="45">
        <f t="shared" si="15"/>
        <v>-137580</v>
      </c>
    </row>
    <row r="12" spans="1:109" x14ac:dyDescent="0.2">
      <c r="A12" s="38" t="s">
        <v>359</v>
      </c>
      <c r="B12" s="45">
        <v>-1431</v>
      </c>
      <c r="C12" s="45">
        <v>-937</v>
      </c>
      <c r="D12" s="45">
        <f>C12+B12</f>
        <v>-2368</v>
      </c>
      <c r="E12" s="45">
        <v>-902</v>
      </c>
      <c r="F12" s="45">
        <f>D12+E12</f>
        <v>-3270</v>
      </c>
      <c r="G12" s="45">
        <v>-1316</v>
      </c>
      <c r="H12" s="45">
        <f>B12+C12+E12+G12</f>
        <v>-4586</v>
      </c>
      <c r="I12" s="45">
        <v>-265</v>
      </c>
      <c r="J12" s="45">
        <v>-1040</v>
      </c>
      <c r="K12" s="45">
        <f>I12+J12</f>
        <v>-1305</v>
      </c>
      <c r="L12" s="45">
        <v>-918</v>
      </c>
      <c r="M12" s="45">
        <f>K12+L12</f>
        <v>-2223</v>
      </c>
      <c r="N12" s="45">
        <f>O12-M12</f>
        <v>-1875</v>
      </c>
      <c r="O12" s="45">
        <v>-4098</v>
      </c>
      <c r="P12" s="45">
        <v>-1617</v>
      </c>
      <c r="Q12" s="45">
        <v>-2137</v>
      </c>
      <c r="R12" s="45">
        <f>P12+Q12</f>
        <v>-3754</v>
      </c>
      <c r="S12" s="45">
        <v>-2074</v>
      </c>
      <c r="T12" s="45">
        <f>R12+S12</f>
        <v>-5828</v>
      </c>
      <c r="U12" s="45">
        <v>-431</v>
      </c>
      <c r="V12" s="45">
        <v>-6259</v>
      </c>
      <c r="W12" s="45">
        <v>-1453</v>
      </c>
      <c r="X12" s="45">
        <f t="shared" si="27"/>
        <v>-1285</v>
      </c>
      <c r="Y12" s="45">
        <v>-2738</v>
      </c>
      <c r="Z12" s="45">
        <f t="shared" si="4"/>
        <v>-2071</v>
      </c>
      <c r="AA12" s="45">
        <f>DRE!AG74</f>
        <v>-4809</v>
      </c>
      <c r="AB12" s="45">
        <f t="shared" si="5"/>
        <v>-3258</v>
      </c>
      <c r="AC12" s="45">
        <f>DRE!AI74</f>
        <v>-8067</v>
      </c>
      <c r="AD12" s="45">
        <f>DRE!AJ74</f>
        <v>-2523</v>
      </c>
      <c r="AE12" s="45">
        <f>DRE!AK74</f>
        <v>-1736</v>
      </c>
      <c r="AF12" s="45">
        <f>DRE!AL74</f>
        <v>-4259</v>
      </c>
      <c r="AG12" s="45">
        <f>DRE!AM74</f>
        <v>-1934</v>
      </c>
      <c r="AH12" s="45">
        <f>DRE!AN74</f>
        <v>-6193</v>
      </c>
      <c r="AI12" s="45">
        <f>DRE!AO74</f>
        <v>-2264</v>
      </c>
      <c r="AJ12" s="45">
        <f>DRE!AP74</f>
        <v>-8457</v>
      </c>
      <c r="AK12" s="45">
        <f>DRE!AQ74</f>
        <v>-4028</v>
      </c>
      <c r="AL12" s="45">
        <f>DRE!AR74</f>
        <v>-2003</v>
      </c>
      <c r="AM12" s="45">
        <f>DRE!AS74</f>
        <v>-6031</v>
      </c>
      <c r="AN12" s="45">
        <f>DRE!AT74</f>
        <v>-2066</v>
      </c>
      <c r="AO12" s="45">
        <f>DRE!AU74</f>
        <v>-8097</v>
      </c>
      <c r="AP12" s="45">
        <f>DRE!AV74</f>
        <v>-1374</v>
      </c>
      <c r="AQ12" s="45">
        <f>DRE!AW74</f>
        <v>-9471</v>
      </c>
      <c r="AR12" s="45">
        <f>DRE!AX74</f>
        <v>-3510</v>
      </c>
      <c r="AS12" s="45">
        <f>DRE!AY74</f>
        <v>-2065</v>
      </c>
      <c r="AT12" s="45">
        <f>DRE!AZ74</f>
        <v>-5575</v>
      </c>
      <c r="AU12" s="45">
        <f>DRE!BA74</f>
        <v>-2341</v>
      </c>
      <c r="AV12" s="45">
        <f>DRE!BB74</f>
        <v>-7916</v>
      </c>
      <c r="AW12" s="45">
        <f>DRE!BC74</f>
        <v>-2812</v>
      </c>
      <c r="AX12" s="45">
        <f>DRE!BD74</f>
        <v>-10728</v>
      </c>
      <c r="AY12" s="45">
        <f>DRE!BE74</f>
        <v>-5864</v>
      </c>
      <c r="AZ12" s="45">
        <f>DRE!BF74</f>
        <v>-2502</v>
      </c>
      <c r="BA12" s="45">
        <f t="shared" si="0"/>
        <v>-8366</v>
      </c>
      <c r="BB12" s="45">
        <f>DRE!BH74</f>
        <v>-2302</v>
      </c>
      <c r="BC12" s="45">
        <f t="shared" si="1"/>
        <v>-10668</v>
      </c>
      <c r="BD12" s="45">
        <f>DRE!BJ74</f>
        <v>-2686</v>
      </c>
      <c r="BE12" s="45">
        <f t="shared" si="2"/>
        <v>-13354</v>
      </c>
      <c r="BF12" s="45">
        <f>DRE!BL74</f>
        <v>-4979</v>
      </c>
      <c r="BG12" s="45">
        <f>DRE!BM74</f>
        <v>-2288</v>
      </c>
      <c r="BH12" s="45">
        <f t="shared" si="28"/>
        <v>-7267</v>
      </c>
      <c r="BI12" s="45">
        <f>DRE!BO74</f>
        <v>-3381</v>
      </c>
      <c r="BJ12" s="45">
        <f t="shared" si="6"/>
        <v>-10648</v>
      </c>
      <c r="BK12" s="45">
        <f>DRE!BQ74</f>
        <v>-2338</v>
      </c>
      <c r="BL12" s="45">
        <f t="shared" si="7"/>
        <v>-12986</v>
      </c>
      <c r="BM12" s="45">
        <f>DRE!BS74</f>
        <v>-6738</v>
      </c>
      <c r="BN12" s="45">
        <f>DRE!BT74</f>
        <v>-2408</v>
      </c>
      <c r="BO12" s="45">
        <f t="shared" si="8"/>
        <v>-9146</v>
      </c>
      <c r="BP12" s="45">
        <f>DRE!BV74</f>
        <v>-2349</v>
      </c>
      <c r="BQ12" s="45">
        <f t="shared" si="20"/>
        <v>-11495</v>
      </c>
      <c r="BR12" s="45">
        <f>DRE!BX74</f>
        <v>-2486</v>
      </c>
      <c r="BS12" s="45">
        <f t="shared" si="21"/>
        <v>-13981</v>
      </c>
      <c r="BT12" s="45">
        <f>DRE!BZ74</f>
        <v>-6547</v>
      </c>
      <c r="BU12" s="45">
        <f>DRE!CA74</f>
        <v>-1570</v>
      </c>
      <c r="BV12" s="45">
        <f t="shared" si="9"/>
        <v>-8117</v>
      </c>
      <c r="BW12" s="45">
        <f>DRE!CC74</f>
        <v>-2655</v>
      </c>
      <c r="BX12" s="45">
        <f t="shared" si="10"/>
        <v>-10772</v>
      </c>
      <c r="BY12" s="45">
        <f>DRE!CE74</f>
        <v>-3055</v>
      </c>
      <c r="BZ12" s="45">
        <f t="shared" si="11"/>
        <v>-13827</v>
      </c>
      <c r="CA12" s="45">
        <f>DRE!CG74</f>
        <v>-6350</v>
      </c>
      <c r="CB12" s="45">
        <f>DRE!CH74</f>
        <v>-2534</v>
      </c>
      <c r="CC12" s="45">
        <f>CB12+CA12</f>
        <v>-8884</v>
      </c>
      <c r="CD12" s="45">
        <f>DRE!CJ74</f>
        <v>-2584</v>
      </c>
      <c r="CE12" s="45">
        <f t="shared" si="13"/>
        <v>-11468</v>
      </c>
      <c r="CF12" s="45">
        <f>DRE!CL74</f>
        <v>-3248</v>
      </c>
      <c r="CG12" s="45">
        <f t="shared" si="3"/>
        <v>-14716</v>
      </c>
      <c r="CH12" s="45">
        <f>DRE!CN74</f>
        <v>-8014</v>
      </c>
      <c r="CI12" s="45">
        <f>DRE!CO74</f>
        <v>-3153</v>
      </c>
      <c r="CJ12" s="45">
        <f>DRE!CP74</f>
        <v>-11167</v>
      </c>
      <c r="CK12" s="45">
        <f>DRE!CQ74</f>
        <v>-3166</v>
      </c>
      <c r="CL12" s="45">
        <f>DRE!CR74</f>
        <v>-14333</v>
      </c>
      <c r="CM12" s="45">
        <f>DRE!CS74</f>
        <v>-4620</v>
      </c>
      <c r="CN12" s="45">
        <f t="shared" si="14"/>
        <v>-18953</v>
      </c>
      <c r="CO12" s="45">
        <f>DRE!CU74</f>
        <v>-11822</v>
      </c>
      <c r="CP12" s="45">
        <f>DRE!CV74</f>
        <v>-3684</v>
      </c>
      <c r="CQ12" s="45">
        <f>DRE!CW74</f>
        <v>-15506</v>
      </c>
      <c r="CR12" s="45">
        <f>DRE!CX74</f>
        <v>-3965</v>
      </c>
      <c r="CS12" s="45">
        <f>DRE!CY74</f>
        <v>-19471</v>
      </c>
      <c r="CT12" s="45">
        <f>DRE!CZ74</f>
        <v>-4903</v>
      </c>
      <c r="CU12" s="45">
        <f>DRE!DA74</f>
        <v>-24374</v>
      </c>
      <c r="CV12" s="45">
        <f>DRE!DB74</f>
        <v>-10472</v>
      </c>
      <c r="CW12" s="45">
        <f>DRE!DC74</f>
        <v>-4163</v>
      </c>
      <c r="CX12" s="45">
        <f>DRE!DD74</f>
        <v>-14635</v>
      </c>
      <c r="CY12" s="45">
        <f>DRE!DE74</f>
        <v>-4503</v>
      </c>
      <c r="CZ12" s="45">
        <f>DRE!DF74</f>
        <v>-19138</v>
      </c>
      <c r="DA12" s="45">
        <f>DRE!DG74</f>
        <v>-4470</v>
      </c>
      <c r="DB12" s="45">
        <f>DRE!DH74</f>
        <v>-23608</v>
      </c>
      <c r="DC12" s="45">
        <f>[3]DRE!DI74</f>
        <v>-10307</v>
      </c>
      <c r="DD12" s="45">
        <v>-4203</v>
      </c>
      <c r="DE12" s="45">
        <f t="shared" si="15"/>
        <v>-14510</v>
      </c>
    </row>
    <row r="13" spans="1:109" x14ac:dyDescent="0.2">
      <c r="A13" s="38" t="s">
        <v>360</v>
      </c>
      <c r="B13" s="45">
        <v>654</v>
      </c>
      <c r="C13" s="45">
        <v>641</v>
      </c>
      <c r="D13" s="45">
        <f>C13+B13</f>
        <v>1295</v>
      </c>
      <c r="E13" s="45">
        <v>124</v>
      </c>
      <c r="F13" s="45">
        <f>D13+E13</f>
        <v>1419</v>
      </c>
      <c r="G13" s="45">
        <v>1252</v>
      </c>
      <c r="H13" s="45">
        <f>B13+C13+E13+G13</f>
        <v>2671</v>
      </c>
      <c r="I13" s="45">
        <v>1218</v>
      </c>
      <c r="J13" s="45">
        <v>1198</v>
      </c>
      <c r="K13" s="45">
        <f>I13+J13</f>
        <v>2416</v>
      </c>
      <c r="L13" s="45">
        <v>-2383</v>
      </c>
      <c r="M13" s="45">
        <f>K13+L13</f>
        <v>33</v>
      </c>
      <c r="N13" s="45">
        <f>O13-M13</f>
        <v>1571</v>
      </c>
      <c r="O13" s="45">
        <v>1604</v>
      </c>
      <c r="P13" s="45">
        <v>-783</v>
      </c>
      <c r="Q13" s="45">
        <v>-571</v>
      </c>
      <c r="R13" s="45">
        <f>P13+Q13</f>
        <v>-1354</v>
      </c>
      <c r="S13" s="45">
        <v>1258</v>
      </c>
      <c r="T13" s="45">
        <f>R13+S13</f>
        <v>-96</v>
      </c>
      <c r="U13" s="45">
        <v>2000</v>
      </c>
      <c r="V13" s="45">
        <v>1904</v>
      </c>
      <c r="W13" s="45">
        <v>625</v>
      </c>
      <c r="X13" s="45">
        <f t="shared" si="27"/>
        <v>3198</v>
      </c>
      <c r="Y13" s="45">
        <v>3823</v>
      </c>
      <c r="Z13" s="45">
        <f t="shared" si="4"/>
        <v>403</v>
      </c>
      <c r="AA13" s="45">
        <f>DRE!AG75</f>
        <v>4226</v>
      </c>
      <c r="AB13" s="45">
        <f t="shared" si="5"/>
        <v>1148</v>
      </c>
      <c r="AC13" s="45">
        <f>DRE!AI75</f>
        <v>5374</v>
      </c>
      <c r="AD13" s="45">
        <f>DRE!AJ75</f>
        <v>525</v>
      </c>
      <c r="AE13" s="45">
        <f>DRE!AK75</f>
        <v>1637</v>
      </c>
      <c r="AF13" s="45">
        <f>DRE!AL75</f>
        <v>2162</v>
      </c>
      <c r="AG13" s="45">
        <f>DRE!AM75</f>
        <v>-1698</v>
      </c>
      <c r="AH13" s="45">
        <f>DRE!AN75</f>
        <v>464</v>
      </c>
      <c r="AI13" s="45">
        <f>DRE!AO75</f>
        <v>449</v>
      </c>
      <c r="AJ13" s="45">
        <f>DRE!AP75</f>
        <v>913</v>
      </c>
      <c r="AK13" s="45">
        <f>DRE!AQ75</f>
        <v>-1235</v>
      </c>
      <c r="AL13" s="45">
        <f>DRE!AR75</f>
        <v>574</v>
      </c>
      <c r="AM13" s="45">
        <f>DRE!AS75</f>
        <v>-661</v>
      </c>
      <c r="AN13" s="45">
        <f>DRE!AT75</f>
        <v>-491</v>
      </c>
      <c r="AO13" s="45">
        <f>DRE!AU75</f>
        <v>-1152</v>
      </c>
      <c r="AP13" s="45">
        <f>DRE!AV75</f>
        <v>-2065</v>
      </c>
      <c r="AQ13" s="45">
        <f>DRE!AW75</f>
        <v>-3217</v>
      </c>
      <c r="AR13" s="45">
        <f>DRE!AX75</f>
        <v>-767</v>
      </c>
      <c r="AS13" s="45">
        <f>DRE!AY75</f>
        <v>-1364</v>
      </c>
      <c r="AT13" s="45">
        <f>DRE!AZ75</f>
        <v>-2131</v>
      </c>
      <c r="AU13" s="45">
        <f>DRE!BA75</f>
        <v>-400</v>
      </c>
      <c r="AV13" s="45">
        <f>DRE!BB75</f>
        <v>-2531</v>
      </c>
      <c r="AW13" s="45">
        <f>DRE!BC75</f>
        <v>5415</v>
      </c>
      <c r="AX13" s="45">
        <f>DRE!BD75</f>
        <v>2884</v>
      </c>
      <c r="AY13" s="45">
        <f>DRE!BE75</f>
        <v>-3233</v>
      </c>
      <c r="AZ13" s="45">
        <f>DRE!BF75</f>
        <v>-583</v>
      </c>
      <c r="BA13" s="45">
        <f t="shared" si="0"/>
        <v>-3816</v>
      </c>
      <c r="BB13" s="45">
        <f>DRE!BH75</f>
        <v>-2911</v>
      </c>
      <c r="BC13" s="45">
        <f t="shared" si="1"/>
        <v>-6727</v>
      </c>
      <c r="BD13" s="45">
        <f>DRE!BJ75</f>
        <v>27250</v>
      </c>
      <c r="BE13" s="45">
        <f t="shared" si="2"/>
        <v>20523</v>
      </c>
      <c r="BF13" s="45">
        <f>DRE!BL75</f>
        <v>-1246</v>
      </c>
      <c r="BG13" s="45">
        <f>DRE!BM75</f>
        <v>1019</v>
      </c>
      <c r="BH13" s="45">
        <f t="shared" si="28"/>
        <v>-227</v>
      </c>
      <c r="BI13" s="45">
        <f>DRE!BO75</f>
        <v>326</v>
      </c>
      <c r="BJ13" s="45">
        <f t="shared" si="6"/>
        <v>99</v>
      </c>
      <c r="BK13" s="45">
        <f>DRE!BQ75</f>
        <v>92300</v>
      </c>
      <c r="BL13" s="45">
        <f t="shared" si="7"/>
        <v>92399</v>
      </c>
      <c r="BM13" s="45">
        <f>DRE!BS75</f>
        <v>910</v>
      </c>
      <c r="BN13" s="45">
        <f>DRE!BT75</f>
        <v>3126</v>
      </c>
      <c r="BO13" s="45">
        <f>BN13+BM13</f>
        <v>4036</v>
      </c>
      <c r="BP13" s="45">
        <f>DRE!BV75</f>
        <v>1290</v>
      </c>
      <c r="BQ13" s="45">
        <f t="shared" si="20"/>
        <v>5326</v>
      </c>
      <c r="BR13" s="45">
        <f>DRE!BX75</f>
        <v>26661</v>
      </c>
      <c r="BS13" s="45">
        <f t="shared" si="21"/>
        <v>31987</v>
      </c>
      <c r="BT13" s="45">
        <f>DRE!BZ75</f>
        <v>-2202</v>
      </c>
      <c r="BU13" s="45">
        <f>DRE!CA75</f>
        <v>2808</v>
      </c>
      <c r="BV13" s="45">
        <f t="shared" si="9"/>
        <v>606</v>
      </c>
      <c r="BW13" s="45">
        <f>DRE!CC75</f>
        <v>6701</v>
      </c>
      <c r="BX13" s="45">
        <f t="shared" si="10"/>
        <v>7307</v>
      </c>
      <c r="BY13" s="45">
        <f>DRE!CE75</f>
        <v>24344</v>
      </c>
      <c r="BZ13" s="45">
        <f t="shared" si="11"/>
        <v>31651</v>
      </c>
      <c r="CA13" s="45">
        <f>DRE!CG75</f>
        <v>452</v>
      </c>
      <c r="CB13" s="45">
        <f>DRE!CH75</f>
        <v>190</v>
      </c>
      <c r="CC13" s="45">
        <f t="shared" si="12"/>
        <v>642</v>
      </c>
      <c r="CD13" s="45">
        <f>DRE!CJ75</f>
        <v>-794</v>
      </c>
      <c r="CE13" s="45">
        <f t="shared" si="13"/>
        <v>-152</v>
      </c>
      <c r="CF13" s="45">
        <f>DRE!CL75</f>
        <v>14915</v>
      </c>
      <c r="CG13" s="45">
        <f t="shared" si="3"/>
        <v>14763</v>
      </c>
      <c r="CH13" s="45">
        <f>DRE!CN75</f>
        <v>2395</v>
      </c>
      <c r="CI13" s="45">
        <f>DRE!CO75</f>
        <v>6642</v>
      </c>
      <c r="CJ13" s="45">
        <f>DRE!CP75</f>
        <v>9037</v>
      </c>
      <c r="CK13" s="45">
        <f>DRE!CQ75</f>
        <v>105686</v>
      </c>
      <c r="CL13" s="45">
        <f>DRE!CR75</f>
        <v>114723</v>
      </c>
      <c r="CM13" s="45">
        <f>DRE!CS75-5924</f>
        <v>13916</v>
      </c>
      <c r="CN13" s="45">
        <v>119731</v>
      </c>
      <c r="CO13" s="45">
        <f>DRE!CU75</f>
        <v>-4226</v>
      </c>
      <c r="CP13" s="45">
        <f>DRE!CV75</f>
        <v>55476</v>
      </c>
      <c r="CQ13" s="45">
        <f>DRE!CW75</f>
        <v>51250</v>
      </c>
      <c r="CR13" s="45">
        <f>DRE!CX75</f>
        <v>9182</v>
      </c>
      <c r="CS13" s="45">
        <f>DRE!CY75</f>
        <v>60432</v>
      </c>
      <c r="CT13" s="45">
        <f>DRE!CZ75</f>
        <v>3691</v>
      </c>
      <c r="CU13" s="45">
        <f>DRE!DA75</f>
        <v>64123</v>
      </c>
      <c r="CV13" s="45">
        <f>DRE!DB75</f>
        <v>2250</v>
      </c>
      <c r="CW13" s="45">
        <f>DRE!DC75</f>
        <v>43633</v>
      </c>
      <c r="CX13" s="45">
        <f>DRE!DD75</f>
        <v>45883</v>
      </c>
      <c r="CY13" s="45">
        <f>DRE!DE75</f>
        <v>1856</v>
      </c>
      <c r="CZ13" s="45">
        <f>DRE!DF75</f>
        <v>47739</v>
      </c>
      <c r="DA13" s="45">
        <f>DRE!DG75</f>
        <v>-9488</v>
      </c>
      <c r="DB13" s="45">
        <f>DRE!DH75</f>
        <v>38252</v>
      </c>
      <c r="DC13" s="45">
        <f>[3]DRE!DI75</f>
        <v>-178</v>
      </c>
      <c r="DD13" s="45">
        <v>9352</v>
      </c>
      <c r="DE13" s="45">
        <f t="shared" si="15"/>
        <v>9174</v>
      </c>
    </row>
    <row r="14" spans="1:109" x14ac:dyDescent="0.2">
      <c r="A14" s="38" t="s">
        <v>361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>
        <v>0</v>
      </c>
      <c r="BY14" s="45">
        <v>0</v>
      </c>
      <c r="BZ14" s="45">
        <v>0</v>
      </c>
      <c r="CA14" s="45">
        <v>0</v>
      </c>
      <c r="CB14" s="45">
        <v>0</v>
      </c>
      <c r="CC14" s="45">
        <v>0</v>
      </c>
      <c r="CD14" s="45">
        <v>0</v>
      </c>
      <c r="CE14" s="45">
        <v>0</v>
      </c>
      <c r="CF14" s="45">
        <v>0</v>
      </c>
      <c r="CG14" s="45">
        <v>0</v>
      </c>
      <c r="CH14" s="45">
        <v>0</v>
      </c>
      <c r="CI14" s="45">
        <v>0</v>
      </c>
      <c r="CJ14" s="45">
        <v>0</v>
      </c>
      <c r="CK14" s="45">
        <v>-8909</v>
      </c>
      <c r="CL14" s="45">
        <f>CK14+CJ14</f>
        <v>-8909</v>
      </c>
      <c r="CM14" s="45">
        <v>0</v>
      </c>
      <c r="CN14" s="45">
        <v>0</v>
      </c>
      <c r="CO14" s="45">
        <f>DRE!CU76</f>
        <v>-7039</v>
      </c>
      <c r="CP14" s="45">
        <f>DRE!CV76</f>
        <v>-9356</v>
      </c>
      <c r="CQ14" s="45">
        <f>DRE!CW76</f>
        <v>-16395</v>
      </c>
      <c r="CR14" s="45">
        <f>DRE!CX76</f>
        <v>-52</v>
      </c>
      <c r="CS14" s="45">
        <f>DRE!CY76</f>
        <v>-16447</v>
      </c>
      <c r="CT14" s="45">
        <f>DRE!CZ76</f>
        <v>-9414</v>
      </c>
      <c r="CU14" s="45">
        <f>DRE!DA76</f>
        <v>-25861</v>
      </c>
      <c r="CV14" s="45">
        <f>DRE!DB76</f>
        <v>-6032</v>
      </c>
      <c r="CW14" s="45">
        <f>DRE!DC76</f>
        <v>-5567</v>
      </c>
      <c r="CX14" s="45">
        <f>DRE!DD76</f>
        <v>-11599</v>
      </c>
      <c r="CY14" s="45">
        <f>DRE!DE76</f>
        <v>-8715</v>
      </c>
      <c r="CZ14" s="45">
        <f>DRE!DF76</f>
        <v>-20314</v>
      </c>
      <c r="DA14" s="45">
        <f>DRE!DG76</f>
        <v>-5832</v>
      </c>
      <c r="DB14" s="45">
        <f>DRE!DH76</f>
        <v>-26146</v>
      </c>
      <c r="DC14" s="45">
        <f>[3]DRE!DI76</f>
        <v>0</v>
      </c>
      <c r="DD14" s="45">
        <v>0</v>
      </c>
      <c r="DE14" s="45">
        <f t="shared" si="15"/>
        <v>0</v>
      </c>
    </row>
    <row r="15" spans="1:109" ht="10.5" x14ac:dyDescent="0.25">
      <c r="A15" s="132" t="s">
        <v>362</v>
      </c>
      <c r="B15" s="44">
        <f t="shared" ref="B15:V15" si="29">SUM(B9:B13)</f>
        <v>82668</v>
      </c>
      <c r="C15" s="44">
        <f t="shared" si="29"/>
        <v>-40065</v>
      </c>
      <c r="D15" s="44">
        <f t="shared" si="29"/>
        <v>42603</v>
      </c>
      <c r="E15" s="44">
        <f t="shared" si="29"/>
        <v>-72676</v>
      </c>
      <c r="F15" s="44">
        <f t="shared" si="29"/>
        <v>-30073</v>
      </c>
      <c r="G15" s="44">
        <f t="shared" si="29"/>
        <v>41527</v>
      </c>
      <c r="H15" s="44">
        <f t="shared" si="29"/>
        <v>11454</v>
      </c>
      <c r="I15" s="44">
        <f t="shared" si="29"/>
        <v>-15817</v>
      </c>
      <c r="J15" s="44">
        <f t="shared" si="29"/>
        <v>57277</v>
      </c>
      <c r="K15" s="44">
        <f t="shared" si="29"/>
        <v>41460</v>
      </c>
      <c r="L15" s="44">
        <f t="shared" si="29"/>
        <v>53725</v>
      </c>
      <c r="M15" s="44">
        <f t="shared" si="29"/>
        <v>95185</v>
      </c>
      <c r="N15" s="43">
        <f t="shared" si="29"/>
        <v>30858</v>
      </c>
      <c r="O15" s="43">
        <f t="shared" si="29"/>
        <v>126043</v>
      </c>
      <c r="P15" s="44">
        <f t="shared" si="29"/>
        <v>52132</v>
      </c>
      <c r="Q15" s="44">
        <f t="shared" si="29"/>
        <v>52818</v>
      </c>
      <c r="R15" s="44">
        <f t="shared" si="29"/>
        <v>104950</v>
      </c>
      <c r="S15" s="44">
        <f t="shared" si="29"/>
        <v>100545</v>
      </c>
      <c r="T15" s="44">
        <f t="shared" si="29"/>
        <v>205495</v>
      </c>
      <c r="U15" s="44">
        <f t="shared" si="29"/>
        <v>51385</v>
      </c>
      <c r="V15" s="44">
        <f t="shared" si="29"/>
        <v>256880</v>
      </c>
      <c r="W15" s="44">
        <f>SUM(W9:W13)</f>
        <v>75236</v>
      </c>
      <c r="X15" s="44">
        <f>SUM(X9:X13)</f>
        <v>-17540</v>
      </c>
      <c r="Y15" s="44">
        <f>SUM(Y9:Y13)</f>
        <v>57696</v>
      </c>
      <c r="Z15" s="43">
        <f t="shared" si="4"/>
        <v>48379</v>
      </c>
      <c r="AA15" s="44">
        <f>SUM(AA9:AA13)</f>
        <v>106075</v>
      </c>
      <c r="AB15" s="43">
        <f t="shared" si="5"/>
        <v>39046</v>
      </c>
      <c r="AC15" s="44">
        <f t="shared" ref="AC15:AH15" si="30">SUM(AC9:AC13)</f>
        <v>145121</v>
      </c>
      <c r="AD15" s="44">
        <f t="shared" si="30"/>
        <v>45150</v>
      </c>
      <c r="AE15" s="44">
        <f t="shared" si="30"/>
        <v>72096</v>
      </c>
      <c r="AF15" s="44">
        <f t="shared" si="30"/>
        <v>117246</v>
      </c>
      <c r="AG15" s="44">
        <f t="shared" si="30"/>
        <v>30928</v>
      </c>
      <c r="AH15" s="44">
        <f t="shared" si="30"/>
        <v>148174</v>
      </c>
      <c r="AI15" s="44">
        <f t="shared" ref="AI15:AP15" si="31">SUM(AI9:AI13)</f>
        <v>2305</v>
      </c>
      <c r="AJ15" s="44">
        <f t="shared" si="31"/>
        <v>150479</v>
      </c>
      <c r="AK15" s="44">
        <f t="shared" si="31"/>
        <v>86448</v>
      </c>
      <c r="AL15" s="44">
        <f t="shared" si="31"/>
        <v>25306</v>
      </c>
      <c r="AM15" s="44">
        <f t="shared" si="31"/>
        <v>111754</v>
      </c>
      <c r="AN15" s="44">
        <f t="shared" si="31"/>
        <v>18840</v>
      </c>
      <c r="AO15" s="44">
        <f t="shared" si="31"/>
        <v>130594</v>
      </c>
      <c r="AP15" s="44">
        <f t="shared" si="31"/>
        <v>60204</v>
      </c>
      <c r="AQ15" s="44">
        <f t="shared" ref="AQ15:AX15" si="32">SUM(AQ9:AQ13)</f>
        <v>190798</v>
      </c>
      <c r="AR15" s="44">
        <f t="shared" si="32"/>
        <v>85346</v>
      </c>
      <c r="AS15" s="44">
        <f t="shared" si="32"/>
        <v>74691</v>
      </c>
      <c r="AT15" s="44">
        <f t="shared" si="32"/>
        <v>160037</v>
      </c>
      <c r="AU15" s="44">
        <f t="shared" si="32"/>
        <v>55812</v>
      </c>
      <c r="AV15" s="44">
        <f t="shared" si="32"/>
        <v>215849</v>
      </c>
      <c r="AW15" s="44">
        <f t="shared" si="32"/>
        <v>69649</v>
      </c>
      <c r="AX15" s="44">
        <f t="shared" si="32"/>
        <v>285498</v>
      </c>
      <c r="AY15" s="44">
        <f>SUM(AY9:AY13)</f>
        <v>28464</v>
      </c>
      <c r="AZ15" s="44">
        <f>SUM(AZ9:AZ13)</f>
        <v>-103630</v>
      </c>
      <c r="BA15" s="43">
        <f t="shared" si="0"/>
        <v>-75166</v>
      </c>
      <c r="BB15" s="44">
        <f t="shared" ref="BB15:CD15" si="33">SUM(BB9:BB13)</f>
        <v>1581</v>
      </c>
      <c r="BC15" s="43">
        <f t="shared" si="1"/>
        <v>-73585</v>
      </c>
      <c r="BD15" s="44">
        <f t="shared" si="33"/>
        <v>183899</v>
      </c>
      <c r="BE15" s="43">
        <f t="shared" si="2"/>
        <v>110314</v>
      </c>
      <c r="BF15" s="44">
        <f t="shared" si="33"/>
        <v>147225</v>
      </c>
      <c r="BG15" s="44">
        <f t="shared" si="33"/>
        <v>137994</v>
      </c>
      <c r="BH15" s="43">
        <f t="shared" si="28"/>
        <v>285219</v>
      </c>
      <c r="BI15" s="44">
        <f t="shared" si="33"/>
        <v>114095</v>
      </c>
      <c r="BJ15" s="43">
        <f t="shared" si="6"/>
        <v>399314</v>
      </c>
      <c r="BK15" s="44">
        <f t="shared" si="33"/>
        <v>194139</v>
      </c>
      <c r="BL15" s="43">
        <f t="shared" si="7"/>
        <v>593453</v>
      </c>
      <c r="BM15" s="44">
        <f t="shared" si="33"/>
        <v>267441</v>
      </c>
      <c r="BN15" s="44">
        <f t="shared" si="33"/>
        <v>264583</v>
      </c>
      <c r="BO15" s="43">
        <f t="shared" si="8"/>
        <v>532024</v>
      </c>
      <c r="BP15" s="44">
        <f t="shared" si="33"/>
        <v>68755</v>
      </c>
      <c r="BQ15" s="43">
        <f t="shared" si="20"/>
        <v>600779</v>
      </c>
      <c r="BR15" s="44">
        <f t="shared" si="33"/>
        <v>56978</v>
      </c>
      <c r="BS15" s="43">
        <f t="shared" si="21"/>
        <v>657757</v>
      </c>
      <c r="BT15" s="44">
        <f t="shared" si="33"/>
        <v>185902</v>
      </c>
      <c r="BU15" s="44">
        <f t="shared" si="33"/>
        <v>348790</v>
      </c>
      <c r="BV15" s="43">
        <f t="shared" si="9"/>
        <v>534692</v>
      </c>
      <c r="BW15" s="44">
        <f t="shared" si="33"/>
        <v>-109873</v>
      </c>
      <c r="BX15" s="43">
        <f t="shared" si="10"/>
        <v>424819</v>
      </c>
      <c r="BY15" s="44">
        <f t="shared" si="33"/>
        <v>133893</v>
      </c>
      <c r="BZ15" s="43">
        <f t="shared" si="11"/>
        <v>558712</v>
      </c>
      <c r="CA15" s="44">
        <f t="shared" si="33"/>
        <v>256737</v>
      </c>
      <c r="CB15" s="44">
        <f t="shared" si="33"/>
        <v>324047</v>
      </c>
      <c r="CC15" s="43">
        <f t="shared" si="12"/>
        <v>580784</v>
      </c>
      <c r="CD15" s="44">
        <f t="shared" si="33"/>
        <v>-34989</v>
      </c>
      <c r="CE15" s="43">
        <f t="shared" si="13"/>
        <v>545795</v>
      </c>
      <c r="CF15" s="44">
        <f>SUM(CF9:CF13)</f>
        <v>235136</v>
      </c>
      <c r="CG15" s="43">
        <f>CF15+CE15-1</f>
        <v>780930</v>
      </c>
      <c r="CH15" s="44">
        <f>SUM(CH9:CH13)</f>
        <v>605237</v>
      </c>
      <c r="CI15" s="44">
        <f>SUM(CI9:CI13)</f>
        <v>719891</v>
      </c>
      <c r="CJ15" s="44">
        <f>SUM(CJ9:CJ13)+2</f>
        <v>1325128</v>
      </c>
      <c r="CK15" s="44">
        <f>SUM(CK9:CK14)-4</f>
        <v>185380</v>
      </c>
      <c r="CL15" s="44">
        <f>SUM(CL9:CL14)+2</f>
        <v>1510508</v>
      </c>
      <c r="CM15" s="44">
        <f>SUM(CM9:CM13)</f>
        <v>402854</v>
      </c>
      <c r="CN15" s="44">
        <f>SUM(CN9:CN13)+2</f>
        <v>1913367</v>
      </c>
      <c r="CO15" s="44">
        <f>SUM(CO9:CO14)</f>
        <v>1315602</v>
      </c>
      <c r="CP15" s="44">
        <f>SUM(CP9:CP14)</f>
        <v>808314</v>
      </c>
      <c r="CQ15" s="44">
        <f>SUM(CQ9:CQ14)</f>
        <v>2123916</v>
      </c>
      <c r="CR15" s="44">
        <f>SUM(CR9:CR14)+2</f>
        <v>48232</v>
      </c>
      <c r="CS15" s="44">
        <f t="shared" ref="CS15:CU15" si="34">SUM(CS9:CS14)</f>
        <v>2172150</v>
      </c>
      <c r="CT15" s="44">
        <f>SUM(CT9:CT14)+2</f>
        <v>333143</v>
      </c>
      <c r="CU15" s="44">
        <f t="shared" si="34"/>
        <v>2505294</v>
      </c>
      <c r="CV15" s="44">
        <f>SUM(CV9:CV14)</f>
        <v>973276</v>
      </c>
      <c r="CW15" s="44">
        <f>SUM(CW9:CW14)</f>
        <v>644004</v>
      </c>
      <c r="CX15" s="44">
        <f>SUM(CX9:CX14)</f>
        <v>1617280</v>
      </c>
      <c r="CY15" s="44">
        <f>SUM(CY9:CY14)</f>
        <v>414965</v>
      </c>
      <c r="CZ15" s="44">
        <f t="shared" ref="CZ15:DC15" si="35">SUM(CZ9:CZ14)</f>
        <v>2032245</v>
      </c>
      <c r="DA15" s="44">
        <f t="shared" si="35"/>
        <v>-97066</v>
      </c>
      <c r="DB15" s="44">
        <f t="shared" si="35"/>
        <v>1935181</v>
      </c>
      <c r="DC15" s="44">
        <f t="shared" si="35"/>
        <v>498521</v>
      </c>
      <c r="DD15" s="44">
        <f t="shared" ref="DD15" si="36">SUM(DD9:DD14)</f>
        <v>675159</v>
      </c>
      <c r="DE15" s="44">
        <f t="shared" si="15"/>
        <v>1173680</v>
      </c>
    </row>
    <row r="16" spans="1:109" x14ac:dyDescent="0.2">
      <c r="A16" s="38" t="s">
        <v>363</v>
      </c>
      <c r="B16" s="45">
        <v>9142</v>
      </c>
      <c r="C16" s="45">
        <v>17681</v>
      </c>
      <c r="D16" s="45">
        <f>C16+B16</f>
        <v>26823</v>
      </c>
      <c r="E16" s="45">
        <v>18934</v>
      </c>
      <c r="F16" s="45">
        <f>D16+E16</f>
        <v>45757</v>
      </c>
      <c r="G16" s="45">
        <v>12453</v>
      </c>
      <c r="H16" s="45">
        <f>B16+C16+E16+G16</f>
        <v>58210</v>
      </c>
      <c r="I16" s="45">
        <v>13789</v>
      </c>
      <c r="J16" s="45">
        <v>18247</v>
      </c>
      <c r="K16" s="45">
        <f>I16+J16</f>
        <v>32036</v>
      </c>
      <c r="L16" s="45">
        <v>18965</v>
      </c>
      <c r="M16" s="45">
        <f>K16+L16</f>
        <v>51001</v>
      </c>
      <c r="N16" s="45">
        <f>O16-M16</f>
        <v>27295</v>
      </c>
      <c r="O16" s="45">
        <v>78296</v>
      </c>
      <c r="P16" s="45">
        <v>9465</v>
      </c>
      <c r="Q16" s="45">
        <v>15648</v>
      </c>
      <c r="R16" s="45">
        <f>P16+Q16</f>
        <v>25113</v>
      </c>
      <c r="S16" s="45">
        <v>18331</v>
      </c>
      <c r="T16" s="45">
        <f>R16+S16</f>
        <v>43444</v>
      </c>
      <c r="U16" s="45">
        <v>25551</v>
      </c>
      <c r="V16" s="45">
        <v>68995</v>
      </c>
      <c r="W16" s="45">
        <v>21135</v>
      </c>
      <c r="X16" s="45">
        <f t="shared" si="27"/>
        <v>23158</v>
      </c>
      <c r="Y16" s="45">
        <v>44293</v>
      </c>
      <c r="Z16" s="45">
        <f t="shared" si="4"/>
        <v>27675</v>
      </c>
      <c r="AA16" s="45">
        <f>-DVA!AG24</f>
        <v>71968</v>
      </c>
      <c r="AB16" s="45">
        <f t="shared" si="5"/>
        <v>26098</v>
      </c>
      <c r="AC16" s="45">
        <f>-DVA!AI24</f>
        <v>98066</v>
      </c>
      <c r="AD16" s="45">
        <v>19150</v>
      </c>
      <c r="AE16" s="45">
        <f>-DVA!AK24</f>
        <v>34075</v>
      </c>
      <c r="AF16" s="45">
        <f>-DVA!AL24</f>
        <v>53225</v>
      </c>
      <c r="AG16" s="45">
        <f>-DVA!AM24</f>
        <v>34121</v>
      </c>
      <c r="AH16" s="45">
        <f>AF16+AG16</f>
        <v>87346</v>
      </c>
      <c r="AI16" s="45">
        <f>-DVA!AO24</f>
        <v>28171</v>
      </c>
      <c r="AJ16" s="45">
        <f>AH16+AI16</f>
        <v>115517</v>
      </c>
      <c r="AK16" s="45">
        <f>-DVA!AQ24</f>
        <v>17169</v>
      </c>
      <c r="AL16" s="45">
        <f>-DVA!AR24</f>
        <v>32057</v>
      </c>
      <c r="AM16" s="45">
        <f>-DVA!AS24</f>
        <v>49226</v>
      </c>
      <c r="AN16" s="45">
        <f>-DVA!AT24</f>
        <v>27356</v>
      </c>
      <c r="AO16" s="45">
        <f>-DVA!AU24</f>
        <v>76582</v>
      </c>
      <c r="AP16" s="45">
        <f>-DVA!AV24</f>
        <v>23337</v>
      </c>
      <c r="AQ16" s="45">
        <f>AO16+AP16</f>
        <v>99919</v>
      </c>
      <c r="AR16" s="45">
        <f>-DVA!AX24</f>
        <v>17007</v>
      </c>
      <c r="AS16" s="45">
        <f>-DVA!AY24</f>
        <v>33235</v>
      </c>
      <c r="AT16" s="45">
        <f>-DVA!AZ24</f>
        <v>50242</v>
      </c>
      <c r="AU16" s="45">
        <f>-DVA!BA24</f>
        <v>24577</v>
      </c>
      <c r="AV16" s="45">
        <f>-DVA!BB24</f>
        <v>74819</v>
      </c>
      <c r="AW16" s="45">
        <f>-DVA!BC24</f>
        <v>31984</v>
      </c>
      <c r="AX16" s="45">
        <f>-DVA!BD24</f>
        <v>106803</v>
      </c>
      <c r="AY16" s="45">
        <f>-DVA!BE24</f>
        <v>20283</v>
      </c>
      <c r="AZ16" s="45">
        <f>-DVA!BF24</f>
        <v>33175</v>
      </c>
      <c r="BA16" s="45">
        <f t="shared" si="0"/>
        <v>53458</v>
      </c>
      <c r="BB16" s="45">
        <f>-DVA!BH24</f>
        <v>23626</v>
      </c>
      <c r="BC16" s="45">
        <f t="shared" si="1"/>
        <v>77084</v>
      </c>
      <c r="BD16" s="45">
        <f>-DVA!BJ24</f>
        <v>27158</v>
      </c>
      <c r="BE16" s="45">
        <f t="shared" si="2"/>
        <v>104242</v>
      </c>
      <c r="BF16" s="45">
        <f>-DVA!BL24</f>
        <v>13233</v>
      </c>
      <c r="BG16" s="45">
        <f>-DVA!BM24</f>
        <v>24486</v>
      </c>
      <c r="BH16" s="45">
        <f t="shared" si="28"/>
        <v>37719</v>
      </c>
      <c r="BI16" s="45">
        <f>-DVA!BO24</f>
        <v>27384</v>
      </c>
      <c r="BJ16" s="45">
        <f t="shared" si="6"/>
        <v>65103</v>
      </c>
      <c r="BK16" s="45">
        <f>-DVA!BQ24</f>
        <v>26403</v>
      </c>
      <c r="BL16" s="45">
        <f t="shared" si="7"/>
        <v>91506</v>
      </c>
      <c r="BM16" s="45">
        <f>-DVA!BS24</f>
        <v>15045</v>
      </c>
      <c r="BN16" s="45">
        <f>-DVA!BT24</f>
        <v>25833</v>
      </c>
      <c r="BO16" s="45">
        <f t="shared" si="8"/>
        <v>40878</v>
      </c>
      <c r="BP16" s="45">
        <f>-DVA!BV24</f>
        <v>23093</v>
      </c>
      <c r="BQ16" s="45">
        <f t="shared" si="20"/>
        <v>63971</v>
      </c>
      <c r="BR16" s="45">
        <f>-DVA!BX24</f>
        <v>47260</v>
      </c>
      <c r="BS16" s="45">
        <f t="shared" si="21"/>
        <v>111231</v>
      </c>
      <c r="BT16" s="45">
        <f>-DVA!BZ24</f>
        <v>20336</v>
      </c>
      <c r="BU16" s="45">
        <f>-DVA!CA24</f>
        <v>21798</v>
      </c>
      <c r="BV16" s="45">
        <f t="shared" si="9"/>
        <v>42134</v>
      </c>
      <c r="BW16" s="45">
        <f>-DVA!CC24</f>
        <v>33682</v>
      </c>
      <c r="BX16" s="45">
        <f t="shared" si="10"/>
        <v>75816</v>
      </c>
      <c r="BY16" s="45">
        <f>-DVA!CE24</f>
        <v>29994</v>
      </c>
      <c r="BZ16" s="45">
        <f t="shared" si="11"/>
        <v>105810</v>
      </c>
      <c r="CA16" s="45">
        <f>-DVA!CG24</f>
        <v>19234</v>
      </c>
      <c r="CB16" s="45">
        <f>-DVA!CH24</f>
        <v>30257</v>
      </c>
      <c r="CC16" s="45">
        <f t="shared" si="12"/>
        <v>49491</v>
      </c>
      <c r="CD16" s="45">
        <f>-DVA!CJ24</f>
        <v>35491</v>
      </c>
      <c r="CE16" s="45">
        <f t="shared" si="13"/>
        <v>84982</v>
      </c>
      <c r="CF16" s="45">
        <f>-DVA!CL24</f>
        <v>34704</v>
      </c>
      <c r="CG16" s="45">
        <f>CF16+CE16</f>
        <v>119686</v>
      </c>
      <c r="CH16" s="45">
        <f>-DVA!CN24</f>
        <v>25377</v>
      </c>
      <c r="CI16" s="45">
        <f>-DVA!CO24</f>
        <v>35380</v>
      </c>
      <c r="CJ16" s="45">
        <f>-DVA!CP24</f>
        <v>60757</v>
      </c>
      <c r="CK16" s="45">
        <f>-DVA!CQ24</f>
        <v>38798</v>
      </c>
      <c r="CL16" s="45">
        <f>-DVA!CR24</f>
        <v>99555</v>
      </c>
      <c r="CM16" s="45">
        <f>-DVA!CS24</f>
        <v>46315</v>
      </c>
      <c r="CN16" s="45">
        <f>CM16+CL16</f>
        <v>145870</v>
      </c>
      <c r="CO16" s="45">
        <f>-DVA!CU24</f>
        <v>50527</v>
      </c>
      <c r="CP16" s="45">
        <f>-DVA!CV24</f>
        <v>38850</v>
      </c>
      <c r="CQ16" s="45">
        <f>-DVA!CW24</f>
        <v>89377</v>
      </c>
      <c r="CR16" s="45">
        <f>-DVA!CX24</f>
        <v>35744</v>
      </c>
      <c r="CS16" s="45">
        <f>-DVA!CY24</f>
        <v>125121</v>
      </c>
      <c r="CT16" s="45">
        <f>-DVA!CZ24</f>
        <v>52693</v>
      </c>
      <c r="CU16" s="45">
        <f>-DVA!DA24-1</f>
        <v>177813</v>
      </c>
      <c r="CV16" s="45">
        <f>-DVA!DB24</f>
        <v>48283</v>
      </c>
      <c r="CW16" s="45">
        <f>-DVA!DC24</f>
        <v>51904</v>
      </c>
      <c r="CX16" s="45">
        <f>-DVA!DD24</f>
        <v>100187</v>
      </c>
      <c r="CY16" s="45">
        <f>-DVA!DE24</f>
        <v>57371</v>
      </c>
      <c r="CZ16" s="45">
        <f>-DVA!DF24</f>
        <v>157558</v>
      </c>
      <c r="DA16" s="45">
        <f>-DVA!DG24</f>
        <v>62130</v>
      </c>
      <c r="DB16" s="45">
        <f>-DVA!DH24</f>
        <v>219688</v>
      </c>
      <c r="DC16" s="45">
        <f>-[3]DVA!DI24</f>
        <v>60263</v>
      </c>
      <c r="DD16" s="45">
        <v>65046</v>
      </c>
      <c r="DE16" s="45">
        <f t="shared" si="15"/>
        <v>125309</v>
      </c>
    </row>
    <row r="17" spans="1:109" x14ac:dyDescent="0.2">
      <c r="A17" s="38" t="s">
        <v>434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>
        <v>2570</v>
      </c>
      <c r="BU17" s="45">
        <v>6867</v>
      </c>
      <c r="BV17" s="45">
        <f>BU17+BT17</f>
        <v>9437</v>
      </c>
      <c r="BW17" s="45">
        <v>18251</v>
      </c>
      <c r="BX17" s="45">
        <f>BW17+BV17</f>
        <v>27688</v>
      </c>
      <c r="BY17" s="45">
        <v>15648</v>
      </c>
      <c r="BZ17" s="45">
        <f>BY17+BX17</f>
        <v>43336</v>
      </c>
      <c r="CA17" s="45">
        <v>11559</v>
      </c>
      <c r="CB17" s="45">
        <v>14353</v>
      </c>
      <c r="CC17" s="45">
        <f>CB17+CA17+1</f>
        <v>25913</v>
      </c>
      <c r="CD17" s="45">
        <v>23545</v>
      </c>
      <c r="CE17" s="45">
        <f>CD17+CC17</f>
        <v>49458</v>
      </c>
      <c r="CF17" s="45">
        <v>24206</v>
      </c>
      <c r="CG17" s="45">
        <f t="shared" ref="CG17" si="37">CF17+CE17</f>
        <v>73664</v>
      </c>
      <c r="CH17" s="45">
        <v>18608</v>
      </c>
      <c r="CI17" s="45">
        <v>21574</v>
      </c>
      <c r="CJ17" s="45">
        <f>CI17+CH17</f>
        <v>40182</v>
      </c>
      <c r="CK17" s="45">
        <v>46673</v>
      </c>
      <c r="CL17" s="45">
        <f>CK17+CJ17</f>
        <v>86855</v>
      </c>
      <c r="CM17" s="45">
        <v>46431</v>
      </c>
      <c r="CN17" s="45">
        <f t="shared" ref="CN17" si="38">CM17+CL17</f>
        <v>133286</v>
      </c>
      <c r="CO17" s="45">
        <v>76167</v>
      </c>
      <c r="CP17" s="45">
        <v>65978</v>
      </c>
      <c r="CQ17" s="45">
        <f>SUM(CO17:CP17)-2</f>
        <v>142143</v>
      </c>
      <c r="CR17" s="45">
        <v>65963</v>
      </c>
      <c r="CS17" s="45">
        <f>SUM(CQ17:CR17)</f>
        <v>208106</v>
      </c>
      <c r="CT17" s="45">
        <v>9413</v>
      </c>
      <c r="CU17" s="45">
        <f>SUM(CS17:CT17)</f>
        <v>217519</v>
      </c>
      <c r="CV17" s="45">
        <v>73509</v>
      </c>
      <c r="CW17" s="45">
        <v>60447</v>
      </c>
      <c r="CX17" s="45">
        <f>SUM(CV17:CW17)+1</f>
        <v>133957</v>
      </c>
      <c r="CY17" s="45">
        <v>77254</v>
      </c>
      <c r="CZ17" s="45">
        <f>SUM(CX17:CY17)-1</f>
        <v>211210</v>
      </c>
      <c r="DA17" s="45">
        <f>DB17-CZ17</f>
        <v>88332</v>
      </c>
      <c r="DB17" s="45">
        <v>299542</v>
      </c>
      <c r="DC17" s="45">
        <v>71972</v>
      </c>
      <c r="DD17" s="45">
        <v>65555</v>
      </c>
      <c r="DE17" s="45">
        <f t="shared" si="15"/>
        <v>137527</v>
      </c>
    </row>
    <row r="18" spans="1:109" ht="10.5" x14ac:dyDescent="0.25">
      <c r="A18" s="133" t="s">
        <v>364</v>
      </c>
      <c r="B18" s="46">
        <f t="shared" ref="B18:AG18" si="39">SUM(B15:B16)</f>
        <v>91810</v>
      </c>
      <c r="C18" s="46">
        <f t="shared" si="39"/>
        <v>-22384</v>
      </c>
      <c r="D18" s="46">
        <f t="shared" si="39"/>
        <v>69426</v>
      </c>
      <c r="E18" s="46">
        <f t="shared" si="39"/>
        <v>-53742</v>
      </c>
      <c r="F18" s="46">
        <f t="shared" si="39"/>
        <v>15684</v>
      </c>
      <c r="G18" s="46">
        <f t="shared" si="39"/>
        <v>53980</v>
      </c>
      <c r="H18" s="46">
        <f t="shared" si="39"/>
        <v>69664</v>
      </c>
      <c r="I18" s="46">
        <f t="shared" si="39"/>
        <v>-2028</v>
      </c>
      <c r="J18" s="46">
        <f t="shared" si="39"/>
        <v>75524</v>
      </c>
      <c r="K18" s="46">
        <f t="shared" si="39"/>
        <v>73496</v>
      </c>
      <c r="L18" s="46">
        <f t="shared" si="39"/>
        <v>72690</v>
      </c>
      <c r="M18" s="46">
        <f t="shared" si="39"/>
        <v>146186</v>
      </c>
      <c r="N18" s="46">
        <f t="shared" si="39"/>
        <v>58153</v>
      </c>
      <c r="O18" s="46">
        <f t="shared" si="39"/>
        <v>204339</v>
      </c>
      <c r="P18" s="46">
        <f t="shared" si="39"/>
        <v>61597</v>
      </c>
      <c r="Q18" s="46">
        <f t="shared" si="39"/>
        <v>68466</v>
      </c>
      <c r="R18" s="46">
        <f t="shared" si="39"/>
        <v>130063</v>
      </c>
      <c r="S18" s="46">
        <f t="shared" si="39"/>
        <v>118876</v>
      </c>
      <c r="T18" s="46">
        <f t="shared" si="39"/>
        <v>248939</v>
      </c>
      <c r="U18" s="46">
        <f t="shared" si="39"/>
        <v>76936</v>
      </c>
      <c r="V18" s="46">
        <f t="shared" si="39"/>
        <v>325875</v>
      </c>
      <c r="W18" s="46">
        <f t="shared" si="39"/>
        <v>96371</v>
      </c>
      <c r="X18" s="46">
        <f t="shared" si="39"/>
        <v>5618</v>
      </c>
      <c r="Y18" s="46">
        <f t="shared" si="39"/>
        <v>101989</v>
      </c>
      <c r="Z18" s="46">
        <f t="shared" si="39"/>
        <v>76054</v>
      </c>
      <c r="AA18" s="46">
        <f t="shared" si="39"/>
        <v>178043</v>
      </c>
      <c r="AB18" s="46">
        <f t="shared" si="39"/>
        <v>65144</v>
      </c>
      <c r="AC18" s="46">
        <f t="shared" si="39"/>
        <v>243187</v>
      </c>
      <c r="AD18" s="46">
        <f t="shared" si="39"/>
        <v>64300</v>
      </c>
      <c r="AE18" s="46">
        <f t="shared" si="39"/>
        <v>106171</v>
      </c>
      <c r="AF18" s="46">
        <f t="shared" si="39"/>
        <v>170471</v>
      </c>
      <c r="AG18" s="46">
        <f t="shared" si="39"/>
        <v>65049</v>
      </c>
      <c r="AH18" s="46">
        <f t="shared" ref="AH18:BM18" si="40">SUM(AH15:AH16)</f>
        <v>235520</v>
      </c>
      <c r="AI18" s="46">
        <f t="shared" si="40"/>
        <v>30476</v>
      </c>
      <c r="AJ18" s="46">
        <f t="shared" si="40"/>
        <v>265996</v>
      </c>
      <c r="AK18" s="46">
        <f t="shared" si="40"/>
        <v>103617</v>
      </c>
      <c r="AL18" s="46">
        <f t="shared" si="40"/>
        <v>57363</v>
      </c>
      <c r="AM18" s="46">
        <f t="shared" si="40"/>
        <v>160980</v>
      </c>
      <c r="AN18" s="46">
        <f t="shared" si="40"/>
        <v>46196</v>
      </c>
      <c r="AO18" s="46">
        <f t="shared" si="40"/>
        <v>207176</v>
      </c>
      <c r="AP18" s="46">
        <f t="shared" si="40"/>
        <v>83541</v>
      </c>
      <c r="AQ18" s="46">
        <f t="shared" si="40"/>
        <v>290717</v>
      </c>
      <c r="AR18" s="46">
        <f t="shared" si="40"/>
        <v>102353</v>
      </c>
      <c r="AS18" s="46">
        <f t="shared" si="40"/>
        <v>107926</v>
      </c>
      <c r="AT18" s="46">
        <f t="shared" si="40"/>
        <v>210279</v>
      </c>
      <c r="AU18" s="46">
        <f t="shared" si="40"/>
        <v>80389</v>
      </c>
      <c r="AV18" s="46">
        <f t="shared" si="40"/>
        <v>290668</v>
      </c>
      <c r="AW18" s="46">
        <f t="shared" si="40"/>
        <v>101633</v>
      </c>
      <c r="AX18" s="46">
        <f t="shared" si="40"/>
        <v>392301</v>
      </c>
      <c r="AY18" s="46">
        <f t="shared" si="40"/>
        <v>48747</v>
      </c>
      <c r="AZ18" s="46">
        <f t="shared" si="40"/>
        <v>-70455</v>
      </c>
      <c r="BA18" s="46">
        <f t="shared" si="40"/>
        <v>-21708</v>
      </c>
      <c r="BB18" s="46">
        <f t="shared" si="40"/>
        <v>25207</v>
      </c>
      <c r="BC18" s="46">
        <f t="shared" si="40"/>
        <v>3499</v>
      </c>
      <c r="BD18" s="46">
        <f t="shared" si="40"/>
        <v>211057</v>
      </c>
      <c r="BE18" s="46">
        <f t="shared" si="40"/>
        <v>214556</v>
      </c>
      <c r="BF18" s="46">
        <f t="shared" si="40"/>
        <v>160458</v>
      </c>
      <c r="BG18" s="46">
        <f t="shared" si="40"/>
        <v>162480</v>
      </c>
      <c r="BH18" s="46">
        <f t="shared" si="40"/>
        <v>322938</v>
      </c>
      <c r="BI18" s="46">
        <f t="shared" si="40"/>
        <v>141479</v>
      </c>
      <c r="BJ18" s="46">
        <f t="shared" si="40"/>
        <v>464417</v>
      </c>
      <c r="BK18" s="46">
        <f t="shared" si="40"/>
        <v>220542</v>
      </c>
      <c r="BL18" s="46">
        <f t="shared" si="40"/>
        <v>684959</v>
      </c>
      <c r="BM18" s="46">
        <f t="shared" si="40"/>
        <v>282486</v>
      </c>
      <c r="BN18" s="46">
        <f t="shared" ref="BN18:BS18" si="41">SUM(BN15:BN16)</f>
        <v>290416</v>
      </c>
      <c r="BO18" s="46">
        <f t="shared" si="41"/>
        <v>572902</v>
      </c>
      <c r="BP18" s="46">
        <f t="shared" si="41"/>
        <v>91848</v>
      </c>
      <c r="BQ18" s="46">
        <f t="shared" si="41"/>
        <v>664750</v>
      </c>
      <c r="BR18" s="46">
        <f t="shared" si="41"/>
        <v>104238</v>
      </c>
      <c r="BS18" s="46">
        <f t="shared" si="41"/>
        <v>768988</v>
      </c>
      <c r="BT18" s="46">
        <f>SUM(BT15:BT17)</f>
        <v>208808</v>
      </c>
      <c r="BU18" s="46">
        <f t="shared" ref="BU18:DC18" si="42">SUM(BU15:BU17)</f>
        <v>377455</v>
      </c>
      <c r="BV18" s="46">
        <f t="shared" si="42"/>
        <v>586263</v>
      </c>
      <c r="BW18" s="46">
        <f t="shared" si="42"/>
        <v>-57940</v>
      </c>
      <c r="BX18" s="46">
        <f t="shared" si="42"/>
        <v>528323</v>
      </c>
      <c r="BY18" s="46">
        <f t="shared" si="42"/>
        <v>179535</v>
      </c>
      <c r="BZ18" s="46">
        <f t="shared" si="42"/>
        <v>707858</v>
      </c>
      <c r="CA18" s="46">
        <f t="shared" si="42"/>
        <v>287530</v>
      </c>
      <c r="CB18" s="46">
        <f t="shared" si="42"/>
        <v>368657</v>
      </c>
      <c r="CC18" s="46">
        <f t="shared" si="42"/>
        <v>656188</v>
      </c>
      <c r="CD18" s="46">
        <f t="shared" si="42"/>
        <v>24047</v>
      </c>
      <c r="CE18" s="46">
        <f t="shared" si="42"/>
        <v>680235</v>
      </c>
      <c r="CF18" s="46">
        <f t="shared" si="42"/>
        <v>294046</v>
      </c>
      <c r="CG18" s="46">
        <f t="shared" si="42"/>
        <v>974280</v>
      </c>
      <c r="CH18" s="46">
        <f t="shared" si="42"/>
        <v>649222</v>
      </c>
      <c r="CI18" s="46">
        <f t="shared" si="42"/>
        <v>776845</v>
      </c>
      <c r="CJ18" s="46">
        <f t="shared" si="42"/>
        <v>1426067</v>
      </c>
      <c r="CK18" s="46">
        <f t="shared" si="42"/>
        <v>270851</v>
      </c>
      <c r="CL18" s="46">
        <f t="shared" si="42"/>
        <v>1696918</v>
      </c>
      <c r="CM18" s="46">
        <f t="shared" si="42"/>
        <v>495600</v>
      </c>
      <c r="CN18" s="46">
        <f t="shared" si="42"/>
        <v>2192523</v>
      </c>
      <c r="CO18" s="46">
        <f t="shared" si="42"/>
        <v>1442296</v>
      </c>
      <c r="CP18" s="46">
        <f t="shared" si="42"/>
        <v>913142</v>
      </c>
      <c r="CQ18" s="46">
        <f t="shared" si="42"/>
        <v>2355436</v>
      </c>
      <c r="CR18" s="46">
        <f t="shared" si="42"/>
        <v>149939</v>
      </c>
      <c r="CS18" s="46">
        <f t="shared" si="42"/>
        <v>2505377</v>
      </c>
      <c r="CT18" s="46">
        <f t="shared" si="42"/>
        <v>395249</v>
      </c>
      <c r="CU18" s="46">
        <f t="shared" si="42"/>
        <v>2900626</v>
      </c>
      <c r="CV18" s="46">
        <f t="shared" si="42"/>
        <v>1095068</v>
      </c>
      <c r="CW18" s="46">
        <f t="shared" si="42"/>
        <v>756355</v>
      </c>
      <c r="CX18" s="46">
        <f t="shared" si="42"/>
        <v>1851424</v>
      </c>
      <c r="CY18" s="46">
        <f t="shared" si="42"/>
        <v>549590</v>
      </c>
      <c r="CZ18" s="46">
        <f t="shared" si="42"/>
        <v>2401013</v>
      </c>
      <c r="DA18" s="46">
        <f t="shared" si="42"/>
        <v>53396</v>
      </c>
      <c r="DB18" s="46">
        <f t="shared" si="42"/>
        <v>2454411</v>
      </c>
      <c r="DC18" s="46">
        <f t="shared" si="42"/>
        <v>630756</v>
      </c>
      <c r="DD18" s="46">
        <f t="shared" ref="DD18" si="43">SUM(DD15:DD17)</f>
        <v>805760</v>
      </c>
      <c r="DE18" s="46">
        <f t="shared" si="15"/>
        <v>1436516</v>
      </c>
    </row>
    <row r="19" spans="1:109" x14ac:dyDescent="0.2">
      <c r="A19" s="38" t="s">
        <v>429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f>-DRE!AD18</f>
        <v>594</v>
      </c>
      <c r="Y19" s="45">
        <v>-68778</v>
      </c>
      <c r="Z19" s="45">
        <f t="shared" si="4"/>
        <v>-47940</v>
      </c>
      <c r="AA19" s="45">
        <f>-DRE!AG18</f>
        <v>-116718</v>
      </c>
      <c r="AB19" s="45">
        <f>AC19-AA19</f>
        <v>-17613</v>
      </c>
      <c r="AC19" s="45">
        <f>-DRE!AI18</f>
        <v>-134331</v>
      </c>
      <c r="AD19" s="45">
        <f>-DRE!AJ18</f>
        <v>-9243</v>
      </c>
      <c r="AE19" s="45">
        <f>-DRE!AK18</f>
        <v>-64472</v>
      </c>
      <c r="AF19" s="45">
        <f>-DRE!AL18</f>
        <v>-73715</v>
      </c>
      <c r="AG19" s="45">
        <f>-DRE!AM18</f>
        <v>-54625</v>
      </c>
      <c r="AH19" s="45">
        <f>-DRE!AN18</f>
        <v>-128340</v>
      </c>
      <c r="AI19" s="45">
        <f>-DRE!AO18</f>
        <v>-17952</v>
      </c>
      <c r="AJ19" s="45">
        <f>-DRE!AP18</f>
        <v>-146292</v>
      </c>
      <c r="AK19" s="45">
        <f>-DRE!AQ18</f>
        <v>-94199</v>
      </c>
      <c r="AL19" s="45">
        <f>-DRE!AR18</f>
        <v>-29837</v>
      </c>
      <c r="AM19" s="45">
        <f>-DRE!AS18</f>
        <v>-124036</v>
      </c>
      <c r="AN19" s="45">
        <f>-DRE!AT18</f>
        <v>-16503</v>
      </c>
      <c r="AO19" s="45">
        <f>-DRE!AU18</f>
        <v>-140539</v>
      </c>
      <c r="AP19" s="45">
        <f>-DRE!AV18</f>
        <v>-22632</v>
      </c>
      <c r="AQ19" s="45">
        <f>-DRE!AW18</f>
        <v>-163171</v>
      </c>
      <c r="AR19" s="45">
        <f>-DRE!AX18</f>
        <v>-94276</v>
      </c>
      <c r="AS19" s="45">
        <f>-DRE!AY18</f>
        <v>-77989</v>
      </c>
      <c r="AT19" s="45">
        <f>-DRE!AZ18</f>
        <v>-172265</v>
      </c>
      <c r="AU19" s="45">
        <f>-DRE!BA18</f>
        <v>-76398</v>
      </c>
      <c r="AV19" s="45">
        <f>-DRE!BB18</f>
        <v>-248663</v>
      </c>
      <c r="AW19" s="45">
        <f>-DRE!BC18</f>
        <v>-31167</v>
      </c>
      <c r="AX19" s="45">
        <f>-DRE!BD18</f>
        <v>-279830</v>
      </c>
      <c r="AY19" s="45">
        <f>-DRE!BE18</f>
        <v>-87159</v>
      </c>
      <c r="AZ19" s="45">
        <f>-DRE!BF18</f>
        <v>77987</v>
      </c>
      <c r="BA19" s="45">
        <f>AZ19+AY19</f>
        <v>-9172</v>
      </c>
      <c r="BB19" s="45">
        <f>-DRE!BH18</f>
        <v>5896</v>
      </c>
      <c r="BC19" s="45">
        <f>BB19+BA19</f>
        <v>-3276</v>
      </c>
      <c r="BD19" s="45">
        <f>-DRE!BJ18</f>
        <v>-54428</v>
      </c>
      <c r="BE19" s="45">
        <f>BD19+BC19</f>
        <v>-57704</v>
      </c>
      <c r="BF19" s="45">
        <f>-DRE!BL18</f>
        <v>-109390</v>
      </c>
      <c r="BG19" s="45">
        <f>-DRE!BM18</f>
        <v>-129921</v>
      </c>
      <c r="BH19" s="45">
        <f t="shared" si="28"/>
        <v>-239311</v>
      </c>
      <c r="BI19" s="45">
        <f>-DRE!BO18</f>
        <v>-101442</v>
      </c>
      <c r="BJ19" s="45">
        <f t="shared" si="6"/>
        <v>-340753</v>
      </c>
      <c r="BK19" s="45">
        <f>-DRE!BQ18</f>
        <v>-21094</v>
      </c>
      <c r="BL19" s="45">
        <f t="shared" si="7"/>
        <v>-361847</v>
      </c>
      <c r="BM19" s="45">
        <f>-DRE!BS18</f>
        <v>-239407</v>
      </c>
      <c r="BN19" s="45">
        <f>-DRE!BT18</f>
        <v>-288258</v>
      </c>
      <c r="BO19" s="45">
        <f t="shared" si="8"/>
        <v>-527665</v>
      </c>
      <c r="BP19" s="45">
        <f>-DRE!BV18</f>
        <v>-129134</v>
      </c>
      <c r="BQ19" s="45">
        <f t="shared" si="20"/>
        <v>-656799</v>
      </c>
      <c r="BR19" s="45">
        <f>-DRE!BX18</f>
        <v>-67492</v>
      </c>
      <c r="BS19" s="45">
        <f t="shared" si="21"/>
        <v>-724291</v>
      </c>
      <c r="BT19" s="45">
        <f>-DRE!BZ18</f>
        <v>-146497</v>
      </c>
      <c r="BU19" s="45">
        <f>-DRE!CA18</f>
        <v>-393743</v>
      </c>
      <c r="BV19" s="45">
        <f t="shared" si="9"/>
        <v>-540240</v>
      </c>
      <c r="BW19" s="45">
        <f>-DRE!CC18</f>
        <v>121797</v>
      </c>
      <c r="BX19" s="45">
        <f t="shared" si="10"/>
        <v>-418443</v>
      </c>
      <c r="BY19" s="45">
        <f>-DRE!CE18</f>
        <v>-86308</v>
      </c>
      <c r="BZ19" s="45">
        <f t="shared" si="11"/>
        <v>-504751</v>
      </c>
      <c r="CA19" s="45">
        <f>-DRE!CG18</f>
        <v>-294174</v>
      </c>
      <c r="CB19" s="45">
        <f>-DRE!CH18</f>
        <v>-421280</v>
      </c>
      <c r="CC19" s="45">
        <f t="shared" si="12"/>
        <v>-715454</v>
      </c>
      <c r="CD19" s="45">
        <f>-DRE!CJ18-3</f>
        <v>25250</v>
      </c>
      <c r="CE19" s="45">
        <f t="shared" si="13"/>
        <v>-690204</v>
      </c>
      <c r="CF19" s="45">
        <f>-DRE!CL18</f>
        <v>-85329</v>
      </c>
      <c r="CG19" s="45">
        <f t="shared" ref="CG19:CG25" si="44">CF19+CE19</f>
        <v>-775533</v>
      </c>
      <c r="CH19" s="45">
        <f>-DRE!CN18</f>
        <v>-737890</v>
      </c>
      <c r="CI19" s="45">
        <f>-DRE!CO18</f>
        <v>-644044</v>
      </c>
      <c r="CJ19" s="45">
        <f>-DRE!CP18+1</f>
        <v>-1381933</v>
      </c>
      <c r="CK19" s="45">
        <f>-DRE!CQ18</f>
        <v>-201128</v>
      </c>
      <c r="CL19" s="45">
        <f>CK19+CJ19</f>
        <v>-1583061</v>
      </c>
      <c r="CM19" s="45">
        <f>-DRE!CS18</f>
        <v>-378097</v>
      </c>
      <c r="CN19" s="45">
        <f>CM19+CL19</f>
        <v>-1961158</v>
      </c>
      <c r="CO19" s="45">
        <f>-DRE!CU18</f>
        <v>-1086728</v>
      </c>
      <c r="CP19" s="45">
        <f>-DRE!CV18</f>
        <v>-723691</v>
      </c>
      <c r="CQ19" s="45">
        <f>SUM(CO19:CP19)</f>
        <v>-1810419</v>
      </c>
      <c r="CR19" s="45">
        <v>-30068</v>
      </c>
      <c r="CS19" s="45">
        <f>SUM(CQ19:CR19)</f>
        <v>-1840487</v>
      </c>
      <c r="CT19" s="45">
        <v>-376191</v>
      </c>
      <c r="CU19" s="45">
        <f>SUM(CS19:CT19)-1</f>
        <v>-2216679</v>
      </c>
      <c r="CV19" s="45">
        <f>-DRE!DB18</f>
        <v>-854871</v>
      </c>
      <c r="CW19" s="45">
        <f>-DRE!DC18</f>
        <v>-685770</v>
      </c>
      <c r="CX19" s="45">
        <f>SUM(CV19:CW19)</f>
        <v>-1540641</v>
      </c>
      <c r="CY19" s="45">
        <f>-DRE!DE18</f>
        <v>-452533</v>
      </c>
      <c r="CZ19" s="45">
        <f>SUM(CX19:CY19)</f>
        <v>-1993174</v>
      </c>
      <c r="DA19" s="45">
        <f>-DRE!DG18</f>
        <v>72709</v>
      </c>
      <c r="DB19" s="45">
        <f t="shared" ref="DB19" si="45">SUM(CZ19:DA19)</f>
        <v>-1920465</v>
      </c>
      <c r="DC19" s="45">
        <f>-[3]DRE!DI18</f>
        <v>140763</v>
      </c>
      <c r="DD19" s="45">
        <v>-797411</v>
      </c>
      <c r="DE19" s="45">
        <f t="shared" si="15"/>
        <v>-656648</v>
      </c>
    </row>
    <row r="20" spans="1:109" x14ac:dyDescent="0.2">
      <c r="A20" s="38" t="s">
        <v>430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f>-DRE!AD40</f>
        <v>56625</v>
      </c>
      <c r="Y20" s="45">
        <v>122554</v>
      </c>
      <c r="Z20" s="45">
        <f t="shared" si="4"/>
        <v>27347</v>
      </c>
      <c r="AA20" s="45">
        <f>-DRE!AG40</f>
        <v>149901</v>
      </c>
      <c r="AB20" s="45">
        <f>AC20-AA20</f>
        <v>31551</v>
      </c>
      <c r="AC20" s="45">
        <f>-DRE!AI40</f>
        <v>181452</v>
      </c>
      <c r="AD20" s="45">
        <f>-DRE!AJ40</f>
        <v>28629</v>
      </c>
      <c r="AE20" s="45">
        <f>-DRE!AK40</f>
        <v>-3057</v>
      </c>
      <c r="AF20" s="45">
        <f>-DRE!AL40</f>
        <v>25572</v>
      </c>
      <c r="AG20" s="45">
        <f>-DRE!AM40</f>
        <v>26283</v>
      </c>
      <c r="AH20" s="45">
        <f>-DRE!AN40</f>
        <v>51855</v>
      </c>
      <c r="AI20" s="45">
        <f>-DRE!AO40</f>
        <v>62171</v>
      </c>
      <c r="AJ20" s="45">
        <f>-DRE!AP40</f>
        <v>114026</v>
      </c>
      <c r="AK20" s="45">
        <f>-DRE!AQ40</f>
        <v>68522</v>
      </c>
      <c r="AL20" s="45">
        <f>-DRE!AR40</f>
        <v>60576</v>
      </c>
      <c r="AM20" s="45">
        <f>-DRE!AS40</f>
        <v>129098</v>
      </c>
      <c r="AN20" s="45">
        <f>-DRE!AT40</f>
        <v>30830</v>
      </c>
      <c r="AO20" s="45">
        <f>-DRE!AU40</f>
        <v>159928</v>
      </c>
      <c r="AP20" s="45">
        <f>-DRE!AV40</f>
        <v>32672</v>
      </c>
      <c r="AQ20" s="45">
        <f>-DRE!AW40</f>
        <v>192600</v>
      </c>
      <c r="AR20" s="45">
        <f>-DRE!AX40</f>
        <v>41722</v>
      </c>
      <c r="AS20" s="45">
        <f>-DRE!AY40</f>
        <v>63284</v>
      </c>
      <c r="AT20" s="45">
        <f>-DRE!AZ40</f>
        <v>105006</v>
      </c>
      <c r="AU20" s="45">
        <f>-DRE!BA40</f>
        <v>40891</v>
      </c>
      <c r="AV20" s="45">
        <f>-DRE!BB40</f>
        <v>145897</v>
      </c>
      <c r="AW20" s="45">
        <f>-DRE!BC40</f>
        <v>81373</v>
      </c>
      <c r="AX20" s="45">
        <f>-DRE!BD40</f>
        <v>227270</v>
      </c>
      <c r="AY20" s="45">
        <f>-DRE!BE40</f>
        <v>86763</v>
      </c>
      <c r="AZ20" s="45">
        <f>-DRE!BF40</f>
        <v>7447</v>
      </c>
      <c r="BA20" s="45">
        <f>AZ20+AY20</f>
        <v>94210</v>
      </c>
      <c r="BB20" s="45">
        <f>-DRE!BH40</f>
        <v>-11971</v>
      </c>
      <c r="BC20" s="45">
        <f>BB20+BA20</f>
        <v>82239</v>
      </c>
      <c r="BD20" s="45">
        <f>-DRE!BJ40</f>
        <v>2694</v>
      </c>
      <c r="BE20" s="45">
        <f>BD20+BC20</f>
        <v>84933</v>
      </c>
      <c r="BF20" s="45">
        <f>-DRE!BL40</f>
        <v>70795</v>
      </c>
      <c r="BG20" s="45">
        <f>-DRE!BM40</f>
        <v>40646</v>
      </c>
      <c r="BH20" s="45">
        <f t="shared" si="28"/>
        <v>111441</v>
      </c>
      <c r="BI20" s="45">
        <f>-DRE!BO40</f>
        <v>76502</v>
      </c>
      <c r="BJ20" s="45">
        <f t="shared" si="6"/>
        <v>187943</v>
      </c>
      <c r="BK20" s="45">
        <f>-DRE!BQ40</f>
        <v>139357</v>
      </c>
      <c r="BL20" s="45">
        <f t="shared" si="7"/>
        <v>327300</v>
      </c>
      <c r="BM20" s="45">
        <f>-DRE!BS40</f>
        <v>106565</v>
      </c>
      <c r="BN20" s="45">
        <f>-DRE!BT40</f>
        <v>156072</v>
      </c>
      <c r="BO20" s="45">
        <f t="shared" si="8"/>
        <v>262637</v>
      </c>
      <c r="BP20" s="45">
        <f>-DRE!BV40</f>
        <v>121994</v>
      </c>
      <c r="BQ20" s="45">
        <f t="shared" si="20"/>
        <v>384631</v>
      </c>
      <c r="BR20" s="45">
        <f>-DRE!BX40</f>
        <v>234645</v>
      </c>
      <c r="BS20" s="45">
        <f t="shared" si="21"/>
        <v>619276</v>
      </c>
      <c r="BT20" s="45">
        <f>-DRE!BZ40</f>
        <v>160446</v>
      </c>
      <c r="BU20" s="45">
        <f>-DRE!CA40</f>
        <v>125737</v>
      </c>
      <c r="BV20" s="45">
        <f t="shared" si="9"/>
        <v>286183</v>
      </c>
      <c r="BW20" s="45">
        <f>-DRE!CC40</f>
        <v>113054</v>
      </c>
      <c r="BX20" s="45">
        <f t="shared" si="10"/>
        <v>399237</v>
      </c>
      <c r="BY20" s="45">
        <f>-DRE!CE40</f>
        <v>125029</v>
      </c>
      <c r="BZ20" s="45">
        <f t="shared" si="11"/>
        <v>524266</v>
      </c>
      <c r="CA20" s="45">
        <f>-DRE!CG40</f>
        <v>186375</v>
      </c>
      <c r="CB20" s="45">
        <f>-DRE!CH40</f>
        <v>195520</v>
      </c>
      <c r="CC20" s="45">
        <f>CB20+CA20+1</f>
        <v>381896</v>
      </c>
      <c r="CD20" s="45">
        <f>-DRE!CJ40+3</f>
        <v>183438</v>
      </c>
      <c r="CE20" s="45">
        <f t="shared" si="13"/>
        <v>565334</v>
      </c>
      <c r="CF20" s="45">
        <f>-DRE!CL40</f>
        <v>185662</v>
      </c>
      <c r="CG20" s="45">
        <f t="shared" si="44"/>
        <v>750996</v>
      </c>
      <c r="CH20" s="45">
        <f>-DRE!CN40</f>
        <v>355933</v>
      </c>
      <c r="CI20" s="45">
        <f>-DRE!CO40</f>
        <v>369274</v>
      </c>
      <c r="CJ20" s="45">
        <f>-DRE!CP40+1</f>
        <v>725208</v>
      </c>
      <c r="CK20" s="45">
        <f>-DRE!CQ40</f>
        <v>251112</v>
      </c>
      <c r="CL20" s="45">
        <f>CK20+CJ20+2</f>
        <v>976322</v>
      </c>
      <c r="CM20" s="45">
        <f>-DRE!CS40</f>
        <v>449113</v>
      </c>
      <c r="CN20" s="45">
        <f>CM20+CL20</f>
        <v>1425435</v>
      </c>
      <c r="CO20" s="45">
        <f>-DRE!CU40</f>
        <v>896185</v>
      </c>
      <c r="CP20" s="45">
        <f>-DRE!CV40</f>
        <v>619253</v>
      </c>
      <c r="CQ20" s="45">
        <f>SUM(CO20:CP20)</f>
        <v>1515438</v>
      </c>
      <c r="CR20" s="45">
        <v>256376</v>
      </c>
      <c r="CS20" s="45">
        <f>SUM(CQ20:CR20)</f>
        <v>1771814</v>
      </c>
      <c r="CT20" s="45">
        <v>465866</v>
      </c>
      <c r="CU20" s="45">
        <f>SUM(CS20:CT20)-1</f>
        <v>2237679</v>
      </c>
      <c r="CV20" s="45">
        <f>-DRE!DB40</f>
        <v>683038</v>
      </c>
      <c r="CW20" s="45">
        <f>-DRE!DC40</f>
        <v>471430</v>
      </c>
      <c r="CX20" s="45">
        <f>SUM(CV20:CW20)</f>
        <v>1154468</v>
      </c>
      <c r="CY20" s="45">
        <f>-DRE!DE40</f>
        <v>326218</v>
      </c>
      <c r="CZ20" s="45">
        <f>SUM(CX20:CY20)</f>
        <v>1480686</v>
      </c>
      <c r="DA20" s="45">
        <f>-DRE!DG40</f>
        <v>605973</v>
      </c>
      <c r="DB20" s="45">
        <f t="shared" ref="DB20" si="46">SUM(CZ20:DA20)</f>
        <v>2086659</v>
      </c>
      <c r="DC20" s="45">
        <f>-[3]DRE!DI40</f>
        <v>104012</v>
      </c>
      <c r="DD20" s="45">
        <v>203483</v>
      </c>
      <c r="DE20" s="45">
        <f t="shared" si="15"/>
        <v>307495</v>
      </c>
    </row>
    <row r="21" spans="1:109" x14ac:dyDescent="0.2">
      <c r="A21" s="38" t="s">
        <v>431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>
        <v>-1392</v>
      </c>
      <c r="CP21" s="45">
        <v>0</v>
      </c>
      <c r="CQ21" s="45">
        <v>-1392</v>
      </c>
      <c r="CR21" s="45">
        <v>14135</v>
      </c>
      <c r="CS21" s="45">
        <v>12743</v>
      </c>
      <c r="CT21" s="45">
        <v>58623</v>
      </c>
      <c r="CU21" s="45">
        <v>71366</v>
      </c>
      <c r="CV21" s="45">
        <v>56380</v>
      </c>
      <c r="CW21" s="45">
        <v>-16290</v>
      </c>
      <c r="CX21" s="45">
        <v>40090</v>
      </c>
      <c r="CY21" s="45">
        <v>55554</v>
      </c>
      <c r="CZ21" s="45">
        <v>95644</v>
      </c>
      <c r="DA21" s="45">
        <v>-66720</v>
      </c>
      <c r="DB21" s="45">
        <v>28924</v>
      </c>
      <c r="DC21" s="45">
        <f>-[3]DRE!DI26</f>
        <v>-178648</v>
      </c>
      <c r="DD21" s="45">
        <v>37090</v>
      </c>
      <c r="DE21" s="45">
        <f t="shared" si="15"/>
        <v>-141558</v>
      </c>
    </row>
    <row r="22" spans="1:109" x14ac:dyDescent="0.2">
      <c r="A22" s="38" t="s">
        <v>365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>
        <v>0</v>
      </c>
      <c r="AY22" s="45">
        <v>0</v>
      </c>
      <c r="AZ22" s="45">
        <v>1826</v>
      </c>
      <c r="BA22" s="45">
        <f>AZ22+AY22</f>
        <v>1826</v>
      </c>
      <c r="BB22" s="45">
        <v>4872</v>
      </c>
      <c r="BC22" s="45">
        <f>BB22+BA22</f>
        <v>6698</v>
      </c>
      <c r="BD22" s="45">
        <v>625</v>
      </c>
      <c r="BE22" s="45">
        <f>BD22+BC22</f>
        <v>7323</v>
      </c>
      <c r="BF22" s="45">
        <v>1609</v>
      </c>
      <c r="BG22" s="45">
        <v>576</v>
      </c>
      <c r="BH22" s="45">
        <f>BG22+BF22</f>
        <v>2185</v>
      </c>
      <c r="BI22" s="45">
        <v>295</v>
      </c>
      <c r="BJ22" s="45">
        <f>BI22+BH22</f>
        <v>2480</v>
      </c>
      <c r="BK22" s="45">
        <v>1157</v>
      </c>
      <c r="BL22" s="45">
        <f>BK22+BJ22</f>
        <v>3637</v>
      </c>
      <c r="BM22" s="45">
        <v>858</v>
      </c>
      <c r="BN22" s="45">
        <v>558</v>
      </c>
      <c r="BO22" s="45">
        <f>BN22+BM22</f>
        <v>1416</v>
      </c>
      <c r="BP22" s="45">
        <v>3590</v>
      </c>
      <c r="BQ22" s="45">
        <f>BP22+BO22</f>
        <v>5006</v>
      </c>
      <c r="BR22" s="45">
        <v>777</v>
      </c>
      <c r="BS22" s="45">
        <f>BR22+BQ22</f>
        <v>5783</v>
      </c>
      <c r="BT22" s="45">
        <v>5357</v>
      </c>
      <c r="BU22" s="45">
        <v>1194</v>
      </c>
      <c r="BV22" s="45">
        <f>BU22+BT22</f>
        <v>6551</v>
      </c>
      <c r="BW22" s="45">
        <v>2103</v>
      </c>
      <c r="BX22" s="45">
        <f>BW22+BV22</f>
        <v>8654</v>
      </c>
      <c r="BY22" s="45">
        <v>3573</v>
      </c>
      <c r="BZ22" s="45">
        <f>BY22+BX22+1</f>
        <v>12228</v>
      </c>
      <c r="CA22" s="45">
        <v>2910</v>
      </c>
      <c r="CB22" s="45">
        <v>1920</v>
      </c>
      <c r="CC22" s="45">
        <f>CB22+CA22</f>
        <v>4830</v>
      </c>
      <c r="CD22" s="45">
        <v>1216</v>
      </c>
      <c r="CE22" s="45">
        <f>CD22+CC22</f>
        <v>6046</v>
      </c>
      <c r="CF22" s="45">
        <v>2021</v>
      </c>
      <c r="CG22" s="45">
        <f>CF22+CE22</f>
        <v>8067</v>
      </c>
      <c r="CH22" s="45">
        <v>5593</v>
      </c>
      <c r="CI22" s="45">
        <v>2707</v>
      </c>
      <c r="CJ22" s="45">
        <f>CH22+CI22-519</f>
        <v>7781</v>
      </c>
      <c r="CK22" s="45">
        <v>872</v>
      </c>
      <c r="CL22" s="45">
        <v>8653</v>
      </c>
      <c r="CM22" s="45">
        <v>4128</v>
      </c>
      <c r="CN22" s="45">
        <f>CM22+CL22</f>
        <v>12781</v>
      </c>
      <c r="CO22" s="45">
        <v>327</v>
      </c>
      <c r="CP22" s="45">
        <v>2186</v>
      </c>
      <c r="CQ22" s="45">
        <f>SUM(CO22:CP22)</f>
        <v>2513</v>
      </c>
      <c r="CR22" s="45">
        <v>1334</v>
      </c>
      <c r="CS22" s="45">
        <f>SUM(CQ22:CR22)</f>
        <v>3847</v>
      </c>
      <c r="CT22" s="45">
        <v>1964</v>
      </c>
      <c r="CU22" s="45">
        <f>SUM(CS22:CT22)</f>
        <v>5811</v>
      </c>
      <c r="CV22" s="45">
        <v>4191</v>
      </c>
      <c r="CW22" s="45">
        <f>CX22-CV22</f>
        <v>22162</v>
      </c>
      <c r="CX22" s="45">
        <f>26470-117</f>
        <v>26353</v>
      </c>
      <c r="CY22" s="45">
        <f>CZ22-CX22</f>
        <v>5331</v>
      </c>
      <c r="CZ22" s="45">
        <f>31684</f>
        <v>31684</v>
      </c>
      <c r="DA22" s="45">
        <f>DB22-CZ22</f>
        <v>2173</v>
      </c>
      <c r="DB22" s="45">
        <v>33857</v>
      </c>
      <c r="DC22" s="45">
        <v>7340</v>
      </c>
      <c r="DD22" s="45">
        <v>9178</v>
      </c>
      <c r="DE22" s="45">
        <f t="shared" si="15"/>
        <v>16518</v>
      </c>
    </row>
    <row r="23" spans="1:109" x14ac:dyDescent="0.2">
      <c r="A23" s="38" t="s">
        <v>419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>
        <v>0</v>
      </c>
      <c r="AY23" s="45">
        <v>0</v>
      </c>
      <c r="AZ23" s="45">
        <v>0</v>
      </c>
      <c r="BA23" s="45">
        <f>AZ23+AY23</f>
        <v>0</v>
      </c>
      <c r="BB23" s="45">
        <v>0</v>
      </c>
      <c r="BC23" s="45">
        <f>BB23+BA23</f>
        <v>0</v>
      </c>
      <c r="BD23" s="45">
        <v>0</v>
      </c>
      <c r="BE23" s="45">
        <f>BD23+BC23</f>
        <v>0</v>
      </c>
      <c r="BF23" s="45">
        <v>0</v>
      </c>
      <c r="BG23" s="45">
        <v>0</v>
      </c>
      <c r="BH23" s="45">
        <f>BG23+BF23</f>
        <v>0</v>
      </c>
      <c r="BI23" s="45">
        <v>0</v>
      </c>
      <c r="BJ23" s="45">
        <f>BI23+BH23</f>
        <v>0</v>
      </c>
      <c r="BK23" s="45">
        <v>84536</v>
      </c>
      <c r="BL23" s="45">
        <f>BK23+BJ23</f>
        <v>84536</v>
      </c>
      <c r="BM23" s="45">
        <v>0</v>
      </c>
      <c r="BN23" s="45">
        <v>0</v>
      </c>
      <c r="BO23" s="45">
        <f>BN23+BM23</f>
        <v>0</v>
      </c>
      <c r="BP23" s="45">
        <v>0</v>
      </c>
      <c r="BQ23" s="45">
        <f>BP23+BO23</f>
        <v>0</v>
      </c>
      <c r="BR23" s="45">
        <v>0</v>
      </c>
      <c r="BS23" s="45">
        <f>BR23+BQ23</f>
        <v>0</v>
      </c>
      <c r="BT23" s="45">
        <v>0</v>
      </c>
      <c r="BU23" s="45">
        <v>0</v>
      </c>
      <c r="BV23" s="45">
        <f>BU23+BT23</f>
        <v>0</v>
      </c>
      <c r="BW23" s="45">
        <v>335</v>
      </c>
      <c r="BX23" s="45">
        <f>BW23+BV23</f>
        <v>335</v>
      </c>
      <c r="BY23" s="45">
        <v>90</v>
      </c>
      <c r="BZ23" s="45">
        <f>BY23+BX23</f>
        <v>425</v>
      </c>
      <c r="CA23" s="45">
        <v>191</v>
      </c>
      <c r="CB23" s="45">
        <v>48</v>
      </c>
      <c r="CC23" s="45">
        <f>CB23+CA23</f>
        <v>239</v>
      </c>
      <c r="CD23" s="45">
        <v>675</v>
      </c>
      <c r="CE23" s="45">
        <f>CD23+CC23</f>
        <v>914</v>
      </c>
      <c r="CF23" s="45">
        <v>1539</v>
      </c>
      <c r="CG23" s="45">
        <f t="shared" si="44"/>
        <v>2453</v>
      </c>
      <c r="CH23" s="45">
        <v>-334</v>
      </c>
      <c r="CI23" s="45">
        <v>437</v>
      </c>
      <c r="CJ23" s="45">
        <f>CH23+CI23+519</f>
        <v>622</v>
      </c>
      <c r="CK23" s="45">
        <v>-5</v>
      </c>
      <c r="CL23" s="45">
        <v>618</v>
      </c>
      <c r="CM23" s="45">
        <v>218</v>
      </c>
      <c r="CN23" s="45">
        <f>CM23+CL23-1</f>
        <v>835</v>
      </c>
      <c r="CO23" s="45">
        <v>38</v>
      </c>
      <c r="CP23" s="45">
        <v>14</v>
      </c>
      <c r="CQ23" s="45">
        <f>SUM(CO23:CP23)</f>
        <v>52</v>
      </c>
      <c r="CR23" s="45">
        <v>124</v>
      </c>
      <c r="CS23" s="45">
        <f t="shared" ref="CS23" si="47">SUM(CQ23:CR23)</f>
        <v>176</v>
      </c>
      <c r="CT23" s="45">
        <v>102</v>
      </c>
      <c r="CU23" s="45">
        <f t="shared" ref="CU23:CU24" si="48">SUM(CS23:CT23)</f>
        <v>278</v>
      </c>
      <c r="CV23" s="45">
        <v>117</v>
      </c>
      <c r="CW23" s="45">
        <v>0</v>
      </c>
      <c r="CX23" s="45">
        <f>CV23+CW23</f>
        <v>117</v>
      </c>
      <c r="CY23" s="45">
        <f>CZ23-CX23</f>
        <v>-962</v>
      </c>
      <c r="CZ23" s="45">
        <v>-845</v>
      </c>
      <c r="DA23" s="45">
        <f>DB23-CZ23</f>
        <v>12</v>
      </c>
      <c r="DB23" s="45">
        <v>-833</v>
      </c>
      <c r="DC23" s="45"/>
      <c r="DD23" s="45"/>
      <c r="DE23" s="45">
        <f t="shared" si="15"/>
        <v>0</v>
      </c>
    </row>
    <row r="24" spans="1:109" x14ac:dyDescent="0.2">
      <c r="A24" s="38" t="s">
        <v>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>
        <f t="shared" ref="BA24:BE25" si="49">AZ24+AY24</f>
        <v>0</v>
      </c>
      <c r="BB24" s="45"/>
      <c r="BC24" s="45">
        <f t="shared" si="49"/>
        <v>0</v>
      </c>
      <c r="BD24" s="45"/>
      <c r="BE24" s="45">
        <f t="shared" si="49"/>
        <v>0</v>
      </c>
      <c r="BF24" s="45"/>
      <c r="BG24" s="45"/>
      <c r="BH24" s="45">
        <f>BG24+BF24</f>
        <v>0</v>
      </c>
      <c r="BI24" s="45">
        <v>0</v>
      </c>
      <c r="BJ24" s="45">
        <f>BI24+BH24</f>
        <v>0</v>
      </c>
      <c r="BK24" s="45">
        <v>0</v>
      </c>
      <c r="BL24" s="45">
        <f>BK24+BJ24</f>
        <v>0</v>
      </c>
      <c r="BM24" s="45">
        <v>0</v>
      </c>
      <c r="BN24" s="45">
        <v>0</v>
      </c>
      <c r="BO24" s="45">
        <f>BN24+BM24</f>
        <v>0</v>
      </c>
      <c r="BP24" s="45">
        <v>0</v>
      </c>
      <c r="BQ24" s="45">
        <f>BP24+BO24</f>
        <v>0</v>
      </c>
      <c r="BR24" s="45">
        <v>0</v>
      </c>
      <c r="BS24" s="45">
        <f>BR24+BQ24</f>
        <v>0</v>
      </c>
      <c r="BT24" s="45">
        <v>0</v>
      </c>
      <c r="BU24" s="45">
        <v>0</v>
      </c>
      <c r="BV24" s="45">
        <f>BU24+BT24</f>
        <v>0</v>
      </c>
      <c r="BW24" s="45">
        <v>0</v>
      </c>
      <c r="BX24" s="45">
        <f>BW24+BV24</f>
        <v>0</v>
      </c>
      <c r="BY24" s="45">
        <v>36029</v>
      </c>
      <c r="BZ24" s="45">
        <f>BY24+BX24</f>
        <v>36029</v>
      </c>
      <c r="CA24" s="45">
        <v>0</v>
      </c>
      <c r="CB24" s="45">
        <v>0</v>
      </c>
      <c r="CC24" s="45">
        <f>CB24+CA24</f>
        <v>0</v>
      </c>
      <c r="CD24" s="45">
        <v>0</v>
      </c>
      <c r="CE24" s="45">
        <f>CD24+CC24</f>
        <v>0</v>
      </c>
      <c r="CF24" s="45">
        <v>0</v>
      </c>
      <c r="CG24" s="45">
        <f t="shared" si="44"/>
        <v>0</v>
      </c>
      <c r="CH24" s="45">
        <v>0</v>
      </c>
      <c r="CI24" s="45">
        <v>0</v>
      </c>
      <c r="CJ24" s="45">
        <v>0</v>
      </c>
      <c r="CK24" s="45">
        <v>0</v>
      </c>
      <c r="CL24" s="45">
        <f>CK24+CJ24</f>
        <v>0</v>
      </c>
      <c r="CM24" s="45">
        <v>0</v>
      </c>
      <c r="CN24" s="45">
        <f t="shared" ref="CN24:CN25" si="50">CM24+CL24</f>
        <v>0</v>
      </c>
      <c r="CO24" s="45">
        <v>277</v>
      </c>
      <c r="CP24" s="45">
        <v>0</v>
      </c>
      <c r="CQ24" s="45">
        <f>SUM(CO24:CP24)</f>
        <v>277</v>
      </c>
      <c r="CR24" s="45">
        <v>0</v>
      </c>
      <c r="CS24" s="45">
        <f t="shared" ref="CS24" si="51">SUM(CQ24:CR24)</f>
        <v>277</v>
      </c>
      <c r="CT24" s="45">
        <v>0</v>
      </c>
      <c r="CU24" s="45">
        <f t="shared" si="48"/>
        <v>277</v>
      </c>
      <c r="CV24" s="45">
        <v>0</v>
      </c>
      <c r="CW24" s="45">
        <v>0</v>
      </c>
      <c r="CX24" s="45">
        <f>SUM(CV24:CW24)</f>
        <v>0</v>
      </c>
      <c r="CY24" s="45">
        <v>0</v>
      </c>
      <c r="CZ24" s="45">
        <f>SUM(CX24:CY24)</f>
        <v>0</v>
      </c>
      <c r="DA24" s="45">
        <v>0</v>
      </c>
      <c r="DB24" s="45">
        <v>0</v>
      </c>
      <c r="DC24" s="45">
        <v>0</v>
      </c>
      <c r="DD24" s="45">
        <v>0</v>
      </c>
      <c r="DE24" s="45">
        <f t="shared" si="15"/>
        <v>0</v>
      </c>
    </row>
    <row r="25" spans="1:109" x14ac:dyDescent="0.2">
      <c r="A25" s="38" t="s">
        <v>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>
        <v>0</v>
      </c>
      <c r="AY25" s="45">
        <v>0</v>
      </c>
      <c r="AZ25" s="45">
        <v>0</v>
      </c>
      <c r="BA25" s="45">
        <f t="shared" si="49"/>
        <v>0</v>
      </c>
      <c r="BB25" s="45">
        <v>0</v>
      </c>
      <c r="BC25" s="45">
        <f t="shared" si="49"/>
        <v>0</v>
      </c>
      <c r="BD25" s="45">
        <v>0</v>
      </c>
      <c r="BE25" s="45">
        <f t="shared" si="49"/>
        <v>0</v>
      </c>
      <c r="BF25" s="45">
        <v>0</v>
      </c>
      <c r="BG25" s="45">
        <v>0</v>
      </c>
      <c r="BH25" s="45">
        <f>BG25+BF25</f>
        <v>0</v>
      </c>
      <c r="BI25" s="45">
        <v>0</v>
      </c>
      <c r="BJ25" s="45">
        <f>BI25+BH25</f>
        <v>0</v>
      </c>
      <c r="BK25" s="45">
        <v>0</v>
      </c>
      <c r="BL25" s="45">
        <f>BK25+BJ25</f>
        <v>0</v>
      </c>
      <c r="BM25" s="45">
        <v>0</v>
      </c>
      <c r="BN25" s="45">
        <v>0</v>
      </c>
      <c r="BO25" s="45">
        <f>BN25+BM25</f>
        <v>0</v>
      </c>
      <c r="BP25" s="45">
        <v>0</v>
      </c>
      <c r="BQ25" s="45">
        <f>BP25+BO25</f>
        <v>0</v>
      </c>
      <c r="BR25" s="45">
        <v>0</v>
      </c>
      <c r="BS25" s="45">
        <f>BR25+BQ25</f>
        <v>0</v>
      </c>
      <c r="BT25" s="45">
        <v>0</v>
      </c>
      <c r="BU25" s="45">
        <v>0</v>
      </c>
      <c r="BV25" s="45">
        <f>BU25+BT25</f>
        <v>0</v>
      </c>
      <c r="BW25" s="45">
        <v>0</v>
      </c>
      <c r="BX25" s="45">
        <f>BW25+BV25</f>
        <v>0</v>
      </c>
      <c r="BY25" s="45">
        <v>19466</v>
      </c>
      <c r="BZ25" s="45">
        <f>BY25+BX25</f>
        <v>19466</v>
      </c>
      <c r="CA25" s="45">
        <v>0</v>
      </c>
      <c r="CB25" s="45">
        <v>0</v>
      </c>
      <c r="CC25" s="45">
        <f>CB25+CA25</f>
        <v>0</v>
      </c>
      <c r="CD25" s="45">
        <v>0</v>
      </c>
      <c r="CE25" s="45">
        <f>CD25+CC25</f>
        <v>0</v>
      </c>
      <c r="CF25" s="45">
        <v>0</v>
      </c>
      <c r="CG25" s="45">
        <f t="shared" si="44"/>
        <v>0</v>
      </c>
      <c r="CH25" s="45">
        <v>0</v>
      </c>
      <c r="CI25" s="45">
        <v>0</v>
      </c>
      <c r="CJ25" s="45">
        <v>0</v>
      </c>
      <c r="CK25" s="45">
        <v>0</v>
      </c>
      <c r="CL25" s="45">
        <f>CK25+CJ25</f>
        <v>0</v>
      </c>
      <c r="CM25" s="45">
        <v>0</v>
      </c>
      <c r="CN25" s="45">
        <f t="shared" si="50"/>
        <v>0</v>
      </c>
      <c r="CO25" s="45">
        <v>0</v>
      </c>
      <c r="CP25" s="45"/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/>
      <c r="CX25" s="45">
        <v>0</v>
      </c>
      <c r="CY25" s="45">
        <v>0</v>
      </c>
      <c r="CZ25" s="45">
        <v>0</v>
      </c>
      <c r="DA25" s="45">
        <v>0</v>
      </c>
      <c r="DB25" s="45">
        <v>0</v>
      </c>
      <c r="DC25" s="45">
        <v>0</v>
      </c>
      <c r="DD25" s="45">
        <v>0</v>
      </c>
      <c r="DE25" s="45">
        <f t="shared" si="15"/>
        <v>0</v>
      </c>
    </row>
    <row r="26" spans="1:109" x14ac:dyDescent="0.2">
      <c r="A26" s="38" t="s">
        <v>361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>
        <v>0</v>
      </c>
      <c r="BY26" s="45">
        <v>0</v>
      </c>
      <c r="BZ26" s="45">
        <v>0</v>
      </c>
      <c r="CA26" s="45">
        <v>0</v>
      </c>
      <c r="CB26" s="45">
        <v>0</v>
      </c>
      <c r="CC26" s="45">
        <v>0</v>
      </c>
      <c r="CD26" s="45">
        <v>0</v>
      </c>
      <c r="CE26" s="45">
        <v>0</v>
      </c>
      <c r="CF26" s="45">
        <v>0</v>
      </c>
      <c r="CG26" s="45">
        <v>0</v>
      </c>
      <c r="CH26" s="45">
        <v>0</v>
      </c>
      <c r="CI26" s="45">
        <v>0</v>
      </c>
      <c r="CJ26" s="45">
        <v>0</v>
      </c>
      <c r="CK26" s="45">
        <f>-CK14</f>
        <v>8909</v>
      </c>
      <c r="CL26" s="45">
        <f>-CL14</f>
        <v>8909</v>
      </c>
      <c r="CM26" s="45">
        <v>5923</v>
      </c>
      <c r="CN26" s="45">
        <f>SUM(CL26:CM26)</f>
        <v>14832</v>
      </c>
      <c r="CO26" s="45">
        <f>-CO14</f>
        <v>7039</v>
      </c>
      <c r="CP26" s="45">
        <f>-CP14</f>
        <v>9356</v>
      </c>
      <c r="CQ26" s="45">
        <f>SUM(CO26:CP26)</f>
        <v>16395</v>
      </c>
      <c r="CR26" s="45">
        <v>53</v>
      </c>
      <c r="CS26" s="45">
        <f>SUM(CQ26:CR26)-1</f>
        <v>16447</v>
      </c>
      <c r="CT26" s="45">
        <v>102638</v>
      </c>
      <c r="CU26" s="45">
        <f>SUM(CS26:CT26)-1</f>
        <v>119084</v>
      </c>
      <c r="CV26" s="45">
        <v>6032</v>
      </c>
      <c r="CW26" s="45">
        <f>-CW14</f>
        <v>5567</v>
      </c>
      <c r="CX26" s="45">
        <f>SUM(CV26:CW26)</f>
        <v>11599</v>
      </c>
      <c r="CY26" s="45">
        <f>CZ26-CX26</f>
        <v>8714</v>
      </c>
      <c r="CZ26" s="45">
        <v>20313</v>
      </c>
      <c r="DA26" s="45">
        <f>DB26-CZ26</f>
        <v>5833</v>
      </c>
      <c r="DB26" s="45">
        <v>26146</v>
      </c>
      <c r="DC26" s="45"/>
      <c r="DD26" s="45"/>
      <c r="DE26" s="45">
        <f t="shared" si="15"/>
        <v>0</v>
      </c>
    </row>
    <row r="27" spans="1:109" ht="10.5" x14ac:dyDescent="0.25">
      <c r="A27" s="134" t="s">
        <v>368</v>
      </c>
      <c r="B27" s="47">
        <f t="shared" ref="B27:AG27" si="52">SUM(B18:B20)</f>
        <v>91810</v>
      </c>
      <c r="C27" s="47">
        <f t="shared" si="52"/>
        <v>-22384</v>
      </c>
      <c r="D27" s="47">
        <f t="shared" si="52"/>
        <v>69426</v>
      </c>
      <c r="E27" s="47">
        <f t="shared" si="52"/>
        <v>-53742</v>
      </c>
      <c r="F27" s="47">
        <f t="shared" si="52"/>
        <v>15684</v>
      </c>
      <c r="G27" s="47">
        <f t="shared" si="52"/>
        <v>53980</v>
      </c>
      <c r="H27" s="47">
        <f t="shared" si="52"/>
        <v>69664</v>
      </c>
      <c r="I27" s="47">
        <f t="shared" si="52"/>
        <v>-2028</v>
      </c>
      <c r="J27" s="47">
        <f t="shared" si="52"/>
        <v>75524</v>
      </c>
      <c r="K27" s="47">
        <f t="shared" si="52"/>
        <v>73496</v>
      </c>
      <c r="L27" s="47">
        <f t="shared" si="52"/>
        <v>72690</v>
      </c>
      <c r="M27" s="47">
        <f t="shared" si="52"/>
        <v>146186</v>
      </c>
      <c r="N27" s="47">
        <f t="shared" si="52"/>
        <v>58153</v>
      </c>
      <c r="O27" s="47">
        <f t="shared" si="52"/>
        <v>204339</v>
      </c>
      <c r="P27" s="47">
        <f t="shared" si="52"/>
        <v>61597</v>
      </c>
      <c r="Q27" s="47">
        <f t="shared" si="52"/>
        <v>68466</v>
      </c>
      <c r="R27" s="47">
        <f t="shared" si="52"/>
        <v>130063</v>
      </c>
      <c r="S27" s="47">
        <f t="shared" si="52"/>
        <v>118876</v>
      </c>
      <c r="T27" s="47">
        <f t="shared" si="52"/>
        <v>248939</v>
      </c>
      <c r="U27" s="47">
        <f t="shared" si="52"/>
        <v>76936</v>
      </c>
      <c r="V27" s="47">
        <f t="shared" si="52"/>
        <v>325875</v>
      </c>
      <c r="W27" s="47">
        <f t="shared" si="52"/>
        <v>96371</v>
      </c>
      <c r="X27" s="47">
        <f t="shared" si="52"/>
        <v>62837</v>
      </c>
      <c r="Y27" s="47">
        <f t="shared" si="52"/>
        <v>155765</v>
      </c>
      <c r="Z27" s="47">
        <f t="shared" si="52"/>
        <v>55461</v>
      </c>
      <c r="AA27" s="47">
        <f t="shared" si="52"/>
        <v>211226</v>
      </c>
      <c r="AB27" s="47">
        <f t="shared" si="52"/>
        <v>79082</v>
      </c>
      <c r="AC27" s="47">
        <f t="shared" si="52"/>
        <v>290308</v>
      </c>
      <c r="AD27" s="47">
        <f t="shared" si="52"/>
        <v>83686</v>
      </c>
      <c r="AE27" s="47">
        <f t="shared" si="52"/>
        <v>38642</v>
      </c>
      <c r="AF27" s="47">
        <f t="shared" si="52"/>
        <v>122328</v>
      </c>
      <c r="AG27" s="47">
        <f t="shared" si="52"/>
        <v>36707</v>
      </c>
      <c r="AH27" s="47">
        <f t="shared" ref="AH27:AY27" si="53">SUM(AH18:AH20)</f>
        <v>159035</v>
      </c>
      <c r="AI27" s="47">
        <f t="shared" si="53"/>
        <v>74695</v>
      </c>
      <c r="AJ27" s="47">
        <f t="shared" si="53"/>
        <v>233730</v>
      </c>
      <c r="AK27" s="47">
        <f t="shared" si="53"/>
        <v>77940</v>
      </c>
      <c r="AL27" s="47">
        <f t="shared" si="53"/>
        <v>88102</v>
      </c>
      <c r="AM27" s="47">
        <f t="shared" si="53"/>
        <v>166042</v>
      </c>
      <c r="AN27" s="47">
        <f t="shared" si="53"/>
        <v>60523</v>
      </c>
      <c r="AO27" s="47">
        <f t="shared" si="53"/>
        <v>226565</v>
      </c>
      <c r="AP27" s="47">
        <f t="shared" si="53"/>
        <v>93581</v>
      </c>
      <c r="AQ27" s="47">
        <f t="shared" si="53"/>
        <v>320146</v>
      </c>
      <c r="AR27" s="47">
        <f t="shared" si="53"/>
        <v>49799</v>
      </c>
      <c r="AS27" s="47">
        <f t="shared" si="53"/>
        <v>93221</v>
      </c>
      <c r="AT27" s="47">
        <f t="shared" si="53"/>
        <v>143020</v>
      </c>
      <c r="AU27" s="47">
        <f t="shared" si="53"/>
        <v>44882</v>
      </c>
      <c r="AV27" s="47">
        <f t="shared" si="53"/>
        <v>187902</v>
      </c>
      <c r="AW27" s="47">
        <f t="shared" si="53"/>
        <v>151839</v>
      </c>
      <c r="AX27" s="47">
        <f t="shared" si="53"/>
        <v>339741</v>
      </c>
      <c r="AY27" s="47">
        <f t="shared" si="53"/>
        <v>48351</v>
      </c>
      <c r="AZ27" s="47">
        <f t="shared" ref="AZ27:CC27" si="54">SUM(AZ18:AZ26)</f>
        <v>16805</v>
      </c>
      <c r="BA27" s="47">
        <f t="shared" si="54"/>
        <v>65156</v>
      </c>
      <c r="BB27" s="47">
        <f t="shared" si="54"/>
        <v>24004</v>
      </c>
      <c r="BC27" s="47">
        <f t="shared" si="54"/>
        <v>89160</v>
      </c>
      <c r="BD27" s="47">
        <f t="shared" si="54"/>
        <v>159948</v>
      </c>
      <c r="BE27" s="47">
        <f t="shared" si="54"/>
        <v>249108</v>
      </c>
      <c r="BF27" s="47">
        <f t="shared" si="54"/>
        <v>123472</v>
      </c>
      <c r="BG27" s="47">
        <f t="shared" si="54"/>
        <v>73781</v>
      </c>
      <c r="BH27" s="47">
        <f t="shared" si="54"/>
        <v>197253</v>
      </c>
      <c r="BI27" s="47">
        <f t="shared" si="54"/>
        <v>116834</v>
      </c>
      <c r="BJ27" s="47">
        <f t="shared" si="54"/>
        <v>314087</v>
      </c>
      <c r="BK27" s="47">
        <f t="shared" si="54"/>
        <v>424498</v>
      </c>
      <c r="BL27" s="47">
        <f t="shared" si="54"/>
        <v>738585</v>
      </c>
      <c r="BM27" s="47">
        <f t="shared" si="54"/>
        <v>150502</v>
      </c>
      <c r="BN27" s="47">
        <f t="shared" si="54"/>
        <v>158788</v>
      </c>
      <c r="BO27" s="47">
        <f t="shared" si="54"/>
        <v>309290</v>
      </c>
      <c r="BP27" s="47">
        <f t="shared" si="54"/>
        <v>88298</v>
      </c>
      <c r="BQ27" s="47">
        <f t="shared" si="54"/>
        <v>397588</v>
      </c>
      <c r="BR27" s="47">
        <f t="shared" si="54"/>
        <v>272168</v>
      </c>
      <c r="BS27" s="47">
        <f t="shared" si="54"/>
        <v>669756</v>
      </c>
      <c r="BT27" s="47">
        <f t="shared" si="54"/>
        <v>228114</v>
      </c>
      <c r="BU27" s="47">
        <f t="shared" si="54"/>
        <v>110643</v>
      </c>
      <c r="BV27" s="47">
        <f t="shared" si="54"/>
        <v>338757</v>
      </c>
      <c r="BW27" s="47">
        <f t="shared" si="54"/>
        <v>179349</v>
      </c>
      <c r="BX27" s="47">
        <f t="shared" si="54"/>
        <v>518106</v>
      </c>
      <c r="BY27" s="47">
        <f t="shared" si="54"/>
        <v>277414</v>
      </c>
      <c r="BZ27" s="47">
        <f t="shared" si="54"/>
        <v>795521</v>
      </c>
      <c r="CA27" s="47">
        <f t="shared" si="54"/>
        <v>182832</v>
      </c>
      <c r="CB27" s="47">
        <f t="shared" si="54"/>
        <v>144865</v>
      </c>
      <c r="CC27" s="47">
        <f t="shared" si="54"/>
        <v>327699</v>
      </c>
      <c r="CD27" s="47">
        <f>SUM(CD18:CD26)+1</f>
        <v>234627</v>
      </c>
      <c r="CE27" s="47">
        <f>SUM(CE18:CE26)</f>
        <v>562325</v>
      </c>
      <c r="CF27" s="47">
        <f>SUM(CF18:CF26)</f>
        <v>397939</v>
      </c>
      <c r="CG27" s="47">
        <f>SUM(CG18:CG26)</f>
        <v>960263</v>
      </c>
      <c r="CH27" s="47">
        <f>SUM(CH18:CH26)</f>
        <v>272524</v>
      </c>
      <c r="CI27" s="47">
        <f>SUM(CI18:CI26)</f>
        <v>505219</v>
      </c>
      <c r="CJ27" s="47">
        <f>SUM(CJ18:CJ26)+1</f>
        <v>777746</v>
      </c>
      <c r="CK27" s="47">
        <f>SUM(CK18:CK26)</f>
        <v>330611</v>
      </c>
      <c r="CL27" s="47">
        <f>SUM(CL18:CL26)-1</f>
        <v>1108358</v>
      </c>
      <c r="CM27" s="47">
        <f>SUM(CM18:CM26)</f>
        <v>576885</v>
      </c>
      <c r="CN27" s="47">
        <f>SUM(CN18:CN26)-1</f>
        <v>1685247</v>
      </c>
      <c r="CO27" s="47">
        <f>SUM(CO18:CO26)</f>
        <v>1258042</v>
      </c>
      <c r="CP27" s="47">
        <f>SUM(CP18:CP26)</f>
        <v>820260</v>
      </c>
      <c r="CQ27" s="47">
        <f>SUM(CQ18:CQ26)</f>
        <v>2078300</v>
      </c>
      <c r="CR27" s="47">
        <f>SUM(CR18:CR26)</f>
        <v>391893</v>
      </c>
      <c r="CS27" s="47">
        <f>SUM(CS18:CS26)-1</f>
        <v>2470193</v>
      </c>
      <c r="CT27" s="47">
        <f>SUM(CT18:CT26)</f>
        <v>648251</v>
      </c>
      <c r="CU27" s="47">
        <f>SUM(CU18:CU26)</f>
        <v>3118442</v>
      </c>
      <c r="CV27" s="47">
        <f>SUM(CV18:CV26)</f>
        <v>989955</v>
      </c>
      <c r="CW27" s="47">
        <f>SUM(CW18:CW26)</f>
        <v>553454</v>
      </c>
      <c r="CX27" s="47">
        <f>SUM(CX18:CX26)</f>
        <v>1543410</v>
      </c>
      <c r="CY27" s="47">
        <f>SUM(CY18:CY26)+1</f>
        <v>491913</v>
      </c>
      <c r="CZ27" s="47">
        <f>SUM(CZ18:CZ26)+1</f>
        <v>2035322</v>
      </c>
      <c r="DA27" s="47">
        <f>SUM(DA18:DA26)</f>
        <v>673376</v>
      </c>
      <c r="DB27" s="47">
        <f>SUM(DB18:DB26)</f>
        <v>2708699</v>
      </c>
      <c r="DC27" s="47">
        <f>SUM(DC18:DC26)</f>
        <v>704223</v>
      </c>
      <c r="DD27" s="47">
        <f>SUM(DD18:DD26)</f>
        <v>258100</v>
      </c>
      <c r="DE27" s="47">
        <f>SUM(DC27:DD27)</f>
        <v>962323</v>
      </c>
    </row>
    <row r="28" spans="1:109" ht="10.5" x14ac:dyDescent="0.25">
      <c r="A28" s="135" t="s">
        <v>418</v>
      </c>
      <c r="B28" s="48">
        <f t="shared" ref="B28:W28" si="55">B27/B7</f>
        <v>0.44890036279715628</v>
      </c>
      <c r="C28" s="48">
        <f t="shared" si="55"/>
        <v>-0.18562377682688161</v>
      </c>
      <c r="D28" s="48">
        <f t="shared" si="55"/>
        <v>0.21354618436836764</v>
      </c>
      <c r="E28" s="48">
        <f t="shared" si="55"/>
        <v>-0.5394212528480663</v>
      </c>
      <c r="F28" s="48">
        <f t="shared" si="55"/>
        <v>3.6926206446782614E-2</v>
      </c>
      <c r="G28" s="48">
        <f t="shared" si="55"/>
        <v>0.3307172483932827</v>
      </c>
      <c r="H28" s="48">
        <f t="shared" si="55"/>
        <v>0.1184842506292945</v>
      </c>
      <c r="I28" s="48">
        <f t="shared" si="55"/>
        <v>-1.1445664136354658E-2</v>
      </c>
      <c r="J28" s="48">
        <f t="shared" si="55"/>
        <v>0.36587539967057453</v>
      </c>
      <c r="K28" s="48">
        <f t="shared" si="55"/>
        <v>0.19159291458661906</v>
      </c>
      <c r="L28" s="48">
        <f t="shared" si="55"/>
        <v>0.33066460446708823</v>
      </c>
      <c r="M28" s="48">
        <f t="shared" si="55"/>
        <v>0.24225641535542353</v>
      </c>
      <c r="N28" s="48">
        <f t="shared" si="55"/>
        <v>0.20384677402393456</v>
      </c>
      <c r="O28" s="48">
        <f t="shared" si="55"/>
        <v>0.22992687177975341</v>
      </c>
      <c r="P28" s="48">
        <f t="shared" si="55"/>
        <v>0.31382688751101762</v>
      </c>
      <c r="Q28" s="48">
        <f t="shared" si="55"/>
        <v>0.3258671895823021</v>
      </c>
      <c r="R28" s="48">
        <f t="shared" si="55"/>
        <v>0.32005187250388184</v>
      </c>
      <c r="S28" s="48">
        <f t="shared" si="55"/>
        <v>0.43120697034989591</v>
      </c>
      <c r="T28" s="48">
        <f t="shared" si="55"/>
        <v>0.36497948136755698</v>
      </c>
      <c r="U28" s="48">
        <f t="shared" si="55"/>
        <v>0.23776720842334281</v>
      </c>
      <c r="V28" s="48">
        <f t="shared" si="55"/>
        <v>0.32404737281731039</v>
      </c>
      <c r="W28" s="48">
        <f t="shared" si="55"/>
        <v>0.29669595522360487</v>
      </c>
      <c r="X28" s="48">
        <f>X27/DRE!AD9</f>
        <v>0.2763535770673633</v>
      </c>
      <c r="Y28" s="48">
        <f>Y27/DRE!AE9</f>
        <v>0.32261438504124718</v>
      </c>
      <c r="Z28" s="48">
        <f>Z27/DRE!AF9</f>
        <v>0.25173958631207705</v>
      </c>
      <c r="AA28" s="48">
        <f>AA27/DRE!AG9</f>
        <v>0.3004073203893437</v>
      </c>
      <c r="AB28" s="48">
        <f>AB27/DRE!AH9</f>
        <v>0.28115045506257108</v>
      </c>
      <c r="AC28" s="48">
        <f>AC27/DRE!AI9</f>
        <v>0.29490497880968536</v>
      </c>
      <c r="AD28" s="48">
        <f>AD27/DRE!AJ9</f>
        <v>0.33795456839979809</v>
      </c>
      <c r="AE28" s="48">
        <f>AE27/DRE!AK9</f>
        <v>0.1528415023890137</v>
      </c>
      <c r="AF28" s="48">
        <f>AF27/DRE!AL9</f>
        <v>0.24443649602656814</v>
      </c>
      <c r="AG28" s="48">
        <f>AG27/DRE!AM9</f>
        <v>0.17149838579311052</v>
      </c>
      <c r="AH28" s="48">
        <f>AH27/DRE!AN9</f>
        <v>0.22258658672108342</v>
      </c>
      <c r="AI28" s="48">
        <f>AI27/DRE!AO9</f>
        <v>0.23288188014042438</v>
      </c>
      <c r="AJ28" s="48">
        <f>AJ27/DRE!AP9</f>
        <v>0.22577635071694352</v>
      </c>
      <c r="AK28" s="48">
        <f>AK27/DRE!AQ9</f>
        <v>0.30376609153516071</v>
      </c>
      <c r="AL28" s="48">
        <f>AL27/DRE!AR9</f>
        <v>0.24087050428553852</v>
      </c>
      <c r="AM28" s="48">
        <f>AM27/DRE!AS9</f>
        <v>0.266800997519057</v>
      </c>
      <c r="AN28" s="48">
        <f>AN27/DRE!AT9</f>
        <v>0.20331290899074186</v>
      </c>
      <c r="AO28" s="48">
        <f>AO27/DRE!AU9</f>
        <v>0.24625880951449303</v>
      </c>
      <c r="AP28" s="48">
        <f>AP27/DRE!AV9</f>
        <v>0.22496730580610419</v>
      </c>
      <c r="AQ28" s="48">
        <f>AQ27/DRE!AW9</f>
        <v>0.23962952206729921</v>
      </c>
      <c r="AR28" s="48">
        <f>AR27/DRE!AX9</f>
        <v>0.18444415637326617</v>
      </c>
      <c r="AS28" s="48">
        <f>AS27/DRE!AY9</f>
        <v>0.23719994096782238</v>
      </c>
      <c r="AT28" s="48">
        <f>AT27/DRE!AZ9</f>
        <v>0.21571611505864999</v>
      </c>
      <c r="AU28" s="48">
        <f>AU27/DRE!BA9</f>
        <v>0.16853924145700339</v>
      </c>
      <c r="AV28" s="48">
        <f>AV27/DRE!BB9</f>
        <v>0.20219713526618394</v>
      </c>
      <c r="AW28" s="48">
        <f>AW27/DRE!BC9</f>
        <v>0.27484659245180559</v>
      </c>
      <c r="AX28" s="48">
        <f>AX27/DRE!BD9</f>
        <v>0.22928346260606539</v>
      </c>
      <c r="AY28" s="48">
        <f>AY27/DRE!BE9</f>
        <v>0.14474483823938833</v>
      </c>
      <c r="AZ28" s="48">
        <f>AZ27/DRE!BF9</f>
        <v>4.5519800639254565E-2</v>
      </c>
      <c r="BA28" s="48">
        <f>BA27/DRE!BG9</f>
        <v>9.2653397286493758E-2</v>
      </c>
      <c r="BB28" s="48">
        <f>BB27/DRE!BH9</f>
        <v>7.4198404381922101E-2</v>
      </c>
      <c r="BC28" s="48">
        <f>BC27/DRE!BI9</f>
        <v>8.6838460594467509E-2</v>
      </c>
      <c r="BD28" s="48">
        <f>BD27/DRE!BJ9</f>
        <v>0.27806839577129089</v>
      </c>
      <c r="BE28" s="48">
        <f>BE27/DRE!BK9</f>
        <v>0.15550346609902338</v>
      </c>
      <c r="BF28" s="48">
        <f>BF27/DRE!BL9</f>
        <v>0.35304848583625703</v>
      </c>
      <c r="BG28" s="48">
        <f>BG27/DRE!BM9</f>
        <v>0.21509993936001492</v>
      </c>
      <c r="BH28" s="48">
        <f>BH27/DRE!BN9</f>
        <v>0.28474360473425059</v>
      </c>
      <c r="BI28" s="48">
        <f>BI27/DRE!BO9</f>
        <v>0.25421519755780736</v>
      </c>
      <c r="BJ28" s="48">
        <f>BJ27/DRE!BP9</f>
        <v>0.27256783236688231</v>
      </c>
      <c r="BK28" s="48">
        <f>BK27/DRE!BQ9</f>
        <v>0.6015036954747438</v>
      </c>
      <c r="BL28" s="48">
        <f>BL27/DRE!BR9</f>
        <v>0.39750459351558137</v>
      </c>
      <c r="BM28" s="48">
        <f>BM27/DRE!BS9</f>
        <v>0.3555470508886196</v>
      </c>
      <c r="BN28" s="48">
        <f>BN27/DRE!BT9</f>
        <v>0.3419148679609309</v>
      </c>
      <c r="BO28" s="48">
        <f>BO27/DRE!BU9</f>
        <v>0.34841529562185636</v>
      </c>
      <c r="BP28" s="48">
        <f>BP27/DRE!BV9</f>
        <v>0.2161777055264891</v>
      </c>
      <c r="BQ28" s="48">
        <f>BQ27/DRE!BW9</f>
        <v>0.30674394131570581</v>
      </c>
      <c r="BR28" s="48">
        <f>BR27/DRE!BX9</f>
        <v>0.33893011515265481</v>
      </c>
      <c r="BS28" s="48">
        <f>BS27/DRE!BY9</f>
        <v>0.31905646832067996</v>
      </c>
      <c r="BT28" s="48">
        <f>BT27/DRE!BZ9</f>
        <v>0.36861964374879813</v>
      </c>
      <c r="BU28" s="48">
        <f>BU27/DRE!CA9</f>
        <v>0.26786310881280595</v>
      </c>
      <c r="BV28" s="48">
        <f>BV27/DRE!CB9</f>
        <v>0.32828758076192155</v>
      </c>
      <c r="BW28" s="48">
        <f>BW27/DRE!CC9</f>
        <v>0.26186043863145586</v>
      </c>
      <c r="BX28" s="48">
        <f>BX27/DRE!CD9</f>
        <v>0.30178693541566431</v>
      </c>
      <c r="BY28" s="48">
        <f>BY27/DRE!CE9</f>
        <v>0.33867693145373462</v>
      </c>
      <c r="BZ28" s="48">
        <f>BZ27/DRE!CF9</f>
        <v>0.31370299754919839</v>
      </c>
      <c r="CA28" s="48">
        <f>CA27/DRE!CG9</f>
        <v>0.28900213710340295</v>
      </c>
      <c r="CB28" s="48">
        <f>CB27/DRE!CH9</f>
        <v>0.25747872932251981</v>
      </c>
      <c r="CC28" s="48">
        <f>CC27/DRE!CI9</f>
        <v>0.27416522416442934</v>
      </c>
      <c r="CD28" s="48">
        <f>CD27/DRE!CJ9</f>
        <v>0.30215307585023893</v>
      </c>
      <c r="CE28" s="48">
        <f>CE27/DRE!CK9</f>
        <v>0.28518677051879066</v>
      </c>
      <c r="CF28" s="48">
        <f>CF27/DRE!CL9</f>
        <v>0.3534816170265685</v>
      </c>
      <c r="CG28" s="48">
        <f>CG27/DRE!CM9</f>
        <v>0.31000756404987562</v>
      </c>
      <c r="CH28" s="48">
        <f>CH27/DRE!CN9</f>
        <v>0.32933811888965425</v>
      </c>
      <c r="CI28" s="48">
        <f>CI27/DRE!CO9</f>
        <v>0.48399439384664317</v>
      </c>
      <c r="CJ28" s="48">
        <f>CJ27/DRE!CP9</f>
        <v>0.41560846942543406</v>
      </c>
      <c r="CK28" s="48">
        <f>CK27/DRE!CQ9</f>
        <v>0.35082966438836594</v>
      </c>
      <c r="CL28" s="48">
        <f>CL27/DRE!CR9</f>
        <v>0.39391365415316726</v>
      </c>
      <c r="CM28" s="48">
        <f>CM27/DRE!CS9</f>
        <v>0.37230420929603697</v>
      </c>
      <c r="CN28" s="48">
        <f>CN27/DRE!CT9</f>
        <v>0.38624017638390085</v>
      </c>
      <c r="CO28" s="48">
        <f>CO27/DRE!CU9</f>
        <v>0.52220912822628751</v>
      </c>
      <c r="CP28" s="48">
        <f>CP27/DRE!CV9</f>
        <v>0.49268060630959848</v>
      </c>
      <c r="CQ28" s="48">
        <f>CQ27/DRE!CW9</f>
        <v>0.51014133882707502</v>
      </c>
      <c r="CR28" s="48">
        <f>CR27/DRE!CX9</f>
        <v>0.28962732818266873</v>
      </c>
      <c r="CS28" s="48">
        <f>CS27/DRE!CY9</f>
        <v>0.45516194391663706</v>
      </c>
      <c r="CT28" s="48">
        <f>CT27/DRE!CZ9</f>
        <v>0.33312486831759996</v>
      </c>
      <c r="CU28" s="48">
        <f>CU27/DRE!DA9</f>
        <v>0.42295234227863321</v>
      </c>
      <c r="CV28" s="48">
        <f>CV27/DRE!DB9</f>
        <v>0.44606331232835356</v>
      </c>
      <c r="CW28" s="48">
        <f>CW27/DRE!DC9</f>
        <v>0.38316641535506935</v>
      </c>
      <c r="CX28" s="48">
        <f>CX27/DRE!DD9</f>
        <v>0.42126659200701361</v>
      </c>
      <c r="CY28" s="48">
        <f>CY27/DRE!DE9</f>
        <v>0.29846336988336025</v>
      </c>
      <c r="CZ28" s="48">
        <f>CZ27/DRE!DF9</f>
        <v>0.38316350360483814</v>
      </c>
      <c r="DA28" s="48">
        <f>DA27/DRE!DG9</f>
        <v>0.3509553894471969</v>
      </c>
      <c r="DB28" s="48">
        <f>DB27/DRE!DH9</f>
        <v>0.37461695688992158</v>
      </c>
      <c r="DC28" s="48">
        <f>DC27/[3]DRE!DI9</f>
        <v>0.35986405125621257</v>
      </c>
      <c r="DD28" s="48">
        <f>DD27/DRE!DJ9</f>
        <v>0.19095928742073265</v>
      </c>
      <c r="DE28" s="48">
        <f>DE27/DRE!DK9</f>
        <v>0.29086286852303045</v>
      </c>
    </row>
    <row r="29" spans="1:109" x14ac:dyDescent="0.2">
      <c r="X29" s="8" t="s">
        <v>420</v>
      </c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</row>
    <row r="30" spans="1:109" ht="12.5" x14ac:dyDescent="0.25">
      <c r="J30" s="136"/>
      <c r="K30" s="136"/>
      <c r="AY30" s="10"/>
      <c r="AZ30" s="10"/>
      <c r="BB30" s="10"/>
      <c r="CW30" s="217"/>
      <c r="CX30" s="217"/>
      <c r="CY30" s="10"/>
      <c r="CZ30" s="10"/>
      <c r="DA30" s="10"/>
      <c r="DB30" s="10"/>
    </row>
    <row r="31" spans="1:109" x14ac:dyDescent="0.2">
      <c r="CQ31" s="221"/>
      <c r="CW31" s="10"/>
      <c r="CX31" s="10"/>
      <c r="CZ31" s="10"/>
      <c r="DA31" s="10"/>
      <c r="DB31" s="10"/>
    </row>
    <row r="32" spans="1:109" x14ac:dyDescent="0.2">
      <c r="CZ32" s="222"/>
      <c r="DA32" s="222"/>
      <c r="DB32" s="222"/>
    </row>
  </sheetData>
  <customSheetViews>
    <customSheetView guid="{123C4F1C-4895-46DD-B59E-C96253E6CB23}" showGridLines="0" fitToPage="1" hiddenRows="1" showRuler="0">
      <selection activeCell="O18" sqref="O18"/>
      <pageMargins left="0" right="0" top="0" bottom="0" header="0" footer="0"/>
      <pageSetup paperSize="9" scale="96" orientation="landscape" blackAndWhite="1" r:id="rId1"/>
      <headerFooter alignWithMargins="0"/>
    </customSheetView>
    <customSheetView guid="{87BBC8EC-E3DC-4681-ADCF-155BFED637D3}" showGridLines="0" fitToPage="1" hiddenRows="1" showRuler="0">
      <selection activeCell="O18" sqref="O18"/>
      <pageMargins left="0" right="0" top="0" bottom="0" header="0" footer="0"/>
      <pageSetup paperSize="9" scale="96" orientation="landscape" blackAndWhite="1" r:id="rId2"/>
      <headerFooter alignWithMargins="0"/>
    </customSheetView>
    <customSheetView guid="{541190A4-AA4E-4E6C-B49E-AED913B3B1F4}" showGridLines="0" fitToPage="1" hiddenRows="1" showRuler="0">
      <selection activeCell="O18" sqref="O18"/>
      <pageMargins left="0" right="0" top="0" bottom="0" header="0" footer="0"/>
      <pageSetup paperSize="9" scale="96" orientation="landscape" blackAndWhite="1" r:id="rId3"/>
      <headerFooter alignWithMargins="0"/>
    </customSheetView>
    <customSheetView guid="{2F2F03EC-AF42-4C78-9418-7B0DEBF08052}" showGridLines="0" fitToPage="1" hiddenRows="1">
      <selection activeCell="O18" sqref="O18"/>
      <pageMargins left="0" right="0" top="0" bottom="0" header="0" footer="0"/>
      <pageSetup paperSize="9" scale="96" orientation="landscape" blackAndWhite="1" r:id="rId4"/>
    </customSheetView>
  </customSheetViews>
  <mergeCells count="3">
    <mergeCell ref="A4:L4"/>
    <mergeCell ref="A2:AF2"/>
    <mergeCell ref="A3:AJ3"/>
  </mergeCells>
  <phoneticPr fontId="8" type="noConversion"/>
  <pageMargins left="0.51181102362204722" right="0.51181102362204722" top="0.78740157480314965" bottom="0.78740157480314965" header="0.31496062992125984" footer="0.31496062992125984"/>
  <pageSetup paperSize="9" scale="40" orientation="landscape" blackAndWhite="1" r:id="rId5"/>
  <ignoredErrors>
    <ignoredError sqref="DA19:DA20" formula="1"/>
  </ignoredErrors>
  <drawing r:id="rId6"/>
  <legacy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593C"/>
  </sheetPr>
  <dimension ref="A1:DF27"/>
  <sheetViews>
    <sheetView showGridLines="0" workbookViewId="0">
      <pane xSplit="2" ySplit="6" topLeftCell="CU7" activePane="bottomRight" state="frozen"/>
      <selection pane="topRight" activeCell="D1" sqref="D1"/>
      <selection pane="bottomLeft" activeCell="A9" sqref="A9"/>
      <selection pane="bottomRight" activeCell="DA38" sqref="DA38"/>
    </sheetView>
  </sheetViews>
  <sheetFormatPr defaultColWidth="9.1796875" defaultRowHeight="10" x14ac:dyDescent="0.2"/>
  <cols>
    <col min="1" max="1" width="8.7265625" style="8" customWidth="1"/>
    <col min="2" max="2" width="33.81640625" style="8" bestFit="1" customWidth="1"/>
    <col min="3" max="4" width="8.1796875" style="8" bestFit="1" customWidth="1"/>
    <col min="5" max="7" width="9.1796875" style="8"/>
    <col min="8" max="8" width="8.1796875" style="8" bestFit="1" customWidth="1"/>
    <col min="9" max="9" width="9.1796875" style="8"/>
    <col min="10" max="11" width="8.1796875" style="8" bestFit="1" customWidth="1"/>
    <col min="12" max="12" width="8.54296875" style="8" customWidth="1"/>
    <col min="13" max="14" width="9.1796875" style="8"/>
    <col min="15" max="15" width="9.1796875" style="8" bestFit="1"/>
    <col min="16" max="16" width="9.1796875" style="8"/>
    <col min="17" max="17" width="8.1796875" style="8" bestFit="1" customWidth="1"/>
    <col min="18" max="27" width="9.1796875" style="8"/>
    <col min="28" max="28" width="10.1796875" style="8" bestFit="1" customWidth="1"/>
    <col min="29" max="39" width="9.1796875" style="8"/>
    <col min="40" max="40" width="9.81640625" style="8" bestFit="1" customWidth="1"/>
    <col min="41" max="86" width="9.1796875" style="8"/>
    <col min="87" max="92" width="9.1796875" style="8" customWidth="1"/>
    <col min="93" max="94" width="9.54296875" style="8" customWidth="1"/>
    <col min="95" max="95" width="9.1796875" style="8" customWidth="1"/>
    <col min="96" max="96" width="9.08984375" style="8" customWidth="1"/>
    <col min="97" max="99" width="9.1796875" style="8" customWidth="1"/>
    <col min="100" max="101" width="9.08984375" style="8" customWidth="1"/>
    <col min="102" max="103" width="9.1796875" style="8" customWidth="1"/>
    <col min="104" max="16384" width="9.1796875" style="8"/>
  </cols>
  <sheetData>
    <row r="1" spans="1:110" ht="10.5" x14ac:dyDescent="0.25">
      <c r="A1" s="39"/>
      <c r="O1" s="40"/>
      <c r="R1" s="40"/>
    </row>
    <row r="2" spans="1:110" ht="15.75" customHeight="1" x14ac:dyDescent="0.3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04"/>
      <c r="AF2" s="204"/>
      <c r="AG2" s="204"/>
      <c r="AH2" s="186"/>
      <c r="AI2" s="186"/>
      <c r="AJ2" s="186"/>
      <c r="AK2" s="186"/>
      <c r="AL2" s="186"/>
      <c r="AM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</row>
    <row r="3" spans="1:110" ht="15.75" customHeight="1" x14ac:dyDescent="0.3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04"/>
      <c r="AH3" s="204"/>
      <c r="AI3" s="204"/>
      <c r="AJ3" s="204"/>
      <c r="AK3" s="204"/>
      <c r="AL3" s="186"/>
      <c r="AM3" s="186"/>
      <c r="AO3" s="186"/>
      <c r="AQ3" s="186"/>
      <c r="AS3" s="186"/>
      <c r="AT3" s="186"/>
      <c r="AU3" s="186"/>
      <c r="AV3" s="186"/>
      <c r="AW3" s="186"/>
      <c r="AX3" s="186"/>
      <c r="AY3" s="186"/>
    </row>
    <row r="6" spans="1:110" ht="19.5" customHeight="1" x14ac:dyDescent="0.25">
      <c r="A6" s="148"/>
      <c r="B6" s="149" t="s">
        <v>369</v>
      </c>
      <c r="C6" s="150" t="s">
        <v>22</v>
      </c>
      <c r="D6" s="150" t="s">
        <v>23</v>
      </c>
      <c r="E6" s="150" t="s">
        <v>198</v>
      </c>
      <c r="F6" s="150" t="s">
        <v>24</v>
      </c>
      <c r="G6" s="150" t="s">
        <v>199</v>
      </c>
      <c r="H6" s="150" t="s">
        <v>200</v>
      </c>
      <c r="I6" s="190" t="s">
        <v>25</v>
      </c>
      <c r="J6" s="150" t="s">
        <v>26</v>
      </c>
      <c r="K6" s="150" t="s">
        <v>27</v>
      </c>
      <c r="L6" s="150" t="s">
        <v>201</v>
      </c>
      <c r="M6" s="150" t="s">
        <v>28</v>
      </c>
      <c r="N6" s="150" t="s">
        <v>202</v>
      </c>
      <c r="O6" s="150" t="s">
        <v>203</v>
      </c>
      <c r="P6" s="190" t="s">
        <v>29</v>
      </c>
      <c r="Q6" s="150" t="s">
        <v>30</v>
      </c>
      <c r="R6" s="150" t="s">
        <v>31</v>
      </c>
      <c r="S6" s="150" t="s">
        <v>204</v>
      </c>
      <c r="T6" s="150" t="s">
        <v>32</v>
      </c>
      <c r="U6" s="150" t="s">
        <v>205</v>
      </c>
      <c r="V6" s="150" t="s">
        <v>206</v>
      </c>
      <c r="W6" s="190" t="s">
        <v>33</v>
      </c>
      <c r="X6" s="150" t="s">
        <v>34</v>
      </c>
      <c r="Y6" s="150" t="s">
        <v>35</v>
      </c>
      <c r="Z6" s="150" t="s">
        <v>207</v>
      </c>
      <c r="AA6" s="150" t="s">
        <v>36</v>
      </c>
      <c r="AB6" s="150" t="s">
        <v>208</v>
      </c>
      <c r="AC6" s="150" t="s">
        <v>209</v>
      </c>
      <c r="AD6" s="190" t="s">
        <v>37</v>
      </c>
      <c r="AE6" s="150" t="s">
        <v>38</v>
      </c>
      <c r="AF6" s="150" t="s">
        <v>39</v>
      </c>
      <c r="AG6" s="150" t="s">
        <v>210</v>
      </c>
      <c r="AH6" s="150" t="s">
        <v>40</v>
      </c>
      <c r="AI6" s="150" t="s">
        <v>314</v>
      </c>
      <c r="AJ6" s="150" t="s">
        <v>212</v>
      </c>
      <c r="AK6" s="190" t="s">
        <v>41</v>
      </c>
      <c r="AL6" s="150" t="s">
        <v>42</v>
      </c>
      <c r="AM6" s="150" t="s">
        <v>43</v>
      </c>
      <c r="AN6" s="150" t="s">
        <v>353</v>
      </c>
      <c r="AO6" s="150" t="s">
        <v>44</v>
      </c>
      <c r="AP6" s="150" t="s">
        <v>370</v>
      </c>
      <c r="AQ6" s="150" t="s">
        <v>371</v>
      </c>
      <c r="AR6" s="190" t="s">
        <v>45</v>
      </c>
      <c r="AS6" s="150" t="s">
        <v>46</v>
      </c>
      <c r="AT6" s="150" t="s">
        <v>47</v>
      </c>
      <c r="AU6" s="150" t="s">
        <v>221</v>
      </c>
      <c r="AV6" s="150" t="s">
        <v>222</v>
      </c>
      <c r="AW6" s="150" t="s">
        <v>223</v>
      </c>
      <c r="AX6" s="150" t="s">
        <v>224</v>
      </c>
      <c r="AY6" s="190" t="s">
        <v>49</v>
      </c>
      <c r="AZ6" s="42" t="s">
        <v>225</v>
      </c>
      <c r="BA6" s="42" t="s">
        <v>226</v>
      </c>
      <c r="BB6" s="42" t="s">
        <v>227</v>
      </c>
      <c r="BC6" s="42" t="s">
        <v>228</v>
      </c>
      <c r="BD6" s="42" t="s">
        <v>229</v>
      </c>
      <c r="BE6" s="42" t="s">
        <v>230</v>
      </c>
      <c r="BF6" s="199" t="s">
        <v>53</v>
      </c>
      <c r="BG6" s="42" t="s">
        <v>231</v>
      </c>
      <c r="BH6" s="42" t="s">
        <v>232</v>
      </c>
      <c r="BI6" s="42" t="s">
        <v>233</v>
      </c>
      <c r="BJ6" s="42" t="s">
        <v>234</v>
      </c>
      <c r="BK6" s="42" t="s">
        <v>235</v>
      </c>
      <c r="BL6" s="42" t="s">
        <v>236</v>
      </c>
      <c r="BM6" s="199" t="s">
        <v>57</v>
      </c>
      <c r="BN6" s="42" t="s">
        <v>237</v>
      </c>
      <c r="BO6" s="42" t="s">
        <v>238</v>
      </c>
      <c r="BP6" s="42" t="s">
        <v>239</v>
      </c>
      <c r="BQ6" s="42" t="s">
        <v>240</v>
      </c>
      <c r="BR6" s="42" t="s">
        <v>241</v>
      </c>
      <c r="BS6" s="42" t="s">
        <v>242</v>
      </c>
      <c r="BT6" s="199" t="s">
        <v>61</v>
      </c>
      <c r="BU6" s="42" t="s">
        <v>243</v>
      </c>
      <c r="BV6" s="42" t="s">
        <v>244</v>
      </c>
      <c r="BW6" s="42" t="s">
        <v>245</v>
      </c>
      <c r="BX6" s="42" t="s">
        <v>246</v>
      </c>
      <c r="BY6" s="42" t="s">
        <v>247</v>
      </c>
      <c r="BZ6" s="42" t="s">
        <v>248</v>
      </c>
      <c r="CA6" s="199" t="s">
        <v>65</v>
      </c>
      <c r="CB6" s="42" t="s">
        <v>249</v>
      </c>
      <c r="CC6" s="42" t="s">
        <v>250</v>
      </c>
      <c r="CD6" s="42" t="s">
        <v>251</v>
      </c>
      <c r="CE6" s="42" t="s">
        <v>252</v>
      </c>
      <c r="CF6" s="42" t="s">
        <v>253</v>
      </c>
      <c r="CG6" s="42" t="s">
        <v>254</v>
      </c>
      <c r="CH6" s="208" t="s">
        <v>134</v>
      </c>
      <c r="CI6" s="42" t="s">
        <v>255</v>
      </c>
      <c r="CJ6" s="42" t="s">
        <v>256</v>
      </c>
      <c r="CK6" s="42" t="s">
        <v>257</v>
      </c>
      <c r="CL6" s="42" t="s">
        <v>258</v>
      </c>
      <c r="CM6" s="42" t="s">
        <v>259</v>
      </c>
      <c r="CN6" s="42" t="s">
        <v>260</v>
      </c>
      <c r="CO6" s="208" t="s">
        <v>72</v>
      </c>
      <c r="CP6" s="42" t="s">
        <v>135</v>
      </c>
      <c r="CQ6" s="42" t="s">
        <v>394</v>
      </c>
      <c r="CR6" s="42" t="s">
        <v>395</v>
      </c>
      <c r="CS6" s="42" t="s">
        <v>398</v>
      </c>
      <c r="CT6" s="42" t="s">
        <v>399</v>
      </c>
      <c r="CU6" s="42" t="s">
        <v>403</v>
      </c>
      <c r="CV6" s="208" t="s">
        <v>400</v>
      </c>
      <c r="CW6" s="42" t="s">
        <v>406</v>
      </c>
      <c r="CX6" s="42" t="s">
        <v>407</v>
      </c>
      <c r="CY6" s="42" t="s">
        <v>408</v>
      </c>
      <c r="CZ6" s="42" t="s">
        <v>415</v>
      </c>
      <c r="DA6" s="42" t="s">
        <v>416</v>
      </c>
      <c r="DB6" s="225" t="s">
        <v>423</v>
      </c>
      <c r="DC6" s="225">
        <v>2023</v>
      </c>
      <c r="DD6" s="42" t="s">
        <v>433</v>
      </c>
      <c r="DE6" s="42" t="s">
        <v>436</v>
      </c>
      <c r="DF6" s="42" t="s">
        <v>437</v>
      </c>
    </row>
    <row r="7" spans="1:110" s="137" customFormat="1" ht="10.5" x14ac:dyDescent="0.25">
      <c r="A7" s="151" t="s">
        <v>372</v>
      </c>
      <c r="B7" s="152"/>
      <c r="C7" s="153">
        <f>C8+C9</f>
        <v>45385</v>
      </c>
      <c r="D7" s="153">
        <f t="shared" ref="D7:AB7" si="0">D8+D9</f>
        <v>-511</v>
      </c>
      <c r="E7" s="153">
        <f t="shared" si="0"/>
        <v>44874</v>
      </c>
      <c r="F7" s="153">
        <f t="shared" si="0"/>
        <v>22804</v>
      </c>
      <c r="G7" s="153">
        <f t="shared" si="0"/>
        <v>67678</v>
      </c>
      <c r="H7" s="153">
        <f t="shared" si="0"/>
        <v>-23455</v>
      </c>
      <c r="I7" s="153">
        <f t="shared" si="0"/>
        <v>44223</v>
      </c>
      <c r="J7" s="153">
        <f t="shared" si="0"/>
        <v>21405</v>
      </c>
      <c r="K7" s="153">
        <f t="shared" si="0"/>
        <v>40952</v>
      </c>
      <c r="L7" s="153">
        <f t="shared" si="0"/>
        <v>62357</v>
      </c>
      <c r="M7" s="153">
        <f t="shared" si="0"/>
        <v>82386</v>
      </c>
      <c r="N7" s="153">
        <f t="shared" si="0"/>
        <v>144743</v>
      </c>
      <c r="O7" s="153">
        <f t="shared" si="0"/>
        <v>93173</v>
      </c>
      <c r="P7" s="153">
        <f t="shared" si="0"/>
        <v>237916</v>
      </c>
      <c r="Q7" s="153">
        <f t="shared" si="0"/>
        <v>47955</v>
      </c>
      <c r="R7" s="153">
        <f t="shared" si="0"/>
        <v>-39557</v>
      </c>
      <c r="S7" s="153">
        <f t="shared" si="0"/>
        <v>8398</v>
      </c>
      <c r="T7" s="153">
        <f t="shared" si="0"/>
        <v>58682</v>
      </c>
      <c r="U7" s="153">
        <f t="shared" si="0"/>
        <v>67080</v>
      </c>
      <c r="V7" s="153">
        <f t="shared" si="0"/>
        <v>256081</v>
      </c>
      <c r="W7" s="153">
        <f t="shared" si="0"/>
        <v>323161</v>
      </c>
      <c r="X7" s="153">
        <f t="shared" si="0"/>
        <v>65034</v>
      </c>
      <c r="Y7" s="153">
        <f t="shared" si="0"/>
        <v>-89523</v>
      </c>
      <c r="Z7" s="153">
        <f t="shared" si="0"/>
        <v>-24489</v>
      </c>
      <c r="AA7" s="153">
        <f t="shared" si="0"/>
        <v>41859</v>
      </c>
      <c r="AB7" s="153">
        <f t="shared" si="0"/>
        <v>17370</v>
      </c>
      <c r="AC7" s="153">
        <f t="shared" ref="AC7:AI7" si="1">AC8+AC9</f>
        <v>11294</v>
      </c>
      <c r="AD7" s="153">
        <f t="shared" si="1"/>
        <v>28664</v>
      </c>
      <c r="AE7" s="153">
        <f t="shared" si="1"/>
        <v>119827</v>
      </c>
      <c r="AF7" s="153">
        <f t="shared" si="1"/>
        <v>-42219</v>
      </c>
      <c r="AG7" s="153">
        <f t="shared" si="1"/>
        <v>77608</v>
      </c>
      <c r="AH7" s="153">
        <f t="shared" si="1"/>
        <v>-37302</v>
      </c>
      <c r="AI7" s="153">
        <f t="shared" si="1"/>
        <v>40306</v>
      </c>
      <c r="AJ7" s="153">
        <f t="shared" ref="AJ7:AP7" si="2">AJ8+AJ9</f>
        <v>-103444</v>
      </c>
      <c r="AK7" s="153">
        <f t="shared" si="2"/>
        <v>-63138</v>
      </c>
      <c r="AL7" s="153">
        <f t="shared" si="2"/>
        <v>17626</v>
      </c>
      <c r="AM7" s="153">
        <f t="shared" si="2"/>
        <v>65397</v>
      </c>
      <c r="AN7" s="153">
        <f t="shared" si="2"/>
        <v>83023</v>
      </c>
      <c r="AO7" s="153">
        <f t="shared" si="2"/>
        <v>23895</v>
      </c>
      <c r="AP7" s="153">
        <f t="shared" si="2"/>
        <v>106918</v>
      </c>
      <c r="AQ7" s="153">
        <f>AQ8+AQ9</f>
        <v>-17073</v>
      </c>
      <c r="AR7" s="153">
        <f>AR8+AR9</f>
        <v>89845</v>
      </c>
      <c r="AS7" s="153">
        <f>AS8+AS9</f>
        <v>25210</v>
      </c>
      <c r="AT7" s="153">
        <f t="shared" ref="AT7:AT12" si="3">AU7-AS7</f>
        <v>-69821</v>
      </c>
      <c r="AU7" s="153">
        <f>AU8+AU9</f>
        <v>-44611</v>
      </c>
      <c r="AV7" s="153">
        <f>AW7-AU7</f>
        <v>143403</v>
      </c>
      <c r="AW7" s="153">
        <f>AW8+AW9</f>
        <v>98792</v>
      </c>
      <c r="AX7" s="153">
        <f>AY7-AW7</f>
        <v>176040</v>
      </c>
      <c r="AY7" s="153">
        <f>AY8+AY9</f>
        <v>274832</v>
      </c>
      <c r="AZ7" s="153">
        <f>AZ8+AZ9</f>
        <v>-49754</v>
      </c>
      <c r="BA7" s="153">
        <f>BA8+BA9</f>
        <v>-55578</v>
      </c>
      <c r="BB7" s="153">
        <f t="shared" ref="BB7:CF7" si="4">BB8+BB9</f>
        <v>-105332</v>
      </c>
      <c r="BC7" s="153">
        <f>BC8+BC9</f>
        <v>-35644</v>
      </c>
      <c r="BD7" s="153">
        <f t="shared" si="4"/>
        <v>-140976</v>
      </c>
      <c r="BE7" s="153">
        <f>BE8+BE9</f>
        <v>446627</v>
      </c>
      <c r="BF7" s="153">
        <f t="shared" si="4"/>
        <v>305651</v>
      </c>
      <c r="BG7" s="153">
        <f t="shared" si="4"/>
        <v>-47615</v>
      </c>
      <c r="BH7" s="153">
        <f>BH8+BH9</f>
        <v>-144341</v>
      </c>
      <c r="BI7" s="153">
        <f t="shared" si="4"/>
        <v>-191956</v>
      </c>
      <c r="BJ7" s="153">
        <f>BJ8+BJ9</f>
        <v>299549</v>
      </c>
      <c r="BK7" s="153">
        <f t="shared" si="4"/>
        <v>107593</v>
      </c>
      <c r="BL7" s="153">
        <f>BL8+BL9</f>
        <v>264019</v>
      </c>
      <c r="BM7" s="153">
        <f t="shared" si="4"/>
        <v>371612</v>
      </c>
      <c r="BN7" s="153">
        <f t="shared" si="4"/>
        <v>97098</v>
      </c>
      <c r="BO7" s="153">
        <f>BO8+BO9</f>
        <v>69604</v>
      </c>
      <c r="BP7" s="153">
        <f t="shared" si="4"/>
        <v>166702</v>
      </c>
      <c r="BQ7" s="153">
        <f>BQ8+BQ9</f>
        <v>36768</v>
      </c>
      <c r="BR7" s="153">
        <f t="shared" si="4"/>
        <v>203470</v>
      </c>
      <c r="BS7" s="153">
        <f>BS8+BS9</f>
        <v>204039</v>
      </c>
      <c r="BT7" s="153">
        <f t="shared" si="4"/>
        <v>407509</v>
      </c>
      <c r="BU7" s="153">
        <f t="shared" si="4"/>
        <v>-82378</v>
      </c>
      <c r="BV7" s="153">
        <f>BV8+BV9</f>
        <v>-78166</v>
      </c>
      <c r="BW7" s="153">
        <f t="shared" si="4"/>
        <v>-160544</v>
      </c>
      <c r="BX7" s="153">
        <f>BX8+BX9</f>
        <v>229192</v>
      </c>
      <c r="BY7" s="153">
        <f t="shared" si="4"/>
        <v>68648</v>
      </c>
      <c r="BZ7" s="153">
        <f>BZ8+BZ9</f>
        <v>463513</v>
      </c>
      <c r="CA7" s="153">
        <f t="shared" si="4"/>
        <v>532161</v>
      </c>
      <c r="CB7" s="153">
        <f t="shared" si="4"/>
        <v>-364167</v>
      </c>
      <c r="CC7" s="153">
        <f>CC8+CC9</f>
        <v>208275</v>
      </c>
      <c r="CD7" s="153">
        <f t="shared" si="4"/>
        <v>-155892</v>
      </c>
      <c r="CE7" s="153">
        <f>CE8+CE9</f>
        <v>383020</v>
      </c>
      <c r="CF7" s="153">
        <f t="shared" si="4"/>
        <v>227128</v>
      </c>
      <c r="CG7" s="153">
        <f t="shared" ref="CG7:CL7" si="5">CG8+CG9</f>
        <v>557733</v>
      </c>
      <c r="CH7" s="153">
        <f t="shared" si="5"/>
        <v>784861</v>
      </c>
      <c r="CI7" s="153">
        <f t="shared" si="5"/>
        <v>-72034</v>
      </c>
      <c r="CJ7" s="153">
        <f t="shared" si="5"/>
        <v>38948</v>
      </c>
      <c r="CK7" s="153">
        <f t="shared" si="5"/>
        <v>-33086</v>
      </c>
      <c r="CL7" s="153">
        <f t="shared" si="5"/>
        <v>264731</v>
      </c>
      <c r="CM7" s="153">
        <f>CM8+CM9</f>
        <v>231645</v>
      </c>
      <c r="CN7" s="153">
        <f>CN8+CN9</f>
        <v>203445</v>
      </c>
      <c r="CO7" s="153">
        <f>CO8+CO9</f>
        <v>435090</v>
      </c>
      <c r="CP7" s="153">
        <f>CP8+CP9</f>
        <v>676412</v>
      </c>
      <c r="CQ7" s="153">
        <f>CQ8+CQ9</f>
        <v>58324</v>
      </c>
      <c r="CR7" s="153">
        <f t="shared" ref="CR7:CS7" si="6">CR8+CR9</f>
        <v>734736</v>
      </c>
      <c r="CS7" s="153">
        <f t="shared" si="6"/>
        <v>447376</v>
      </c>
      <c r="CT7" s="153">
        <f>CT8+CT9</f>
        <v>1182112</v>
      </c>
      <c r="CU7" s="153">
        <f t="shared" ref="CU7" si="7">CU8+CU9</f>
        <v>809665</v>
      </c>
      <c r="CV7" s="153">
        <f>CV8+CV9</f>
        <v>1991777</v>
      </c>
      <c r="CW7" s="153">
        <f>CW8+CW9</f>
        <v>1713</v>
      </c>
      <c r="CX7" s="153">
        <f>CX8+CX9</f>
        <v>177099</v>
      </c>
      <c r="CY7" s="153">
        <v>178812</v>
      </c>
      <c r="CZ7" s="153">
        <f>CZ8+CZ9</f>
        <v>746231</v>
      </c>
      <c r="DA7" s="153">
        <f>DA8+DA9</f>
        <v>925043</v>
      </c>
      <c r="DB7" s="153">
        <f t="shared" ref="DB7:DC7" si="8">DB8+DB9</f>
        <v>927776</v>
      </c>
      <c r="DC7" s="153">
        <f t="shared" si="8"/>
        <v>1852819</v>
      </c>
      <c r="DD7" s="153">
        <f>DD8+DD9</f>
        <v>-17710</v>
      </c>
      <c r="DE7" s="153">
        <f t="shared" ref="DE7:DF7" si="9">DE8+DE9</f>
        <v>77810</v>
      </c>
      <c r="DF7" s="153">
        <f>SUM(DD7:DE7)</f>
        <v>60100</v>
      </c>
    </row>
    <row r="8" spans="1:110" ht="10.5" x14ac:dyDescent="0.25">
      <c r="A8" s="154" t="s">
        <v>373</v>
      </c>
      <c r="B8" s="155"/>
      <c r="C8" s="61">
        <v>70787</v>
      </c>
      <c r="D8" s="61">
        <v>48118</v>
      </c>
      <c r="E8" s="61">
        <v>118905</v>
      </c>
      <c r="F8" s="61">
        <v>20478</v>
      </c>
      <c r="G8" s="61">
        <v>139383</v>
      </c>
      <c r="H8" s="61">
        <v>37439</v>
      </c>
      <c r="I8" s="61">
        <v>176822</v>
      </c>
      <c r="J8" s="61">
        <v>32068</v>
      </c>
      <c r="K8" s="61">
        <v>79195</v>
      </c>
      <c r="L8" s="61">
        <v>111263</v>
      </c>
      <c r="M8" s="61">
        <v>97084</v>
      </c>
      <c r="N8" s="61">
        <v>208347</v>
      </c>
      <c r="O8" s="61">
        <v>-24650</v>
      </c>
      <c r="P8" s="61">
        <v>183697</v>
      </c>
      <c r="Q8" s="156">
        <v>29002</v>
      </c>
      <c r="R8" s="156">
        <v>84456</v>
      </c>
      <c r="S8" s="156">
        <v>113458</v>
      </c>
      <c r="T8" s="156">
        <v>-14315</v>
      </c>
      <c r="U8" s="156">
        <v>99143</v>
      </c>
      <c r="V8" s="61">
        <v>111558</v>
      </c>
      <c r="W8" s="156">
        <v>210701</v>
      </c>
      <c r="X8" s="156">
        <v>74617</v>
      </c>
      <c r="Y8" s="156">
        <v>77695</v>
      </c>
      <c r="Z8" s="156">
        <f>X8+Y8</f>
        <v>152312</v>
      </c>
      <c r="AA8" s="156">
        <v>75132</v>
      </c>
      <c r="AB8" s="156">
        <v>227444</v>
      </c>
      <c r="AC8" s="156">
        <f>AD8-AB8</f>
        <v>19865</v>
      </c>
      <c r="AD8" s="156">
        <v>247309</v>
      </c>
      <c r="AE8" s="156">
        <v>90194</v>
      </c>
      <c r="AF8" s="156">
        <f>AG8-AE8</f>
        <v>18075</v>
      </c>
      <c r="AG8" s="156">
        <v>108269</v>
      </c>
      <c r="AH8" s="156">
        <f>124004-108269</f>
        <v>15735</v>
      </c>
      <c r="AI8" s="156">
        <f>SUM(AG8:AH8)</f>
        <v>124004</v>
      </c>
      <c r="AJ8" s="156">
        <f>204161-124004</f>
        <v>80157</v>
      </c>
      <c r="AK8" s="156">
        <f>SUM(AI8:AJ8)</f>
        <v>204161</v>
      </c>
      <c r="AL8" s="156">
        <v>69781</v>
      </c>
      <c r="AM8" s="156">
        <v>73245</v>
      </c>
      <c r="AN8" s="156">
        <f>AL8+AM8</f>
        <v>143026</v>
      </c>
      <c r="AO8" s="156">
        <v>51584</v>
      </c>
      <c r="AP8" s="156">
        <f>SUM(AN8:AO8)</f>
        <v>194610</v>
      </c>
      <c r="AQ8" s="156">
        <v>47433</v>
      </c>
      <c r="AR8" s="156">
        <f>SUM(AP8:AQ8)</f>
        <v>242043</v>
      </c>
      <c r="AS8" s="156">
        <v>81682</v>
      </c>
      <c r="AT8" s="156">
        <f t="shared" si="3"/>
        <v>60091</v>
      </c>
      <c r="AU8" s="156">
        <v>141773</v>
      </c>
      <c r="AV8" s="153">
        <f>AW8-AU8</f>
        <v>113532</v>
      </c>
      <c r="AW8" s="156">
        <v>255305</v>
      </c>
      <c r="AX8" s="153">
        <f>AY8-AW8</f>
        <v>112316</v>
      </c>
      <c r="AY8" s="156">
        <v>367621</v>
      </c>
      <c r="AZ8" s="156">
        <v>16670</v>
      </c>
      <c r="BA8" s="156">
        <f>BB8-AZ8</f>
        <v>-6821</v>
      </c>
      <c r="BB8" s="156">
        <v>9849</v>
      </c>
      <c r="BC8" s="156">
        <f>BD8-BB8</f>
        <v>75997</v>
      </c>
      <c r="BD8" s="156">
        <v>85846</v>
      </c>
      <c r="BE8" s="156">
        <f>BF8-BD8</f>
        <v>118622</v>
      </c>
      <c r="BF8" s="156">
        <v>204468</v>
      </c>
      <c r="BG8" s="156">
        <v>138042</v>
      </c>
      <c r="BH8" s="156">
        <f>BI8-BG8</f>
        <v>147042</v>
      </c>
      <c r="BI8" s="156">
        <v>285084</v>
      </c>
      <c r="BJ8" s="156">
        <f>BK8-BI8</f>
        <v>132378</v>
      </c>
      <c r="BK8" s="156">
        <v>417462</v>
      </c>
      <c r="BL8" s="156">
        <f>BM8-BK8</f>
        <v>266516</v>
      </c>
      <c r="BM8" s="156">
        <v>683978</v>
      </c>
      <c r="BN8" s="156">
        <v>169576</v>
      </c>
      <c r="BO8" s="156">
        <f>BP8-BN8</f>
        <v>226373</v>
      </c>
      <c r="BP8" s="156">
        <v>395949</v>
      </c>
      <c r="BQ8" s="156">
        <f>BR8-BP8</f>
        <v>114260</v>
      </c>
      <c r="BR8" s="156">
        <v>510209</v>
      </c>
      <c r="BS8" s="156">
        <f>BT8-BR8</f>
        <v>277194</v>
      </c>
      <c r="BT8" s="156">
        <v>787403</v>
      </c>
      <c r="BU8" s="156">
        <v>252030</v>
      </c>
      <c r="BV8" s="156">
        <f>BW8-BU8</f>
        <v>148153</v>
      </c>
      <c r="BW8" s="156">
        <v>400183</v>
      </c>
      <c r="BX8" s="156">
        <f>BY8-BW8</f>
        <v>200524</v>
      </c>
      <c r="BY8" s="156">
        <v>600707</v>
      </c>
      <c r="BZ8" s="156">
        <f>CA8-BY8</f>
        <v>178039</v>
      </c>
      <c r="CA8" s="156">
        <v>778746</v>
      </c>
      <c r="CB8" s="156">
        <v>278199</v>
      </c>
      <c r="CC8" s="156">
        <f>CD8-CB8</f>
        <v>190842</v>
      </c>
      <c r="CD8" s="156">
        <v>469041</v>
      </c>
      <c r="CE8" s="156">
        <f>CF8-CD8</f>
        <v>291507</v>
      </c>
      <c r="CF8" s="156">
        <v>760548</v>
      </c>
      <c r="CG8" s="156">
        <f>CH8-CF8</f>
        <v>395101</v>
      </c>
      <c r="CH8" s="156">
        <v>1155649</v>
      </c>
      <c r="CI8" s="156">
        <v>320616</v>
      </c>
      <c r="CJ8" s="156">
        <f>CK8-CI8</f>
        <v>435515</v>
      </c>
      <c r="CK8" s="156">
        <v>756131</v>
      </c>
      <c r="CL8" s="156">
        <f>CM8-CK8</f>
        <v>341408</v>
      </c>
      <c r="CM8" s="156">
        <v>1097539</v>
      </c>
      <c r="CN8" s="156">
        <f>CO8-CM8</f>
        <v>646232</v>
      </c>
      <c r="CO8" s="156">
        <v>1743771</v>
      </c>
      <c r="CP8" s="156">
        <v>1109406</v>
      </c>
      <c r="CQ8" s="156">
        <f>CR8-CP8</f>
        <v>928805</v>
      </c>
      <c r="CR8" s="156">
        <v>2038211</v>
      </c>
      <c r="CS8" s="156">
        <f>CT8-CR8</f>
        <v>417768</v>
      </c>
      <c r="CT8" s="156">
        <v>2455979</v>
      </c>
      <c r="CU8" s="156">
        <f>CV8-CT8</f>
        <v>617087</v>
      </c>
      <c r="CV8" s="156">
        <v>3073066</v>
      </c>
      <c r="CW8" s="156">
        <v>1049934</v>
      </c>
      <c r="CX8" s="156">
        <f>CY8-CW8</f>
        <v>516076</v>
      </c>
      <c r="CY8" s="156">
        <v>1566010</v>
      </c>
      <c r="CZ8" s="156">
        <f>DA8-CY8</f>
        <v>537775</v>
      </c>
      <c r="DA8" s="156">
        <v>2103785</v>
      </c>
      <c r="DB8" s="156">
        <f>DC8-DA8</f>
        <v>710028</v>
      </c>
      <c r="DC8" s="156">
        <v>2813813</v>
      </c>
      <c r="DD8" s="156">
        <v>732672</v>
      </c>
      <c r="DE8" s="156">
        <v>359302</v>
      </c>
      <c r="DF8" s="156">
        <f t="shared" ref="DF8:DF19" si="10">SUM(DD8:DE8)</f>
        <v>1091974</v>
      </c>
    </row>
    <row r="9" spans="1:110" ht="10.5" x14ac:dyDescent="0.25">
      <c r="A9" s="154" t="s">
        <v>374</v>
      </c>
      <c r="B9" s="155"/>
      <c r="C9" s="61">
        <v>-25402</v>
      </c>
      <c r="D9" s="61">
        <v>-48629</v>
      </c>
      <c r="E9" s="61">
        <v>-74031</v>
      </c>
      <c r="F9" s="61">
        <v>2326</v>
      </c>
      <c r="G9" s="61">
        <v>-71705</v>
      </c>
      <c r="H9" s="61">
        <v>-60894</v>
      </c>
      <c r="I9" s="61">
        <v>-132599</v>
      </c>
      <c r="J9" s="61">
        <v>-10663</v>
      </c>
      <c r="K9" s="61">
        <v>-38243</v>
      </c>
      <c r="L9" s="61">
        <v>-48906</v>
      </c>
      <c r="M9" s="61">
        <v>-14698</v>
      </c>
      <c r="N9" s="61">
        <v>-63604</v>
      </c>
      <c r="O9" s="61">
        <v>117823</v>
      </c>
      <c r="P9" s="61">
        <v>54219</v>
      </c>
      <c r="Q9" s="156">
        <v>18953</v>
      </c>
      <c r="R9" s="156">
        <v>-124013</v>
      </c>
      <c r="S9" s="156">
        <v>-105060</v>
      </c>
      <c r="T9" s="156">
        <v>72997</v>
      </c>
      <c r="U9" s="156">
        <v>-32063</v>
      </c>
      <c r="V9" s="61">
        <v>144523</v>
      </c>
      <c r="W9" s="156">
        <v>112460</v>
      </c>
      <c r="X9" s="156">
        <v>-9583</v>
      </c>
      <c r="Y9" s="156">
        <v>-167218</v>
      </c>
      <c r="Z9" s="156">
        <f>X9+Y9</f>
        <v>-176801</v>
      </c>
      <c r="AA9" s="156">
        <v>-33273</v>
      </c>
      <c r="AB9" s="156">
        <v>-210074</v>
      </c>
      <c r="AC9" s="156">
        <f>AD9-AB9</f>
        <v>-8571</v>
      </c>
      <c r="AD9" s="156">
        <v>-218645</v>
      </c>
      <c r="AE9" s="156">
        <v>29633</v>
      </c>
      <c r="AF9" s="156">
        <f>AG9-AE9</f>
        <v>-60294</v>
      </c>
      <c r="AG9" s="156">
        <v>-30661</v>
      </c>
      <c r="AH9" s="156">
        <f>-83698+30661</f>
        <v>-53037</v>
      </c>
      <c r="AI9" s="156">
        <f>SUM(AG9:AH9)</f>
        <v>-83698</v>
      </c>
      <c r="AJ9" s="156">
        <f>-267299+83698</f>
        <v>-183601</v>
      </c>
      <c r="AK9" s="156">
        <f>SUM(AI9:AJ9)</f>
        <v>-267299</v>
      </c>
      <c r="AL9" s="156">
        <v>-52155</v>
      </c>
      <c r="AM9" s="156">
        <v>-7848</v>
      </c>
      <c r="AN9" s="156">
        <f>AL9+AM9</f>
        <v>-60003</v>
      </c>
      <c r="AO9" s="156">
        <v>-27689</v>
      </c>
      <c r="AP9" s="156">
        <f>SUM(AN9:AO9)</f>
        <v>-87692</v>
      </c>
      <c r="AQ9" s="156">
        <v>-64506</v>
      </c>
      <c r="AR9" s="156">
        <f>SUM(AP9:AQ9)</f>
        <v>-152198</v>
      </c>
      <c r="AS9" s="156">
        <v>-56472</v>
      </c>
      <c r="AT9" s="156">
        <f t="shared" si="3"/>
        <v>-129912</v>
      </c>
      <c r="AU9" s="156">
        <v>-186384</v>
      </c>
      <c r="AV9" s="153">
        <f>AW9-AU9</f>
        <v>29871</v>
      </c>
      <c r="AW9" s="156">
        <v>-156513</v>
      </c>
      <c r="AX9" s="153">
        <f>AY9-AW9</f>
        <v>63724</v>
      </c>
      <c r="AY9" s="156">
        <v>-92789</v>
      </c>
      <c r="AZ9" s="156">
        <v>-66424</v>
      </c>
      <c r="BA9" s="156">
        <f>BB9-AZ9</f>
        <v>-48757</v>
      </c>
      <c r="BB9" s="156">
        <v>-115181</v>
      </c>
      <c r="BC9" s="156">
        <f>BD9-BB9</f>
        <v>-111641</v>
      </c>
      <c r="BD9" s="156">
        <v>-226822</v>
      </c>
      <c r="BE9" s="156">
        <f>BF9-BD9</f>
        <v>328005</v>
      </c>
      <c r="BF9" s="156">
        <v>101183</v>
      </c>
      <c r="BG9" s="156">
        <v>-185657</v>
      </c>
      <c r="BH9" s="156">
        <f>BI9-BG9</f>
        <v>-291383</v>
      </c>
      <c r="BI9" s="156">
        <v>-477040</v>
      </c>
      <c r="BJ9" s="156">
        <f>BK9-BI9</f>
        <v>167171</v>
      </c>
      <c r="BK9" s="156">
        <v>-309869</v>
      </c>
      <c r="BL9" s="156">
        <f>BM9-BK9</f>
        <v>-2497</v>
      </c>
      <c r="BM9" s="156">
        <v>-312366</v>
      </c>
      <c r="BN9" s="156">
        <v>-72478</v>
      </c>
      <c r="BO9" s="156">
        <f>BP9-BN9</f>
        <v>-156769</v>
      </c>
      <c r="BP9" s="156">
        <v>-229247</v>
      </c>
      <c r="BQ9" s="156">
        <f>BR9-BP9</f>
        <v>-77492</v>
      </c>
      <c r="BR9" s="156">
        <v>-306739</v>
      </c>
      <c r="BS9" s="156">
        <f>BT9-BR9</f>
        <v>-73155</v>
      </c>
      <c r="BT9" s="156">
        <v>-379894</v>
      </c>
      <c r="BU9" s="156">
        <v>-334408</v>
      </c>
      <c r="BV9" s="156">
        <f>BW9-BU9</f>
        <v>-226319</v>
      </c>
      <c r="BW9" s="156">
        <v>-560727</v>
      </c>
      <c r="BX9" s="156">
        <f>BY9-BW9</f>
        <v>28668</v>
      </c>
      <c r="BY9" s="156">
        <v>-532059</v>
      </c>
      <c r="BZ9" s="156">
        <f>CA9-BY9</f>
        <v>285474</v>
      </c>
      <c r="CA9" s="156">
        <v>-246585</v>
      </c>
      <c r="CB9" s="156">
        <v>-642366</v>
      </c>
      <c r="CC9" s="156">
        <f>CD9-CB9</f>
        <v>17433</v>
      </c>
      <c r="CD9" s="156">
        <v>-624933</v>
      </c>
      <c r="CE9" s="156">
        <f>CF9-CD9</f>
        <v>91513</v>
      </c>
      <c r="CF9" s="156">
        <v>-533420</v>
      </c>
      <c r="CG9" s="156">
        <f>161926+706</f>
        <v>162632</v>
      </c>
      <c r="CH9" s="156">
        <v>-370788</v>
      </c>
      <c r="CI9" s="156">
        <v>-392650</v>
      </c>
      <c r="CJ9" s="156">
        <f>CK9-CI9</f>
        <v>-396567</v>
      </c>
      <c r="CK9" s="156">
        <v>-789217</v>
      </c>
      <c r="CL9" s="156">
        <f>CM9-CK9</f>
        <v>-76677</v>
      </c>
      <c r="CM9" s="156">
        <f>-865894</f>
        <v>-865894</v>
      </c>
      <c r="CN9" s="156">
        <f>CO9-CM9</f>
        <v>-442787</v>
      </c>
      <c r="CO9" s="156">
        <v>-1308681</v>
      </c>
      <c r="CP9" s="156">
        <v>-432994</v>
      </c>
      <c r="CQ9" s="156">
        <f>CR9-CP9</f>
        <v>-870481</v>
      </c>
      <c r="CR9" s="156">
        <v>-1303475</v>
      </c>
      <c r="CS9" s="156">
        <f>CT9-CR9</f>
        <v>29608</v>
      </c>
      <c r="CT9" s="156">
        <v>-1273867</v>
      </c>
      <c r="CU9" s="156">
        <f>CV9-CT9</f>
        <v>192578</v>
      </c>
      <c r="CV9" s="156">
        <v>-1081289</v>
      </c>
      <c r="CW9" s="156">
        <v>-1048221</v>
      </c>
      <c r="CX9" s="156">
        <f>CY9-CW9</f>
        <v>-338977</v>
      </c>
      <c r="CY9" s="156">
        <v>-1387198</v>
      </c>
      <c r="CZ9" s="156">
        <f>DA9-CY9</f>
        <v>208456</v>
      </c>
      <c r="DA9" s="156">
        <v>-1178742</v>
      </c>
      <c r="DB9" s="156">
        <f>DC9-DA9</f>
        <v>217748</v>
      </c>
      <c r="DC9" s="156">
        <v>-960994</v>
      </c>
      <c r="DD9" s="156">
        <v>-750382</v>
      </c>
      <c r="DE9" s="156">
        <v>-281492</v>
      </c>
      <c r="DF9" s="156">
        <f t="shared" si="10"/>
        <v>-1031874</v>
      </c>
    </row>
    <row r="10" spans="1:110" s="137" customFormat="1" ht="10.5" x14ac:dyDescent="0.25">
      <c r="A10" s="151" t="s">
        <v>375</v>
      </c>
      <c r="B10" s="152"/>
      <c r="C10" s="153">
        <v>-23422</v>
      </c>
      <c r="D10" s="153">
        <v>-35925</v>
      </c>
      <c r="E10" s="153">
        <v>-59347</v>
      </c>
      <c r="F10" s="153">
        <v>-65676</v>
      </c>
      <c r="G10" s="153">
        <v>-125023</v>
      </c>
      <c r="H10" s="153">
        <v>-52908</v>
      </c>
      <c r="I10" s="153">
        <v>-177931</v>
      </c>
      <c r="J10" s="153">
        <v>-52063</v>
      </c>
      <c r="K10" s="153">
        <v>-20212</v>
      </c>
      <c r="L10" s="153">
        <v>-72275</v>
      </c>
      <c r="M10" s="153">
        <v>-105609</v>
      </c>
      <c r="N10" s="153">
        <v>-177884</v>
      </c>
      <c r="O10" s="153">
        <v>-46986</v>
      </c>
      <c r="P10" s="153">
        <v>-224870</v>
      </c>
      <c r="Q10" s="157">
        <v>-26309</v>
      </c>
      <c r="R10" s="157">
        <v>-43513</v>
      </c>
      <c r="S10" s="157">
        <v>-69822</v>
      </c>
      <c r="T10" s="157">
        <v>-100626</v>
      </c>
      <c r="U10" s="157">
        <v>-170448</v>
      </c>
      <c r="V10" s="153">
        <v>-245327</v>
      </c>
      <c r="W10" s="157">
        <v>-415775</v>
      </c>
      <c r="X10" s="157">
        <v>-31579</v>
      </c>
      <c r="Y10" s="157">
        <v>-49443</v>
      </c>
      <c r="Z10" s="157">
        <f>X10+Y10</f>
        <v>-81022</v>
      </c>
      <c r="AA10" s="157">
        <v>-52554</v>
      </c>
      <c r="AB10" s="157">
        <v>-133576</v>
      </c>
      <c r="AC10" s="157">
        <f>AD10-AB10</f>
        <v>-25558</v>
      </c>
      <c r="AD10" s="157">
        <v>-159134</v>
      </c>
      <c r="AE10" s="157">
        <v>-20362</v>
      </c>
      <c r="AF10" s="157">
        <f>AG10-AE10</f>
        <v>-62628</v>
      </c>
      <c r="AG10" s="157">
        <v>-82990</v>
      </c>
      <c r="AH10" s="157">
        <f>-143830+82990</f>
        <v>-60840</v>
      </c>
      <c r="AI10" s="157">
        <f>SUM(AG10:AH10)</f>
        <v>-143830</v>
      </c>
      <c r="AJ10" s="157">
        <f>-243778+143830</f>
        <v>-99948</v>
      </c>
      <c r="AK10" s="157">
        <f>SUM(AI10:AJ10)</f>
        <v>-243778</v>
      </c>
      <c r="AL10" s="157">
        <v>-20878</v>
      </c>
      <c r="AM10" s="157">
        <v>-54222</v>
      </c>
      <c r="AN10" s="157">
        <f>AL10+AM10</f>
        <v>-75100</v>
      </c>
      <c r="AO10" s="157">
        <v>-72511</v>
      </c>
      <c r="AP10" s="157">
        <f>SUM(AN10:AO10)</f>
        <v>-147611</v>
      </c>
      <c r="AQ10" s="157">
        <v>-41528</v>
      </c>
      <c r="AR10" s="157">
        <f>SUM(AP10:AQ10)</f>
        <v>-189139</v>
      </c>
      <c r="AS10" s="157">
        <v>-17815</v>
      </c>
      <c r="AT10" s="157">
        <f t="shared" si="3"/>
        <v>-32577</v>
      </c>
      <c r="AU10" s="157">
        <v>-50392</v>
      </c>
      <c r="AV10" s="153">
        <f>AW10-AU10</f>
        <v>-73884</v>
      </c>
      <c r="AW10" s="157">
        <v>-124276</v>
      </c>
      <c r="AX10" s="153">
        <f>AY10-AW10</f>
        <v>-18072</v>
      </c>
      <c r="AY10" s="157">
        <v>-142348</v>
      </c>
      <c r="AZ10" s="157">
        <v>-3928</v>
      </c>
      <c r="BA10" s="157">
        <f>BB10-AZ10</f>
        <v>-17875</v>
      </c>
      <c r="BB10" s="157">
        <v>-21803</v>
      </c>
      <c r="BC10" s="157">
        <f>BD10-BB10</f>
        <v>-27051</v>
      </c>
      <c r="BD10" s="157">
        <v>-48854</v>
      </c>
      <c r="BE10" s="157">
        <f>BF10-BD10</f>
        <v>-48068</v>
      </c>
      <c r="BF10" s="157">
        <v>-96922</v>
      </c>
      <c r="BG10" s="157">
        <v>-13716</v>
      </c>
      <c r="BH10" s="157">
        <f>BI10-BG10</f>
        <v>-25804</v>
      </c>
      <c r="BI10" s="157">
        <v>-39520</v>
      </c>
      <c r="BJ10" s="157">
        <f>BK10-BI10</f>
        <v>-58797</v>
      </c>
      <c r="BK10" s="157">
        <v>-98317</v>
      </c>
      <c r="BL10" s="157">
        <f>BM10-BK10</f>
        <v>-32865</v>
      </c>
      <c r="BM10" s="157">
        <v>-131182</v>
      </c>
      <c r="BN10" s="157">
        <v>-31932</v>
      </c>
      <c r="BO10" s="157">
        <f>BP10-BN10</f>
        <v>-31218</v>
      </c>
      <c r="BP10" s="157">
        <v>-63150</v>
      </c>
      <c r="BQ10" s="157">
        <f>BR10-BP10</f>
        <v>-112263</v>
      </c>
      <c r="BR10" s="157">
        <v>-175413</v>
      </c>
      <c r="BS10" s="157">
        <f>BT10-BR10</f>
        <v>-16368</v>
      </c>
      <c r="BT10" s="157">
        <v>-191781</v>
      </c>
      <c r="BU10" s="157">
        <v>-119250</v>
      </c>
      <c r="BV10" s="157">
        <f>BW10-BU10</f>
        <v>-12230</v>
      </c>
      <c r="BW10" s="157">
        <v>-131480</v>
      </c>
      <c r="BX10" s="157">
        <f>BY10-BW10</f>
        <v>-35160</v>
      </c>
      <c r="BY10" s="157">
        <v>-166640</v>
      </c>
      <c r="BZ10" s="157">
        <f>CA10-BY10</f>
        <v>6340</v>
      </c>
      <c r="CA10" s="157">
        <v>-160300</v>
      </c>
      <c r="CB10" s="157">
        <v>-89505</v>
      </c>
      <c r="CC10" s="157">
        <f>CD10-CB10</f>
        <v>-40839</v>
      </c>
      <c r="CD10" s="157">
        <v>-130344</v>
      </c>
      <c r="CE10" s="157">
        <f>CF10-CD10</f>
        <v>-51762</v>
      </c>
      <c r="CF10" s="157">
        <v>-182106</v>
      </c>
      <c r="CG10" s="157">
        <f>12966-706</f>
        <v>12260</v>
      </c>
      <c r="CH10" s="157">
        <v>-169846</v>
      </c>
      <c r="CI10" s="157">
        <v>-101752</v>
      </c>
      <c r="CJ10" s="157">
        <f>CK10-CI10</f>
        <v>-110673</v>
      </c>
      <c r="CK10" s="157">
        <v>-212425</v>
      </c>
      <c r="CL10" s="157">
        <f>CM10-CK10</f>
        <v>-164250</v>
      </c>
      <c r="CM10" s="157">
        <v>-376675</v>
      </c>
      <c r="CN10" s="157">
        <f>CO10-CM10</f>
        <v>-99520</v>
      </c>
      <c r="CO10" s="157">
        <v>-476195</v>
      </c>
      <c r="CP10" s="157">
        <v>-215631</v>
      </c>
      <c r="CQ10" s="157">
        <f>CR10-CP10</f>
        <v>-172840</v>
      </c>
      <c r="CR10" s="157">
        <v>-388471</v>
      </c>
      <c r="CS10" s="157">
        <f>CT10-CR10</f>
        <v>-93271</v>
      </c>
      <c r="CT10" s="157">
        <v>-481742</v>
      </c>
      <c r="CU10" s="157">
        <f>CV10-CT10</f>
        <v>-4071</v>
      </c>
      <c r="CV10" s="157">
        <v>-485813</v>
      </c>
      <c r="CW10" s="157">
        <v>-420787</v>
      </c>
      <c r="CX10" s="157">
        <f>CY10-CW10</f>
        <v>-103421</v>
      </c>
      <c r="CY10" s="157">
        <v>-524208</v>
      </c>
      <c r="CZ10" s="157">
        <f>DA10-CY10</f>
        <v>-128732</v>
      </c>
      <c r="DA10" s="157">
        <v>-652940</v>
      </c>
      <c r="DB10" s="157">
        <f>DC10-DA10</f>
        <v>-203474</v>
      </c>
      <c r="DC10" s="157">
        <v>-856414</v>
      </c>
      <c r="DD10" s="157">
        <v>-109286</v>
      </c>
      <c r="DE10" s="157">
        <v>-277659</v>
      </c>
      <c r="DF10" s="157">
        <f t="shared" si="10"/>
        <v>-386945</v>
      </c>
    </row>
    <row r="11" spans="1:110" s="137" customFormat="1" ht="10.5" x14ac:dyDescent="0.25">
      <c r="A11" s="151" t="s">
        <v>376</v>
      </c>
      <c r="B11" s="152"/>
      <c r="C11" s="153">
        <v>44030</v>
      </c>
      <c r="D11" s="153">
        <v>63426</v>
      </c>
      <c r="E11" s="153">
        <v>107456</v>
      </c>
      <c r="F11" s="153">
        <v>-102520</v>
      </c>
      <c r="G11" s="153">
        <v>4936</v>
      </c>
      <c r="H11" s="153">
        <v>45816</v>
      </c>
      <c r="I11" s="153">
        <v>50752</v>
      </c>
      <c r="J11" s="153">
        <v>71948</v>
      </c>
      <c r="K11" s="153">
        <v>-49167</v>
      </c>
      <c r="L11" s="153">
        <v>22781</v>
      </c>
      <c r="M11" s="153">
        <v>-46988</v>
      </c>
      <c r="N11" s="153">
        <v>-24207</v>
      </c>
      <c r="O11" s="153">
        <v>-20871</v>
      </c>
      <c r="P11" s="153">
        <v>-45078</v>
      </c>
      <c r="Q11" s="157">
        <v>67947</v>
      </c>
      <c r="R11" s="157">
        <v>3254</v>
      </c>
      <c r="S11" s="157">
        <v>71201</v>
      </c>
      <c r="T11" s="157">
        <v>10237</v>
      </c>
      <c r="U11" s="157">
        <v>81438</v>
      </c>
      <c r="V11" s="153">
        <v>31420</v>
      </c>
      <c r="W11" s="157">
        <v>112858</v>
      </c>
      <c r="X11" s="157">
        <v>53809</v>
      </c>
      <c r="Y11" s="157">
        <v>56522</v>
      </c>
      <c r="Z11" s="157">
        <f>X11+Y11</f>
        <v>110331</v>
      </c>
      <c r="AA11" s="157">
        <v>36297</v>
      </c>
      <c r="AB11" s="157">
        <v>146628</v>
      </c>
      <c r="AC11" s="157">
        <f>AD11-AB11</f>
        <v>373</v>
      </c>
      <c r="AD11" s="157">
        <v>147001</v>
      </c>
      <c r="AE11" s="157">
        <v>35204</v>
      </c>
      <c r="AF11" s="157">
        <f>AG11-AE11</f>
        <v>38261</v>
      </c>
      <c r="AG11" s="157">
        <v>73465</v>
      </c>
      <c r="AH11" s="157">
        <v>83626</v>
      </c>
      <c r="AI11" s="157">
        <f>SUM(AG11:AH11)</f>
        <v>157091</v>
      </c>
      <c r="AJ11" s="157">
        <f>395382-157091</f>
        <v>238291</v>
      </c>
      <c r="AK11" s="157">
        <f>SUM(AI11:AJ11)</f>
        <v>395382</v>
      </c>
      <c r="AL11" s="157">
        <v>-22613</v>
      </c>
      <c r="AM11" s="157">
        <v>-30615</v>
      </c>
      <c r="AN11" s="157">
        <f>AL11+AM11</f>
        <v>-53228</v>
      </c>
      <c r="AO11" s="157">
        <v>72797</v>
      </c>
      <c r="AP11" s="157">
        <f>SUM(AN11:AO11)</f>
        <v>19569</v>
      </c>
      <c r="AQ11" s="157">
        <v>86512</v>
      </c>
      <c r="AR11" s="157">
        <f>SUM(AP11:AQ11)</f>
        <v>106081</v>
      </c>
      <c r="AS11" s="157">
        <v>8723</v>
      </c>
      <c r="AT11" s="157">
        <f t="shared" si="3"/>
        <v>-20243</v>
      </c>
      <c r="AU11" s="157">
        <v>-11520</v>
      </c>
      <c r="AV11" s="153">
        <f>AW11-AU11</f>
        <v>19706</v>
      </c>
      <c r="AW11" s="157">
        <v>8186</v>
      </c>
      <c r="AX11" s="153">
        <f>AY11-AW11</f>
        <v>243797</v>
      </c>
      <c r="AY11" s="157">
        <v>251983</v>
      </c>
      <c r="AZ11" s="157">
        <v>-81237</v>
      </c>
      <c r="BA11" s="157">
        <f>BB11-AZ11</f>
        <v>-102712</v>
      </c>
      <c r="BB11" s="157">
        <v>-183949</v>
      </c>
      <c r="BC11" s="157">
        <f>BD11-BB11</f>
        <v>161024</v>
      </c>
      <c r="BD11" s="157">
        <v>-22925</v>
      </c>
      <c r="BE11" s="157">
        <f>BF11-BD11</f>
        <v>79328</v>
      </c>
      <c r="BF11" s="157">
        <v>56403</v>
      </c>
      <c r="BG11" s="157">
        <v>-124053</v>
      </c>
      <c r="BH11" s="157">
        <f>BI11-BG11</f>
        <v>-259375</v>
      </c>
      <c r="BI11" s="157">
        <v>-383428</v>
      </c>
      <c r="BJ11" s="157">
        <f>BK11-BI11</f>
        <v>-17493</v>
      </c>
      <c r="BK11" s="157">
        <v>-400921</v>
      </c>
      <c r="BL11" s="157">
        <f>BM11-BK11</f>
        <v>-116710</v>
      </c>
      <c r="BM11" s="157">
        <v>-517631</v>
      </c>
      <c r="BN11" s="157">
        <v>-350744</v>
      </c>
      <c r="BO11" s="157">
        <f>BP11-BN11</f>
        <v>107564</v>
      </c>
      <c r="BP11" s="157">
        <v>-243180</v>
      </c>
      <c r="BQ11" s="157">
        <f>BR11-BP11</f>
        <v>-2681</v>
      </c>
      <c r="BR11" s="157">
        <v>-245861</v>
      </c>
      <c r="BS11" s="157">
        <f>BT11-BR11</f>
        <v>-69098</v>
      </c>
      <c r="BT11" s="157">
        <v>-314959</v>
      </c>
      <c r="BU11" s="157">
        <v>60019</v>
      </c>
      <c r="BV11" s="157">
        <f>BW11-BU11</f>
        <v>49630</v>
      </c>
      <c r="BW11" s="157">
        <v>109649</v>
      </c>
      <c r="BX11" s="157">
        <f>BY11-BW11</f>
        <v>79965</v>
      </c>
      <c r="BY11" s="157">
        <v>189614</v>
      </c>
      <c r="BZ11" s="157">
        <f>CA11-BY11</f>
        <v>-244356</v>
      </c>
      <c r="CA11" s="157">
        <v>-54742</v>
      </c>
      <c r="CB11" s="157">
        <v>360686</v>
      </c>
      <c r="CC11" s="157">
        <f>CD11-CB11</f>
        <v>-34395</v>
      </c>
      <c r="CD11" s="157">
        <v>326291</v>
      </c>
      <c r="CE11" s="157">
        <f>CF11-CD11</f>
        <v>-130909</v>
      </c>
      <c r="CF11" s="157">
        <v>195382</v>
      </c>
      <c r="CG11" s="157">
        <f>CH11-CF11</f>
        <v>-35771</v>
      </c>
      <c r="CH11" s="157">
        <v>159611</v>
      </c>
      <c r="CI11" s="157">
        <v>167343</v>
      </c>
      <c r="CJ11" s="157">
        <f>CK11-CI11</f>
        <v>-255577</v>
      </c>
      <c r="CK11" s="157">
        <v>-88234</v>
      </c>
      <c r="CL11" s="157">
        <f>CM11-CK11</f>
        <v>-645369</v>
      </c>
      <c r="CM11" s="157">
        <f>-733603</f>
        <v>-733603</v>
      </c>
      <c r="CN11" s="157">
        <f>CO11-CM11</f>
        <v>-689565</v>
      </c>
      <c r="CO11" s="157">
        <v>-1423168</v>
      </c>
      <c r="CP11" s="157">
        <v>516596</v>
      </c>
      <c r="CQ11" s="157">
        <f>CR11-CP11</f>
        <v>-361804</v>
      </c>
      <c r="CR11" s="157">
        <v>154792</v>
      </c>
      <c r="CS11" s="157">
        <f>CT11-CR11</f>
        <v>329877</v>
      </c>
      <c r="CT11" s="157">
        <v>484669</v>
      </c>
      <c r="CU11" s="157">
        <f>CV11-CT11</f>
        <v>-894638</v>
      </c>
      <c r="CV11" s="157">
        <v>-409969</v>
      </c>
      <c r="CW11" s="157">
        <v>444819</v>
      </c>
      <c r="CX11" s="157">
        <f>CY11-CW11</f>
        <v>-174413</v>
      </c>
      <c r="CY11" s="157">
        <v>270406</v>
      </c>
      <c r="CZ11" s="157">
        <f>DA11-CY11</f>
        <v>-115472</v>
      </c>
      <c r="DA11" s="157">
        <v>154934</v>
      </c>
      <c r="DB11" s="157">
        <f>DC11-DA11</f>
        <v>-773411</v>
      </c>
      <c r="DC11" s="157">
        <v>-618477</v>
      </c>
      <c r="DD11" s="157">
        <v>376776</v>
      </c>
      <c r="DE11" s="157">
        <v>-199849</v>
      </c>
      <c r="DF11" s="157">
        <f t="shared" si="10"/>
        <v>176927</v>
      </c>
    </row>
    <row r="12" spans="1:110" s="137" customFormat="1" ht="10.5" x14ac:dyDescent="0.25">
      <c r="A12" s="151" t="s">
        <v>377</v>
      </c>
      <c r="B12" s="152"/>
      <c r="C12" s="153">
        <f t="shared" ref="C12:AR12" si="11">C7+C10+C11</f>
        <v>65993</v>
      </c>
      <c r="D12" s="153">
        <f t="shared" si="11"/>
        <v>26990</v>
      </c>
      <c r="E12" s="153">
        <f t="shared" si="11"/>
        <v>92983</v>
      </c>
      <c r="F12" s="153">
        <f t="shared" si="11"/>
        <v>-145392</v>
      </c>
      <c r="G12" s="153">
        <f t="shared" si="11"/>
        <v>-52409</v>
      </c>
      <c r="H12" s="153">
        <f t="shared" si="11"/>
        <v>-30547</v>
      </c>
      <c r="I12" s="153">
        <f t="shared" si="11"/>
        <v>-82956</v>
      </c>
      <c r="J12" s="153">
        <f t="shared" si="11"/>
        <v>41290</v>
      </c>
      <c r="K12" s="153">
        <f t="shared" si="11"/>
        <v>-28427</v>
      </c>
      <c r="L12" s="153">
        <f t="shared" si="11"/>
        <v>12863</v>
      </c>
      <c r="M12" s="153">
        <f t="shared" si="11"/>
        <v>-70211</v>
      </c>
      <c r="N12" s="153">
        <f t="shared" si="11"/>
        <v>-57348</v>
      </c>
      <c r="O12" s="153">
        <f t="shared" si="11"/>
        <v>25316</v>
      </c>
      <c r="P12" s="153">
        <f t="shared" si="11"/>
        <v>-32032</v>
      </c>
      <c r="Q12" s="153">
        <f t="shared" si="11"/>
        <v>89593</v>
      </c>
      <c r="R12" s="153">
        <f t="shared" si="11"/>
        <v>-79816</v>
      </c>
      <c r="S12" s="153">
        <f t="shared" si="11"/>
        <v>9777</v>
      </c>
      <c r="T12" s="153">
        <f t="shared" si="11"/>
        <v>-31707</v>
      </c>
      <c r="U12" s="153">
        <f t="shared" si="11"/>
        <v>-21930</v>
      </c>
      <c r="V12" s="153">
        <f t="shared" si="11"/>
        <v>42174</v>
      </c>
      <c r="W12" s="153">
        <f t="shared" si="11"/>
        <v>20244</v>
      </c>
      <c r="X12" s="153">
        <f t="shared" si="11"/>
        <v>87264</v>
      </c>
      <c r="Y12" s="153">
        <f t="shared" si="11"/>
        <v>-82444</v>
      </c>
      <c r="Z12" s="153">
        <f t="shared" si="11"/>
        <v>4820</v>
      </c>
      <c r="AA12" s="153">
        <f t="shared" si="11"/>
        <v>25602</v>
      </c>
      <c r="AB12" s="153">
        <f t="shared" si="11"/>
        <v>30422</v>
      </c>
      <c r="AC12" s="153">
        <f t="shared" si="11"/>
        <v>-13891</v>
      </c>
      <c r="AD12" s="153">
        <f t="shared" si="11"/>
        <v>16531</v>
      </c>
      <c r="AE12" s="153">
        <f t="shared" si="11"/>
        <v>134669</v>
      </c>
      <c r="AF12" s="153">
        <f t="shared" si="11"/>
        <v>-66586</v>
      </c>
      <c r="AG12" s="153">
        <f t="shared" si="11"/>
        <v>68083</v>
      </c>
      <c r="AH12" s="153">
        <f t="shared" si="11"/>
        <v>-14516</v>
      </c>
      <c r="AI12" s="153">
        <f t="shared" si="11"/>
        <v>53567</v>
      </c>
      <c r="AJ12" s="153">
        <f t="shared" si="11"/>
        <v>34899</v>
      </c>
      <c r="AK12" s="153">
        <f t="shared" si="11"/>
        <v>88466</v>
      </c>
      <c r="AL12" s="153">
        <f t="shared" si="11"/>
        <v>-25865</v>
      </c>
      <c r="AM12" s="153">
        <f t="shared" si="11"/>
        <v>-19440</v>
      </c>
      <c r="AN12" s="153">
        <f t="shared" si="11"/>
        <v>-45305</v>
      </c>
      <c r="AO12" s="153">
        <f t="shared" si="11"/>
        <v>24181</v>
      </c>
      <c r="AP12" s="153">
        <f t="shared" si="11"/>
        <v>-21124</v>
      </c>
      <c r="AQ12" s="153">
        <f t="shared" si="11"/>
        <v>27911</v>
      </c>
      <c r="AR12" s="153">
        <f t="shared" si="11"/>
        <v>6787</v>
      </c>
      <c r="AS12" s="153">
        <v>16118</v>
      </c>
      <c r="AT12" s="153">
        <f t="shared" si="3"/>
        <v>-122641</v>
      </c>
      <c r="AU12" s="153">
        <v>-106523</v>
      </c>
      <c r="AV12" s="153">
        <f>AV7+AV10+AV11</f>
        <v>89225</v>
      </c>
      <c r="AW12" s="153">
        <v>-17298</v>
      </c>
      <c r="AX12" s="153">
        <f>AX7+AX10+AX11</f>
        <v>401765</v>
      </c>
      <c r="AY12" s="153">
        <v>384467</v>
      </c>
      <c r="AZ12" s="153">
        <f t="shared" ref="AZ12:CH12" si="12">AZ7+AZ10+AZ11</f>
        <v>-134919</v>
      </c>
      <c r="BA12" s="153">
        <f t="shared" si="12"/>
        <v>-176165</v>
      </c>
      <c r="BB12" s="153">
        <f t="shared" si="12"/>
        <v>-311084</v>
      </c>
      <c r="BC12" s="153">
        <f t="shared" si="12"/>
        <v>98329</v>
      </c>
      <c r="BD12" s="153">
        <f t="shared" si="12"/>
        <v>-212755</v>
      </c>
      <c r="BE12" s="153">
        <f t="shared" si="12"/>
        <v>477887</v>
      </c>
      <c r="BF12" s="153">
        <f t="shared" si="12"/>
        <v>265132</v>
      </c>
      <c r="BG12" s="153">
        <f t="shared" si="12"/>
        <v>-185384</v>
      </c>
      <c r="BH12" s="153">
        <f t="shared" si="12"/>
        <v>-429520</v>
      </c>
      <c r="BI12" s="153">
        <f t="shared" si="12"/>
        <v>-614904</v>
      </c>
      <c r="BJ12" s="153">
        <f t="shared" si="12"/>
        <v>223259</v>
      </c>
      <c r="BK12" s="153">
        <f t="shared" si="12"/>
        <v>-391645</v>
      </c>
      <c r="BL12" s="153">
        <f t="shared" si="12"/>
        <v>114444</v>
      </c>
      <c r="BM12" s="153">
        <f t="shared" si="12"/>
        <v>-277201</v>
      </c>
      <c r="BN12" s="153">
        <f t="shared" si="12"/>
        <v>-285578</v>
      </c>
      <c r="BO12" s="153">
        <f t="shared" si="12"/>
        <v>145950</v>
      </c>
      <c r="BP12" s="153">
        <f t="shared" si="12"/>
        <v>-139628</v>
      </c>
      <c r="BQ12" s="153">
        <f t="shared" si="12"/>
        <v>-78176</v>
      </c>
      <c r="BR12" s="153">
        <f t="shared" si="12"/>
        <v>-217804</v>
      </c>
      <c r="BS12" s="153">
        <f t="shared" si="12"/>
        <v>118573</v>
      </c>
      <c r="BT12" s="153">
        <f t="shared" si="12"/>
        <v>-99231</v>
      </c>
      <c r="BU12" s="153">
        <f t="shared" si="12"/>
        <v>-141609</v>
      </c>
      <c r="BV12" s="153">
        <f t="shared" si="12"/>
        <v>-40766</v>
      </c>
      <c r="BW12" s="153">
        <f t="shared" si="12"/>
        <v>-182375</v>
      </c>
      <c r="BX12" s="153">
        <f t="shared" si="12"/>
        <v>273997</v>
      </c>
      <c r="BY12" s="153">
        <f t="shared" si="12"/>
        <v>91622</v>
      </c>
      <c r="BZ12" s="153">
        <f t="shared" si="12"/>
        <v>225497</v>
      </c>
      <c r="CA12" s="153">
        <f t="shared" si="12"/>
        <v>317119</v>
      </c>
      <c r="CB12" s="153">
        <f t="shared" si="12"/>
        <v>-92986</v>
      </c>
      <c r="CC12" s="153">
        <f t="shared" si="12"/>
        <v>133041</v>
      </c>
      <c r="CD12" s="153">
        <f t="shared" si="12"/>
        <v>40055</v>
      </c>
      <c r="CE12" s="153">
        <f t="shared" si="12"/>
        <v>200349</v>
      </c>
      <c r="CF12" s="153">
        <f t="shared" si="12"/>
        <v>240404</v>
      </c>
      <c r="CG12" s="153">
        <f t="shared" si="12"/>
        <v>534222</v>
      </c>
      <c r="CH12" s="153">
        <f t="shared" si="12"/>
        <v>774626</v>
      </c>
      <c r="CI12" s="153">
        <f>CI7+CI10+CI11</f>
        <v>-6443</v>
      </c>
      <c r="CJ12" s="153">
        <f t="shared" ref="CJ12:CL12" si="13">CJ7+CJ10+CJ11</f>
        <v>-327302</v>
      </c>
      <c r="CK12" s="153">
        <f t="shared" ref="CK12" si="14">CK7+CK10+CK11</f>
        <v>-333745</v>
      </c>
      <c r="CL12" s="153">
        <f t="shared" si="13"/>
        <v>-544888</v>
      </c>
      <c r="CM12" s="153">
        <f t="shared" ref="CM12" si="15">CM7+CM10+CM11</f>
        <v>-878633</v>
      </c>
      <c r="CN12" s="153">
        <f>CN7+CN10+CN11</f>
        <v>-585640</v>
      </c>
      <c r="CO12" s="153">
        <f>CO7+CO10+CO11</f>
        <v>-1464273</v>
      </c>
      <c r="CP12" s="153">
        <f>CP7+CP10+CP11</f>
        <v>977377</v>
      </c>
      <c r="CQ12" s="153">
        <f t="shared" ref="CQ12:CS12" si="16">CQ7+CQ10+CQ11</f>
        <v>-476320</v>
      </c>
      <c r="CR12" s="153">
        <f t="shared" si="16"/>
        <v>501057</v>
      </c>
      <c r="CS12" s="153">
        <f t="shared" si="16"/>
        <v>683982</v>
      </c>
      <c r="CT12" s="153">
        <f>CT7+CT10+CT11</f>
        <v>1185039</v>
      </c>
      <c r="CU12" s="153">
        <f t="shared" ref="CU12" si="17">CU7+CU10+CU11</f>
        <v>-89044</v>
      </c>
      <c r="CV12" s="153">
        <f t="shared" ref="CV12:DD12" si="18">CV7+CV10+CV11</f>
        <v>1095995</v>
      </c>
      <c r="CW12" s="153">
        <f t="shared" si="18"/>
        <v>25745</v>
      </c>
      <c r="CX12" s="153">
        <f t="shared" si="18"/>
        <v>-100735</v>
      </c>
      <c r="CY12" s="153">
        <f t="shared" si="18"/>
        <v>-74990</v>
      </c>
      <c r="CZ12" s="153">
        <f t="shared" si="18"/>
        <v>502027</v>
      </c>
      <c r="DA12" s="153">
        <f t="shared" si="18"/>
        <v>427037</v>
      </c>
      <c r="DB12" s="153">
        <f t="shared" si="18"/>
        <v>-49109</v>
      </c>
      <c r="DC12" s="153">
        <f t="shared" si="18"/>
        <v>377928</v>
      </c>
      <c r="DD12" s="153">
        <f t="shared" si="18"/>
        <v>249780</v>
      </c>
      <c r="DE12" s="153">
        <f t="shared" ref="DE12:DF12" si="19">DE7+DE10+DE11</f>
        <v>-399698</v>
      </c>
      <c r="DF12" s="153">
        <f t="shared" si="10"/>
        <v>-149918</v>
      </c>
    </row>
    <row r="13" spans="1:110" x14ac:dyDescent="0.2">
      <c r="A13" s="158" t="s">
        <v>378</v>
      </c>
      <c r="B13" s="155"/>
      <c r="C13" s="61">
        <v>225207</v>
      </c>
      <c r="D13" s="61">
        <f>C14</f>
        <v>291200</v>
      </c>
      <c r="E13" s="61">
        <f>C13</f>
        <v>225207</v>
      </c>
      <c r="F13" s="61">
        <f>E14</f>
        <v>318190</v>
      </c>
      <c r="G13" s="61">
        <f>C13</f>
        <v>225207</v>
      </c>
      <c r="H13" s="61">
        <f>G14</f>
        <v>172798</v>
      </c>
      <c r="I13" s="61">
        <f>C13</f>
        <v>225207</v>
      </c>
      <c r="J13" s="61">
        <f>I14</f>
        <v>142251</v>
      </c>
      <c r="K13" s="61">
        <f>J14</f>
        <v>183541</v>
      </c>
      <c r="L13" s="61">
        <f>J13</f>
        <v>142251</v>
      </c>
      <c r="M13" s="61">
        <f>L14</f>
        <v>155114</v>
      </c>
      <c r="N13" s="61">
        <f>J13</f>
        <v>142251</v>
      </c>
      <c r="O13" s="61">
        <f>N14</f>
        <v>84903</v>
      </c>
      <c r="P13" s="61">
        <v>142251</v>
      </c>
      <c r="Q13" s="156">
        <v>110219</v>
      </c>
      <c r="R13" s="156">
        <v>199812</v>
      </c>
      <c r="S13" s="156">
        <f>Q13</f>
        <v>110219</v>
      </c>
      <c r="T13" s="156">
        <f>S14</f>
        <v>119996</v>
      </c>
      <c r="U13" s="156">
        <v>110219</v>
      </c>
      <c r="V13" s="61">
        <f>U14</f>
        <v>88289</v>
      </c>
      <c r="W13" s="156">
        <f>S13</f>
        <v>110219</v>
      </c>
      <c r="X13" s="156">
        <f>W14</f>
        <v>130463</v>
      </c>
      <c r="Y13" s="156">
        <f>X14</f>
        <v>217727</v>
      </c>
      <c r="Z13" s="156">
        <f>W14</f>
        <v>130463</v>
      </c>
      <c r="AA13" s="156">
        <f>Z14</f>
        <v>135283</v>
      </c>
      <c r="AB13" s="156">
        <f>Z13</f>
        <v>130463</v>
      </c>
      <c r="AC13" s="156">
        <f>'Balanço Patrimonial Ativo'!W11-'Balanço Patrimonial Ativo'!T12</f>
        <v>157779</v>
      </c>
      <c r="AD13" s="156">
        <f>'Balanço Patrimonial Ativo'!T11</f>
        <v>127357</v>
      </c>
      <c r="AE13" s="156">
        <f>AD14</f>
        <v>143888</v>
      </c>
      <c r="AF13" s="156">
        <f>AE14</f>
        <v>278557</v>
      </c>
      <c r="AG13" s="156">
        <f>AE13</f>
        <v>143888</v>
      </c>
      <c r="AH13" s="156">
        <f>AG14</f>
        <v>211971</v>
      </c>
      <c r="AI13" s="156">
        <f>AG13</f>
        <v>143888</v>
      </c>
      <c r="AJ13" s="156">
        <f>AI14</f>
        <v>197455</v>
      </c>
      <c r="AK13" s="156">
        <f>AI13</f>
        <v>143888</v>
      </c>
      <c r="AL13" s="156">
        <f>AK14</f>
        <v>232354</v>
      </c>
      <c r="AM13" s="156">
        <f>AL14</f>
        <v>206489</v>
      </c>
      <c r="AN13" s="156">
        <f>AL13</f>
        <v>232354</v>
      </c>
      <c r="AO13" s="156">
        <f>AN14</f>
        <v>187049</v>
      </c>
      <c r="AP13" s="156">
        <f>AN13</f>
        <v>232354</v>
      </c>
      <c r="AQ13" s="156">
        <f>AP14</f>
        <v>211230</v>
      </c>
      <c r="AR13" s="156">
        <f>AP13</f>
        <v>232354</v>
      </c>
      <c r="AS13" s="156">
        <f>AR14</f>
        <v>239141</v>
      </c>
      <c r="AT13" s="156">
        <v>255259</v>
      </c>
      <c r="AU13" s="156">
        <f>AS13</f>
        <v>239141</v>
      </c>
      <c r="AV13" s="156">
        <f>AU14</f>
        <v>132618</v>
      </c>
      <c r="AW13" s="156">
        <f>AU13</f>
        <v>239141</v>
      </c>
      <c r="AX13" s="156">
        <f>AW14</f>
        <v>221843</v>
      </c>
      <c r="AY13" s="156">
        <f>AW13</f>
        <v>239141</v>
      </c>
      <c r="AZ13" s="156">
        <v>623608</v>
      </c>
      <c r="BA13" s="156">
        <f>AZ14</f>
        <v>488689</v>
      </c>
      <c r="BB13" s="156">
        <v>623608</v>
      </c>
      <c r="BC13" s="156">
        <f>BB14</f>
        <v>312524</v>
      </c>
      <c r="BD13" s="156">
        <v>623608</v>
      </c>
      <c r="BE13" s="156">
        <f>BD14</f>
        <v>410853</v>
      </c>
      <c r="BF13" s="156">
        <v>623608</v>
      </c>
      <c r="BG13" s="156">
        <v>888740</v>
      </c>
      <c r="BH13" s="156">
        <f>BG14</f>
        <v>703356</v>
      </c>
      <c r="BI13" s="156">
        <v>888740</v>
      </c>
      <c r="BJ13" s="156">
        <f>BI14</f>
        <v>273836</v>
      </c>
      <c r="BK13" s="156">
        <v>888740</v>
      </c>
      <c r="BL13" s="156">
        <f>BK14</f>
        <v>497095</v>
      </c>
      <c r="BM13" s="156">
        <v>888740</v>
      </c>
      <c r="BN13" s="156">
        <v>611539</v>
      </c>
      <c r="BO13" s="156">
        <f>BN14</f>
        <v>325961</v>
      </c>
      <c r="BP13" s="156">
        <v>611539</v>
      </c>
      <c r="BQ13" s="156">
        <f>BP14</f>
        <v>471911</v>
      </c>
      <c r="BR13" s="156">
        <v>611538</v>
      </c>
      <c r="BS13" s="156">
        <f>BR14</f>
        <v>393734</v>
      </c>
      <c r="BT13" s="156">
        <v>611539</v>
      </c>
      <c r="BU13" s="156">
        <v>512308</v>
      </c>
      <c r="BV13" s="156">
        <f>BU14</f>
        <v>370699</v>
      </c>
      <c r="BW13" s="156">
        <v>512308</v>
      </c>
      <c r="BX13" s="156">
        <f>BW14</f>
        <v>329933</v>
      </c>
      <c r="BY13" s="156">
        <v>512308</v>
      </c>
      <c r="BZ13" s="156">
        <f>BY14</f>
        <v>603930</v>
      </c>
      <c r="CA13" s="156">
        <v>512308</v>
      </c>
      <c r="CB13" s="156">
        <v>829427</v>
      </c>
      <c r="CC13" s="156">
        <f>CB14</f>
        <v>736441</v>
      </c>
      <c r="CD13" s="156">
        <v>829427</v>
      </c>
      <c r="CE13" s="156">
        <f>CD14</f>
        <v>869482</v>
      </c>
      <c r="CF13" s="156">
        <v>829427</v>
      </c>
      <c r="CG13" s="156">
        <f>CF14</f>
        <v>1069831</v>
      </c>
      <c r="CH13" s="156">
        <f>CA14</f>
        <v>829427</v>
      </c>
      <c r="CI13" s="156">
        <v>1604053</v>
      </c>
      <c r="CJ13" s="156">
        <f>CI14</f>
        <v>1597610</v>
      </c>
      <c r="CK13" s="156">
        <v>1604053</v>
      </c>
      <c r="CL13" s="156">
        <f>CK14</f>
        <v>1270308</v>
      </c>
      <c r="CM13" s="156">
        <v>1604053</v>
      </c>
      <c r="CN13" s="156">
        <v>725425</v>
      </c>
      <c r="CO13" s="156">
        <f>CH14</f>
        <v>1604053</v>
      </c>
      <c r="CP13" s="156">
        <v>139780</v>
      </c>
      <c r="CQ13" s="156">
        <f>CP14</f>
        <v>1117157</v>
      </c>
      <c r="CR13" s="156">
        <v>139780</v>
      </c>
      <c r="CS13" s="156">
        <f>CR14</f>
        <v>640837</v>
      </c>
      <c r="CT13" s="156">
        <v>139780</v>
      </c>
      <c r="CU13" s="156">
        <f>CT14</f>
        <v>1324819</v>
      </c>
      <c r="CV13" s="156">
        <v>139780</v>
      </c>
      <c r="CW13" s="156">
        <v>1235775</v>
      </c>
      <c r="CX13" s="156">
        <f>CW14</f>
        <v>1261520</v>
      </c>
      <c r="CY13" s="156">
        <v>1235775</v>
      </c>
      <c r="CZ13" s="156">
        <f>CY14</f>
        <v>1160785</v>
      </c>
      <c r="DA13" s="156">
        <f>CW13</f>
        <v>1235775</v>
      </c>
      <c r="DB13" s="156">
        <f>DA14</f>
        <v>1662812</v>
      </c>
      <c r="DC13" s="156">
        <v>1235775</v>
      </c>
      <c r="DD13" s="156">
        <v>1613703</v>
      </c>
      <c r="DE13" s="156">
        <v>1863483</v>
      </c>
      <c r="DF13" s="156">
        <f t="shared" si="10"/>
        <v>3477186</v>
      </c>
    </row>
    <row r="14" spans="1:110" x14ac:dyDescent="0.2">
      <c r="A14" s="158" t="s">
        <v>379</v>
      </c>
      <c r="B14" s="155"/>
      <c r="C14" s="61">
        <f>'Balanço Patrimonial Ativo'!I10+'Balanço Patrimonial Ativo'!I13</f>
        <v>291200</v>
      </c>
      <c r="D14" s="61">
        <f>'Balanço Patrimonial Ativo'!J10+'Balanço Patrimonial Ativo'!J13</f>
        <v>318190</v>
      </c>
      <c r="E14" s="61">
        <f>D14</f>
        <v>318190</v>
      </c>
      <c r="F14" s="61">
        <f>'Balanço Patrimonial Ativo'!K10+'Balanço Patrimonial Ativo'!K13</f>
        <v>172798</v>
      </c>
      <c r="G14" s="61">
        <f>F14</f>
        <v>172798</v>
      </c>
      <c r="H14" s="61">
        <f>'Balanço Patrimonial Ativo'!L10+'Balanço Patrimonial Ativo'!L13</f>
        <v>142251</v>
      </c>
      <c r="I14" s="61">
        <f>H14</f>
        <v>142251</v>
      </c>
      <c r="J14" s="61">
        <f>'Balanço Patrimonial Ativo'!M10+'Balanço Patrimonial Ativo'!M13</f>
        <v>183541</v>
      </c>
      <c r="K14" s="61">
        <f>'Balanço Patrimonial Ativo'!N10+'Balanço Patrimonial Ativo'!N13</f>
        <v>155114</v>
      </c>
      <c r="L14" s="61">
        <f>K14</f>
        <v>155114</v>
      </c>
      <c r="M14" s="61">
        <f>'Balanço Patrimonial Ativo'!O10+'Balanço Patrimonial Ativo'!O13</f>
        <v>84903</v>
      </c>
      <c r="N14" s="61">
        <f>M14</f>
        <v>84903</v>
      </c>
      <c r="O14" s="61">
        <f>'Balanço Patrimonial Ativo'!P10</f>
        <v>110219</v>
      </c>
      <c r="P14" s="61">
        <v>110219</v>
      </c>
      <c r="Q14" s="156">
        <f>'Balanço Patrimonial Ativo'!Q10</f>
        <v>199812</v>
      </c>
      <c r="R14" s="156">
        <v>119996</v>
      </c>
      <c r="S14" s="156">
        <f>R14</f>
        <v>119996</v>
      </c>
      <c r="T14" s="156">
        <f>'Balanço Patrimonial Ativo'!S11</f>
        <v>88289</v>
      </c>
      <c r="U14" s="156">
        <v>88289</v>
      </c>
      <c r="V14" s="61">
        <f>'Balanço Patrimonial Ativo'!T10</f>
        <v>130463</v>
      </c>
      <c r="W14" s="156">
        <f>V14</f>
        <v>130463</v>
      </c>
      <c r="X14" s="156">
        <f>'Balanço Patrimonial Ativo'!U10</f>
        <v>217727</v>
      </c>
      <c r="Y14" s="156">
        <f>'Balanço Patrimonial Ativo'!V10</f>
        <v>135283</v>
      </c>
      <c r="Z14" s="156">
        <f>Y14</f>
        <v>135283</v>
      </c>
      <c r="AA14" s="156">
        <f>'Balanço Patrimonial Ativo'!W10</f>
        <v>160885</v>
      </c>
      <c r="AB14" s="156">
        <f>AA14</f>
        <v>160885</v>
      </c>
      <c r="AC14" s="156">
        <f>'Balanço Patrimonial Ativo'!X11</f>
        <v>143888</v>
      </c>
      <c r="AD14" s="156">
        <f>'Balanço Patrimonial Ativo'!X11</f>
        <v>143888</v>
      </c>
      <c r="AE14" s="156">
        <f>'Balanço Patrimonial Ativo'!Y11</f>
        <v>278557</v>
      </c>
      <c r="AF14" s="156">
        <f>'Balanço Patrimonial Ativo'!Z11</f>
        <v>211971</v>
      </c>
      <c r="AG14" s="156">
        <f>AF14</f>
        <v>211971</v>
      </c>
      <c r="AH14" s="156">
        <f>'Balanço Patrimonial Ativo'!AA11</f>
        <v>197455</v>
      </c>
      <c r="AI14" s="156">
        <f>AH14</f>
        <v>197455</v>
      </c>
      <c r="AJ14" s="156">
        <f>'Balanço Patrimonial Ativo'!AB11</f>
        <v>232354</v>
      </c>
      <c r="AK14" s="156">
        <f>AJ14</f>
        <v>232354</v>
      </c>
      <c r="AL14" s="156">
        <f>'Balanço Patrimonial Ativo'!AC11</f>
        <v>206489</v>
      </c>
      <c r="AM14" s="156">
        <f>'Balanço Patrimonial Ativo'!AD11</f>
        <v>187049</v>
      </c>
      <c r="AN14" s="156">
        <f>AM14</f>
        <v>187049</v>
      </c>
      <c r="AO14" s="156">
        <f>'Balanço Patrimonial Ativo'!AE11</f>
        <v>211230</v>
      </c>
      <c r="AP14" s="156">
        <f>AO14</f>
        <v>211230</v>
      </c>
      <c r="AQ14" s="156">
        <f>'Balanço Patrimonial Ativo'!AF11</f>
        <v>239141</v>
      </c>
      <c r="AR14" s="156">
        <f>AQ14</f>
        <v>239141</v>
      </c>
      <c r="AS14" s="156">
        <f>'Balanço Patrimonial Ativo'!AG11</f>
        <v>255259</v>
      </c>
      <c r="AT14" s="156">
        <f>'Balanço Patrimonial Ativo'!AH11</f>
        <v>132618</v>
      </c>
      <c r="AU14" s="156">
        <f>'Balanço Patrimonial Ativo'!AH11</f>
        <v>132618</v>
      </c>
      <c r="AV14" s="156">
        <f>'Balanço Patrimonial Ativo'!AI11</f>
        <v>221843</v>
      </c>
      <c r="AW14" s="156">
        <f>AV14</f>
        <v>221843</v>
      </c>
      <c r="AX14" s="156">
        <f>'Balanço Patrimonial Ativo'!AJ11</f>
        <v>623608</v>
      </c>
      <c r="AY14" s="156">
        <f>AX14</f>
        <v>623608</v>
      </c>
      <c r="AZ14" s="156">
        <v>488689</v>
      </c>
      <c r="BA14" s="156">
        <f>BB14</f>
        <v>312524</v>
      </c>
      <c r="BB14" s="156">
        <v>312524</v>
      </c>
      <c r="BC14" s="156">
        <f>BD14</f>
        <v>410853</v>
      </c>
      <c r="BD14" s="156">
        <v>410853</v>
      </c>
      <c r="BE14" s="156">
        <f>BF14</f>
        <v>888740</v>
      </c>
      <c r="BF14" s="156">
        <v>888740</v>
      </c>
      <c r="BG14" s="156">
        <v>703356</v>
      </c>
      <c r="BH14" s="156">
        <f>BI14</f>
        <v>273836</v>
      </c>
      <c r="BI14" s="156">
        <v>273836</v>
      </c>
      <c r="BJ14" s="156">
        <f>BK14</f>
        <v>497095</v>
      </c>
      <c r="BK14" s="156">
        <v>497095</v>
      </c>
      <c r="BL14" s="156">
        <f>BM14</f>
        <v>611539</v>
      </c>
      <c r="BM14" s="156">
        <v>611539</v>
      </c>
      <c r="BN14" s="156">
        <v>325961</v>
      </c>
      <c r="BO14" s="156">
        <f>BP14</f>
        <v>471911</v>
      </c>
      <c r="BP14" s="156">
        <v>471911</v>
      </c>
      <c r="BQ14" s="156">
        <f>BR14</f>
        <v>393734</v>
      </c>
      <c r="BR14" s="156">
        <v>393734</v>
      </c>
      <c r="BS14" s="156">
        <f>BT14</f>
        <v>512308</v>
      </c>
      <c r="BT14" s="156">
        <v>512308</v>
      </c>
      <c r="BU14" s="156">
        <v>370699</v>
      </c>
      <c r="BV14" s="156">
        <f>BW14</f>
        <v>329933</v>
      </c>
      <c r="BW14" s="156">
        <v>329933</v>
      </c>
      <c r="BX14" s="156">
        <f>BY14</f>
        <v>603930</v>
      </c>
      <c r="BY14" s="156">
        <v>603930</v>
      </c>
      <c r="BZ14" s="156">
        <f>CA14</f>
        <v>829427</v>
      </c>
      <c r="CA14" s="156">
        <v>829427</v>
      </c>
      <c r="CB14" s="156">
        <v>736441</v>
      </c>
      <c r="CC14" s="156">
        <f>CD14</f>
        <v>869482</v>
      </c>
      <c r="CD14" s="156">
        <v>869482</v>
      </c>
      <c r="CE14" s="156">
        <f>CF14</f>
        <v>1069831</v>
      </c>
      <c r="CF14" s="156">
        <v>1069831</v>
      </c>
      <c r="CG14" s="156">
        <f>CH14</f>
        <v>1604053</v>
      </c>
      <c r="CH14" s="156">
        <f>CH13+CH12</f>
        <v>1604053</v>
      </c>
      <c r="CI14" s="156">
        <v>1597610</v>
      </c>
      <c r="CJ14" s="156">
        <f>CK14</f>
        <v>1270308</v>
      </c>
      <c r="CK14" s="156">
        <v>1270308</v>
      </c>
      <c r="CL14" s="156">
        <f>CM14</f>
        <v>725420</v>
      </c>
      <c r="CM14" s="156">
        <v>725420</v>
      </c>
      <c r="CN14" s="156">
        <f>CO14</f>
        <v>139780</v>
      </c>
      <c r="CO14" s="156">
        <f>CO13+CO12</f>
        <v>139780</v>
      </c>
      <c r="CP14" s="156">
        <v>1117157</v>
      </c>
      <c r="CQ14" s="156">
        <f>CR14</f>
        <v>640837</v>
      </c>
      <c r="CR14" s="156">
        <v>640837</v>
      </c>
      <c r="CS14" s="156">
        <f>CT14</f>
        <v>1324819</v>
      </c>
      <c r="CT14" s="156">
        <v>1324819</v>
      </c>
      <c r="CU14" s="156">
        <f>CV14</f>
        <v>1235775</v>
      </c>
      <c r="CV14" s="156">
        <v>1235775</v>
      </c>
      <c r="CW14" s="156">
        <v>1261520</v>
      </c>
      <c r="CX14" s="156">
        <f>CY14</f>
        <v>1160785</v>
      </c>
      <c r="CY14" s="156">
        <v>1160785</v>
      </c>
      <c r="CZ14" s="156">
        <f>DA14</f>
        <v>1662812</v>
      </c>
      <c r="DA14" s="156">
        <v>1662812</v>
      </c>
      <c r="DB14" s="156">
        <v>1613703</v>
      </c>
      <c r="DC14" s="156">
        <v>1613703</v>
      </c>
      <c r="DD14" s="156">
        <v>1863483</v>
      </c>
      <c r="DE14" s="156">
        <v>1108801</v>
      </c>
      <c r="DF14" s="156">
        <f t="shared" si="10"/>
        <v>2972284</v>
      </c>
    </row>
    <row r="15" spans="1:110" x14ac:dyDescent="0.2"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AA15" s="10"/>
      <c r="DF15" s="8">
        <f t="shared" si="10"/>
        <v>0</v>
      </c>
    </row>
    <row r="16" spans="1:110" ht="10.5" x14ac:dyDescent="0.25">
      <c r="A16" s="151" t="s">
        <v>380</v>
      </c>
      <c r="B16" s="155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7"/>
      <c r="R16" s="157"/>
      <c r="S16" s="157"/>
      <c r="T16" s="157"/>
      <c r="U16" s="157"/>
      <c r="V16" s="153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3"/>
      <c r="AW16" s="157"/>
      <c r="AX16" s="153"/>
      <c r="AY16" s="157"/>
      <c r="AZ16" s="157"/>
      <c r="BA16" s="157"/>
      <c r="BB16" s="157"/>
      <c r="BC16" s="157"/>
      <c r="BD16" s="157"/>
      <c r="BE16" s="157"/>
      <c r="BF16" s="157"/>
      <c r="BG16" s="157">
        <f t="shared" ref="BG16:CD16" si="20">BG8+BG9+BG10</f>
        <v>-61331</v>
      </c>
      <c r="BH16" s="157">
        <f t="shared" si="20"/>
        <v>-170145</v>
      </c>
      <c r="BI16" s="157">
        <f t="shared" si="20"/>
        <v>-231476</v>
      </c>
      <c r="BJ16" s="157">
        <f t="shared" si="20"/>
        <v>240752</v>
      </c>
      <c r="BK16" s="157">
        <f t="shared" si="20"/>
        <v>9276</v>
      </c>
      <c r="BL16" s="157">
        <f t="shared" si="20"/>
        <v>231154</v>
      </c>
      <c r="BM16" s="157">
        <f t="shared" si="20"/>
        <v>240430</v>
      </c>
      <c r="BN16" s="157">
        <f t="shared" si="20"/>
        <v>65166</v>
      </c>
      <c r="BO16" s="157">
        <f t="shared" si="20"/>
        <v>38386</v>
      </c>
      <c r="BP16" s="157">
        <f t="shared" si="20"/>
        <v>103552</v>
      </c>
      <c r="BQ16" s="157">
        <f t="shared" si="20"/>
        <v>-75495</v>
      </c>
      <c r="BR16" s="157">
        <f t="shared" si="20"/>
        <v>28057</v>
      </c>
      <c r="BS16" s="157">
        <f t="shared" si="20"/>
        <v>187671</v>
      </c>
      <c r="BT16" s="157">
        <f t="shared" si="20"/>
        <v>215728</v>
      </c>
      <c r="BU16" s="157">
        <f t="shared" si="20"/>
        <v>-201628</v>
      </c>
      <c r="BV16" s="157">
        <f t="shared" si="20"/>
        <v>-90396</v>
      </c>
      <c r="BW16" s="157">
        <f t="shared" si="20"/>
        <v>-292024</v>
      </c>
      <c r="BX16" s="157">
        <f t="shared" si="20"/>
        <v>194032</v>
      </c>
      <c r="BY16" s="157">
        <f t="shared" si="20"/>
        <v>-97992</v>
      </c>
      <c r="BZ16" s="157">
        <f t="shared" si="20"/>
        <v>469853</v>
      </c>
      <c r="CA16" s="157">
        <f t="shared" si="20"/>
        <v>371861</v>
      </c>
      <c r="CB16" s="157">
        <f t="shared" si="20"/>
        <v>-453672</v>
      </c>
      <c r="CC16" s="157">
        <f>CC8+CC9+CC10-1</f>
        <v>167435</v>
      </c>
      <c r="CD16" s="157">
        <f t="shared" si="20"/>
        <v>-286236</v>
      </c>
      <c r="CE16" s="157">
        <f t="shared" ref="CE16:CJ16" si="21">CE8+CE9+CE10</f>
        <v>331258</v>
      </c>
      <c r="CF16" s="157">
        <f t="shared" si="21"/>
        <v>45022</v>
      </c>
      <c r="CG16" s="157">
        <f t="shared" si="21"/>
        <v>569993</v>
      </c>
      <c r="CH16" s="157">
        <f t="shared" si="21"/>
        <v>615015</v>
      </c>
      <c r="CI16" s="157">
        <f t="shared" si="21"/>
        <v>-173786</v>
      </c>
      <c r="CJ16" s="157">
        <f t="shared" si="21"/>
        <v>-71725</v>
      </c>
      <c r="CK16" s="157">
        <f t="shared" ref="CK16:CL16" si="22">CK8+CK9+CK10</f>
        <v>-245511</v>
      </c>
      <c r="CL16" s="157">
        <f t="shared" si="22"/>
        <v>100481</v>
      </c>
      <c r="CM16" s="157">
        <f>CM8+CM9+CM10</f>
        <v>-145030</v>
      </c>
      <c r="CN16" s="157">
        <f t="shared" ref="CN16:CQ16" si="23">CN8+CN9+CN10</f>
        <v>103925</v>
      </c>
      <c r="CO16" s="157">
        <f t="shared" si="23"/>
        <v>-41105</v>
      </c>
      <c r="CP16" s="157">
        <f t="shared" si="23"/>
        <v>460781</v>
      </c>
      <c r="CQ16" s="157">
        <f t="shared" si="23"/>
        <v>-114516</v>
      </c>
      <c r="CR16" s="157">
        <f t="shared" ref="CR16:CW16" si="24">CR8+CR9+CR10</f>
        <v>346265</v>
      </c>
      <c r="CS16" s="157">
        <f t="shared" si="24"/>
        <v>354105</v>
      </c>
      <c r="CT16" s="157">
        <f t="shared" si="24"/>
        <v>700370</v>
      </c>
      <c r="CU16" s="157">
        <f t="shared" si="24"/>
        <v>805594</v>
      </c>
      <c r="CV16" s="157">
        <f t="shared" si="24"/>
        <v>1505964</v>
      </c>
      <c r="CW16" s="157">
        <f t="shared" si="24"/>
        <v>-419074</v>
      </c>
      <c r="CX16" s="157">
        <f>CX8+CX9+CX10</f>
        <v>73678</v>
      </c>
      <c r="CY16" s="157">
        <f>CY8+CY9+CY10</f>
        <v>-345396</v>
      </c>
      <c r="CZ16" s="157">
        <f t="shared" ref="CZ16:DD16" si="25">CZ8+CZ9+CZ10</f>
        <v>617499</v>
      </c>
      <c r="DA16" s="157">
        <f t="shared" si="25"/>
        <v>272103</v>
      </c>
      <c r="DB16" s="157">
        <f t="shared" si="25"/>
        <v>724302</v>
      </c>
      <c r="DC16" s="157">
        <f t="shared" si="25"/>
        <v>996405</v>
      </c>
      <c r="DD16" s="157">
        <f t="shared" si="25"/>
        <v>-126996</v>
      </c>
      <c r="DE16" s="157">
        <f t="shared" ref="DE16:DF16" si="26">DE8+DE9+DE10</f>
        <v>-199849</v>
      </c>
      <c r="DF16" s="157">
        <f t="shared" si="10"/>
        <v>-326845</v>
      </c>
    </row>
    <row r="17" spans="1:110" x14ac:dyDescent="0.2">
      <c r="A17" s="158" t="s">
        <v>381</v>
      </c>
      <c r="B17" s="155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156"/>
      <c r="R17" s="156"/>
      <c r="S17" s="156"/>
      <c r="T17" s="156"/>
      <c r="U17" s="156"/>
      <c r="V17" s="61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>
        <v>67757</v>
      </c>
      <c r="BH17" s="156">
        <v>-42814</v>
      </c>
      <c r="BI17" s="156">
        <v>24943</v>
      </c>
      <c r="BJ17" s="156">
        <v>-71609</v>
      </c>
      <c r="BK17" s="156">
        <v>-46666</v>
      </c>
      <c r="BL17" s="156">
        <v>8689</v>
      </c>
      <c r="BM17" s="156">
        <v>-37977</v>
      </c>
      <c r="BN17" s="156">
        <v>-43045</v>
      </c>
      <c r="BO17" s="156">
        <v>-43254</v>
      </c>
      <c r="BP17" s="156">
        <v>-86299</v>
      </c>
      <c r="BQ17" s="156">
        <v>-385</v>
      </c>
      <c r="BR17" s="156">
        <v>-86684</v>
      </c>
      <c r="BS17" s="156">
        <v>79323</v>
      </c>
      <c r="BT17" s="156">
        <v>-7361</v>
      </c>
      <c r="BU17" s="156">
        <v>-74258</v>
      </c>
      <c r="BV17" s="156">
        <v>6579</v>
      </c>
      <c r="BW17" s="156">
        <v>-67679</v>
      </c>
      <c r="BX17" s="156">
        <v>36070</v>
      </c>
      <c r="BY17" s="156">
        <v>-31609</v>
      </c>
      <c r="BZ17" s="156">
        <v>-42827</v>
      </c>
      <c r="CA17" s="156">
        <v>-74436</v>
      </c>
      <c r="CB17" s="156">
        <v>-17998</v>
      </c>
      <c r="CC17" s="156">
        <v>-15630</v>
      </c>
      <c r="CD17" s="156">
        <v>-33628</v>
      </c>
      <c r="CE17" s="156">
        <v>-11704</v>
      </c>
      <c r="CF17" s="156">
        <v>-45332</v>
      </c>
      <c r="CG17" s="156">
        <v>-9997</v>
      </c>
      <c r="CH17" s="156">
        <v>-55329</v>
      </c>
      <c r="CI17" s="156">
        <v>2</v>
      </c>
      <c r="CJ17" s="156">
        <v>4</v>
      </c>
      <c r="CK17" s="156">
        <f>CI17+CJ17</f>
        <v>6</v>
      </c>
      <c r="CL17" s="156">
        <v>6</v>
      </c>
      <c r="CM17" s="156">
        <f>CL17+CK17</f>
        <v>12</v>
      </c>
      <c r="CN17" s="156">
        <v>9</v>
      </c>
      <c r="CO17" s="156">
        <v>21</v>
      </c>
      <c r="CP17" s="156">
        <v>13</v>
      </c>
      <c r="CQ17" s="156">
        <v>15</v>
      </c>
      <c r="CR17" s="156">
        <f>CP17+CQ17</f>
        <v>28</v>
      </c>
      <c r="CS17" s="156">
        <v>17</v>
      </c>
      <c r="CT17" s="156">
        <f>CS17+CR17</f>
        <v>45</v>
      </c>
      <c r="CU17" s="156">
        <v>-18</v>
      </c>
      <c r="CV17" s="156">
        <v>-63</v>
      </c>
      <c r="CW17" s="156">
        <v>18</v>
      </c>
      <c r="CX17" s="156">
        <v>279</v>
      </c>
      <c r="CY17" s="156">
        <f>CW17+CX17</f>
        <v>297</v>
      </c>
      <c r="CZ17" s="156">
        <v>26</v>
      </c>
      <c r="DA17" s="156">
        <v>323</v>
      </c>
      <c r="DB17" s="156">
        <f>DC17-DA17</f>
        <v>45</v>
      </c>
      <c r="DC17" s="156">
        <v>368</v>
      </c>
      <c r="DD17" s="156">
        <v>97</v>
      </c>
      <c r="DE17" s="156">
        <v>306</v>
      </c>
      <c r="DF17" s="156">
        <f t="shared" si="10"/>
        <v>403</v>
      </c>
    </row>
    <row r="18" spans="1:110" x14ac:dyDescent="0.2">
      <c r="A18" s="158" t="s">
        <v>382</v>
      </c>
      <c r="B18" s="155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156"/>
      <c r="R18" s="156"/>
      <c r="S18" s="156"/>
      <c r="T18" s="156"/>
      <c r="U18" s="156"/>
      <c r="V18" s="61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>
        <v>0</v>
      </c>
      <c r="BI18" s="156">
        <v>0</v>
      </c>
      <c r="BJ18" s="156">
        <v>0</v>
      </c>
      <c r="BK18" s="156">
        <v>0</v>
      </c>
      <c r="BL18" s="156">
        <v>0</v>
      </c>
      <c r="BM18" s="156">
        <v>0</v>
      </c>
      <c r="BN18" s="156">
        <v>0</v>
      </c>
      <c r="BO18" s="156">
        <v>0</v>
      </c>
      <c r="BP18" s="156">
        <v>0</v>
      </c>
      <c r="BQ18" s="156">
        <v>0</v>
      </c>
      <c r="BR18" s="156">
        <v>0</v>
      </c>
      <c r="BS18" s="156">
        <v>0</v>
      </c>
      <c r="BT18" s="156">
        <v>0</v>
      </c>
      <c r="BU18" s="156">
        <v>0</v>
      </c>
      <c r="BV18" s="156">
        <v>-48318</v>
      </c>
      <c r="BW18" s="156">
        <v>-48318</v>
      </c>
      <c r="BX18" s="156">
        <v>-12823</v>
      </c>
      <c r="BY18" s="156">
        <v>-61141</v>
      </c>
      <c r="BZ18" s="156">
        <v>-17788</v>
      </c>
      <c r="CA18" s="156">
        <v>-78929</v>
      </c>
      <c r="CB18" s="156">
        <v>-13411</v>
      </c>
      <c r="CC18" s="156">
        <v>-95323</v>
      </c>
      <c r="CD18" s="156">
        <v>-108734</v>
      </c>
      <c r="CE18" s="156">
        <v>-4406</v>
      </c>
      <c r="CF18" s="156">
        <v>-113140</v>
      </c>
      <c r="CG18" s="156">
        <v>-16494</v>
      </c>
      <c r="CH18" s="156">
        <v>-129634</v>
      </c>
      <c r="CI18" s="156">
        <v>-13928</v>
      </c>
      <c r="CJ18" s="156">
        <v>-189976</v>
      </c>
      <c r="CK18" s="156">
        <f>CI18+CJ18</f>
        <v>-203904</v>
      </c>
      <c r="CL18" s="156">
        <v>-17952</v>
      </c>
      <c r="CM18" s="156">
        <f>CL18+CK18</f>
        <v>-221856</v>
      </c>
      <c r="CN18" s="156">
        <v>-9084</v>
      </c>
      <c r="CO18" s="156">
        <v>-230940</v>
      </c>
      <c r="CP18" s="156">
        <v>-11515</v>
      </c>
      <c r="CQ18" s="156">
        <v>-466266</v>
      </c>
      <c r="CR18" s="156">
        <f>CP18+CQ18</f>
        <v>-477781</v>
      </c>
      <c r="CS18" s="156">
        <v>-13500</v>
      </c>
      <c r="CT18" s="156">
        <f>CS18+CR18</f>
        <v>-491281</v>
      </c>
      <c r="CU18" s="156">
        <v>-20057</v>
      </c>
      <c r="CV18" s="156">
        <f>CU18+CT18</f>
        <v>-511338</v>
      </c>
      <c r="CW18" s="156">
        <v>-23500</v>
      </c>
      <c r="CX18" s="156">
        <v>-533014</v>
      </c>
      <c r="CY18" s="156">
        <v>-483530</v>
      </c>
      <c r="CZ18" s="156">
        <v>-37125</v>
      </c>
      <c r="DA18" s="156">
        <v>-520655</v>
      </c>
      <c r="DB18" s="156">
        <f>DC18-DA18</f>
        <v>-47355</v>
      </c>
      <c r="DC18" s="156">
        <v>-568010</v>
      </c>
      <c r="DD18" s="156">
        <v>-68850</v>
      </c>
      <c r="DE18" s="156">
        <v>-343463</v>
      </c>
      <c r="DF18" s="156">
        <f t="shared" si="10"/>
        <v>-412313</v>
      </c>
    </row>
    <row r="19" spans="1:110" ht="10.5" x14ac:dyDescent="0.25">
      <c r="A19" s="151" t="s">
        <v>383</v>
      </c>
      <c r="B19" s="155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7"/>
      <c r="R19" s="157"/>
      <c r="S19" s="157"/>
      <c r="T19" s="157"/>
      <c r="U19" s="157"/>
      <c r="V19" s="153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3"/>
      <c r="AW19" s="157"/>
      <c r="AX19" s="153"/>
      <c r="AY19" s="157"/>
      <c r="AZ19" s="157"/>
      <c r="BA19" s="157"/>
      <c r="BB19" s="157"/>
      <c r="BC19" s="157"/>
      <c r="BD19" s="157"/>
      <c r="BE19" s="157"/>
      <c r="BF19" s="157"/>
      <c r="BG19" s="157">
        <f t="shared" ref="BG19:CV19" si="27">BG16+BG17+BG18</f>
        <v>6426</v>
      </c>
      <c r="BH19" s="157">
        <f t="shared" si="27"/>
        <v>-212959</v>
      </c>
      <c r="BI19" s="157">
        <f t="shared" si="27"/>
        <v>-206533</v>
      </c>
      <c r="BJ19" s="157">
        <f t="shared" si="27"/>
        <v>169143</v>
      </c>
      <c r="BK19" s="157">
        <f t="shared" si="27"/>
        <v>-37390</v>
      </c>
      <c r="BL19" s="157">
        <f t="shared" si="27"/>
        <v>239843</v>
      </c>
      <c r="BM19" s="157">
        <f t="shared" si="27"/>
        <v>202453</v>
      </c>
      <c r="BN19" s="157">
        <f t="shared" si="27"/>
        <v>22121</v>
      </c>
      <c r="BO19" s="157">
        <f t="shared" si="27"/>
        <v>-4868</v>
      </c>
      <c r="BP19" s="157">
        <f t="shared" si="27"/>
        <v>17253</v>
      </c>
      <c r="BQ19" s="157">
        <f t="shared" si="27"/>
        <v>-75880</v>
      </c>
      <c r="BR19" s="157">
        <f t="shared" si="27"/>
        <v>-58627</v>
      </c>
      <c r="BS19" s="157">
        <f t="shared" si="27"/>
        <v>266994</v>
      </c>
      <c r="BT19" s="157">
        <f t="shared" si="27"/>
        <v>208367</v>
      </c>
      <c r="BU19" s="157">
        <f t="shared" si="27"/>
        <v>-275886</v>
      </c>
      <c r="BV19" s="157">
        <f t="shared" si="27"/>
        <v>-132135</v>
      </c>
      <c r="BW19" s="157">
        <f t="shared" si="27"/>
        <v>-408021</v>
      </c>
      <c r="BX19" s="157">
        <f t="shared" si="27"/>
        <v>217279</v>
      </c>
      <c r="BY19" s="157">
        <f t="shared" si="27"/>
        <v>-190742</v>
      </c>
      <c r="BZ19" s="157">
        <f t="shared" si="27"/>
        <v>409238</v>
      </c>
      <c r="CA19" s="157">
        <f t="shared" si="27"/>
        <v>218496</v>
      </c>
      <c r="CB19" s="157">
        <f t="shared" si="27"/>
        <v>-485081</v>
      </c>
      <c r="CC19" s="157">
        <f t="shared" si="27"/>
        <v>56482</v>
      </c>
      <c r="CD19" s="157">
        <f t="shared" si="27"/>
        <v>-428598</v>
      </c>
      <c r="CE19" s="157">
        <f t="shared" si="27"/>
        <v>315148</v>
      </c>
      <c r="CF19" s="157">
        <f t="shared" si="27"/>
        <v>-113450</v>
      </c>
      <c r="CG19" s="157">
        <f t="shared" si="27"/>
        <v>543502</v>
      </c>
      <c r="CH19" s="157">
        <f t="shared" si="27"/>
        <v>430052</v>
      </c>
      <c r="CI19" s="157">
        <f t="shared" si="27"/>
        <v>-187712</v>
      </c>
      <c r="CJ19" s="157">
        <f t="shared" si="27"/>
        <v>-261697</v>
      </c>
      <c r="CK19" s="157">
        <f t="shared" si="27"/>
        <v>-449409</v>
      </c>
      <c r="CL19" s="157">
        <f t="shared" si="27"/>
        <v>82535</v>
      </c>
      <c r="CM19" s="157">
        <f t="shared" si="27"/>
        <v>-366874</v>
      </c>
      <c r="CN19" s="157">
        <f t="shared" si="27"/>
        <v>94850</v>
      </c>
      <c r="CO19" s="157">
        <f t="shared" si="27"/>
        <v>-272024</v>
      </c>
      <c r="CP19" s="157">
        <f t="shared" si="27"/>
        <v>449279</v>
      </c>
      <c r="CQ19" s="157">
        <f t="shared" si="27"/>
        <v>-580767</v>
      </c>
      <c r="CR19" s="157">
        <f t="shared" si="27"/>
        <v>-131488</v>
      </c>
      <c r="CS19" s="157">
        <f t="shared" si="27"/>
        <v>340622</v>
      </c>
      <c r="CT19" s="157">
        <f t="shared" si="27"/>
        <v>209134</v>
      </c>
      <c r="CU19" s="157">
        <f t="shared" si="27"/>
        <v>785519</v>
      </c>
      <c r="CV19" s="157">
        <f t="shared" si="27"/>
        <v>994563</v>
      </c>
      <c r="CW19" s="157">
        <f>CW16+CW17+CW18</f>
        <v>-442556</v>
      </c>
      <c r="CX19" s="157">
        <f>CX16+CX17+CX18</f>
        <v>-459057</v>
      </c>
      <c r="CY19" s="157">
        <f>CY16+CY17+CY18</f>
        <v>-828629</v>
      </c>
      <c r="CZ19" s="157">
        <f t="shared" ref="CZ19:DC19" si="28">CZ16+CZ17+CZ18</f>
        <v>580400</v>
      </c>
      <c r="DA19" s="157">
        <f t="shared" si="28"/>
        <v>-248229</v>
      </c>
      <c r="DB19" s="157">
        <f t="shared" si="28"/>
        <v>676992</v>
      </c>
      <c r="DC19" s="157">
        <f t="shared" si="28"/>
        <v>428763</v>
      </c>
      <c r="DD19" s="157">
        <f>DD16+DD17+DD18</f>
        <v>-195749</v>
      </c>
      <c r="DE19" s="157">
        <f t="shared" ref="DE19:DF19" si="29">DE16+DE17+DE18</f>
        <v>-543006</v>
      </c>
      <c r="DF19" s="157">
        <f t="shared" si="10"/>
        <v>-738755</v>
      </c>
    </row>
    <row r="20" spans="1:110" ht="10.5" x14ac:dyDescent="0.25"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S20" s="159"/>
      <c r="T20" s="10"/>
      <c r="U20" s="159"/>
      <c r="V20" s="159"/>
      <c r="W20" s="159"/>
      <c r="AO20" s="188"/>
      <c r="AQ20" s="188"/>
      <c r="AS20" s="188"/>
      <c r="AT20" s="188"/>
      <c r="AU20" s="188"/>
      <c r="AV20" s="188"/>
      <c r="AW20" s="188"/>
      <c r="AX20" s="188"/>
      <c r="AY20" s="188"/>
      <c r="CN20" s="10"/>
      <c r="DE20" s="220"/>
      <c r="DF20" s="220"/>
    </row>
    <row r="21" spans="1:110" ht="12.5" x14ac:dyDescent="0.25"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T21" s="10"/>
      <c r="BS21" s="10"/>
      <c r="CN21" s="10"/>
      <c r="CR21" s="10"/>
      <c r="CX21" s="217"/>
    </row>
    <row r="22" spans="1:110" x14ac:dyDescent="0.2"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T22" s="10"/>
      <c r="U22" s="10"/>
      <c r="V22" s="10"/>
      <c r="W22" s="10"/>
      <c r="CX22" s="10"/>
    </row>
    <row r="23" spans="1:110" x14ac:dyDescent="0.2"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T23" s="10"/>
    </row>
    <row r="24" spans="1:110" x14ac:dyDescent="0.2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T24" s="10"/>
      <c r="U24" s="159"/>
      <c r="V24" s="159"/>
      <c r="W24" s="159"/>
    </row>
    <row r="25" spans="1:110" x14ac:dyDescent="0.2">
      <c r="U25" s="159"/>
      <c r="V25" s="159"/>
      <c r="W25" s="159"/>
    </row>
    <row r="26" spans="1:110" x14ac:dyDescent="0.2">
      <c r="U26" s="159"/>
      <c r="V26" s="159"/>
      <c r="W26" s="159"/>
    </row>
    <row r="27" spans="1:110" x14ac:dyDescent="0.2">
      <c r="U27" s="159"/>
      <c r="V27" s="159"/>
      <c r="W27" s="159"/>
    </row>
  </sheetData>
  <mergeCells count="2">
    <mergeCell ref="A2:AD2"/>
    <mergeCell ref="A3:AF3"/>
  </mergeCells>
  <phoneticPr fontId="21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593C"/>
  </sheetPr>
  <dimension ref="A1:DH38"/>
  <sheetViews>
    <sheetView showGridLines="0" zoomScale="110" zoomScaleNormal="110" workbookViewId="0">
      <pane xSplit="1" ySplit="7" topLeftCell="CQ8" activePane="bottomRight" state="frozen"/>
      <selection pane="topRight" activeCell="C1" sqref="C1"/>
      <selection pane="bottomLeft" activeCell="A8" sqref="A8"/>
      <selection pane="bottomRight" activeCell="CT38" sqref="CT38:CU38"/>
    </sheetView>
  </sheetViews>
  <sheetFormatPr defaultColWidth="9.1796875" defaultRowHeight="10" x14ac:dyDescent="0.2"/>
  <cols>
    <col min="1" max="1" width="28.26953125" style="8" customWidth="1"/>
    <col min="2" max="35" width="7.453125" style="8" hidden="1" customWidth="1"/>
    <col min="36" max="38" width="8.7265625" style="8" hidden="1" customWidth="1"/>
    <col min="39" max="39" width="7.453125" style="8" hidden="1" customWidth="1"/>
    <col min="40" max="40" width="8.7265625" style="8" hidden="1" customWidth="1"/>
    <col min="41" max="41" width="7.453125" style="8" hidden="1" customWidth="1"/>
    <col min="42" max="50" width="8.7265625" style="8" hidden="1" customWidth="1"/>
    <col min="51" max="92" width="0" style="8" hidden="1" customWidth="1"/>
    <col min="93" max="95" width="9.1796875" style="8"/>
    <col min="96" max="99" width="9.1796875" style="8" customWidth="1"/>
    <col min="100" max="100" width="7.08984375" style="8" bestFit="1" customWidth="1"/>
    <col min="101" max="107" width="9.1796875" style="8"/>
    <col min="108" max="108" width="11" style="8" bestFit="1" customWidth="1"/>
    <col min="109" max="16384" width="9.1796875" style="8"/>
  </cols>
  <sheetData>
    <row r="1" spans="1:112" ht="10.5" x14ac:dyDescent="0.25">
      <c r="A1" s="39"/>
      <c r="N1" s="40"/>
      <c r="Q1" s="40"/>
    </row>
    <row r="2" spans="1:112" ht="15.5" x14ac:dyDescent="0.35">
      <c r="A2" s="238" t="s">
        <v>384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</row>
    <row r="3" spans="1:112" ht="15.5" x14ac:dyDescent="0.35">
      <c r="A3" s="238" t="s">
        <v>351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CU3" s="223"/>
    </row>
    <row r="4" spans="1:112" ht="10.5" x14ac:dyDescent="0.25">
      <c r="CT4" s="137"/>
    </row>
    <row r="5" spans="1:112" ht="15.5" x14ac:dyDescent="0.35">
      <c r="A5" s="144" t="s">
        <v>385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  <c r="BU5" s="139"/>
      <c r="BV5" s="139"/>
      <c r="BW5" s="139"/>
      <c r="BX5" s="139"/>
      <c r="BY5" s="139"/>
      <c r="BZ5" s="139"/>
      <c r="CA5" s="139"/>
      <c r="CB5" s="139"/>
      <c r="CC5" s="139"/>
      <c r="CD5" s="139"/>
      <c r="CE5" s="139"/>
      <c r="CF5" s="139"/>
      <c r="CG5" s="139"/>
      <c r="CH5" s="139"/>
      <c r="CI5" s="139"/>
      <c r="CJ5" s="139"/>
      <c r="CK5" s="139"/>
      <c r="CL5" s="139"/>
      <c r="CM5" s="139"/>
      <c r="CN5" s="139"/>
      <c r="CO5" s="139"/>
      <c r="CP5" s="139"/>
      <c r="CQ5" s="139"/>
      <c r="CR5" s="139"/>
      <c r="CS5" s="139"/>
      <c r="CT5" s="139"/>
      <c r="CU5" s="139"/>
      <c r="CV5" s="139"/>
      <c r="CW5" s="139"/>
      <c r="CX5" s="139"/>
      <c r="CY5" s="139"/>
      <c r="CZ5" s="139"/>
      <c r="DA5" s="139"/>
      <c r="DB5" s="139"/>
      <c r="DC5" s="139"/>
    </row>
    <row r="6" spans="1:112" ht="10.5" x14ac:dyDescent="0.25">
      <c r="A6" s="137"/>
    </row>
    <row r="7" spans="1:112" ht="10.5" x14ac:dyDescent="0.25">
      <c r="A7" s="12"/>
      <c r="B7" s="13" t="s">
        <v>22</v>
      </c>
      <c r="C7" s="13" t="s">
        <v>23</v>
      </c>
      <c r="D7" s="13" t="s">
        <v>198</v>
      </c>
      <c r="E7" s="13" t="s">
        <v>24</v>
      </c>
      <c r="F7" s="13" t="s">
        <v>199</v>
      </c>
      <c r="G7" s="13" t="s">
        <v>200</v>
      </c>
      <c r="H7" s="207" t="s">
        <v>25</v>
      </c>
      <c r="I7" s="13" t="s">
        <v>26</v>
      </c>
      <c r="J7" s="13" t="s">
        <v>27</v>
      </c>
      <c r="K7" s="13" t="s">
        <v>201</v>
      </c>
      <c r="L7" s="13" t="s">
        <v>28</v>
      </c>
      <c r="M7" s="13" t="s">
        <v>202</v>
      </c>
      <c r="N7" s="13" t="s">
        <v>203</v>
      </c>
      <c r="O7" s="207" t="s">
        <v>29</v>
      </c>
      <c r="P7" s="13" t="s">
        <v>30</v>
      </c>
      <c r="Q7" s="13" t="s">
        <v>31</v>
      </c>
      <c r="R7" s="13" t="s">
        <v>204</v>
      </c>
      <c r="S7" s="13" t="s">
        <v>32</v>
      </c>
      <c r="T7" s="13" t="s">
        <v>205</v>
      </c>
      <c r="U7" s="13" t="s">
        <v>206</v>
      </c>
      <c r="V7" s="207" t="s">
        <v>33</v>
      </c>
      <c r="W7" s="13" t="s">
        <v>34</v>
      </c>
      <c r="X7" s="13" t="s">
        <v>35</v>
      </c>
      <c r="Y7" s="13" t="s">
        <v>207</v>
      </c>
      <c r="Z7" s="13" t="s">
        <v>36</v>
      </c>
      <c r="AA7" s="13" t="s">
        <v>208</v>
      </c>
      <c r="AB7" s="13" t="s">
        <v>209</v>
      </c>
      <c r="AC7" s="207" t="s">
        <v>37</v>
      </c>
      <c r="AD7" s="13" t="s">
        <v>38</v>
      </c>
      <c r="AE7" s="13" t="s">
        <v>39</v>
      </c>
      <c r="AF7" s="13" t="s">
        <v>210</v>
      </c>
      <c r="AG7" s="13" t="s">
        <v>40</v>
      </c>
      <c r="AH7" s="13" t="s">
        <v>211</v>
      </c>
      <c r="AI7" s="13" t="s">
        <v>212</v>
      </c>
      <c r="AJ7" s="207" t="s">
        <v>41</v>
      </c>
      <c r="AK7" s="13" t="s">
        <v>213</v>
      </c>
      <c r="AL7" s="13" t="s">
        <v>214</v>
      </c>
      <c r="AM7" s="13" t="s">
        <v>353</v>
      </c>
      <c r="AN7" s="13" t="s">
        <v>216</v>
      </c>
      <c r="AO7" s="13" t="s">
        <v>217</v>
      </c>
      <c r="AP7" s="13" t="s">
        <v>218</v>
      </c>
      <c r="AQ7" s="189" t="s">
        <v>45</v>
      </c>
      <c r="AR7" s="197" t="s">
        <v>219</v>
      </c>
      <c r="AS7" s="197" t="s">
        <v>220</v>
      </c>
      <c r="AT7" s="197" t="s">
        <v>221</v>
      </c>
      <c r="AU7" s="197" t="s">
        <v>222</v>
      </c>
      <c r="AV7" s="197" t="s">
        <v>223</v>
      </c>
      <c r="AW7" s="197" t="s">
        <v>224</v>
      </c>
      <c r="AX7" s="198" t="s">
        <v>49</v>
      </c>
      <c r="AY7" s="197" t="s">
        <v>225</v>
      </c>
      <c r="AZ7" s="197" t="s">
        <v>226</v>
      </c>
      <c r="BA7" s="197" t="s">
        <v>227</v>
      </c>
      <c r="BB7" s="197" t="s">
        <v>228</v>
      </c>
      <c r="BC7" s="197" t="s">
        <v>229</v>
      </c>
      <c r="BD7" s="197" t="s">
        <v>230</v>
      </c>
      <c r="BE7" s="207" t="s">
        <v>53</v>
      </c>
      <c r="BF7" s="197" t="s">
        <v>231</v>
      </c>
      <c r="BG7" s="197" t="s">
        <v>232</v>
      </c>
      <c r="BH7" s="197" t="s">
        <v>233</v>
      </c>
      <c r="BI7" s="197" t="s">
        <v>234</v>
      </c>
      <c r="BJ7" s="197" t="s">
        <v>235</v>
      </c>
      <c r="BK7" s="197" t="s">
        <v>236</v>
      </c>
      <c r="BL7" s="207" t="s">
        <v>57</v>
      </c>
      <c r="BM7" s="197" t="s">
        <v>237</v>
      </c>
      <c r="BN7" s="197" t="s">
        <v>238</v>
      </c>
      <c r="BO7" s="197" t="s">
        <v>239</v>
      </c>
      <c r="BP7" s="197" t="s">
        <v>240</v>
      </c>
      <c r="BQ7" s="197" t="s">
        <v>241</v>
      </c>
      <c r="BR7" s="197" t="s">
        <v>242</v>
      </c>
      <c r="BS7" s="207" t="s">
        <v>61</v>
      </c>
      <c r="BT7" s="197" t="s">
        <v>243</v>
      </c>
      <c r="BU7" s="197" t="s">
        <v>244</v>
      </c>
      <c r="BV7" s="197" t="s">
        <v>245</v>
      </c>
      <c r="BW7" s="197" t="s">
        <v>246</v>
      </c>
      <c r="BX7" s="197" t="s">
        <v>247</v>
      </c>
      <c r="BY7" s="197" t="s">
        <v>248</v>
      </c>
      <c r="BZ7" s="207">
        <v>2019</v>
      </c>
      <c r="CA7" s="197" t="s">
        <v>249</v>
      </c>
      <c r="CB7" s="197" t="s">
        <v>250</v>
      </c>
      <c r="CC7" s="197" t="s">
        <v>251</v>
      </c>
      <c r="CD7" s="197" t="s">
        <v>252</v>
      </c>
      <c r="CE7" s="197" t="s">
        <v>253</v>
      </c>
      <c r="CF7" s="197" t="s">
        <v>254</v>
      </c>
      <c r="CG7" s="207" t="s">
        <v>134</v>
      </c>
      <c r="CH7" s="197" t="s">
        <v>255</v>
      </c>
      <c r="CI7" s="197" t="s">
        <v>256</v>
      </c>
      <c r="CJ7" s="197" t="s">
        <v>257</v>
      </c>
      <c r="CK7" s="197" t="s">
        <v>258</v>
      </c>
      <c r="CL7" s="197" t="s">
        <v>259</v>
      </c>
      <c r="CM7" s="197" t="s">
        <v>260</v>
      </c>
      <c r="CN7" s="207" t="s">
        <v>72</v>
      </c>
      <c r="CO7" s="197" t="s">
        <v>135</v>
      </c>
      <c r="CP7" s="197" t="s">
        <v>394</v>
      </c>
      <c r="CQ7" s="197" t="s">
        <v>395</v>
      </c>
      <c r="CR7" s="197" t="s">
        <v>398</v>
      </c>
      <c r="CS7" s="197" t="s">
        <v>399</v>
      </c>
      <c r="CT7" s="197" t="s">
        <v>403</v>
      </c>
      <c r="CU7" s="207" t="s">
        <v>400</v>
      </c>
      <c r="CV7" s="197" t="s">
        <v>406</v>
      </c>
      <c r="CW7" s="197" t="s">
        <v>407</v>
      </c>
      <c r="CX7" s="197" t="s">
        <v>408</v>
      </c>
      <c r="CY7" s="197" t="s">
        <v>415</v>
      </c>
      <c r="CZ7" s="197" t="s">
        <v>416</v>
      </c>
      <c r="DA7" s="197" t="s">
        <v>423</v>
      </c>
      <c r="DB7" s="207" t="s">
        <v>424</v>
      </c>
      <c r="DC7" s="234" t="s">
        <v>433</v>
      </c>
      <c r="DD7" s="234" t="s">
        <v>436</v>
      </c>
      <c r="DE7" s="234" t="s">
        <v>437</v>
      </c>
    </row>
    <row r="8" spans="1:112" ht="10.5" x14ac:dyDescent="0.25">
      <c r="A8" s="138" t="s">
        <v>386</v>
      </c>
      <c r="B8" s="143">
        <f t="shared" ref="B8:AR8" si="0">SUM(B9:B13)</f>
        <v>158970</v>
      </c>
      <c r="C8" s="143">
        <f t="shared" si="0"/>
        <v>175028</v>
      </c>
      <c r="D8" s="143">
        <f t="shared" si="0"/>
        <v>333998</v>
      </c>
      <c r="E8" s="143">
        <f t="shared" si="0"/>
        <v>270215</v>
      </c>
      <c r="F8" s="143">
        <f t="shared" si="0"/>
        <v>604213</v>
      </c>
      <c r="G8" s="143">
        <f t="shared" si="0"/>
        <v>182173</v>
      </c>
      <c r="H8" s="143">
        <f t="shared" si="0"/>
        <v>786386</v>
      </c>
      <c r="I8" s="143">
        <f t="shared" si="0"/>
        <v>178441</v>
      </c>
      <c r="J8" s="143">
        <f t="shared" si="0"/>
        <v>190424</v>
      </c>
      <c r="K8" s="143">
        <f t="shared" si="0"/>
        <v>368865</v>
      </c>
      <c r="L8" s="143">
        <f t="shared" si="0"/>
        <v>231063</v>
      </c>
      <c r="M8" s="143">
        <f t="shared" si="0"/>
        <v>599928</v>
      </c>
      <c r="N8" s="143">
        <f t="shared" si="0"/>
        <v>278679</v>
      </c>
      <c r="O8" s="143">
        <f t="shared" si="0"/>
        <v>878607</v>
      </c>
      <c r="P8" s="143">
        <f t="shared" si="0"/>
        <v>110929</v>
      </c>
      <c r="Q8" s="143">
        <f t="shared" si="0"/>
        <v>208038</v>
      </c>
      <c r="R8" s="143">
        <f t="shared" si="0"/>
        <v>318967</v>
      </c>
      <c r="S8" s="143">
        <f t="shared" si="0"/>
        <v>243464</v>
      </c>
      <c r="T8" s="143">
        <f t="shared" si="0"/>
        <v>562431</v>
      </c>
      <c r="U8" s="143">
        <f t="shared" si="0"/>
        <v>252491</v>
      </c>
      <c r="V8" s="143">
        <f t="shared" si="0"/>
        <v>814922</v>
      </c>
      <c r="W8" s="143">
        <f t="shared" si="0"/>
        <v>204118</v>
      </c>
      <c r="X8" s="143">
        <f t="shared" si="0"/>
        <v>240134</v>
      </c>
      <c r="Y8" s="143">
        <f t="shared" si="0"/>
        <v>444252</v>
      </c>
      <c r="Z8" s="143">
        <f t="shared" si="0"/>
        <v>284901</v>
      </c>
      <c r="AA8" s="143">
        <f t="shared" si="0"/>
        <v>729153</v>
      </c>
      <c r="AB8" s="143">
        <f t="shared" si="0"/>
        <v>259957</v>
      </c>
      <c r="AC8" s="143">
        <f t="shared" si="0"/>
        <v>989110</v>
      </c>
      <c r="AD8" s="143">
        <f t="shared" si="0"/>
        <v>217311</v>
      </c>
      <c r="AE8" s="143">
        <f t="shared" si="0"/>
        <v>252524</v>
      </c>
      <c r="AF8" s="143">
        <f t="shared" si="0"/>
        <v>469835</v>
      </c>
      <c r="AG8" s="143">
        <f t="shared" si="0"/>
        <v>298513</v>
      </c>
      <c r="AH8" s="143">
        <f t="shared" si="0"/>
        <v>768348</v>
      </c>
      <c r="AI8" s="143">
        <f t="shared" si="0"/>
        <v>304623</v>
      </c>
      <c r="AJ8" s="143">
        <f t="shared" si="0"/>
        <v>1072971</v>
      </c>
      <c r="AK8" s="143">
        <f t="shared" si="0"/>
        <v>218343</v>
      </c>
      <c r="AL8" s="143">
        <f t="shared" si="0"/>
        <v>353821</v>
      </c>
      <c r="AM8" s="143">
        <f t="shared" si="0"/>
        <v>572164</v>
      </c>
      <c r="AN8" s="143">
        <f t="shared" si="0"/>
        <v>368204</v>
      </c>
      <c r="AO8" s="143">
        <f t="shared" si="0"/>
        <v>940368</v>
      </c>
      <c r="AP8" s="143">
        <f t="shared" si="0"/>
        <v>408916</v>
      </c>
      <c r="AQ8" s="143">
        <f t="shared" si="0"/>
        <v>1349284</v>
      </c>
      <c r="AR8" s="143">
        <f t="shared" si="0"/>
        <v>261527</v>
      </c>
      <c r="AS8" s="143">
        <f>AT8-AR8</f>
        <v>387488</v>
      </c>
      <c r="AT8" s="143">
        <f t="shared" ref="AT8:CI8" si="1">SUM(AT9:AT13)</f>
        <v>649015</v>
      </c>
      <c r="AU8" s="143">
        <f t="shared" si="1"/>
        <v>372536</v>
      </c>
      <c r="AV8" s="143">
        <f t="shared" si="1"/>
        <v>1021551</v>
      </c>
      <c r="AW8" s="143">
        <f t="shared" si="1"/>
        <v>418516</v>
      </c>
      <c r="AX8" s="143">
        <f t="shared" si="1"/>
        <v>1440067</v>
      </c>
      <c r="AY8" s="143">
        <f t="shared" si="1"/>
        <v>288519</v>
      </c>
      <c r="AZ8" s="143">
        <f t="shared" si="1"/>
        <v>277667</v>
      </c>
      <c r="BA8" s="143">
        <f t="shared" si="1"/>
        <v>566186</v>
      </c>
      <c r="BB8" s="143">
        <f t="shared" si="1"/>
        <v>410471</v>
      </c>
      <c r="BC8" s="143">
        <f t="shared" si="1"/>
        <v>976657</v>
      </c>
      <c r="BD8" s="143">
        <f t="shared" si="1"/>
        <v>322418</v>
      </c>
      <c r="BE8" s="143">
        <f t="shared" si="1"/>
        <v>1299075</v>
      </c>
      <c r="BF8" s="143">
        <f t="shared" si="1"/>
        <v>267597</v>
      </c>
      <c r="BG8" s="143">
        <f t="shared" si="1"/>
        <v>282576</v>
      </c>
      <c r="BH8" s="143">
        <f t="shared" si="1"/>
        <v>550173</v>
      </c>
      <c r="BI8" s="143">
        <f t="shared" si="1"/>
        <v>624967</v>
      </c>
      <c r="BJ8" s="143">
        <f t="shared" si="1"/>
        <v>1175140</v>
      </c>
      <c r="BK8" s="143">
        <f t="shared" si="1"/>
        <v>461370</v>
      </c>
      <c r="BL8" s="143">
        <f t="shared" si="1"/>
        <v>1636510</v>
      </c>
      <c r="BM8" s="143">
        <f t="shared" si="1"/>
        <v>305585</v>
      </c>
      <c r="BN8" s="143">
        <f t="shared" si="1"/>
        <v>391934</v>
      </c>
      <c r="BO8" s="143">
        <f t="shared" si="1"/>
        <v>697519</v>
      </c>
      <c r="BP8" s="143">
        <f t="shared" si="1"/>
        <v>559863</v>
      </c>
      <c r="BQ8" s="143">
        <f t="shared" si="1"/>
        <v>1257382</v>
      </c>
      <c r="BR8" s="143">
        <f t="shared" si="1"/>
        <v>484059</v>
      </c>
      <c r="BS8" s="143">
        <f t="shared" si="1"/>
        <v>1741441</v>
      </c>
      <c r="BT8" s="143">
        <f t="shared" si="1"/>
        <v>479388</v>
      </c>
      <c r="BU8" s="143">
        <f t="shared" si="1"/>
        <v>291538</v>
      </c>
      <c r="BV8" s="143">
        <f t="shared" si="1"/>
        <v>770926</v>
      </c>
      <c r="BW8" s="143">
        <f t="shared" si="1"/>
        <v>803400</v>
      </c>
      <c r="BX8" s="143">
        <f t="shared" si="1"/>
        <v>1574326</v>
      </c>
      <c r="BY8" s="143">
        <f t="shared" si="1"/>
        <v>430377</v>
      </c>
      <c r="BZ8" s="143">
        <f t="shared" si="1"/>
        <v>2004703</v>
      </c>
      <c r="CA8" s="143">
        <f t="shared" si="1"/>
        <v>457802</v>
      </c>
      <c r="CB8" s="143">
        <f t="shared" si="1"/>
        <v>399699</v>
      </c>
      <c r="CC8" s="143">
        <f>SUM(CC9:CC13)</f>
        <v>857501</v>
      </c>
      <c r="CD8" s="143">
        <f t="shared" si="1"/>
        <v>755096</v>
      </c>
      <c r="CE8" s="143">
        <f t="shared" si="1"/>
        <v>1611994</v>
      </c>
      <c r="CF8" s="143">
        <f t="shared" si="1"/>
        <v>495967</v>
      </c>
      <c r="CG8" s="143">
        <f t="shared" si="1"/>
        <v>2107961</v>
      </c>
      <c r="CH8" s="143">
        <f t="shared" si="1"/>
        <v>431426</v>
      </c>
      <c r="CI8" s="143">
        <f t="shared" si="1"/>
        <v>422109</v>
      </c>
      <c r="CJ8" s="143">
        <f t="shared" ref="CJ8:CM8" si="2">SUM(CJ9:CJ13)</f>
        <v>853535</v>
      </c>
      <c r="CK8" s="143">
        <f t="shared" si="2"/>
        <v>847399</v>
      </c>
      <c r="CL8" s="143">
        <f t="shared" si="2"/>
        <v>1700934</v>
      </c>
      <c r="CM8" s="143">
        <f t="shared" si="2"/>
        <v>546731</v>
      </c>
      <c r="CN8" s="143">
        <f>SUM(CN9:CN13)</f>
        <v>2247665</v>
      </c>
      <c r="CO8" s="143">
        <f t="shared" ref="CO8:CP8" si="3">SUM(CO9:CO13)</f>
        <v>786940</v>
      </c>
      <c r="CP8" s="143">
        <f t="shared" si="3"/>
        <v>513272</v>
      </c>
      <c r="CQ8" s="143">
        <f t="shared" ref="CQ8:CR8" si="4">SUM(CQ9:CQ13)</f>
        <v>1300212</v>
      </c>
      <c r="CR8" s="143">
        <f t="shared" si="4"/>
        <v>855288</v>
      </c>
      <c r="CS8" s="143">
        <f t="shared" ref="CS8:CT8" si="5">SUM(CS9:CS13)</f>
        <v>2155500</v>
      </c>
      <c r="CT8" s="143">
        <f t="shared" si="5"/>
        <v>578049</v>
      </c>
      <c r="CU8" s="143">
        <f>SUM(CU9:CU13)</f>
        <v>2733549</v>
      </c>
      <c r="CV8" s="143">
        <f t="shared" ref="CV8:CW8" si="6">SUM(CV9:CV13)</f>
        <v>777111</v>
      </c>
      <c r="CW8" s="143">
        <f t="shared" si="6"/>
        <v>465636</v>
      </c>
      <c r="CX8" s="143">
        <f>SUM(CX9:CX13)</f>
        <v>1242747</v>
      </c>
      <c r="CY8" s="143">
        <f t="shared" ref="CY8:DA8" si="7">SUM(CY9:CY13)</f>
        <v>937239</v>
      </c>
      <c r="CZ8" s="143">
        <f>SUM(CZ9:CZ13)+4</f>
        <v>2179990</v>
      </c>
      <c r="DA8" s="143">
        <f t="shared" si="7"/>
        <v>846632</v>
      </c>
      <c r="DB8" s="143">
        <f>SUM(DB9:DB13)</f>
        <v>3026622</v>
      </c>
      <c r="DC8" s="143">
        <f t="shared" ref="DC8" si="8">SUM(DC9:DC13)</f>
        <v>703022</v>
      </c>
      <c r="DD8" s="143">
        <v>428510</v>
      </c>
      <c r="DE8" s="143">
        <f>SUM(DC8:DD8)</f>
        <v>1131532</v>
      </c>
    </row>
    <row r="9" spans="1:112" x14ac:dyDescent="0.2">
      <c r="A9" s="7" t="s">
        <v>387</v>
      </c>
      <c r="B9" s="140">
        <v>25578</v>
      </c>
      <c r="C9" s="140">
        <v>17440</v>
      </c>
      <c r="D9" s="140">
        <f>SUM(B9:C9)</f>
        <v>43018</v>
      </c>
      <c r="E9" s="140">
        <v>12691</v>
      </c>
      <c r="F9" s="140">
        <f>SUM(D9:E9)</f>
        <v>55709</v>
      </c>
      <c r="G9" s="140">
        <v>39405</v>
      </c>
      <c r="H9" s="140">
        <f>SUM(F9:G9)</f>
        <v>95114</v>
      </c>
      <c r="I9" s="140">
        <v>32844</v>
      </c>
      <c r="J9" s="140">
        <v>16916</v>
      </c>
      <c r="K9" s="140">
        <f>SUM(I9:J9)</f>
        <v>49760</v>
      </c>
      <c r="L9" s="140">
        <v>20551</v>
      </c>
      <c r="M9" s="140">
        <f>SUM(K9:L9)</f>
        <v>70311</v>
      </c>
      <c r="N9" s="140">
        <v>53897</v>
      </c>
      <c r="O9" s="140">
        <f>SUM(M9:N9)</f>
        <v>124208</v>
      </c>
      <c r="P9" s="140">
        <f>25460</f>
        <v>25460</v>
      </c>
      <c r="Q9" s="140">
        <v>4260</v>
      </c>
      <c r="R9" s="140">
        <f>SUM(P9:Q9)</f>
        <v>29720</v>
      </c>
      <c r="S9" s="140">
        <v>20242</v>
      </c>
      <c r="T9" s="140">
        <f>SUM(R9:S9)</f>
        <v>49962</v>
      </c>
      <c r="U9" s="140">
        <v>59065</v>
      </c>
      <c r="V9" s="140">
        <f>SUM(T9:U9)</f>
        <v>109027</v>
      </c>
      <c r="W9" s="140">
        <v>42286</v>
      </c>
      <c r="X9" s="140">
        <v>22781</v>
      </c>
      <c r="Y9" s="140">
        <f>SUM(W9:X9)</f>
        <v>65067</v>
      </c>
      <c r="Z9" s="140">
        <v>24774</v>
      </c>
      <c r="AA9" s="140">
        <f>SUM(Y9:Z9)</f>
        <v>89841</v>
      </c>
      <c r="AB9" s="140">
        <v>53774</v>
      </c>
      <c r="AC9" s="140">
        <f>SUM(AA9:AB9)</f>
        <v>143615</v>
      </c>
      <c r="AD9" s="140">
        <v>33983</v>
      </c>
      <c r="AE9" s="140">
        <v>30162</v>
      </c>
      <c r="AF9" s="140">
        <f>SUM(AD9:AE9)</f>
        <v>64145</v>
      </c>
      <c r="AG9" s="140">
        <v>20140</v>
      </c>
      <c r="AH9" s="140">
        <f>SUM(AF9:AG9)</f>
        <v>84285</v>
      </c>
      <c r="AI9" s="140">
        <v>53152</v>
      </c>
      <c r="AJ9" s="140">
        <f>SUM(AH9:AI9)</f>
        <v>137437</v>
      </c>
      <c r="AK9" s="140">
        <v>29380</v>
      </c>
      <c r="AL9" s="140">
        <v>20623</v>
      </c>
      <c r="AM9" s="140">
        <f>SUM(AK9:AL9)</f>
        <v>50003</v>
      </c>
      <c r="AN9" s="140">
        <v>32125</v>
      </c>
      <c r="AO9" s="140">
        <f>SUM(AM9:AN9)</f>
        <v>82128</v>
      </c>
      <c r="AP9" s="140">
        <v>70668</v>
      </c>
      <c r="AQ9" s="140">
        <f>SUM(AO9:AP9)</f>
        <v>152796</v>
      </c>
      <c r="AR9" s="140">
        <v>37032</v>
      </c>
      <c r="AS9" s="140">
        <f>AT9-AR9</f>
        <v>20916</v>
      </c>
      <c r="AT9" s="140">
        <v>57948</v>
      </c>
      <c r="AU9" s="140">
        <v>20997</v>
      </c>
      <c r="AV9" s="140">
        <f>AT9+AU9</f>
        <v>78945</v>
      </c>
      <c r="AW9" s="140">
        <v>79238</v>
      </c>
      <c r="AX9" s="140">
        <f>AV9+AW9</f>
        <v>158183</v>
      </c>
      <c r="AY9" s="140">
        <v>27558</v>
      </c>
      <c r="AZ9" s="140">
        <v>31000</v>
      </c>
      <c r="BA9" s="140">
        <f>AZ9+AY9</f>
        <v>58558</v>
      </c>
      <c r="BB9" s="140">
        <v>28115</v>
      </c>
      <c r="BC9" s="140">
        <f>BA9+BB9</f>
        <v>86673</v>
      </c>
      <c r="BD9" s="140">
        <v>61756</v>
      </c>
      <c r="BE9" s="140">
        <v>148429</v>
      </c>
      <c r="BF9" s="140">
        <v>15490</v>
      </c>
      <c r="BG9" s="140">
        <v>18215</v>
      </c>
      <c r="BH9" s="140">
        <f>BG9+BF9</f>
        <v>33705</v>
      </c>
      <c r="BI9" s="140">
        <v>24533</v>
      </c>
      <c r="BJ9" s="140">
        <f>BH9+BI9</f>
        <v>58238</v>
      </c>
      <c r="BK9" s="140">
        <v>82888</v>
      </c>
      <c r="BL9" s="140">
        <v>141126</v>
      </c>
      <c r="BM9" s="140">
        <v>33340</v>
      </c>
      <c r="BN9" s="140">
        <v>17337</v>
      </c>
      <c r="BO9" s="140">
        <f>BN9+BM9</f>
        <v>50677</v>
      </c>
      <c r="BP9" s="140">
        <v>27188</v>
      </c>
      <c r="BQ9" s="140">
        <f>BO9+BP9</f>
        <v>77865</v>
      </c>
      <c r="BR9" s="140">
        <v>91808</v>
      </c>
      <c r="BS9" s="140">
        <v>169673</v>
      </c>
      <c r="BT9" s="140">
        <v>29282</v>
      </c>
      <c r="BU9" s="140">
        <v>30033</v>
      </c>
      <c r="BV9" s="140">
        <f>BU9+BT9</f>
        <v>59315</v>
      </c>
      <c r="BW9" s="140">
        <v>35129</v>
      </c>
      <c r="BX9" s="140">
        <f>BV9+BW9</f>
        <v>94444</v>
      </c>
      <c r="BY9" s="140">
        <v>90930</v>
      </c>
      <c r="BZ9" s="140">
        <v>185374</v>
      </c>
      <c r="CA9" s="140">
        <v>35998</v>
      </c>
      <c r="CB9" s="140">
        <v>28112</v>
      </c>
      <c r="CC9" s="140">
        <f>CB9+CA9</f>
        <v>64110</v>
      </c>
      <c r="CD9" s="140">
        <v>43389</v>
      </c>
      <c r="CE9" s="140">
        <f>CC9+CD9</f>
        <v>107499</v>
      </c>
      <c r="CF9" s="140">
        <v>108466</v>
      </c>
      <c r="CG9" s="10">
        <f>CF9+CE9</f>
        <v>215965</v>
      </c>
      <c r="CH9" s="140">
        <v>44277</v>
      </c>
      <c r="CI9" s="140">
        <v>45394</v>
      </c>
      <c r="CJ9" s="140">
        <f>CI9+CH9</f>
        <v>89671</v>
      </c>
      <c r="CK9" s="140">
        <v>23252</v>
      </c>
      <c r="CL9" s="140">
        <f>CK9+CJ9</f>
        <v>112923</v>
      </c>
      <c r="CM9" s="140">
        <v>106923</v>
      </c>
      <c r="CN9" s="10">
        <f>CM9+CL9</f>
        <v>219846</v>
      </c>
      <c r="CO9" s="140">
        <v>93870</v>
      </c>
      <c r="CP9" s="140">
        <v>49180</v>
      </c>
      <c r="CQ9" s="140">
        <f>CP9+CO9</f>
        <v>143050</v>
      </c>
      <c r="CR9" s="140">
        <v>36773</v>
      </c>
      <c r="CS9" s="140">
        <f>CR9+CQ9</f>
        <v>179823</v>
      </c>
      <c r="CT9" s="140">
        <v>97399</v>
      </c>
      <c r="CU9" s="140">
        <f>CT9+CS9</f>
        <v>277222</v>
      </c>
      <c r="CV9" s="140">
        <v>50790</v>
      </c>
      <c r="CW9" s="140">
        <v>50104</v>
      </c>
      <c r="CX9" s="140">
        <f>CW9+CV9</f>
        <v>100894</v>
      </c>
      <c r="CY9" s="140">
        <v>56893</v>
      </c>
      <c r="CZ9" s="140">
        <f>CY9+CX9</f>
        <v>157787</v>
      </c>
      <c r="DA9" s="140">
        <v>81516</v>
      </c>
      <c r="DB9" s="140">
        <f>DA9+CZ9</f>
        <v>239303</v>
      </c>
      <c r="DC9" s="140">
        <v>77030</v>
      </c>
      <c r="DD9" s="9">
        <v>81416</v>
      </c>
      <c r="DE9" s="10">
        <f t="shared" ref="DE9:DE13" si="9">SUM(DC9:DD9)</f>
        <v>158446</v>
      </c>
      <c r="DH9" s="10"/>
    </row>
    <row r="10" spans="1:112" x14ac:dyDescent="0.2">
      <c r="A10" s="7" t="s">
        <v>421</v>
      </c>
      <c r="B10" s="140">
        <v>10492</v>
      </c>
      <c r="C10" s="140">
        <v>3362</v>
      </c>
      <c r="D10" s="140">
        <f>SUM(B10:C10)</f>
        <v>13854</v>
      </c>
      <c r="E10" s="140">
        <v>65923</v>
      </c>
      <c r="F10" s="140">
        <f>SUM(D10:E10)</f>
        <v>79777</v>
      </c>
      <c r="G10" s="140">
        <v>49882</v>
      </c>
      <c r="H10" s="140">
        <f>SUM(F10:G10)</f>
        <v>129659</v>
      </c>
      <c r="I10" s="140">
        <v>7643</v>
      </c>
      <c r="J10" s="140">
        <v>10557</v>
      </c>
      <c r="K10" s="140">
        <f>SUM(I10:J10)</f>
        <v>18200</v>
      </c>
      <c r="L10" s="140">
        <v>75129</v>
      </c>
      <c r="M10" s="140">
        <f>SUM(K10:L10)</f>
        <v>93329</v>
      </c>
      <c r="N10" s="140">
        <v>34328</v>
      </c>
      <c r="O10" s="140">
        <f>SUM(M10:N10)</f>
        <v>127657</v>
      </c>
      <c r="P10" s="140">
        <v>6235</v>
      </c>
      <c r="Q10" s="140">
        <v>6516</v>
      </c>
      <c r="R10" s="140">
        <f>SUM(P10:Q10)</f>
        <v>12751</v>
      </c>
      <c r="S10" s="140">
        <v>76843</v>
      </c>
      <c r="T10" s="140">
        <f>SUM(R10:S10)</f>
        <v>89594</v>
      </c>
      <c r="U10" s="140">
        <v>74570</v>
      </c>
      <c r="V10" s="140">
        <f>SUM(T10:U10)</f>
        <v>164164</v>
      </c>
      <c r="W10" s="140">
        <v>27039</v>
      </c>
      <c r="X10" s="140">
        <v>6895</v>
      </c>
      <c r="Y10" s="140">
        <f>SUM(W10:X10)</f>
        <v>33934</v>
      </c>
      <c r="Z10" s="140">
        <v>88385</v>
      </c>
      <c r="AA10" s="140">
        <f>SUM(Y10:Z10)</f>
        <v>122319</v>
      </c>
      <c r="AB10" s="140">
        <v>63264</v>
      </c>
      <c r="AC10" s="140">
        <f>SUM(AA10:AB10)</f>
        <v>185583</v>
      </c>
      <c r="AD10" s="140">
        <v>25846</v>
      </c>
      <c r="AE10" s="140">
        <v>4228</v>
      </c>
      <c r="AF10" s="140">
        <f>SUM(AD10:AE10)</f>
        <v>30074</v>
      </c>
      <c r="AG10" s="140">
        <v>73152</v>
      </c>
      <c r="AH10" s="140">
        <f>SUM(AF10:AG10)</f>
        <v>103226</v>
      </c>
      <c r="AI10" s="140">
        <v>56691</v>
      </c>
      <c r="AJ10" s="140">
        <f>SUM(AH10:AI10)</f>
        <v>159917</v>
      </c>
      <c r="AK10" s="140">
        <v>17917</v>
      </c>
      <c r="AL10" s="140">
        <v>3110</v>
      </c>
      <c r="AM10" s="140">
        <f>SUM(AK10:AL10)</f>
        <v>21027</v>
      </c>
      <c r="AN10" s="140">
        <v>98055</v>
      </c>
      <c r="AO10" s="140">
        <f>SUM(AM10:AN10)</f>
        <v>119082</v>
      </c>
      <c r="AP10" s="140">
        <v>74780</v>
      </c>
      <c r="AQ10" s="140">
        <f>SUM(AO10:AP10)</f>
        <v>193862</v>
      </c>
      <c r="AR10" s="140">
        <v>27262</v>
      </c>
      <c r="AS10" s="140">
        <f>AT10-AR10</f>
        <v>7472</v>
      </c>
      <c r="AT10" s="140">
        <v>34734</v>
      </c>
      <c r="AU10" s="140">
        <v>79665</v>
      </c>
      <c r="AV10" s="140">
        <f>AT10+AU10</f>
        <v>114399</v>
      </c>
      <c r="AW10" s="140">
        <v>77167</v>
      </c>
      <c r="AX10" s="140">
        <f>AV10+AW10</f>
        <v>191566</v>
      </c>
      <c r="AY10" s="140">
        <v>23580</v>
      </c>
      <c r="AZ10" s="140">
        <v>4984</v>
      </c>
      <c r="BA10" s="140">
        <f>AZ10+AY10</f>
        <v>28564</v>
      </c>
      <c r="BB10" s="140">
        <v>89377</v>
      </c>
      <c r="BC10" s="140">
        <f>BA10+BB10</f>
        <v>117941</v>
      </c>
      <c r="BD10" s="140">
        <v>55261</v>
      </c>
      <c r="BE10" s="140">
        <v>173202</v>
      </c>
      <c r="BF10" s="140">
        <v>6844</v>
      </c>
      <c r="BG10" s="140">
        <v>3045</v>
      </c>
      <c r="BH10" s="140">
        <f>BG10+BF10</f>
        <v>9889</v>
      </c>
      <c r="BI10" s="140">
        <v>88140</v>
      </c>
      <c r="BJ10" s="140">
        <f>BH10+BI10</f>
        <v>98029</v>
      </c>
      <c r="BK10" s="140">
        <v>81396</v>
      </c>
      <c r="BL10" s="140">
        <v>179425</v>
      </c>
      <c r="BM10" s="140">
        <v>25906</v>
      </c>
      <c r="BN10" s="140">
        <v>7004</v>
      </c>
      <c r="BO10" s="140">
        <f>BN10+BM10</f>
        <v>32910</v>
      </c>
      <c r="BP10" s="140">
        <v>89580</v>
      </c>
      <c r="BQ10" s="140">
        <f>BO10+BP10</f>
        <v>122490</v>
      </c>
      <c r="BR10" s="140">
        <v>95696</v>
      </c>
      <c r="BS10" s="140">
        <v>218186</v>
      </c>
      <c r="BT10" s="140">
        <v>26940</v>
      </c>
      <c r="BU10" s="140">
        <v>8522</v>
      </c>
      <c r="BV10" s="140">
        <f>BU10+BT10</f>
        <v>35462</v>
      </c>
      <c r="BW10" s="140">
        <v>124504</v>
      </c>
      <c r="BX10" s="140">
        <f>BV10+BW10</f>
        <v>159966</v>
      </c>
      <c r="BY10" s="140">
        <v>75020</v>
      </c>
      <c r="BZ10" s="140">
        <v>234986</v>
      </c>
      <c r="CA10" s="140">
        <v>41447</v>
      </c>
      <c r="CB10" s="140">
        <v>16106</v>
      </c>
      <c r="CC10" s="140">
        <f>CB10+CA10</f>
        <v>57553</v>
      </c>
      <c r="CD10" s="140">
        <v>104986</v>
      </c>
      <c r="CE10" s="140">
        <f>CC10+CD10</f>
        <v>162539</v>
      </c>
      <c r="CF10" s="140">
        <v>119074</v>
      </c>
      <c r="CG10" s="10">
        <f>CF10+CE10</f>
        <v>281613</v>
      </c>
      <c r="CH10" s="140">
        <v>42159</v>
      </c>
      <c r="CI10" s="140">
        <v>1354</v>
      </c>
      <c r="CJ10" s="140">
        <f>CI10+CH10</f>
        <v>43513</v>
      </c>
      <c r="CK10" s="140">
        <v>130423</v>
      </c>
      <c r="CL10" s="140">
        <f>CK10+CJ10</f>
        <v>173936</v>
      </c>
      <c r="CM10" s="140">
        <v>136773</v>
      </c>
      <c r="CN10" s="10">
        <f>CM10+CL10</f>
        <v>310709</v>
      </c>
      <c r="CO10" s="140">
        <v>48864</v>
      </c>
      <c r="CP10" s="140">
        <v>11166</v>
      </c>
      <c r="CQ10" s="140">
        <f>CP10+CO10</f>
        <v>60030</v>
      </c>
      <c r="CR10" s="140">
        <v>136094</v>
      </c>
      <c r="CS10" s="140">
        <f>CR10+CQ10</f>
        <v>196124</v>
      </c>
      <c r="CT10" s="140">
        <v>104808</v>
      </c>
      <c r="CU10" s="140">
        <f>CT10+CS10</f>
        <v>300932</v>
      </c>
      <c r="CV10" s="140">
        <v>53457</v>
      </c>
      <c r="CW10" s="140">
        <v>18170</v>
      </c>
      <c r="CX10" s="140">
        <f>CW10+CV10</f>
        <v>71627</v>
      </c>
      <c r="CY10" s="140">
        <v>122140</v>
      </c>
      <c r="CZ10" s="140">
        <f>CY10+CX10</f>
        <v>193767</v>
      </c>
      <c r="DA10" s="140">
        <v>152606</v>
      </c>
      <c r="DB10" s="140">
        <f>DA10+CZ10+1</f>
        <v>346374</v>
      </c>
      <c r="DC10" s="140">
        <v>76093</v>
      </c>
      <c r="DD10" s="9">
        <v>33479</v>
      </c>
      <c r="DE10" s="10">
        <f t="shared" si="9"/>
        <v>109572</v>
      </c>
      <c r="DH10" s="10"/>
    </row>
    <row r="11" spans="1:112" x14ac:dyDescent="0.2">
      <c r="A11" s="7" t="s">
        <v>422</v>
      </c>
      <c r="B11" s="140">
        <v>108111</v>
      </c>
      <c r="C11" s="140">
        <v>139349</v>
      </c>
      <c r="D11" s="140">
        <f>SUM(B11:C11)</f>
        <v>247460</v>
      </c>
      <c r="E11" s="140">
        <v>69215</v>
      </c>
      <c r="F11" s="140">
        <f>SUM(D11:E11)</f>
        <v>316675</v>
      </c>
      <c r="G11" s="140">
        <v>15444</v>
      </c>
      <c r="H11" s="140">
        <f>SUM(F11:G11)</f>
        <v>332119</v>
      </c>
      <c r="I11" s="140">
        <v>100407</v>
      </c>
      <c r="J11" s="140">
        <v>149012</v>
      </c>
      <c r="K11" s="140">
        <f>SUM(I11:J11)</f>
        <v>249419</v>
      </c>
      <c r="L11" s="140">
        <v>47644</v>
      </c>
      <c r="M11" s="140">
        <f>SUM(K11:L11)</f>
        <v>297063</v>
      </c>
      <c r="N11" s="140">
        <v>53288</v>
      </c>
      <c r="O11" s="140">
        <f>SUM(M11:N11)</f>
        <v>350351</v>
      </c>
      <c r="P11" s="140">
        <v>52676</v>
      </c>
      <c r="Q11" s="140">
        <v>171717</v>
      </c>
      <c r="R11" s="140">
        <f>SUM(P11:Q11)</f>
        <v>224393</v>
      </c>
      <c r="S11" s="140">
        <v>94768</v>
      </c>
      <c r="T11" s="140">
        <f>SUM(R11:S11)</f>
        <v>319161</v>
      </c>
      <c r="U11" s="140">
        <v>36937</v>
      </c>
      <c r="V11" s="140">
        <f>SUM(T11:U11)</f>
        <v>356098</v>
      </c>
      <c r="W11" s="140">
        <v>112123</v>
      </c>
      <c r="X11" s="140">
        <v>170396</v>
      </c>
      <c r="Y11" s="140">
        <f>SUM(W11:X11)</f>
        <v>282519</v>
      </c>
      <c r="Z11" s="140">
        <v>67372</v>
      </c>
      <c r="AA11" s="140">
        <f>SUM(Y11:Z11)</f>
        <v>349891</v>
      </c>
      <c r="AB11" s="140">
        <v>18848</v>
      </c>
      <c r="AC11" s="140">
        <f>SUM(AA11:AB11)</f>
        <v>368739</v>
      </c>
      <c r="AD11" s="140">
        <v>133431</v>
      </c>
      <c r="AE11" s="140">
        <v>144480</v>
      </c>
      <c r="AF11" s="140">
        <f>SUM(AD11:AE11)</f>
        <v>277911</v>
      </c>
      <c r="AG11" s="140">
        <v>76649</v>
      </c>
      <c r="AH11" s="140">
        <f>SUM(AF11:AG11)</f>
        <v>354560</v>
      </c>
      <c r="AI11" s="140">
        <v>39908</v>
      </c>
      <c r="AJ11" s="140">
        <f>SUM(AH11:AI11)</f>
        <v>394468</v>
      </c>
      <c r="AK11" s="140">
        <v>140097</v>
      </c>
      <c r="AL11" s="140">
        <v>285122</v>
      </c>
      <c r="AM11" s="140">
        <f>SUM(AK11:AL11)</f>
        <v>425219</v>
      </c>
      <c r="AN11" s="140">
        <v>83750</v>
      </c>
      <c r="AO11" s="140">
        <f>SUM(AM11:AN11)</f>
        <v>508969</v>
      </c>
      <c r="AP11" s="140">
        <v>28457</v>
      </c>
      <c r="AQ11" s="140">
        <f>SUM(AO11:AP11)</f>
        <v>537426</v>
      </c>
      <c r="AR11" s="140">
        <v>149742</v>
      </c>
      <c r="AS11" s="140">
        <f>AT11-AR11</f>
        <v>336099</v>
      </c>
      <c r="AT11" s="140">
        <v>485841</v>
      </c>
      <c r="AU11" s="140">
        <v>87624</v>
      </c>
      <c r="AV11" s="140">
        <f>AT11+AU11</f>
        <v>573465</v>
      </c>
      <c r="AW11" s="140">
        <v>61414</v>
      </c>
      <c r="AX11" s="140">
        <f>AV11+AW11</f>
        <v>634879</v>
      </c>
      <c r="AY11" s="140">
        <v>219652</v>
      </c>
      <c r="AZ11" s="140">
        <v>213948</v>
      </c>
      <c r="BA11" s="140">
        <f>AZ11+AY11</f>
        <v>433600</v>
      </c>
      <c r="BB11" s="140">
        <v>20606</v>
      </c>
      <c r="BC11" s="140">
        <f>BA11+BB11</f>
        <v>454206</v>
      </c>
      <c r="BD11" s="140">
        <v>85364</v>
      </c>
      <c r="BE11" s="140">
        <v>539570</v>
      </c>
      <c r="BF11" s="140">
        <v>228913</v>
      </c>
      <c r="BG11" s="140">
        <v>234558</v>
      </c>
      <c r="BH11" s="140">
        <f>BG11+BF11</f>
        <v>463471</v>
      </c>
      <c r="BI11" s="140">
        <v>175928</v>
      </c>
      <c r="BJ11" s="140">
        <f>BH11+BI11</f>
        <v>639399</v>
      </c>
      <c r="BK11" s="140">
        <v>106650</v>
      </c>
      <c r="BL11" s="140">
        <v>746049</v>
      </c>
      <c r="BM11" s="140">
        <v>224988</v>
      </c>
      <c r="BN11" s="140">
        <v>355650</v>
      </c>
      <c r="BO11" s="140">
        <f>BN11+BM11</f>
        <v>580638</v>
      </c>
      <c r="BP11" s="140">
        <v>118693</v>
      </c>
      <c r="BQ11" s="140">
        <f>BO11+BP11</f>
        <v>699331</v>
      </c>
      <c r="BR11" s="140">
        <v>143150</v>
      </c>
      <c r="BS11" s="140">
        <v>842481</v>
      </c>
      <c r="BT11" s="140">
        <v>388274</v>
      </c>
      <c r="BU11" s="140">
        <v>196727</v>
      </c>
      <c r="BV11" s="140">
        <f>BU11+BT11</f>
        <v>585001</v>
      </c>
      <c r="BW11" s="140">
        <v>215246</v>
      </c>
      <c r="BX11" s="140">
        <f>BV11+BW11</f>
        <v>800247</v>
      </c>
      <c r="BY11" s="140">
        <v>98121</v>
      </c>
      <c r="BZ11" s="140">
        <v>898368</v>
      </c>
      <c r="CA11" s="140">
        <v>339487</v>
      </c>
      <c r="CB11" s="140">
        <v>294312</v>
      </c>
      <c r="CC11" s="140">
        <f>CB11+CA11</f>
        <v>633799</v>
      </c>
      <c r="CD11" s="140">
        <v>180426</v>
      </c>
      <c r="CE11" s="140">
        <f>CC11+CD11</f>
        <v>814225</v>
      </c>
      <c r="CF11" s="140">
        <v>85053</v>
      </c>
      <c r="CG11" s="10">
        <f>CF11+CE11</f>
        <v>899278</v>
      </c>
      <c r="CH11" s="140">
        <v>328089</v>
      </c>
      <c r="CI11" s="140">
        <v>332383</v>
      </c>
      <c r="CJ11" s="140">
        <f>CI11+CH11</f>
        <v>660472</v>
      </c>
      <c r="CK11" s="140">
        <v>65463</v>
      </c>
      <c r="CL11" s="140">
        <f>CK11+CJ11</f>
        <v>725935</v>
      </c>
      <c r="CM11" s="140">
        <v>136162</v>
      </c>
      <c r="CN11" s="10">
        <f>CM11+CL11</f>
        <v>862097</v>
      </c>
      <c r="CO11" s="140">
        <v>618121</v>
      </c>
      <c r="CP11" s="140">
        <v>388785</v>
      </c>
      <c r="CQ11" s="140">
        <f>CP11+CO11</f>
        <v>1006906</v>
      </c>
      <c r="CR11" s="140">
        <v>90556</v>
      </c>
      <c r="CS11" s="140">
        <f>CR11+CQ11</f>
        <v>1097462</v>
      </c>
      <c r="CT11" s="140">
        <v>202479</v>
      </c>
      <c r="CU11" s="140">
        <f>CT11+CS11</f>
        <v>1299941</v>
      </c>
      <c r="CV11" s="140">
        <v>605885</v>
      </c>
      <c r="CW11" s="140">
        <v>356755</v>
      </c>
      <c r="CX11" s="140">
        <f>CW11+CV11</f>
        <v>962640</v>
      </c>
      <c r="CY11" s="140">
        <v>68795</v>
      </c>
      <c r="CZ11" s="140">
        <f>CY11+CX11</f>
        <v>1031435</v>
      </c>
      <c r="DA11" s="140">
        <v>277928</v>
      </c>
      <c r="DB11" s="140">
        <f>DA11+CZ11</f>
        <v>1309363</v>
      </c>
      <c r="DC11" s="140">
        <v>507626</v>
      </c>
      <c r="DD11" s="9">
        <v>259001</v>
      </c>
      <c r="DE11" s="10">
        <f t="shared" si="9"/>
        <v>766627</v>
      </c>
      <c r="DH11" s="10"/>
    </row>
    <row r="12" spans="1:112" x14ac:dyDescent="0.2">
      <c r="A12" s="7" t="s">
        <v>108</v>
      </c>
      <c r="B12" s="140">
        <v>10961</v>
      </c>
      <c r="C12" s="140">
        <v>6625</v>
      </c>
      <c r="D12" s="140">
        <f>SUM(B12:C12)</f>
        <v>17586</v>
      </c>
      <c r="E12" s="140">
        <v>122857</v>
      </c>
      <c r="F12" s="140">
        <f>SUM(D12:E12)</f>
        <v>140443</v>
      </c>
      <c r="G12" s="140">
        <v>74473</v>
      </c>
      <c r="H12" s="140">
        <f>SUM(F12:G12)</f>
        <v>214916</v>
      </c>
      <c r="I12" s="140">
        <v>28762</v>
      </c>
      <c r="J12" s="140">
        <v>12873</v>
      </c>
      <c r="K12" s="140">
        <f>SUM(I12:J12)</f>
        <v>41635</v>
      </c>
      <c r="L12" s="140">
        <v>85955</v>
      </c>
      <c r="M12" s="140">
        <f>SUM(K12:L12)</f>
        <v>127590</v>
      </c>
      <c r="N12" s="140">
        <v>132058</v>
      </c>
      <c r="O12" s="140">
        <f>SUM(M12:N12)</f>
        <v>259648</v>
      </c>
      <c r="P12" s="140">
        <v>21052</v>
      </c>
      <c r="Q12" s="140">
        <v>21674</v>
      </c>
      <c r="R12" s="140">
        <f>SUM(P12:Q12)</f>
        <v>42726</v>
      </c>
      <c r="S12" s="140">
        <v>49817</v>
      </c>
      <c r="T12" s="140">
        <f>SUM(R12:S12)</f>
        <v>92543</v>
      </c>
      <c r="U12" s="140">
        <v>71378</v>
      </c>
      <c r="V12" s="140">
        <f>SUM(T12:U12)</f>
        <v>163921</v>
      </c>
      <c r="W12" s="140">
        <v>16507</v>
      </c>
      <c r="X12" s="140">
        <v>37613</v>
      </c>
      <c r="Y12" s="140">
        <f>SUM(W12:X12)</f>
        <v>54120</v>
      </c>
      <c r="Z12" s="140">
        <v>101826</v>
      </c>
      <c r="AA12" s="140">
        <f>SUM(Y12:Z12)</f>
        <v>155946</v>
      </c>
      <c r="AB12" s="140">
        <v>116364</v>
      </c>
      <c r="AC12" s="140">
        <f>SUM(AA12:AB12)</f>
        <v>272310</v>
      </c>
      <c r="AD12" s="140">
        <v>14531</v>
      </c>
      <c r="AE12" s="140">
        <v>71024</v>
      </c>
      <c r="AF12" s="140">
        <f>SUM(AD12:AE12)</f>
        <v>85555</v>
      </c>
      <c r="AG12" s="140">
        <v>115793</v>
      </c>
      <c r="AH12" s="140">
        <f>SUM(AF12:AG12)</f>
        <v>201348</v>
      </c>
      <c r="AI12" s="140">
        <v>139813</v>
      </c>
      <c r="AJ12" s="140">
        <f>SUM(AH12:AI12)</f>
        <v>341161</v>
      </c>
      <c r="AK12" s="140">
        <v>19912</v>
      </c>
      <c r="AL12" s="140">
        <v>38166</v>
      </c>
      <c r="AM12" s="140">
        <f>SUM(AK12:AL12)</f>
        <v>58078</v>
      </c>
      <c r="AN12" s="140">
        <v>87608</v>
      </c>
      <c r="AO12" s="140">
        <f>SUM(AM12:AN12)</f>
        <v>145686</v>
      </c>
      <c r="AP12" s="140">
        <v>221985</v>
      </c>
      <c r="AQ12" s="140">
        <f>SUM(AO12:AP12)</f>
        <v>367671</v>
      </c>
      <c r="AR12" s="140">
        <v>37542</v>
      </c>
      <c r="AS12" s="140">
        <f>AT12-AR12</f>
        <v>17186</v>
      </c>
      <c r="AT12" s="140">
        <v>54728</v>
      </c>
      <c r="AU12" s="140">
        <v>109342</v>
      </c>
      <c r="AV12" s="140">
        <f>AT12+AU12</f>
        <v>164070</v>
      </c>
      <c r="AW12" s="140">
        <v>171625</v>
      </c>
      <c r="AX12" s="140">
        <f>AV12+AW12</f>
        <v>335695</v>
      </c>
      <c r="AY12" s="140">
        <v>5288</v>
      </c>
      <c r="AZ12" s="140">
        <v>22010</v>
      </c>
      <c r="BA12" s="140">
        <f>AZ12+AY12</f>
        <v>27298</v>
      </c>
      <c r="BB12" s="140">
        <v>208593</v>
      </c>
      <c r="BC12" s="140">
        <f>BA12+BB12</f>
        <v>235891</v>
      </c>
      <c r="BD12" s="140">
        <v>109800</v>
      </c>
      <c r="BE12" s="140">
        <v>345691</v>
      </c>
      <c r="BF12" s="140">
        <v>13447</v>
      </c>
      <c r="BG12" s="140">
        <v>22127</v>
      </c>
      <c r="BH12" s="140">
        <f>BG12+BF12</f>
        <v>35574</v>
      </c>
      <c r="BI12" s="140">
        <v>268302</v>
      </c>
      <c r="BJ12" s="140">
        <f>BH12+BI12</f>
        <v>303876</v>
      </c>
      <c r="BK12" s="140">
        <v>181036</v>
      </c>
      <c r="BL12" s="140">
        <v>484912</v>
      </c>
      <c r="BM12" s="140">
        <v>18887</v>
      </c>
      <c r="BN12" s="140">
        <v>6955</v>
      </c>
      <c r="BO12" s="140">
        <f>BN12+BM12</f>
        <v>25842</v>
      </c>
      <c r="BP12" s="140">
        <v>264475</v>
      </c>
      <c r="BQ12" s="140">
        <f>BO12+BP12</f>
        <v>290317</v>
      </c>
      <c r="BR12" s="140">
        <v>135583</v>
      </c>
      <c r="BS12" s="140">
        <v>425900</v>
      </c>
      <c r="BT12" s="140">
        <v>21987</v>
      </c>
      <c r="BU12" s="140">
        <v>48211</v>
      </c>
      <c r="BV12" s="140">
        <f>BU12+BT12</f>
        <v>70198</v>
      </c>
      <c r="BW12" s="140">
        <v>411796</v>
      </c>
      <c r="BX12" s="140">
        <f>BV12+BW12</f>
        <v>481994</v>
      </c>
      <c r="BY12" s="140">
        <v>152650</v>
      </c>
      <c r="BZ12" s="140">
        <v>634644</v>
      </c>
      <c r="CA12" s="140">
        <v>37534</v>
      </c>
      <c r="CB12" s="140">
        <v>54503</v>
      </c>
      <c r="CC12" s="140">
        <f>CB12+CA12</f>
        <v>92037</v>
      </c>
      <c r="CD12" s="140">
        <v>405188</v>
      </c>
      <c r="CE12" s="140">
        <f>CC12+CD12</f>
        <v>497225</v>
      </c>
      <c r="CF12" s="140">
        <v>165615</v>
      </c>
      <c r="CG12" s="10">
        <f>CF12+CE12</f>
        <v>662840</v>
      </c>
      <c r="CH12" s="140">
        <v>3677</v>
      </c>
      <c r="CI12" s="140">
        <v>38145</v>
      </c>
      <c r="CJ12" s="140">
        <f>CI12+CH12</f>
        <v>41822</v>
      </c>
      <c r="CK12" s="140">
        <v>588113</v>
      </c>
      <c r="CL12" s="140">
        <f>CK12+CJ12</f>
        <v>629935</v>
      </c>
      <c r="CM12" s="140">
        <v>135450</v>
      </c>
      <c r="CN12" s="10">
        <f>CM12+CL12</f>
        <v>765385</v>
      </c>
      <c r="CO12" s="140">
        <v>12324</v>
      </c>
      <c r="CP12" s="140">
        <v>51475</v>
      </c>
      <c r="CQ12" s="140">
        <f>CP12+CO12</f>
        <v>63799</v>
      </c>
      <c r="CR12" s="140">
        <v>567922</v>
      </c>
      <c r="CS12" s="140">
        <f>CR12+CQ12</f>
        <v>631721</v>
      </c>
      <c r="CT12" s="140">
        <v>152047</v>
      </c>
      <c r="CU12" s="140">
        <f>CT12+CS12</f>
        <v>783768</v>
      </c>
      <c r="CV12" s="140">
        <v>59476</v>
      </c>
      <c r="CW12" s="140">
        <v>31468</v>
      </c>
      <c r="CX12" s="140">
        <f>CW12+CV12</f>
        <v>90944</v>
      </c>
      <c r="CY12" s="140">
        <v>670452</v>
      </c>
      <c r="CZ12" s="140">
        <f>CY12+CX12</f>
        <v>761396</v>
      </c>
      <c r="DA12" s="140">
        <v>310155</v>
      </c>
      <c r="DB12" s="140">
        <f>DA12+CZ12</f>
        <v>1071551</v>
      </c>
      <c r="DC12" s="140">
        <v>29252</v>
      </c>
      <c r="DD12" s="9">
        <v>32318</v>
      </c>
      <c r="DE12" s="10">
        <f t="shared" si="9"/>
        <v>61570</v>
      </c>
      <c r="DH12" s="10"/>
    </row>
    <row r="13" spans="1:112" ht="10.5" thickBot="1" x14ac:dyDescent="0.25">
      <c r="A13" s="141" t="s">
        <v>110</v>
      </c>
      <c r="B13" s="142">
        <v>3828</v>
      </c>
      <c r="C13" s="142">
        <v>8252</v>
      </c>
      <c r="D13" s="142">
        <v>12080</v>
      </c>
      <c r="E13" s="142">
        <v>-471</v>
      </c>
      <c r="F13" s="142">
        <v>11609</v>
      </c>
      <c r="G13" s="142">
        <v>2969</v>
      </c>
      <c r="H13" s="142">
        <v>14578</v>
      </c>
      <c r="I13" s="142">
        <v>8785</v>
      </c>
      <c r="J13" s="142">
        <v>1066</v>
      </c>
      <c r="K13" s="142">
        <v>9851</v>
      </c>
      <c r="L13" s="142">
        <v>1784</v>
      </c>
      <c r="M13" s="142">
        <v>11635</v>
      </c>
      <c r="N13" s="142">
        <v>5108</v>
      </c>
      <c r="O13" s="142">
        <v>16743</v>
      </c>
      <c r="P13" s="142">
        <v>5506</v>
      </c>
      <c r="Q13" s="142">
        <v>3871</v>
      </c>
      <c r="R13" s="142">
        <v>9377</v>
      </c>
      <c r="S13" s="142">
        <v>1794</v>
      </c>
      <c r="T13" s="142">
        <v>11171</v>
      </c>
      <c r="U13" s="142">
        <v>10541</v>
      </c>
      <c r="V13" s="142">
        <v>21712</v>
      </c>
      <c r="W13" s="142">
        <v>6163</v>
      </c>
      <c r="X13" s="142">
        <v>2449</v>
      </c>
      <c r="Y13" s="142">
        <v>8612</v>
      </c>
      <c r="Z13" s="142">
        <v>2544</v>
      </c>
      <c r="AA13" s="142">
        <v>11156</v>
      </c>
      <c r="AB13" s="142">
        <v>7707</v>
      </c>
      <c r="AC13" s="142">
        <v>18863</v>
      </c>
      <c r="AD13" s="142">
        <v>9520</v>
      </c>
      <c r="AE13" s="142">
        <v>2630</v>
      </c>
      <c r="AF13" s="142">
        <v>12150</v>
      </c>
      <c r="AG13" s="142">
        <v>12779</v>
      </c>
      <c r="AH13" s="142">
        <v>24929</v>
      </c>
      <c r="AI13" s="142">
        <v>15059</v>
      </c>
      <c r="AJ13" s="142">
        <v>39988</v>
      </c>
      <c r="AK13" s="142">
        <v>11037</v>
      </c>
      <c r="AL13" s="142">
        <v>6800</v>
      </c>
      <c r="AM13" s="142">
        <v>17837</v>
      </c>
      <c r="AN13" s="142">
        <v>66666</v>
      </c>
      <c r="AO13" s="142">
        <v>84503</v>
      </c>
      <c r="AP13" s="142">
        <v>13026</v>
      </c>
      <c r="AQ13" s="142">
        <v>97529</v>
      </c>
      <c r="AR13" s="142">
        <v>9949</v>
      </c>
      <c r="AS13" s="142">
        <v>5815</v>
      </c>
      <c r="AT13" s="142">
        <v>15764</v>
      </c>
      <c r="AU13" s="142">
        <v>74908</v>
      </c>
      <c r="AV13" s="142">
        <v>90672</v>
      </c>
      <c r="AW13" s="142">
        <v>29072</v>
      </c>
      <c r="AX13" s="142">
        <v>119744</v>
      </c>
      <c r="AY13" s="142">
        <v>12441</v>
      </c>
      <c r="AZ13" s="142">
        <v>5725</v>
      </c>
      <c r="BA13" s="142">
        <v>18166</v>
      </c>
      <c r="BB13" s="142">
        <v>63780</v>
      </c>
      <c r="BC13" s="142">
        <v>81946</v>
      </c>
      <c r="BD13" s="142">
        <v>10237</v>
      </c>
      <c r="BE13" s="142">
        <v>92183</v>
      </c>
      <c r="BF13" s="142">
        <v>2903</v>
      </c>
      <c r="BG13" s="142">
        <v>4631</v>
      </c>
      <c r="BH13" s="142">
        <v>7534</v>
      </c>
      <c r="BI13" s="142">
        <v>68064</v>
      </c>
      <c r="BJ13" s="142">
        <v>75598</v>
      </c>
      <c r="BK13" s="142">
        <v>9400</v>
      </c>
      <c r="BL13" s="142">
        <v>84998</v>
      </c>
      <c r="BM13" s="142">
        <v>2464</v>
      </c>
      <c r="BN13" s="142">
        <v>4988</v>
      </c>
      <c r="BO13" s="142">
        <v>7452</v>
      </c>
      <c r="BP13" s="142">
        <v>59927</v>
      </c>
      <c r="BQ13" s="142">
        <v>67379</v>
      </c>
      <c r="BR13" s="142">
        <v>17822</v>
      </c>
      <c r="BS13" s="142">
        <v>85201</v>
      </c>
      <c r="BT13" s="142">
        <v>12905</v>
      </c>
      <c r="BU13" s="142">
        <v>8045</v>
      </c>
      <c r="BV13" s="142">
        <v>20950</v>
      </c>
      <c r="BW13" s="142">
        <v>16725</v>
      </c>
      <c r="BX13" s="142">
        <v>37675</v>
      </c>
      <c r="BY13" s="142">
        <v>13656</v>
      </c>
      <c r="BZ13" s="142">
        <v>51331</v>
      </c>
      <c r="CA13" s="142">
        <v>3336</v>
      </c>
      <c r="CB13" s="142">
        <v>6666</v>
      </c>
      <c r="CC13" s="142">
        <f>CB13+CA13</f>
        <v>10002</v>
      </c>
      <c r="CD13" s="142">
        <v>21107</v>
      </c>
      <c r="CE13" s="142">
        <v>30506</v>
      </c>
      <c r="CF13" s="142">
        <v>17759</v>
      </c>
      <c r="CG13" s="142">
        <v>48265</v>
      </c>
      <c r="CH13" s="142">
        <v>13224</v>
      </c>
      <c r="CI13" s="142">
        <v>4833</v>
      </c>
      <c r="CJ13" s="142">
        <f>CI13+CH13</f>
        <v>18057</v>
      </c>
      <c r="CK13" s="142">
        <v>40148</v>
      </c>
      <c r="CL13" s="142">
        <f>CK13+CJ13</f>
        <v>58205</v>
      </c>
      <c r="CM13" s="142">
        <v>31423</v>
      </c>
      <c r="CN13" s="142">
        <f>CM13+CL13</f>
        <v>89628</v>
      </c>
      <c r="CO13" s="142">
        <v>13761</v>
      </c>
      <c r="CP13" s="142">
        <v>12666</v>
      </c>
      <c r="CQ13" s="142">
        <f>CP13+CO13</f>
        <v>26427</v>
      </c>
      <c r="CR13" s="142">
        <v>23943</v>
      </c>
      <c r="CS13" s="142">
        <f>CR13+CQ13</f>
        <v>50370</v>
      </c>
      <c r="CT13" s="142">
        <v>21316</v>
      </c>
      <c r="CU13" s="142">
        <f>CT13+CS13</f>
        <v>71686</v>
      </c>
      <c r="CV13" s="142">
        <v>7503</v>
      </c>
      <c r="CW13" s="142">
        <v>9139</v>
      </c>
      <c r="CX13" s="142">
        <f>CW13+CV13</f>
        <v>16642</v>
      </c>
      <c r="CY13" s="142">
        <v>18959</v>
      </c>
      <c r="CZ13" s="142">
        <f>CY13+CX13</f>
        <v>35601</v>
      </c>
      <c r="DA13" s="142">
        <v>24427</v>
      </c>
      <c r="DB13" s="142">
        <f>DA13+CZ13+3</f>
        <v>60031</v>
      </c>
      <c r="DC13" s="142">
        <v>13021</v>
      </c>
      <c r="DD13" s="142">
        <v>22296</v>
      </c>
      <c r="DE13" s="142">
        <f t="shared" si="9"/>
        <v>35317</v>
      </c>
      <c r="DH13" s="10"/>
    </row>
    <row r="14" spans="1:112" x14ac:dyDescent="0.2"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DD14" s="9"/>
      <c r="DE14" s="10"/>
      <c r="DH14" s="10"/>
    </row>
    <row r="15" spans="1:112" ht="10.5" x14ac:dyDescent="0.25">
      <c r="A15" s="12"/>
      <c r="B15" s="13" t="s">
        <v>22</v>
      </c>
      <c r="C15" s="13" t="s">
        <v>23</v>
      </c>
      <c r="D15" s="13" t="s">
        <v>198</v>
      </c>
      <c r="E15" s="13" t="s">
        <v>24</v>
      </c>
      <c r="F15" s="13" t="s">
        <v>199</v>
      </c>
      <c r="G15" s="13" t="s">
        <v>200</v>
      </c>
      <c r="H15" s="207" t="s">
        <v>25</v>
      </c>
      <c r="I15" s="13" t="s">
        <v>26</v>
      </c>
      <c r="J15" s="13" t="s">
        <v>27</v>
      </c>
      <c r="K15" s="13" t="s">
        <v>201</v>
      </c>
      <c r="L15" s="13" t="s">
        <v>28</v>
      </c>
      <c r="M15" s="13" t="s">
        <v>202</v>
      </c>
      <c r="N15" s="13" t="s">
        <v>203</v>
      </c>
      <c r="O15" s="207" t="s">
        <v>29</v>
      </c>
      <c r="P15" s="13" t="s">
        <v>30</v>
      </c>
      <c r="Q15" s="13" t="s">
        <v>31</v>
      </c>
      <c r="R15" s="13" t="s">
        <v>204</v>
      </c>
      <c r="S15" s="13" t="s">
        <v>32</v>
      </c>
      <c r="T15" s="13" t="s">
        <v>205</v>
      </c>
      <c r="U15" s="13" t="s">
        <v>206</v>
      </c>
      <c r="V15" s="207" t="s">
        <v>33</v>
      </c>
      <c r="W15" s="13" t="s">
        <v>34</v>
      </c>
      <c r="X15" s="13" t="s">
        <v>35</v>
      </c>
      <c r="Y15" s="13" t="s">
        <v>207</v>
      </c>
      <c r="Z15" s="13" t="s">
        <v>36</v>
      </c>
      <c r="AA15" s="13" t="s">
        <v>208</v>
      </c>
      <c r="AB15" s="13" t="s">
        <v>209</v>
      </c>
      <c r="AC15" s="207" t="s">
        <v>37</v>
      </c>
      <c r="AD15" s="13" t="s">
        <v>38</v>
      </c>
      <c r="AE15" s="13" t="s">
        <v>39</v>
      </c>
      <c r="AF15" s="13" t="s">
        <v>210</v>
      </c>
      <c r="AG15" s="13" t="s">
        <v>40</v>
      </c>
      <c r="AH15" s="13" t="s">
        <v>211</v>
      </c>
      <c r="AI15" s="13" t="s">
        <v>212</v>
      </c>
      <c r="AJ15" s="207" t="s">
        <v>41</v>
      </c>
      <c r="AK15" s="13" t="s">
        <v>213</v>
      </c>
      <c r="AL15" s="13" t="s">
        <v>214</v>
      </c>
      <c r="AM15" s="13" t="s">
        <v>353</v>
      </c>
      <c r="AN15" s="13" t="s">
        <v>216</v>
      </c>
      <c r="AO15" s="13" t="s">
        <v>217</v>
      </c>
      <c r="AP15" s="13" t="s">
        <v>218</v>
      </c>
      <c r="AQ15" s="189" t="s">
        <v>45</v>
      </c>
      <c r="AR15" s="197" t="s">
        <v>219</v>
      </c>
      <c r="AS15" s="197" t="s">
        <v>220</v>
      </c>
      <c r="AT15" s="197" t="s">
        <v>221</v>
      </c>
      <c r="AU15" s="197" t="s">
        <v>222</v>
      </c>
      <c r="AV15" s="197" t="s">
        <v>223</v>
      </c>
      <c r="AW15" s="197" t="s">
        <v>224</v>
      </c>
      <c r="AX15" s="198" t="s">
        <v>49</v>
      </c>
      <c r="AY15" s="197" t="s">
        <v>225</v>
      </c>
      <c r="AZ15" s="197" t="s">
        <v>226</v>
      </c>
      <c r="BA15" s="197" t="s">
        <v>227</v>
      </c>
      <c r="BB15" s="197" t="s">
        <v>228</v>
      </c>
      <c r="BC15" s="197" t="s">
        <v>229</v>
      </c>
      <c r="BD15" s="197" t="s">
        <v>230</v>
      </c>
      <c r="BE15" s="207" t="s">
        <v>53</v>
      </c>
      <c r="BF15" s="197" t="s">
        <v>231</v>
      </c>
      <c r="BG15" s="197" t="s">
        <v>232</v>
      </c>
      <c r="BH15" s="197" t="s">
        <v>233</v>
      </c>
      <c r="BI15" s="197" t="s">
        <v>234</v>
      </c>
      <c r="BJ15" s="197" t="s">
        <v>235</v>
      </c>
      <c r="BK15" s="197" t="s">
        <v>236</v>
      </c>
      <c r="BL15" s="207" t="s">
        <v>57</v>
      </c>
      <c r="BM15" s="197" t="s">
        <v>237</v>
      </c>
      <c r="BN15" s="197" t="s">
        <v>238</v>
      </c>
      <c r="BO15" s="197" t="s">
        <v>239</v>
      </c>
      <c r="BP15" s="197" t="s">
        <v>240</v>
      </c>
      <c r="BQ15" s="197" t="s">
        <v>241</v>
      </c>
      <c r="BR15" s="197" t="s">
        <v>242</v>
      </c>
      <c r="BS15" s="207" t="s">
        <v>61</v>
      </c>
      <c r="BT15" s="197" t="s">
        <v>243</v>
      </c>
      <c r="BU15" s="197" t="s">
        <v>244</v>
      </c>
      <c r="BV15" s="197" t="s">
        <v>245</v>
      </c>
      <c r="BW15" s="197" t="s">
        <v>246</v>
      </c>
      <c r="BX15" s="197" t="s">
        <v>247</v>
      </c>
      <c r="BY15" s="197" t="s">
        <v>248</v>
      </c>
      <c r="BZ15" s="207">
        <v>2019</v>
      </c>
      <c r="CA15" s="197" t="s">
        <v>249</v>
      </c>
      <c r="CB15" s="197" t="s">
        <v>250</v>
      </c>
      <c r="CC15" s="197" t="s">
        <v>251</v>
      </c>
      <c r="CD15" s="197" t="s">
        <v>252</v>
      </c>
      <c r="CE15" s="197" t="s">
        <v>253</v>
      </c>
      <c r="CF15" s="197" t="s">
        <v>254</v>
      </c>
      <c r="CG15" s="207" t="s">
        <v>134</v>
      </c>
      <c r="CH15" s="197" t="s">
        <v>255</v>
      </c>
      <c r="CI15" s="197" t="s">
        <v>256</v>
      </c>
      <c r="CJ15" s="197" t="s">
        <v>257</v>
      </c>
      <c r="CK15" s="197" t="s">
        <v>258</v>
      </c>
      <c r="CL15" s="197" t="s">
        <v>259</v>
      </c>
      <c r="CM15" s="197" t="s">
        <v>260</v>
      </c>
      <c r="CN15" s="207" t="s">
        <v>72</v>
      </c>
      <c r="CO15" s="197" t="s">
        <v>135</v>
      </c>
      <c r="CP15" s="197" t="s">
        <v>394</v>
      </c>
      <c r="CQ15" s="197" t="s">
        <v>395</v>
      </c>
      <c r="CR15" s="197" t="s">
        <v>398</v>
      </c>
      <c r="CS15" s="197" t="s">
        <v>399</v>
      </c>
      <c r="CT15" s="197" t="s">
        <v>403</v>
      </c>
      <c r="CU15" s="207" t="s">
        <v>400</v>
      </c>
      <c r="CV15" s="197" t="s">
        <v>406</v>
      </c>
      <c r="CW15" s="197" t="str">
        <f>CW7</f>
        <v>2T23</v>
      </c>
      <c r="CX15" s="197" t="str">
        <f>CX7</f>
        <v>1S23</v>
      </c>
      <c r="CY15" s="197" t="s">
        <v>398</v>
      </c>
      <c r="CZ15" s="197" t="s">
        <v>399</v>
      </c>
      <c r="DA15" s="197" t="s">
        <v>423</v>
      </c>
      <c r="DB15" s="207" t="s">
        <v>424</v>
      </c>
      <c r="DC15" s="234" t="s">
        <v>433</v>
      </c>
      <c r="DD15" s="234" t="s">
        <v>436</v>
      </c>
      <c r="DE15" s="234" t="s">
        <v>437</v>
      </c>
      <c r="DH15" s="10"/>
    </row>
    <row r="16" spans="1:112" ht="10.5" x14ac:dyDescent="0.25">
      <c r="A16" s="138" t="s">
        <v>389</v>
      </c>
      <c r="B16" s="143">
        <v>0</v>
      </c>
      <c r="C16" s="143">
        <v>0</v>
      </c>
      <c r="D16" s="143">
        <v>0</v>
      </c>
      <c r="E16" s="143">
        <v>0</v>
      </c>
      <c r="F16" s="143">
        <v>0</v>
      </c>
      <c r="G16" s="143">
        <v>0</v>
      </c>
      <c r="H16" s="143">
        <v>0</v>
      </c>
      <c r="I16" s="143">
        <v>0</v>
      </c>
      <c r="J16" s="143">
        <v>0</v>
      </c>
      <c r="K16" s="143">
        <v>0</v>
      </c>
      <c r="L16" s="143">
        <v>0</v>
      </c>
      <c r="M16" s="143">
        <v>0</v>
      </c>
      <c r="N16" s="143">
        <v>0</v>
      </c>
      <c r="O16" s="143">
        <v>0</v>
      </c>
      <c r="P16" s="143">
        <v>0</v>
      </c>
      <c r="Q16" s="143">
        <v>0</v>
      </c>
      <c r="R16" s="143">
        <v>0</v>
      </c>
      <c r="S16" s="143">
        <v>0</v>
      </c>
      <c r="T16" s="143">
        <v>0</v>
      </c>
      <c r="U16" s="143">
        <v>0</v>
      </c>
      <c r="V16" s="143">
        <v>0</v>
      </c>
      <c r="W16" s="143">
        <v>0</v>
      </c>
      <c r="X16" s="143">
        <v>0</v>
      </c>
      <c r="Y16" s="143">
        <v>0</v>
      </c>
      <c r="Z16" s="143">
        <v>0</v>
      </c>
      <c r="AA16" s="143">
        <v>0</v>
      </c>
      <c r="AB16" s="143">
        <v>0</v>
      </c>
      <c r="AC16" s="143">
        <v>0</v>
      </c>
      <c r="AD16" s="143">
        <v>0</v>
      </c>
      <c r="AE16" s="143">
        <v>0</v>
      </c>
      <c r="AF16" s="143">
        <v>0</v>
      </c>
      <c r="AG16" s="143">
        <v>0</v>
      </c>
      <c r="AH16" s="143">
        <v>0</v>
      </c>
      <c r="AI16" s="143">
        <v>0</v>
      </c>
      <c r="AJ16" s="143">
        <v>0</v>
      </c>
      <c r="AK16" s="143">
        <v>0</v>
      </c>
      <c r="AL16" s="143">
        <v>0</v>
      </c>
      <c r="AM16" s="143">
        <v>0</v>
      </c>
      <c r="AN16" s="143">
        <v>0</v>
      </c>
      <c r="AO16" s="143">
        <v>0</v>
      </c>
      <c r="AP16" s="143">
        <v>0</v>
      </c>
      <c r="AQ16" s="143">
        <v>0</v>
      </c>
      <c r="AR16" s="143">
        <v>0</v>
      </c>
      <c r="AS16" s="143">
        <v>0</v>
      </c>
      <c r="AT16" s="143">
        <v>0</v>
      </c>
      <c r="AU16" s="143">
        <v>0</v>
      </c>
      <c r="AV16" s="143">
        <v>0</v>
      </c>
      <c r="AW16" s="143">
        <v>0</v>
      </c>
      <c r="AX16" s="143">
        <v>0</v>
      </c>
      <c r="AY16" s="143">
        <v>0</v>
      </c>
      <c r="AZ16" s="143">
        <v>0</v>
      </c>
      <c r="BA16" s="143">
        <v>0</v>
      </c>
      <c r="BB16" s="143">
        <v>0</v>
      </c>
      <c r="BC16" s="143">
        <v>0</v>
      </c>
      <c r="BD16" s="143">
        <v>0</v>
      </c>
      <c r="BE16" s="143">
        <v>0</v>
      </c>
      <c r="BF16" s="143">
        <v>0</v>
      </c>
      <c r="BG16" s="143">
        <v>0</v>
      </c>
      <c r="BH16" s="143">
        <v>0</v>
      </c>
      <c r="BI16" s="143">
        <v>0</v>
      </c>
      <c r="BJ16" s="143">
        <v>0</v>
      </c>
      <c r="BK16" s="143">
        <v>0</v>
      </c>
      <c r="BL16" s="143">
        <v>0</v>
      </c>
      <c r="BM16" s="143">
        <v>0</v>
      </c>
      <c r="BN16" s="143">
        <v>0</v>
      </c>
      <c r="BO16" s="143">
        <v>0</v>
      </c>
      <c r="BP16" s="143">
        <v>0</v>
      </c>
      <c r="BQ16" s="143">
        <v>0</v>
      </c>
      <c r="BR16" s="143">
        <v>0</v>
      </c>
      <c r="BS16" s="143">
        <v>0</v>
      </c>
      <c r="BT16" s="143">
        <v>0</v>
      </c>
      <c r="BU16" s="143">
        <v>0</v>
      </c>
      <c r="BV16" s="143">
        <v>0</v>
      </c>
      <c r="BW16" s="143">
        <v>0</v>
      </c>
      <c r="BX16" s="143">
        <v>0</v>
      </c>
      <c r="BY16" s="143">
        <v>0</v>
      </c>
      <c r="BZ16" s="143">
        <v>0</v>
      </c>
      <c r="CA16" s="143">
        <v>0</v>
      </c>
      <c r="CB16" s="143">
        <v>0</v>
      </c>
      <c r="CC16" s="143">
        <v>0</v>
      </c>
      <c r="CD16" s="143">
        <v>0</v>
      </c>
      <c r="CE16" s="143">
        <v>0</v>
      </c>
      <c r="CF16" s="143">
        <v>0</v>
      </c>
      <c r="CG16" s="143">
        <v>0</v>
      </c>
      <c r="CH16" s="143">
        <v>0</v>
      </c>
      <c r="CI16" s="143">
        <v>0</v>
      </c>
      <c r="CJ16" s="143">
        <v>0</v>
      </c>
      <c r="CK16" s="143">
        <f>CK17</f>
        <v>2087</v>
      </c>
      <c r="CL16" s="143">
        <f>CL17</f>
        <v>4314</v>
      </c>
      <c r="CM16" s="143">
        <v>8971</v>
      </c>
      <c r="CN16" s="143">
        <f>CL16+CM16</f>
        <v>13285</v>
      </c>
      <c r="CO16" s="143">
        <f t="shared" ref="CO16:DC16" si="10">CO17</f>
        <v>5860</v>
      </c>
      <c r="CP16" s="143">
        <f t="shared" si="10"/>
        <v>5687</v>
      </c>
      <c r="CQ16" s="143">
        <f t="shared" si="10"/>
        <v>11547</v>
      </c>
      <c r="CR16" s="143">
        <f t="shared" si="10"/>
        <v>4863</v>
      </c>
      <c r="CS16" s="143">
        <f t="shared" si="10"/>
        <v>16410</v>
      </c>
      <c r="CT16" s="143">
        <f t="shared" si="10"/>
        <v>7908</v>
      </c>
      <c r="CU16" s="143">
        <f t="shared" si="10"/>
        <v>24318</v>
      </c>
      <c r="CV16" s="143">
        <f t="shared" si="10"/>
        <v>3471</v>
      </c>
      <c r="CW16" s="143">
        <f t="shared" si="10"/>
        <v>4709</v>
      </c>
      <c r="CX16" s="143">
        <f t="shared" si="10"/>
        <v>8180</v>
      </c>
      <c r="CY16" s="143">
        <f t="shared" si="10"/>
        <v>8540</v>
      </c>
      <c r="CZ16" s="143">
        <f t="shared" si="10"/>
        <v>16720</v>
      </c>
      <c r="DA16" s="143">
        <f t="shared" si="10"/>
        <v>13575</v>
      </c>
      <c r="DB16" s="143">
        <f t="shared" si="10"/>
        <v>30295</v>
      </c>
      <c r="DC16" s="143">
        <f t="shared" si="10"/>
        <v>6602</v>
      </c>
      <c r="DD16" s="143">
        <v>7132</v>
      </c>
      <c r="DE16" s="143">
        <f>SUM(DC16:DD16)</f>
        <v>13734</v>
      </c>
      <c r="DH16" s="10"/>
    </row>
    <row r="17" spans="1:109" ht="10.5" thickBot="1" x14ac:dyDescent="0.25">
      <c r="A17" s="141" t="s">
        <v>263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>
        <v>2087</v>
      </c>
      <c r="CL17" s="142">
        <v>4314</v>
      </c>
      <c r="CM17" s="142">
        <v>8971</v>
      </c>
      <c r="CN17" s="142">
        <f>CL17+CM17</f>
        <v>13285</v>
      </c>
      <c r="CO17" s="142">
        <v>5860</v>
      </c>
      <c r="CP17" s="142">
        <v>5687</v>
      </c>
      <c r="CQ17" s="142">
        <f>SUM(CO17:CP17)</f>
        <v>11547</v>
      </c>
      <c r="CR17" s="142">
        <v>4863</v>
      </c>
      <c r="CS17" s="142">
        <f>SUM(CQ17:CR17)</f>
        <v>16410</v>
      </c>
      <c r="CT17" s="142">
        <v>7908</v>
      </c>
      <c r="CU17" s="142">
        <f>CS17+CT17</f>
        <v>24318</v>
      </c>
      <c r="CV17" s="142">
        <v>3471</v>
      </c>
      <c r="CW17" s="142">
        <v>4709</v>
      </c>
      <c r="CX17" s="142">
        <f>SUM(CV17:CW17)</f>
        <v>8180</v>
      </c>
      <c r="CY17" s="142">
        <v>8540</v>
      </c>
      <c r="CZ17" s="142">
        <f>SUM(CX17:CY17)</f>
        <v>16720</v>
      </c>
      <c r="DA17" s="142">
        <v>13575</v>
      </c>
      <c r="DB17" s="142">
        <f>SUM(CZ17:DA17)</f>
        <v>30295</v>
      </c>
      <c r="DC17" s="142">
        <v>6602</v>
      </c>
      <c r="DD17" s="142">
        <v>7132</v>
      </c>
      <c r="DE17" s="142">
        <f>SUM(DC17:DD17)</f>
        <v>13734</v>
      </c>
    </row>
    <row r="18" spans="1:109" ht="15.5" hidden="1" x14ac:dyDescent="0.35">
      <c r="A18" s="144" t="s">
        <v>390</v>
      </c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</row>
    <row r="19" spans="1:109" ht="10.5" hidden="1" x14ac:dyDescent="0.25">
      <c r="A19" s="137"/>
    </row>
    <row r="20" spans="1:109" ht="10.5" hidden="1" x14ac:dyDescent="0.25">
      <c r="A20" s="12"/>
      <c r="B20" s="13" t="s">
        <v>22</v>
      </c>
      <c r="C20" s="13" t="s">
        <v>23</v>
      </c>
      <c r="D20" s="13" t="s">
        <v>198</v>
      </c>
      <c r="E20" s="13" t="s">
        <v>24</v>
      </c>
      <c r="F20" s="13" t="s">
        <v>199</v>
      </c>
      <c r="G20" s="13" t="s">
        <v>200</v>
      </c>
      <c r="H20" s="13">
        <v>2009</v>
      </c>
      <c r="I20" s="13" t="s">
        <v>26</v>
      </c>
      <c r="J20" s="13" t="s">
        <v>27</v>
      </c>
      <c r="K20" s="13" t="s">
        <v>201</v>
      </c>
      <c r="L20" s="13" t="s">
        <v>28</v>
      </c>
      <c r="M20" s="13" t="s">
        <v>202</v>
      </c>
      <c r="N20" s="13" t="s">
        <v>203</v>
      </c>
      <c r="O20" s="13">
        <v>2010</v>
      </c>
      <c r="P20" s="13" t="s">
        <v>30</v>
      </c>
      <c r="Q20" s="13" t="s">
        <v>31</v>
      </c>
      <c r="R20" s="13" t="s">
        <v>204</v>
      </c>
      <c r="S20" s="13" t="s">
        <v>32</v>
      </c>
      <c r="T20" s="13" t="s">
        <v>205</v>
      </c>
      <c r="U20" s="13" t="s">
        <v>206</v>
      </c>
      <c r="V20" s="13">
        <v>2011</v>
      </c>
      <c r="W20" s="13" t="s">
        <v>34</v>
      </c>
      <c r="X20" s="13" t="s">
        <v>35</v>
      </c>
      <c r="Y20" s="13" t="s">
        <v>204</v>
      </c>
      <c r="Z20" s="13" t="s">
        <v>36</v>
      </c>
      <c r="AA20" s="13" t="s">
        <v>205</v>
      </c>
      <c r="AB20" s="13" t="s">
        <v>209</v>
      </c>
      <c r="AC20" s="13">
        <v>2012</v>
      </c>
      <c r="AD20" s="13" t="s">
        <v>38</v>
      </c>
      <c r="AE20" s="13" t="s">
        <v>38</v>
      </c>
      <c r="AF20" s="13" t="s">
        <v>38</v>
      </c>
      <c r="AG20" s="13" t="s">
        <v>38</v>
      </c>
      <c r="AH20" s="13" t="s">
        <v>38</v>
      </c>
      <c r="AI20" s="13" t="s">
        <v>38</v>
      </c>
      <c r="AJ20" s="13" t="s">
        <v>38</v>
      </c>
      <c r="AK20" s="13" t="s">
        <v>38</v>
      </c>
      <c r="AL20" s="13" t="s">
        <v>38</v>
      </c>
      <c r="AM20" s="13" t="s">
        <v>38</v>
      </c>
      <c r="AN20" s="13" t="s">
        <v>38</v>
      </c>
      <c r="AO20" s="13" t="s">
        <v>38</v>
      </c>
      <c r="AP20" s="13" t="s">
        <v>38</v>
      </c>
      <c r="AQ20" s="13" t="s">
        <v>38</v>
      </c>
      <c r="AR20" s="197" t="s">
        <v>38</v>
      </c>
      <c r="AS20" s="197" t="s">
        <v>38</v>
      </c>
      <c r="AT20" s="197" t="s">
        <v>38</v>
      </c>
      <c r="AU20" s="197" t="s">
        <v>38</v>
      </c>
      <c r="AV20" s="197" t="s">
        <v>38</v>
      </c>
      <c r="AW20" s="197" t="s">
        <v>38</v>
      </c>
      <c r="AX20" s="197" t="s">
        <v>38</v>
      </c>
    </row>
    <row r="21" spans="1:109" ht="10.5" hidden="1" x14ac:dyDescent="0.25">
      <c r="A21" s="138" t="s">
        <v>391</v>
      </c>
      <c r="B21" s="143">
        <f>SUM(B22:B27)</f>
        <v>158970</v>
      </c>
      <c r="C21" s="143">
        <f t="shared" ref="C21:AC21" si="11">SUM(C22:C27)</f>
        <v>175028</v>
      </c>
      <c r="D21" s="143">
        <f t="shared" si="11"/>
        <v>333998</v>
      </c>
      <c r="E21" s="143">
        <f t="shared" si="11"/>
        <v>270215</v>
      </c>
      <c r="F21" s="143">
        <f t="shared" si="11"/>
        <v>604213</v>
      </c>
      <c r="G21" s="143">
        <f t="shared" si="11"/>
        <v>182173</v>
      </c>
      <c r="H21" s="143">
        <f t="shared" si="11"/>
        <v>786386</v>
      </c>
      <c r="I21" s="143">
        <f t="shared" si="11"/>
        <v>178441</v>
      </c>
      <c r="J21" s="143">
        <f t="shared" si="11"/>
        <v>190424</v>
      </c>
      <c r="K21" s="143">
        <f t="shared" si="11"/>
        <v>368865</v>
      </c>
      <c r="L21" s="143">
        <f t="shared" si="11"/>
        <v>231063</v>
      </c>
      <c r="M21" s="143">
        <f t="shared" si="11"/>
        <v>599928</v>
      </c>
      <c r="N21" s="143">
        <f t="shared" si="11"/>
        <v>278679</v>
      </c>
      <c r="O21" s="143">
        <f t="shared" si="11"/>
        <v>878607</v>
      </c>
      <c r="P21" s="143">
        <f t="shared" si="11"/>
        <v>110929</v>
      </c>
      <c r="Q21" s="143">
        <f t="shared" si="11"/>
        <v>208038</v>
      </c>
      <c r="R21" s="143">
        <f t="shared" si="11"/>
        <v>318967</v>
      </c>
      <c r="S21" s="143">
        <f t="shared" si="11"/>
        <v>243464</v>
      </c>
      <c r="T21" s="143">
        <f t="shared" si="11"/>
        <v>562431</v>
      </c>
      <c r="U21" s="143">
        <f t="shared" si="11"/>
        <v>252491</v>
      </c>
      <c r="V21" s="143">
        <f t="shared" si="11"/>
        <v>814922</v>
      </c>
      <c r="W21" s="143">
        <f t="shared" si="11"/>
        <v>204118</v>
      </c>
      <c r="X21" s="143">
        <f t="shared" si="11"/>
        <v>240134</v>
      </c>
      <c r="Y21" s="143">
        <f t="shared" si="11"/>
        <v>444252</v>
      </c>
      <c r="Z21" s="143">
        <f t="shared" si="11"/>
        <v>284901</v>
      </c>
      <c r="AA21" s="143">
        <f t="shared" si="11"/>
        <v>729153</v>
      </c>
      <c r="AB21" s="143">
        <f t="shared" si="11"/>
        <v>259957</v>
      </c>
      <c r="AC21" s="143">
        <f t="shared" si="11"/>
        <v>989110</v>
      </c>
      <c r="AD21" s="143">
        <f t="shared" ref="AD21:AK21" si="12">SUM(AD22:AD27)</f>
        <v>217311</v>
      </c>
      <c r="AE21" s="143">
        <f t="shared" si="12"/>
        <v>217311</v>
      </c>
      <c r="AF21" s="143">
        <f t="shared" si="12"/>
        <v>217311</v>
      </c>
      <c r="AG21" s="143">
        <f t="shared" si="12"/>
        <v>217311</v>
      </c>
      <c r="AH21" s="143">
        <f t="shared" si="12"/>
        <v>217311</v>
      </c>
      <c r="AI21" s="143">
        <f t="shared" si="12"/>
        <v>217311</v>
      </c>
      <c r="AJ21" s="143">
        <f t="shared" si="12"/>
        <v>217311</v>
      </c>
      <c r="AK21" s="143">
        <f t="shared" si="12"/>
        <v>217311</v>
      </c>
      <c r="AL21" s="143">
        <f t="shared" ref="AL21:AR21" si="13">SUM(AL22:AL27)</f>
        <v>217311</v>
      </c>
      <c r="AM21" s="143">
        <f t="shared" si="13"/>
        <v>217311</v>
      </c>
      <c r="AN21" s="143">
        <f t="shared" si="13"/>
        <v>217311</v>
      </c>
      <c r="AO21" s="143">
        <f t="shared" si="13"/>
        <v>217311</v>
      </c>
      <c r="AP21" s="143">
        <f t="shared" si="13"/>
        <v>217311</v>
      </c>
      <c r="AQ21" s="143">
        <f t="shared" si="13"/>
        <v>217311</v>
      </c>
      <c r="AR21" s="143">
        <f t="shared" si="13"/>
        <v>217311</v>
      </c>
      <c r="AS21" s="143">
        <f t="shared" ref="AS21:AX21" si="14">SUM(AS22:AS27)</f>
        <v>217311</v>
      </c>
      <c r="AT21" s="143">
        <f t="shared" si="14"/>
        <v>217311</v>
      </c>
      <c r="AU21" s="143">
        <f t="shared" si="14"/>
        <v>217311</v>
      </c>
      <c r="AV21" s="143">
        <f t="shared" si="14"/>
        <v>217311</v>
      </c>
      <c r="AW21" s="143">
        <f t="shared" si="14"/>
        <v>217311</v>
      </c>
      <c r="AX21" s="143">
        <f t="shared" si="14"/>
        <v>217311</v>
      </c>
    </row>
    <row r="22" spans="1:109" hidden="1" x14ac:dyDescent="0.2">
      <c r="A22" s="7" t="s">
        <v>387</v>
      </c>
      <c r="B22" s="140">
        <v>25578</v>
      </c>
      <c r="C22" s="140">
        <v>17440</v>
      </c>
      <c r="D22" s="140">
        <f t="shared" ref="D22:D27" si="15">SUM(B22:C22)</f>
        <v>43018</v>
      </c>
      <c r="E22" s="140">
        <v>12691</v>
      </c>
      <c r="F22" s="140">
        <f t="shared" ref="F22:F27" si="16">SUM(D22:E22)</f>
        <v>55709</v>
      </c>
      <c r="G22" s="140">
        <v>39405</v>
      </c>
      <c r="H22" s="140">
        <f t="shared" ref="H22:H27" si="17">SUM(F22:G22)</f>
        <v>95114</v>
      </c>
      <c r="I22" s="140">
        <v>32844</v>
      </c>
      <c r="J22" s="140">
        <v>16916</v>
      </c>
      <c r="K22" s="140">
        <f t="shared" ref="K22:K27" si="18">SUM(I22:J22)</f>
        <v>49760</v>
      </c>
      <c r="L22" s="140">
        <v>20551</v>
      </c>
      <c r="M22" s="140">
        <f t="shared" ref="M22:M27" si="19">SUM(K22:L22)</f>
        <v>70311</v>
      </c>
      <c r="N22" s="140">
        <v>53897</v>
      </c>
      <c r="O22" s="140">
        <f t="shared" ref="O22:O27" si="20">SUM(M22:N22)</f>
        <v>124208</v>
      </c>
      <c r="P22" s="140">
        <f>25460</f>
        <v>25460</v>
      </c>
      <c r="Q22" s="140">
        <v>4260</v>
      </c>
      <c r="R22" s="140">
        <f t="shared" ref="R22:R27" si="21">SUM(P22:Q22)</f>
        <v>29720</v>
      </c>
      <c r="S22" s="140">
        <v>20242</v>
      </c>
      <c r="T22" s="140">
        <f t="shared" ref="T22:T27" si="22">SUM(R22:S22)</f>
        <v>49962</v>
      </c>
      <c r="U22" s="140">
        <v>59065</v>
      </c>
      <c r="V22" s="140">
        <f t="shared" ref="V22:V27" si="23">SUM(T22:U22)</f>
        <v>109027</v>
      </c>
      <c r="W22" s="140">
        <v>42286</v>
      </c>
      <c r="X22" s="140">
        <v>22781</v>
      </c>
      <c r="Y22" s="140">
        <f t="shared" ref="Y22:Y27" si="24">SUM(W22:X22)</f>
        <v>65067</v>
      </c>
      <c r="Z22" s="140">
        <v>24774</v>
      </c>
      <c r="AA22" s="140">
        <f t="shared" ref="AA22:AA27" si="25">SUM(Y22:Z22)</f>
        <v>89841</v>
      </c>
      <c r="AB22" s="140">
        <v>53774</v>
      </c>
      <c r="AC22" s="140">
        <f t="shared" ref="AC22:AC27" si="26">SUM(AA22:AB22)</f>
        <v>143615</v>
      </c>
      <c r="AD22" s="140">
        <v>33983</v>
      </c>
      <c r="AE22" s="140">
        <v>33983</v>
      </c>
      <c r="AF22" s="140">
        <v>33983</v>
      </c>
      <c r="AG22" s="140">
        <v>33983</v>
      </c>
      <c r="AH22" s="140">
        <v>33983</v>
      </c>
      <c r="AI22" s="140">
        <v>33983</v>
      </c>
      <c r="AJ22" s="140">
        <v>33983</v>
      </c>
      <c r="AK22" s="140">
        <v>33983</v>
      </c>
      <c r="AL22" s="140">
        <v>33983</v>
      </c>
      <c r="AM22" s="140">
        <v>33983</v>
      </c>
      <c r="AN22" s="140">
        <v>33983</v>
      </c>
      <c r="AO22" s="140">
        <v>33983</v>
      </c>
      <c r="AP22" s="140">
        <v>33983</v>
      </c>
      <c r="AQ22" s="140">
        <v>33983</v>
      </c>
      <c r="AR22" s="140">
        <v>33983</v>
      </c>
      <c r="AS22" s="140">
        <v>33983</v>
      </c>
      <c r="AT22" s="140">
        <v>33983</v>
      </c>
      <c r="AU22" s="140">
        <v>33983</v>
      </c>
      <c r="AV22" s="140">
        <v>33983</v>
      </c>
      <c r="AW22" s="140">
        <v>33983</v>
      </c>
      <c r="AX22" s="140">
        <v>33983</v>
      </c>
    </row>
    <row r="23" spans="1:109" hidden="1" x14ac:dyDescent="0.2">
      <c r="A23" s="7" t="s">
        <v>388</v>
      </c>
      <c r="B23" s="140">
        <v>10492</v>
      </c>
      <c r="C23" s="140">
        <v>3362</v>
      </c>
      <c r="D23" s="140">
        <f t="shared" si="15"/>
        <v>13854</v>
      </c>
      <c r="E23" s="140">
        <v>65923</v>
      </c>
      <c r="F23" s="140">
        <f t="shared" si="16"/>
        <v>79777</v>
      </c>
      <c r="G23" s="140">
        <v>49882</v>
      </c>
      <c r="H23" s="140">
        <f t="shared" si="17"/>
        <v>129659</v>
      </c>
      <c r="I23" s="140">
        <v>7643</v>
      </c>
      <c r="J23" s="140">
        <v>10557</v>
      </c>
      <c r="K23" s="140">
        <f t="shared" si="18"/>
        <v>18200</v>
      </c>
      <c r="L23" s="140">
        <v>75129</v>
      </c>
      <c r="M23" s="140">
        <f t="shared" si="19"/>
        <v>93329</v>
      </c>
      <c r="N23" s="140">
        <v>34328</v>
      </c>
      <c r="O23" s="140">
        <f t="shared" si="20"/>
        <v>127657</v>
      </c>
      <c r="P23" s="140">
        <v>6235</v>
      </c>
      <c r="Q23" s="140">
        <v>6516</v>
      </c>
      <c r="R23" s="140">
        <f t="shared" si="21"/>
        <v>12751</v>
      </c>
      <c r="S23" s="140">
        <v>76843</v>
      </c>
      <c r="T23" s="140">
        <f t="shared" si="22"/>
        <v>89594</v>
      </c>
      <c r="U23" s="140">
        <v>74570</v>
      </c>
      <c r="V23" s="140">
        <f t="shared" si="23"/>
        <v>164164</v>
      </c>
      <c r="W23" s="140">
        <v>27039</v>
      </c>
      <c r="X23" s="140">
        <v>6895</v>
      </c>
      <c r="Y23" s="140">
        <f t="shared" si="24"/>
        <v>33934</v>
      </c>
      <c r="Z23" s="140">
        <v>88385</v>
      </c>
      <c r="AA23" s="140">
        <f t="shared" si="25"/>
        <v>122319</v>
      </c>
      <c r="AB23" s="140">
        <v>63264</v>
      </c>
      <c r="AC23" s="140">
        <f t="shared" si="26"/>
        <v>185583</v>
      </c>
      <c r="AD23" s="140">
        <v>25846</v>
      </c>
      <c r="AE23" s="140">
        <v>25846</v>
      </c>
      <c r="AF23" s="140">
        <v>25846</v>
      </c>
      <c r="AG23" s="140">
        <v>25846</v>
      </c>
      <c r="AH23" s="140">
        <v>25846</v>
      </c>
      <c r="AI23" s="140">
        <v>25846</v>
      </c>
      <c r="AJ23" s="140">
        <v>25846</v>
      </c>
      <c r="AK23" s="140">
        <v>25846</v>
      </c>
      <c r="AL23" s="140">
        <v>25846</v>
      </c>
      <c r="AM23" s="140">
        <v>25846</v>
      </c>
      <c r="AN23" s="140">
        <v>25846</v>
      </c>
      <c r="AO23" s="140">
        <v>25846</v>
      </c>
      <c r="AP23" s="140">
        <v>25846</v>
      </c>
      <c r="AQ23" s="140">
        <v>25846</v>
      </c>
      <c r="AR23" s="140">
        <v>25846</v>
      </c>
      <c r="AS23" s="140">
        <v>25846</v>
      </c>
      <c r="AT23" s="140">
        <v>25846</v>
      </c>
      <c r="AU23" s="140">
        <v>25846</v>
      </c>
      <c r="AV23" s="140">
        <v>25846</v>
      </c>
      <c r="AW23" s="140">
        <v>25846</v>
      </c>
      <c r="AX23" s="140">
        <v>25846</v>
      </c>
    </row>
    <row r="24" spans="1:109" hidden="1" x14ac:dyDescent="0.2">
      <c r="A24" s="7" t="s">
        <v>107</v>
      </c>
      <c r="B24" s="140">
        <v>108111</v>
      </c>
      <c r="C24" s="140">
        <v>139349</v>
      </c>
      <c r="D24" s="140">
        <f t="shared" si="15"/>
        <v>247460</v>
      </c>
      <c r="E24" s="140">
        <v>69215</v>
      </c>
      <c r="F24" s="140">
        <f t="shared" si="16"/>
        <v>316675</v>
      </c>
      <c r="G24" s="140">
        <v>15444</v>
      </c>
      <c r="H24" s="140">
        <f t="shared" si="17"/>
        <v>332119</v>
      </c>
      <c r="I24" s="140">
        <v>100407</v>
      </c>
      <c r="J24" s="140">
        <v>149012</v>
      </c>
      <c r="K24" s="140">
        <f t="shared" si="18"/>
        <v>249419</v>
      </c>
      <c r="L24" s="140">
        <v>47644</v>
      </c>
      <c r="M24" s="140">
        <f t="shared" si="19"/>
        <v>297063</v>
      </c>
      <c r="N24" s="140">
        <v>53288</v>
      </c>
      <c r="O24" s="140">
        <f t="shared" si="20"/>
        <v>350351</v>
      </c>
      <c r="P24" s="140">
        <v>52676</v>
      </c>
      <c r="Q24" s="140">
        <v>171717</v>
      </c>
      <c r="R24" s="140">
        <f t="shared" si="21"/>
        <v>224393</v>
      </c>
      <c r="S24" s="140">
        <v>94768</v>
      </c>
      <c r="T24" s="140">
        <f t="shared" si="22"/>
        <v>319161</v>
      </c>
      <c r="U24" s="140">
        <v>36937</v>
      </c>
      <c r="V24" s="140">
        <f t="shared" si="23"/>
        <v>356098</v>
      </c>
      <c r="W24" s="140">
        <v>112123</v>
      </c>
      <c r="X24" s="140">
        <v>170396</v>
      </c>
      <c r="Y24" s="140">
        <f t="shared" si="24"/>
        <v>282519</v>
      </c>
      <c r="Z24" s="140">
        <v>67372</v>
      </c>
      <c r="AA24" s="140">
        <f t="shared" si="25"/>
        <v>349891</v>
      </c>
      <c r="AB24" s="140">
        <v>18848</v>
      </c>
      <c r="AC24" s="140">
        <f t="shared" si="26"/>
        <v>368739</v>
      </c>
      <c r="AD24" s="140">
        <v>133431</v>
      </c>
      <c r="AE24" s="140">
        <v>133431</v>
      </c>
      <c r="AF24" s="140">
        <v>133431</v>
      </c>
      <c r="AG24" s="140">
        <v>133431</v>
      </c>
      <c r="AH24" s="140">
        <v>133431</v>
      </c>
      <c r="AI24" s="140">
        <v>133431</v>
      </c>
      <c r="AJ24" s="140">
        <v>133431</v>
      </c>
      <c r="AK24" s="140">
        <v>133431</v>
      </c>
      <c r="AL24" s="140">
        <v>133431</v>
      </c>
      <c r="AM24" s="140">
        <v>133431</v>
      </c>
      <c r="AN24" s="140">
        <v>133431</v>
      </c>
      <c r="AO24" s="140">
        <v>133431</v>
      </c>
      <c r="AP24" s="140">
        <v>133431</v>
      </c>
      <c r="AQ24" s="140">
        <v>133431</v>
      </c>
      <c r="AR24" s="140">
        <v>133431</v>
      </c>
      <c r="AS24" s="140">
        <v>133431</v>
      </c>
      <c r="AT24" s="140">
        <v>133431</v>
      </c>
      <c r="AU24" s="140">
        <v>133431</v>
      </c>
      <c r="AV24" s="140">
        <v>133431</v>
      </c>
      <c r="AW24" s="140">
        <v>133431</v>
      </c>
      <c r="AX24" s="140">
        <v>133431</v>
      </c>
    </row>
    <row r="25" spans="1:109" hidden="1" x14ac:dyDescent="0.2">
      <c r="A25" s="7" t="s">
        <v>108</v>
      </c>
      <c r="B25" s="140">
        <v>10961</v>
      </c>
      <c r="C25" s="140">
        <v>6625</v>
      </c>
      <c r="D25" s="140">
        <f t="shared" si="15"/>
        <v>17586</v>
      </c>
      <c r="E25" s="140">
        <v>122857</v>
      </c>
      <c r="F25" s="140">
        <f t="shared" si="16"/>
        <v>140443</v>
      </c>
      <c r="G25" s="140">
        <v>74473</v>
      </c>
      <c r="H25" s="140">
        <f t="shared" si="17"/>
        <v>214916</v>
      </c>
      <c r="I25" s="140">
        <v>28762</v>
      </c>
      <c r="J25" s="140">
        <v>12873</v>
      </c>
      <c r="K25" s="140">
        <f t="shared" si="18"/>
        <v>41635</v>
      </c>
      <c r="L25" s="140">
        <v>85955</v>
      </c>
      <c r="M25" s="140">
        <f t="shared" si="19"/>
        <v>127590</v>
      </c>
      <c r="N25" s="140">
        <v>132058</v>
      </c>
      <c r="O25" s="140">
        <f t="shared" si="20"/>
        <v>259648</v>
      </c>
      <c r="P25" s="140">
        <v>21052</v>
      </c>
      <c r="Q25" s="140">
        <v>21674</v>
      </c>
      <c r="R25" s="140">
        <f t="shared" si="21"/>
        <v>42726</v>
      </c>
      <c r="S25" s="140">
        <v>49817</v>
      </c>
      <c r="T25" s="140">
        <f t="shared" si="22"/>
        <v>92543</v>
      </c>
      <c r="U25" s="140">
        <v>71378</v>
      </c>
      <c r="V25" s="140">
        <f t="shared" si="23"/>
        <v>163921</v>
      </c>
      <c r="W25" s="140">
        <v>16507</v>
      </c>
      <c r="X25" s="140">
        <v>37613</v>
      </c>
      <c r="Y25" s="140">
        <f t="shared" si="24"/>
        <v>54120</v>
      </c>
      <c r="Z25" s="140">
        <v>101826</v>
      </c>
      <c r="AA25" s="140">
        <f t="shared" si="25"/>
        <v>155946</v>
      </c>
      <c r="AB25" s="140">
        <v>116364</v>
      </c>
      <c r="AC25" s="140">
        <f t="shared" si="26"/>
        <v>272310</v>
      </c>
      <c r="AD25" s="140">
        <v>14531</v>
      </c>
      <c r="AE25" s="140">
        <v>14531</v>
      </c>
      <c r="AF25" s="140">
        <v>14531</v>
      </c>
      <c r="AG25" s="140">
        <v>14531</v>
      </c>
      <c r="AH25" s="140">
        <v>14531</v>
      </c>
      <c r="AI25" s="140">
        <v>14531</v>
      </c>
      <c r="AJ25" s="140">
        <v>14531</v>
      </c>
      <c r="AK25" s="140">
        <v>14531</v>
      </c>
      <c r="AL25" s="140">
        <v>14531</v>
      </c>
      <c r="AM25" s="140">
        <v>14531</v>
      </c>
      <c r="AN25" s="140">
        <v>14531</v>
      </c>
      <c r="AO25" s="140">
        <v>14531</v>
      </c>
      <c r="AP25" s="140">
        <v>14531</v>
      </c>
      <c r="AQ25" s="140">
        <v>14531</v>
      </c>
      <c r="AR25" s="140">
        <v>14531</v>
      </c>
      <c r="AS25" s="140">
        <v>14531</v>
      </c>
      <c r="AT25" s="140">
        <v>14531</v>
      </c>
      <c r="AU25" s="140">
        <v>14531</v>
      </c>
      <c r="AV25" s="140">
        <v>14531</v>
      </c>
      <c r="AW25" s="140">
        <v>14531</v>
      </c>
      <c r="AX25" s="140">
        <v>14531</v>
      </c>
    </row>
    <row r="26" spans="1:109" hidden="1" x14ac:dyDescent="0.2">
      <c r="A26" s="7" t="s">
        <v>109</v>
      </c>
      <c r="B26" s="140">
        <v>286</v>
      </c>
      <c r="C26" s="140">
        <v>388</v>
      </c>
      <c r="D26" s="140">
        <f t="shared" si="15"/>
        <v>674</v>
      </c>
      <c r="E26" s="140">
        <v>547</v>
      </c>
      <c r="F26" s="140">
        <f t="shared" si="16"/>
        <v>1221</v>
      </c>
      <c r="G26" s="140">
        <v>442</v>
      </c>
      <c r="H26" s="140">
        <f t="shared" si="17"/>
        <v>1663</v>
      </c>
      <c r="I26" s="140">
        <v>2333</v>
      </c>
      <c r="J26" s="140">
        <v>368</v>
      </c>
      <c r="K26" s="140">
        <f t="shared" si="18"/>
        <v>2701</v>
      </c>
      <c r="L26" s="140">
        <v>101</v>
      </c>
      <c r="M26" s="140">
        <f t="shared" si="19"/>
        <v>2802</v>
      </c>
      <c r="N26" s="140">
        <v>1394</v>
      </c>
      <c r="O26" s="140">
        <f t="shared" si="20"/>
        <v>4196</v>
      </c>
      <c r="P26" s="140">
        <v>228</v>
      </c>
      <c r="Q26" s="140">
        <v>400</v>
      </c>
      <c r="R26" s="140">
        <f t="shared" si="21"/>
        <v>628</v>
      </c>
      <c r="S26" s="140">
        <v>6</v>
      </c>
      <c r="T26" s="140">
        <f t="shared" si="22"/>
        <v>634</v>
      </c>
      <c r="U26" s="140">
        <v>942</v>
      </c>
      <c r="V26" s="140">
        <f t="shared" si="23"/>
        <v>1576</v>
      </c>
      <c r="W26" s="140">
        <v>192</v>
      </c>
      <c r="X26" s="140">
        <v>397</v>
      </c>
      <c r="Y26" s="140">
        <f t="shared" si="24"/>
        <v>589</v>
      </c>
      <c r="Z26" s="140">
        <v>54</v>
      </c>
      <c r="AA26" s="140">
        <f t="shared" si="25"/>
        <v>643</v>
      </c>
      <c r="AB26" s="140">
        <v>176</v>
      </c>
      <c r="AC26" s="140">
        <f t="shared" si="26"/>
        <v>819</v>
      </c>
      <c r="AD26" s="140">
        <v>601</v>
      </c>
      <c r="AE26" s="140">
        <v>601</v>
      </c>
      <c r="AF26" s="140">
        <v>601</v>
      </c>
      <c r="AG26" s="140">
        <v>601</v>
      </c>
      <c r="AH26" s="140">
        <v>601</v>
      </c>
      <c r="AI26" s="140">
        <v>601</v>
      </c>
      <c r="AJ26" s="140">
        <v>601</v>
      </c>
      <c r="AK26" s="140">
        <v>601</v>
      </c>
      <c r="AL26" s="140">
        <v>601</v>
      </c>
      <c r="AM26" s="140">
        <v>601</v>
      </c>
      <c r="AN26" s="140">
        <v>601</v>
      </c>
      <c r="AO26" s="140">
        <v>601</v>
      </c>
      <c r="AP26" s="140">
        <v>601</v>
      </c>
      <c r="AQ26" s="140">
        <v>601</v>
      </c>
      <c r="AR26" s="140">
        <v>601</v>
      </c>
      <c r="AS26" s="140">
        <v>601</v>
      </c>
      <c r="AT26" s="140">
        <v>601</v>
      </c>
      <c r="AU26" s="140">
        <v>601</v>
      </c>
      <c r="AV26" s="140">
        <v>601</v>
      </c>
      <c r="AW26" s="140">
        <v>601</v>
      </c>
      <c r="AX26" s="140">
        <v>601</v>
      </c>
    </row>
    <row r="27" spans="1:109" ht="10.5" hidden="1" thickBot="1" x14ac:dyDescent="0.25">
      <c r="A27" s="141" t="s">
        <v>110</v>
      </c>
      <c r="B27" s="142">
        <v>3542</v>
      </c>
      <c r="C27" s="142">
        <v>7864</v>
      </c>
      <c r="D27" s="142">
        <f t="shared" si="15"/>
        <v>11406</v>
      </c>
      <c r="E27" s="142">
        <v>-1018</v>
      </c>
      <c r="F27" s="142">
        <f t="shared" si="16"/>
        <v>10388</v>
      </c>
      <c r="G27" s="142">
        <v>2527</v>
      </c>
      <c r="H27" s="142">
        <f t="shared" si="17"/>
        <v>12915</v>
      </c>
      <c r="I27" s="142">
        <v>6452</v>
      </c>
      <c r="J27" s="142">
        <v>698</v>
      </c>
      <c r="K27" s="142">
        <f t="shared" si="18"/>
        <v>7150</v>
      </c>
      <c r="L27" s="142">
        <v>1683</v>
      </c>
      <c r="M27" s="142">
        <f t="shared" si="19"/>
        <v>8833</v>
      </c>
      <c r="N27" s="142">
        <v>3714</v>
      </c>
      <c r="O27" s="142">
        <f t="shared" si="20"/>
        <v>12547</v>
      </c>
      <c r="P27" s="142">
        <v>5278</v>
      </c>
      <c r="Q27" s="142">
        <v>3471</v>
      </c>
      <c r="R27" s="142">
        <f t="shared" si="21"/>
        <v>8749</v>
      </c>
      <c r="S27" s="142">
        <v>1788</v>
      </c>
      <c r="T27" s="142">
        <f t="shared" si="22"/>
        <v>10537</v>
      </c>
      <c r="U27" s="142">
        <v>9599</v>
      </c>
      <c r="V27" s="142">
        <f t="shared" si="23"/>
        <v>20136</v>
      </c>
      <c r="W27" s="142">
        <v>5971</v>
      </c>
      <c r="X27" s="142">
        <v>2052</v>
      </c>
      <c r="Y27" s="142">
        <f t="shared" si="24"/>
        <v>8023</v>
      </c>
      <c r="Z27" s="142">
        <v>2490</v>
      </c>
      <c r="AA27" s="142">
        <f t="shared" si="25"/>
        <v>10513</v>
      </c>
      <c r="AB27" s="142">
        <v>7531</v>
      </c>
      <c r="AC27" s="142">
        <f t="shared" si="26"/>
        <v>18044</v>
      </c>
      <c r="AD27" s="142">
        <v>8919</v>
      </c>
      <c r="AE27" s="142">
        <v>8919</v>
      </c>
      <c r="AF27" s="142">
        <v>8919</v>
      </c>
      <c r="AG27" s="142">
        <v>8919</v>
      </c>
      <c r="AH27" s="142">
        <v>8919</v>
      </c>
      <c r="AI27" s="142">
        <v>8919</v>
      </c>
      <c r="AJ27" s="142">
        <v>8919</v>
      </c>
      <c r="AK27" s="142">
        <v>8919</v>
      </c>
      <c r="AL27" s="142">
        <v>8919</v>
      </c>
      <c r="AM27" s="142">
        <v>8919</v>
      </c>
      <c r="AN27" s="142">
        <v>8919</v>
      </c>
      <c r="AO27" s="142">
        <v>8919</v>
      </c>
      <c r="AP27" s="142">
        <v>8919</v>
      </c>
      <c r="AQ27" s="142">
        <v>8919</v>
      </c>
      <c r="AR27" s="142">
        <v>8919</v>
      </c>
      <c r="AS27" s="142">
        <v>8919</v>
      </c>
      <c r="AT27" s="142">
        <v>8919</v>
      </c>
      <c r="AU27" s="142">
        <v>8919</v>
      </c>
      <c r="AV27" s="142">
        <v>8919</v>
      </c>
      <c r="AW27" s="142">
        <v>8919</v>
      </c>
      <c r="AX27" s="142">
        <v>8919</v>
      </c>
    </row>
    <row r="28" spans="1:109" hidden="1" x14ac:dyDescent="0.2"/>
    <row r="29" spans="1:109" hidden="1" x14ac:dyDescent="0.2"/>
    <row r="31" spans="1:109" x14ac:dyDescent="0.2"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H31" s="10"/>
    </row>
    <row r="32" spans="1:109" x14ac:dyDescent="0.2">
      <c r="CN32" s="10"/>
    </row>
    <row r="38" spans="27:27" x14ac:dyDescent="0.2">
      <c r="AA38" s="187" t="s">
        <v>392</v>
      </c>
    </row>
  </sheetData>
  <mergeCells count="2">
    <mergeCell ref="A2:AC2"/>
    <mergeCell ref="A3:AD3"/>
  </mergeCells>
  <phoneticPr fontId="2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E004AB5DACC946B9DF68C3C2C54DFD" ma:contentTypeVersion="18" ma:contentTypeDescription="Create a new document." ma:contentTypeScope="" ma:versionID="e1fdc228ddc0c33739d3b62ded335ddf">
  <xsd:schema xmlns:xsd="http://www.w3.org/2001/XMLSchema" xmlns:xs="http://www.w3.org/2001/XMLSchema" xmlns:p="http://schemas.microsoft.com/office/2006/metadata/properties" xmlns:ns2="29dfc1a8-b777-4321-a74f-896313141591" xmlns:ns3="4c99e0e0-a7ff-498c-a891-888aae3c0d40" targetNamespace="http://schemas.microsoft.com/office/2006/metadata/properties" ma:root="true" ma:fieldsID="51e71f26df4e3ce92bcd9f6a6bd171f9" ns2:_="" ns3:_="">
    <xsd:import namespace="29dfc1a8-b777-4321-a74f-896313141591"/>
    <xsd:import namespace="4c99e0e0-a7ff-498c-a891-888aae3c0d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fc1a8-b777-4321-a74f-8963131415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db3cea5-0ee3-4113-b3a4-755b0456c0a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9e0e0-a7ff-498c-a891-888aae3c0d4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4696b19-8f9b-4b7e-8fd3-f648f8e0756d}" ma:internalName="TaxCatchAll" ma:showField="CatchAllData" ma:web="4c99e0e0-a7ff-498c-a891-888aae3c0d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c99e0e0-a7ff-498c-a891-888aae3c0d40" xsi:nil="true"/>
    <lcf76f155ced4ddcb4097134ff3c332f xmlns="29dfc1a8-b777-4321-a74f-89631314159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B89E2F8-F327-4C04-A0C7-7AF2C650ADC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76A498-FED3-414C-AB40-EE68076DCD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dfc1a8-b777-4321-a74f-896313141591"/>
    <ds:schemaRef ds:uri="4c99e0e0-a7ff-498c-a891-888aae3c0d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B70898-E77C-4A0B-8A8A-17A1C75891E0}">
  <ds:schemaRefs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2006/documentManagement/types"/>
    <ds:schemaRef ds:uri="4c99e0e0-a7ff-498c-a891-888aae3c0d40"/>
    <ds:schemaRef ds:uri="29dfc1a8-b777-4321-a74f-896313141591"/>
  </ds:schemaRefs>
</ds:datastoreItem>
</file>

<file path=docMetadata/LabelInfo.xml><?xml version="1.0" encoding="utf-8"?>
<clbl:labelList xmlns:clbl="http://schemas.microsoft.com/office/2020/mipLabelMetadata">
  <clbl:label id="{942df343-8f73-40db-b966-81a2807536cb}" enabled="0" method="" siteId="{942df343-8f73-40db-b966-81a2807536c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4</vt:i4>
      </vt:variant>
    </vt:vector>
  </HeadingPairs>
  <TitlesOfParts>
    <vt:vector size="13" baseType="lpstr">
      <vt:lpstr>Capa</vt:lpstr>
      <vt:lpstr>Datas</vt:lpstr>
      <vt:lpstr>Balanço Patrimonial Ativo</vt:lpstr>
      <vt:lpstr>Balanço Patrimonial Passivo</vt:lpstr>
      <vt:lpstr>DRE</vt:lpstr>
      <vt:lpstr>DVA</vt:lpstr>
      <vt:lpstr>EBITDA</vt:lpstr>
      <vt:lpstr>DFC</vt:lpstr>
      <vt:lpstr>Outras Informações</vt:lpstr>
      <vt:lpstr>Ano</vt:lpstr>
      <vt:lpstr>Capa!Area_de_impressao</vt:lpstr>
      <vt:lpstr>Dia</vt:lpstr>
      <vt:lpstr>Mês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angela.pedron</dc:creator>
  <cp:keywords/>
  <dc:description/>
  <cp:lastModifiedBy>Alisandra Reis - SLC Agrícola</cp:lastModifiedBy>
  <cp:revision/>
  <dcterms:created xsi:type="dcterms:W3CDTF">2011-08-15T22:21:15Z</dcterms:created>
  <dcterms:modified xsi:type="dcterms:W3CDTF">2024-08-21T20:58:00Z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0x01010038E004AB5DACC946B9DF68C3C2C54DFD</vt:lpwstr>
  </property>
  <property fmtid="{D5CDD505-2E9C-101B-9397-08002B2CF9AE}" pid="3" name="MediaServiceImageTags">
    <vt:lpwstr/>
  </property>
</Properties>
</file>